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현재_통합_문서"/>
  <mc:AlternateContent xmlns:mc="http://schemas.openxmlformats.org/markup-compatibility/2006">
    <mc:Choice Requires="x15">
      <x15ac:absPath xmlns:x15ac="http://schemas.microsoft.com/office/spreadsheetml/2010/11/ac" url="D:\99. Github\Plant-Procurement-Quality-Dashboard\"/>
    </mc:Choice>
  </mc:AlternateContent>
  <bookViews>
    <workbookView xWindow="-120" yWindow="-120" windowWidth="29040" windowHeight="15720" tabRatio="972" firstSheet="6" activeTab="7" xr2:uid="{00000000-000D-0000-FFFF-FFFF00000000}"/>
  </bookViews>
  <sheets>
    <sheet name="Acro Riverheim" sheetId="168" r:id="rId1"/>
    <sheet name="Congratulatory Money" sheetId="143" r:id="rId2"/>
    <sheet name="Condolence Money" sheetId="152" r:id="rId3"/>
    <sheet name="Overseas(新)" sheetId="177" r:id="rId4"/>
    <sheet name="Overseas(舊)" sheetId="174" r:id="rId5"/>
    <sheet name="PSPI" sheetId="156" r:id="rId6"/>
    <sheet name="Salary Table" sheetId="58" r:id="rId7"/>
    <sheet name="Financial Statements" sheetId="139" r:id="rId8"/>
    <sheet name="Expenditure Details" sheetId="140" r:id="rId9"/>
    <sheet name="KB증권 투자금 내역" sheetId="181" r:id="rId10"/>
    <sheet name="Summary" sheetId="158" r:id="rId11"/>
    <sheet name="자금조달계획서" sheetId="180" r:id="rId12"/>
    <sheet name="APT" sheetId="179" r:id="rId13"/>
    <sheet name="룸비니TT" sheetId="169" r:id="rId14"/>
    <sheet name="Life Plan" sheetId="165" r:id="rId15"/>
    <sheet name="Grandeur" sheetId="134" r:id="rId16"/>
    <sheet name="Golf WITB" sheetId="99" r:id="rId17"/>
    <sheet name="Golf Score" sheetId="106" r:id="rId18"/>
    <sheet name="Golf Score Summary" sheetId="159" r:id="rId19"/>
    <sheet name="Anniversary" sheetId="142" r:id="rId20"/>
    <sheet name="2. 지출 내역 요약 (19-06-20)" sheetId="146" r:id="rId21"/>
    <sheet name="2. 지출 내역 요약" sheetId="147" r:id="rId22"/>
    <sheet name="3. 비용 지출 대장" sheetId="148" r:id="rId23"/>
    <sheet name="4. 비용 수입 대장" sheetId="149" r:id="rId24"/>
    <sheet name="5. 항목별 수입결제 잔금" sheetId="150" r:id="rId25"/>
    <sheet name="10. 꾸밈비 지출 대장" sheetId="151" r:id="rId26"/>
    <sheet name="11. 혼수비용 지출대장" sheetId="182"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s>
  <definedNames>
    <definedName name="_?18">#REF!</definedName>
    <definedName name="_?쾴?" localSheetId="3">#REF!</definedName>
    <definedName name="_?쾴?">#REF!</definedName>
    <definedName name="_?쾴?_?" localSheetId="3">#REF!</definedName>
    <definedName name="_?쾴?_?">#REF!</definedName>
    <definedName name="_?쾴?___P" localSheetId="3">#REF!</definedName>
    <definedName name="_?쾴?___P">#REF!</definedName>
    <definedName name="_?쾴?_T" localSheetId="3">#REF!</definedName>
    <definedName name="_?쾴?_T">#REF!</definedName>
    <definedName name="___" hidden="1">'[1]TOWER 10TON'!#REF!</definedName>
    <definedName name="____" hidden="1">'[1]TOWER 10TON'!#REF!</definedName>
    <definedName name="______arf1" localSheetId="3" hidden="1">{#N/A,#N/A,FALSE,"Çaykara ataköy (1)";#N/A,#N/A,FALSE,"Çaykara ataköy (2)";#N/A,#N/A,FALSE,"Rize Kalkandere ";#N/A,#N/A,FALSE,"meydancık";#N/A,#N/A,FALSE,"muratlı"}</definedName>
    <definedName name="______arf1" hidden="1">{#N/A,#N/A,FALSE,"Çaykara ataköy (1)";#N/A,#N/A,FALSE,"Çaykara ataköy (2)";#N/A,#N/A,FALSE,"Rize Kalkandere ";#N/A,#N/A,FALSE,"meydancık";#N/A,#N/A,FALSE,"muratlı"}</definedName>
    <definedName name="____arf1" localSheetId="3" hidden="1">{#N/A,#N/A,FALSE,"Çaykara ataköy (1)";#N/A,#N/A,FALSE,"Çaykara ataköy (2)";#N/A,#N/A,FALSE,"Rize Kalkandere ";#N/A,#N/A,FALSE,"meydancık";#N/A,#N/A,FALSE,"muratlı"}</definedName>
    <definedName name="____arf1" hidden="1">{#N/A,#N/A,FALSE,"Çaykara ataköy (1)";#N/A,#N/A,FALSE,"Çaykara ataköy (2)";#N/A,#N/A,FALSE,"Rize Kalkandere ";#N/A,#N/A,FALSE,"meydancık";#N/A,#N/A,FALSE,"muratlı"}</definedName>
    <definedName name="____hk4645" localSheetId="3" hidden="1">{#N/A,#N/A,FALSE,"ihz. icmal";#N/A,#N/A,FALSE,"avans";#N/A,#N/A,FALSE,"mal_FF_icm";#N/A,#N/A,FALSE,"fat_ihz";#N/A,#N/A,FALSE,"söz_fiy_fark";#N/A,#N/A,FALSE,"kap2"}</definedName>
    <definedName name="____hk4645" hidden="1">{#N/A,#N/A,FALSE,"ihz. icmal";#N/A,#N/A,FALSE,"avans";#N/A,#N/A,FALSE,"mal_FF_icm";#N/A,#N/A,FALSE,"fat_ihz";#N/A,#N/A,FALSE,"söz_fiy_fark";#N/A,#N/A,FALSE,"kap2"}</definedName>
    <definedName name="___arf1" localSheetId="3" hidden="1">{#N/A,#N/A,FALSE,"Çaykara ataköy (1)";#N/A,#N/A,FALSE,"Çaykara ataköy (2)";#N/A,#N/A,FALSE,"Rize Kalkandere ";#N/A,#N/A,FALSE,"meydancık";#N/A,#N/A,FALSE,"muratlı"}</definedName>
    <definedName name="___arf1" hidden="1">{#N/A,#N/A,FALSE,"Çaykara ataköy (1)";#N/A,#N/A,FALSE,"Çaykara ataköy (2)";#N/A,#N/A,FALSE,"Rize Kalkandere ";#N/A,#N/A,FALSE,"meydancık";#N/A,#N/A,FALSE,"muratlı"}</definedName>
    <definedName name="___hk4645" localSheetId="3" hidden="1">{#N/A,#N/A,FALSE,"ihz. icmal";#N/A,#N/A,FALSE,"avans";#N/A,#N/A,FALSE,"mal_FF_icm";#N/A,#N/A,FALSE,"fat_ihz";#N/A,#N/A,FALSE,"söz_fiy_fark";#N/A,#N/A,FALSE,"kap2"}</definedName>
    <definedName name="___hk4645" hidden="1">{#N/A,#N/A,FALSE,"ihz. icmal";#N/A,#N/A,FALSE,"avans";#N/A,#N/A,FALSE,"mal_FF_icm";#N/A,#N/A,FALSE,"fat_ihz";#N/A,#N/A,FALSE,"söz_fiy_fark";#N/A,#N/A,FALSE,"kap2"}</definedName>
    <definedName name="__123Graph_A" localSheetId="3" hidden="1">#REF!</definedName>
    <definedName name="__123Graph_A" hidden="1">#REF!</definedName>
    <definedName name="__123Graph_ACurrent" localSheetId="3" hidden="1">'[2]Eq. Mobilization'!#REF!</definedName>
    <definedName name="__123Graph_ACurrent" hidden="1">'[3]#REF'!#REF!</definedName>
    <definedName name="__123Graph_AGraph1" hidden="1">#REF!</definedName>
    <definedName name="__123Graph_AGraph2" hidden="1">#REF!</definedName>
    <definedName name="__123Graph_Aｶﾚﾝﾄ" hidden="1">#REF!</definedName>
    <definedName name="__123Graph_A자금수지" hidden="1">#REF!</definedName>
    <definedName name="__123Graph_A자금운용" hidden="1">#REF!</definedName>
    <definedName name="__123Graph_B" localSheetId="3" hidden="1">#REF!</definedName>
    <definedName name="__123Graph_B" hidden="1">#REF!</definedName>
    <definedName name="__123Graph_BCurrent" localSheetId="3" hidden="1">'[2]Eq. Mobilization'!#REF!</definedName>
    <definedName name="__123Graph_BCurrent" hidden="1">'[3]#REF'!#REF!</definedName>
    <definedName name="__123Graph_BGraph1" hidden="1">#REF!</definedName>
    <definedName name="__123Graph_BGraph2" hidden="1">#REF!</definedName>
    <definedName name="__123Graph_BPERFORMANCE" hidden="1">[4]BQMPALOC!#REF!</definedName>
    <definedName name="__123Graph_Bｶﾚﾝﾄ" hidden="1">#REF!</definedName>
    <definedName name="__123Graph_B자금수지" hidden="1">#REF!</definedName>
    <definedName name="__123Graph_B자금운용" hidden="1">#REF!</definedName>
    <definedName name="__123Graph_C" localSheetId="3" hidden="1">'[5]TABLO-3'!$B$6:$B$6</definedName>
    <definedName name="__123Graph_C" hidden="1">'[6]C1 (calcolo)'!$N$194:$AK$194</definedName>
    <definedName name="__123Graph_Cc" hidden="1">'[7]TABLO-3'!$B$6:$B$6</definedName>
    <definedName name="__123Graph_CGraph1" hidden="1">#REF!</definedName>
    <definedName name="__123Graph_CGraph2" hidden="1">#REF!</definedName>
    <definedName name="__123Graph_Cｶﾚﾝﾄ" hidden="1">#REF!</definedName>
    <definedName name="__123Graph_C자금운용" hidden="1">#REF!</definedName>
    <definedName name="__123Graph_D" localSheetId="3"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localSheetId="3" hidden="1">'[1]TOWER 12TON'!#REF!</definedName>
    <definedName name="__123Graph_E" hidden="1">'[1]TOWER 12TON'!#REF!</definedName>
    <definedName name="__123Graph_EGraph1" hidden="1">#REF!</definedName>
    <definedName name="__123Graph_EGraph2" hidden="1">#REF!</definedName>
    <definedName name="__123Graph_Eｶﾚﾝﾄ" hidden="1">#REF!</definedName>
    <definedName name="__123Graph_F" hidden="1">[8]B!#REF!</definedName>
    <definedName name="__123Graph_FGraph1" hidden="1">#REF!</definedName>
    <definedName name="__123Graph_FGraph2" hidden="1">#REF!</definedName>
    <definedName name="__123Graph_Fｶﾚﾝﾄ" hidden="1">#REF!</definedName>
    <definedName name="__123Graph_LBL_A" localSheetId="3" hidden="1">'[2]Eq. Mobilization'!#REF!</definedName>
    <definedName name="__123Graph_LBL_A" hidden="1">'[3]#REF'!#REF!</definedName>
    <definedName name="__123Graph_LBL_B" localSheetId="3" hidden="1">'[2]Eq. Mobilization'!#REF!</definedName>
    <definedName name="__123Graph_LBL_B" hidden="1">'[3]#REF'!#REF!</definedName>
    <definedName name="__123Graph_X" localSheetId="3" hidden="1">'[2]Eq. Mobilization'!#REF!</definedName>
    <definedName name="__123Graph_X" hidden="1">'[3]#REF'!#REF!</definedName>
    <definedName name="__123Graph_XCurrent" localSheetId="3" hidden="1">'[2]Eq. Mobilization'!#REF!</definedName>
    <definedName name="__123Graph_XCurrent" hidden="1">'[3]#REF'!#REF!</definedName>
    <definedName name="__123Graph_X자금수지" hidden="1">#REF!</definedName>
    <definedName name="__123Graph_X자금운용" hidden="1">#REF!</definedName>
    <definedName name="__1A1_" hidden="1">{#N/A,#N/A,TRUE,"Basic";#N/A,#N/A,TRUE,"EXT-TABLE";#N/A,#N/A,TRUE,"STEEL";#N/A,#N/A,TRUE,"INT-Table";#N/A,#N/A,TRUE,"STEEL";#N/A,#N/A,TRUE,"Door"}</definedName>
    <definedName name="__A1" hidden="1">{#N/A,#N/A,TRUE,"Basic";#N/A,#N/A,TRUE,"EXT-TABLE";#N/A,#N/A,TRUE,"STEEL";#N/A,#N/A,TRUE,"INT-Table";#N/A,#N/A,TRUE,"STEEL";#N/A,#N/A,TRUE,"Door"}</definedName>
    <definedName name="__arf1" localSheetId="3" hidden="1">{#N/A,#N/A,FALSE,"Çaykara ataköy (1)";#N/A,#N/A,FALSE,"Çaykara ataköy (2)";#N/A,#N/A,FALSE,"Rize Kalkandere ";#N/A,#N/A,FALSE,"meydancık";#N/A,#N/A,FALSE,"muratlı"}</definedName>
    <definedName name="__arf1" hidden="1">{#N/A,#N/A,FALSE,"Çaykara ataköy (1)";#N/A,#N/A,FALSE,"Çaykara ataköy (2)";#N/A,#N/A,FALSE,"Rize Kalkandere ";#N/A,#N/A,FALSE,"meydancık";#N/A,#N/A,FALSE,"muratlı"}</definedName>
    <definedName name="__BP01" hidden="1">{#N/A,#N/A,FALSE,"TABLE"}</definedName>
    <definedName name="__D6" localSheetId="3" hidden="1">{"'표지'!$B$5"}</definedName>
    <definedName name="__D6" hidden="1">{"'표지'!$B$5"}</definedName>
    <definedName name="__h1" localSheetId="3" hidden="1">{"'표지'!$B$5"}</definedName>
    <definedName name="__h1" hidden="1">{"'표지'!$B$5"}</definedName>
    <definedName name="__h2" localSheetId="3" hidden="1">{"'표지'!$B$5"}</definedName>
    <definedName name="__h2" hidden="1">{"'표지'!$B$5"}</definedName>
    <definedName name="__h3" localSheetId="3" hidden="1">{"'표지'!$B$5"}</definedName>
    <definedName name="__h3" hidden="1">{"'표지'!$B$5"}</definedName>
    <definedName name="__h4" localSheetId="3" hidden="1">{"'표지'!$B$5"}</definedName>
    <definedName name="__h4" hidden="1">{"'표지'!$B$5"}</definedName>
    <definedName name="__h5" localSheetId="3" hidden="1">{"'표지'!$B$5"}</definedName>
    <definedName name="__h5" hidden="1">{"'표지'!$B$5"}</definedName>
    <definedName name="__hk4645" localSheetId="3" hidden="1">{#N/A,#N/A,FALSE,"ihz. icmal";#N/A,#N/A,FALSE,"avans";#N/A,#N/A,FALSE,"mal_FF_icm";#N/A,#N/A,FALSE,"fat_ihz";#N/A,#N/A,FALSE,"söz_fiy_fark";#N/A,#N/A,FALSE,"kap2"}</definedName>
    <definedName name="__hk4645" hidden="1">{#N/A,#N/A,FALSE,"ihz. icmal";#N/A,#N/A,FALSE,"avans";#N/A,#N/A,FALSE,"mal_FF_icm";#N/A,#N/A,FALSE,"fat_ihz";#N/A,#N/A,FALSE,"söz_fiy_fark";#N/A,#N/A,FALSE,"kap2"}</definedName>
    <definedName name="__IntlFixup" hidden="1">TRUE</definedName>
    <definedName name="__Key11" hidden="1">#REF!</definedName>
    <definedName name="__MCC3" hidden="1">{#N/A,#N/A,FALSE,"CCTV"}</definedName>
    <definedName name="__MS275" hidden="1">{#N/A,#N/A,FALSE,"TABLE"}</definedName>
    <definedName name="__PC1079">'[9]General Data'!$B$8</definedName>
    <definedName name="__PRINT_ALL_IN" localSheetId="3">#REF!</definedName>
    <definedName name="__PRINT_ALL_IN">#REF!</definedName>
    <definedName name="__soc2"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tg1" hidden="1">{"LKD",#N/A,FALSE,"표지"}</definedName>
    <definedName name="__tg3" hidden="1">{"LKD",#N/A,FALSE,"표지"}</definedName>
    <definedName name="__tg4" hidden="1">{"LKD",#N/A,FALSE,"표지"}</definedName>
    <definedName name="_010908_01_bmbq_1" localSheetId="3">#REF!</definedName>
    <definedName name="_010908_01_bmbq_1">#REF!</definedName>
    <definedName name="_020325_BM_1차_SUM_TOTAL" localSheetId="3">#REF!</definedName>
    <definedName name="_020325_BM_1차_SUM_TOTAL">#REF!</definedName>
    <definedName name="_030520_12차_pung_bmbqsum_pcwbs" localSheetId="3">#REF!</definedName>
    <definedName name="_030520_12차_pung_bmbqsum_pcwbs">#REF!</definedName>
    <definedName name="_1">[10]당초!#REF!</definedName>
    <definedName name="_1_">[11]Sheet1!#REF!</definedName>
    <definedName name="_1_?18">#REF!</definedName>
    <definedName name="_1__________________0__123Grap" localSheetId="3" hidden="1">'[1]TOWER 12TON'!#REF!</definedName>
    <definedName name="_1__________________0__123Grap" hidden="1">'[1]TOWER 12TON'!#REF!</definedName>
    <definedName name="_1___123Graph_AChart_1A" hidden="1">'[12]Eq. Mobilization'!#REF!</definedName>
    <definedName name="_1__123Graph_AChart_1A" hidden="1">'[13]Eq. Mobilization'!#REF!</definedName>
    <definedName name="_1_0__123Grap" hidden="1">#REF!</definedName>
    <definedName name="_1_123Grap" hidden="1">#REF!</definedName>
    <definedName name="_10">#N/A</definedName>
    <definedName name="_10______________0_0__123Grap" localSheetId="3" hidden="1">[14]유림골조!#REF!</definedName>
    <definedName name="_10______________0_0__123Grap" hidden="1">[14]유림골조!#REF!</definedName>
    <definedName name="_10_____G_0Extr" localSheetId="3">#REF!</definedName>
    <definedName name="_10_____G_0Extr">#REF!</definedName>
    <definedName name="_10__123Graph_BChart_1A" hidden="1">'[12]Eq. Mobilization'!#REF!</definedName>
    <definedName name="_10__123Graph_B자금운용" hidden="1">#REF!</definedName>
    <definedName name="_10__123Graph_DMOB_02" hidden="1">#REF!</definedName>
    <definedName name="_10__123Graph_EMOB_02" hidden="1">#REF!</definedName>
    <definedName name="_10_0_0코아공" hidden="1">[15]공통비총괄표!#REF!</definedName>
    <definedName name="_1000A01">#N/A</definedName>
    <definedName name="_106_0_Dist_" localSheetId="3" hidden="1">#REF!</definedName>
    <definedName name="_106_0_Dist_" hidden="1">#REF!</definedName>
    <definedName name="_107_0_Dist_" localSheetId="3" hidden="1">#REF!</definedName>
    <definedName name="_107_0_Dist_" hidden="1">#REF!</definedName>
    <definedName name="_10A_">[16]연돌일위집계!#REF!</definedName>
    <definedName name="_10A_1">[16]연돌일위집계!#REF!</definedName>
    <definedName name="_10A_10">[16]연돌일위집계!#REF!</definedName>
    <definedName name="_10A_11">[16]연돌일위집계!#REF!</definedName>
    <definedName name="_10A_12">[16]연돌일위집계!#REF!</definedName>
    <definedName name="_10A_13">[16]연돌일위집계!#REF!</definedName>
    <definedName name="_10A_14">[16]연돌일위집계!#REF!</definedName>
    <definedName name="_10A_15">[16]연돌일위집계!#REF!</definedName>
    <definedName name="_10A_16">[16]연돌일위집계!#REF!</definedName>
    <definedName name="_10A_17">[16]연돌일위집계!#REF!</definedName>
    <definedName name="_10A_18">[16]연돌일위집계!#REF!</definedName>
    <definedName name="_10A_19">[16]연돌일위집계!#REF!</definedName>
    <definedName name="_10A_2">[16]연돌일위집계!#REF!</definedName>
    <definedName name="_10A_20">[16]연돌일위집계!#REF!</definedName>
    <definedName name="_10A_21">[16]연돌일위집계!#REF!</definedName>
    <definedName name="_10A_22">[16]연돌일위집계!#REF!</definedName>
    <definedName name="_10A_23">[16]연돌일위집계!#REF!</definedName>
    <definedName name="_10A_24">[16]연돌일위집계!#REF!</definedName>
    <definedName name="_10A_25">[16]연돌일위집계!#REF!</definedName>
    <definedName name="_10A_26">[16]연돌일위집계!#REF!</definedName>
    <definedName name="_10A_27">[16]연돌일위집계!#REF!</definedName>
    <definedName name="_10A_28">[16]연돌일위집계!#REF!</definedName>
    <definedName name="_10A_29">[16]연돌일위집계!#REF!</definedName>
    <definedName name="_10A_3">[16]연돌일위집계!#REF!</definedName>
    <definedName name="_10A_30">[16]연돌일위집계!#REF!</definedName>
    <definedName name="_10A_31">[16]연돌일위집계!#REF!</definedName>
    <definedName name="_10A_32">[16]연돌일위집계!#REF!</definedName>
    <definedName name="_10A_33">[16]연돌일위집계!#REF!</definedName>
    <definedName name="_10A_34">[16]연돌일위집계!#REF!</definedName>
    <definedName name="_10A_35">[16]연돌일위집계!#REF!</definedName>
    <definedName name="_10A_36">[16]연돌일위집계!#REF!</definedName>
    <definedName name="_10A_37">[16]연돌일위집계!#REF!</definedName>
    <definedName name="_10A_38">[16]연돌일위집계!#REF!</definedName>
    <definedName name="_10A_39">[16]연돌일위집계!#REF!</definedName>
    <definedName name="_10A_4">[16]연돌일위집계!#REF!</definedName>
    <definedName name="_10A_40">[16]연돌일위집계!#REF!</definedName>
    <definedName name="_10A_41">[16]연돌일위집계!#REF!</definedName>
    <definedName name="_10A_42">[16]연돌일위집계!#REF!</definedName>
    <definedName name="_10A_43">[16]연돌일위집계!#REF!</definedName>
    <definedName name="_10A_44">[16]연돌일위집계!#REF!</definedName>
    <definedName name="_10A_45">[16]연돌일위집계!#REF!</definedName>
    <definedName name="_10A_46">[16]연돌일위집계!#REF!</definedName>
    <definedName name="_10A_47">[16]연돌일위집계!#REF!</definedName>
    <definedName name="_10A_48">[16]연돌일위집계!#REF!</definedName>
    <definedName name="_10A_49">[16]연돌일위집계!#REF!</definedName>
    <definedName name="_10A_5">[16]연돌일위집계!#REF!</definedName>
    <definedName name="_10A_50">[16]연돌일위집계!#REF!</definedName>
    <definedName name="_10A_51">[16]연돌일위집계!#REF!</definedName>
    <definedName name="_10A_52">[16]연돌일위집계!#REF!</definedName>
    <definedName name="_10A_53">[16]연돌일위집계!#REF!</definedName>
    <definedName name="_10A_54">[16]연돌일위집계!#REF!</definedName>
    <definedName name="_10A_55">[16]연돌일위집계!#REF!</definedName>
    <definedName name="_10A_56">[16]연돌일위집계!#REF!</definedName>
    <definedName name="_10A_57">[16]연돌일위집계!#REF!</definedName>
    <definedName name="_10A_58">[16]연돌일위집계!#REF!</definedName>
    <definedName name="_10A_59">[16]연돌일위집계!#REF!</definedName>
    <definedName name="_10A_6">[16]연돌일위집계!#REF!</definedName>
    <definedName name="_10A_60">[16]연돌일위집계!#REF!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[16]연돌일위집계!#REF!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[16]연돌일위집계!#REF!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[16]연돌일위집계!#REF!</definedName>
    <definedName name="_10A_90">#N/A</definedName>
    <definedName name="_10B_">[16]연돌일위집계!#REF!</definedName>
    <definedName name="_10B_1">[16]연돌일위집계!#REF!</definedName>
    <definedName name="_10B_10">[16]연돌일위집계!#REF!</definedName>
    <definedName name="_10B_11">[16]연돌일위집계!#REF!</definedName>
    <definedName name="_10B_12">[16]연돌일위집계!#REF!</definedName>
    <definedName name="_10B_13">[16]연돌일위집계!#REF!</definedName>
    <definedName name="_10B_14">[16]연돌일위집계!#REF!</definedName>
    <definedName name="_10B_15">[16]연돌일위집계!#REF!</definedName>
    <definedName name="_10B_16">[16]연돌일위집계!#REF!</definedName>
    <definedName name="_10B_17">[16]연돌일위집계!#REF!</definedName>
    <definedName name="_10B_18">[16]연돌일위집계!#REF!</definedName>
    <definedName name="_10B_19">[16]연돌일위집계!#REF!</definedName>
    <definedName name="_10B_2">[16]연돌일위집계!#REF!</definedName>
    <definedName name="_10B_20">[16]연돌일위집계!#REF!</definedName>
    <definedName name="_10B_21">[16]연돌일위집계!#REF!</definedName>
    <definedName name="_10B_22">[16]연돌일위집계!#REF!</definedName>
    <definedName name="_10B_23">[16]연돌일위집계!#REF!</definedName>
    <definedName name="_10B_24">[16]연돌일위집계!#REF!</definedName>
    <definedName name="_10B_25">[16]연돌일위집계!#REF!</definedName>
    <definedName name="_10B_26">[16]연돌일위집계!#REF!</definedName>
    <definedName name="_10B_27">[16]연돌일위집계!#REF!</definedName>
    <definedName name="_10B_28">[16]연돌일위집계!#REF!</definedName>
    <definedName name="_10B_29">[16]연돌일위집계!#REF!</definedName>
    <definedName name="_10B_3">[16]연돌일위집계!#REF!</definedName>
    <definedName name="_10B_30">[16]연돌일위집계!#REF!</definedName>
    <definedName name="_10B_31">[16]연돌일위집계!#REF!</definedName>
    <definedName name="_10B_32">[16]연돌일위집계!#REF!</definedName>
    <definedName name="_10B_33">[16]연돌일위집계!#REF!</definedName>
    <definedName name="_10B_34">[16]연돌일위집계!#REF!</definedName>
    <definedName name="_10B_35">[16]연돌일위집계!#REF!</definedName>
    <definedName name="_10B_36">[16]연돌일위집계!#REF!</definedName>
    <definedName name="_10B_37">[16]연돌일위집계!#REF!</definedName>
    <definedName name="_10B_38">[16]연돌일위집계!#REF!</definedName>
    <definedName name="_10B_39">[16]연돌일위집계!#REF!</definedName>
    <definedName name="_10B_4">[16]연돌일위집계!#REF!</definedName>
    <definedName name="_10B_40">[16]연돌일위집계!#REF!</definedName>
    <definedName name="_10B_41">[16]연돌일위집계!#REF!</definedName>
    <definedName name="_10B_42">[16]연돌일위집계!#REF!</definedName>
    <definedName name="_10B_43">[16]연돌일위집계!#REF!</definedName>
    <definedName name="_10B_44">[16]연돌일위집계!#REF!</definedName>
    <definedName name="_10B_45">[16]연돌일위집계!#REF!</definedName>
    <definedName name="_10B_46">[16]연돌일위집계!#REF!</definedName>
    <definedName name="_10B_47">[16]연돌일위집계!#REF!</definedName>
    <definedName name="_10B_48">[16]연돌일위집계!#REF!</definedName>
    <definedName name="_10B_49">[16]연돌일위집계!#REF!</definedName>
    <definedName name="_10B_5">[16]연돌일위집계!#REF!</definedName>
    <definedName name="_10B_50">[16]연돌일위집계!#REF!</definedName>
    <definedName name="_10B_51">[16]연돌일위집계!#REF!</definedName>
    <definedName name="_10B_52">[16]연돌일위집계!#REF!</definedName>
    <definedName name="_10B_53">[16]연돌일위집계!#REF!</definedName>
    <definedName name="_10B_54">[16]연돌일위집계!#REF!</definedName>
    <definedName name="_10B_55">[16]연돌일위집계!#REF!</definedName>
    <definedName name="_10B_56">[16]연돌일위집계!#REF!</definedName>
    <definedName name="_10B_57">[16]연돌일위집계!#REF!</definedName>
    <definedName name="_10B_58">[16]연돌일위집계!#REF!</definedName>
    <definedName name="_10B_59">[16]연돌일위집계!#REF!</definedName>
    <definedName name="_10B_6">[16]연돌일위집계!#REF!</definedName>
    <definedName name="_10B_60">[16]연돌일위집계!#REF!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[16]연돌일위집계!#REF!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[16]연돌일위집계!#REF!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[16]연돌일위집계!#REF!</definedName>
    <definedName name="_10B_90">#N/A</definedName>
    <definedName name="_10C_">[16]연돌일위집계!#REF!</definedName>
    <definedName name="_10C_1">[16]연돌일위집계!#REF!</definedName>
    <definedName name="_10C_10">[16]연돌일위집계!#REF!</definedName>
    <definedName name="_10C_11">[16]연돌일위집계!#REF!</definedName>
    <definedName name="_10C_12">[16]연돌일위집계!#REF!</definedName>
    <definedName name="_10C_13">[16]연돌일위집계!#REF!</definedName>
    <definedName name="_10C_14">[16]연돌일위집계!#REF!</definedName>
    <definedName name="_10C_15">[16]연돌일위집계!#REF!</definedName>
    <definedName name="_10C_16">[16]연돌일위집계!#REF!</definedName>
    <definedName name="_10C_17">[16]연돌일위집계!#REF!</definedName>
    <definedName name="_10C_18">[16]연돌일위집계!#REF!</definedName>
    <definedName name="_10C_19">[16]연돌일위집계!#REF!</definedName>
    <definedName name="_10C_2">[16]연돌일위집계!#REF!</definedName>
    <definedName name="_10C_20">[16]연돌일위집계!#REF!</definedName>
    <definedName name="_10C_21">[16]연돌일위집계!#REF!</definedName>
    <definedName name="_10C_22">[16]연돌일위집계!#REF!</definedName>
    <definedName name="_10C_23">[16]연돌일위집계!#REF!</definedName>
    <definedName name="_10C_24">[16]연돌일위집계!#REF!</definedName>
    <definedName name="_10C_25">[16]연돌일위집계!#REF!</definedName>
    <definedName name="_10C_26">[16]연돌일위집계!#REF!</definedName>
    <definedName name="_10C_27">[16]연돌일위집계!#REF!</definedName>
    <definedName name="_10C_28">[16]연돌일위집계!#REF!</definedName>
    <definedName name="_10C_29">[16]연돌일위집계!#REF!</definedName>
    <definedName name="_10C_3">[16]연돌일위집계!#REF!</definedName>
    <definedName name="_10C_30">[16]연돌일위집계!#REF!</definedName>
    <definedName name="_10C_31">[16]연돌일위집계!#REF!</definedName>
    <definedName name="_10C_32">[16]연돌일위집계!#REF!</definedName>
    <definedName name="_10C_33">[16]연돌일위집계!#REF!</definedName>
    <definedName name="_10C_34">[16]연돌일위집계!#REF!</definedName>
    <definedName name="_10C_35">[16]연돌일위집계!#REF!</definedName>
    <definedName name="_10C_36">[16]연돌일위집계!#REF!</definedName>
    <definedName name="_10C_37">[16]연돌일위집계!#REF!</definedName>
    <definedName name="_10C_38">[16]연돌일위집계!#REF!</definedName>
    <definedName name="_10C_39">[16]연돌일위집계!#REF!</definedName>
    <definedName name="_10C_4">[16]연돌일위집계!#REF!</definedName>
    <definedName name="_10C_40">[16]연돌일위집계!#REF!</definedName>
    <definedName name="_10C_41">[16]연돌일위집계!#REF!</definedName>
    <definedName name="_10C_42">[16]연돌일위집계!#REF!</definedName>
    <definedName name="_10C_43">[16]연돌일위집계!#REF!</definedName>
    <definedName name="_10C_44">[16]연돌일위집계!#REF!</definedName>
    <definedName name="_10C_45">[16]연돌일위집계!#REF!</definedName>
    <definedName name="_10C_46">[16]연돌일위집계!#REF!</definedName>
    <definedName name="_10C_47">[16]연돌일위집계!#REF!</definedName>
    <definedName name="_10C_48">[16]연돌일위집계!#REF!</definedName>
    <definedName name="_10C_49">[16]연돌일위집계!#REF!</definedName>
    <definedName name="_10C_5">[16]연돌일위집계!#REF!</definedName>
    <definedName name="_10C_50">[16]연돌일위집계!#REF!</definedName>
    <definedName name="_10C_51">[16]연돌일위집계!#REF!</definedName>
    <definedName name="_10C_52">[16]연돌일위집계!#REF!</definedName>
    <definedName name="_10C_53">[16]연돌일위집계!#REF!</definedName>
    <definedName name="_10C_54">[16]연돌일위집계!#REF!</definedName>
    <definedName name="_10C_55">[16]연돌일위집계!#REF!</definedName>
    <definedName name="_10C_56">[16]연돌일위집계!#REF!</definedName>
    <definedName name="_10C_57">[16]연돌일위집계!#REF!</definedName>
    <definedName name="_10C_58">[16]연돌일위집계!#REF!</definedName>
    <definedName name="_10C_59">[16]연돌일위집계!#REF!</definedName>
    <definedName name="_10C_6">[16]연돌일위집계!#REF!</definedName>
    <definedName name="_10C_60">[16]연돌일위집계!#REF!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[16]연돌일위집계!#REF!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[16]연돌일위집계!#REF!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[16]연돌일위집계!#REF!</definedName>
    <definedName name="_10C_90">#N/A</definedName>
    <definedName name="_10P14_">#REF!</definedName>
    <definedName name="_11">#N/A</definedName>
    <definedName name="_11_____G_0Extract" localSheetId="3">#REF!</definedName>
    <definedName name="_11_____G_0Extract">#REF!</definedName>
    <definedName name="_11__123Graph_B자금운용" hidden="1">#REF!</definedName>
    <definedName name="_11__123Graph_EMOB_02" hidden="1">#REF!</definedName>
    <definedName name="_11__123Graph_FMOB_02" hidden="1">#REF!</definedName>
    <definedName name="_11_0공통비" hidden="1">[15]공통비총괄표!#REF!</definedName>
    <definedName name="_112_________0__123Grap" localSheetId="3" hidden="1">#REF!</definedName>
    <definedName name="_112_________0__123Grap" hidden="1">#REF!</definedName>
    <definedName name="_116_________0_Dist_" localSheetId="3" hidden="1">#REF!</definedName>
    <definedName name="_116_________0_Dist_" hidden="1">#REF!</definedName>
    <definedName name="_11A_1">[16]연돌일위집계!#REF!</definedName>
    <definedName name="_11A_10">[16]연돌일위집계!#REF!</definedName>
    <definedName name="_11A_11">[16]연돌일위집계!#REF!</definedName>
    <definedName name="_11A_12">[16]연돌일위집계!#REF!</definedName>
    <definedName name="_11A_13">[16]연돌일위집계!#REF!</definedName>
    <definedName name="_11A_14">[16]연돌일위집계!#REF!</definedName>
    <definedName name="_11A_15">[16]연돌일위집계!#REF!</definedName>
    <definedName name="_11A_16">[16]연돌일위집계!#REF!</definedName>
    <definedName name="_11A_17">[16]연돌일위집계!#REF!</definedName>
    <definedName name="_11A_18">[16]연돌일위집계!#REF!</definedName>
    <definedName name="_11A_19">[16]연돌일위집계!#REF!</definedName>
    <definedName name="_11A_2">[16]연돌일위집계!#REF!</definedName>
    <definedName name="_11A_20">[16]연돌일위집계!#REF!</definedName>
    <definedName name="_11A_21">[16]연돌일위집계!#REF!</definedName>
    <definedName name="_11A_22">[16]연돌일위집계!#REF!</definedName>
    <definedName name="_11A_23">[16]연돌일위집계!#REF!</definedName>
    <definedName name="_11A_24">[16]연돌일위집계!#REF!</definedName>
    <definedName name="_11A_25">[16]연돌일위집계!#REF!</definedName>
    <definedName name="_11A_26">[16]연돌일위집계!#REF!</definedName>
    <definedName name="_11A_27">[16]연돌일위집계!#REF!</definedName>
    <definedName name="_11A_28">[16]연돌일위집계!#REF!</definedName>
    <definedName name="_11A_29">[16]연돌일위집계!#REF!</definedName>
    <definedName name="_11A_3">[16]연돌일위집계!#REF!</definedName>
    <definedName name="_11A_30">[16]연돌일위집계!#REF!</definedName>
    <definedName name="_11A_4">[16]연돌일위집계!#REF!</definedName>
    <definedName name="_11A_5">[16]연돌일위집계!#REF!</definedName>
    <definedName name="_11A_6">[16]연돌일위집계!#REF!</definedName>
    <definedName name="_11A_7">[16]연돌일위집계!#REF!</definedName>
    <definedName name="_11A_8">[16]연돌일위집계!#REF!</definedName>
    <definedName name="_11A_9">[16]연돌일위집계!#REF!</definedName>
    <definedName name="_11B_1">[16]연돌일위집계!#REF!</definedName>
    <definedName name="_11B_10">[16]연돌일위집계!#REF!</definedName>
    <definedName name="_11B_11">[16]연돌일위집계!#REF!</definedName>
    <definedName name="_11B_12">[16]연돌일위집계!#REF!</definedName>
    <definedName name="_11B_13">[16]연돌일위집계!#REF!</definedName>
    <definedName name="_11B_14">[16]연돌일위집계!#REF!</definedName>
    <definedName name="_11B_15">[16]연돌일위집계!#REF!</definedName>
    <definedName name="_11B_16">[16]연돌일위집계!#REF!</definedName>
    <definedName name="_11B_17">[16]연돌일위집계!#REF!</definedName>
    <definedName name="_11B_18">[16]연돌일위집계!#REF!</definedName>
    <definedName name="_11B_19">[16]연돌일위집계!#REF!</definedName>
    <definedName name="_11B_2">[16]연돌일위집계!#REF!</definedName>
    <definedName name="_11B_20">[16]연돌일위집계!#REF!</definedName>
    <definedName name="_11B_21">[16]연돌일위집계!#REF!</definedName>
    <definedName name="_11B_22">[16]연돌일위집계!#REF!</definedName>
    <definedName name="_11B_23">[16]연돌일위집계!#REF!</definedName>
    <definedName name="_11B_24">[16]연돌일위집계!#REF!</definedName>
    <definedName name="_11B_25">[16]연돌일위집계!#REF!</definedName>
    <definedName name="_11B_26">[16]연돌일위집계!#REF!</definedName>
    <definedName name="_11B_27">[16]연돌일위집계!#REF!</definedName>
    <definedName name="_11B_28">[16]연돌일위집계!#REF!</definedName>
    <definedName name="_11B_29">[16]연돌일위집계!#REF!</definedName>
    <definedName name="_11B_3">[16]연돌일위집계!#REF!</definedName>
    <definedName name="_11B_30">[16]연돌일위집계!#REF!</definedName>
    <definedName name="_11B_4">[16]연돌일위집계!#REF!</definedName>
    <definedName name="_11B_5">[16]연돌일위집계!#REF!</definedName>
    <definedName name="_11B_6">[16]연돌일위집계!#REF!</definedName>
    <definedName name="_11B_7">[16]연돌일위집계!#REF!</definedName>
    <definedName name="_11B_8">[16]연돌일위집계!#REF!</definedName>
    <definedName name="_11B_9">[16]연돌일위집계!#REF!</definedName>
    <definedName name="_11C_1">[16]연돌일위집계!#REF!</definedName>
    <definedName name="_11C_10">[16]연돌일위집계!#REF!</definedName>
    <definedName name="_11C_11">[16]연돌일위집계!#REF!</definedName>
    <definedName name="_11C_12">[16]연돌일위집계!#REF!</definedName>
    <definedName name="_11C_13">[16]연돌일위집계!#REF!</definedName>
    <definedName name="_11C_14">[16]연돌일위집계!#REF!</definedName>
    <definedName name="_11C_15">[16]연돌일위집계!#REF!</definedName>
    <definedName name="_11C_16">[16]연돌일위집계!#REF!</definedName>
    <definedName name="_11C_17">[16]연돌일위집계!#REF!</definedName>
    <definedName name="_11C_18">[16]연돌일위집계!#REF!</definedName>
    <definedName name="_11C_19">[16]연돌일위집계!#REF!</definedName>
    <definedName name="_11C_2">[16]연돌일위집계!#REF!</definedName>
    <definedName name="_11C_20">[16]연돌일위집계!#REF!</definedName>
    <definedName name="_11C_21">[16]연돌일위집계!#REF!</definedName>
    <definedName name="_11C_22">[16]연돌일위집계!#REF!</definedName>
    <definedName name="_11C_23">[16]연돌일위집계!#REF!</definedName>
    <definedName name="_11C_24">[16]연돌일위집계!#REF!</definedName>
    <definedName name="_11C_25">[16]연돌일위집계!#REF!</definedName>
    <definedName name="_11C_26">[16]연돌일위집계!#REF!</definedName>
    <definedName name="_11C_27">[16]연돌일위집계!#REF!</definedName>
    <definedName name="_11C_28">[16]연돌일위집계!#REF!</definedName>
    <definedName name="_11C_29">[16]연돌일위집계!#REF!</definedName>
    <definedName name="_11C_3">[16]연돌일위집계!#REF!</definedName>
    <definedName name="_11C_30">[16]연돌일위집계!#REF!</definedName>
    <definedName name="_11C_4">[16]연돌일위집계!#REF!</definedName>
    <definedName name="_11C_5">[16]연돌일위집계!#REF!</definedName>
    <definedName name="_11C_6">[16]연돌일위집계!#REF!</definedName>
    <definedName name="_11C_7">[16]연돌일위집계!#REF!</definedName>
    <definedName name="_11C_8">[16]연돌일위집계!#REF!</definedName>
    <definedName name="_11C_9">[16]연돌일위집계!#REF!</definedName>
    <definedName name="_11P15_">#REF!</definedName>
    <definedName name="_12_______________0__123Grap" localSheetId="3" hidden="1">'[1]TOWER 12TON'!#REF!</definedName>
    <definedName name="_12_______________0__123Grap" hidden="1">'[1]TOWER 12TON'!#REF!</definedName>
    <definedName name="_12__123Graph_C자금운용" hidden="1">#REF!</definedName>
    <definedName name="_12__123Graph_FMOB_02" hidden="1">#REF!</definedName>
    <definedName name="_12__123Graph_LBL_AMOB_01" hidden="1">#REF!</definedName>
    <definedName name="_12_0현대코아공" hidden="1">[15]공통비총괄표!#REF!</definedName>
    <definedName name="_126BP01_" hidden="1">{#N/A,#N/A,FALSE,"TABLE"}</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P16_">#REF!</definedName>
    <definedName name="_13_______________0_Dist_" localSheetId="3" hidden="1">'[1]TOWER 10TON'!#REF!</definedName>
    <definedName name="_13_______________0_Dist_" hidden="1">'[1]TOWER 10TON'!#REF!</definedName>
    <definedName name="_13__123Graph_AChart_1A" localSheetId="3" hidden="1">'[17]Eq. Mobilization'!#REF!</definedName>
    <definedName name="_13__123Graph_AChart_1A" hidden="1">'[17]Eq. Mobilization'!#REF!</definedName>
    <definedName name="_13__123Graph_LBL_AMOB_01" hidden="1">#REF!</definedName>
    <definedName name="_13__123Graph_LBL_AMOB_02" hidden="1">#REF!</definedName>
    <definedName name="_13__123Graph_XChart_1A" hidden="1">'[12]Eq. Mobilization'!#REF!</definedName>
    <definedName name="_132_______0_0_F" localSheetId="3" hidden="1">#REF!</definedName>
    <definedName name="_132_______0_0_F" hidden="1">#REF!</definedName>
    <definedName name="_13A_1">[16]연돌일위집계!#REF!</definedName>
    <definedName name="_13A_10">[16]연돌일위집계!#REF!</definedName>
    <definedName name="_13A_11">[16]연돌일위집계!#REF!</definedName>
    <definedName name="_13A_12">[16]연돌일위집계!#REF!</definedName>
    <definedName name="_13A_13">[16]연돌일위집계!#REF!</definedName>
    <definedName name="_13A_14">[16]연돌일위집계!#REF!</definedName>
    <definedName name="_13A_15">[16]연돌일위집계!#REF!</definedName>
    <definedName name="_13A_16">[16]연돌일위집계!#REF!</definedName>
    <definedName name="_13A_17">[16]연돌일위집계!#REF!</definedName>
    <definedName name="_13A_18">[16]연돌일위집계!#REF!</definedName>
    <definedName name="_13A_19">[16]연돌일위집계!#REF!</definedName>
    <definedName name="_13A_2">[16]연돌일위집계!#REF!</definedName>
    <definedName name="_13A_20">[16]연돌일위집계!#REF!</definedName>
    <definedName name="_13A_21">[16]연돌일위집계!#REF!</definedName>
    <definedName name="_13A_22">[16]연돌일위집계!#REF!</definedName>
    <definedName name="_13A_23">[16]연돌일위집계!#REF!</definedName>
    <definedName name="_13A_24">[16]연돌일위집계!#REF!</definedName>
    <definedName name="_13A_25">[16]연돌일위집계!#REF!</definedName>
    <definedName name="_13A_26">[16]연돌일위집계!#REF!</definedName>
    <definedName name="_13A_27">[16]연돌일위집계!#REF!</definedName>
    <definedName name="_13A_28">[16]연돌일위집계!#REF!</definedName>
    <definedName name="_13A_29">[16]연돌일위집계!#REF!</definedName>
    <definedName name="_13A_3">[16]연돌일위집계!#REF!</definedName>
    <definedName name="_13A_30">[16]연돌일위집계!#REF!</definedName>
    <definedName name="_13A_31">[16]연돌일위집계!#REF!</definedName>
    <definedName name="_13A_32">[16]연돌일위집계!#REF!</definedName>
    <definedName name="_13A_33">[16]연돌일위집계!#REF!</definedName>
    <definedName name="_13A_34">[16]연돌일위집계!#REF!</definedName>
    <definedName name="_13A_35">[16]연돌일위집계!#REF!</definedName>
    <definedName name="_13A_36">[16]연돌일위집계!#REF!</definedName>
    <definedName name="_13A_37">[16]연돌일위집계!#REF!</definedName>
    <definedName name="_13A_38">[16]연돌일위집계!#REF!</definedName>
    <definedName name="_13A_39">[16]연돌일위집계!#REF!</definedName>
    <definedName name="_13A_4">[16]연돌일위집계!#REF!</definedName>
    <definedName name="_13A_40">[16]연돌일위집계!#REF!</definedName>
    <definedName name="_13A_41">[16]연돌일위집계!#REF!</definedName>
    <definedName name="_13A_42">[16]연돌일위집계!#REF!</definedName>
    <definedName name="_13A_43">[16]연돌일위집계!#REF!</definedName>
    <definedName name="_13A_44">[16]연돌일위집계!#REF!</definedName>
    <definedName name="_13A_45">[16]연돌일위집계!#REF!</definedName>
    <definedName name="_13A_46">[16]연돌일위집계!#REF!</definedName>
    <definedName name="_13A_47">[16]연돌일위집계!#REF!</definedName>
    <definedName name="_13A_48">[16]연돌일위집계!#REF!</definedName>
    <definedName name="_13A_49">[16]연돌일위집계!#REF!</definedName>
    <definedName name="_13A_5">[16]연돌일위집계!#REF!</definedName>
    <definedName name="_13A_50">[16]연돌일위집계!#REF!</definedName>
    <definedName name="_13A_51">[16]연돌일위집계!#REF!</definedName>
    <definedName name="_13A_52">[16]연돌일위집계!#REF!</definedName>
    <definedName name="_13A_53">[16]연돌일위집계!#REF!</definedName>
    <definedName name="_13A_54">[16]연돌일위집계!#REF!</definedName>
    <definedName name="_13A_55">[16]연돌일위집계!#REF!</definedName>
    <definedName name="_13A_56">[16]연돌일위집계!#REF!</definedName>
    <definedName name="_13A_57">[16]연돌일위집계!#REF!</definedName>
    <definedName name="_13A_58">[16]연돌일위집계!#REF!</definedName>
    <definedName name="_13A_59">[16]연돌일위집계!#REF!</definedName>
    <definedName name="_13A_6">[16]연돌일위집계!#REF!</definedName>
    <definedName name="_13A_60">[16]연돌일위집계!#REF!</definedName>
    <definedName name="_13A_7">[16]연돌일위집계!#REF!</definedName>
    <definedName name="_13A_8">[16]연돌일위집계!#REF!</definedName>
    <definedName name="_13A_9">[16]연돌일위집계!#REF!</definedName>
    <definedName name="_13B_1">[16]연돌일위집계!#REF!</definedName>
    <definedName name="_13B_10">[16]연돌일위집계!#REF!</definedName>
    <definedName name="_13B_11">[16]연돌일위집계!#REF!</definedName>
    <definedName name="_13B_12">[16]연돌일위집계!#REF!</definedName>
    <definedName name="_13B_13">[16]연돌일위집계!#REF!</definedName>
    <definedName name="_13B_14">[16]연돌일위집계!#REF!</definedName>
    <definedName name="_13B_15">[16]연돌일위집계!#REF!</definedName>
    <definedName name="_13B_16">[16]연돌일위집계!#REF!</definedName>
    <definedName name="_13B_17">[16]연돌일위집계!#REF!</definedName>
    <definedName name="_13B_18">[16]연돌일위집계!#REF!</definedName>
    <definedName name="_13B_19">[16]연돌일위집계!#REF!</definedName>
    <definedName name="_13B_2">[16]연돌일위집계!#REF!</definedName>
    <definedName name="_13B_20">[16]연돌일위집계!#REF!</definedName>
    <definedName name="_13B_21">[16]연돌일위집계!#REF!</definedName>
    <definedName name="_13B_22">[16]연돌일위집계!#REF!</definedName>
    <definedName name="_13B_23">[16]연돌일위집계!#REF!</definedName>
    <definedName name="_13B_24">[16]연돌일위집계!#REF!</definedName>
    <definedName name="_13B_25">[16]연돌일위집계!#REF!</definedName>
    <definedName name="_13B_26">[16]연돌일위집계!#REF!</definedName>
    <definedName name="_13B_27">[16]연돌일위집계!#REF!</definedName>
    <definedName name="_13B_28">[16]연돌일위집계!#REF!</definedName>
    <definedName name="_13B_29">[16]연돌일위집계!#REF!</definedName>
    <definedName name="_13B_3">[16]연돌일위집계!#REF!</definedName>
    <definedName name="_13B_30">[16]연돌일위집계!#REF!</definedName>
    <definedName name="_13B_31">[16]연돌일위집계!#REF!</definedName>
    <definedName name="_13B_32">[16]연돌일위집계!#REF!</definedName>
    <definedName name="_13B_33">[16]연돌일위집계!#REF!</definedName>
    <definedName name="_13B_34">[16]연돌일위집계!#REF!</definedName>
    <definedName name="_13B_35">[16]연돌일위집계!#REF!</definedName>
    <definedName name="_13B_36">[16]연돌일위집계!#REF!</definedName>
    <definedName name="_13B_37">[16]연돌일위집계!#REF!</definedName>
    <definedName name="_13B_38">[16]연돌일위집계!#REF!</definedName>
    <definedName name="_13B_39">[16]연돌일위집계!#REF!</definedName>
    <definedName name="_13B_4">[16]연돌일위집계!#REF!</definedName>
    <definedName name="_13B_40">[16]연돌일위집계!#REF!</definedName>
    <definedName name="_13B_41">[16]연돌일위집계!#REF!</definedName>
    <definedName name="_13B_42">[16]연돌일위집계!#REF!</definedName>
    <definedName name="_13B_43">[16]연돌일위집계!#REF!</definedName>
    <definedName name="_13B_44">[16]연돌일위집계!#REF!</definedName>
    <definedName name="_13B_45">[16]연돌일위집계!#REF!</definedName>
    <definedName name="_13B_46">[16]연돌일위집계!#REF!</definedName>
    <definedName name="_13B_47">[16]연돌일위집계!#REF!</definedName>
    <definedName name="_13B_48">[16]연돌일위집계!#REF!</definedName>
    <definedName name="_13B_49">[16]연돌일위집계!#REF!</definedName>
    <definedName name="_13B_5">[16]연돌일위집계!#REF!</definedName>
    <definedName name="_13B_50">[16]연돌일위집계!#REF!</definedName>
    <definedName name="_13B_51">[16]연돌일위집계!#REF!</definedName>
    <definedName name="_13B_52">[16]연돌일위집계!#REF!</definedName>
    <definedName name="_13B_53">[16]연돌일위집계!#REF!</definedName>
    <definedName name="_13B_54">[16]연돌일위집계!#REF!</definedName>
    <definedName name="_13B_55">[16]연돌일위집계!#REF!</definedName>
    <definedName name="_13B_56">[16]연돌일위집계!#REF!</definedName>
    <definedName name="_13B_57">[16]연돌일위집계!#REF!</definedName>
    <definedName name="_13B_58">[16]연돌일위집계!#REF!</definedName>
    <definedName name="_13B_59">[16]연돌일위집계!#REF!</definedName>
    <definedName name="_13B_6">[16]연돌일위집계!#REF!</definedName>
    <definedName name="_13B_60">[16]연돌일위집계!#REF!</definedName>
    <definedName name="_13B_7">[16]연돌일위집계!#REF!</definedName>
    <definedName name="_13B_8">[16]연돌일위집계!#REF!</definedName>
    <definedName name="_13B_9">[16]연돌일위집계!#REF!</definedName>
    <definedName name="_13C_1">[16]연돌일위집계!#REF!</definedName>
    <definedName name="_13C_10">[16]연돌일위집계!#REF!</definedName>
    <definedName name="_13C_11">[16]연돌일위집계!#REF!</definedName>
    <definedName name="_13C_12">[16]연돌일위집계!#REF!</definedName>
    <definedName name="_13C_13">[16]연돌일위집계!#REF!</definedName>
    <definedName name="_13C_14">[16]연돌일위집계!#REF!</definedName>
    <definedName name="_13C_15">[16]연돌일위집계!#REF!</definedName>
    <definedName name="_13C_16">[16]연돌일위집계!#REF!</definedName>
    <definedName name="_13C_17">[16]연돌일위집계!#REF!</definedName>
    <definedName name="_13C_18">[16]연돌일위집계!#REF!</definedName>
    <definedName name="_13C_19">[16]연돌일위집계!#REF!</definedName>
    <definedName name="_13C_2">[16]연돌일위집계!#REF!</definedName>
    <definedName name="_13C_20">[16]연돌일위집계!#REF!</definedName>
    <definedName name="_13C_21">[16]연돌일위집계!#REF!</definedName>
    <definedName name="_13C_22">[16]연돌일위집계!#REF!</definedName>
    <definedName name="_13C_23">[16]연돌일위집계!#REF!</definedName>
    <definedName name="_13C_24">[16]연돌일위집계!#REF!</definedName>
    <definedName name="_13C_25">[16]연돌일위집계!#REF!</definedName>
    <definedName name="_13C_26">[16]연돌일위집계!#REF!</definedName>
    <definedName name="_13C_27">[16]연돌일위집계!#REF!</definedName>
    <definedName name="_13C_28">[16]연돌일위집계!#REF!</definedName>
    <definedName name="_13C_29">[16]연돌일위집계!#REF!</definedName>
    <definedName name="_13C_3">[16]연돌일위집계!#REF!</definedName>
    <definedName name="_13C_30">[16]연돌일위집계!#REF!</definedName>
    <definedName name="_13C_31">[16]연돌일위집계!#REF!</definedName>
    <definedName name="_13C_32">[16]연돌일위집계!#REF!</definedName>
    <definedName name="_13C_33">[16]연돌일위집계!#REF!</definedName>
    <definedName name="_13C_34">[16]연돌일위집계!#REF!</definedName>
    <definedName name="_13C_35">[16]연돌일위집계!#REF!</definedName>
    <definedName name="_13C_36">[16]연돌일위집계!#REF!</definedName>
    <definedName name="_13C_37">[16]연돌일위집계!#REF!</definedName>
    <definedName name="_13C_38">[16]연돌일위집계!#REF!</definedName>
    <definedName name="_13C_39">[16]연돌일위집계!#REF!</definedName>
    <definedName name="_13C_4">[16]연돌일위집계!#REF!</definedName>
    <definedName name="_13C_40">[16]연돌일위집계!#REF!</definedName>
    <definedName name="_13C_41">[16]연돌일위집계!#REF!</definedName>
    <definedName name="_13C_42">[16]연돌일위집계!#REF!</definedName>
    <definedName name="_13C_43">[16]연돌일위집계!#REF!</definedName>
    <definedName name="_13C_44">[16]연돌일위집계!#REF!</definedName>
    <definedName name="_13C_45">[16]연돌일위집계!#REF!</definedName>
    <definedName name="_13C_46">[16]연돌일위집계!#REF!</definedName>
    <definedName name="_13C_47">[16]연돌일위집계!#REF!</definedName>
    <definedName name="_13C_48">[16]연돌일위집계!#REF!</definedName>
    <definedName name="_13C_49">[16]연돌일위집계!#REF!</definedName>
    <definedName name="_13C_5">[16]연돌일위집계!#REF!</definedName>
    <definedName name="_13C_50">[16]연돌일위집계!#REF!</definedName>
    <definedName name="_13C_51">[16]연돌일위집계!#REF!</definedName>
    <definedName name="_13C_52">[16]연돌일위집계!#REF!</definedName>
    <definedName name="_13C_53">[16]연돌일위집계!#REF!</definedName>
    <definedName name="_13C_54">[16]연돌일위집계!#REF!</definedName>
    <definedName name="_13C_55">[16]연돌일위집계!#REF!</definedName>
    <definedName name="_13C_56">[16]연돌일위집계!#REF!</definedName>
    <definedName name="_13C_57">[16]연돌일위집계!#REF!</definedName>
    <definedName name="_13C_58">[16]연돌일위집계!#REF!</definedName>
    <definedName name="_13C_59">[16]연돌일위집계!#REF!</definedName>
    <definedName name="_13C_6">[16]연돌일위집계!#REF!</definedName>
    <definedName name="_13C_60">[16]연돌일위집계!#REF!</definedName>
    <definedName name="_13C_7">[16]연돌일위집계!#REF!</definedName>
    <definedName name="_13C_8">[16]연돌일위집계!#REF!</definedName>
    <definedName name="_13C_9">[16]연돌일위집계!#REF!</definedName>
    <definedName name="_13Graph_LBL_B" localSheetId="3" hidden="1">'[2]Eq. Mobilization'!#REF!</definedName>
    <definedName name="_13Graph_LBL_B" hidden="1">'[12]Eq. Mobilization'!#REF!</definedName>
    <definedName name="_13P17_">#REF!</definedName>
    <definedName name="_14_____________0_0__123Grap" localSheetId="3" hidden="1">[14]유림골조!#REF!</definedName>
    <definedName name="_14_____________0_0__123Grap" hidden="1">[14]유림골조!#REF!</definedName>
    <definedName name="_14__123Graph_C자금운용" hidden="1">#REF!</definedName>
    <definedName name="_14__123Graph_LBL_AMOB_02" hidden="1">#REF!</definedName>
    <definedName name="_14__123Graph_LBL_BMOB_01" hidden="1">#REF!</definedName>
    <definedName name="_14__123Graph_X자금운용" hidden="1">#REF!</definedName>
    <definedName name="_140_0_0_F" localSheetId="3" hidden="1">#REF!</definedName>
    <definedName name="_140_0_0_F" hidden="1">#REF!</definedName>
    <definedName name="_141_0_0_F" localSheetId="3" hidden="1">#REF!</definedName>
    <definedName name="_141_0_0_F" hidden="1">#REF!</definedName>
    <definedName name="_148_______0__123Grap" localSheetId="3" hidden="1">#REF!</definedName>
    <definedName name="_148_______0__123Grap" hidden="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P2_">#REF!</definedName>
    <definedName name="_15_____________0_0_F" localSheetId="3" hidden="1">'[1]TOWER 10TON'!#REF!</definedName>
    <definedName name="_15_____________0_0_F" hidden="1">'[1]TOWER 10TON'!#REF!</definedName>
    <definedName name="_15__123Graph_LBL_BMOB_01" hidden="1">#REF!</definedName>
    <definedName name="_15__123Graph_LBL_BMOB_02" hidden="1">#REF!</definedName>
    <definedName name="_15__123Graph_X자금운용" hidden="1">#REF!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P3_">#REF!</definedName>
    <definedName name="_16______________0__123Grap" localSheetId="3" hidden="1">'[1]TOWER 12TON'!#REF!</definedName>
    <definedName name="_16______________0__123Grap" hidden="1">'[1]TOWER 12TON'!#REF!</definedName>
    <definedName name="_16__123Graph_LBL_BMOB_02" hidden="1">#REF!</definedName>
    <definedName name="_16__123Graph_LBL_CMOB_01" hidden="1">#REF!</definedName>
    <definedName name="_16A_1">[16]연돌일위집계!#REF!</definedName>
    <definedName name="_16A_10" localSheetId="3">#REF!</definedName>
    <definedName name="_16A_10">#REF!</definedName>
    <definedName name="_16A_11" localSheetId="3">#REF!</definedName>
    <definedName name="_16A_11">#REF!</definedName>
    <definedName name="_16A_12" localSheetId="3">#REF!</definedName>
    <definedName name="_16A_12">#REF!</definedName>
    <definedName name="_16A_13" localSheetId="3">#REF!</definedName>
    <definedName name="_16A_13">#REF!</definedName>
    <definedName name="_16A_14" localSheetId="3">#REF!</definedName>
    <definedName name="_16A_14">#REF!</definedName>
    <definedName name="_16A_15" localSheetId="3">#REF!</definedName>
    <definedName name="_16A_15">#REF!</definedName>
    <definedName name="_16A_2">[16]연돌일위집계!#REF!</definedName>
    <definedName name="_16A_3">[16]연돌일위집계!#REF!</definedName>
    <definedName name="_16A_4">[16]연돌일위집계!#REF!</definedName>
    <definedName name="_16A_5">[16]연돌일위집계!#REF!</definedName>
    <definedName name="_16A_6">[16]연돌일위집계!#REF!</definedName>
    <definedName name="_16A_7">[16]연돌일위집계!#REF!</definedName>
    <definedName name="_16A_8" localSheetId="3">#REF!</definedName>
    <definedName name="_16A_8">#REF!</definedName>
    <definedName name="_16A_9" localSheetId="3">#REF!</definedName>
    <definedName name="_16A_9">#REF!</definedName>
    <definedName name="_16B_1">[16]연돌일위집계!#REF!</definedName>
    <definedName name="_16B_10" localSheetId="3">#REF!</definedName>
    <definedName name="_16B_10">#REF!</definedName>
    <definedName name="_16B_11" localSheetId="3">#REF!</definedName>
    <definedName name="_16B_11">#REF!</definedName>
    <definedName name="_16B_12" localSheetId="3">#REF!</definedName>
    <definedName name="_16B_12">#REF!</definedName>
    <definedName name="_16B_13" localSheetId="3">#REF!</definedName>
    <definedName name="_16B_13">#REF!</definedName>
    <definedName name="_16B_14" localSheetId="3">#REF!</definedName>
    <definedName name="_16B_14">#REF!</definedName>
    <definedName name="_16B_15" localSheetId="3">#REF!</definedName>
    <definedName name="_16B_15">#REF!</definedName>
    <definedName name="_16B_2">[16]연돌일위집계!#REF!</definedName>
    <definedName name="_16B_3">[16]연돌일위집계!#REF!</definedName>
    <definedName name="_16B_4">[16]연돌일위집계!#REF!</definedName>
    <definedName name="_16B_5">[16]연돌일위집계!#REF!</definedName>
    <definedName name="_16B_6">[16]연돌일위집계!#REF!</definedName>
    <definedName name="_16B_7">[16]연돌일위집계!#REF!</definedName>
    <definedName name="_16B_8" localSheetId="3">#REF!</definedName>
    <definedName name="_16B_8">#REF!</definedName>
    <definedName name="_16B_9" localSheetId="3">#REF!</definedName>
    <definedName name="_16B_9">#REF!</definedName>
    <definedName name="_16C_1">[16]연돌일위집계!#REF!</definedName>
    <definedName name="_16C_10" localSheetId="3">#REF!</definedName>
    <definedName name="_16C_10">#REF!</definedName>
    <definedName name="_16C_11" localSheetId="3">#REF!</definedName>
    <definedName name="_16C_11">#REF!</definedName>
    <definedName name="_16C_12" localSheetId="3">#REF!</definedName>
    <definedName name="_16C_12">#REF!</definedName>
    <definedName name="_16C_13" localSheetId="3">#REF!</definedName>
    <definedName name="_16C_13">#REF!</definedName>
    <definedName name="_16C_14" localSheetId="3">#REF!</definedName>
    <definedName name="_16C_14">#REF!</definedName>
    <definedName name="_16C_15" localSheetId="3">#REF!</definedName>
    <definedName name="_16C_15">#REF!</definedName>
    <definedName name="_16C_2">[16]연돌일위집계!#REF!</definedName>
    <definedName name="_16C_3">[16]연돌일위집계!#REF!</definedName>
    <definedName name="_16C_4">[16]연돌일위집계!#REF!</definedName>
    <definedName name="_16C_5">[16]연돌일위집계!#REF!</definedName>
    <definedName name="_16C_6">[16]연돌일위집계!#REF!</definedName>
    <definedName name="_16C_7">[16]연돌일위집계!#REF!</definedName>
    <definedName name="_16C_8" localSheetId="3">#REF!</definedName>
    <definedName name="_16C_8">#REF!</definedName>
    <definedName name="_16C_9" localSheetId="3">#REF!</definedName>
    <definedName name="_16C_9">#REF!</definedName>
    <definedName name="_16Dist_" hidden="1">#REF!</definedName>
    <definedName name="_16P4_">#REF!</definedName>
    <definedName name="_17______________0_Dist_" localSheetId="3" hidden="1">'[1]TOWER 10TON'!#REF!</definedName>
    <definedName name="_17______________0_Dist_" hidden="1">'[1]TOWER 10TON'!#REF!</definedName>
    <definedName name="_17__123Graph_LBL_CMOB_01" hidden="1">#REF!</definedName>
    <definedName name="_17__123Graph_LBL_CMOB_02" hidden="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P5_">#REF!</definedName>
    <definedName name="_18____________0_0__123Grap" localSheetId="3" hidden="1">[14]유림골조!#REF!</definedName>
    <definedName name="_18____________0_0__123Grap" hidden="1">[14]유림골조!#REF!</definedName>
    <definedName name="_18____3_0Crite" localSheetId="3">#REF!</definedName>
    <definedName name="_18____3_0Crite">#REF!</definedName>
    <definedName name="_18__123Graph_LBL_CMOB_02" hidden="1">#REF!</definedName>
    <definedName name="_18__123Graph_LBL_DMOB_01" hidden="1">#REF!</definedName>
    <definedName name="_180______0__123Grap" localSheetId="3" hidden="1">#REF!</definedName>
    <definedName name="_180______0__123Grap" hidden="1">#REF!</definedName>
    <definedName name="_184______0_Dist_" localSheetId="3" hidden="1">#REF!</definedName>
    <definedName name="_184______0_Dist_"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BP01_" hidden="1">{#N/A,#N/A,FALSE,"TABLE"}</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P6_">#REF!</definedName>
    <definedName name="_19____________0_0_F" localSheetId="3" hidden="1">'[1]TOWER 10TON'!#REF!</definedName>
    <definedName name="_19____________0_0_F" hidden="1">'[1]TOWER 10TON'!#REF!</definedName>
    <definedName name="_19____3_0Criteria" localSheetId="3">#REF!</definedName>
    <definedName name="_19____3_0Criteria">#REF!</definedName>
    <definedName name="_19__123Graph_LBL_DMOB_01" hidden="1">#REF!</definedName>
    <definedName name="_19__123Graph_LBL_DMOB_02" hidden="1">#REF!</definedName>
    <definedName name="_19P7_">#REF!</definedName>
    <definedName name="_1A_1">[16]연돌일위집계!#REF!</definedName>
    <definedName name="_1A_10">[16]연돌일위집계!#REF!</definedName>
    <definedName name="_1A_11">[16]연돌일위집계!#REF!</definedName>
    <definedName name="_1A_12">[16]연돌일위집계!#REF!</definedName>
    <definedName name="_1A_13">[16]연돌일위집계!#REF!</definedName>
    <definedName name="_1A_14">[16]연돌일위집계!#REF!</definedName>
    <definedName name="_1A_15">[16]연돌일위집계!#REF!</definedName>
    <definedName name="_1A_16">[16]연돌일위집계!#REF!</definedName>
    <definedName name="_1A_17">[16]연돌일위집계!#REF!</definedName>
    <definedName name="_1A_18">[16]연돌일위집계!#REF!</definedName>
    <definedName name="_1A_19">[16]연돌일위집계!#REF!</definedName>
    <definedName name="_1A_2">[16]연돌일위집계!#REF!</definedName>
    <definedName name="_1A_20">[16]연돌일위집계!#REF!</definedName>
    <definedName name="_1A_21">[16]연돌일위집계!#REF!</definedName>
    <definedName name="_1A_22">[16]연돌일위집계!#REF!</definedName>
    <definedName name="_1A_23">[16]연돌일위집계!#REF!</definedName>
    <definedName name="_1A_24">[16]연돌일위집계!#REF!</definedName>
    <definedName name="_1A_25">[16]연돌일위집계!#REF!</definedName>
    <definedName name="_1A_26">[16]연돌일위집계!#REF!</definedName>
    <definedName name="_1A_27">[16]연돌일위집계!#REF!</definedName>
    <definedName name="_1A_28">[16]연돌일위집계!#REF!</definedName>
    <definedName name="_1A_29">[16]연돌일위집계!#REF!</definedName>
    <definedName name="_1A_3">[16]연돌일위집계!#REF!</definedName>
    <definedName name="_1A_30">[16]연돌일위집계!#REF!</definedName>
    <definedName name="_1A_4">[16]연돌일위집계!#REF!</definedName>
    <definedName name="_1A_5">[16]연돌일위집계!#REF!</definedName>
    <definedName name="_1A_6">[16]연돌일위집계!#REF!</definedName>
    <definedName name="_1A_7">[16]연돌일위집계!#REF!</definedName>
    <definedName name="_1A_8">[16]연돌일위집계!#REF!</definedName>
    <definedName name="_1A_9">[16]연돌일위집계!#REF!</definedName>
    <definedName name="_1A1_" hidden="1">{#N/A,#N/A,TRUE,"Basic";#N/A,#N/A,TRUE,"EXT-TABLE";#N/A,#N/A,TRUE,"STEEL";#N/A,#N/A,TRUE,"INT-Table";#N/A,#N/A,TRUE,"STEEL";#N/A,#N/A,TRUE,"Door"}</definedName>
    <definedName name="_1B_1">[16]연돌일위집계!#REF!</definedName>
    <definedName name="_1B_10">[16]연돌일위집계!#REF!</definedName>
    <definedName name="_1B_11">[16]연돌일위집계!#REF!</definedName>
    <definedName name="_1B_12">[16]연돌일위집계!#REF!</definedName>
    <definedName name="_1B_13">[16]연돌일위집계!#REF!</definedName>
    <definedName name="_1B_14">[16]연돌일위집계!#REF!</definedName>
    <definedName name="_1B_15">[16]연돌일위집계!#REF!</definedName>
    <definedName name="_1B_16">[16]연돌일위집계!#REF!</definedName>
    <definedName name="_1B_17">[16]연돌일위집계!#REF!</definedName>
    <definedName name="_1B_18">[16]연돌일위집계!#REF!</definedName>
    <definedName name="_1B_19">[16]연돌일위집계!#REF!</definedName>
    <definedName name="_1B_2">[16]연돌일위집계!#REF!</definedName>
    <definedName name="_1B_20">[16]연돌일위집계!#REF!</definedName>
    <definedName name="_1B_21">[16]연돌일위집계!#REF!</definedName>
    <definedName name="_1B_22">[16]연돌일위집계!#REF!</definedName>
    <definedName name="_1B_23">[16]연돌일위집계!#REF!</definedName>
    <definedName name="_1B_24">[16]연돌일위집계!#REF!</definedName>
    <definedName name="_1B_25">[16]연돌일위집계!#REF!</definedName>
    <definedName name="_1B_26">[16]연돌일위집계!#REF!</definedName>
    <definedName name="_1B_27">[16]연돌일위집계!#REF!</definedName>
    <definedName name="_1B_28">[16]연돌일위집계!#REF!</definedName>
    <definedName name="_1B_29">[16]연돌일위집계!#REF!</definedName>
    <definedName name="_1B_3">[16]연돌일위집계!#REF!</definedName>
    <definedName name="_1B_30">[16]연돌일위집계!#REF!</definedName>
    <definedName name="_1B_4">[16]연돌일위집계!#REF!</definedName>
    <definedName name="_1B_5">[16]연돌일위집계!#REF!</definedName>
    <definedName name="_1B_6">[16]연돌일위집계!#REF!</definedName>
    <definedName name="_1B_7">[16]연돌일위집계!#REF!</definedName>
    <definedName name="_1B_8">[16]연돌일위집계!#REF!</definedName>
    <definedName name="_1B_9">[16]연돌일위집계!#REF!</definedName>
    <definedName name="_1C_1">[16]연돌일위집계!#REF!</definedName>
    <definedName name="_1C_10">[16]연돌일위집계!#REF!</definedName>
    <definedName name="_1C_11">[16]연돌일위집계!#REF!</definedName>
    <definedName name="_1C_12">[16]연돌일위집계!#REF!</definedName>
    <definedName name="_1C_13">[16]연돌일위집계!#REF!</definedName>
    <definedName name="_1C_14">[16]연돌일위집계!#REF!</definedName>
    <definedName name="_1C_15">[16]연돌일위집계!#REF!</definedName>
    <definedName name="_1C_16">[16]연돌일위집계!#REF!</definedName>
    <definedName name="_1C_17">[16]연돌일위집계!#REF!</definedName>
    <definedName name="_1C_18">[16]연돌일위집계!#REF!</definedName>
    <definedName name="_1C_19">[16]연돌일위집계!#REF!</definedName>
    <definedName name="_1C_2">[16]연돌일위집계!#REF!</definedName>
    <definedName name="_1C_20">[16]연돌일위집계!#REF!</definedName>
    <definedName name="_1C_21">[16]연돌일위집계!#REF!</definedName>
    <definedName name="_1C_22">[16]연돌일위집계!#REF!</definedName>
    <definedName name="_1C_23">[16]연돌일위집계!#REF!</definedName>
    <definedName name="_1C_24">[16]연돌일위집계!#REF!</definedName>
    <definedName name="_1C_25">[16]연돌일위집계!#REF!</definedName>
    <definedName name="_1C_26">[16]연돌일위집계!#REF!</definedName>
    <definedName name="_1C_27">[16]연돌일위집계!#REF!</definedName>
    <definedName name="_1C_28">[16]연돌일위집계!#REF!</definedName>
    <definedName name="_1C_29">[16]연돌일위집계!#REF!</definedName>
    <definedName name="_1C_3">[16]연돌일위집계!#REF!</definedName>
    <definedName name="_1C_30">[16]연돌일위집계!#REF!</definedName>
    <definedName name="_1C_4">[16]연돌일위집계!#REF!</definedName>
    <definedName name="_1C_5">[16]연돌일위집계!#REF!</definedName>
    <definedName name="_1C_6">[16]연돌일위집계!#REF!</definedName>
    <definedName name="_1C_7">[16]연돌일위집계!#REF!</definedName>
    <definedName name="_1C_8">[16]연돌일위집계!#REF!</definedName>
    <definedName name="_1C_9">[16]연돌일위집계!#REF!</definedName>
    <definedName name="_1F" localSheetId="3" hidden="1">#REF!</definedName>
    <definedName name="_1F" hidden="1">#REF!</definedName>
    <definedName name="_2">[10]당초!#REF!</definedName>
    <definedName name="_2__________________0_Dist_" localSheetId="3" hidden="1">'[1]TOWER 10TON'!#REF!</definedName>
    <definedName name="_2__________________0_Dist_" hidden="1">'[1]TOWER 10TON'!#REF!</definedName>
    <definedName name="_2___123Graph_A자금운용" hidden="1">#REF!</definedName>
    <definedName name="_2__123Graph_AChart_1A" localSheetId="3" hidden="1">'[2]Eq. Mobilization'!#REF!</definedName>
    <definedName name="_2__123Graph_AChart_1A" hidden="1">'[17]Eq. Mobilization'!#REF!</definedName>
    <definedName name="_2__123Graph_AMOB_01" hidden="1">#REF!</definedName>
    <definedName name="_2__123Graph_BChart_1A" hidden="1">'[13]Eq. Mobilization'!#REF!</definedName>
    <definedName name="_2_0__123Grap" hidden="1">#REF!</definedName>
    <definedName name="_2_0_Dist_" hidden="1">#REF!</definedName>
    <definedName name="_20_____________0__123Grap" localSheetId="3" hidden="1">'[1]TOWER 12TON'!#REF!</definedName>
    <definedName name="_20_____________0__123Grap" hidden="1">'[1]TOWER 12TON'!#REF!</definedName>
    <definedName name="_20__________0__123Grap" localSheetId="3" hidden="1">#REF!</definedName>
    <definedName name="_20__________0__123Grap" hidden="1">#REF!</definedName>
    <definedName name="_20____G_0Extr" localSheetId="3">#REF!</definedName>
    <definedName name="_20____G_0Extr">#REF!</definedName>
    <definedName name="_20__123Graph_LBL_DMOB_02" hidden="1">#REF!</definedName>
    <definedName name="_20__123Graph_LBL_EMOB_02" hidden="1">#REF!</definedName>
    <definedName name="_200____0_0_F" localSheetId="3" hidden="1">#REF!</definedName>
    <definedName name="_200____0_0_F" hidden="1">#REF!</definedName>
    <definedName name="_20P8_">#REF!</definedName>
    <definedName name="_21_____________0_Dist_" localSheetId="3" hidden="1">'[1]TOWER 10TON'!#REF!</definedName>
    <definedName name="_21_____________0_Dist_" hidden="1">'[1]TOWER 10TON'!#REF!</definedName>
    <definedName name="_21__________0_Dist_" localSheetId="3" hidden="1">#REF!</definedName>
    <definedName name="_21__________0_Dist_" hidden="1">#REF!</definedName>
    <definedName name="_21____G_0Extract" localSheetId="3">#REF!</definedName>
    <definedName name="_21____G_0Extract">#REF!</definedName>
    <definedName name="_21__123Graph_LBL_EMOB_02" hidden="1">#REF!</definedName>
    <definedName name="_21__123Graph_LBL_FMOB_02" hidden="1">#REF!</definedName>
    <definedName name="_21P9_">#REF!</definedName>
    <definedName name="_22">#N/A</definedName>
    <definedName name="_22___________0_0__123Grap" localSheetId="3" hidden="1">[14]유림골조!#REF!</definedName>
    <definedName name="_22___________0_0__123Grap" hidden="1">[14]유림골조!#REF!</definedName>
    <definedName name="_22__123Graph_LBL_FMOB_02" hidden="1">#REF!</definedName>
    <definedName name="_22__123Graph_XMOB_01" hidden="1">#REF!</definedName>
    <definedName name="_23___________0_0_F" localSheetId="3" hidden="1">'[1]TOWER 10TON'!#REF!</definedName>
    <definedName name="_23___________0_0_F" hidden="1">'[1]TOWER 10TON'!#REF!</definedName>
    <definedName name="_23________0_0_F" localSheetId="3" hidden="1">#REF!</definedName>
    <definedName name="_23________0_0_F" hidden="1">#REF!</definedName>
    <definedName name="_23__123Graph_A자금운용" hidden="1">#REF!</definedName>
    <definedName name="_23__123Graph_XMOB_01" hidden="1">#REF!</definedName>
    <definedName name="_23__123Graph_XMOB_02" hidden="1">#REF!</definedName>
    <definedName name="_24____________0__123Grap" localSheetId="3" hidden="1">'[1]TOWER 12TON'!#REF!</definedName>
    <definedName name="_24____________0__123Grap" hidden="1">'[1]TOWER 12TON'!#REF!</definedName>
    <definedName name="_24__123Graph_AChart_1A" hidden="1">'[18]Eq. Mobilization'!#REF!</definedName>
    <definedName name="_24__123Graph_XMOB_02" hidden="1">#REF!</definedName>
    <definedName name="_24F" hidden="1">#REF!</definedName>
    <definedName name="_25____________0_Dist_" localSheetId="3" hidden="1">'[1]TOWER 10TON'!#REF!</definedName>
    <definedName name="_25____________0_Dist_" hidden="1">'[1]TOWER 10TON'!#REF!</definedName>
    <definedName name="_25__123Graph_B자금운용" hidden="1">#REF!</definedName>
    <definedName name="_25__Å__·¹_ÀÓ">#N/A</definedName>
    <definedName name="_26__________0_0__123Grap" localSheetId="3" hidden="1">[14]유림골조!#REF!</definedName>
    <definedName name="_26__________0_0__123Grap" hidden="1">[14]유림골조!#REF!</definedName>
    <definedName name="_26__123Graph_BChart_1A" localSheetId="3" hidden="1">'[17]Eq. Mobilization'!#REF!</definedName>
    <definedName name="_26__123Graph_BChart_1A" hidden="1">'[18]Eq. Mobilization'!#REF!</definedName>
    <definedName name="_26__ãæÐ_ÍïÞÀ_Íª">#N/A</definedName>
    <definedName name="_27__________0_0_F" localSheetId="3" hidden="1">'[1]TOWER 10TON'!#REF!</definedName>
    <definedName name="_27__________0_0_F" hidden="1">'[1]TOWER 10TON'!#REF!</definedName>
    <definedName name="_27__123Graph_C자금운용" hidden="1">#REF!</definedName>
    <definedName name="_27_0_0_F" hidden="1">[19]산근!#REF!</definedName>
    <definedName name="_28___________0__123Grap" localSheetId="3" hidden="1">'[1]TOWER 12TON'!#REF!</definedName>
    <definedName name="_28___________0__123Grap" hidden="1">'[1]TOWER 12TON'!#REF!</definedName>
    <definedName name="_28_________0__123Grap" localSheetId="3" hidden="1">#REF!</definedName>
    <definedName name="_28_________0__123Grap" hidden="1">#REF!</definedName>
    <definedName name="_28__123Graph_X자금운용" hidden="1">#REF!</definedName>
    <definedName name="_281_0__123Grap" hidden="1">#N/A</definedName>
    <definedName name="_28³_¿ª" hidden="1">{#N/A,#N/A,FALSE,"CCTV"}</definedName>
    <definedName name="_29___________0_Dist_" localSheetId="3" hidden="1">'[1]TOWER 10TON'!#REF!</definedName>
    <definedName name="_29___________0_Dist_" hidden="1">'[1]TOWER 10TON'!#REF!</definedName>
    <definedName name="_29_________0_Dist_" localSheetId="3" hidden="1">#REF!</definedName>
    <definedName name="_29_________0_Dist_" hidden="1">#REF!</definedName>
    <definedName name="_29__123Graph_XChart_1A" hidden="1">'[18]Eq. Mobilization'!#REF!</definedName>
    <definedName name="_297_0_Dist_" hidden="1">#N/A</definedName>
    <definedName name="_2A_1">[16]연돌일위집계!#REF!</definedName>
    <definedName name="_2A_10">[16]연돌일위집계!#REF!</definedName>
    <definedName name="_2A_11">[16]연돌일위집계!#REF!</definedName>
    <definedName name="_2A_12">[16]연돌일위집계!#REF!</definedName>
    <definedName name="_2A_13">[16]연돌일위집계!#REF!</definedName>
    <definedName name="_2A_14">[16]연돌일위집계!#REF!</definedName>
    <definedName name="_2A_15">[16]연돌일위집계!#REF!</definedName>
    <definedName name="_2A_16">[16]연돌일위집계!#REF!</definedName>
    <definedName name="_2A_17">[16]연돌일위집계!#REF!</definedName>
    <definedName name="_2A_18">[16]연돌일위집계!#REF!</definedName>
    <definedName name="_2A_19">[16]연돌일위집계!#REF!</definedName>
    <definedName name="_2A_2">[16]연돌일위집계!#REF!</definedName>
    <definedName name="_2A_20">[16]연돌일위집계!#REF!</definedName>
    <definedName name="_2A_21">[16]연돌일위집계!#REF!</definedName>
    <definedName name="_2A_22">[16]연돌일위집계!#REF!</definedName>
    <definedName name="_2A_23">[16]연돌일위집계!#REF!</definedName>
    <definedName name="_2A_24">[16]연돌일위집계!#REF!</definedName>
    <definedName name="_2A_25">[16]연돌일위집계!#REF!</definedName>
    <definedName name="_2A_26">[16]연돌일위집계!#REF!</definedName>
    <definedName name="_2A_27">[16]연돌일위집계!#REF!</definedName>
    <definedName name="_2A_28">[16]연돌일위집계!#REF!</definedName>
    <definedName name="_2A_29">[16]연돌일위집계!#REF!</definedName>
    <definedName name="_2A_3">[16]연돌일위집계!#REF!</definedName>
    <definedName name="_2A_30">[16]연돌일위집계!#REF!</definedName>
    <definedName name="_2A_4">[16]연돌일위집계!#REF!</definedName>
    <definedName name="_2A_5">[16]연돌일위집계!#REF!</definedName>
    <definedName name="_2A_6">[16]연돌일위집계!#REF!</definedName>
    <definedName name="_2A_7">[16]연돌일위집계!#REF!</definedName>
    <definedName name="_2A_8">[16]연돌일위집계!#REF!</definedName>
    <definedName name="_2A_9">[16]연돌일위집계!#REF!</definedName>
    <definedName name="_2B_1">[16]연돌일위집계!#REF!</definedName>
    <definedName name="_2B_10">[16]연돌일위집계!#REF!</definedName>
    <definedName name="_2B_11">[16]연돌일위집계!#REF!</definedName>
    <definedName name="_2B_12">[16]연돌일위집계!#REF!</definedName>
    <definedName name="_2B_13">[16]연돌일위집계!#REF!</definedName>
    <definedName name="_2B_14">[16]연돌일위집계!#REF!</definedName>
    <definedName name="_2B_15">[16]연돌일위집계!#REF!</definedName>
    <definedName name="_2B_16">[16]연돌일위집계!#REF!</definedName>
    <definedName name="_2B_17">[16]연돌일위집계!#REF!</definedName>
    <definedName name="_2B_18">[16]연돌일위집계!#REF!</definedName>
    <definedName name="_2B_19">[16]연돌일위집계!#REF!</definedName>
    <definedName name="_2B_2">[16]연돌일위집계!#REF!</definedName>
    <definedName name="_2B_20">[16]연돌일위집계!#REF!</definedName>
    <definedName name="_2B_21">[16]연돌일위집계!#REF!</definedName>
    <definedName name="_2B_22">[16]연돌일위집계!#REF!</definedName>
    <definedName name="_2B_23">[16]연돌일위집계!#REF!</definedName>
    <definedName name="_2B_24">[16]연돌일위집계!#REF!</definedName>
    <definedName name="_2B_25">[16]연돌일위집계!#REF!</definedName>
    <definedName name="_2B_26">[16]연돌일위집계!#REF!</definedName>
    <definedName name="_2B_27">[16]연돌일위집계!#REF!</definedName>
    <definedName name="_2B_28">[16]연돌일위집계!#REF!</definedName>
    <definedName name="_2B_29">[16]연돌일위집계!#REF!</definedName>
    <definedName name="_2B_3">[16]연돌일위집계!#REF!</definedName>
    <definedName name="_2B_30">[16]연돌일위집계!#REF!</definedName>
    <definedName name="_2B_4">[16]연돌일위집계!#REF!</definedName>
    <definedName name="_2B_5">[16]연돌일위집계!#REF!</definedName>
    <definedName name="_2B_6">[16]연돌일위집계!#REF!</definedName>
    <definedName name="_2B_7">[16]연돌일위집계!#REF!</definedName>
    <definedName name="_2B_8">[16]연돌일위집계!#REF!</definedName>
    <definedName name="_2B_9">[16]연돌일위집계!#REF!</definedName>
    <definedName name="_2C_1">[16]연돌일위집계!#REF!</definedName>
    <definedName name="_2C_10">[16]연돌일위집계!#REF!</definedName>
    <definedName name="_2C_11">[16]연돌일위집계!#REF!</definedName>
    <definedName name="_2C_12">[16]연돌일위집계!#REF!</definedName>
    <definedName name="_2C_13">[16]연돌일위집계!#REF!</definedName>
    <definedName name="_2C_14">[16]연돌일위집계!#REF!</definedName>
    <definedName name="_2C_15">[16]연돌일위집계!#REF!</definedName>
    <definedName name="_2C_16">[16]연돌일위집계!#REF!</definedName>
    <definedName name="_2C_17">[16]연돌일위집계!#REF!</definedName>
    <definedName name="_2C_18">[16]연돌일위집계!#REF!</definedName>
    <definedName name="_2C_19">[16]연돌일위집계!#REF!</definedName>
    <definedName name="_2C_2">[16]연돌일위집계!#REF!</definedName>
    <definedName name="_2C_20">[16]연돌일위집계!#REF!</definedName>
    <definedName name="_2C_21">[16]연돌일위집계!#REF!</definedName>
    <definedName name="_2C_22">[16]연돌일위집계!#REF!</definedName>
    <definedName name="_2C_23">[16]연돌일위집계!#REF!</definedName>
    <definedName name="_2C_24">[16]연돌일위집계!#REF!</definedName>
    <definedName name="_2C_25">[16]연돌일위집계!#REF!</definedName>
    <definedName name="_2C_26">[16]연돌일위집계!#REF!</definedName>
    <definedName name="_2C_27">[16]연돌일위집계!#REF!</definedName>
    <definedName name="_2C_28">[16]연돌일위집계!#REF!</definedName>
    <definedName name="_2C_29">[16]연돌일위집계!#REF!</definedName>
    <definedName name="_2C_3">[16]연돌일위집계!#REF!</definedName>
    <definedName name="_2C_30">[16]연돌일위집계!#REF!</definedName>
    <definedName name="_2C_4">[16]연돌일위집계!#REF!</definedName>
    <definedName name="_2C_5">[16]연돌일위집계!#REF!</definedName>
    <definedName name="_2C_6">[16]연돌일위집계!#REF!</definedName>
    <definedName name="_2C_7">[16]연돌일위집계!#REF!</definedName>
    <definedName name="_2C_8">[16]연돌일위집계!#REF!</definedName>
    <definedName name="_2C_9">[16]연돌일위집계!#REF!</definedName>
    <definedName name="_2Dist_" hidden="1">#REF!</definedName>
    <definedName name="_2u¨­OUⓒ￡uueⓒ￢A¨­AIee_YA" localSheetId="17">[20]수입!#REF!</definedName>
    <definedName name="_2u¨­OUⓒ￡uueⓒ￢A¨­AIee_YA" localSheetId="15">[20]수입!#REF!</definedName>
    <definedName name="_2u¨­OUⓒ￡uueⓒ￢A¨­AIee_YA">[20]수입!#REF!</definedName>
    <definedName name="_2도급">[21]갑지!#REF!</definedName>
    <definedName name="_3" localSheetId="3">#REF!</definedName>
    <definedName name="_3">#N/A</definedName>
    <definedName name="_3________________0_0_F" localSheetId="3" hidden="1">'[1]TOWER 10TON'!#REF!</definedName>
    <definedName name="_3________________0_0_F" hidden="1">'[1]TOWER 10TON'!#REF!</definedName>
    <definedName name="_3___123Graph_BChart_1A" hidden="1">'[12]Eq. Mobilization'!#REF!</definedName>
    <definedName name="_3__123Graph_AMOB_01" hidden="1">#REF!</definedName>
    <definedName name="_3__123Graph_AMOB_02" hidden="1">#REF!</definedName>
    <definedName name="_3__123Graph_XChart_1A" hidden="1">'[13]Eq. Mobilization'!#REF!</definedName>
    <definedName name="_3_0_0__123Grap" hidden="1">[14]유림골조!#REF!</definedName>
    <definedName name="_3_0_0_F" hidden="1">[19]산근!#REF!</definedName>
    <definedName name="_3_0_Dist_" hidden="1">#REF!</definedName>
    <definedName name="_30_________0_0__123Grap" localSheetId="3" hidden="1">[14]유림골조!#REF!</definedName>
    <definedName name="_30_________0_0__123Grap" hidden="1">[14]유림골조!#REF!</definedName>
    <definedName name="_309_0_F" hidden="1">#N/A</definedName>
    <definedName name="_31_________0_0_F" localSheetId="3" hidden="1">'[1]TOWER 10TON'!#REF!</definedName>
    <definedName name="_31_________0_0_F" hidden="1">'[1]TOWER 10TON'!#REF!</definedName>
    <definedName name="_32__________0__123Grap" localSheetId="3" hidden="1">#REF!</definedName>
    <definedName name="_32__________0__123Grap" hidden="1">#REF!</definedName>
    <definedName name="_32_0_0_F" hidden="1">[19]산근!#REF!</definedName>
    <definedName name="_324_0_0_F" hidden="1">#N/A</definedName>
    <definedName name="_33__________0_Dist_" localSheetId="3" hidden="1">#REF!</definedName>
    <definedName name="_33__________0_Dist_" hidden="1">#REF!</definedName>
    <definedName name="_33_______0_0_F" localSheetId="3" hidden="1">#REF!</definedName>
    <definedName name="_33_______0_0_F" hidden="1">#REF!</definedName>
    <definedName name="_33³_¿ª" hidden="1">{#N/A,#N/A,FALSE,"CCTV"}</definedName>
    <definedName name="_336_2_0_Parse" hidden="1">#N/A</definedName>
    <definedName name="_34________0_0__123Grap" localSheetId="3" hidden="1">[14]유림골조!#REF!</definedName>
    <definedName name="_34________0_0__123Grap" hidden="1">[14]유림골조!#REF!</definedName>
    <definedName name="_35________0_0_F" localSheetId="3" hidden="1">#REF!</definedName>
    <definedName name="_35________0_0_F" hidden="1">#REF!</definedName>
    <definedName name="_36_________0__123Grap" localSheetId="3" hidden="1">'[1]TOWER 12TON'!#REF!</definedName>
    <definedName name="_36_________0__123Grap" hidden="1">'[1]TOWER 12TON'!#REF!</definedName>
    <definedName name="_363a122_" localSheetId="3" hidden="1">{#N/A,#N/A,FALSE,"속도"}</definedName>
    <definedName name="_363a122_" hidden="1">{#N/A,#N/A,FALSE,"속도"}</definedName>
    <definedName name="_37_________0_Dist_" hidden="1">'[1]TOWER 10TON'!#REF!</definedName>
    <definedName name="_37_______0__123Grap" localSheetId="3" hidden="1">#REF!</definedName>
    <definedName name="_37_______0__123Grap" hidden="1">#REF!</definedName>
    <definedName name="_37_0__123Grap" hidden="1">#REF!</definedName>
    <definedName name="_38_______0_0__123Grap" localSheetId="3" hidden="1">[14]유림골조!#REF!</definedName>
    <definedName name="_38_______0_0__123Grap" hidden="1">[14]유림골조!#REF!</definedName>
    <definedName name="_39_______0_0_F" localSheetId="3" hidden="1">'[1]TOWER 10TON'!#REF!</definedName>
    <definedName name="_39_______0_0_F" hidden="1">'[1]TOWER 10TON'!#REF!</definedName>
    <definedName name="_39__123Graph_XChart_1A" hidden="1">'[17]Eq. Mobilization'!#REF!</definedName>
    <definedName name="_3A_1">[16]연돌일위집계!#REF!</definedName>
    <definedName name="_3A_10">[16]연돌일위집계!#REF!</definedName>
    <definedName name="_3A_11">[16]연돌일위집계!#REF!</definedName>
    <definedName name="_3A_12">[16]연돌일위집계!#REF!</definedName>
    <definedName name="_3A_13">[16]연돌일위집계!#REF!</definedName>
    <definedName name="_3A_14">[16]연돌일위집계!#REF!</definedName>
    <definedName name="_3A_15">[16]연돌일위집계!#REF!</definedName>
    <definedName name="_3A_16">[16]연돌일위집계!#REF!</definedName>
    <definedName name="_3A_17">[16]연돌일위집계!#REF!</definedName>
    <definedName name="_3A_18">[16]연돌일위집계!#REF!</definedName>
    <definedName name="_3A_19">[16]연돌일위집계!#REF!</definedName>
    <definedName name="_3A_2">[16]연돌일위집계!#REF!</definedName>
    <definedName name="_3A_20">[16]연돌일위집계!#REF!</definedName>
    <definedName name="_3A_21">[16]연돌일위집계!#REF!</definedName>
    <definedName name="_3A_22">[16]연돌일위집계!#REF!</definedName>
    <definedName name="_3A_23">[16]연돌일위집계!#REF!</definedName>
    <definedName name="_3A_24">[16]연돌일위집계!#REF!</definedName>
    <definedName name="_3A_25">[16]연돌일위집계!#REF!</definedName>
    <definedName name="_3A_26">[16]연돌일위집계!#REF!</definedName>
    <definedName name="_3A_27">[16]연돌일위집계!#REF!</definedName>
    <definedName name="_3A_28">[16]연돌일위집계!#REF!</definedName>
    <definedName name="_3A_29">[16]연돌일위집계!#REF!</definedName>
    <definedName name="_3A_3">[16]연돌일위집계!#REF!</definedName>
    <definedName name="_3A_30">[16]연돌일위집계!#REF!</definedName>
    <definedName name="_3A_4">[16]연돌일위집계!#REF!</definedName>
    <definedName name="_3A_5">[16]연돌일위집계!#REF!</definedName>
    <definedName name="_3A_6">[16]연돌일위집계!#REF!</definedName>
    <definedName name="_3A_7">[16]연돌일위집계!#REF!</definedName>
    <definedName name="_3A_8">[16]연돌일위집계!#REF!</definedName>
    <definedName name="_3A_9">[16]연돌일위집계!#REF!</definedName>
    <definedName name="_3B_1">[16]연돌일위집계!#REF!</definedName>
    <definedName name="_3B_10">[16]연돌일위집계!#REF!</definedName>
    <definedName name="_3B_11">[16]연돌일위집계!#REF!</definedName>
    <definedName name="_3B_12">[16]연돌일위집계!#REF!</definedName>
    <definedName name="_3B_13">[16]연돌일위집계!#REF!</definedName>
    <definedName name="_3B_14">[16]연돌일위집계!#REF!</definedName>
    <definedName name="_3B_15">[16]연돌일위집계!#REF!</definedName>
    <definedName name="_3B_16">[16]연돌일위집계!#REF!</definedName>
    <definedName name="_3B_17">[16]연돌일위집계!#REF!</definedName>
    <definedName name="_3B_18">[16]연돌일위집계!#REF!</definedName>
    <definedName name="_3B_19">[16]연돌일위집계!#REF!</definedName>
    <definedName name="_3B_2">[16]연돌일위집계!#REF!</definedName>
    <definedName name="_3B_20">[16]연돌일위집계!#REF!</definedName>
    <definedName name="_3B_21">[16]연돌일위집계!#REF!</definedName>
    <definedName name="_3B_22">[16]연돌일위집계!#REF!</definedName>
    <definedName name="_3B_23">[16]연돌일위집계!#REF!</definedName>
    <definedName name="_3B_24">[16]연돌일위집계!#REF!</definedName>
    <definedName name="_3B_25">[16]연돌일위집계!#REF!</definedName>
    <definedName name="_3B_26">[16]연돌일위집계!#REF!</definedName>
    <definedName name="_3B_27">[16]연돌일위집계!#REF!</definedName>
    <definedName name="_3B_28">[16]연돌일위집계!#REF!</definedName>
    <definedName name="_3B_29">[16]연돌일위집계!#REF!</definedName>
    <definedName name="_3B_3">[16]연돌일위집계!#REF!</definedName>
    <definedName name="_3B_30">[16]연돌일위집계!#REF!</definedName>
    <definedName name="_3B_4">[16]연돌일위집계!#REF!</definedName>
    <definedName name="_3B_5">[16]연돌일위집계!#REF!</definedName>
    <definedName name="_3B_6">[16]연돌일위집계!#REF!</definedName>
    <definedName name="_3B_7">[16]연돌일위집계!#REF!</definedName>
    <definedName name="_3B_8">[16]연돌일위집계!#REF!</definedName>
    <definedName name="_3B_9">[16]연돌일위집계!#REF!</definedName>
    <definedName name="_3C_1">[16]연돌일위집계!#REF!</definedName>
    <definedName name="_3C_10">[16]연돌일위집계!#REF!</definedName>
    <definedName name="_3C_11">[16]연돌일위집계!#REF!</definedName>
    <definedName name="_3C_12">[16]연돌일위집계!#REF!</definedName>
    <definedName name="_3C_13">[16]연돌일위집계!#REF!</definedName>
    <definedName name="_3C_14">[16]연돌일위집계!#REF!</definedName>
    <definedName name="_3C_15">[16]연돌일위집계!#REF!</definedName>
    <definedName name="_3C_16">[16]연돌일위집계!#REF!</definedName>
    <definedName name="_3C_17">[16]연돌일위집계!#REF!</definedName>
    <definedName name="_3C_18">[16]연돌일위집계!#REF!</definedName>
    <definedName name="_3C_19">[16]연돌일위집계!#REF!</definedName>
    <definedName name="_3C_2">[16]연돌일위집계!#REF!</definedName>
    <definedName name="_3C_20">[16]연돌일위집계!#REF!</definedName>
    <definedName name="_3C_21">[16]연돌일위집계!#REF!</definedName>
    <definedName name="_3C_22">[16]연돌일위집계!#REF!</definedName>
    <definedName name="_3C_23">[16]연돌일위집계!#REF!</definedName>
    <definedName name="_3C_24">[16]연돌일위집계!#REF!</definedName>
    <definedName name="_3C_25">[16]연돌일위집계!#REF!</definedName>
    <definedName name="_3C_26">[16]연돌일위집계!#REF!</definedName>
    <definedName name="_3C_27">[16]연돌일위집계!#REF!</definedName>
    <definedName name="_3C_28">[16]연돌일위집계!#REF!</definedName>
    <definedName name="_3C_29">[16]연돌일위집계!#REF!</definedName>
    <definedName name="_3C_3">[16]연돌일위집계!#REF!</definedName>
    <definedName name="_3C_30">[16]연돌일위집계!#REF!</definedName>
    <definedName name="_3C_4">[16]연돌일위집계!#REF!</definedName>
    <definedName name="_3C_5">[16]연돌일위집계!#REF!</definedName>
    <definedName name="_3C_6">[16]연돌일위집계!#REF!</definedName>
    <definedName name="_3C_7">[16]연돌일위집계!#REF!</definedName>
    <definedName name="_3C_8">[16]연돌일위집계!#REF!</definedName>
    <definedName name="_3C_9">[16]연돌일위집계!#REF!</definedName>
    <definedName name="_3F" hidden="1">#REF!</definedName>
    <definedName name="_4" localSheetId="3">#REF!</definedName>
    <definedName name="_4">#N/A</definedName>
    <definedName name="_4_________________0__123Grap" localSheetId="3" hidden="1">'[1]TOWER 12TON'!#REF!</definedName>
    <definedName name="_4_________________0__123Grap" hidden="1">'[1]TOWER 12TON'!#REF!</definedName>
    <definedName name="_4___123Graph_B자금운용" hidden="1">#REF!</definedName>
    <definedName name="_4__123Graph_AMOB_02" hidden="1">#REF!</definedName>
    <definedName name="_4__123Graph_BChart_1A" localSheetId="3" hidden="1">'[2]Eq. Mobilization'!#REF!</definedName>
    <definedName name="_4__123Graph_BChart_1A" hidden="1">'[17]Eq. Mobilization'!#REF!</definedName>
    <definedName name="_4__123Graph_BMOB_01" hidden="1">#REF!</definedName>
    <definedName name="_4_0__123Grap" hidden="1">#REF!</definedName>
    <definedName name="_4_0_0__123Grap" hidden="1">[22]공문!#REF!</definedName>
    <definedName name="_4_0_0_F" hidden="1">#REF!</definedName>
    <definedName name="_4_0_Dist_" hidden="1">#REF!</definedName>
    <definedName name="_40________0__123Grap" localSheetId="3" hidden="1">'[1]TOWER 12TON'!#REF!</definedName>
    <definedName name="_40________0__123Grap" hidden="1">'[1]TOWER 12TON'!#REF!</definedName>
    <definedName name="_41________0_Dist_" localSheetId="3" hidden="1">'[1]TOWER 10TON'!#REF!</definedName>
    <definedName name="_41________0_Dist_" hidden="1">'[1]TOWER 10TON'!#REF!</definedName>
    <definedName name="_42______0_0__123Grap" localSheetId="3" hidden="1">[14]유림골조!#REF!</definedName>
    <definedName name="_42______0_0__123Grap" hidden="1">[14]유림골조!#REF!</definedName>
    <definedName name="_43______0_0_F" localSheetId="3" hidden="1">'[1]TOWER 10TON'!#REF!</definedName>
    <definedName name="_43______0_0_F" hidden="1">'[1]TOWER 10TON'!#REF!</definedName>
    <definedName name="_44_______0__123Grap" localSheetId="3" hidden="1">'[1]TOWER 12TON'!#REF!</definedName>
    <definedName name="_44_______0__123Grap" hidden="1">'[1]TOWER 12TON'!#REF!</definedName>
    <definedName name="_４４__分_期" localSheetId="3">#REF!</definedName>
    <definedName name="_４４__分_期">#REF!</definedName>
    <definedName name="_45_______0_Dist_" localSheetId="3" hidden="1">'[1]TOWER 10TON'!#REF!</definedName>
    <definedName name="_45_______0_Dist_" hidden="1">'[1]TOWER 10TON'!#REF!</definedName>
    <definedName name="_45______0__123Grap" localSheetId="3" hidden="1">#REF!</definedName>
    <definedName name="_45______0__123Grap" hidden="1">#REF!</definedName>
    <definedName name="_46______0_Dist_" localSheetId="3" hidden="1">#REF!</definedName>
    <definedName name="_46______0_Dist_" hidden="1">#REF!</definedName>
    <definedName name="_46_____0_0__123Grap" localSheetId="3" hidden="1">[14]유림골조!#REF!</definedName>
    <definedName name="_46_____0_0__123Grap" hidden="1">[14]유림골조!#REF!</definedName>
    <definedName name="_47_____0_0_F" localSheetId="3" hidden="1">'[1]TOWER 10TON'!#REF!</definedName>
    <definedName name="_47_____0_0_F" hidden="1">'[1]TOWER 10TON'!#REF!</definedName>
    <definedName name="_48______0__123Grap" localSheetId="3" hidden="1">#REF!</definedName>
    <definedName name="_48______0__123Grap" hidden="1">#REF!</definedName>
    <definedName name="_49______0_Dist_" localSheetId="3" hidden="1">#REF!</definedName>
    <definedName name="_49______0_Dist_" hidden="1">#REF!</definedName>
    <definedName name="_4A_1">[16]연돌일위집계!#REF!</definedName>
    <definedName name="_4A_10">[16]연돌일위집계!#REF!</definedName>
    <definedName name="_4A_11">[16]연돌일위집계!#REF!</definedName>
    <definedName name="_4A_12">[16]연돌일위집계!#REF!</definedName>
    <definedName name="_4A_13">[16]연돌일위집계!#REF!</definedName>
    <definedName name="_4A_14">[16]연돌일위집계!#REF!</definedName>
    <definedName name="_4A_15">[16]연돌일위집계!#REF!</definedName>
    <definedName name="_4A_16">[16]연돌일위집계!#REF!</definedName>
    <definedName name="_4A_17">[16]연돌일위집계!#REF!</definedName>
    <definedName name="_4A_18">[16]연돌일위집계!#REF!</definedName>
    <definedName name="_4A_19">[16]연돌일위집계!#REF!</definedName>
    <definedName name="_4A_2">[16]연돌일위집계!#REF!</definedName>
    <definedName name="_4A_20">[16]연돌일위집계!#REF!</definedName>
    <definedName name="_4A_21">[16]연돌일위집계!#REF!</definedName>
    <definedName name="_4A_22">[16]연돌일위집계!#REF!</definedName>
    <definedName name="_4A_23">[16]연돌일위집계!#REF!</definedName>
    <definedName name="_4A_24">[16]연돌일위집계!#REF!</definedName>
    <definedName name="_4A_25">[16]연돌일위집계!#REF!</definedName>
    <definedName name="_4A_26">[16]연돌일위집계!#REF!</definedName>
    <definedName name="_4A_27">[16]연돌일위집계!#REF!</definedName>
    <definedName name="_4A_28">[16]연돌일위집계!#REF!</definedName>
    <definedName name="_4A_29">[16]연돌일위집계!#REF!</definedName>
    <definedName name="_4A_3">[16]연돌일위집계!#REF!</definedName>
    <definedName name="_4A_30">[16]연돌일위집계!#REF!</definedName>
    <definedName name="_4A_4">[16]연돌일위집계!#REF!</definedName>
    <definedName name="_4A_5">[16]연돌일위집계!#REF!</definedName>
    <definedName name="_4A_6">[16]연돌일위집계!#REF!</definedName>
    <definedName name="_4A_7">[16]연돌일위집계!#REF!</definedName>
    <definedName name="_4A_8">[16]연돌일위집계!#REF!</definedName>
    <definedName name="_4A_9">[16]연돌일위집계!#REF!</definedName>
    <definedName name="_4B_1">[16]연돌일위집계!#REF!</definedName>
    <definedName name="_4B_10">[16]연돌일위집계!#REF!</definedName>
    <definedName name="_4B_11">[16]연돌일위집계!#REF!</definedName>
    <definedName name="_4B_12">[16]연돌일위집계!#REF!</definedName>
    <definedName name="_4B_13">[16]연돌일위집계!#REF!</definedName>
    <definedName name="_4B_14">[16]연돌일위집계!#REF!</definedName>
    <definedName name="_4B_15">[16]연돌일위집계!#REF!</definedName>
    <definedName name="_4B_16">[16]연돌일위집계!#REF!</definedName>
    <definedName name="_4B_17">[16]연돌일위집계!#REF!</definedName>
    <definedName name="_4B_18">[16]연돌일위집계!#REF!</definedName>
    <definedName name="_4B_19">[16]연돌일위집계!#REF!</definedName>
    <definedName name="_4B_2">[16]연돌일위집계!#REF!</definedName>
    <definedName name="_4B_20">[16]연돌일위집계!#REF!</definedName>
    <definedName name="_4B_21">[16]연돌일위집계!#REF!</definedName>
    <definedName name="_4B_22">[16]연돌일위집계!#REF!</definedName>
    <definedName name="_4B_23">[16]연돌일위집계!#REF!</definedName>
    <definedName name="_4B_24">[16]연돌일위집계!#REF!</definedName>
    <definedName name="_4B_25">[16]연돌일위집계!#REF!</definedName>
    <definedName name="_4B_26">[16]연돌일위집계!#REF!</definedName>
    <definedName name="_4B_27">[16]연돌일위집계!#REF!</definedName>
    <definedName name="_4B_28">[16]연돌일위집계!#REF!</definedName>
    <definedName name="_4B_29">[16]연돌일위집계!#REF!</definedName>
    <definedName name="_4B_3">[16]연돌일위집계!#REF!</definedName>
    <definedName name="_4B_30">[16]연돌일위집계!#REF!</definedName>
    <definedName name="_4B_4">[16]연돌일위집계!#REF!</definedName>
    <definedName name="_4B_5">[16]연돌일위집계!#REF!</definedName>
    <definedName name="_4B_6">[16]연돌일위집계!#REF!</definedName>
    <definedName name="_4B_7">[16]연돌일위집계!#REF!</definedName>
    <definedName name="_4B_8">[16]연돌일위집계!#REF!</definedName>
    <definedName name="_4B_9">[16]연돌일위집계!#REF!</definedName>
    <definedName name="_4C_1">[16]연돌일위집계!#REF!</definedName>
    <definedName name="_4C_10">[16]연돌일위집계!#REF!</definedName>
    <definedName name="_4C_11">[16]연돌일위집계!#REF!</definedName>
    <definedName name="_4C_12">[16]연돌일위집계!#REF!</definedName>
    <definedName name="_4C_13">[16]연돌일위집계!#REF!</definedName>
    <definedName name="_4C_14">[16]연돌일위집계!#REF!</definedName>
    <definedName name="_4C_15">[16]연돌일위집계!#REF!</definedName>
    <definedName name="_4C_16">[16]연돌일위집계!#REF!</definedName>
    <definedName name="_4C_17">[16]연돌일위집계!#REF!</definedName>
    <definedName name="_4C_18">[16]연돌일위집계!#REF!</definedName>
    <definedName name="_4C_19">[16]연돌일위집계!#REF!</definedName>
    <definedName name="_4C_2">[16]연돌일위집계!#REF!</definedName>
    <definedName name="_4C_20">[16]연돌일위집계!#REF!</definedName>
    <definedName name="_4C_21">[16]연돌일위집계!#REF!</definedName>
    <definedName name="_4C_22">[16]연돌일위집계!#REF!</definedName>
    <definedName name="_4C_23">[16]연돌일위집계!#REF!</definedName>
    <definedName name="_4C_24">[16]연돌일위집계!#REF!</definedName>
    <definedName name="_4C_25">[16]연돌일위집계!#REF!</definedName>
    <definedName name="_4C_26">[16]연돌일위집계!#REF!</definedName>
    <definedName name="_4C_27">[16]연돌일위집계!#REF!</definedName>
    <definedName name="_4C_28">[16]연돌일위집계!#REF!</definedName>
    <definedName name="_4C_29">[16]연돌일위집계!#REF!</definedName>
    <definedName name="_4C_3">[16]연돌일위집계!#REF!</definedName>
    <definedName name="_4C_30">[16]연돌일위집계!#REF!</definedName>
    <definedName name="_4C_4">[16]연돌일위집계!#REF!</definedName>
    <definedName name="_4C_5">[16]연돌일위집계!#REF!</definedName>
    <definedName name="_4C_6">[16]연돌일위집계!#REF!</definedName>
    <definedName name="_4C_7">[16]연돌일위집계!#REF!</definedName>
    <definedName name="_4C_8">[16]연돌일위집계!#REF!</definedName>
    <definedName name="_4C_9">[16]연돌일위집계!#REF!</definedName>
    <definedName name="_4ELECB">'[23]#REF'!#REF!</definedName>
    <definedName name="_4uÞOUðuueßAÞAIee_YA" localSheetId="17">[24]수입!#REF!</definedName>
    <definedName name="_4uÞOUðuueßAÞAIee_YA" localSheetId="15">[24]수입!#REF!</definedName>
    <definedName name="_4uÞOUðuueßAÞAIee_YA">[24]수입!#REF!</definedName>
    <definedName name="_5">#N/A</definedName>
    <definedName name="_5_________________0_Dist_" localSheetId="3" hidden="1">'[1]TOWER 10TON'!#REF!</definedName>
    <definedName name="_5_________________0_Dist_" hidden="1">'[1]TOWER 10TON'!#REF!</definedName>
    <definedName name="_5___123Graph_C자금운용" hidden="1">#REF!</definedName>
    <definedName name="_5__123Graph_BMOB_01" hidden="1">#REF!</definedName>
    <definedName name="_5__123Graph_BMOB_02" hidden="1">#REF!</definedName>
    <definedName name="_5_0_0__123Grap" hidden="1">[14]유림골조!#REF!</definedName>
    <definedName name="_5_0_Dist_" hidden="1">[25]Sheet4!#REF!</definedName>
    <definedName name="_50____0_0__123Grap" localSheetId="3" hidden="1">[14]유림골조!#REF!</definedName>
    <definedName name="_50____0_0__123Grap" hidden="1">[14]유림골조!#REF!</definedName>
    <definedName name="_50____0_0_F" localSheetId="3" hidden="1">#REF!</definedName>
    <definedName name="_50____0_0_F" hidden="1">#REF!</definedName>
    <definedName name="_50_0_Dist_" hidden="1">#REF!</definedName>
    <definedName name="_50BP01_" hidden="1">{#N/A,#N/A,FALSE,"TABLE"}</definedName>
    <definedName name="_51____0_0_F" localSheetId="3" hidden="1">#REF!</definedName>
    <definedName name="_51____0_0_F" hidden="1">#REF!</definedName>
    <definedName name="_51k1_" hidden="1">#N/A</definedName>
    <definedName name="_52____123Graph_AChart_1A" localSheetId="3" hidden="1">'[2]Eq. Mobilization'!#REF!</definedName>
    <definedName name="_52____123Graph_AChart_1A" hidden="1">'[2]Eq. Mobilization'!#REF!</definedName>
    <definedName name="_53____123Graph_BChart_1A" localSheetId="3" hidden="1">'[2]Eq. Mobilization'!#REF!</definedName>
    <definedName name="_53____123Graph_BChart_1A" hidden="1">'[2]Eq. Mobilization'!#REF!</definedName>
    <definedName name="_54____123Graph_XChart_1A" localSheetId="3" hidden="1">'[2]Eq. Mobilization'!#REF!</definedName>
    <definedName name="_54____123Graph_XChart_1A" hidden="1">'[2]Eq. Mobilization'!#REF!</definedName>
    <definedName name="_55___123Graph_AChart_1A" localSheetId="3" hidden="1">'[2]Eq. Mobilization'!#REF!</definedName>
    <definedName name="_55___123Graph_AChart_1A" hidden="1">'[2]Eq. Mobilization'!#REF!</definedName>
    <definedName name="_56___123Graph_BChart_1A" hidden="1">'[2]Eq. Mobilization'!#REF!</definedName>
    <definedName name="_56BP01_" hidden="1">{#N/A,#N/A,FALSE,"TABLE"}</definedName>
    <definedName name="_57___123Graph_XChart_1A" hidden="1">'[2]Eq. Mobilization'!#REF!</definedName>
    <definedName name="_59_0_0__123Grap" hidden="1">[14]유림골조!#REF!</definedName>
    <definedName name="_5A_1">[16]연돌일위집계!#REF!</definedName>
    <definedName name="_5A_10">[16]연돌일위집계!#REF!</definedName>
    <definedName name="_5A_11">[16]연돌일위집계!#REF!</definedName>
    <definedName name="_5A_12">[16]연돌일위집계!#REF!</definedName>
    <definedName name="_5A_13">[16]연돌일위집계!#REF!</definedName>
    <definedName name="_5A_14">[16]연돌일위집계!#REF!</definedName>
    <definedName name="_5A_15">[16]연돌일위집계!#REF!</definedName>
    <definedName name="_5A_16">[16]연돌일위집계!#REF!</definedName>
    <definedName name="_5A_17">[16]연돌일위집계!#REF!</definedName>
    <definedName name="_5A_18">[16]연돌일위집계!#REF!</definedName>
    <definedName name="_5A_19">[16]연돌일위집계!#REF!</definedName>
    <definedName name="_5A_2">[16]연돌일위집계!#REF!</definedName>
    <definedName name="_5A_20">[16]연돌일위집계!#REF!</definedName>
    <definedName name="_5A_21">[16]연돌일위집계!#REF!</definedName>
    <definedName name="_5A_22">[16]연돌일위집계!#REF!</definedName>
    <definedName name="_5A_23">[16]연돌일위집계!#REF!</definedName>
    <definedName name="_5A_24">[16]연돌일위집계!#REF!</definedName>
    <definedName name="_5A_25">[16]연돌일위집계!#REF!</definedName>
    <definedName name="_5A_26">[16]연돌일위집계!#REF!</definedName>
    <definedName name="_5A_27">[16]연돌일위집계!#REF!</definedName>
    <definedName name="_5A_28">[16]연돌일위집계!#REF!</definedName>
    <definedName name="_5A_29">[16]연돌일위집계!#REF!</definedName>
    <definedName name="_5A_3">[16]연돌일위집계!#REF!</definedName>
    <definedName name="_5A_30">[16]연돌일위집계!#REF!</definedName>
    <definedName name="_5A_4">[16]연돌일위집계!#REF!</definedName>
    <definedName name="_5A_5">[16]연돌일위집계!#REF!</definedName>
    <definedName name="_5A_6">[16]연돌일위집계!#REF!</definedName>
    <definedName name="_5A_7">[16]연돌일위집계!#REF!</definedName>
    <definedName name="_5A_8">[16]연돌일위집계!#REF!</definedName>
    <definedName name="_5A_9">[16]연돌일위집계!#REF!</definedName>
    <definedName name="_5B_1">[16]연돌일위집계!#REF!</definedName>
    <definedName name="_5B_10">[16]연돌일위집계!#REF!</definedName>
    <definedName name="_5B_11">[16]연돌일위집계!#REF!</definedName>
    <definedName name="_5B_12">[16]연돌일위집계!#REF!</definedName>
    <definedName name="_5B_13">[16]연돌일위집계!#REF!</definedName>
    <definedName name="_5B_14">[16]연돌일위집계!#REF!</definedName>
    <definedName name="_5B_15">[16]연돌일위집계!#REF!</definedName>
    <definedName name="_5B_16">[16]연돌일위집계!#REF!</definedName>
    <definedName name="_5B_17">[16]연돌일위집계!#REF!</definedName>
    <definedName name="_5B_18">[16]연돌일위집계!#REF!</definedName>
    <definedName name="_5B_19">[16]연돌일위집계!#REF!</definedName>
    <definedName name="_5B_2">[16]연돌일위집계!#REF!</definedName>
    <definedName name="_5B_20">[16]연돌일위집계!#REF!</definedName>
    <definedName name="_5B_21">[16]연돌일위집계!#REF!</definedName>
    <definedName name="_5B_22">[16]연돌일위집계!#REF!</definedName>
    <definedName name="_5B_23">[16]연돌일위집계!#REF!</definedName>
    <definedName name="_5B_24">[16]연돌일위집계!#REF!</definedName>
    <definedName name="_5B_25">[16]연돌일위집계!#REF!</definedName>
    <definedName name="_5B_26">[16]연돌일위집계!#REF!</definedName>
    <definedName name="_5B_27">[16]연돌일위집계!#REF!</definedName>
    <definedName name="_5B_28">[16]연돌일위집계!#REF!</definedName>
    <definedName name="_5B_29">[16]연돌일위집계!#REF!</definedName>
    <definedName name="_5B_3">[16]연돌일위집계!#REF!</definedName>
    <definedName name="_5B_30">[16]연돌일위집계!#REF!</definedName>
    <definedName name="_5B_4">[16]연돌일위집계!#REF!</definedName>
    <definedName name="_5B_5">[16]연돌일위집계!#REF!</definedName>
    <definedName name="_5B_6">[16]연돌일위집계!#REF!</definedName>
    <definedName name="_5B_7">[16]연돌일위집계!#REF!</definedName>
    <definedName name="_5B_8">[16]연돌일위집계!#REF!</definedName>
    <definedName name="_5B_9">[16]연돌일위집계!#REF!</definedName>
    <definedName name="_5C_1">[16]연돌일위집계!#REF!</definedName>
    <definedName name="_5C_10">[16]연돌일위집계!#REF!</definedName>
    <definedName name="_5C_11">[16]연돌일위집계!#REF!</definedName>
    <definedName name="_5C_12">[16]연돌일위집계!#REF!</definedName>
    <definedName name="_5C_13">[16]연돌일위집계!#REF!</definedName>
    <definedName name="_5C_14">[16]연돌일위집계!#REF!</definedName>
    <definedName name="_5C_15">[16]연돌일위집계!#REF!</definedName>
    <definedName name="_5C_16">[16]연돌일위집계!#REF!</definedName>
    <definedName name="_5C_17">[16]연돌일위집계!#REF!</definedName>
    <definedName name="_5C_18">[16]연돌일위집계!#REF!</definedName>
    <definedName name="_5C_19">[16]연돌일위집계!#REF!</definedName>
    <definedName name="_5C_2">[16]연돌일위집계!#REF!</definedName>
    <definedName name="_5C_20">[16]연돌일위집계!#REF!</definedName>
    <definedName name="_5C_21">[16]연돌일위집계!#REF!</definedName>
    <definedName name="_5C_22">[16]연돌일위집계!#REF!</definedName>
    <definedName name="_5C_23">[16]연돌일위집계!#REF!</definedName>
    <definedName name="_5C_24">[16]연돌일위집계!#REF!</definedName>
    <definedName name="_5C_25">[16]연돌일위집계!#REF!</definedName>
    <definedName name="_5C_26">[16]연돌일위집계!#REF!</definedName>
    <definedName name="_5C_27">[16]연돌일위집계!#REF!</definedName>
    <definedName name="_5C_28">[16]연돌일위집계!#REF!</definedName>
    <definedName name="_5C_29">[16]연돌일위집계!#REF!</definedName>
    <definedName name="_5C_3">[16]연돌일위집계!#REF!</definedName>
    <definedName name="_5C_30">[16]연돌일위집계!#REF!</definedName>
    <definedName name="_5C_4">[16]연돌일위집계!#REF!</definedName>
    <definedName name="_5C_5">[16]연돌일위집계!#REF!</definedName>
    <definedName name="_5C_6">[16]연돌일위집계!#REF!</definedName>
    <definedName name="_5C_7">[16]연돌일위집계!#REF!</definedName>
    <definedName name="_5C_8">[16]연돌일위집계!#REF!</definedName>
    <definedName name="_5C_9">[16]연돌일위집계!#REF!</definedName>
    <definedName name="_5P1_">#REF!</definedName>
    <definedName name="_6" localSheetId="3">#REF!</definedName>
    <definedName name="_6">#N/A</definedName>
    <definedName name="_6_______________0_0__123Grap" localSheetId="3" hidden="1">[14]유림골조!#REF!</definedName>
    <definedName name="_6_______________0_0__123Grap" hidden="1">[14]유림골조!#REF!</definedName>
    <definedName name="_6___123Graph_XChart_1A" hidden="1">'[12]Eq. Mobilization'!#REF!</definedName>
    <definedName name="_6__123Graph_A자금운용" hidden="1">#REF!</definedName>
    <definedName name="_6__123Graph_BMOB_02" hidden="1">#REF!</definedName>
    <definedName name="_6__123Graph_CMOB_01" hidden="1">#REF!</definedName>
    <definedName name="_6__123Graph_XChart_1A" localSheetId="3" hidden="1">'[2]Eq. Mobilization'!#REF!</definedName>
    <definedName name="_6__123Graph_XChart_1A" hidden="1">'[17]Eq. Mobilization'!#REF!</definedName>
    <definedName name="_6_0_0__123Grap" hidden="1">[14]유림골조!#REF!</definedName>
    <definedName name="_6_0_0_F" hidden="1">#REF!</definedName>
    <definedName name="_6_0_0코아공" hidden="1">[15]공통비총괄표!#REF!</definedName>
    <definedName name="_68_0__123Grap" hidden="1">#N/A</definedName>
    <definedName name="_69_0_Dist_" hidden="1">#N/A</definedName>
    <definedName name="_6A_1">[16]연돌일위집계!#REF!</definedName>
    <definedName name="_6A_10">[16]연돌일위집계!#REF!</definedName>
    <definedName name="_6A_11">[16]연돌일위집계!#REF!</definedName>
    <definedName name="_6A_12">[16]연돌일위집계!#REF!</definedName>
    <definedName name="_6A_13">[16]연돌일위집계!#REF!</definedName>
    <definedName name="_6A_14">[16]연돌일위집계!#REF!</definedName>
    <definedName name="_6A_15">[16]연돌일위집계!#REF!</definedName>
    <definedName name="_6A_16">[16]연돌일위집계!#REF!</definedName>
    <definedName name="_6A_17">[16]연돌일위집계!#REF!</definedName>
    <definedName name="_6A_18">[16]연돌일위집계!#REF!</definedName>
    <definedName name="_6A_19">[16]연돌일위집계!#REF!</definedName>
    <definedName name="_6A_2">[16]연돌일위집계!#REF!</definedName>
    <definedName name="_6A_20">[16]연돌일위집계!#REF!</definedName>
    <definedName name="_6A_21">[16]연돌일위집계!#REF!</definedName>
    <definedName name="_6A_22">[16]연돌일위집계!#REF!</definedName>
    <definedName name="_6A_23">[16]연돌일위집계!#REF!</definedName>
    <definedName name="_6A_24">[16]연돌일위집계!#REF!</definedName>
    <definedName name="_6A_25">[16]연돌일위집계!#REF!</definedName>
    <definedName name="_6A_26">[16]연돌일위집계!#REF!</definedName>
    <definedName name="_6A_27">[16]연돌일위집계!#REF!</definedName>
    <definedName name="_6A_28">[16]연돌일위집계!#REF!</definedName>
    <definedName name="_6A_29">[16]연돌일위집계!#REF!</definedName>
    <definedName name="_6A_3">[16]연돌일위집계!#REF!</definedName>
    <definedName name="_6A_30">[16]연돌일위집계!#REF!</definedName>
    <definedName name="_6A_4">[16]연돌일위집계!#REF!</definedName>
    <definedName name="_6A_5">[16]연돌일위집계!#REF!</definedName>
    <definedName name="_6A_6">[16]연돌일위집계!#REF!</definedName>
    <definedName name="_6A_7">[16]연돌일위집계!#REF!</definedName>
    <definedName name="_6A_8">[16]연돌일위집계!#REF!</definedName>
    <definedName name="_6A_9">[16]연돌일위집계!#REF!</definedName>
    <definedName name="_6B_1">[16]연돌일위집계!#REF!</definedName>
    <definedName name="_6B_10">[16]연돌일위집계!#REF!</definedName>
    <definedName name="_6B_11">[16]연돌일위집계!#REF!</definedName>
    <definedName name="_6B_12">[16]연돌일위집계!#REF!</definedName>
    <definedName name="_6B_13">[16]연돌일위집계!#REF!</definedName>
    <definedName name="_6B_14">[16]연돌일위집계!#REF!</definedName>
    <definedName name="_6B_15">[16]연돌일위집계!#REF!</definedName>
    <definedName name="_6B_16">[16]연돌일위집계!#REF!</definedName>
    <definedName name="_6B_17">[16]연돌일위집계!#REF!</definedName>
    <definedName name="_6B_18">[16]연돌일위집계!#REF!</definedName>
    <definedName name="_6B_19">[16]연돌일위집계!#REF!</definedName>
    <definedName name="_6B_2">[16]연돌일위집계!#REF!</definedName>
    <definedName name="_6B_20">[16]연돌일위집계!#REF!</definedName>
    <definedName name="_6B_21">[16]연돌일위집계!#REF!</definedName>
    <definedName name="_6B_22">[16]연돌일위집계!#REF!</definedName>
    <definedName name="_6B_23">[16]연돌일위집계!#REF!</definedName>
    <definedName name="_6B_24">[16]연돌일위집계!#REF!</definedName>
    <definedName name="_6B_25">[16]연돌일위집계!#REF!</definedName>
    <definedName name="_6B_26">[16]연돌일위집계!#REF!</definedName>
    <definedName name="_6B_27">[16]연돌일위집계!#REF!</definedName>
    <definedName name="_6B_28">[16]연돌일위집계!#REF!</definedName>
    <definedName name="_6B_29">[16]연돌일위집계!#REF!</definedName>
    <definedName name="_6B_3">[16]연돌일위집계!#REF!</definedName>
    <definedName name="_6B_30">[16]연돌일위집계!#REF!</definedName>
    <definedName name="_6B_4">[16]연돌일위집계!#REF!</definedName>
    <definedName name="_6B_5">[16]연돌일위집계!#REF!</definedName>
    <definedName name="_6B_6">[16]연돌일위집계!#REF!</definedName>
    <definedName name="_6B_7">[16]연돌일위집계!#REF!</definedName>
    <definedName name="_6B_8">[16]연돌일위집계!#REF!</definedName>
    <definedName name="_6B_9">[16]연돌일위집계!#REF!</definedName>
    <definedName name="_6C_1">[16]연돌일위집계!#REF!</definedName>
    <definedName name="_6C_10">[16]연돌일위집계!#REF!</definedName>
    <definedName name="_6C_11">[16]연돌일위집계!#REF!</definedName>
    <definedName name="_6C_12">[16]연돌일위집계!#REF!</definedName>
    <definedName name="_6C_13">[16]연돌일위집계!#REF!</definedName>
    <definedName name="_6C_14">[16]연돌일위집계!#REF!</definedName>
    <definedName name="_6C_15">[16]연돌일위집계!#REF!</definedName>
    <definedName name="_6C_16">[16]연돌일위집계!#REF!</definedName>
    <definedName name="_6C_17">[16]연돌일위집계!#REF!</definedName>
    <definedName name="_6C_18">[16]연돌일위집계!#REF!</definedName>
    <definedName name="_6C_19">[16]연돌일위집계!#REF!</definedName>
    <definedName name="_6C_2">[16]연돌일위집계!#REF!</definedName>
    <definedName name="_6C_20">[16]연돌일위집계!#REF!</definedName>
    <definedName name="_6C_21">[16]연돌일위집계!#REF!</definedName>
    <definedName name="_6C_22">[16]연돌일위집계!#REF!</definedName>
    <definedName name="_6C_23">[16]연돌일위집계!#REF!</definedName>
    <definedName name="_6C_24">[16]연돌일위집계!#REF!</definedName>
    <definedName name="_6C_25">[16]연돌일위집계!#REF!</definedName>
    <definedName name="_6C_26">[16]연돌일위집계!#REF!</definedName>
    <definedName name="_6C_27">[16]연돌일위집계!#REF!</definedName>
    <definedName name="_6C_28">[16]연돌일위집계!#REF!</definedName>
    <definedName name="_6C_29">[16]연돌일위집계!#REF!</definedName>
    <definedName name="_6C_3">[16]연돌일위집계!#REF!</definedName>
    <definedName name="_6C_30">[16]연돌일위집계!#REF!</definedName>
    <definedName name="_6C_4">[16]연돌일위집계!#REF!</definedName>
    <definedName name="_6C_5">[16]연돌일위집계!#REF!</definedName>
    <definedName name="_6C_6">[16]연돌일위집계!#REF!</definedName>
    <definedName name="_6C_7">[16]연돌일위집계!#REF!</definedName>
    <definedName name="_6C_8">[16]연돌일위집계!#REF!</definedName>
    <definedName name="_6C_9">[16]연돌일위집계!#REF!</definedName>
    <definedName name="_6P10_">#REF!</definedName>
    <definedName name="_7" localSheetId="3">#REF!</definedName>
    <definedName name="_7">#N/A</definedName>
    <definedName name="_7_______________0_0_F" localSheetId="3" hidden="1">'[1]TOWER 10TON'!#REF!</definedName>
    <definedName name="_7_______________0_0_F" hidden="1">'[1]TOWER 10TON'!#REF!</definedName>
    <definedName name="_7___123Graph_X자금운용" hidden="1">#REF!</definedName>
    <definedName name="_7__123Graph_CMOB_01" hidden="1">#REF!</definedName>
    <definedName name="_7__123Graph_CMOB_02" hidden="1">#REF!</definedName>
    <definedName name="_7_0_0_F" hidden="1">#REF!</definedName>
    <definedName name="_7_0공통비" hidden="1">[15]공통비총괄표!#REF!</definedName>
    <definedName name="_70_0_F" hidden="1">#N/A</definedName>
    <definedName name="_71_0_0_F" hidden="1">#N/A</definedName>
    <definedName name="_72_0__123Grap" localSheetId="3" hidden="1">#REF!</definedName>
    <definedName name="_72_0__123Grap" hidden="1">#REF!</definedName>
    <definedName name="_72_0_0_F" hidden="1">#REF!</definedName>
    <definedName name="_72_2_0_Parse" hidden="1">#N/A</definedName>
    <definedName name="_72BP01_" hidden="1">{#N/A,#N/A,FALSE,"TABLE"}</definedName>
    <definedName name="_73_0__123Grap" localSheetId="3" hidden="1">#REF!</definedName>
    <definedName name="_73_0__123Grap" hidden="1">#REF!</definedName>
    <definedName name="_75a122_" localSheetId="3" hidden="1">{#N/A,#N/A,FALSE,"속도"}</definedName>
    <definedName name="_75a122_" hidden="1">{#N/A,#N/A,FALSE,"속도"}</definedName>
    <definedName name="_7A_1">[16]연돌일위집계!#REF!</definedName>
    <definedName name="_7A_10">[16]연돌일위집계!#REF!</definedName>
    <definedName name="_7A_11">[16]연돌일위집계!#REF!</definedName>
    <definedName name="_7A_12">[16]연돌일위집계!#REF!</definedName>
    <definedName name="_7A_13">[16]연돌일위집계!#REF!</definedName>
    <definedName name="_7A_14">[16]연돌일위집계!#REF!</definedName>
    <definedName name="_7A_15">[16]연돌일위집계!#REF!</definedName>
    <definedName name="_7A_16">[16]연돌일위집계!#REF!</definedName>
    <definedName name="_7A_17">[16]연돌일위집계!#REF!</definedName>
    <definedName name="_7A_18">[16]연돌일위집계!#REF!</definedName>
    <definedName name="_7A_19">[16]연돌일위집계!#REF!</definedName>
    <definedName name="_7A_2">[16]연돌일위집계!#REF!</definedName>
    <definedName name="_7A_20">[16]연돌일위집계!#REF!</definedName>
    <definedName name="_7A_21">[16]연돌일위집계!#REF!</definedName>
    <definedName name="_7A_22">[16]연돌일위집계!#REF!</definedName>
    <definedName name="_7A_23">[16]연돌일위집계!#REF!</definedName>
    <definedName name="_7A_24">[16]연돌일위집계!#REF!</definedName>
    <definedName name="_7A_25">[16]연돌일위집계!#REF!</definedName>
    <definedName name="_7A_26">[16]연돌일위집계!#REF!</definedName>
    <definedName name="_7A_27">[16]연돌일위집계!#REF!</definedName>
    <definedName name="_7A_28">[16]연돌일위집계!#REF!</definedName>
    <definedName name="_7A_29">[16]연돌일위집계!#REF!</definedName>
    <definedName name="_7A_3">[16]연돌일위집계!#REF!</definedName>
    <definedName name="_7A_30">[16]연돌일위집계!#REF!</definedName>
    <definedName name="_7A_4">[16]연돌일위집계!#REF!</definedName>
    <definedName name="_7A_5">[16]연돌일위집계!#REF!</definedName>
    <definedName name="_7A_6">[16]연돌일위집계!#REF!</definedName>
    <definedName name="_7A_7">[16]연돌일위집계!#REF!</definedName>
    <definedName name="_7A_8">[16]연돌일위집계!#REF!</definedName>
    <definedName name="_7A_9">[16]연돌일위집계!#REF!</definedName>
    <definedName name="_7B_1">[16]연돌일위집계!#REF!</definedName>
    <definedName name="_7B_10">[16]연돌일위집계!#REF!</definedName>
    <definedName name="_7B_11">[16]연돌일위집계!#REF!</definedName>
    <definedName name="_7B_12">[16]연돌일위집계!#REF!</definedName>
    <definedName name="_7B_13">[16]연돌일위집계!#REF!</definedName>
    <definedName name="_7B_14">[16]연돌일위집계!#REF!</definedName>
    <definedName name="_7B_15">[16]연돌일위집계!#REF!</definedName>
    <definedName name="_7B_16">[16]연돌일위집계!#REF!</definedName>
    <definedName name="_7B_17">[16]연돌일위집계!#REF!</definedName>
    <definedName name="_7B_18">[16]연돌일위집계!#REF!</definedName>
    <definedName name="_7B_19">[16]연돌일위집계!#REF!</definedName>
    <definedName name="_7B_2">[16]연돌일위집계!#REF!</definedName>
    <definedName name="_7B_20">[16]연돌일위집계!#REF!</definedName>
    <definedName name="_7B_21">[16]연돌일위집계!#REF!</definedName>
    <definedName name="_7B_22">[16]연돌일위집계!#REF!</definedName>
    <definedName name="_7B_23">[16]연돌일위집계!#REF!</definedName>
    <definedName name="_7B_24">[16]연돌일위집계!#REF!</definedName>
    <definedName name="_7B_25">[16]연돌일위집계!#REF!</definedName>
    <definedName name="_7B_26">[16]연돌일위집계!#REF!</definedName>
    <definedName name="_7B_27">[16]연돌일위집계!#REF!</definedName>
    <definedName name="_7B_28">[16]연돌일위집계!#REF!</definedName>
    <definedName name="_7B_29">[16]연돌일위집계!#REF!</definedName>
    <definedName name="_7B_3">[16]연돌일위집계!#REF!</definedName>
    <definedName name="_7B_30">[16]연돌일위집계!#REF!</definedName>
    <definedName name="_7B_4">[16]연돌일위집계!#REF!</definedName>
    <definedName name="_7B_5">[16]연돌일위집계!#REF!</definedName>
    <definedName name="_7B_6">[16]연돌일위집계!#REF!</definedName>
    <definedName name="_7B_7">[16]연돌일위집계!#REF!</definedName>
    <definedName name="_7B_8">[16]연돌일위집계!#REF!</definedName>
    <definedName name="_7B_9">[16]연돌일위집계!#REF!</definedName>
    <definedName name="_7C_1">[16]연돌일위집계!#REF!</definedName>
    <definedName name="_7C_10">[16]연돌일위집계!#REF!</definedName>
    <definedName name="_7C_11">[16]연돌일위집계!#REF!</definedName>
    <definedName name="_7C_12">[16]연돌일위집계!#REF!</definedName>
    <definedName name="_7C_13">[16]연돌일위집계!#REF!</definedName>
    <definedName name="_7C_14">[16]연돌일위집계!#REF!</definedName>
    <definedName name="_7C_15">[16]연돌일위집계!#REF!</definedName>
    <definedName name="_7C_16">[16]연돌일위집계!#REF!</definedName>
    <definedName name="_7C_17">[16]연돌일위집계!#REF!</definedName>
    <definedName name="_7C_18">[16]연돌일위집계!#REF!</definedName>
    <definedName name="_7C_19">[16]연돌일위집계!#REF!</definedName>
    <definedName name="_7C_2">[16]연돌일위집계!#REF!</definedName>
    <definedName name="_7C_20">[16]연돌일위집계!#REF!</definedName>
    <definedName name="_7C_21">[16]연돌일위집계!#REF!</definedName>
    <definedName name="_7C_22">[16]연돌일위집계!#REF!</definedName>
    <definedName name="_7C_23">[16]연돌일위집계!#REF!</definedName>
    <definedName name="_7C_24">[16]연돌일위집계!#REF!</definedName>
    <definedName name="_7C_25">[16]연돌일위집계!#REF!</definedName>
    <definedName name="_7C_26">[16]연돌일위집계!#REF!</definedName>
    <definedName name="_7C_27">[16]연돌일위집계!#REF!</definedName>
    <definedName name="_7C_28">[16]연돌일위집계!#REF!</definedName>
    <definedName name="_7C_29">[16]연돌일위집계!#REF!</definedName>
    <definedName name="_7C_3">[16]연돌일위집계!#REF!</definedName>
    <definedName name="_7C_30">[16]연돌일위집계!#REF!</definedName>
    <definedName name="_7C_4">[16]연돌일위집계!#REF!</definedName>
    <definedName name="_7C_5">[16]연돌일위집계!#REF!</definedName>
    <definedName name="_7C_6">[16]연돌일위집계!#REF!</definedName>
    <definedName name="_7C_7">[16]연돌일위집계!#REF!</definedName>
    <definedName name="_7C_8">[16]연돌일위집계!#REF!</definedName>
    <definedName name="_7C_9">[16]연돌일위집계!#REF!</definedName>
    <definedName name="_7P11_">#REF!</definedName>
    <definedName name="_8">#N/A</definedName>
    <definedName name="_8_____3_0Crite" localSheetId="3">#REF!</definedName>
    <definedName name="_8_____3_0Crite">#REF!</definedName>
    <definedName name="_8__123Graph_AChart_1A" hidden="1">'[12]Eq. Mobilization'!#REF!</definedName>
    <definedName name="_8__123Graph_CMOB_02" hidden="1">#REF!</definedName>
    <definedName name="_8__123Graph_DMOB_01" hidden="1">#REF!</definedName>
    <definedName name="_8_0현대코아공" hidden="1">[15]공통비총괄표!#REF!</definedName>
    <definedName name="_8_123Grap" hidden="1">#REF!</definedName>
    <definedName name="_80__________0__123Grap" localSheetId="3" hidden="1">#REF!</definedName>
    <definedName name="_80__________0__123Grap" hidden="1">#REF!</definedName>
    <definedName name="_81_0_0코아공" hidden="1">[15]공통비총괄표!#REF!</definedName>
    <definedName name="_84__________0_Dist_" localSheetId="3" hidden="1">#REF!</definedName>
    <definedName name="_84__________0_Dist_" hidden="1">#REF!</definedName>
    <definedName name="_87__123Graph_A자금운용" hidden="1">#REF!</definedName>
    <definedName name="_89__123Graph_B자금운용" hidden="1">#REF!</definedName>
    <definedName name="_8A_1">[16]연돌일위집계!#REF!</definedName>
    <definedName name="_8A_10">[16]연돌일위집계!#REF!</definedName>
    <definedName name="_8A_11">[16]연돌일위집계!#REF!</definedName>
    <definedName name="_8A_12">[16]연돌일위집계!#REF!</definedName>
    <definedName name="_8A_13">[16]연돌일위집계!#REF!</definedName>
    <definedName name="_8A_14">[16]연돌일위집계!#REF!</definedName>
    <definedName name="_8A_15">[16]연돌일위집계!#REF!</definedName>
    <definedName name="_8A_16">[16]연돌일위집계!#REF!</definedName>
    <definedName name="_8A_17">[16]연돌일위집계!#REF!</definedName>
    <definedName name="_8A_18">[16]연돌일위집계!#REF!</definedName>
    <definedName name="_8A_19">[16]연돌일위집계!#REF!</definedName>
    <definedName name="_8A_2">[16]연돌일위집계!#REF!</definedName>
    <definedName name="_8A_20">[16]연돌일위집계!#REF!</definedName>
    <definedName name="_8A_21">[16]연돌일위집계!#REF!</definedName>
    <definedName name="_8A_22">[16]연돌일위집계!#REF!</definedName>
    <definedName name="_8A_23">[16]연돌일위집계!#REF!</definedName>
    <definedName name="_8A_24">[16]연돌일위집계!#REF!</definedName>
    <definedName name="_8A_25">[16]연돌일위집계!#REF!</definedName>
    <definedName name="_8A_26">[16]연돌일위집계!#REF!</definedName>
    <definedName name="_8A_27">[16]연돌일위집계!#REF!</definedName>
    <definedName name="_8A_28">[16]연돌일위집계!#REF!</definedName>
    <definedName name="_8A_29">[16]연돌일위집계!#REF!</definedName>
    <definedName name="_8A_3">[16]연돌일위집계!#REF!</definedName>
    <definedName name="_8A_30">[16]연돌일위집계!#REF!</definedName>
    <definedName name="_8A_4">[16]연돌일위집계!#REF!</definedName>
    <definedName name="_8A_5">[16]연돌일위집계!#REF!</definedName>
    <definedName name="_8A_6">[16]연돌일위집계!#REF!</definedName>
    <definedName name="_8A_7">[16]연돌일위집계!#REF!</definedName>
    <definedName name="_8A_8">[16]연돌일위집계!#REF!</definedName>
    <definedName name="_8A_9">[16]연돌일위집계!#REF!</definedName>
    <definedName name="_8a1_">{"'Sheet1'!$L$16"}</definedName>
    <definedName name="_8B_1">[16]연돌일위집계!#REF!</definedName>
    <definedName name="_8B_10">[16]연돌일위집계!#REF!</definedName>
    <definedName name="_8B_11">[16]연돌일위집계!#REF!</definedName>
    <definedName name="_8B_12">[16]연돌일위집계!#REF!</definedName>
    <definedName name="_8B_13">[16]연돌일위집계!#REF!</definedName>
    <definedName name="_8B_14">[16]연돌일위집계!#REF!</definedName>
    <definedName name="_8B_15">[16]연돌일위집계!#REF!</definedName>
    <definedName name="_8B_16">[16]연돌일위집계!#REF!</definedName>
    <definedName name="_8B_17">[16]연돌일위집계!#REF!</definedName>
    <definedName name="_8B_18">[16]연돌일위집계!#REF!</definedName>
    <definedName name="_8B_19">[16]연돌일위집계!#REF!</definedName>
    <definedName name="_8B_2">[16]연돌일위집계!#REF!</definedName>
    <definedName name="_8B_20">[16]연돌일위집계!#REF!</definedName>
    <definedName name="_8B_21">[16]연돌일위집계!#REF!</definedName>
    <definedName name="_8B_22">[16]연돌일위집계!#REF!</definedName>
    <definedName name="_8B_23">[16]연돌일위집계!#REF!</definedName>
    <definedName name="_8B_24">[16]연돌일위집계!#REF!</definedName>
    <definedName name="_8B_25">[16]연돌일위집계!#REF!</definedName>
    <definedName name="_8B_26">[16]연돌일위집계!#REF!</definedName>
    <definedName name="_8B_27">[16]연돌일위집계!#REF!</definedName>
    <definedName name="_8B_28">[16]연돌일위집계!#REF!</definedName>
    <definedName name="_8B_29">[16]연돌일위집계!#REF!</definedName>
    <definedName name="_8B_3">[16]연돌일위집계!#REF!</definedName>
    <definedName name="_8B_30">[16]연돌일위집계!#REF!</definedName>
    <definedName name="_8B_4">[16]연돌일위집계!#REF!</definedName>
    <definedName name="_8B_5">[16]연돌일위집계!#REF!</definedName>
    <definedName name="_8B_6">[16]연돌일위집계!#REF!</definedName>
    <definedName name="_8B_7">[16]연돌일위집계!#REF!</definedName>
    <definedName name="_8B_8">[16]연돌일위집계!#REF!</definedName>
    <definedName name="_8B_9">[16]연돌일위집계!#REF!</definedName>
    <definedName name="_8C_1">[16]연돌일위집계!#REF!</definedName>
    <definedName name="_8C_10">[16]연돌일위집계!#REF!</definedName>
    <definedName name="_8C_11">[16]연돌일위집계!#REF!</definedName>
    <definedName name="_8C_12">[16]연돌일위집계!#REF!</definedName>
    <definedName name="_8C_13">[16]연돌일위집계!#REF!</definedName>
    <definedName name="_8C_14">[16]연돌일위집계!#REF!</definedName>
    <definedName name="_8C_15">[16]연돌일위집계!#REF!</definedName>
    <definedName name="_8C_16">[16]연돌일위집계!#REF!</definedName>
    <definedName name="_8C_17">[16]연돌일위집계!#REF!</definedName>
    <definedName name="_8C_18">[16]연돌일위집계!#REF!</definedName>
    <definedName name="_8C_19">[16]연돌일위집계!#REF!</definedName>
    <definedName name="_8C_2">[16]연돌일위집계!#REF!</definedName>
    <definedName name="_8C_20">[16]연돌일위집계!#REF!</definedName>
    <definedName name="_8C_21">[16]연돌일위집계!#REF!</definedName>
    <definedName name="_8C_22">[16]연돌일위집계!#REF!</definedName>
    <definedName name="_8C_23">[16]연돌일위집계!#REF!</definedName>
    <definedName name="_8C_24">[16]연돌일위집계!#REF!</definedName>
    <definedName name="_8C_25">[16]연돌일위집계!#REF!</definedName>
    <definedName name="_8C_26">[16]연돌일위집계!#REF!</definedName>
    <definedName name="_8C_27">[16]연돌일위집계!#REF!</definedName>
    <definedName name="_8C_28">[16]연돌일위집계!#REF!</definedName>
    <definedName name="_8C_29">[16]연돌일위집계!#REF!</definedName>
    <definedName name="_8C_3">[16]연돌일위집계!#REF!</definedName>
    <definedName name="_8C_30">[16]연돌일위집계!#REF!</definedName>
    <definedName name="_8C_4">[16]연돌일위집계!#REF!</definedName>
    <definedName name="_8C_5">[16]연돌일위집계!#REF!</definedName>
    <definedName name="_8C_6">[16]연돌일위집계!#REF!</definedName>
    <definedName name="_8C_7">[16]연돌일위집계!#REF!</definedName>
    <definedName name="_8C_8">[16]연돌일위집계!#REF!</definedName>
    <definedName name="_8C_9">[16]연돌일위집계!#REF!</definedName>
    <definedName name="_8P12_">#REF!</definedName>
    <definedName name="_9" localSheetId="3">#REF!</definedName>
    <definedName name="_9">#N/A</definedName>
    <definedName name="_9_____3_0Criteria" localSheetId="3">#REF!</definedName>
    <definedName name="_9_____3_0Criteria">#REF!</definedName>
    <definedName name="_9__123Graph_A자금운용" hidden="1">#REF!</definedName>
    <definedName name="_9__123Graph_DMOB_01" hidden="1">#REF!</definedName>
    <definedName name="_9__123Graph_DMOB_02" hidden="1">#REF!</definedName>
    <definedName name="_90_0공통비" hidden="1">[15]공통비총괄표!#REF!</definedName>
    <definedName name="_91__123Graph_C자금운용" hidden="1">#REF!</definedName>
    <definedName name="_92________0_0_F" localSheetId="3" hidden="1">#REF!</definedName>
    <definedName name="_92________0_0_F" hidden="1">#REF!</definedName>
    <definedName name="_92__123Graph_X자금운용" hidden="1">#REF!</definedName>
    <definedName name="_99_0현대코아공" hidden="1">[15]공통비총괄표!#REF!</definedName>
    <definedName name="_9A_1">[16]연돌일위집계!#REF!</definedName>
    <definedName name="_9A_10">[16]연돌일위집계!#REF!</definedName>
    <definedName name="_9A_11">[16]연돌일위집계!#REF!</definedName>
    <definedName name="_9A_12">[16]연돌일위집계!#REF!</definedName>
    <definedName name="_9A_13">[16]연돌일위집계!#REF!</definedName>
    <definedName name="_9A_14">[16]연돌일위집계!#REF!</definedName>
    <definedName name="_9A_15">[16]연돌일위집계!#REF!</definedName>
    <definedName name="_9A_16">[16]연돌일위집계!#REF!</definedName>
    <definedName name="_9A_17">[16]연돌일위집계!#REF!</definedName>
    <definedName name="_9A_18">[16]연돌일위집계!#REF!</definedName>
    <definedName name="_9A_19">[16]연돌일위집계!#REF!</definedName>
    <definedName name="_9A_2">[16]연돌일위집계!#REF!</definedName>
    <definedName name="_9A_20">[16]연돌일위집계!#REF!</definedName>
    <definedName name="_9A_21">[16]연돌일위집계!#REF!</definedName>
    <definedName name="_9A_22">[16]연돌일위집계!#REF!</definedName>
    <definedName name="_9A_23">[16]연돌일위집계!#REF!</definedName>
    <definedName name="_9A_24">[16]연돌일위집계!#REF!</definedName>
    <definedName name="_9A_25">[16]연돌일위집계!#REF!</definedName>
    <definedName name="_9A_26">[16]연돌일위집계!#REF!</definedName>
    <definedName name="_9A_27">[16]연돌일위집계!#REF!</definedName>
    <definedName name="_9A_28">[16]연돌일위집계!#REF!</definedName>
    <definedName name="_9A_29">[16]연돌일위집계!#REF!</definedName>
    <definedName name="_9A_3">[16]연돌일위집계!#REF!</definedName>
    <definedName name="_9A_30">[16]연돌일위집계!#REF!</definedName>
    <definedName name="_9A_4">[16]연돌일위집계!#REF!</definedName>
    <definedName name="_9A_5">[16]연돌일위집계!#REF!</definedName>
    <definedName name="_9A_6">[16]연돌일위집계!#REF!</definedName>
    <definedName name="_9A_7">[16]연돌일위집계!#REF!</definedName>
    <definedName name="_9A_8">[16]연돌일위집계!#REF!</definedName>
    <definedName name="_9A_9">[16]연돌일위집계!#REF!</definedName>
    <definedName name="_9B_1">[16]연돌일위집계!#REF!</definedName>
    <definedName name="_9B_10">[16]연돌일위집계!#REF!</definedName>
    <definedName name="_9B_11">[16]연돌일위집계!#REF!</definedName>
    <definedName name="_9B_12">[16]연돌일위집계!#REF!</definedName>
    <definedName name="_9B_13">[16]연돌일위집계!#REF!</definedName>
    <definedName name="_9B_14">[16]연돌일위집계!#REF!</definedName>
    <definedName name="_9B_15">[16]연돌일위집계!#REF!</definedName>
    <definedName name="_9B_16">[16]연돌일위집계!#REF!</definedName>
    <definedName name="_9B_17">[16]연돌일위집계!#REF!</definedName>
    <definedName name="_9B_18">[16]연돌일위집계!#REF!</definedName>
    <definedName name="_9B_19">[16]연돌일위집계!#REF!</definedName>
    <definedName name="_9B_2">[16]연돌일위집계!#REF!</definedName>
    <definedName name="_9B_20">[16]연돌일위집계!#REF!</definedName>
    <definedName name="_9B_21">[16]연돌일위집계!#REF!</definedName>
    <definedName name="_9B_22">[16]연돌일위집계!#REF!</definedName>
    <definedName name="_9B_23">[16]연돌일위집계!#REF!</definedName>
    <definedName name="_9B_24">[16]연돌일위집계!#REF!</definedName>
    <definedName name="_9B_25">[16]연돌일위집계!#REF!</definedName>
    <definedName name="_9B_26">[16]연돌일위집계!#REF!</definedName>
    <definedName name="_9B_27">[16]연돌일위집계!#REF!</definedName>
    <definedName name="_9B_28">[16]연돌일위집계!#REF!</definedName>
    <definedName name="_9B_29">[16]연돌일위집계!#REF!</definedName>
    <definedName name="_9B_3">[16]연돌일위집계!#REF!</definedName>
    <definedName name="_9B_30">[16]연돌일위집계!#REF!</definedName>
    <definedName name="_9B_4">[16]연돌일위집계!#REF!</definedName>
    <definedName name="_9B_5">[16]연돌일위집계!#REF!</definedName>
    <definedName name="_9B_6">[16]연돌일위집계!#REF!</definedName>
    <definedName name="_9B_7">[16]연돌일위집계!#REF!</definedName>
    <definedName name="_9B_8">[16]연돌일위집계!#REF!</definedName>
    <definedName name="_9B_9">[16]연돌일위집계!#REF!</definedName>
    <definedName name="_9C_1">[16]연돌일위집계!#REF!</definedName>
    <definedName name="_9C_10">[16]연돌일위집계!#REF!</definedName>
    <definedName name="_9C_11">[16]연돌일위집계!#REF!</definedName>
    <definedName name="_9C_12">[16]연돌일위집계!#REF!</definedName>
    <definedName name="_9C_13">[16]연돌일위집계!#REF!</definedName>
    <definedName name="_9C_14">[16]연돌일위집계!#REF!</definedName>
    <definedName name="_9C_15">[16]연돌일위집계!#REF!</definedName>
    <definedName name="_9C_16">[16]연돌일위집계!#REF!</definedName>
    <definedName name="_9C_17">[16]연돌일위집계!#REF!</definedName>
    <definedName name="_9C_18">[16]연돌일위집계!#REF!</definedName>
    <definedName name="_9C_19">[16]연돌일위집계!#REF!</definedName>
    <definedName name="_9C_2">[16]연돌일위집계!#REF!</definedName>
    <definedName name="_9C_20">[16]연돌일위집계!#REF!</definedName>
    <definedName name="_9C_21">[16]연돌일위집계!#REF!</definedName>
    <definedName name="_9C_22">[16]연돌일위집계!#REF!</definedName>
    <definedName name="_9C_23">[16]연돌일위집계!#REF!</definedName>
    <definedName name="_9C_24">[16]연돌일위집계!#REF!</definedName>
    <definedName name="_9C_25">[16]연돌일위집계!#REF!</definedName>
    <definedName name="_9C_26">[16]연돌일위집계!#REF!</definedName>
    <definedName name="_9C_27">[16]연돌일위집계!#REF!</definedName>
    <definedName name="_9C_28">[16]연돌일위집계!#REF!</definedName>
    <definedName name="_9C_29">[16]연돌일위집계!#REF!</definedName>
    <definedName name="_9C_3">[16]연돌일위집계!#REF!</definedName>
    <definedName name="_9C_30">[16]연돌일위집계!#REF!</definedName>
    <definedName name="_9C_4">[16]연돌일위집계!#REF!</definedName>
    <definedName name="_9C_5">[16]연돌일위집계!#REF!</definedName>
    <definedName name="_9C_6">[16]연돌일위집계!#REF!</definedName>
    <definedName name="_9C_7">[16]연돌일위집계!#REF!</definedName>
    <definedName name="_9C_8">[16]연돌일위집계!#REF!</definedName>
    <definedName name="_9C_9">[16]연돌일위집계!#REF!</definedName>
    <definedName name="_9P13_">#REF!</definedName>
    <definedName name="_A" localSheetId="3">#REF!</definedName>
    <definedName name="_A">#REF!</definedName>
    <definedName name="_A1" localSheetId="3">#REF!</definedName>
    <definedName name="_A1" hidden="1">{#N/A,#N/A,TRUE,"Basic";#N/A,#N/A,TRUE,"EXT-TABLE";#N/A,#N/A,TRUE,"STEEL";#N/A,#N/A,TRUE,"INT-Table";#N/A,#N/A,TRUE,"STEEL";#N/A,#N/A,TRUE,"Door"}</definedName>
    <definedName name="_a122" hidden="1">{#N/A,#N/A,FALSE,"속도"}</definedName>
    <definedName name="_AOC2" localSheetId="3">#REF!</definedName>
    <definedName name="_AOC2">#REF!</definedName>
    <definedName name="_arf1" localSheetId="3" hidden="1">{#N/A,#N/A,FALSE,"Çaykara ataköy (1)";#N/A,#N/A,FALSE,"Çaykara ataköy (2)";#N/A,#N/A,FALSE,"Rize Kalkandere ";#N/A,#N/A,FALSE,"meydancık";#N/A,#N/A,FALSE,"muratlı"}</definedName>
    <definedName name="_arf1" hidden="1">{#N/A,#N/A,FALSE,"Çaykara ataköy (1)";#N/A,#N/A,FALSE,"Çaykara ataköy (2)";#N/A,#N/A,FALSE,"Rize Kalkandere ";#N/A,#N/A,FALSE,"meydancık";#N/A,#N/A,FALSE,"muratlı"}</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 localSheetId="3" hidden="1">7</definedName>
    <definedName name="_AtRisk_SimSetting_RandomNumberGenerator">0</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 localSheetId="3" hidden="1">1</definedName>
    <definedName name="_AtRisk_SimSetting_StdRecalcBehavior">0</definedName>
    <definedName name="_AtRisk_SimSetting_StdRecalcWithoutRiskStatic">0</definedName>
    <definedName name="_AtRisk_SimSetting_StdRecalcWithoutRiskStaticPercentile">0.5</definedName>
    <definedName name="_B1" localSheetId="3">#REF!</definedName>
    <definedName name="_B1">#REF!</definedName>
    <definedName name="_BBJ3" localSheetId="17">'[26]95삼성급(본사)'!#REF!</definedName>
    <definedName name="_BBJ3" localSheetId="15">'[26]95삼성급(본사)'!#REF!</definedName>
    <definedName name="_BBJ3">'[26]95삼성급(본사)'!#REF!</definedName>
    <definedName name="_BBQ1" localSheetId="3">'Overseas(新)'!_BBQ1</definedName>
    <definedName name="_BBQ1">[0]!_BBQ1</definedName>
    <definedName name="_BCJ3" localSheetId="17">'[26]95삼성급(본사)'!#REF!</definedName>
    <definedName name="_BCJ3" localSheetId="15">'[26]95삼성급(본사)'!#REF!</definedName>
    <definedName name="_BCJ3">'[26]95삼성급(본사)'!#REF!</definedName>
    <definedName name="_BDR3" localSheetId="17">'[26]95삼성급(본사)'!#REF!</definedName>
    <definedName name="_BDR3" localSheetId="15">'[26]95삼성급(본사)'!#REF!</definedName>
    <definedName name="_BDR3">'[26]95삼성급(본사)'!#REF!</definedName>
    <definedName name="_BGJ3" localSheetId="17">'[26]95삼성급(본사)'!#REF!</definedName>
    <definedName name="_BGJ3" localSheetId="15">'[26]95삼성급(본사)'!#REF!</definedName>
    <definedName name="_BGJ3">'[26]95삼성급(본사)'!#REF!</definedName>
    <definedName name="_BP01" hidden="1">{#N/A,#N/A,FALSE,"TABLE"}</definedName>
    <definedName name="_CDT2" localSheetId="3">#REF!</definedName>
    <definedName name="_CDT2">#REF!</definedName>
    <definedName name="_cey" localSheetId="3" hidden="1">#REF!</definedName>
    <definedName name="_cey" hidden="1">#REF!</definedName>
    <definedName name="_CIS1" localSheetId="3" hidden="1">{"'Grafik Kontrol'!$A$1:$J$8"}</definedName>
    <definedName name="_CIS1" hidden="1">{"'Grafik Kontrol'!$A$1:$J$8"}</definedName>
    <definedName name="_cort" localSheetId="3" hidden="1">#REF!</definedName>
    <definedName name="_cort" hidden="1">#REF!</definedName>
    <definedName name="_Dist_Bin" hidden="1">'[1]JIB CRANE,HOIST'!$F$58:$F$73</definedName>
    <definedName name="_Dist_Values" localSheetId="3" hidden="1">#REF!</definedName>
    <definedName name="_Dist_Values" hidden="1">#REF!</definedName>
    <definedName name="_ELL45" localSheetId="3">#REF!</definedName>
    <definedName name="_ELL45">#REF!</definedName>
    <definedName name="_ELL90" localSheetId="3">#REF!</definedName>
    <definedName name="_ELL90">#REF!</definedName>
    <definedName name="_END1">'[27]개시대사 (2)'!$G$49</definedName>
    <definedName name="_f2" localSheetId="3">#REF!</definedName>
    <definedName name="_f2">#REF!</definedName>
    <definedName name="_F3" localSheetId="3">#REF!</definedName>
    <definedName name="_F3">#REF!</definedName>
    <definedName name="_FF3" localSheetId="3">#REF!</definedName>
    <definedName name="_FF3">#REF!</definedName>
    <definedName name="_Fil" localSheetId="3" hidden="1">#REF!</definedName>
    <definedName name="_Fil" hidden="1">#REF!</definedName>
    <definedName name="_Fill" localSheetId="17" hidden="1">#REF!</definedName>
    <definedName name="_Fill" localSheetId="15" hidden="1">#REF!</definedName>
    <definedName name="_Fill" localSheetId="4" hidden="1">'[1]TOWER 10TON'!#REF!</definedName>
    <definedName name="_Fill" localSheetId="3" hidden="1">[28]외주현황.wq1!$A$403:$A$435</definedName>
    <definedName name="_Fill" hidden="1">#REF!</definedName>
    <definedName name="_Fill1" hidden="1">[29]S1BOQ!#REF!</definedName>
    <definedName name="_FILL2" hidden="1">#REF!</definedName>
    <definedName name="_xlnm._FilterDatabase" localSheetId="26" hidden="1">'11. 혼수비용 지출대장'!$A$2:$J$53</definedName>
    <definedName name="_xlnm._FilterDatabase" localSheetId="21" hidden="1">'2. 지출 내역 요약'!$A$3:$R$44</definedName>
    <definedName name="_xlnm._FilterDatabase" localSheetId="20" hidden="1">'2. 지출 내역 요약 (19-06-20)'!$A$3:$R$37</definedName>
    <definedName name="_xlnm._FilterDatabase" localSheetId="22" hidden="1">'3. 비용 지출 대장'!$A$2:$K$108</definedName>
    <definedName name="_xlnm._FilterDatabase" localSheetId="23" hidden="1">'4. 비용 수입 대장'!$A$2:$J$54</definedName>
    <definedName name="_xlnm._FilterDatabase" localSheetId="0" hidden="1">'Acro Riverheim'!$B$3:$G$35</definedName>
    <definedName name="_xlnm._FilterDatabase" localSheetId="12" hidden="1">APT!$A$2:$P$55</definedName>
    <definedName name="_xlnm._FilterDatabase" localSheetId="2" hidden="1">'Condolence Money'!$A$6:$L$111</definedName>
    <definedName name="_xlnm._FilterDatabase" localSheetId="1" hidden="1">'Congratulatory Money'!$A$2:$I$303</definedName>
    <definedName name="_xlnm._FilterDatabase" localSheetId="8" hidden="1">'Expenditure Details'!$A$1:$H$1</definedName>
    <definedName name="_xlnm._FilterDatabase" localSheetId="7" hidden="1">'Financial Statements'!$A$3:$DZ$3</definedName>
    <definedName name="_xlnm._FilterDatabase" localSheetId="17" hidden="1">'Golf Score'!$A$1:$AS$281</definedName>
    <definedName name="_xlnm._FilterDatabase" localSheetId="18" hidden="1">'Golf Score Summary'!$A$1:$O$89</definedName>
    <definedName name="_xlnm._FilterDatabase" localSheetId="16" hidden="1">'Golf WITB'!$A$2:$AC$104</definedName>
    <definedName name="_xlnm._FilterDatabase" localSheetId="15" hidden="1">Grandeur!$A$5:$G$75</definedName>
    <definedName name="_xlnm._FilterDatabase" localSheetId="3" hidden="1">#REF!</definedName>
    <definedName name="_xlnm._FilterDatabase" hidden="1">#REF!</definedName>
    <definedName name="_GO1" localSheetId="3">#REF!</definedName>
    <definedName name="_GO1">#REF!</definedName>
    <definedName name="_GO2" localSheetId="3">#REF!</definedName>
    <definedName name="_GO2">#REF!</definedName>
    <definedName name="_go3" localSheetId="3">#REF!</definedName>
    <definedName name="_go3">#REF!</definedName>
    <definedName name="_Goi8">{"'Sheet1'!$L$16"}</definedName>
    <definedName name="_hk4645" localSheetId="3" hidden="1">{#N/A,#N/A,FALSE,"ihz. icmal";#N/A,#N/A,FALSE,"avans";#N/A,#N/A,FALSE,"mal_FF_icm";#N/A,#N/A,FALSE,"fat_ihz";#N/A,#N/A,FALSE,"söz_fiy_fark";#N/A,#N/A,FALSE,"kap2"}</definedName>
    <definedName name="_hk4645" hidden="1">{#N/A,#N/A,FALSE,"ihz. icmal";#N/A,#N/A,FALSE,"avans";#N/A,#N/A,FALSE,"mal_FF_icm";#N/A,#N/A,FALSE,"fat_ihz";#N/A,#N/A,FALSE,"söz_fiy_fark";#N/A,#N/A,FALSE,"kap2"}</definedName>
    <definedName name="_Key1" localSheetId="17" hidden="1">#REF!</definedName>
    <definedName name="_Key1" localSheetId="15" hidden="1">#REF!</definedName>
    <definedName name="_Key1" localSheetId="4" hidden="1">#REF!</definedName>
    <definedName name="_Key1" localSheetId="3" hidden="1">[28]외주현황.wq1!$E$403:$E$455</definedName>
    <definedName name="_Key1" hidden="1">#REF!</definedName>
    <definedName name="_Key11" hidden="1">#REF!</definedName>
    <definedName name="_Key2" localSheetId="17" hidden="1">#REF!</definedName>
    <definedName name="_Key2" localSheetId="15" hidden="1">#REF!</definedName>
    <definedName name="_Key2" localSheetId="4" hidden="1">#REF!</definedName>
    <definedName name="_Key2" localSheetId="3" hidden="1">#REF!</definedName>
    <definedName name="_Key2" hidden="1">#REF!</definedName>
    <definedName name="_KEY3" hidden="1">#REF!</definedName>
    <definedName name="_key4" hidden="1">#REF!</definedName>
    <definedName name="_KWS1">#N/A</definedName>
    <definedName name="_KWS2">#N/A</definedName>
    <definedName name="_KWS3">#N/A</definedName>
    <definedName name="_MCC3" hidden="1">{#N/A,#N/A,FALSE,"CCTV"}</definedName>
    <definedName name="_MS275" localSheetId="3" hidden="1">{#N/A,#N/A,FALSE,"TABLE"}</definedName>
    <definedName name="_MS275" hidden="1">{#N/A,#N/A,FALSE,"TABLE"}</definedName>
    <definedName name="_num2" localSheetId="3">#REF!</definedName>
    <definedName name="_num2">#REF!</definedName>
    <definedName name="_Order1" localSheetId="4" hidden="1">0</definedName>
    <definedName name="_Order1" hidden="1">255</definedName>
    <definedName name="_Order2" localSheetId="3" hidden="1">0</definedName>
    <definedName name="_Order2" hidden="1">255</definedName>
    <definedName name="_ordr2">0</definedName>
    <definedName name="_ordwre2">0</definedName>
    <definedName name="_ou809" localSheetId="3">#REF!</definedName>
    <definedName name="_ou809">#REF!</definedName>
    <definedName name="_P1" localSheetId="3">#REF!</definedName>
    <definedName name="_P1">#REF!</definedName>
    <definedName name="_P10" localSheetId="3">#REF!</definedName>
    <definedName name="_P10">#REF!</definedName>
    <definedName name="_P11" localSheetId="3">#REF!</definedName>
    <definedName name="_P11">#REF!</definedName>
    <definedName name="_P12" localSheetId="3">#REF!</definedName>
    <definedName name="_P12">#REF!</definedName>
    <definedName name="_P13" localSheetId="3">#REF!</definedName>
    <definedName name="_P13">#REF!</definedName>
    <definedName name="_P14" localSheetId="3">#REF!</definedName>
    <definedName name="_P14">#REF!</definedName>
    <definedName name="_P15" localSheetId="3">#REF!</definedName>
    <definedName name="_P15">#REF!</definedName>
    <definedName name="_P16" localSheetId="3">#REF!</definedName>
    <definedName name="_P16">#REF!</definedName>
    <definedName name="_P17" localSheetId="3">#REF!</definedName>
    <definedName name="_P17">#REF!</definedName>
    <definedName name="_P2" localSheetId="3">#REF!</definedName>
    <definedName name="_P2">#REF!</definedName>
    <definedName name="_P3" localSheetId="3">#REF!</definedName>
    <definedName name="_P3">#REF!</definedName>
    <definedName name="_P4" localSheetId="3">#REF!</definedName>
    <definedName name="_P4">#REF!</definedName>
    <definedName name="_P5" localSheetId="3">#REF!</definedName>
    <definedName name="_P5">#REF!</definedName>
    <definedName name="_P6" localSheetId="3">#REF!</definedName>
    <definedName name="_P6">#REF!</definedName>
    <definedName name="_P7" localSheetId="3">#REF!</definedName>
    <definedName name="_P7">#REF!</definedName>
    <definedName name="_P8" localSheetId="3">#REF!</definedName>
    <definedName name="_P8">#REF!</definedName>
    <definedName name="_P9" localSheetId="3">#REF!</definedName>
    <definedName name="_P9">#REF!</definedName>
    <definedName name="_Parse_In" localSheetId="3" hidden="1">#REF!</definedName>
    <definedName name="_Parse_In" hidden="1">#REF!</definedName>
    <definedName name="_Parse_Out" localSheetId="3" hidden="1">#REF!</definedName>
    <definedName name="_Parse_Out" hidden="1">[30]갑지1!#REF!</definedName>
    <definedName name="_PC1" localSheetId="3">#REF!</definedName>
    <definedName name="_PC1">#REF!</definedName>
    <definedName name="_PC1079">'[9]General Data'!$B$8</definedName>
    <definedName name="_PH1" localSheetId="3">#REF!</definedName>
    <definedName name="_PH1">#REF!</definedName>
    <definedName name="_pill" localSheetId="3" hidden="1">#REF!</definedName>
    <definedName name="_pill" hidden="1">#REF!</definedName>
    <definedName name="_plc1">[31]INSTR!$A$5:$M$208</definedName>
    <definedName name="_PR1">#N/A</definedName>
    <definedName name="_PRO1" localSheetId="3">#REF!</definedName>
    <definedName name="_PRO1">#REF!</definedName>
    <definedName name="_PRO2" localSheetId="3">#REF!</definedName>
    <definedName name="_PRO2">#REF!</definedName>
    <definedName name="_PRO4" localSheetId="3">#REF!</definedName>
    <definedName name="_PRO4">#REF!</definedName>
    <definedName name="_PRO5" localSheetId="3">#REF!</definedName>
    <definedName name="_PRO5">#REF!</definedName>
    <definedName name="_PRO6" localSheetId="3">#REF!</definedName>
    <definedName name="_PRO6">#REF!</definedName>
    <definedName name="_PRO7" localSheetId="3">#REF!</definedName>
    <definedName name="_PRO7">#REF!</definedName>
    <definedName name="_PRO8" localSheetId="3">#REF!</definedName>
    <definedName name="_PRO8">#REF!</definedName>
    <definedName name="_PRO9" localSheetId="3">#REF!</definedName>
    <definedName name="_PRO9">#REF!</definedName>
    <definedName name="_RAD14" localSheetId="3" hidden="1">{#VALUE!,#N/A,FALSE,0;#N/A,#N/A,FALSE,0;#N/A,#N/A,FALSE,0;#N/A,#N/A,FALSE,0;#N/A,#N/A,FALSE,0;#N/A,#N/A,FALSE,0;#N/A,#N/A,FALSE,0;#N/A,#N/A,FALSE,0;#N/A,#N/A,FALSE,0;#N/A,#N/A,FALSE,0;#N/A,#N/A,FALSE,0;#N/A,#N/A,FALSE,0;#N/A,#N/A,FALSE,0;#N/A,#N/A,FALSE,0;#N/A,#N/A,FALSE,0;#N/A,#N/A,FALSE,0;#N/A,#N/A,FALSE,0;#N/A,#N/A,FALSE,0;#N/A,#N/A,FALSE,0;#N/A,#N/A,FALSE,0}</definedName>
    <definedName name="_RAD14" hidden="1">{#VALUE!,#N/A,FALSE,0;#N/A,#N/A,FALSE,0;#N/A,#N/A,FALSE,0;#N/A,#N/A,FALSE,0;#N/A,#N/A,FALSE,0;#N/A,#N/A,FALSE,0;#N/A,#N/A,FALSE,0;#N/A,#N/A,FALSE,0;#N/A,#N/A,FALSE,0;#N/A,#N/A,FALSE,0;#N/A,#N/A,FALSE,0;#N/A,#N/A,FALSE,0;#N/A,#N/A,FALSE,0;#N/A,#N/A,FALSE,0;#N/A,#N/A,FALSE,0;#N/A,#N/A,FALSE,0;#N/A,#N/A,FALSE,0;#N/A,#N/A,FALSE,0;#N/A,#N/A,FALSE,0;#N/A,#N/A,FALSE,0}</definedName>
    <definedName name="_RAD15" localSheetId="3" hidden="1">{#VALUE!,#N/A,FALSE,0;#N/A,#N/A,FALSE,0;#N/A,#N/A,FALSE,0;#N/A,#N/A,FALSE,0;#N/A,#N/A,FALSE,0}</definedName>
    <definedName name="_RAD15" hidden="1">{#VALUE!,#N/A,FALSE,0;#N/A,#N/A,FALSE,0;#N/A,#N/A,FALSE,0;#N/A,#N/A,FALSE,0;#N/A,#N/A,FALSE,0}</definedName>
    <definedName name="_RAD16" localSheetId="3" hidden="1">{#VALUE!,#N/A,FALSE,0;#N/A,#N/A,FALSE,0;#N/A,#N/A,FALSE,0;#N/A,#N/A,FALSE,0}</definedName>
    <definedName name="_RAD16" hidden="1">{#VALUE!,#N/A,FALSE,0;#N/A,#N/A,FALSE,0;#N/A,#N/A,FALSE,0;#N/A,#N/A,FALSE,0}</definedName>
    <definedName name="_RAD17" localSheetId="3" hidden="1">{#VALUE!,#N/A,TRUE,0;#N/A,#N/A,TRUE,0;#N/A,#N/A,TRUE,0;#N/A,#N/A,TRUE,0;#N/A,#N/A,TRUE,0;#N/A,#N/A,TRUE,0;#N/A,#N/A,TRUE,0;#N/A,#N/A,TRUE,0}</definedName>
    <definedName name="_RAD17" hidden="1">{#VALUE!,#N/A,TRUE,0;#N/A,#N/A,TRUE,0;#N/A,#N/A,TRUE,0;#N/A,#N/A,TRUE,0;#N/A,#N/A,TRUE,0;#N/A,#N/A,TRUE,0;#N/A,#N/A,TRUE,0;#N/A,#N/A,TRUE,0}</definedName>
    <definedName name="_RAD18" localSheetId="3" hidden="1">{#VALUE!,#N/A,FALSE,0;#N/A,#N/A,FALSE,0;#N/A,#N/A,FALSE,0;#N/A,#N/A,FALSE,0;#N/A,#N/A,FALSE,0;#N/A,#N/A,FALSE,0;#N/A,#N/A,FALSE,0;#N/A,#N/A,FALSE,0;#N/A,#N/A,FALSE,0;#N/A,#N/A,FALSE,0;#N/A,#N/A,FALSE,0}</definedName>
    <definedName name="_RAD18" hidden="1">{#VALUE!,#N/A,FALSE,0;#N/A,#N/A,FALSE,0;#N/A,#N/A,FALSE,0;#N/A,#N/A,FALSE,0;#N/A,#N/A,FALSE,0;#N/A,#N/A,FALSE,0;#N/A,#N/A,FALSE,0;#N/A,#N/A,FALSE,0;#N/A,#N/A,FALSE,0;#N/A,#N/A,FALSE,0;#N/A,#N/A,FALSE,0}</definedName>
    <definedName name="_RAD19" localSheetId="3" hidden="1">{#VALUE!,#N/A,FALSE,0;#N/A,#N/A,FALSE,0;#N/A,#N/A,FALSE,0;#N/A,#N/A,FALSE,0;#N/A,#N/A,FALSE,0;#N/A,#N/A,FALSE,0}</definedName>
    <definedName name="_RAD19" hidden="1">{#VALUE!,#N/A,FALSE,0;#N/A,#N/A,FALSE,0;#N/A,#N/A,FALSE,0;#N/A,#N/A,FALSE,0;#N/A,#N/A,FALSE,0;#N/A,#N/A,FALSE,0}</definedName>
    <definedName name="_RAD20" localSheetId="3" hidden="1">{#VALUE!,#N/A,FALSE,0;#N/A,#N/A,FALSE,0;#N/A,#N/A,FALSE,0;#N/A,#N/A,FALSE,0;#N/A,#N/A,FALSE,0;#N/A,#N/A,FALSE,0;#N/A,#N/A,FALSE,0;#N/A,#N/A,FALSE,0;#N/A,#N/A,FALSE,0;#N/A,#N/A,FALSE,0;#N/A,#N/A,FALSE,0;#N/A,#N/A,FALSE,0}</definedName>
    <definedName name="_RAD20" hidden="1">{#VALUE!,#N/A,FALSE,0;#N/A,#N/A,FALSE,0;#N/A,#N/A,FALSE,0;#N/A,#N/A,FALSE,0;#N/A,#N/A,FALSE,0;#N/A,#N/A,FALSE,0;#N/A,#N/A,FALSE,0;#N/A,#N/A,FALSE,0;#N/A,#N/A,FALSE,0;#N/A,#N/A,FALSE,0;#N/A,#N/A,FALSE,0;#N/A,#N/A,FALSE,0}</definedName>
    <definedName name="_RAD21" localSheetId="3" hidden="1">{#VALUE!,#N/A,TRUE,0;#N/A,#N/A,TRUE,0;#N/A,#N/A,TRUE,0;#N/A,#N/A,TRUE,0;#N/A,#N/A,TRUE,0;#N/A,#N/A,TRUE,0;#N/A,#N/A,TRUE,0}</definedName>
    <definedName name="_RAD21" hidden="1">{#VALUE!,#N/A,TRUE,0;#N/A,#N/A,TRUE,0;#N/A,#N/A,TRUE,0;#N/A,#N/A,TRUE,0;#N/A,#N/A,TRUE,0;#N/A,#N/A,TRUE,0;#N/A,#N/A,TRUE,0}</definedName>
    <definedName name="_RAD22" localSheetId="3" hidden="1">{#VALUE!,#N/A,FALSE,0;#N/A,#N/A,FALSE,0;#N/A,#N/A,FALSE,0;#N/A,#N/A,FALSE,0;#N/A,#N/A,FALSE,0;#N/A,#N/A,FALSE,0;#N/A,#N/A,FALSE,0;#N/A,#N/A,FALSE,0;#N/A,#N/A,FALSE,0;#N/A,#N/A,FALSE,0;#N/A,#N/A,FALSE,0;#N/A,#N/A,FALSE,0;#N/A,#N/A,FALSE,0;#N/A,#N/A,FALSE,0;#N/A,#N/A,FALSE,0;#N/A,#N/A,FALSE,0}</definedName>
    <definedName name="_RAD22" hidden="1">{#VALUE!,#N/A,FALSE,0;#N/A,#N/A,FALSE,0;#N/A,#N/A,FALSE,0;#N/A,#N/A,FALSE,0;#N/A,#N/A,FALSE,0;#N/A,#N/A,FALSE,0;#N/A,#N/A,FALSE,0;#N/A,#N/A,FALSE,0;#N/A,#N/A,FALSE,0;#N/A,#N/A,FALSE,0;#N/A,#N/A,FALSE,0;#N/A,#N/A,FALSE,0;#N/A,#N/A,FALSE,0;#N/A,#N/A,FALSE,0;#N/A,#N/A,FALSE,0;#N/A,#N/A,FALSE,0}</definedName>
    <definedName name="_RAD23" localSheetId="3" hidden="1">{#VALUE!,#N/A,FALSE,0;#N/A,#N/A,FALSE,0;#N/A,#N/A,FALSE,0;#N/A,#N/A,FALSE,0;#N/A,#N/A,FALSE,0;#N/A,#N/A,FALSE,0;#N/A,#N/A,FALSE,0;#N/A,#N/A,FALSE,0;#N/A,#N/A,FALSE,0;#N/A,#N/A,FALSE,0;#N/A,#N/A,FALSE,0;#N/A,#N/A,FALSE,0;#N/A,#N/A,FALSE,0;#N/A,#N/A,FALSE,0;#N/A,#N/A,FALSE,0;#N/A,#N/A,FALSE,0;#N/A,#N/A,FALSE,0}</definedName>
    <definedName name="_RAD23" hidden="1">{#VALUE!,#N/A,FALSE,0;#N/A,#N/A,FALSE,0;#N/A,#N/A,FALSE,0;#N/A,#N/A,FALSE,0;#N/A,#N/A,FALSE,0;#N/A,#N/A,FALSE,0;#N/A,#N/A,FALSE,0;#N/A,#N/A,FALSE,0;#N/A,#N/A,FALSE,0;#N/A,#N/A,FALSE,0;#N/A,#N/A,FALSE,0;#N/A,#N/A,FALSE,0;#N/A,#N/A,FALSE,0;#N/A,#N/A,FALSE,0;#N/A,#N/A,FALSE,0;#N/A,#N/A,FALSE,0;#N/A,#N/A,FALSE,0}</definedName>
    <definedName name="_RAD24" localSheetId="3" hidden="1">{#VALUE!,#N/A,FALSE,0;#N/A,#N/A,FALSE,0;#N/A,#N/A,FALSE,0;#N/A,#N/A,FALSE,0;#N/A,#N/A,FALSE,0;#N/A,#N/A,FALSE,0;#N/A,#N/A,FALSE,0;#N/A,#N/A,FALSE,0}</definedName>
    <definedName name="_RAD24" hidden="1">{#VALUE!,#N/A,FALSE,0;#N/A,#N/A,FALSE,0;#N/A,#N/A,FALSE,0;#N/A,#N/A,FALSE,0;#N/A,#N/A,FALSE,0;#N/A,#N/A,FALSE,0;#N/A,#N/A,FALSE,0;#N/A,#N/A,FALSE,0}</definedName>
    <definedName name="_RAD25" localSheetId="3" hidden="1">{#VALUE!,#N/A,FALSE,0;#N/A,#N/A,FALSE,0;#N/A,#N/A,FALSE,0;#N/A,#N/A,FALSE,0;#N/A,#N/A,FALSE,0;#N/A,#N/A,FALSE,0;#N/A,#N/A,FALSE,0;#N/A,#N/A,FALSE,0}</definedName>
    <definedName name="_RAD25" hidden="1">{#VALUE!,#N/A,FALSE,0;#N/A,#N/A,FALSE,0;#N/A,#N/A,FALSE,0;#N/A,#N/A,FALSE,0;#N/A,#N/A,FALSE,0;#N/A,#N/A,FALSE,0;#N/A,#N/A,FALSE,0;#N/A,#N/A,FALSE,0}</definedName>
    <definedName name="_RAD26" localSheetId="3" hidden="1">{#VALUE!,#N/A,FALSE,0;#N/A,#N/A,FALSE,0;#N/A,#N/A,FALSE,0;#N/A,#N/A,FALSE,0;#N/A,#N/A,FALSE,0;#N/A,#N/A,FALSE,0;#N/A,#N/A,FALSE,0;#N/A,#N/A,FALSE,0;#N/A,#N/A,FALSE,0;#N/A,#N/A,FALSE,0;#N/A,#N/A,FALSE,0;#N/A,#N/A,FALSE,0;#N/A,#N/A,FALSE,0;#N/A,#N/A,FALSE,0;#N/A,#N/A,FALSE,0;#N/A,#N/A,FALSE,0;#N/A,#N/A,FALSE,0;#N/A,#N/A,FALSE,0;#N/A,#N/A,FALSE,0;#N/A,#N/A,FALSE,0;#N/A,#N/A,FALSE,0}</definedName>
    <definedName name="_RAD26" hidden="1">{#VALUE!,#N/A,FALSE,0;#N/A,#N/A,FALSE,0;#N/A,#N/A,FALSE,0;#N/A,#N/A,FALSE,0;#N/A,#N/A,FALSE,0;#N/A,#N/A,FALSE,0;#N/A,#N/A,FALSE,0;#N/A,#N/A,FALSE,0;#N/A,#N/A,FALSE,0;#N/A,#N/A,FALSE,0;#N/A,#N/A,FALSE,0;#N/A,#N/A,FALSE,0;#N/A,#N/A,FALSE,0;#N/A,#N/A,FALSE,0;#N/A,#N/A,FALSE,0;#N/A,#N/A,FALSE,0;#N/A,#N/A,FALSE,0;#N/A,#N/A,FALSE,0;#N/A,#N/A,FALSE,0;#N/A,#N/A,FALSE,0;#N/A,#N/A,FALSE,0}</definedName>
    <definedName name="_RAD27" localSheetId="3" hidden="1">{#VALUE!,#N/A,FALSE,0;#N/A,#N/A,FALSE,0;#N/A,#N/A,FALSE,0;#N/A,#N/A,FALSE,0;#N/A,#N/A,FALSE,0;#N/A,#N/A,FALSE,0;#N/A,#N/A,FALSE,0}</definedName>
    <definedName name="_RAD27" hidden="1">{#VALUE!,#N/A,FALSE,0;#N/A,#N/A,FALSE,0;#N/A,#N/A,FALSE,0;#N/A,#N/A,FALSE,0;#N/A,#N/A,FALSE,0;#N/A,#N/A,FALSE,0;#N/A,#N/A,FALSE,0}</definedName>
    <definedName name="_RAD28" localSheetId="3"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28"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29" localSheetId="3" hidden="1">{#VALUE!,#N/A,FALSE,0;#N/A,#N/A,FALSE,0;#N/A,#N/A,FALSE,0;#N/A,#N/A,FALSE,0;#N/A,#N/A,FALSE,0;#N/A,#N/A,FALSE,0;#N/A,#N/A,FALSE,0;#N/A,#N/A,FALSE,0;#N/A,#N/A,FALSE,0;#N/A,#N/A,FALSE,0}</definedName>
    <definedName name="_RAD29" hidden="1">{#VALUE!,#N/A,FALSE,0;#N/A,#N/A,FALSE,0;#N/A,#N/A,FALSE,0;#N/A,#N/A,FALSE,0;#N/A,#N/A,FALSE,0;#N/A,#N/A,FALSE,0;#N/A,#N/A,FALSE,0;#N/A,#N/A,FALSE,0;#N/A,#N/A,FALSE,0;#N/A,#N/A,FALSE,0}</definedName>
    <definedName name="_RAD3" localSheetId="3" hidden="1">{#VALUE!,#N/A,FALSE,0;#N/A,#N/A,FALSE,0;#N/A,#N/A,FALSE,0;#N/A,#N/A,FALSE,0;#N/A,#N/A,FALSE,0}</definedName>
    <definedName name="_RAD3" hidden="1">{#VALUE!,#N/A,FALSE,0;#N/A,#N/A,FALSE,0;#N/A,#N/A,FALSE,0;#N/A,#N/A,FALSE,0;#N/A,#N/A,FALSE,0}</definedName>
    <definedName name="_RAD30" localSheetId="3" hidden="1">{#VALUE!,#N/A,FALSE,0;#N/A,#N/A,FALSE,0;#N/A,#N/A,FALSE,0;#N/A,#N/A,FALSE,0;#N/A,#N/A,FALSE,0;#N/A,#N/A,FALSE,0;#N/A,#N/A,FALSE,0;#N/A,#N/A,FALSE,0;#N/A,#N/A,FALSE,0;#N/A,#N/A,FALSE,0;#N/A,#N/A,FALSE,0;#N/A,#N/A,FALSE,0;#N/A,#N/A,FALSE,0;#N/A,#N/A,FALSE,0;#N/A,#N/A,FALSE,0;#N/A,#N/A,FALSE,0;#N/A,#N/A,FALSE,0;#N/A,#N/A,FALSE,0;#N/A,#N/A,FALSE,0;#N/A,#N/A,FALSE,0;#N/A,#N/A,FALSE,0}</definedName>
    <definedName name="_RAD30" hidden="1">{#VALUE!,#N/A,FALSE,0;#N/A,#N/A,FALSE,0;#N/A,#N/A,FALSE,0;#N/A,#N/A,FALSE,0;#N/A,#N/A,FALSE,0;#N/A,#N/A,FALSE,0;#N/A,#N/A,FALSE,0;#N/A,#N/A,FALSE,0;#N/A,#N/A,FALSE,0;#N/A,#N/A,FALSE,0;#N/A,#N/A,FALSE,0;#N/A,#N/A,FALSE,0;#N/A,#N/A,FALSE,0;#N/A,#N/A,FALSE,0;#N/A,#N/A,FALSE,0;#N/A,#N/A,FALSE,0;#N/A,#N/A,FALSE,0;#N/A,#N/A,FALSE,0;#N/A,#N/A,FALSE,0;#N/A,#N/A,FALSE,0;#N/A,#N/A,FALSE,0}</definedName>
    <definedName name="_RAD31" localSheetId="3" hidden="1">{#VALUE!,#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1" hidden="1">{#VALUE!,#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2" localSheetId="3"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3" localSheetId="3" hidden="1">{#VALUE!,#N/A,FALSE,0;#N/A,#N/A,FALSE,0;#N/A,#N/A,FALSE,0;#N/A,#N/A,FALSE,0;#N/A,#N/A,FALSE,0;#N/A,#N/A,FALSE,0;#N/A,#N/A,FALSE,0;#N/A,#N/A,FALSE,0;#N/A,#N/A,FALSE,0;#N/A,#N/A,FALSE,0;#N/A,#N/A,FALSE,0;#N/A,#N/A,FALSE,0;#N/A,#N/A,FALSE,0;#N/A,#N/A,FALSE,0;#N/A,#N/A,FALSE,0;#N/A,#N/A,FALSE,0;#N/A,#N/A,FALSE,0;#N/A,#N/A,FALSE,0;#N/A,#N/A,FALSE,0;#N/A,#N/A,FALSE,0;#N/A,#N/A,FALSE,0;#N/A,#N/A,FALSE,0}</definedName>
    <definedName name="_RAD33" hidden="1">{#VALUE!,#N/A,FALSE,0;#N/A,#N/A,FALSE,0;#N/A,#N/A,FALSE,0;#N/A,#N/A,FALSE,0;#N/A,#N/A,FALSE,0;#N/A,#N/A,FALSE,0;#N/A,#N/A,FALSE,0;#N/A,#N/A,FALSE,0;#N/A,#N/A,FALSE,0;#N/A,#N/A,FALSE,0;#N/A,#N/A,FALSE,0;#N/A,#N/A,FALSE,0;#N/A,#N/A,FALSE,0;#N/A,#N/A,FALSE,0;#N/A,#N/A,FALSE,0;#N/A,#N/A,FALSE,0;#N/A,#N/A,FALSE,0;#N/A,#N/A,FALSE,0;#N/A,#N/A,FALSE,0;#N/A,#N/A,FALSE,0;#N/A,#N/A,FALSE,0;#N/A,#N/A,FALSE,0}</definedName>
    <definedName name="_RAD34" localSheetId="3" hidden="1">{#VALUE!,#N/A,TRUE,0;#N/A,#N/A,TRUE,0;#N/A,#N/A,TRUE,0}</definedName>
    <definedName name="_RAD34" hidden="1">{#VALUE!,#N/A,TRUE,0;#N/A,#N/A,TRUE,0;#N/A,#N/A,TRUE,0}</definedName>
    <definedName name="_RAD35" localSheetId="3" hidden="1">{#VALUE!,#N/A,FALSE,0;#N/A,#N/A,FALSE,0;#N/A,#N/A,FALSE,0;#N/A,#N/A,FALSE,0;#N/A,#N/A,FALSE,0;#N/A,#N/A,FALSE,0;#N/A,#N/A,FALSE,0;#N/A,#N/A,FALSE,0;#N/A,#N/A,FALSE,0;#N/A,#N/A,FALSE,0;#N/A,#N/A,FALSE,0;#N/A,#N/A,FALSE,0;#N/A,#N/A,FALSE,0;#N/A,#N/A,FALSE,0;#N/A,#N/A,FALSE,0;#N/A,#N/A,FALSE,0;#N/A,#N/A,FALSE,0;#N/A,#N/A,FALSE,0}</definedName>
    <definedName name="_RAD35" hidden="1">{#VALUE!,#N/A,FALSE,0;#N/A,#N/A,FALSE,0;#N/A,#N/A,FALSE,0;#N/A,#N/A,FALSE,0;#N/A,#N/A,FALSE,0;#N/A,#N/A,FALSE,0;#N/A,#N/A,FALSE,0;#N/A,#N/A,FALSE,0;#N/A,#N/A,FALSE,0;#N/A,#N/A,FALSE,0;#N/A,#N/A,FALSE,0;#N/A,#N/A,FALSE,0;#N/A,#N/A,FALSE,0;#N/A,#N/A,FALSE,0;#N/A,#N/A,FALSE,0;#N/A,#N/A,FALSE,0;#N/A,#N/A,FALSE,0;#N/A,#N/A,FALSE,0}</definedName>
    <definedName name="_RAD36" localSheetId="3" hidden="1">{#VALUE!,#N/A,FALSE,0;#N/A,#N/A,FALSE,0;#N/A,#N/A,FALSE,0;#N/A,#N/A,FALSE,0;#N/A,#N/A,FALSE,0;#N/A,#N/A,FALSE,0;#N/A,#N/A,FALSE,0;#N/A,#N/A,FALSE,0;#N/A,#N/A,FALSE,0;#N/A,#N/A,FALSE,0;#N/A,#N/A,FALSE,0;#N/A,#N/A,FALSE,0;#N/A,#N/A,FALSE,0;#N/A,#N/A,FALSE,0;#N/A,#N/A,FALSE,0;#N/A,#N/A,FALSE,0;#N/A,#N/A,FALSE,0;#N/A,#N/A,FALSE,0;#N/A,#N/A,FALSE,0;#N/A,#N/A,FALSE,0}</definedName>
    <definedName name="_RAD36" hidden="1">{#VALUE!,#N/A,FALSE,0;#N/A,#N/A,FALSE,0;#N/A,#N/A,FALSE,0;#N/A,#N/A,FALSE,0;#N/A,#N/A,FALSE,0;#N/A,#N/A,FALSE,0;#N/A,#N/A,FALSE,0;#N/A,#N/A,FALSE,0;#N/A,#N/A,FALSE,0;#N/A,#N/A,FALSE,0;#N/A,#N/A,FALSE,0;#N/A,#N/A,FALSE,0;#N/A,#N/A,FALSE,0;#N/A,#N/A,FALSE,0;#N/A,#N/A,FALSE,0;#N/A,#N/A,FALSE,0;#N/A,#N/A,FALSE,0;#N/A,#N/A,FALSE,0;#N/A,#N/A,FALSE,0;#N/A,#N/A,FALSE,0}</definedName>
    <definedName name="_RAD4" localSheetId="3" hidden="1">{#VALUE!,#N/A,FALSE,0;#N/A,#N/A,FALSE,0;#N/A,#N/A,FALSE,0;#N/A,#N/A,FALSE,0;#N/A,#N/A,FALSE,0}</definedName>
    <definedName name="_RAD4" hidden="1">{#VALUE!,#N/A,FALSE,0;#N/A,#N/A,FALSE,0;#N/A,#N/A,FALSE,0;#N/A,#N/A,FALSE,0;#N/A,#N/A,FALSE,0}</definedName>
    <definedName name="_RAD7" localSheetId="3" hidden="1">{#VALUE!,#N/A,TRUE,0;#N/A,#N/A,TRUE,0;#N/A,#N/A,TRUE,0;#N/A,#N/A,TRUE,0;#N/A,#N/A,TRUE,0;#N/A,#N/A,TRUE,0;#N/A,#N/A,TRUE,0;#N/A,#N/A,TRUE,0}</definedName>
    <definedName name="_RAD7" hidden="1">{#VALUE!,#N/A,TRUE,0;#N/A,#N/A,TRUE,0;#N/A,#N/A,TRUE,0;#N/A,#N/A,TRUE,0;#N/A,#N/A,TRUE,0;#N/A,#N/A,TRUE,0;#N/A,#N/A,TRUE,0;#N/A,#N/A,TRUE,0}</definedName>
    <definedName name="_RAD8" localSheetId="3" hidden="1">{#VALUE!,#N/A,FALSE,0;#N/A,#N/A,FALSE,0;#N/A,#N/A,FALSE,0;#N/A,#N/A,FALSE,0;#N/A,#N/A,FALSE,0;#N/A,#N/A,FALSE,0;#N/A,#N/A,FALSE,0;#N/A,#N/A,FALSE,0;#N/A,#N/A,FALSE,0;#N/A,#N/A,FALSE,0;#N/A,#N/A,FALSE,0;#N/A,#N/A,FALSE,0;#N/A,#N/A,FALSE,0;#N/A,#N/A,FALSE,0;#N/A,#N/A,FALSE,0;#N/A,#N/A,FALSE,0;#N/A,#N/A,FALSE,0;#N/A,#N/A,FALSE,0;#N/A,#N/A,FALSE,0;#N/A,#N/A,FALSE,0;#N/A,#N/A,FALSE,0;#N/A,#N/A,FALSE,0}</definedName>
    <definedName name="_RAD8" hidden="1">{#VALUE!,#N/A,FALSE,0;#N/A,#N/A,FALSE,0;#N/A,#N/A,FALSE,0;#N/A,#N/A,FALSE,0;#N/A,#N/A,FALSE,0;#N/A,#N/A,FALSE,0;#N/A,#N/A,FALSE,0;#N/A,#N/A,FALSE,0;#N/A,#N/A,FALSE,0;#N/A,#N/A,FALSE,0;#N/A,#N/A,FALSE,0;#N/A,#N/A,FALSE,0;#N/A,#N/A,FALSE,0;#N/A,#N/A,FALSE,0;#N/A,#N/A,FALSE,0;#N/A,#N/A,FALSE,0;#N/A,#N/A,FALSE,0;#N/A,#N/A,FALSE,0;#N/A,#N/A,FALSE,0;#N/A,#N/A,FALSE,0;#N/A,#N/A,FALSE,0;#N/A,#N/A,FALSE,0}</definedName>
    <definedName name="_RE100" localSheetId="3">#REF!</definedName>
    <definedName name="_RE100">#REF!</definedName>
    <definedName name="_RE104" localSheetId="3">#REF!</definedName>
    <definedName name="_RE104">#REF!</definedName>
    <definedName name="_RE112" localSheetId="3">#REF!</definedName>
    <definedName name="_RE112">#REF!</definedName>
    <definedName name="_RE26" localSheetId="3">#REF!</definedName>
    <definedName name="_RE26">#REF!</definedName>
    <definedName name="_RE28" localSheetId="3">#REF!</definedName>
    <definedName name="_RE28">#REF!</definedName>
    <definedName name="_RE30" localSheetId="3">#REF!</definedName>
    <definedName name="_RE30">#REF!</definedName>
    <definedName name="_RE32" localSheetId="3">#REF!</definedName>
    <definedName name="_RE32">#REF!</definedName>
    <definedName name="_RE34" localSheetId="3">#REF!</definedName>
    <definedName name="_RE34">#REF!</definedName>
    <definedName name="_RE36" localSheetId="3">#REF!</definedName>
    <definedName name="_RE36">#REF!</definedName>
    <definedName name="_RE38" localSheetId="3">#REF!</definedName>
    <definedName name="_RE38">#REF!</definedName>
    <definedName name="_RE40" localSheetId="3">#REF!</definedName>
    <definedName name="_RE40">#REF!</definedName>
    <definedName name="_RE42" localSheetId="3">#REF!</definedName>
    <definedName name="_RE42">#REF!</definedName>
    <definedName name="_RE44" localSheetId="3">#REF!</definedName>
    <definedName name="_RE44">#REF!</definedName>
    <definedName name="_RE48" localSheetId="3">#REF!</definedName>
    <definedName name="_RE48">#REF!</definedName>
    <definedName name="_RE52" localSheetId="3">#REF!</definedName>
    <definedName name="_RE52">#REF!</definedName>
    <definedName name="_RE56" localSheetId="3">#REF!</definedName>
    <definedName name="_RE56">#REF!</definedName>
    <definedName name="_RE60" localSheetId="3">#REF!</definedName>
    <definedName name="_RE60">#REF!</definedName>
    <definedName name="_RE64" localSheetId="3">#REF!</definedName>
    <definedName name="_RE64">#REF!</definedName>
    <definedName name="_RE68" localSheetId="3">#REF!</definedName>
    <definedName name="_RE68">#REF!</definedName>
    <definedName name="_RE72" localSheetId="3">#REF!</definedName>
    <definedName name="_RE72">#REF!</definedName>
    <definedName name="_RE76" localSheetId="3">#REF!</definedName>
    <definedName name="_RE76">#REF!</definedName>
    <definedName name="_RE80" localSheetId="3">#REF!</definedName>
    <definedName name="_RE80">#REF!</definedName>
    <definedName name="_RE88" localSheetId="3">#REF!</definedName>
    <definedName name="_RE88">#REF!</definedName>
    <definedName name="_RE92" localSheetId="3">#REF!</definedName>
    <definedName name="_RE92">#REF!</definedName>
    <definedName name="_RE96" localSheetId="3">#REF!</definedName>
    <definedName name="_RE96">#REF!</definedName>
    <definedName name="_Regression_Int" hidden="1">1</definedName>
    <definedName name="_Regression_Out" localSheetId="3" hidden="1">#REF!</definedName>
    <definedName name="_Regression_Out" hidden="1">#REF!</definedName>
    <definedName name="_Regression_X" localSheetId="3" hidden="1">#REF!</definedName>
    <definedName name="_Regression_X" hidden="1">#REF!</definedName>
    <definedName name="_Regression_Y" localSheetId="3" hidden="1">#REF!</definedName>
    <definedName name="_Regression_Y" hidden="1">#REF!</definedName>
    <definedName name="_rev1" localSheetId="3">#REF!</definedName>
    <definedName name="_rev1">#REF!</definedName>
    <definedName name="_rev3" localSheetId="3">#REF!</definedName>
    <definedName name="_rev3">#REF!</definedName>
    <definedName name="_rev4" localSheetId="3">#REF!</definedName>
    <definedName name="_rev4">#REF!</definedName>
    <definedName name="_rev5" localSheetId="3">#REF!</definedName>
    <definedName name="_rev5">#REF!</definedName>
    <definedName name="_rev6" localSheetId="3">#REF!</definedName>
    <definedName name="_rev6">#REF!</definedName>
    <definedName name="_s3">'[32]h-013211-2'!$C$5</definedName>
    <definedName name="_SHT48" localSheetId="3">#REF!</definedName>
    <definedName name="_SHT48">#REF!</definedName>
    <definedName name="_soc2"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localSheetId="17" hidden="1">#REF!</definedName>
    <definedName name="_Sort" localSheetId="15" hidden="1">#REF!</definedName>
    <definedName name="_Sort" localSheetId="4" hidden="1">#REF!</definedName>
    <definedName name="_Sort" localSheetId="3" hidden="1">#N/A</definedName>
    <definedName name="_Sort" hidden="1">#REF!</definedName>
    <definedName name="_SUN1">#N/A</definedName>
    <definedName name="_SUN2">#N/A</definedName>
    <definedName name="_t1" hidden="1">#REF!</definedName>
    <definedName name="_t2" hidden="1">#REF!</definedName>
    <definedName name="_Table1_In1" localSheetId="3" hidden="1">#REF!</definedName>
    <definedName name="_Table1_In1" hidden="1">#REF!</definedName>
    <definedName name="_Table1_Out" localSheetId="3" hidden="1">#REF!</definedName>
    <definedName name="_Table1_Out" hidden="1">#REF!</definedName>
    <definedName name="_TB1" localSheetId="3">#REF!</definedName>
    <definedName name="_TB1">#REF!</definedName>
    <definedName name="_tg1" hidden="1">{"LKD",#N/A,FALSE,"표지"}</definedName>
    <definedName name="_tg3" hidden="1">{"LKD",#N/A,FALSE,"표지"}</definedName>
    <definedName name="_tg4" hidden="1">{"LKD",#N/A,FALSE,"표지"}</definedName>
    <definedName name="_tgt25" localSheetId="3">#REF!</definedName>
    <definedName name="_tgt25">#REF!</definedName>
    <definedName name="_TMAutoChartCount" hidden="1">1</definedName>
    <definedName name="_tut2" hidden="1">'[33]Tut 1'!$G$3:$G$3</definedName>
    <definedName name="¡ÆC">#N/A</definedName>
    <definedName name="´cAE°eE¹" localSheetId="17" hidden="1">#REF!</definedName>
    <definedName name="´cAE°eE¹" localSheetId="15" hidden="1">#REF!</definedName>
    <definedName name="´cAE°eE¹" localSheetId="4" hidden="1">#REF!</definedName>
    <definedName name="´cAE°eE¹" localSheetId="3" hidden="1">#REF!</definedName>
    <definedName name="´cAE°eE¹" hidden="1">#REF!</definedName>
    <definedName name="¿uº°¿μ¾÷" localSheetId="17">#REF!</definedName>
    <definedName name="¿uº°¿μ¾÷" localSheetId="15">#REF!</definedName>
    <definedName name="¿uº°¿μ¾÷" localSheetId="3">#REF!</definedName>
    <definedName name="¿uº°¿μ¾÷">#REF!</definedName>
    <definedName name="￠?u¨￢¡Æ￠?￥i¨u¡A" localSheetId="17">#REF!</definedName>
    <definedName name="￠?u¨￢¡Æ￠?￥i¨u¡A" localSheetId="15">#REF!</definedName>
    <definedName name="￠?u¨￢¡Æ￠?￥i¨u¡A" localSheetId="3">#REF!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 localSheetId="17">[34]상반기손익차2총괄!#REF!</definedName>
    <definedName name="￠´￠￢" localSheetId="15">[34]상반기손익차2총괄!#REF!</definedName>
    <definedName name="￠´￠￢">[34]상반기손익차2총괄!#REF!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 localSheetId="17">'[35]9-1차이내역'!#REF!</definedName>
    <definedName name="￠´I" localSheetId="15">'[35]9-1차이내역'!#REF!</definedName>
    <definedName name="￠´I">'[35]9-1차이내역'!#REF!</definedName>
    <definedName name="￠´I￠´I￠´I">#N/A</definedName>
    <definedName name="￠￥cAE¡ÆeEⓒo" localSheetId="17" hidden="1">#REF!</definedName>
    <definedName name="￠￥cAE¡ÆeEⓒo" localSheetId="15" hidden="1">#REF!</definedName>
    <definedName name="￠￥cAE¡ÆeEⓒo" localSheetId="4" hidden="1">#REF!</definedName>
    <definedName name="￠￥cAE¡ÆeEⓒo" localSheetId="3" hidden="1">#REF!</definedName>
    <definedName name="￠￥cAE¡ÆeEⓒo" hidden="1">#REF!</definedName>
    <definedName name="￡">#REF!</definedName>
    <definedName name="¤¸" localSheetId="17">[36]상반기손익차2총괄!#REF!</definedName>
    <definedName name="¤¸" localSheetId="15">[36]상반기손익차2총괄!#REF!</definedName>
    <definedName name="¤¸">[36]상반기손익차2총괄!#REF!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 localSheetId="17">'[35]9-1차이내역'!#REF!</definedName>
    <definedName name="¤I" localSheetId="15">'[35]9-1차이내역'!#REF!</definedName>
    <definedName name="¤I">'[35]9-1차이내역'!#REF!</definedName>
    <definedName name="¤I¤I¤I">#N/A</definedName>
    <definedName name="￥">#REF!</definedName>
    <definedName name="\" localSheetId="3">#REF!</definedName>
    <definedName name="￦">#REF!</definedName>
    <definedName name="\0" localSheetId="3">#REF!</definedName>
    <definedName name="\0">#N/A</definedName>
    <definedName name="\a">#N/A</definedName>
    <definedName name="\b">#N/A</definedName>
    <definedName name="\c">#N/A</definedName>
    <definedName name="\d">#N/A</definedName>
    <definedName name="\E" localSheetId="17">#REF!</definedName>
    <definedName name="\E" localSheetId="15">#REF!</definedName>
    <definedName name="\e" localSheetId="4">#N/A</definedName>
    <definedName name="\e" localSheetId="3">#N/A</definedName>
    <definedName name="\E">#REF!</definedName>
    <definedName name="\f">#N/A</definedName>
    <definedName name="\FF" localSheetId="17">'[37]97 사업추정(WEKI)'!#REF!</definedName>
    <definedName name="\FF" localSheetId="15">'[37]97 사업추정(WEKI)'!#REF!</definedName>
    <definedName name="\FF">'[37]97 사업추정(WEKI)'!#REF!</definedName>
    <definedName name="\FG" localSheetId="17">[38]손익차9월2!#REF!</definedName>
    <definedName name="\FG" localSheetId="15">[38]손익차9월2!#REF!</definedName>
    <definedName name="\FG">[38]손익차9월2!#REF!</definedName>
    <definedName name="\g">#N/A</definedName>
    <definedName name="\h">#N/A</definedName>
    <definedName name="\i">#N/A</definedName>
    <definedName name="\j">#N/A</definedName>
    <definedName name="\k">#N/A</definedName>
    <definedName name="\KWS123">#N/A</definedName>
    <definedName name="\LARGE" localSheetId="3">#REF!</definedName>
    <definedName name="\LARGE">#REF!</definedName>
    <definedName name="\LL" localSheetId="3">#REF!</definedName>
    <definedName name="\LL">#REF!</definedName>
    <definedName name="\m">#N/A</definedName>
    <definedName name="\MIDDLE" localSheetId="3">#REF!</definedName>
    <definedName name="\MIDDLE">#REF!</definedName>
    <definedName name="\n">#N/A</definedName>
    <definedName name="\O" localSheetId="17">#REF!</definedName>
    <definedName name="\O" localSheetId="15">#REF!</definedName>
    <definedName name="\O" localSheetId="3">#REF!</definedName>
    <definedName name="\O">#REF!</definedName>
    <definedName name="\p">#N/A</definedName>
    <definedName name="\PP" localSheetId="17">#REF!</definedName>
    <definedName name="\PP" localSheetId="15">#REF!</definedName>
    <definedName name="\PP" localSheetId="3">#REF!</definedName>
    <definedName name="\PP">#REF!</definedName>
    <definedName name="\q" localSheetId="3">#N/A</definedName>
    <definedName name="\q">#REF!</definedName>
    <definedName name="\r">#N/A</definedName>
    <definedName name="\s" localSheetId="17">'[26]95삼성급(본사)'!#REF!</definedName>
    <definedName name="\s" localSheetId="15">'[26]95삼성급(본사)'!#REF!</definedName>
    <definedName name="\s" localSheetId="4">#N/A</definedName>
    <definedName name="\s">'[26]95삼성급(본사)'!#REF!</definedName>
    <definedName name="\SMALL" localSheetId="3">#REF!</definedName>
    <definedName name="\SMALL">#REF!</definedName>
    <definedName name="\t">#N/A</definedName>
    <definedName name="\v" localSheetId="3">#REF!</definedName>
    <definedName name="\v">#REF!</definedName>
    <definedName name="\w" localSheetId="3">#REF!</definedName>
    <definedName name="\w">#REF!</definedName>
    <definedName name="\X" localSheetId="3">#REF!</definedName>
    <definedName name="\X">#REF!</definedName>
    <definedName name="\y" localSheetId="3">#REF!</definedName>
    <definedName name="\y">#REF!</definedName>
    <definedName name="\Z" localSheetId="17">#REF!</definedName>
    <definedName name="\Z" localSheetId="15">#REF!</definedName>
    <definedName name="\z" localSheetId="4">#N/A</definedName>
    <definedName name="\Z" localSheetId="3">#REF!</definedName>
    <definedName name="\Z">#REF!</definedName>
    <definedName name="°C">#N/A</definedName>
    <definedName name="°Ç">#N/A</definedName>
    <definedName name="¼o¼o½CAu7¿u">#N/A</definedName>
    <definedName name="¼ö¼ö½ÇÀû7¿ù">#N/A</definedName>
    <definedName name="¹eºI³≫¿ª" localSheetId="17">[39]주관사업!#REF!</definedName>
    <definedName name="¹eºI³≫¿ª" localSheetId="15">[39]주관사업!#REF!</definedName>
    <definedName name="¹eºI³≫¿ª">[39]주관사업!#REF!</definedName>
    <definedName name="A" localSheetId="17">[40]영업소실적!#REF!</definedName>
    <definedName name="A" localSheetId="15">[40]영업소실적!#REF!</definedName>
    <definedName name="A" localSheetId="4">#REF!</definedName>
    <definedName name="A" localSheetId="3">#REF!</definedName>
    <definedName name="A">[40]영업소실적!#REF!</definedName>
    <definedName name="A_1" localSheetId="3" hidden="1">{#N/A,#N/A,FALSE,"BRIM_ICMAL";#N/A,#N/A,FALSE,"ASE_KUR";#N/A,#N/A,FALSE,"ASE_YES";#N/A,#N/A,FALSE,"AM_KUR";#N/A,#N/A,FALSE,"AMU_YES";#N/A,#N/A,FALSE,"PAR_KUR";#N/A,#N/A,FALSE,"PAR_YES";#N/A,#N/A,FALSE,"YSE_KUR";#N/A,#N/A,FALSE,"YSE_YES";#N/A,#N/A,FALSE,"YMU_KUR";#N/A,#N/A,FALSE,"YM_YES"}</definedName>
    <definedName name="A_1" hidden="1">{#N/A,#N/A,FALSE,"BRIM_ICMAL";#N/A,#N/A,FALSE,"ASE_KUR";#N/A,#N/A,FALSE,"ASE_YES";#N/A,#N/A,FALSE,"AM_KUR";#N/A,#N/A,FALSE,"AMU_YES";#N/A,#N/A,FALSE,"PAR_KUR";#N/A,#N/A,FALSE,"PAR_YES";#N/A,#N/A,FALSE,"YSE_KUR";#N/A,#N/A,FALSE,"YSE_YES";#N/A,#N/A,FALSE,"YMU_KUR";#N/A,#N/A,FALSE,"YM_YES"}</definedName>
    <definedName name="A_3100INQ" localSheetId="3">#REF!</definedName>
    <definedName name="A_3100INQ">#REF!</definedName>
    <definedName name="A_3100REV" localSheetId="3">#REF!</definedName>
    <definedName name="A_3100REV">#REF!</definedName>
    <definedName name="A_3200INQ" localSheetId="3">#REF!</definedName>
    <definedName name="A_3200INQ">#REF!</definedName>
    <definedName name="A_3200REV" localSheetId="3">#REF!</definedName>
    <definedName name="A_3200REV">#REF!</definedName>
    <definedName name="a_dash" localSheetId="17">#REF!</definedName>
    <definedName name="a_dash" localSheetId="15">#REF!</definedName>
    <definedName name="a_dash" localSheetId="3">#REF!</definedName>
    <definedName name="a_dash">#REF!</definedName>
    <definedName name="A_EQUIP" localSheetId="3">#REF!</definedName>
    <definedName name="A_EQUIP">#REF!</definedName>
    <definedName name="A_LABOR" localSheetId="3">#REF!</definedName>
    <definedName name="A_LABOR">#REF!</definedName>
    <definedName name="A_MATL" localSheetId="3">#REF!</definedName>
    <definedName name="A_MATL">#REF!</definedName>
    <definedName name="A_MH" localSheetId="3">#REF!</definedName>
    <definedName name="A_MH">#REF!</definedName>
    <definedName name="A_OTHER" localSheetId="3">#REF!</definedName>
    <definedName name="A_OTHER">#REF!</definedName>
    <definedName name="A_REV_TOTAL" localSheetId="3">#REF!</definedName>
    <definedName name="A_REV_TOTAL">#REF!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_" localSheetId="3">#REF!</definedName>
    <definedName name="A2_">#REF!</definedName>
    <definedName name="A3_" localSheetId="3">#REF!</definedName>
    <definedName name="A3_">#REF!</definedName>
    <definedName name="A4_" localSheetId="3">#REF!</definedName>
    <definedName name="A4_">#REF!</definedName>
    <definedName name="A5_" localSheetId="3">#REF!</definedName>
    <definedName name="A5_">#REF!</definedName>
    <definedName name="A6_" localSheetId="3">#REF!</definedName>
    <definedName name="A6_">#REF!</definedName>
    <definedName name="A7_" localSheetId="3">#REF!</definedName>
    <definedName name="A7_">#REF!</definedName>
    <definedName name="A90P" localSheetId="3">#REF!</definedName>
    <definedName name="A90P">#REF!</definedName>
    <definedName name="AA" localSheetId="4" hidden="1">{"MAN H.O.",#N/A,FALSE,"tabella"}</definedName>
    <definedName name="AA" localSheetId="3">#REF!</definedName>
    <definedName name="AA">#N/A</definedName>
    <definedName name="Åä">#N/A</definedName>
    <definedName name="aa_1" localSheetId="3" hidden="1">{"'Grafik Kontrol'!$A$1:$J$8"}</definedName>
    <definedName name="aa_1" hidden="1">{"'Grafik Kontrol'!$A$1:$J$8"}</definedName>
    <definedName name="AAA" localSheetId="17">#REF!</definedName>
    <definedName name="AAA" localSheetId="15">#REF!</definedName>
    <definedName name="aaa" localSheetId="4">"기술자료"</definedName>
    <definedName name="aaa" localSheetId="3">"기술자료"</definedName>
    <definedName name="AAA">#REF!</definedName>
    <definedName name="aaaa" localSheetId="0">BlankMacro1</definedName>
    <definedName name="aaaa" localSheetId="2">BlankMacro1</definedName>
    <definedName name="aaaa" localSheetId="17">BlankMacro1</definedName>
    <definedName name="aaaa" localSheetId="15">BlankMacro1</definedName>
    <definedName name="aaaa" localSheetId="4">#REF!</definedName>
    <definedName name="AAAA" localSheetId="3" hidden="1">#REF!</definedName>
    <definedName name="aaaa">BlankMacro1</definedName>
    <definedName name="aaaa1" localSheetId="3" hidden="1">{#N/A,#N/A,TRUE,"Basic";#N/A,#N/A,TRUE,"EXT-TABLE";#N/A,#N/A,TRUE,"STEEL";#N/A,#N/A,TRUE,"INT-Table";#N/A,#N/A,TRUE,"STEEL";#N/A,#N/A,TRUE,"Door"}</definedName>
    <definedName name="aaaa1" hidden="1">{#N/A,#N/A,TRUE,"Basic";#N/A,#N/A,TRUE,"EXT-TABLE";#N/A,#N/A,TRUE,"STEEL";#N/A,#N/A,TRUE,"INT-Table";#N/A,#N/A,TRUE,"STEEL";#N/A,#N/A,TRUE,"Door"}</definedName>
    <definedName name="aaaaa" localSheetId="3" hidden="1">{#N/A,#N/A,TRUE,"Basic";#N/A,#N/A,TRUE,"EXT-TABLE";#N/A,#N/A,TRUE,"STEEL";#N/A,#N/A,TRUE,"INT-Table";#N/A,#N/A,TRUE,"STEEL";#N/A,#N/A,TRUE,"Door"}</definedName>
    <definedName name="aaaaa" hidden="1">{#N/A,#N/A,TRUE,"Basic";#N/A,#N/A,TRUE,"EXT-TABLE";#N/A,#N/A,TRUE,"STEEL";#N/A,#N/A,TRUE,"INT-Table";#N/A,#N/A,TRUE,"STEEL";#N/A,#N/A,TRUE,"Door"}</definedName>
    <definedName name="aaaaa_1" hidden="1">{#N/A,#N/A,TRUE,"Basic";#N/A,#N/A,TRUE,"EXT-TABLE";#N/A,#N/A,TRUE,"STEEL";#N/A,#N/A,TRUE,"INT-Table";#N/A,#N/A,TRUE,"STEEL";#N/A,#N/A,TRUE,"Door"}</definedName>
    <definedName name="AAAAA1" hidden="1">{#N/A,#N/A,TRUE,"Basic";#N/A,#N/A,TRUE,"EXT-TABLE";#N/A,#N/A,TRUE,"STEEL";#N/A,#N/A,TRUE,"INT-Table";#N/A,#N/A,TRUE,"STEEL";#N/A,#N/A,TRUE,"Door"}</definedName>
    <definedName name="aaaaaa"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a" localSheetId="3"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aaaaaa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aaaaaaaa" localSheetId="3" hidden="1">{#N/A,#N/A,FALSE,"ihz. icmal";#N/A,#N/A,FALSE,"avans";#N/A,#N/A,FALSE,"mal_FF_icm";#N/A,#N/A,FALSE,"fat_ihz";#N/A,#N/A,FALSE,"söz_fiy_fark";#N/A,#N/A,FALSE,"kap2"}</definedName>
    <definedName name="aaaaaaaaa" hidden="1">{#N/A,#N/A,FALSE,"ihz. icmal";#N/A,#N/A,FALSE,"avans";#N/A,#N/A,FALSE,"mal_FF_icm";#N/A,#N/A,FALSE,"fat_ihz";#N/A,#N/A,FALSE,"söz_fiy_fark";#N/A,#N/A,FALSE,"kap2"}</definedName>
    <definedName name="aaaaaaaaas"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aaa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fff">{"'장비'!$A$3:$M$12"}</definedName>
    <definedName name="aæÐRIiÞA_Iª">#N/A</definedName>
    <definedName name="AAS">{"Book1","DOC&amp;DWG.xls"}</definedName>
    <definedName name="aasdsd"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aasdsd"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ab" localSheetId="3" hidden="1">{#N/A,#N/A,TRUE,"Basic";#N/A,#N/A,TRUE,"EXT-TABLE";#N/A,#N/A,TRUE,"STEEL";#N/A,#N/A,TRUE,"INT-Table";#N/A,#N/A,TRUE,"STEEL";#N/A,#N/A,TRUE,"Door"}</definedName>
    <definedName name="ab" hidden="1">#REF!</definedName>
    <definedName name="ab_1" hidden="1">{#N/A,#N/A,TRUE,"Basic";#N/A,#N/A,TRUE,"EXT-TABLE";#N/A,#N/A,TRUE,"STEEL";#N/A,#N/A,TRUE,"INT-Table";#N/A,#N/A,TRUE,"STEEL";#N/A,#N/A,TRUE,"Door"}</definedName>
    <definedName name="ab_R_BREAKDOWN_PART1">[41]XZLC003_PART1!$A$7:$G$7</definedName>
    <definedName name="ab_R_BREAKDOWN_PART2">[42]XZLC004_PART2!$A$7:$G$7</definedName>
    <definedName name="abb" localSheetId="3" hidden="1">{#N/A,#N/A,FALSE,"TABLE"}</definedName>
    <definedName name="abb" hidden="1">{#N/A,#N/A,FALSE,"TABLE"}</definedName>
    <definedName name="abc" localSheetId="3" hidden="1">{#N/A,#N/A,TRUE,"Basic";#N/A,#N/A,TRUE,"EXT-TABLE";#N/A,#N/A,TRUE,"STEEL";#N/A,#N/A,TRUE,"INT-Table";#N/A,#N/A,TRUE,"STEEL";#N/A,#N/A,TRUE,"Door"}</definedName>
    <definedName name="abc" hidden="1">{#N/A,#N/A,TRUE,"Basic";#N/A,#N/A,TRUE,"EXT-TABLE";#N/A,#N/A,TRUE,"STEEL";#N/A,#N/A,TRUE,"INT-Table";#N/A,#N/A,TRUE,"STEEL";#N/A,#N/A,TRUE,"Door"}</definedName>
    <definedName name="abc_1" hidden="1">{#N/A,#N/A,TRUE,"Basic";#N/A,#N/A,TRUE,"EXT-TABLE";#N/A,#N/A,TRUE,"STEEL";#N/A,#N/A,TRUE,"INT-Table";#N/A,#N/A,TRUE,"STEEL";#N/A,#N/A,TRUE,"Door"}</definedName>
    <definedName name="ac" hidden="1">#REF!</definedName>
    <definedName name="aⓒ¡¨￠RIi¨­A_I¨￡">#N/A</definedName>
    <definedName name="acbd"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d"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e"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e"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f"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f"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g"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g"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C" localSheetId="3">#REF!</definedName>
    <definedName name="ACC">#REF!</definedName>
    <definedName name="ACC_PROD" localSheetId="3">#REF!</definedName>
    <definedName name="ACC_PROD">#REF!</definedName>
    <definedName name="AccArea">#N/A</definedName>
    <definedName name="Access_Button" localSheetId="3" hidden="1">"업체현황_카드발송_List"</definedName>
    <definedName name="Access_Button">"PJTFINAL_F02F11_List"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3" hidden="1">"C:\My Documents\SCD\업무연락안양식.mdb"</definedName>
    <definedName name="AccessDatabase" hidden="1">"E:\WORK\VISUAL\MIRAE\LOADSYS\LoadDB.mdb"</definedName>
    <definedName name="AccVol">#N/A</definedName>
    <definedName name="ACDA" hidden="1">[43]GAEYO!#REF!</definedName>
    <definedName name="ad" hidden="1">{#N/A,#N/A,FALSE,"이태원철근"}</definedName>
    <definedName name="ada" hidden="1">{#N/A,#N/A,FALSE,"이태원철근"}</definedName>
    <definedName name="adadadadad" hidden="1">[44]METRAJ!#REF!</definedName>
    <definedName name="ADBA" localSheetId="3" hidden="1">{#N/A,#N/A,FALSE,"müş_iç_ihz";#N/A,#N/A,FALSE,"müş_iç_er";#N/A,#N/A,FALSE,"müş_iç_tut"}</definedName>
    <definedName name="ADBA" hidden="1">{#N/A,#N/A,FALSE,"müş_iç_ihz";#N/A,#N/A,FALSE,"müş_iç_er";#N/A,#N/A,FALSE,"müş_iç_tut"}</definedName>
    <definedName name="ADC" localSheetId="3" hidden="1">#REF!</definedName>
    <definedName name="ADC" hidden="1">#REF!</definedName>
    <definedName name="adip_num" localSheetId="3">#REF!</definedName>
    <definedName name="adip_num">#REF!</definedName>
    <definedName name="adryadry" localSheetId="3" hidden="1">'[45]Eq. Mobilization'!#REF!</definedName>
    <definedName name="adryadry" hidden="1">'[45]Eq. Mobilization'!#REF!</definedName>
    <definedName name="ads" localSheetId="3" hidden="1">{#N/A,#N/A,FALSE,"imalat_keşif";#N/A,#N/A,FALSE,"imalat_seviye";#N/A,#N/A,FALSE,"141";#N/A,#N/A,FALSE,"142";#N/A,#N/A,FALSE,"143";#N/A,#N/A,FALSE,"144";#N/A,#N/A,FALSE,"145";#N/A,#N/A,FALSE,"146";#N/A,#N/A,FALSE,"147";#N/A,#N/A,FALSE,"148";#N/A,#N/A,FALSE,"149"}</definedName>
    <definedName name="ads" hidden="1">{#N/A,#N/A,FALSE,"imalat_keşif";#N/A,#N/A,FALSE,"imalat_seviye";#N/A,#N/A,FALSE,"141";#N/A,#N/A,FALSE,"142";#N/A,#N/A,FALSE,"143";#N/A,#N/A,FALSE,"144";#N/A,#N/A,FALSE,"145";#N/A,#N/A,FALSE,"146";#N/A,#N/A,FALSE,"147";#N/A,#N/A,FALSE,"148";#N/A,#N/A,FALSE,"149"}</definedName>
    <definedName name="ae" hidden="1">{#N/A,#N/A,FALSE,"이태원철근"}</definedName>
    <definedName name="AED">'[46]Ex-Rate'!$C$13</definedName>
    <definedName name="AED_USD">#REF!</definedName>
    <definedName name="af" hidden="1">{#N/A,#N/A,FALSE,"이태원철근"}</definedName>
    <definedName name="afasd" localSheetId="3" hidden="1">{#N/A,#N/A,FALSE,"단가표지"}</definedName>
    <definedName name="afasd" hidden="1">{#N/A,#N/A,FALSE,"단가표지"}</definedName>
    <definedName name="AFC설비" localSheetId="3">#REF!</definedName>
    <definedName name="AFC설비">#REF!</definedName>
    <definedName name="afd" localSheetId="3" hidden="1">{#N/A,#N/A,FALSE,"운반시간"}</definedName>
    <definedName name="afd" hidden="1">{#N/A,#N/A,FALSE,"운반시간"}</definedName>
    <definedName name="afdasgh" localSheetId="3" hidden="1">{#N/A,#N/A,FALSE,"CCTV"}</definedName>
    <definedName name="afdasgh" hidden="1">{#N/A,#N/A,FALSE,"CCTV"}</definedName>
    <definedName name="afdsfdg" localSheetId="3" hidden="1">{#N/A,#N/A,FALSE,"CCTV"}</definedName>
    <definedName name="afdsfdg" hidden="1">{#N/A,#N/A,FALSE,"CCTV"}</definedName>
    <definedName name="afffgff" localSheetId="3" hidden="1">{#N/A,#N/A,FALSE,"CCTV"}</definedName>
    <definedName name="afffgff" hidden="1">{#N/A,#N/A,FALSE,"CCTV"}</definedName>
    <definedName name="ag" hidden="1">{#N/A,#N/A,FALSE,"이태원철근"}</definedName>
    <definedName name="agdump" localSheetId="17">#REF!</definedName>
    <definedName name="agdump" localSheetId="15">#REF!</definedName>
    <definedName name="agdump" localSheetId="3">#REF!</definedName>
    <definedName name="agdump">#REF!</definedName>
    <definedName name="agedump" localSheetId="17">#REF!</definedName>
    <definedName name="agedump" localSheetId="15">#REF!</definedName>
    <definedName name="agedump" localSheetId="3">#REF!</definedName>
    <definedName name="agedump">#REF!</definedName>
    <definedName name="agencydump" localSheetId="17">#REF!</definedName>
    <definedName name="agencydump" localSheetId="15">#REF!</definedName>
    <definedName name="agencydump" localSheetId="3">#REF!</definedName>
    <definedName name="agencydump">#REF!</definedName>
    <definedName name="AGENCYLY" localSheetId="17">#REF!</definedName>
    <definedName name="AGENCYLY" localSheetId="15">#REF!</definedName>
    <definedName name="AGENCYLY" localSheetId="3">#REF!</definedName>
    <definedName name="AGENCYLY">#REF!</definedName>
    <definedName name="AGENCYPLAN" localSheetId="17">#REF!</definedName>
    <definedName name="AGENCYPLAN" localSheetId="15">#REF!</definedName>
    <definedName name="AGENCYPLAN" localSheetId="3">#REF!</definedName>
    <definedName name="AGENCYPLAN">#REF!</definedName>
    <definedName name="agfg">{"'장비'!$A$3:$M$12"}</definedName>
    <definedName name="agp" localSheetId="3">#REF!</definedName>
    <definedName name="agp">#REF!</definedName>
    <definedName name="AG통합" localSheetId="3">#REF!</definedName>
    <definedName name="AG통합">#REF!</definedName>
    <definedName name="ah" hidden="1">{#N/A,#N/A,FALSE,"이태원철근"}</definedName>
    <definedName name="aheh" hidden="1">{#N/A,#N/A,FALSE,"이태원철근"}</definedName>
    <definedName name="Ahmet"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i" hidden="1">{#N/A,#N/A,FALSE,"이태원철근"}</definedName>
    <definedName name="air_trap" localSheetId="3">#REF!</definedName>
    <definedName name="air_trap">#REF!</definedName>
    <definedName name="AJ" localSheetId="3" hidden="1">{#N/A,#N/A,FALSE,"이태원철근"}</definedName>
    <definedName name="AJ" hidden="1">{#N/A,#N/A,FALSE,"이태원철근"}</definedName>
    <definedName name="ak" hidden="1">{#N/A,#N/A,FALSE,"이태원철근"}</definedName>
    <definedName name="AKLSPOAEIW" localSheetId="3" hidden="1">{#N/A,#N/A,FALSE,"TABLE"}</definedName>
    <definedName name="AKLSPOAEIW" hidden="1">{#N/A,#N/A,FALSE,"TABLE"}</definedName>
    <definedName name="aky" localSheetId="3" hidden="1">{#N/A,#N/A,FALSE,"sıh_iç_ihz";#N/A,#N/A,FALSE,"sıh_iç_er";#N/A,#N/A,FALSE,"sıh_iç_tut"}</definedName>
    <definedName name="aky" hidden="1">{#N/A,#N/A,FALSE,"sıh_iç_ihz";#N/A,#N/A,FALSE,"sıh_iç_er";#N/A,#N/A,FALSE,"sıh_iç_tut"}</definedName>
    <definedName name="al" hidden="1">{#N/A,#N/A,FALSE,"이태원철근"}</definedName>
    <definedName name="ALÇAKDERE" localSheetId="3" hidden="1">{#N/A,#N/A,FALSE,"Çaykara ataköy (1)";#N/A,#N/A,FALSE,"Çaykara ataköy (2)";#N/A,#N/A,FALSE,"Rize Kalkandere ";#N/A,#N/A,FALSE,"meydancık";#N/A,#N/A,FALSE,"muratlı"}</definedName>
    <definedName name="ALÇAKDERE" hidden="1">{#N/A,#N/A,FALSE,"Çaykara ataköy (1)";#N/A,#N/A,FALSE,"Çaykara ataköy (2)";#N/A,#N/A,FALSE,"Rize Kalkandere ";#N/A,#N/A,FALSE,"meydancık";#N/A,#N/A,FALSE,"muratlı"}</definedName>
    <definedName name="ali" localSheetId="3" hidden="1">{#N/A,#N/A,FALSE,"Çaykara ataköy (1)";#N/A,#N/A,FALSE,"Çaykara ataköy (2)";#N/A,#N/A,FALSE,"Rize Kalkandere ";#N/A,#N/A,FALSE,"meydancık";#N/A,#N/A,FALSE,"muratlı"}</definedName>
    <definedName name="ali" hidden="1">{#N/A,#N/A,FALSE,"Çaykara ataköy (1)";#N/A,#N/A,FALSE,"Çaykara ataköy (2)";#N/A,#N/A,FALSE,"Rize Kalkandere ";#N/A,#N/A,FALSE,"meydancık";#N/A,#N/A,FALSE,"muratlı"}</definedName>
    <definedName name="ALL" hidden="1">{#N/A,#N/A,TRUE,"Basic";#N/A,#N/A,TRUE,"EXT-TABLE";#N/A,#N/A,TRUE,"STEEL";#N/A,#N/A,TRUE,"INT-Table";#N/A,#N/A,TRUE,"STEEL";#N/A,#N/A,TRUE,"Door"}</definedName>
    <definedName name="All_Item" localSheetId="3">#REF!</definedName>
    <definedName name="All_Item">#REF!</definedName>
    <definedName name="alllines">#REF!</definedName>
    <definedName name="ALPIN">#N/A</definedName>
    <definedName name="ALPJYOU">#N/A</definedName>
    <definedName name="ALPTOI">#N/A</definedName>
    <definedName name="am" localSheetId="3">#REF!</definedName>
    <definedName name="am">#REF!</definedName>
    <definedName name="amatl" localSheetId="3">#REF!</definedName>
    <definedName name="amatl">#REF!</definedName>
    <definedName name="ammonia" localSheetId="3">#REF!</definedName>
    <definedName name="ammonia">#REF!</definedName>
    <definedName name="an" hidden="1">{#N/A,#N/A,FALSE,"이태원철근"}</definedName>
    <definedName name="analiz" localSheetId="3" hidden="1">{#N/A,#N/A,FALSE,"Çaykara ataköy (1)";#N/A,#N/A,FALSE,"Çaykara ataköy (2)";#N/A,#N/A,FALSE,"Rize Kalkandere ";#N/A,#N/A,FALSE,"meydancık";#N/A,#N/A,FALSE,"muratlı"}</definedName>
    <definedName name="analiz" hidden="1">{#N/A,#N/A,FALSE,"Çaykara ataköy (1)";#N/A,#N/A,FALSE,"Çaykara ataköy (2)";#N/A,#N/A,FALSE,"Rize Kalkandere ";#N/A,#N/A,FALSE,"meydancık";#N/A,#N/A,FALSE,"muratlı"}</definedName>
    <definedName name="anchor" localSheetId="17">#REF!</definedName>
    <definedName name="anchor" localSheetId="15">#REF!</definedName>
    <definedName name="anchor" localSheetId="3">#REF!</definedName>
    <definedName name="anchor">#REF!</definedName>
    <definedName name="angle" localSheetId="3">#REF!</definedName>
    <definedName name="angle">#REF!</definedName>
    <definedName name="ans" localSheetId="3" hidden="1">{#N/A,#N/A,FALSE,"이태원철근"}</definedName>
    <definedName name="ans" hidden="1">{#N/A,#N/A,FALSE,"이태원철근"}</definedName>
    <definedName name="anscount" hidden="1">1</definedName>
    <definedName name="ao" hidden="1">{#N/A,#N/A,FALSE,"이태원철근"}</definedName>
    <definedName name="ap" hidden="1">{#N/A,#N/A,FALSE,"이태원철근"}</definedName>
    <definedName name="APPO" hidden="1">#REF!</definedName>
    <definedName name="aq" localSheetId="3" hidden="1">{#N/A,#N/A,FALSE,"배수2"}</definedName>
    <definedName name="aq" hidden="1">{#N/A,#N/A,FALSE,"이태원철근"}</definedName>
    <definedName name="ar" hidden="1">{#N/A,#N/A,FALSE,"이태원철근"}</definedName>
    <definedName name="arch" localSheetId="3">#REF!</definedName>
    <definedName name="arch">#REF!</definedName>
    <definedName name="AREA">#REF!</definedName>
    <definedName name="Area_stampa_MI" localSheetId="3">#REF!</definedName>
    <definedName name="Area_stampa_MI">#REF!</definedName>
    <definedName name="area_sum" localSheetId="3">#REF!</definedName>
    <definedName name="area_sum">#REF!</definedName>
    <definedName name="AREA100" localSheetId="3">#REF!</definedName>
    <definedName name="AREA100">#REF!</definedName>
    <definedName name="AREA125" localSheetId="3">#REF!</definedName>
    <definedName name="AREA125">#REF!</definedName>
    <definedName name="AREA150" localSheetId="3">#REF!</definedName>
    <definedName name="AREA150">#REF!</definedName>
    <definedName name="AREA175" localSheetId="3">#REF!</definedName>
    <definedName name="AREA175">#REF!</definedName>
    <definedName name="AREA25" localSheetId="3">#REF!</definedName>
    <definedName name="AREA25">#REF!</definedName>
    <definedName name="AREA30" localSheetId="3">#REF!</definedName>
    <definedName name="AREA30">#REF!</definedName>
    <definedName name="AREA40" localSheetId="3">#REF!</definedName>
    <definedName name="AREA40">#REF!</definedName>
    <definedName name="AREA50" localSheetId="3">#REF!</definedName>
    <definedName name="AREA50">#REF!</definedName>
    <definedName name="AREA65" localSheetId="3">#REF!</definedName>
    <definedName name="AREA65">#REF!</definedName>
    <definedName name="AREA75" localSheetId="3">#REF!</definedName>
    <definedName name="AREA75">#REF!</definedName>
    <definedName name="AREASORT" localSheetId="3">#REF!</definedName>
    <definedName name="AREASORT">#REF!</definedName>
    <definedName name="arf" localSheetId="3" hidden="1">{#N/A,#N/A,FALSE,"Çaykara ataköy (1)";#N/A,#N/A,FALSE,"Çaykara ataköy (2)";#N/A,#N/A,FALSE,"Rize Kalkandere ";#N/A,#N/A,FALSE,"meydancık";#N/A,#N/A,FALSE,"muratlı"}</definedName>
    <definedName name="arf" hidden="1">{#N/A,#N/A,FALSE,"Çaykara ataköy (1)";#N/A,#N/A,FALSE,"Çaykara ataköy (2)";#N/A,#N/A,FALSE,"Rize Kalkandere ";#N/A,#N/A,FALSE,"meydancık";#N/A,#N/A,FALSE,"muratlı"}</definedName>
    <definedName name="Arial" localSheetId="3">#REF!</definedName>
    <definedName name="Arial">#REF!</definedName>
    <definedName name="arif" localSheetId="3" hidden="1">{#N/A,#N/A,FALSE,"Çaykara ataköy (1)";#N/A,#N/A,FALSE,"Çaykara ataköy (2)";#N/A,#N/A,FALSE,"Rize Kalkandere ";#N/A,#N/A,FALSE,"meydancık";#N/A,#N/A,FALSE,"muratlı"}</definedName>
    <definedName name="arif" hidden="1">{#N/A,#N/A,FALSE,"Çaykara ataköy (1)";#N/A,#N/A,FALSE,"Çaykara ataköy (2)";#N/A,#N/A,FALSE,"Rize Kalkandere ";#N/A,#N/A,FALSE,"meydancık";#N/A,#N/A,FALSE,"muratlı"}</definedName>
    <definedName name="arrotonda" localSheetId="3">#REF!</definedName>
    <definedName name="arrotonda">#REF!</definedName>
    <definedName name="AS" localSheetId="3">#REF!</definedName>
    <definedName name="AS">#REF!</definedName>
    <definedName name="AS1_" localSheetId="3">#REF!</definedName>
    <definedName name="AS1_">#REF!</definedName>
    <definedName name="AS2DocOpenMode" hidden="1">"AS2DocumentEdit"</definedName>
    <definedName name="asa" localSheetId="3" hidden="1">{#N/A,#N/A,FALSE,"imalat_keşif";#N/A,#N/A,FALSE,"imalat_seviye";#N/A,#N/A,FALSE,"141";#N/A,#N/A,FALSE,"142";#N/A,#N/A,FALSE,"143";#N/A,#N/A,FALSE,"144";#N/A,#N/A,FALSE,"145";#N/A,#N/A,FALSE,"146";#N/A,#N/A,FALSE,"147";#N/A,#N/A,FALSE,"148";#N/A,#N/A,FALSE,"149"}</definedName>
    <definedName name="asa" hidden="1">{#N/A,#N/A,FALSE,"imalat_keşif";#N/A,#N/A,FALSE,"imalat_seviye";#N/A,#N/A,FALSE,"141";#N/A,#N/A,FALSE,"142";#N/A,#N/A,FALSE,"143";#N/A,#N/A,FALSE,"144";#N/A,#N/A,FALSE,"145";#N/A,#N/A,FALSE,"146";#N/A,#N/A,FALSE,"147";#N/A,#N/A,FALSE,"148";#N/A,#N/A,FALSE,"149"}</definedName>
    <definedName name="asas" hidden="1">{#N/A,#N/A,TRUE,"Basic";#N/A,#N/A,TRUE,"EXT-TABLE";#N/A,#N/A,TRUE,"STEEL";#N/A,#N/A,TRUE,"INT-Table";#N/A,#N/A,TRUE,"STEEL";#N/A,#N/A,TRUE,"Door"}</definedName>
    <definedName name="asasa" localSheetId="3" hidden="1">{#N/A,#N/A,FALSE,"ihz. icmal";#N/A,#N/A,FALSE,"avans";#N/A,#N/A,FALSE,"mal_FF_icm";#N/A,#N/A,FALSE,"fat_ihz";#N/A,#N/A,FALSE,"söz_fiy_fark";#N/A,#N/A,FALSE,"kap2"}</definedName>
    <definedName name="asasa" hidden="1">{#N/A,#N/A,FALSE,"ihz. icmal";#N/A,#N/A,FALSE,"avans";#N/A,#N/A,FALSE,"mal_FF_icm";#N/A,#N/A,FALSE,"fat_ihz";#N/A,#N/A,FALSE,"söz_fiy_fark";#N/A,#N/A,FALSE,"kap2"}</definedName>
    <definedName name="asasasa" localSheetId="3"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asasasa" hidden="1">[44]METRAJ!#REF!</definedName>
    <definedName name="asd">{"Book1","DOC&amp;DWG.xls"}</definedName>
    <definedName name="ASDA" hidden="1">[44]METRAJ!#REF!</definedName>
    <definedName name="asdasd" hidden="1">#REF!</definedName>
    <definedName name="asdga" hidden="1">{#N/A,#N/A,FALSE,"이태원철근"}</definedName>
    <definedName name="ase"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[47]Main!#REF!</definedName>
    <definedName name="asfas" localSheetId="3" hidden="1">{#N/A,#N/A,FALSE,"표지목차"}</definedName>
    <definedName name="asfas" hidden="1">{#N/A,#N/A,FALSE,"표지목차"}</definedName>
    <definedName name="ass" localSheetId="3" hidden="1">{#N/A,#N/A,FALSE,"Çaykara ataköy (1)";#N/A,#N/A,FALSE,"Çaykara ataköy (2)";#N/A,#N/A,FALSE,"Rize Kalkandere ";#N/A,#N/A,FALSE,"meydancık";#N/A,#N/A,FALSE,"muratlı"}</definedName>
    <definedName name="ass" hidden="1">{#N/A,#N/A,FALSE,"Çaykara ataköy (1)";#N/A,#N/A,FALSE,"Çaykara ataköy (2)";#N/A,#N/A,FALSE,"Rize Kalkandere ";#N/A,#N/A,FALSE,"meydancık";#N/A,#N/A,FALSE,"muratlı"}</definedName>
    <definedName name="ASTM" localSheetId="3">#REF!</definedName>
    <definedName name="ASTM">#REF!</definedName>
    <definedName name="Attachment_C_3" localSheetId="3">#REF!</definedName>
    <definedName name="Attachment_C_3">#REF!</definedName>
    <definedName name="Au">#N/A</definedName>
    <definedName name="Àü">#N/A</definedName>
    <definedName name="autoexec" localSheetId="3">#REF!</definedName>
    <definedName name="autoexec">#REF!</definedName>
    <definedName name="aux" localSheetId="3">#REF!</definedName>
    <definedName name="aux">#REF!</definedName>
    <definedName name="AY" localSheetId="3" hidden="1">{#N/A,#N/A,FALSE,"TABLE"}</definedName>
    <definedName name="AY" hidden="1">{#N/A,#N/A,FALSE,"TABLE"}</definedName>
    <definedName name="Ayder" localSheetId="3" hidden="1">{#N/A,#N/A,FALSE,"Çaykara ataköy (1)";#N/A,#N/A,FALSE,"Çaykara ataköy (2)";#N/A,#N/A,FALSE,"Rize Kalkandere ";#N/A,#N/A,FALSE,"meydancık";#N/A,#N/A,FALSE,"muratlı"}</definedName>
    <definedName name="Ayder" hidden="1">{#N/A,#N/A,FALSE,"Çaykara ataköy (1)";#N/A,#N/A,FALSE,"Çaykara ataköy (2)";#N/A,#N/A,FALSE,"Rize Kalkandere ";#N/A,#N/A,FALSE,"meydancık";#N/A,#N/A,FALSE,"muratlı"}</definedName>
    <definedName name="ayşe" localSheetId="3" hidden="1">{#VALUE!,#N/A,FALSE,0;#N/A,#N/A,FALSE,0;#N/A,#N/A,FALSE,0;#N/A,#N/A,FALSE,0;#N/A,#N/A,FALSE,0}</definedName>
    <definedName name="ayşe" hidden="1">{#VALUE!,#N/A,FALSE,0;#N/A,#N/A,FALSE,0;#N/A,#N/A,FALSE,0;#N/A,#N/A,FALSE,0;#N/A,#N/A,FALSE,0}</definedName>
    <definedName name="az" localSheetId="3" hidden="1">{#N/A,#N/A,FALSE,"Çaykara ataköy (1)";#N/A,#N/A,FALSE,"Çaykara ataköy (2)";#N/A,#N/A,FALSE,"Rize Kalkandere ";#N/A,#N/A,FALSE,"meydancık";#N/A,#N/A,FALSE,"muratlı"}</definedName>
    <definedName name="AZ" hidden="1">#REF!</definedName>
    <definedName name="B" localSheetId="17">#REF!</definedName>
    <definedName name="B" localSheetId="15">#REF!</definedName>
    <definedName name="b" localSheetId="3">#REF!</definedName>
    <definedName name="B">#REF!</definedName>
    <definedName name="B.F.İŞL."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_1" localSheetId="3">#REF!</definedName>
    <definedName name="B_1">#REF!</definedName>
    <definedName name="b_dash" localSheetId="17">#REF!</definedName>
    <definedName name="b_dash" localSheetId="15">#REF!</definedName>
    <definedName name="b_dash" localSheetId="3">#REF!</definedName>
    <definedName name="b_dash">#REF!</definedName>
    <definedName name="B_FLG" localSheetId="3">#REF!</definedName>
    <definedName name="B_FLG">#REF!</definedName>
    <definedName name="b0">#REF!</definedName>
    <definedName name="b000">'[47]MC-1'!$B$61:$C$62</definedName>
    <definedName name="b00000">'[47]MC-1'!$B$61:$C$62</definedName>
    <definedName name="B3송" localSheetId="3" hidden="1">#REF!</definedName>
    <definedName name="B3송" hidden="1">#REF!</definedName>
    <definedName name="B4S3" localSheetId="17">'[26]95삼성급(본사)'!#REF!</definedName>
    <definedName name="B4S3" localSheetId="15">'[26]95삼성급(본사)'!#REF!</definedName>
    <definedName name="B4S3">'[26]95삼성급(본사)'!#REF!</definedName>
    <definedName name="B6M3" localSheetId="17">'[26]95삼성급(본사)'!#REF!</definedName>
    <definedName name="B6M3" localSheetId="15">'[26]95삼성급(본사)'!#REF!</definedName>
    <definedName name="B6M3">'[26]95삼성급(본사)'!#REF!</definedName>
    <definedName name="B6S3" localSheetId="17">'[26]95삼성급(본사)'!#REF!</definedName>
    <definedName name="B6S3" localSheetId="15">'[26]95삼성급(본사)'!#REF!</definedName>
    <definedName name="B6S3">'[26]95삼성급(본사)'!#REF!</definedName>
    <definedName name="B6W3" localSheetId="17">'[26]95삼성급(본사)'!#REF!</definedName>
    <definedName name="B6W3" localSheetId="15">'[26]95삼성급(본사)'!#REF!</definedName>
    <definedName name="B6W3">'[26]95삼성급(본사)'!#REF!</definedName>
    <definedName name="BA" hidden="1">{#N/A,#N/A,TRUE,"Basic";#N/A,#N/A,TRUE,"EXT-TABLE";#N/A,#N/A,TRUE,"STEEL";#N/A,#N/A,TRUE,"INT-Table";#N/A,#N/A,TRUE,"STEEL";#N/A,#N/A,TRUE,"Door"}</definedName>
    <definedName name="babo">[48]VA_code!$Q$1:$R$31</definedName>
    <definedName name="BAC" localSheetId="3" hidden="1">{#N/A,#N/A,FALSE,"TABLE"}</definedName>
    <definedName name="BAC" hidden="1">{#N/A,#N/A,FALSE,"TABLE"}</definedName>
    <definedName name="back_pressure" localSheetId="3">#REF!</definedName>
    <definedName name="back_pressure">#REF!</definedName>
    <definedName name="ball" localSheetId="3">#REF!</definedName>
    <definedName name="ball">#REF!</definedName>
    <definedName name="Barınak" localSheetId="3" hidden="1">{#N/A,#N/A,FALSE,"Çaykara ataköy (1)";#N/A,#N/A,FALSE,"Çaykara ataköy (2)";#N/A,#N/A,FALSE,"Rize Kalkandere ";#N/A,#N/A,FALSE,"meydancık";#N/A,#N/A,FALSE,"muratlı"}</definedName>
    <definedName name="Barınak" hidden="1">{#N/A,#N/A,FALSE,"Çaykara ataköy (1)";#N/A,#N/A,FALSE,"Çaykara ataköy (2)";#N/A,#N/A,FALSE,"Rize Kalkandere ";#N/A,#N/A,FALSE,"meydancık";#N/A,#N/A,FALSE,"muratlı"}</definedName>
    <definedName name="BASE" localSheetId="3" hidden="1">{#N/A,#N/A,TRUE,"Basic";#N/A,#N/A,TRUE,"EXT-TABLE";#N/A,#N/A,TRUE,"STEEL";#N/A,#N/A,TRUE,"INT-Table";#N/A,#N/A,TRUE,"STEEL";#N/A,#N/A,TRUE,"Door"}</definedName>
    <definedName name="BASE" hidden="1">{#N/A,#N/A,TRUE,"Basic";#N/A,#N/A,TRUE,"EXT-TABLE";#N/A,#N/A,TRUE,"STEEL";#N/A,#N/A,TRUE,"INT-Table";#N/A,#N/A,TRUE,"STEEL";#N/A,#N/A,TRUE,"Door"}</definedName>
    <definedName name="BAT" localSheetId="3">#REF!</definedName>
    <definedName name="BAT">#REF!</definedName>
    <definedName name="BAYİYİ" localSheetId="3" hidden="1">{#N/A,#N/A,FALSE,"Çaykara ataköy (1)";#N/A,#N/A,FALSE,"Çaykara ataköy (2)";#N/A,#N/A,FALSE,"Rize Kalkandere ";#N/A,#N/A,FALSE,"meydancık";#N/A,#N/A,FALSE,"muratlı"}</definedName>
    <definedName name="BAYİYİ" hidden="1">{#N/A,#N/A,FALSE,"Çaykara ataköy (1)";#N/A,#N/A,FALSE,"Çaykara ataköy (2)";#N/A,#N/A,FALSE,"Rize Kalkandere ";#N/A,#N/A,FALSE,"meydancık";#N/A,#N/A,FALSE,"muratlı"}</definedName>
    <definedName name="BB" localSheetId="4" hidden="1">{#N/A,#N/A,FALSE,"이태원철근"}</definedName>
    <definedName name="BB">#N/A</definedName>
    <definedName name="BB030100M" localSheetId="3">#REF!</definedName>
    <definedName name="BB030100M">#REF!</definedName>
    <definedName name="BB030100Q" localSheetId="3">#REF!</definedName>
    <definedName name="BB030100Q">#REF!</definedName>
    <definedName name="BB0303001M" localSheetId="3">#REF!</definedName>
    <definedName name="BB0303001M">#REF!</definedName>
    <definedName name="BB0303001Q">[49]AILC004!$F$30:$F$50,[49]AILC004!$F$63</definedName>
    <definedName name="BB030300M" localSheetId="3">#REF!</definedName>
    <definedName name="BB030300M">#REF!</definedName>
    <definedName name="BB030300Q">[49]AILC004!$F$72,[49]AILC004!$F$76:$F$84</definedName>
    <definedName name="BB030400M" localSheetId="3">#REF!</definedName>
    <definedName name="BB030400M">#REF!</definedName>
    <definedName name="BB030400Q" localSheetId="3">#REF!</definedName>
    <definedName name="BB030400Q">#REF!</definedName>
    <definedName name="BBB" localSheetId="17">#REF!</definedName>
    <definedName name="BBB" localSheetId="15">#REF!</definedName>
    <definedName name="BBB" localSheetId="4" hidden="1">{#N/A,#N/A,FALSE,"CCTV"}</definedName>
    <definedName name="BBB" localSheetId="3">#REF!</definedName>
    <definedName name="BBB">#REF!</definedName>
    <definedName name="BBBBB" localSheetId="3" hidden="1">{#N/A,#N/A,FALSE,"TABLE"}</definedName>
    <definedName name="BBBBB" hidden="1">{#N/A,#N/A,FALSE,"TABLE"}</definedName>
    <definedName name="BC" localSheetId="3" hidden="1">{#N/A,#N/A,FALSE,"이태원철근"}</definedName>
    <definedName name="BC" hidden="1">{#N/A,#N/A,FALSE,"이태원철근"}</definedName>
    <definedName name="bcd" hidden="1">{#N/A,#N/A,TRUE,"Basic";#N/A,#N/A,TRUE,"EXT-TABLE";#N/A,#N/A,TRUE,"STEEL";#N/A,#N/A,TRUE,"INT-Table";#N/A,#N/A,TRUE,"STEEL";#N/A,#N/A,TRUE,"Door"}</definedName>
    <definedName name="bcrclcl100rt" localSheetId="17">'[50]9-1차이내역'!#REF!</definedName>
    <definedName name="bcrclcl100rt" localSheetId="15">'[50]9-1차이내역'!#REF!</definedName>
    <definedName name="bcrclcl100rt">'[50]9-1차이내역'!#REF!</definedName>
    <definedName name="bcrclcl100rtrkrk" localSheetId="17">'[50]9-1차이내역'!#REF!</definedName>
    <definedName name="bcrclcl100rtrkrk" localSheetId="15">'[50]9-1차이내역'!#REF!</definedName>
    <definedName name="bcrclcl100rtrkrk">'[50]9-1차이내역'!#REF!</definedName>
    <definedName name="BD1M" localSheetId="17">#REF!</definedName>
    <definedName name="BD1M" localSheetId="15">#REF!</definedName>
    <definedName name="BD1M" localSheetId="3">#REF!</definedName>
    <definedName name="BD1M">#REF!</definedName>
    <definedName name="BD1Y" localSheetId="17">#REF!</definedName>
    <definedName name="BD1Y" localSheetId="15">#REF!</definedName>
    <definedName name="BD1Y" localSheetId="3">#REF!</definedName>
    <definedName name="BD1Y">#REF!</definedName>
    <definedName name="BD3M" localSheetId="17">#REF!</definedName>
    <definedName name="BD3M" localSheetId="15">#REF!</definedName>
    <definedName name="BD3M" localSheetId="3">#REF!</definedName>
    <definedName name="BD3M">#REF!</definedName>
    <definedName name="BD3Y" localSheetId="17">#REF!</definedName>
    <definedName name="BD3Y" localSheetId="15">#REF!</definedName>
    <definedName name="BD3Y" localSheetId="3">#REF!</definedName>
    <definedName name="BD3Y">#REF!</definedName>
    <definedName name="BDATA"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ELL" hidden="1">{#N/A,#N/A,TRUE,"Basic";#N/A,#N/A,TRUE,"EXT-TABLE";#N/A,#N/A,TRUE,"STEEL";#N/A,#N/A,TRUE,"INT-Table";#N/A,#N/A,TRUE,"STEEL";#N/A,#N/A,TRUE,"Door"}</definedName>
    <definedName name="BELL_1" hidden="1">{#N/A,#N/A,TRUE,"Basic";#N/A,#N/A,TRUE,"EXT-TABLE";#N/A,#N/A,TRUE,"STEEL";#N/A,#N/A,TRUE,"INT-Table";#N/A,#N/A,TRUE,"STEEL";#N/A,#N/A,TRUE,"Door"}</definedName>
    <definedName name="betonhj"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betonhj"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betonsuz" hidden="1">#REF!</definedName>
    <definedName name="bfbfdhfdhdfgh" localSheetId="3" hidden="1">{#N/A,#N/A,FALSE,"CCTV"}</definedName>
    <definedName name="bfbfdhfdhdfgh" hidden="1">{#N/A,#N/A,FALSE,"CCTV"}</definedName>
    <definedName name="BI" localSheetId="3" hidden="1">{#N/A,#N/A,FALSE,"이태원철근"}</definedName>
    <definedName name="BI" hidden="1">{#N/A,#N/A,FALSE,"이태원철근"}</definedName>
    <definedName name="BİH99" localSheetId="3" hidden="1">{#N/A,#N/A,FALSE,"Çaykara ataköy (1)";#N/A,#N/A,FALSE,"Çaykara ataköy (2)";#N/A,#N/A,FALSE,"Rize Kalkandere ";#N/A,#N/A,FALSE,"meydancık";#N/A,#N/A,FALSE,"muratlı"}</definedName>
    <definedName name="BİH99" hidden="1">{#N/A,#N/A,FALSE,"Çaykara ataköy (1)";#N/A,#N/A,FALSE,"Çaykara ataköy (2)";#N/A,#N/A,FALSE,"Rize Kalkandere ";#N/A,#N/A,FALSE,"meydancık";#N/A,#N/A,FALSE,"muratlı"}</definedName>
    <definedName name="BİLGİ" localSheetId="3" hidden="1">{#N/A,#N/A,FALSE,"Çaykara ataköy (1)";#N/A,#N/A,FALSE,"Çaykara ataköy (2)";#N/A,#N/A,FALSE,"Rize Kalkandere ";#N/A,#N/A,FALSE,"meydancık";#N/A,#N/A,FALSE,"muratlı"}</definedName>
    <definedName name="BİLGİ" hidden="1">{#N/A,#N/A,FALSE,"Çaykara ataköy (1)";#N/A,#N/A,FALSE,"Çaykara ataköy (2)";#N/A,#N/A,FALSE,"Rize Kalkandere ";#N/A,#N/A,FALSE,"meydancık";#N/A,#N/A,FALSE,"muratlı"}</definedName>
    <definedName name="BJ1M" localSheetId="17">#REF!</definedName>
    <definedName name="BJ1M" localSheetId="15">#REF!</definedName>
    <definedName name="BJ1M" localSheetId="3">#REF!</definedName>
    <definedName name="BJ1M">#REF!</definedName>
    <definedName name="BJ1Y" localSheetId="17">#REF!</definedName>
    <definedName name="BJ1Y" localSheetId="15">#REF!</definedName>
    <definedName name="BJ1Y" localSheetId="3">#REF!</definedName>
    <definedName name="BJ1Y">#REF!</definedName>
    <definedName name="BJ3M" localSheetId="17">#REF!</definedName>
    <definedName name="BJ3M" localSheetId="15">#REF!</definedName>
    <definedName name="BJ3M" localSheetId="3">#REF!</definedName>
    <definedName name="BJ3M">#REF!</definedName>
    <definedName name="BJ3Y" localSheetId="17">#REF!</definedName>
    <definedName name="BJ3Y" localSheetId="15">#REF!</definedName>
    <definedName name="BJ3Y" localSheetId="3">#REF!</definedName>
    <definedName name="BJ3Y">#REF!</definedName>
    <definedName name="BLDG">[51]LEGEND!$D$8</definedName>
    <definedName name="Bldg_L">[52]Data!$N$34</definedName>
    <definedName name="Bldg_R_S">[52]Data!$N$25</definedName>
    <definedName name="BldgName">[52]Data!$E$19</definedName>
    <definedName name="BLDGNO" localSheetId="3">#REF!</definedName>
    <definedName name="BLDGNO">#REF!</definedName>
    <definedName name="BldgVol">[52]Calc!#REF!</definedName>
    <definedName name="blmd" localSheetId="3" hidden="1">{#N/A,#N/A,FALSE,"Çaykara ataköy (1)";#N/A,#N/A,FALSE,"Çaykara ataköy (2)";#N/A,#N/A,FALSE,"Rize Kalkandere ";#N/A,#N/A,FALSE,"meydancık";#N/A,#N/A,FALSE,"muratlı"}</definedName>
    <definedName name="blmd" hidden="1">{#N/A,#N/A,FALSE,"Çaykara ataköy (1)";#N/A,#N/A,FALSE,"Çaykara ataköy (2)";#N/A,#N/A,FALSE,"Rize Kalkandere ";#N/A,#N/A,FALSE,"meydancık";#N/A,#N/A,FALSE,"muratlı"}</definedName>
    <definedName name="BLOCK01">#N/A</definedName>
    <definedName name="BLOCK02">#N/A</definedName>
    <definedName name="BLOCK03" localSheetId="3">#REF!</definedName>
    <definedName name="BLOCK03">#REF!</definedName>
    <definedName name="BLOCK04" localSheetId="3">#REF!</definedName>
    <definedName name="BLOCK04">#REF!</definedName>
    <definedName name="bmsum" localSheetId="3">#REF!</definedName>
    <definedName name="bmsum">#REF!</definedName>
    <definedName name="BOF">[52]Calc!#REF!</definedName>
    <definedName name="BÖLGE" localSheetId="3" hidden="1">{#N/A,#N/A,FALSE,"Çaykara ataköy (1)";#N/A,#N/A,FALSE,"Çaykara ataköy (2)";#N/A,#N/A,FALSE,"Rize Kalkandere ";#N/A,#N/A,FALSE,"meydancık";#N/A,#N/A,FALSE,"muratlı"}</definedName>
    <definedName name="BÖLGE" hidden="1">{#N/A,#N/A,FALSE,"Çaykara ataköy (1)";#N/A,#N/A,FALSE,"Çaykara ataköy (2)";#N/A,#N/A,FALSE,"Rize Kalkandere ";#N/A,#N/A,FALSE,"meydancık";#N/A,#N/A,FALSE,"muratlı"}</definedName>
    <definedName name="BOLT" localSheetId="3">#REF!</definedName>
    <definedName name="BOLT">#REF!</definedName>
    <definedName name="BOM_OF_ECP" localSheetId="3">#REF!</definedName>
    <definedName name="BOM_OF_ECP">#REF!</definedName>
    <definedName name="book" localSheetId="3">#REF!</definedName>
    <definedName name="book">#REF!</definedName>
    <definedName name="BOQ" localSheetId="3">#REF!</definedName>
    <definedName name="BOQ">#REF!</definedName>
    <definedName name="BOQ_SUM_area" localSheetId="3">#REF!</definedName>
    <definedName name="BOQ_SUM_area">#REF!</definedName>
    <definedName name="boş" localSheetId="3" hidden="1">{#N/A,#N/A,FALSE,"Çaykara ataköy (1)";#N/A,#N/A,FALSE,"Çaykara ataköy (2)";#N/A,#N/A,FALSE,"Rize Kalkandere ";#N/A,#N/A,FALSE,"meydancık";#N/A,#N/A,FALSE,"muratlı"}</definedName>
    <definedName name="boş" hidden="1">{#N/A,#N/A,FALSE,"Çaykara ataköy (1)";#N/A,#N/A,FALSE,"Çaykara ataköy (2)";#N/A,#N/A,FALSE,"Rize Kalkandere ";#N/A,#N/A,FALSE,"meydancık";#N/A,#N/A,FALSE,"muratlı"}</definedName>
    <definedName name="BOSS" localSheetId="3">#REF!</definedName>
    <definedName name="BOSS">#REF!</definedName>
    <definedName name="BP" localSheetId="3">#REF!</definedName>
    <definedName name="BP">#REF!</definedName>
    <definedName name="br">'[53]총괄표(OOK)'!$P$15</definedName>
    <definedName name="BRBRBR" localSheetId="3" hidden="1">{#N/A,#N/A,FALSE,"TABLE"}</definedName>
    <definedName name="BRBRBR" hidden="1">{#N/A,#N/A,FALSE,"TABLE"}</definedName>
    <definedName name="brick1">[54]BRICK!$A$7:$M$69</definedName>
    <definedName name="brick2">[54]BRICK!$A$7:$M$69</definedName>
    <definedName name="BRKRKRTDKDK" localSheetId="3">#REF!</definedName>
    <definedName name="BRKRKRTDKDK">#REF!</definedName>
    <definedName name="BrNo">"BR2"</definedName>
    <definedName name="bschae" localSheetId="3" hidden="1">{#N/A,#N/A,FALSE,"TABLE"}</definedName>
    <definedName name="bschae" hidden="1">{#N/A,#N/A,FALSE,"TABLE"}</definedName>
    <definedName name="BT">[55]작성기준!$C$22</definedName>
    <definedName name="BTW" localSheetId="3">#REF!</definedName>
    <definedName name="BTW">#REF!</definedName>
    <definedName name="BUL" localSheetId="3" hidden="1">{#N/A,#N/A,FALSE,"Çaykara ataköy (1)";#N/A,#N/A,FALSE,"Çaykara ataköy (2)";#N/A,#N/A,FALSE,"Rize Kalkandere ";#N/A,#N/A,FALSE,"meydancık";#N/A,#N/A,FALSE,"muratlı"}</definedName>
    <definedName name="BUL" hidden="1">{#N/A,#N/A,FALSE,"Çaykara ataköy (1)";#N/A,#N/A,FALSE,"Çaykara ataköy (2)";#N/A,#N/A,FALSE,"Rize Kalkandere ";#N/A,#N/A,FALSE,"meydancık";#N/A,#N/A,FALSE,"muratlı"}</definedName>
    <definedName name="BULE" localSheetId="3" hidden="1">{#N/A,#N/A,FALSE,"Çaykara ataköy (1)";#N/A,#N/A,FALSE,"Çaykara ataköy (2)";#N/A,#N/A,FALSE,"Rize Kalkandere ";#N/A,#N/A,FALSE,"meydancık";#N/A,#N/A,FALSE,"muratlı"}</definedName>
    <definedName name="BULE" hidden="1">{#N/A,#N/A,FALSE,"Çaykara ataköy (1)";#N/A,#N/A,FALSE,"Çaykara ataköy (2)";#N/A,#N/A,FALSE,"Rize Kalkandere ";#N/A,#N/A,FALSE,"meydancık";#N/A,#N/A,FALSE,"muratlı"}</definedName>
    <definedName name="butterfly" localSheetId="3">#REF!</definedName>
    <definedName name="butterfly">#REF!</definedName>
    <definedName name="Button3_Click">[56]!Button3_Click</definedName>
    <definedName name="BV" localSheetId="3" hidden="1">#REF!</definedName>
    <definedName name="BV" hidden="1">#REF!</definedName>
    <definedName name="BVC" localSheetId="3" hidden="1">{#N/A,#N/A,FALSE,"TABLE"}</definedName>
    <definedName name="BVC" hidden="1">{#N/A,#N/A,FALSE,"TABLE"}</definedName>
    <definedName name="by_weld" localSheetId="3">#REF!</definedName>
    <definedName name="by_weld">#REF!</definedName>
    <definedName name="BY4S3" localSheetId="17">'[26]95삼성급(본사)'!#REF!</definedName>
    <definedName name="BY4S3" localSheetId="15">'[26]95삼성급(본사)'!#REF!</definedName>
    <definedName name="BY4S3">'[26]95삼성급(본사)'!#REF!</definedName>
    <definedName name="BY6M3" localSheetId="17">'[26]95삼성급(본사)'!#REF!</definedName>
    <definedName name="BY6M3" localSheetId="15">'[26]95삼성급(본사)'!#REF!</definedName>
    <definedName name="BY6M3">'[26]95삼성급(본사)'!#REF!</definedName>
    <definedName name="BY6S3" localSheetId="17">'[26]95삼성급(본사)'!#REF!</definedName>
    <definedName name="BY6S3" localSheetId="15">'[26]95삼성급(본사)'!#REF!</definedName>
    <definedName name="BY6S3">'[26]95삼성급(본사)'!#REF!</definedName>
    <definedName name="BY6W3" localSheetId="17">'[26]95삼성급(본사)'!#REF!</definedName>
    <definedName name="BY6W3" localSheetId="15">'[26]95삼성급(본사)'!#REF!</definedName>
    <definedName name="BY6W3">'[26]95삼성급(본사)'!#REF!</definedName>
    <definedName name="BYBJ3" localSheetId="17">'[26]95삼성급(본사)'!#REF!</definedName>
    <definedName name="BYBJ3" localSheetId="15">'[26]95삼성급(본사)'!#REF!</definedName>
    <definedName name="BYBJ3">'[26]95삼성급(본사)'!#REF!</definedName>
    <definedName name="BYCJ3" localSheetId="17">'[26]95삼성급(본사)'!#REF!</definedName>
    <definedName name="BYCJ3" localSheetId="15">'[26]95삼성급(본사)'!#REF!</definedName>
    <definedName name="BYCJ3">'[26]95삼성급(본사)'!#REF!</definedName>
    <definedName name="BYDR3" localSheetId="17">'[26]95삼성급(본사)'!#REF!</definedName>
    <definedName name="BYDR3" localSheetId="15">'[26]95삼성급(본사)'!#REF!</definedName>
    <definedName name="BYDR3">'[26]95삼성급(본사)'!#REF!</definedName>
    <definedName name="BYGJ3" localSheetId="17">'[26]95삼성급(본사)'!#REF!</definedName>
    <definedName name="BYGJ3" localSheetId="15">'[26]95삼성급(본사)'!#REF!</definedName>
    <definedName name="BYGJ3">'[26]95삼성급(본사)'!#REF!</definedName>
    <definedName name="C._EQUIP" localSheetId="3">#REF!*#REF!</definedName>
    <definedName name="C._EQUIP">#REF!*#REF!</definedName>
    <definedName name="Ç.A.H" localSheetId="3" hidden="1">{#N/A,#N/A,FALSE,"Çaykara ataköy (1)";#N/A,#N/A,FALSE,"Çaykara ataköy (2)";#N/A,#N/A,FALSE,"Rize Kalkandere ";#N/A,#N/A,FALSE,"meydancık";#N/A,#N/A,FALSE,"muratlı"}</definedName>
    <definedName name="Ç.A.H" hidden="1">{#N/A,#N/A,FALSE,"Çaykara ataköy (1)";#N/A,#N/A,FALSE,"Çaykara ataköy (2)";#N/A,#N/A,FALSE,"Rize Kalkandere ";#N/A,#N/A,FALSE,"meydancık";#N/A,#N/A,FALSE,"muratlı"}</definedName>
    <definedName name="C_" localSheetId="3">#REF!</definedName>
    <definedName name="C_">#REF!</definedName>
    <definedName name="c_elec" localSheetId="3">#REF!</definedName>
    <definedName name="c_elec">#REF!</definedName>
    <definedName name="c_inst" localSheetId="3">#REF!</definedName>
    <definedName name="c_inst">#REF!</definedName>
    <definedName name="c_margin" localSheetId="17">#REF!</definedName>
    <definedName name="c_margin" localSheetId="15">#REF!</definedName>
    <definedName name="c_margin" localSheetId="3">#REF!</definedName>
    <definedName name="c_margin">#REF!</definedName>
    <definedName name="c_mech" localSheetId="3">#REF!</definedName>
    <definedName name="c_mech">#REF!</definedName>
    <definedName name="c_pipe" localSheetId="3">#REF!</definedName>
    <definedName name="c_pipe">#REF!</definedName>
    <definedName name="c_pro" localSheetId="3">#REF!</definedName>
    <definedName name="c_pro">#REF!</definedName>
    <definedName name="C_Rate">'[57]현장 개요'!$C$47</definedName>
    <definedName name="C_VALUE" localSheetId="3">#REF!</definedName>
    <definedName name="C_VALUE">#REF!</definedName>
    <definedName name="C¨ª￠?UAI￠?ⓒªAⓒ￢AI" localSheetId="17">[58]주관사업!#REF!</definedName>
    <definedName name="C¨ª￠?UAI￠?ⓒªAⓒ￢AI" localSheetId="15">[58]주관사업!#REF!</definedName>
    <definedName name="C¨ª￠?UAI￠?ⓒªAⓒ￢AI">[58]주관사업!#REF!</definedName>
    <definedName name="CA">#N/A</definedName>
    <definedName name="ÇÃ">#N/A</definedName>
    <definedName name="CA_70" localSheetId="3">#REF!</definedName>
    <definedName name="CA_70">#REF!</definedName>
    <definedName name="CABLE" localSheetId="3">#REF!</definedName>
    <definedName name="CABLE">#REF!</definedName>
    <definedName name="cableod" localSheetId="3">#REF!</definedName>
    <definedName name="cableod">#REF!</definedName>
    <definedName name="CAD">'[46]Ex-Rate'!$C$6</definedName>
    <definedName name="cal">{"Book1","DOC&amp;DWG.xls"}</definedName>
    <definedName name="CalcAgencyPrice" localSheetId="17">#REF!</definedName>
    <definedName name="CalcAgencyPrice" localSheetId="15">#REF!</definedName>
    <definedName name="CalcAgencyPrice" localSheetId="3">#REF!</definedName>
    <definedName name="CalcAgencyPrice">#REF!</definedName>
    <definedName name="cam" localSheetId="3" hidden="1">{#N/A,#N/A,FALSE,"Çaykara ataköy (1)";#N/A,#N/A,FALSE,"Çaykara ataköy (2)";#N/A,#N/A,FALSE,"Rize Kalkandere ";#N/A,#N/A,FALSE,"meydancık";#N/A,#N/A,FALSE,"muratlı"}</definedName>
    <definedName name="cam" hidden="1">{#N/A,#N/A,FALSE,"Çaykara ataköy (1)";#N/A,#N/A,FALSE,"Çaykara ataköy (2)";#N/A,#N/A,FALSE,"Rize Kalkandere ";#N/A,#N/A,FALSE,"meydancık";#N/A,#N/A,FALSE,"muratlı"}</definedName>
    <definedName name="CAMOLUK" localSheetId="3" hidden="1">{#N/A,#N/A,FALSE,"Çaykara ataköy (1)";#N/A,#N/A,FALSE,"Çaykara ataköy (2)";#N/A,#N/A,FALSE,"Rize Kalkandere ";#N/A,#N/A,FALSE,"meydancık";#N/A,#N/A,FALSE,"muratlı"}</definedName>
    <definedName name="CAMOLUK" hidden="1">{#N/A,#N/A,FALSE,"Çaykara ataköy (1)";#N/A,#N/A,FALSE,"Çaykara ataköy (2)";#N/A,#N/A,FALSE,"Rize Kalkandere ";#N/A,#N/A,FALSE,"meydancık";#N/A,#N/A,FALSE,"muratlı"}</definedName>
    <definedName name="CAMP_ACCOMMODATION_CONST_COLUMN">'[56]CAMP - CONSTRUCTION'!$A$1:$Y$1</definedName>
    <definedName name="CAMP_ACCOMMODATION_CONST_REDSEA">'[56]CAMP - CONSTRUCTION'!$A$19:$V$40</definedName>
    <definedName name="CAMP_OPERATION_INDIRECT">'[59]CAMP OPERATING COST'!$E$22:$X$25</definedName>
    <definedName name="CAMP_OPERATION_LABOR">'[59]CAMP OPERATING COST'!$E$26:$X$28</definedName>
    <definedName name="CAMP_OPERATION_STAFF">'[59]CAMP OPERATING COST'!$E$18:$X$21</definedName>
    <definedName name="camuko" localSheetId="3" hidden="1">{#VALUE!,#N/A,FALSE,0;#N/A,#N/A,FALSE,0;#N/A,#N/A,FALSE,0;#N/A,#N/A,FALSE,0;#N/A,#N/A,FALSE,0}</definedName>
    <definedName name="camuko" hidden="1">{#VALUE!,#N/A,FALSE,0;#N/A,#N/A,FALSE,0;#N/A,#N/A,FALSE,0;#N/A,#N/A,FALSE,0;#N/A,#N/A,FALSE,0}</definedName>
    <definedName name="CAP" localSheetId="3">#REF!</definedName>
    <definedName name="CAP">#REF!</definedName>
    <definedName name="CARL" hidden="1">{#N/A,#N/A,FALSE,"CCTV"}</definedName>
    <definedName name="CARL1" hidden="1">{#N/A,#N/A,FALSE,"CCTV"}</definedName>
    <definedName name="CARL2" hidden="1">{#N/A,#N/A,FALSE,"CCTV"}</definedName>
    <definedName name="CATEGORY" localSheetId="3">#REF!</definedName>
    <definedName name="category">'[56]Tipo Terzi'!$A$3:$A$13</definedName>
    <definedName name="Category_All" localSheetId="3">#REF!</definedName>
    <definedName name="Category_All">#REF!</definedName>
    <definedName name="çatı" localSheetId="3" hidden="1">{#N/A,#N/A,FALSE,"avans";#N/A,#N/A,FALSE,"teminat_mektubu";#N/A,#N/A,FALSE,"ihz. icmal";#N/A,#N/A,FALSE,"söz_fiy_fark";#N/A,#N/A,FALSE,"kap2";#N/A,#N/A,FALSE,"mal_FF_icm";#N/A,#N/A,FALSE,"kap1"}</definedName>
    <definedName name="çatı" hidden="1">{#N/A,#N/A,FALSE,"avans";#N/A,#N/A,FALSE,"teminat_mektubu";#N/A,#N/A,FALSE,"ihz. icmal";#N/A,#N/A,FALSE,"söz_fiy_fark";#N/A,#N/A,FALSE,"kap2";#N/A,#N/A,FALSE,"mal_FF_icm";#N/A,#N/A,FALSE,"kap1"}</definedName>
    <definedName name="CATIN">#N/A</definedName>
    <definedName name="CATJYOU">#N/A</definedName>
    <definedName name="CATREC">#N/A</definedName>
    <definedName name="CATSYU">#N/A</definedName>
    <definedName name="CBL600V" localSheetId="3">#REF!</definedName>
    <definedName name="CBL600V">#REF!</definedName>
    <definedName name="CBL6KV" localSheetId="3">#REF!</definedName>
    <definedName name="CBL6KV">#REF!</definedName>
    <definedName name="cc" localSheetId="4" hidden="1">{"MAN H.O.",#N/A,FALSE,"tabella"}</definedName>
    <definedName name="CC">#N/A</definedName>
    <definedName name="ÇÇ" localSheetId="3" hidden="1">{#N/A,#N/A,FALSE,"kap1";#N/A,#N/A,FALSE,"kap2";#N/A,#N/A,FALSE,"tem_mektubu";#N/A,#N/A,FALSE,"avans";#N/A,#N/A,FALSE,"söz_fiy_fark";#N/A,#N/A,FALSE,"fat_ihz"}</definedName>
    <definedName name="ÇÇ" hidden="1">{#N/A,#N/A,FALSE,"kap1";#N/A,#N/A,FALSE,"kap2";#N/A,#N/A,FALSE,"tem_mektubu";#N/A,#N/A,FALSE,"avans";#N/A,#N/A,FALSE,"söz_fiy_fark";#N/A,#N/A,FALSE,"fat_ihz"}</definedName>
    <definedName name="CCC" localSheetId="17">#REF!</definedName>
    <definedName name="CCC" localSheetId="15">#REF!</definedName>
    <definedName name="CCC" localSheetId="3">#REF!</definedName>
    <definedName name="CCC">#REF!</definedName>
    <definedName name="CCTV설비" localSheetId="3">#REF!</definedName>
    <definedName name="CCTV설비">#REF!</definedName>
    <definedName name="CCW">[60]작성기준!$C$25</definedName>
    <definedName name="CD" localSheetId="3">#REF!</definedName>
    <definedName name="CD">#REF!</definedName>
    <definedName name="cde" hidden="1">{#N/A,#N/A,TRUE,"Basic";#N/A,#N/A,TRUE,"EXT-TABLE";#N/A,#N/A,TRUE,"STEEL";#N/A,#N/A,TRUE,"INT-Table";#N/A,#N/A,TRUE,"STEEL";#N/A,#N/A,TRUE,"Door"}</definedName>
    <definedName name="CEL" localSheetId="3">#REF!</definedName>
    <definedName name="CEL">#REF!</definedName>
    <definedName name="CellReferencingOff">"Option Button 2"</definedName>
    <definedName name="CellReferencingOn">"Option Button 1"</definedName>
    <definedName name="CEM" localSheetId="3">#REF!</definedName>
    <definedName name="CEM">#REF!</definedName>
    <definedName name="Cerfi20" hidden="1">'[61]#REF'!$B$5</definedName>
    <definedName name="CH" localSheetId="3">#REF!</definedName>
    <definedName name="CH">#REF!</definedName>
    <definedName name="check" localSheetId="3">#REF!</definedName>
    <definedName name="check">#REF!</definedName>
    <definedName name="CHECK_PLATE_제작_설치" localSheetId="3">#REF!</definedName>
    <definedName name="CHECK_PLATE_제작_설치">#REF!</definedName>
    <definedName name="CHECKPLATE제작설치" localSheetId="3">#REF!</definedName>
    <definedName name="CHECKPLATE제작설치">#REF!</definedName>
    <definedName name="CHF">'[46]Ex-Rate'!$C$7</definedName>
    <definedName name="chl" localSheetId="3" hidden="1">{#N/A,#N/A,TRUE,"Basic";#N/A,#N/A,TRUE,"EXT-TABLE";#N/A,#N/A,TRUE,"STEEL";#N/A,#N/A,TRUE,"INT-Table";#N/A,#N/A,TRUE,"STEEL";#N/A,#N/A,TRUE,"Door"}</definedName>
    <definedName name="chl" hidden="1">{#N/A,#N/A,TRUE,"Basic";#N/A,#N/A,TRUE,"EXT-TABLE";#N/A,#N/A,TRUE,"STEEL";#N/A,#N/A,TRUE,"INT-Table";#N/A,#N/A,TRUE,"STEEL";#N/A,#N/A,TRUE,"Door"}</definedName>
    <definedName name="cho" hidden="1">{"LKD",#N/A,FALSE,"표지"}</definedName>
    <definedName name="chty" localSheetId="3">OFFSET(chtx,0,1,,)</definedName>
    <definedName name="chty">OFFSET(chtx,0,1,,)</definedName>
    <definedName name="chty1" localSheetId="3">OFFSET(chtx1,0,1,,)</definedName>
    <definedName name="chty1">OFFSET(chtx1,0,1,,)</definedName>
    <definedName name="chty2" localSheetId="3">OFFSET(chtx2,0,1,,)</definedName>
    <definedName name="chty2">OFFSET(chtx2,0,1,,)</definedName>
    <definedName name="chty3" localSheetId="3">OFFSET(chtx3,0,1,,)</definedName>
    <definedName name="chty3">OFFSET(chtx3,0,1,,)</definedName>
    <definedName name="chty4" localSheetId="3">OFFSET(chtx4,0,1,,)</definedName>
    <definedName name="chty4">OFFSET(chtx4,0,1,,)</definedName>
    <definedName name="chty5" localSheetId="3">OFFSET(chtx5,0,1,,)</definedName>
    <definedName name="chty5">OFFSET(chtx5,0,1,,)</definedName>
    <definedName name="chty6" localSheetId="3">OFFSET(chtx6,0,1,,)</definedName>
    <definedName name="chty6">OFFSET(chtx6,0,1,,)</definedName>
    <definedName name="chty7" localSheetId="3">OFFSET(chtx7,0,1,,)</definedName>
    <definedName name="chty7">OFFSET(chtx7,0,1,,)</definedName>
    <definedName name="chty8" localSheetId="3">OFFSET(chtx8,0,1,,)</definedName>
    <definedName name="chty8">OFFSET(chtx8,0,1,,)</definedName>
    <definedName name="chty9" localSheetId="3">OFFSET(chtx9,0,1,,)</definedName>
    <definedName name="chty9">OFFSET(chtx9,0,1,,)</definedName>
    <definedName name="CI" hidden="1">{"MAN H.O.",#N/A,FALSE,"tabella"}</definedName>
    <definedName name="CIB" localSheetId="3">#REF!</definedName>
    <definedName name="CIB">#REF!</definedName>
    <definedName name="çiçek" localSheetId="3" hidden="1">{#N/A,#N/A,FALSE,"Çaykara ataköy (1)";#N/A,#N/A,FALSE,"Çaykara ataköy (2)";#N/A,#N/A,FALSE,"Rize Kalkandere ";#N/A,#N/A,FALSE,"meydancık";#N/A,#N/A,FALSE,"muratlı"}</definedName>
    <definedName name="çiçek" hidden="1">{#N/A,#N/A,FALSE,"Çaykara ataköy (1)";#N/A,#N/A,FALSE,"Çaykara ataköy (2)";#N/A,#N/A,FALSE,"Rize Kalkandere ";#N/A,#N/A,FALSE,"meydancık";#N/A,#N/A,FALSE,"muratlı"}</definedName>
    <definedName name="cıs" localSheetId="3" hidden="1">{"'Grafik Kontrol'!$A$1:$J$8"}</definedName>
    <definedName name="cıs" hidden="1">{"'Grafik Kontrol'!$A$1:$J$8"}</definedName>
    <definedName name="cıs_1" localSheetId="3" hidden="1">{"'Grafik Kontrol'!$A$1:$J$8"}</definedName>
    <definedName name="cıs_1" hidden="1">{"'Grafik Kontrol'!$A$1:$J$8"}</definedName>
    <definedName name="CIS1_1" localSheetId="3" hidden="1">{"'Grafik Kontrol'!$A$1:$J$8"}</definedName>
    <definedName name="CIS1_1" hidden="1">{"'Grafik Kontrol'!$A$1:$J$8"}</definedName>
    <definedName name="CJ1M" localSheetId="17">#REF!</definedName>
    <definedName name="CJ1M" localSheetId="15">#REF!</definedName>
    <definedName name="CJ1M" localSheetId="3">#REF!</definedName>
    <definedName name="CJ1M">#REF!</definedName>
    <definedName name="CJ1Y" localSheetId="17">#REF!</definedName>
    <definedName name="CJ1Y" localSheetId="15">#REF!</definedName>
    <definedName name="CJ1Y" localSheetId="3">#REF!</definedName>
    <definedName name="CJ1Y">#REF!</definedName>
    <definedName name="CJ3M" localSheetId="17">#REF!</definedName>
    <definedName name="CJ3M" localSheetId="15">#REF!</definedName>
    <definedName name="CJ3M" localSheetId="3">#REF!</definedName>
    <definedName name="CJ3M">#REF!</definedName>
    <definedName name="CJ3Y" localSheetId="17">#REF!</definedName>
    <definedName name="CJ3Y" localSheetId="15">#REF!</definedName>
    <definedName name="CJ3Y" localSheetId="3">#REF!</definedName>
    <definedName name="CJ3Y">#REF!</definedName>
    <definedName name="CLIENT">[51]LEGEND!$D$6</definedName>
    <definedName name="clss">[48]VA_code!$Q$1:$R$31</definedName>
    <definedName name="cnf" localSheetId="3" hidden="1">{#N/A,#N/A,FALSE,"이태원철근"}</definedName>
    <definedName name="cnf" hidden="1">{#N/A,#N/A,FALSE,"이태원철근"}</definedName>
    <definedName name="CØ¿UAI¿øAßAI" localSheetId="17">[58]주관사업!#REF!</definedName>
    <definedName name="CØ¿UAI¿øAßAI" localSheetId="15">[58]주관사업!#REF!</definedName>
    <definedName name="CØ¿UAI¿øAßAI">[58]주관사업!#REF!</definedName>
    <definedName name="COA_51" localSheetId="3">#REF!</definedName>
    <definedName name="COA_51">#REF!</definedName>
    <definedName name="COA_52" localSheetId="3">#REF!</definedName>
    <definedName name="COA_52">#REF!</definedName>
    <definedName name="COA_53" localSheetId="3">#REF!</definedName>
    <definedName name="COA_53">#REF!</definedName>
    <definedName name="COA_54" localSheetId="3">#REF!</definedName>
    <definedName name="COA_54">#REF!</definedName>
    <definedName name="COA_55" localSheetId="3">#REF!</definedName>
    <definedName name="COA_55">#REF!</definedName>
    <definedName name="COA_60" localSheetId="3">#REF!</definedName>
    <definedName name="COA_60">#REF!</definedName>
    <definedName name="COA_70" localSheetId="3">#REF!</definedName>
    <definedName name="COA_70">#REF!</definedName>
    <definedName name="COA_80" localSheetId="3">#REF!</definedName>
    <definedName name="COA_80">#REF!</definedName>
    <definedName name="COA_90" localSheetId="3">#REF!</definedName>
    <definedName name="COA_90">#REF!</definedName>
    <definedName name="COA50A" localSheetId="3">#REF!</definedName>
    <definedName name="COA50A">#REF!</definedName>
    <definedName name="COA50B" localSheetId="3">#REF!</definedName>
    <definedName name="COA50B">#REF!</definedName>
    <definedName name="Coal" localSheetId="3">#REF!</definedName>
    <definedName name="Coal">#REF!</definedName>
    <definedName name="coat" localSheetId="17">#REF!</definedName>
    <definedName name="coat" localSheetId="15">#REF!</definedName>
    <definedName name="coat" localSheetId="3">#REF!</definedName>
    <definedName name="coat">#REF!</definedName>
    <definedName name="CODE" localSheetId="3">#REF!</definedName>
    <definedName name="CODE">[62]lookup!$GM$37:$GN$52</definedName>
    <definedName name="ⓒoe¨￢Iⓒø¡i￠?¨￡" localSheetId="17">[39]주관사업!#REF!</definedName>
    <definedName name="ⓒoe¨￢Iⓒø¡i￠?¨￡" localSheetId="15">[39]주관사업!#REF!</definedName>
    <definedName name="ⓒoe¨￢Iⓒø¡i￠?¨￡">[39]주관사업!#REF!</definedName>
    <definedName name="col_I" localSheetId="17">#REF!</definedName>
    <definedName name="col_I" localSheetId="15">#REF!</definedName>
    <definedName name="col_I" localSheetId="3">#REF!</definedName>
    <definedName name="col_I">#REF!</definedName>
    <definedName name="Cold_Insulation" localSheetId="3">#REF!</definedName>
    <definedName name="Cold_Insulation">#REF!</definedName>
    <definedName name="çöliş" localSheetId="3" hidden="1">{#N/A,#N/A,FALSE,"Çaykara ataköy (1)";#N/A,#N/A,FALSE,"Çaykara ataköy (2)";#N/A,#N/A,FALSE,"Rize Kalkandere ";#N/A,#N/A,FALSE,"meydancık";#N/A,#N/A,FALSE,"muratlı"}</definedName>
    <definedName name="çöliş" hidden="1">{#N/A,#N/A,FALSE,"Çaykara ataköy (1)";#N/A,#N/A,FALSE,"Çaykara ataköy (2)";#N/A,#N/A,FALSE,"Rize Kalkandere ";#N/A,#N/A,FALSE,"meydancık";#N/A,#N/A,FALSE,"muratlı"}</definedName>
    <definedName name="COM" localSheetId="3">#REF!</definedName>
    <definedName name="COM">#REF!</definedName>
    <definedName name="comm" localSheetId="3">#REF!</definedName>
    <definedName name="comm">#REF!</definedName>
    <definedName name="Commission" localSheetId="17">#REF!</definedName>
    <definedName name="Commission" localSheetId="15">#REF!</definedName>
    <definedName name="Commission" localSheetId="3">#REF!</definedName>
    <definedName name="Commission">#REF!</definedName>
    <definedName name="COND" localSheetId="3">#REF!</definedName>
    <definedName name="COND">#REF!</definedName>
    <definedName name="CONSUM" localSheetId="3">#REF!</definedName>
    <definedName name="CONSUM">#REF!</definedName>
    <definedName name="CONSUMABLE" localSheetId="3">#REF!</definedName>
    <definedName name="CONSUMABLE">#REF!</definedName>
    <definedName name="Contract_L">'[57]현장 개요'!$D$15</definedName>
    <definedName name="Contract_T">'[63]현장 개요'!$G$15</definedName>
    <definedName name="Contract_TV">'[57]현장 개요'!$G$29</definedName>
    <definedName name="COS" localSheetId="17">#REF!</definedName>
    <definedName name="COS" localSheetId="15">#REF!</definedName>
    <definedName name="COS" localSheetId="4">'[64]간접비내역-1'!#REF!</definedName>
    <definedName name="COS">#REF!</definedName>
    <definedName name="cost" localSheetId="3" hidden="1">{#N/A,#N/A,TRUE,"Basic";#N/A,#N/A,TRUE,"EXT-TABLE";#N/A,#N/A,TRUE,"STEEL";#N/A,#N/A,TRUE,"INT-Table";#N/A,#N/A,TRUE,"STEEL";#N/A,#N/A,TRUE,"Door"}</definedName>
    <definedName name="cost" hidden="1">{#N/A,#N/A,TRUE,"Basic";#N/A,#N/A,TRUE,"EXT-TABLE";#N/A,#N/A,TRUE,"STEEL";#N/A,#N/A,TRUE,"INT-Table";#N/A,#N/A,TRUE,"STEEL";#N/A,#N/A,TRUE,"Door"}</definedName>
    <definedName name="cost_1" hidden="1">{#N/A,#N/A,TRUE,"Basic";#N/A,#N/A,TRUE,"EXT-TABLE";#N/A,#N/A,TRUE,"STEEL";#N/A,#N/A,TRUE,"INT-Table";#N/A,#N/A,TRUE,"STEEL";#N/A,#N/A,TRUE,"Door"}</definedName>
    <definedName name="COST2" localSheetId="3" hidden="1">{#N/A,#N/A,TRUE,"Basic";#N/A,#N/A,TRUE,"EXT-TABLE";#N/A,#N/A,TRUE,"STEEL";#N/A,#N/A,TRUE,"INT-Table";#N/A,#N/A,TRUE,"STEEL";#N/A,#N/A,TRUE,"Door"}</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3" hidden="1">{#N/A,#N/A,TRUE,"Basic";#N/A,#N/A,TRUE,"EXT-TABLE";#N/A,#N/A,TRUE,"STEEL";#N/A,#N/A,TRUE,"INT-Table";#N/A,#N/A,TRUE,"STEEL";#N/A,#N/A,TRUE,"Door"}</definedName>
    <definedName name="Cov_Area">#N/A</definedName>
    <definedName name="cover" hidden="1">#REF!</definedName>
    <definedName name="COVER1" localSheetId="3">#REF!</definedName>
    <definedName name="COVER1">#REF!</definedName>
    <definedName name="cpf" hidden="1">{#N/A,#N/A,TRUE,"Basic";#N/A,#N/A,TRUE,"EXT-TABLE";#N/A,#N/A,TRUE,"STEEL";#N/A,#N/A,TRUE,"INT-Table";#N/A,#N/A,TRUE,"STEEL";#N/A,#N/A,TRUE,"Door"}</definedName>
    <definedName name="cpf_1" hidden="1">{#N/A,#N/A,TRUE,"Basic";#N/A,#N/A,TRUE,"EXT-TABLE";#N/A,#N/A,TRUE,"STEEL";#N/A,#N/A,TRUE,"INT-Table";#N/A,#N/A,TRUE,"STEEL";#N/A,#N/A,TRUE,"Door"}</definedName>
    <definedName name="CPL" localSheetId="3">#REF!</definedName>
    <definedName name="CPL">#REF!</definedName>
    <definedName name="CPLG" localSheetId="3">#REF!</definedName>
    <definedName name="CPLG">#REF!</definedName>
    <definedName name="CPM" localSheetId="3">#REF!</definedName>
    <definedName name="CPM">#REF!</definedName>
    <definedName name="CPY" localSheetId="3">#REF!</definedName>
    <definedName name="CPY">#REF!</definedName>
    <definedName name="crew">'[65]INSPECTOR (PKG-1)'!$D$8</definedName>
    <definedName name="crew4">'[65]INSPECTOR (PKG-4)'!$D$8</definedName>
    <definedName name="_xlnm.Criteria">#REF!</definedName>
    <definedName name="CRITERIA_MI" localSheetId="3">#REF!</definedName>
    <definedName name="CRITERIA_MI">#REF!</definedName>
    <definedName name="crush_s" localSheetId="17">#REF!</definedName>
    <definedName name="crush_s" localSheetId="15">#REF!</definedName>
    <definedName name="crush_s" localSheetId="3">#REF!</definedName>
    <definedName name="crush_s">#REF!</definedName>
    <definedName name="CS" localSheetId="3" hidden="1">{#N/A,#N/A,FALSE,"TABLE"}</definedName>
    <definedName name="CS">[55]작성기준!$C$19</definedName>
    <definedName name="çşi" localSheetId="3" hidden="1">{#N/A,#N/A,FALSE,"Çaykara ataköy (1)";#N/A,#N/A,FALSE,"Çaykara ataköy (2)";#N/A,#N/A,FALSE,"Rize Kalkandere ";#N/A,#N/A,FALSE,"meydancık";#N/A,#N/A,FALSE,"muratlı"}</definedName>
    <definedName name="çşi" hidden="1">{#N/A,#N/A,FALSE,"Çaykara ataköy (1)";#N/A,#N/A,FALSE,"Çaykara ataköy (2)";#N/A,#N/A,FALSE,"Rize Kalkandere ";#N/A,#N/A,FALSE,"meydancık";#N/A,#N/A,FALSE,"muratlı"}</definedName>
    <definedName name="CSthk">[52]Calc!#REF!</definedName>
    <definedName name="cs계장1">{"'장비'!$A$3:$M$12"}</definedName>
    <definedName name="cu" localSheetId="3" hidden="1">{#N/A,#N/A,FALSE,"kal_iç_ihz";#N/A,#N/A,FALSE,"kal_iç_er";#N/A,#N/A,FALSE,"kal_iç_tut"}</definedName>
    <definedName name="cu" hidden="1">{#N/A,#N/A,FALSE,"kal_iç_ihz";#N/A,#N/A,FALSE,"kal_iç_er";#N/A,#N/A,FALSE,"kal_iç_tut"}</definedName>
    <definedName name="currency" localSheetId="3">#REF!</definedName>
    <definedName name="currency">#REF!</definedName>
    <definedName name="CW">[60]작성기준!$C$24</definedName>
    <definedName name="CX" localSheetId="3" hidden="1">{#N/A,#N/A,FALSE,"imalat_keşif";#N/A,#N/A,FALSE,"imalat_seviye";#N/A,#N/A,FALSE,"141";#N/A,#N/A,FALSE,"142";#N/A,#N/A,FALSE,"143";#N/A,#N/A,FALSE,"144";#N/A,#N/A,FALSE,"145";#N/A,#N/A,FALSE,"146";#N/A,#N/A,FALSE,"147";#N/A,#N/A,FALSE,"148";#N/A,#N/A,FALSE,"149"}</definedName>
    <definedName name="CX" hidden="1">{#N/A,#N/A,FALSE,"imalat_keşif";#N/A,#N/A,FALSE,"imalat_seviye";#N/A,#N/A,FALSE,"141";#N/A,#N/A,FALSE,"142";#N/A,#N/A,FALSE,"143";#N/A,#N/A,FALSE,"144";#N/A,#N/A,FALSE,"145";#N/A,#N/A,FALSE,"146";#N/A,#N/A,FALSE,"147";#N/A,#N/A,FALSE,"148";#N/A,#N/A,FALSE,"149"}</definedName>
    <definedName name="CZ" localSheetId="3" hidden="1">{#N/A,#N/A,FALSE,"TABLE"}</definedName>
    <definedName name="CZ" hidden="1">{#N/A,#N/A,FALSE,"TABLE"}</definedName>
    <definedName name="D" localSheetId="17">#REF!</definedName>
    <definedName name="D" localSheetId="15">#REF!</definedName>
    <definedName name="D" localSheetId="4" hidden="1">{#N/A,#N/A,FALSE,"이태원철근"}</definedName>
    <definedName name="D" localSheetId="3">#REF!</definedName>
    <definedName name="D">#REF!</definedName>
    <definedName name="DaRWk1" localSheetId="17">#REF!</definedName>
    <definedName name="DaRWk1" localSheetId="15">#REF!</definedName>
    <definedName name="DaRWk1" localSheetId="3">#REF!</definedName>
    <definedName name="DaRWk1">#REF!</definedName>
    <definedName name="DaRWk10" localSheetId="17">#REF!</definedName>
    <definedName name="DaRWk10" localSheetId="15">#REF!</definedName>
    <definedName name="DaRWk10" localSheetId="3">#REF!</definedName>
    <definedName name="DaRWk10">#REF!</definedName>
    <definedName name="DaRWk11" localSheetId="17">#REF!</definedName>
    <definedName name="DaRWk11" localSheetId="15">#REF!</definedName>
    <definedName name="DaRWk11" localSheetId="3">#REF!</definedName>
    <definedName name="DaRWk11">#REF!</definedName>
    <definedName name="DaRWk12" localSheetId="17">#REF!</definedName>
    <definedName name="DaRWk12" localSheetId="15">#REF!</definedName>
    <definedName name="DaRWk12" localSheetId="3">#REF!</definedName>
    <definedName name="DaRWk12">#REF!</definedName>
    <definedName name="DaRWk2" localSheetId="17">#REF!</definedName>
    <definedName name="DaRWk2" localSheetId="15">#REF!</definedName>
    <definedName name="DaRWk2" localSheetId="3">#REF!</definedName>
    <definedName name="DaRWk2">#REF!</definedName>
    <definedName name="DaRWk3" localSheetId="17">#REF!</definedName>
    <definedName name="DaRWk3" localSheetId="15">#REF!</definedName>
    <definedName name="DaRWk3" localSheetId="3">#REF!</definedName>
    <definedName name="DaRWk3">#REF!</definedName>
    <definedName name="DaRWk4" localSheetId="17">#REF!</definedName>
    <definedName name="DaRWk4" localSheetId="15">#REF!</definedName>
    <definedName name="DaRWk4" localSheetId="3">#REF!</definedName>
    <definedName name="DaRWk4">#REF!</definedName>
    <definedName name="DaRWk5" localSheetId="17">#REF!</definedName>
    <definedName name="DaRWk5" localSheetId="15">#REF!</definedName>
    <definedName name="DaRWk5" localSheetId="3">#REF!</definedName>
    <definedName name="DaRWk5">#REF!</definedName>
    <definedName name="DaRWk6" localSheetId="17">#REF!</definedName>
    <definedName name="DaRWk6" localSheetId="15">#REF!</definedName>
    <definedName name="DaRWk6" localSheetId="3">#REF!</definedName>
    <definedName name="DaRWk6">#REF!</definedName>
    <definedName name="DaRWk8" localSheetId="17">#REF!</definedName>
    <definedName name="DaRWk8" localSheetId="15">#REF!</definedName>
    <definedName name="DaRWk8" localSheetId="3">#REF!</definedName>
    <definedName name="DaRWk8">#REF!</definedName>
    <definedName name="DaRwk9" localSheetId="17">#REF!</definedName>
    <definedName name="DaRwk9" localSheetId="15">#REF!</definedName>
    <definedName name="DaRwk9" localSheetId="3">#REF!</definedName>
    <definedName name="DaRwk9">#REF!</definedName>
    <definedName name="dasdasd" localSheetId="3" hidden="1">{#N/A,#N/A,FALSE,"ihz. icmal";#N/A,#N/A,FALSE,"avans";#N/A,#N/A,FALSE,"mal_FF_icm";#N/A,#N/A,FALSE,"fat_ihz";#N/A,#N/A,FALSE,"söz_fiy_fark";#N/A,#N/A,FALSE,"kap2"}</definedName>
    <definedName name="dasdasd" hidden="1">{#N/A,#N/A,FALSE,"ihz. icmal";#N/A,#N/A,FALSE,"avans";#N/A,#N/A,FALSE,"mal_FF_icm";#N/A,#N/A,FALSE,"fat_ihz";#N/A,#N/A,FALSE,"söz_fiy_fark";#N/A,#N/A,FALSE,"kap2"}</definedName>
    <definedName name="dasdfds" localSheetId="3">#REF!</definedName>
    <definedName name="dasdfds">#REF!</definedName>
    <definedName name="data" localSheetId="3">#REF!</definedName>
    <definedName name="data">#REF!</definedName>
    <definedName name="_xlnm.Database" localSheetId="17">#REF!</definedName>
    <definedName name="_xlnm.Database" localSheetId="15">#REF!</definedName>
    <definedName name="_xlnm.Database" localSheetId="4">#REF!</definedName>
    <definedName name="_xlnm.Database" localSheetId="3">#REF!</definedName>
    <definedName name="_xlnm.Database">#REF!</definedName>
    <definedName name="database2" localSheetId="3">#REF!</definedName>
    <definedName name="database2">#REF!</definedName>
    <definedName name="DATE" localSheetId="17">#REF!</definedName>
    <definedName name="DATE" localSheetId="15">#REF!</definedName>
    <definedName name="DATE">#REF!</definedName>
    <definedName name="DaWk7" localSheetId="17">#REF!</definedName>
    <definedName name="DaWk7" localSheetId="15">#REF!</definedName>
    <definedName name="DaWk7" localSheetId="3">#REF!</definedName>
    <definedName name="DaWk7">#REF!</definedName>
    <definedName name="DAYLAB" localSheetId="3">#REF!</definedName>
    <definedName name="DAYLAB">#REF!</definedName>
    <definedName name="dbase" localSheetId="3">#REF!</definedName>
    <definedName name="dbase">#REF!</definedName>
    <definedName name="DBB" hidden="1">{#N/A,#N/A,TRUE,"Basic";#N/A,#N/A,TRUE,"EXT-TABLE";#N/A,#N/A,TRUE,"STEEL";#N/A,#N/A,TRUE,"INT-Table";#N/A,#N/A,TRUE,"STEEL";#N/A,#N/A,TRUE,"Door"}</definedName>
    <definedName name="dbrwk1" localSheetId="17">#REF!</definedName>
    <definedName name="dbrwk1" localSheetId="15">#REF!</definedName>
    <definedName name="dbrwk1" localSheetId="3">#REF!</definedName>
    <definedName name="dbrwk1">#REF!</definedName>
    <definedName name="dbrwk10" localSheetId="17">#REF!</definedName>
    <definedName name="dbrwk10" localSheetId="15">#REF!</definedName>
    <definedName name="dbrwk10" localSheetId="3">#REF!</definedName>
    <definedName name="dbrwk10">#REF!</definedName>
    <definedName name="dbrwk11" localSheetId="17">#REF!</definedName>
    <definedName name="dbrwk11" localSheetId="15">#REF!</definedName>
    <definedName name="dbrwk11" localSheetId="3">#REF!</definedName>
    <definedName name="dbrwk11">#REF!</definedName>
    <definedName name="dbrwk12" localSheetId="17">#REF!</definedName>
    <definedName name="dbrwk12" localSheetId="15">#REF!</definedName>
    <definedName name="dbrwk12" localSheetId="3">#REF!</definedName>
    <definedName name="dbrwk12">#REF!</definedName>
    <definedName name="dbrwk2" localSheetId="17">#REF!</definedName>
    <definedName name="dbrwk2" localSheetId="15">#REF!</definedName>
    <definedName name="dbrwk2" localSheetId="3">#REF!</definedName>
    <definedName name="dbrwk2">#REF!</definedName>
    <definedName name="dbrwk3" localSheetId="17">#REF!</definedName>
    <definedName name="dbrwk3" localSheetId="15">#REF!</definedName>
    <definedName name="dbrwk3" localSheetId="3">#REF!</definedName>
    <definedName name="dbrwk3">#REF!</definedName>
    <definedName name="dbrwk4" localSheetId="17">#REF!</definedName>
    <definedName name="dbrwk4" localSheetId="15">#REF!</definedName>
    <definedName name="dbrwk4" localSheetId="3">#REF!</definedName>
    <definedName name="dbrwk4">#REF!</definedName>
    <definedName name="dbrwk5" localSheetId="17">#REF!</definedName>
    <definedName name="dbrwk5" localSheetId="15">#REF!</definedName>
    <definedName name="dbrwk5" localSheetId="3">#REF!</definedName>
    <definedName name="dbrwk5">#REF!</definedName>
    <definedName name="dbrwk6" localSheetId="17">#REF!</definedName>
    <definedName name="dbrwk6" localSheetId="15">#REF!</definedName>
    <definedName name="dbrwk6" localSheetId="3">#REF!</definedName>
    <definedName name="dbrwk6">#REF!</definedName>
    <definedName name="dbrwk7" localSheetId="17">#REF!</definedName>
    <definedName name="dbrwk7" localSheetId="15">#REF!</definedName>
    <definedName name="dbrwk7" localSheetId="3">#REF!</definedName>
    <definedName name="dbrwk7">#REF!</definedName>
    <definedName name="dbrwk8" localSheetId="17">#REF!</definedName>
    <definedName name="dbrwk8" localSheetId="15">#REF!</definedName>
    <definedName name="dbrwk8" localSheetId="3">#REF!</definedName>
    <definedName name="dbrwk8">#REF!</definedName>
    <definedName name="dbrwk9" localSheetId="17">#REF!</definedName>
    <definedName name="dbrwk9" localSheetId="15">#REF!</definedName>
    <definedName name="dbrwk9" localSheetId="3">#REF!</definedName>
    <definedName name="dbrwk9">#REF!</definedName>
    <definedName name="dcrwk1" localSheetId="17">#REF!</definedName>
    <definedName name="dcrwk1" localSheetId="15">#REF!</definedName>
    <definedName name="dcrwk1" localSheetId="3">#REF!</definedName>
    <definedName name="dcrwk1">#REF!</definedName>
    <definedName name="dcrwk10" localSheetId="17">#REF!</definedName>
    <definedName name="dcrwk10" localSheetId="15">#REF!</definedName>
    <definedName name="dcrwk10" localSheetId="3">#REF!</definedName>
    <definedName name="dcrwk10">#REF!</definedName>
    <definedName name="dcrwk11" localSheetId="17">#REF!</definedName>
    <definedName name="dcrwk11" localSheetId="15">#REF!</definedName>
    <definedName name="dcrwk11" localSheetId="3">#REF!</definedName>
    <definedName name="dcrwk11">#REF!</definedName>
    <definedName name="dcrwk12" localSheetId="17">#REF!</definedName>
    <definedName name="dcrwk12" localSheetId="15">#REF!</definedName>
    <definedName name="dcrwk12" localSheetId="3">#REF!</definedName>
    <definedName name="dcrwk12">#REF!</definedName>
    <definedName name="dcrwk2" localSheetId="17">#REF!</definedName>
    <definedName name="dcrwk2" localSheetId="15">#REF!</definedName>
    <definedName name="dcrwk2" localSheetId="3">#REF!</definedName>
    <definedName name="dcrwk2">#REF!</definedName>
    <definedName name="dcrwk3" localSheetId="17">#REF!</definedName>
    <definedName name="dcrwk3" localSheetId="15">#REF!</definedName>
    <definedName name="dcrwk3" localSheetId="3">#REF!</definedName>
    <definedName name="dcrwk3">#REF!</definedName>
    <definedName name="dcrwk4" localSheetId="17">#REF!</definedName>
    <definedName name="dcrwk4" localSheetId="15">#REF!</definedName>
    <definedName name="dcrwk4" localSheetId="3">#REF!</definedName>
    <definedName name="dcrwk4">#REF!</definedName>
    <definedName name="dcrwk5" localSheetId="17">#REF!</definedName>
    <definedName name="dcrwk5" localSheetId="15">#REF!</definedName>
    <definedName name="dcrwk5" localSheetId="3">#REF!</definedName>
    <definedName name="dcrwk5">#REF!</definedName>
    <definedName name="dcrwk6" localSheetId="17">#REF!</definedName>
    <definedName name="dcrwk6" localSheetId="15">#REF!</definedName>
    <definedName name="dcrwk6" localSheetId="3">#REF!</definedName>
    <definedName name="dcrwk6">#REF!</definedName>
    <definedName name="dcrwk7" localSheetId="17">#REF!</definedName>
    <definedName name="dcrwk7" localSheetId="15">#REF!</definedName>
    <definedName name="dcrwk7" localSheetId="3">#REF!</definedName>
    <definedName name="dcrwk7">#REF!</definedName>
    <definedName name="dcrwk8" localSheetId="17">#REF!</definedName>
    <definedName name="dcrwk8" localSheetId="15">#REF!</definedName>
    <definedName name="dcrwk8" localSheetId="3">#REF!</definedName>
    <definedName name="dcrwk8">#REF!</definedName>
    <definedName name="dcrwk9" localSheetId="17">#REF!</definedName>
    <definedName name="dcrwk9" localSheetId="15">#REF!</definedName>
    <definedName name="dcrwk9" localSheetId="3">#REF!</definedName>
    <definedName name="dcrwk9">#REF!</definedName>
    <definedName name="DD" localSheetId="17">'[37]97 사업추정(WEKI)'!#REF!</definedName>
    <definedName name="DD" localSheetId="15">'[37]97 사업추정(WEKI)'!#REF!</definedName>
    <definedName name="dd" localSheetId="4" hidden="1">#REF!</definedName>
    <definedName name="DD" localSheetId="3" hidden="1">{#N/A,#N/A,FALSE,"Çaykara ataköy (1)";#N/A,#N/A,FALSE,"Çaykara ataköy (2)";#N/A,#N/A,FALSE,"Rize Kalkandere ";#N/A,#N/A,FALSE,"meydancık";#N/A,#N/A,FALSE,"muratlı"}</definedName>
    <definedName name="DD">'[37]97 사업추정(WEKI)'!#REF!</definedName>
    <definedName name="DDD" localSheetId="17">'[66]97 사업추정(WEKI)'!#REF!</definedName>
    <definedName name="DDD" localSheetId="15">'[66]97 사업추정(WEKI)'!#REF!</definedName>
    <definedName name="ddd" localSheetId="3" hidden="1">{#N/A,#N/A,FALSE,"İÇ TOPRAK";#N/A,#N/A,FALSE,"İÇ SANAT";#N/A,#N/A,FALSE,"İÇ AYASOFYA ";#N/A,#N/A,FALSE,"İÇ AKYAZI";#N/A,#N/A,FALSE,"İÇ BEŞİRLİ";#N/A,#N/A,FALSE,"İÇ HAVAALANI";#N/A,#N/A,FALSE,"İÇ SONDAJ";#N/A,#N/A,FALSE,"İÇ KAMU";#N/A,#N/A,FALSE,"İÇ FAROZ"}</definedName>
    <definedName name="DDD">'[66]97 사업추정(WEKI)'!#REF!</definedName>
    <definedName name="DDDD" localSheetId="3" hidden="1">{#N/A,#N/A,FALSE,"Çaykara ataköy (1)";#N/A,#N/A,FALSE,"Çaykara ataköy (2)";#N/A,#N/A,FALSE,"Rize Kalkandere ";#N/A,#N/A,FALSE,"meydancık";#N/A,#N/A,FALSE,"muratlı"}</definedName>
    <definedName name="dddd" hidden="1">{#N/A,#N/A,FALSE,"TABLE"}</definedName>
    <definedName name="ddddd" hidden="1">{#N/A,#N/A,FALSE,"Sheet1"}</definedName>
    <definedName name="ddddd_1" hidden="1">{#N/A,#N/A,TRUE,"Basic";#N/A,#N/A,TRUE,"EXT-TABLE";#N/A,#N/A,TRUE,"STEEL";#N/A,#N/A,TRUE,"INT-Table";#N/A,#N/A,TRUE,"STEEL";#N/A,#N/A,TRUE,"Door"}</definedName>
    <definedName name="DDDDDDD" localSheetId="3" hidden="1">{#N/A,#N/A,FALSE,"Çaykara ataköy (1)";#N/A,#N/A,FALSE,"Çaykara ataköy (2)";#N/A,#N/A,FALSE,"Rize Kalkandere ";#N/A,#N/A,FALSE,"meydancık";#N/A,#N/A,FALSE,"muratlı"}</definedName>
    <definedName name="ddddddd" hidden="1">{#N/A,#N/A,FALSE,"TABLE"}</definedName>
    <definedName name="ddddddddddddd" hidden="1">{#N/A,#N/A,TRUE,"Basic";#N/A,#N/A,TRUE,"EXT-TABLE";#N/A,#N/A,TRUE,"STEEL";#N/A,#N/A,TRUE,"INT-Table";#N/A,#N/A,TRUE,"STEEL";#N/A,#N/A,TRUE,"Door"}</definedName>
    <definedName name="dddddddddddddd" localSheetId="3" hidden="1">{#N/A,#N/A,TRUE,"Basic";#N/A,#N/A,TRUE,"EXT-TABLE";#N/A,#N/A,TRUE,"STEEL";#N/A,#N/A,TRUE,"INT-Table";#N/A,#N/A,TRUE,"STEEL";#N/A,#N/A,TRUE,"Door"}</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f">{"'장비'!$A$3:$M$12"}</definedName>
    <definedName name="DDFD" localSheetId="3" hidden="1">{#N/A,#N/A,FALSE,"CCTV"}</definedName>
    <definedName name="DDFD" hidden="1">{#N/A,#N/A,FALSE,"CCTV"}</definedName>
    <definedName name="ddh" hidden="1">'[18]Eq. Mobilization'!#REF!</definedName>
    <definedName name="DE" hidden="1">'[67]갑지(추정)'!#REF!</definedName>
    <definedName name="DEC.GH" localSheetId="17">#REF!</definedName>
    <definedName name="DEC.GH" localSheetId="15">#REF!</definedName>
    <definedName name="DEC.GH" localSheetId="3">#REF!</definedName>
    <definedName name="DEC.GH">#REF!</definedName>
    <definedName name="deee" localSheetId="3" hidden="1">{#N/A,#N/A,FALSE,"ihz. icmal";#N/A,#N/A,FALSE,"avans";#N/A,#N/A,FALSE,"mal_FF_icm";#N/A,#N/A,FALSE,"fat_ihz";#N/A,#N/A,FALSE,"söz_fiy_fark";#N/A,#N/A,FALSE,"kap2"}</definedName>
    <definedName name="deee" hidden="1">{#N/A,#N/A,FALSE,"ihz. icmal";#N/A,#N/A,FALSE,"avans";#N/A,#N/A,FALSE,"mal_FF_icm";#N/A,#N/A,FALSE,"fat_ihz";#N/A,#N/A,FALSE,"söz_fiy_fark";#N/A,#N/A,FALSE,"kap2"}</definedName>
    <definedName name="DEF" localSheetId="3" hidden="1">{#N/A,#N/A,FALSE,"TABLE"}</definedName>
    <definedName name="DEF" hidden="1">{#N/A,#N/A,FALSE,"TABLE"}</definedName>
    <definedName name="deffrt" hidden="1">{#N/A,#N/A,FALSE,"TABLE"}</definedName>
    <definedName name="DEGB" localSheetId="3" hidden="1">{#N/A,#N/A,FALSE,"TABLE"}</definedName>
    <definedName name="DEGB" hidden="1">{#N/A,#N/A,FALSE,"TABLE"}</definedName>
    <definedName name="DelDC" localSheetId="17">#REF!</definedName>
    <definedName name="DelDC" localSheetId="15">#REF!</definedName>
    <definedName name="DelDC" localSheetId="3">#REF!</definedName>
    <definedName name="DelDC">#REF!</definedName>
    <definedName name="DelDm" localSheetId="17">#REF!</definedName>
    <definedName name="DelDm" localSheetId="15">#REF!</definedName>
    <definedName name="DelDm" localSheetId="3">#REF!</definedName>
    <definedName name="DelDm">#REF!</definedName>
    <definedName name="Delivery" localSheetId="17">#REF!</definedName>
    <definedName name="Delivery" localSheetId="15">#REF!</definedName>
    <definedName name="Delivery" localSheetId="3">#REF!</definedName>
    <definedName name="Delivery">#REF!</definedName>
    <definedName name="DelType" localSheetId="17">#REF!</definedName>
    <definedName name="DelType" localSheetId="15">#REF!</definedName>
    <definedName name="DelType" localSheetId="3">#REF!</definedName>
    <definedName name="DelType">#REF!</definedName>
    <definedName name="deptLookup" localSheetId="17">#REF!</definedName>
    <definedName name="deptLookup" localSheetId="15">#REF!</definedName>
    <definedName name="deptLookup" localSheetId="3">#REF!</definedName>
    <definedName name="deptLookup">#REF!</definedName>
    <definedName name="des" localSheetId="3">#REF!</definedName>
    <definedName name="des">#REF!</definedName>
    <definedName name="DESC" localSheetId="3">#REF!</definedName>
    <definedName name="DESC">#REF!</definedName>
    <definedName name="DESC_BRIDGE" localSheetId="3">#REF!</definedName>
    <definedName name="DESC_BRIDGE">#REF!</definedName>
    <definedName name="DESC_DUCT_SPRT" localSheetId="3">#REF!</definedName>
    <definedName name="DESC_DUCT_SPRT">#REF!</definedName>
    <definedName name="DESC_EQ_SPRT" localSheetId="3">#REF!</definedName>
    <definedName name="DESC_EQ_SPRT">#REF!</definedName>
    <definedName name="DESC_FAB" localSheetId="3">#REF!</definedName>
    <definedName name="DESC_FAB">#REF!</definedName>
    <definedName name="DESC_PIPERACK" localSheetId="3">#REF!</definedName>
    <definedName name="DESC_PIPERACK">#REF!</definedName>
    <definedName name="DESC_PLT_ACCS" localSheetId="3">#REF!</definedName>
    <definedName name="DESC_PLT_ACCS">#REF!</definedName>
    <definedName name="DESC_STANCHION" localSheetId="3">#REF!</definedName>
    <definedName name="DESC_STANCHION">#REF!</definedName>
    <definedName name="DESC_STCK_SPRT" localSheetId="3">#REF!</definedName>
    <definedName name="DESC_STCK_SPRT">#REF!</definedName>
    <definedName name="description" localSheetId="3">#REF!</definedName>
    <definedName name="description">#REF!</definedName>
    <definedName name="DF" localSheetId="17">[20]수입!#REF!</definedName>
    <definedName name="DF" localSheetId="15">[20]수입!#REF!</definedName>
    <definedName name="df" localSheetId="4" hidden="1">#REF!</definedName>
    <definedName name="DF">[20]수입!#REF!</definedName>
    <definedName name="dfd" localSheetId="3" hidden="1">{#N/A,#N/A,FALSE,"Çaykara ataköy (1)";#N/A,#N/A,FALSE,"Çaykara ataköy (2)";#N/A,#N/A,FALSE,"Rize Kalkandere ";#N/A,#N/A,FALSE,"meydancık";#N/A,#N/A,FALSE,"muratlı"}</definedName>
    <definedName name="dfd" hidden="1">{#N/A,#N/A,FALSE,"Çaykara ataköy (1)";#N/A,#N/A,FALSE,"Çaykara ataköy (2)";#N/A,#N/A,FALSE,"Rize Kalkandere ";#N/A,#N/A,FALSE,"meydancık";#N/A,#N/A,FALSE,"muratlı"}</definedName>
    <definedName name="dfdf">{"'장비'!$A$3:$M$12"}</definedName>
    <definedName name="DFF" localSheetId="3" hidden="1">{#N/A,#N/A,FALSE,"kal_iç_ihz";#N/A,#N/A,FALSE,"kal_iç_er";#N/A,#N/A,FALSE,"kal_iç_tut"}</definedName>
    <definedName name="DFF" hidden="1">{#N/A,#N/A,FALSE,"kal_iç_ihz";#N/A,#N/A,FALSE,"kal_iç_er";#N/A,#N/A,FALSE,"kal_iç_tut"}</definedName>
    <definedName name="dfgd" hidden="1">[29]S1BOQ!#REF!</definedName>
    <definedName name="DG" localSheetId="3">#REF!</definedName>
    <definedName name="DG">#REF!</definedName>
    <definedName name="dgagd" localSheetId="3" hidden="1">{#N/A,#N/A,TRUE,"Basic";#N/A,#N/A,TRUE,"EXT-TABLE";#N/A,#N/A,TRUE,"STEEL";#N/A,#N/A,TRUE,"INT-Table";#N/A,#N/A,TRUE,"STEEL";#N/A,#N/A,TRUE,"Door"}</definedName>
    <definedName name="dgagd" hidden="1">{#N/A,#N/A,TRUE,"Basic";#N/A,#N/A,TRUE,"EXT-TABLE";#N/A,#N/A,TRUE,"STEEL";#N/A,#N/A,TRUE,"INT-Table";#N/A,#N/A,TRUE,"STEEL";#N/A,#N/A,TRUE,"Door"}</definedName>
    <definedName name="dgfgjgj" localSheetId="3" hidden="1">{#N/A,#N/A,FALSE,"CCTV"}</definedName>
    <definedName name="dgfgjgj" hidden="1">{#N/A,#N/A,FALSE,"CCTV"}</definedName>
    <definedName name="dh6546h" hidden="1">#REF!</definedName>
    <definedName name="di" localSheetId="3">#REF!</definedName>
    <definedName name="di">#REF!</definedName>
    <definedName name="dialog_open">"Dialog Frame 1"</definedName>
    <definedName name="diameter" localSheetId="3">#REF!</definedName>
    <definedName name="diameter">#REF!</definedName>
    <definedName name="diaphragm" localSheetId="3">#REF!</definedName>
    <definedName name="diaphragm">#REF!</definedName>
    <definedName name="Diesel" comment="디젤단가">[64]차량운영비!$O$14</definedName>
    <definedName name="DIGN" localSheetId="3" hidden="1">{#N/A,#N/A,TRUE,"Basic";#N/A,#N/A,TRUE,"EXT-TABLE";#N/A,#N/A,TRUE,"STEEL";#N/A,#N/A,TRUE,"INT-Table";#N/A,#N/A,TRUE,"STEEL";#N/A,#N/A,TRUE,"Door"}</definedName>
    <definedName name="DIGN" hidden="1">{#N/A,#N/A,TRUE,"Basic";#N/A,#N/A,TRUE,"EXT-TABLE";#N/A,#N/A,TRUE,"STEEL";#N/A,#N/A,TRUE,"INT-Table";#N/A,#N/A,TRUE,"STEEL";#N/A,#N/A,TRUE,"Door"}</definedName>
    <definedName name="DIRECT" localSheetId="3">#REF!</definedName>
    <definedName name="DIRECT">#REF!</definedName>
    <definedName name="DJDJ" localSheetId="0">BlankMacro1</definedName>
    <definedName name="DJDJ" localSheetId="2">BlankMacro1</definedName>
    <definedName name="DJDJ" localSheetId="17">BlankMacro1</definedName>
    <definedName name="DJDJ" localSheetId="15">BlankMacro1</definedName>
    <definedName name="DJDJ">BlankMacro1</definedName>
    <definedName name="DJGFIWET" localSheetId="3" hidden="1">{#N/A,#N/A,FALSE,"TABLE"}</definedName>
    <definedName name="DJGFIWET" hidden="1">{#N/A,#N/A,FALSE,"TABLE"}</definedName>
    <definedName name="DK" localSheetId="3">#REF!</definedName>
    <definedName name="DK">#REF!</definedName>
    <definedName name="DKDLFJKDS" localSheetId="3" hidden="1">{#N/A,#N/A,TRUE,"Basic";#N/A,#N/A,TRUE,"EXT-TABLE";#N/A,#N/A,TRUE,"STEEL";#N/A,#N/A,TRUE,"INT-Table";#N/A,#N/A,TRUE,"STEEL";#N/A,#N/A,TRUE,"Door"}</definedName>
    <definedName name="DKDLFJKDS" hidden="1">{#N/A,#N/A,TRUE,"Basic";#N/A,#N/A,TRUE,"EXT-TABLE";#N/A,#N/A,TRUE,"STEEL";#N/A,#N/A,TRUE,"INT-Table";#N/A,#N/A,TRUE,"STEEL";#N/A,#N/A,TRUE,"Door"}</definedName>
    <definedName name="DKJFKSE" localSheetId="3" hidden="1">{#N/A,#N/A,FALSE,"TABLE"}</definedName>
    <definedName name="DKJFKSE" hidden="1">{#N/A,#N/A,FALSE,"TABLE"}</definedName>
    <definedName name="DM" localSheetId="3">#REF!</definedName>
    <definedName name="DM">#REF!</definedName>
    <definedName name="DOC" localSheetId="3">#REF!</definedName>
    <definedName name="DOC">#REF!</definedName>
    <definedName name="DOCUMENT">{"Book1","my ddc.xls"}</definedName>
    <definedName name="Document_array" localSheetId="3">{"Book1","tender-form0110-final.xls"}</definedName>
    <definedName name="Document_array">{"Book1","DOC&amp;DWG.xls"}</definedName>
    <definedName name="DOLAR" localSheetId="3" hidden="1">{#N/A,#N/A,FALSE,"Çaykara ataköy (1)";#N/A,#N/A,FALSE,"Çaykara ataköy (2)";#N/A,#N/A,FALSE,"Rize Kalkandere ";#N/A,#N/A,FALSE,"meydancık";#N/A,#N/A,FALSE,"muratlı"}</definedName>
    <definedName name="DOLAR" hidden="1">{#N/A,#N/A,FALSE,"Çaykara ataköy (1)";#N/A,#N/A,FALSE,"Çaykara ataköy (2)";#N/A,#N/A,FALSE,"Rize Kalkandere ";#N/A,#N/A,FALSE,"meydancık";#N/A,#N/A,FALSE,"muratlı"}</definedName>
    <definedName name="dp">#REF!</definedName>
    <definedName name="DpFKDL" localSheetId="3" hidden="1">{#N/A,#N/A,FALSE,"이태원철근"}</definedName>
    <definedName name="DpFKDL" hidden="1">{#N/A,#N/A,FALSE,"이태원철근"}</definedName>
    <definedName name="DR1M" localSheetId="17">#REF!</definedName>
    <definedName name="DR1M" localSheetId="15">#REF!</definedName>
    <definedName name="DR1M" localSheetId="3">#REF!</definedName>
    <definedName name="DR1M">#REF!</definedName>
    <definedName name="DR1Y" localSheetId="17">#REF!</definedName>
    <definedName name="DR1Y" localSheetId="15">#REF!</definedName>
    <definedName name="DR1Y" localSheetId="3">#REF!</definedName>
    <definedName name="DR1Y">#REF!</definedName>
    <definedName name="DR3M" localSheetId="17">#REF!</definedName>
    <definedName name="DR3M" localSheetId="15">#REF!</definedName>
    <definedName name="DR3M" localSheetId="3">#REF!</definedName>
    <definedName name="DR3M">#REF!</definedName>
    <definedName name="DR3Y" localSheetId="17">#REF!</definedName>
    <definedName name="DR3Y" localSheetId="15">#REF!</definedName>
    <definedName name="DR3Y" localSheetId="3">#REF!</definedName>
    <definedName name="DR3Y">#REF!</definedName>
    <definedName name="drain_trap" localSheetId="3">#REF!</definedName>
    <definedName name="drain_trap">#REF!</definedName>
    <definedName name="DRAW" localSheetId="3">#REF!</definedName>
    <definedName name="DRAW">#REF!</definedName>
    <definedName name="DRAWING" localSheetId="3">#REF!</definedName>
    <definedName name="DRAWING">#REF!</definedName>
    <definedName name="DS" localSheetId="3" hidden="1">{#N/A,#N/A,FALSE,"imalat_keşif";#N/A,#N/A,FALSE,"imalat_seviye";#N/A,#N/A,FALSE,"141";#N/A,#N/A,FALSE,"142";#N/A,#N/A,FALSE,"143";#N/A,#N/A,FALSE,"144";#N/A,#N/A,FALSE,"145";#N/A,#N/A,FALSE,"146";#N/A,#N/A,FALSE,"147";#N/A,#N/A,FALSE,"148";#N/A,#N/A,FALSE,"149"}</definedName>
    <definedName name="DS" hidden="1">{#N/A,#N/A,FALSE,"imalat_keşif";#N/A,#N/A,FALSE,"imalat_seviye";#N/A,#N/A,FALSE,"141";#N/A,#N/A,FALSE,"142";#N/A,#N/A,FALSE,"143";#N/A,#N/A,FALSE,"144";#N/A,#N/A,FALSE,"145";#N/A,#N/A,FALSE,"146";#N/A,#N/A,FALSE,"147";#N/A,#N/A,FALSE,"148";#N/A,#N/A,FALSE,"149"}</definedName>
    <definedName name="DSD" hidden="1">{#N/A,#N/A,FALSE,"CCTV"}</definedName>
    <definedName name="DSDD" localSheetId="3" hidden="1">{#N/A,#N/A,FALSE,"imalat_keşif";#N/A,#N/A,FALSE,"imalat_seviye";#N/A,#N/A,FALSE,"141";#N/A,#N/A,FALSE,"142";#N/A,#N/A,FALSE,"143";#N/A,#N/A,FALSE,"144";#N/A,#N/A,FALSE,"145";#N/A,#N/A,FALSE,"146";#N/A,#N/A,FALSE,"147";#N/A,#N/A,FALSE,"148";#N/A,#N/A,FALSE,"149"}</definedName>
    <definedName name="DSDD" hidden="1">{#N/A,#N/A,FALSE,"imalat_keşif";#N/A,#N/A,FALSE,"imalat_seviye";#N/A,#N/A,FALSE,"141";#N/A,#N/A,FALSE,"142";#N/A,#N/A,FALSE,"143";#N/A,#N/A,FALSE,"144";#N/A,#N/A,FALSE,"145";#N/A,#N/A,FALSE,"146";#N/A,#N/A,FALSE,"147";#N/A,#N/A,FALSE,"148";#N/A,#N/A,FALSE,"149"}</definedName>
    <definedName name="DSDSD"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fsdfds" hidden="1">'[68]#REF'!#REF!</definedName>
    <definedName name="dşğhjt" localSheetId="3" hidden="1">{#N/A,#N/A,FALSE,"Çaykara ataköy (1)";#N/A,#N/A,FALSE,"Çaykara ataköy (2)";#N/A,#N/A,FALSE,"Rize Kalkandere ";#N/A,#N/A,FALSE,"meydancık";#N/A,#N/A,FALSE,"muratlı"}</definedName>
    <definedName name="dşğhjt" hidden="1">{#N/A,#N/A,FALSE,"Çaykara ataköy (1)";#N/A,#N/A,FALSE,"Çaykara ataköy (2)";#N/A,#N/A,FALSE,"Rize Kalkandere ";#N/A,#N/A,FALSE,"meydancık";#N/A,#N/A,FALSE,"muratlı"}</definedName>
    <definedName name="DSJFOWEU8923" localSheetId="3" hidden="1">{#N/A,#N/A,FALSE,"TABLE"}</definedName>
    <definedName name="DSJFOWEU8923" hidden="1">{#N/A,#N/A,FALSE,"TABLE"}</definedName>
    <definedName name="dssss" hidden="1">{#N/A,#N/A,FALSE,"TABLE"}</definedName>
    <definedName name="dtjcfcgfh" hidden="1">[15]공통비총괄표!#REF!</definedName>
    <definedName name="du" localSheetId="3" hidden="1">{#N/A,#N/A,FALSE,"maff_h1";#N/A,#N/A,FALSE,"maff_h2";#N/A,#N/A,FALSE,"maff_h3";#N/A,#N/A,FALSE,"maff_h4";#N/A,#N/A,FALSE,"maff_h5";#N/A,#N/A,FALSE,"maff_h6";#N/A,#N/A,FALSE,"maff_h7"}</definedName>
    <definedName name="du" hidden="1">{#N/A,#N/A,FALSE,"maff_h1";#N/A,#N/A,FALSE,"maff_h2";#N/A,#N/A,FALSE,"maff_h3";#N/A,#N/A,FALSE,"maff_h4";#N/A,#N/A,FALSE,"maff_h5";#N/A,#N/A,FALSE,"maff_h6";#N/A,#N/A,FALSE,"maff_h7"}</definedName>
    <definedName name="dual_plate_check" localSheetId="3">#REF!</definedName>
    <definedName name="dual_plate_check">#REF!</definedName>
    <definedName name="DUCT_GONG" localSheetId="3">#REF!</definedName>
    <definedName name="DUCT_GONG">#REF!</definedName>
    <definedName name="dumppr" localSheetId="17">#REF!</definedName>
    <definedName name="dumppr" localSheetId="15">#REF!</definedName>
    <definedName name="dumppr" localSheetId="3">#REF!</definedName>
    <definedName name="dumppr">#REF!</definedName>
    <definedName name="duplex_strainer" localSheetId="3">#REF!</definedName>
    <definedName name="duplex_strainer">#REF!</definedName>
    <definedName name="Duration">'[57]현장 개요'!$G$31</definedName>
    <definedName name="DWPRICE" hidden="1">[69]Quantity!#REF!</definedName>
    <definedName name="dwv" localSheetId="3" hidden="1">{#N/A,#N/A,TRUE,"Basic";#N/A,#N/A,TRUE,"EXT-TABLE";#N/A,#N/A,TRUE,"STEEL";#N/A,#N/A,TRUE,"INT-Table";#N/A,#N/A,TRUE,"STEEL";#N/A,#N/A,TRUE,"Door"}</definedName>
    <definedName name="dwv" hidden="1">{#N/A,#N/A,TRUE,"Basic";#N/A,#N/A,TRUE,"EXT-TABLE";#N/A,#N/A,TRUE,"STEEL";#N/A,#N/A,TRUE,"INT-Table";#N/A,#N/A,TRUE,"STEEL";#N/A,#N/A,TRUE,"Door"}</definedName>
    <definedName name="dx_shape" localSheetId="17">#REF!</definedName>
    <definedName name="dx_shape" localSheetId="15">#REF!</definedName>
    <definedName name="dx_shape" localSheetId="3">#REF!</definedName>
    <definedName name="dx_shape">#REF!</definedName>
    <definedName name="dyd" localSheetId="3">BlankMacro1</definedName>
    <definedName name="dyd">BlankMacro1</definedName>
    <definedName name="e" localSheetId="3">BlankMacro1</definedName>
    <definedName name="E" hidden="1">{#N/A,#N/A,FALSE,"이태원철근"}</definedName>
    <definedName name="E_45E" localSheetId="3">#REF!</definedName>
    <definedName name="E_45E">#REF!</definedName>
    <definedName name="E_90LE" localSheetId="3">#REF!</definedName>
    <definedName name="E_90LE">#REF!</definedName>
    <definedName name="E_90SE" localSheetId="3">#REF!</definedName>
    <definedName name="E_90SE">#REF!</definedName>
    <definedName name="E_BV" localSheetId="3">#REF!</definedName>
    <definedName name="E_BV">#REF!</definedName>
    <definedName name="E_GV" localSheetId="3">#REF!</definedName>
    <definedName name="E_GV">#REF!</definedName>
    <definedName name="e_margin" localSheetId="17">#REF!</definedName>
    <definedName name="e_margin" localSheetId="15">#REF!</definedName>
    <definedName name="e_margin" localSheetId="3">#REF!</definedName>
    <definedName name="e_margin">#REF!</definedName>
    <definedName name="E_SC" localSheetId="3">#REF!</definedName>
    <definedName name="E_SC">#REF!</definedName>
    <definedName name="E_T" localSheetId="3">#REF!</definedName>
    <definedName name="E_T">#REF!</definedName>
    <definedName name="E10M" localSheetId="3">#REF!</definedName>
    <definedName name="E10M">#REF!</definedName>
    <definedName name="E10P" localSheetId="3">#REF!</definedName>
    <definedName name="E10P">#REF!</definedName>
    <definedName name="E11M" localSheetId="3">#REF!</definedName>
    <definedName name="E11M">#REF!</definedName>
    <definedName name="E11P" localSheetId="3">#REF!</definedName>
    <definedName name="E11P">#REF!</definedName>
    <definedName name="E12M" localSheetId="3">#REF!</definedName>
    <definedName name="E12M">#REF!</definedName>
    <definedName name="E12P" localSheetId="3">#REF!</definedName>
    <definedName name="E12P">#REF!</definedName>
    <definedName name="E13M" localSheetId="3">#REF!</definedName>
    <definedName name="E13M">#REF!</definedName>
    <definedName name="E13P" localSheetId="3">#REF!</definedName>
    <definedName name="E13P">#REF!</definedName>
    <definedName name="E14M" localSheetId="3">#REF!</definedName>
    <definedName name="E14M">#REF!</definedName>
    <definedName name="E14P" localSheetId="3">#REF!</definedName>
    <definedName name="E14P">#REF!</definedName>
    <definedName name="E15M" localSheetId="3">#REF!</definedName>
    <definedName name="E15M">#REF!</definedName>
    <definedName name="E15P" localSheetId="3">#REF!</definedName>
    <definedName name="E15P">#REF!</definedName>
    <definedName name="E16M" localSheetId="3">#REF!</definedName>
    <definedName name="E16M">#REF!</definedName>
    <definedName name="E16P" localSheetId="3">#REF!</definedName>
    <definedName name="E16P">#REF!</definedName>
    <definedName name="E17M" localSheetId="3">#REF!</definedName>
    <definedName name="E17M">#REF!</definedName>
    <definedName name="E17P" localSheetId="3">#REF!</definedName>
    <definedName name="E17P">#REF!</definedName>
    <definedName name="E18M" localSheetId="3">#REF!</definedName>
    <definedName name="E18M">#REF!</definedName>
    <definedName name="E18P" localSheetId="3">#REF!</definedName>
    <definedName name="E18P">#REF!</definedName>
    <definedName name="E19M" localSheetId="3">#REF!</definedName>
    <definedName name="E19M">#REF!</definedName>
    <definedName name="E19P" localSheetId="3">#REF!</definedName>
    <definedName name="E19P">#REF!</definedName>
    <definedName name="E1E" localSheetId="3">#REF!</definedName>
    <definedName name="E1E">#REF!</definedName>
    <definedName name="E1M" localSheetId="3">#REF!</definedName>
    <definedName name="E1M">#REF!</definedName>
    <definedName name="E1P" localSheetId="3">#REF!</definedName>
    <definedName name="E1P">#REF!</definedName>
    <definedName name="E20M" localSheetId="3">#REF!</definedName>
    <definedName name="E20M">#REF!</definedName>
    <definedName name="E20P" localSheetId="3">#REF!</definedName>
    <definedName name="E20P">#REF!</definedName>
    <definedName name="E21M" localSheetId="3">#REF!</definedName>
    <definedName name="E21M">#REF!</definedName>
    <definedName name="E21P" localSheetId="3">#REF!</definedName>
    <definedName name="E21P">#REF!</definedName>
    <definedName name="E22M" localSheetId="3">#REF!</definedName>
    <definedName name="E22M">#REF!</definedName>
    <definedName name="E22P" localSheetId="3">#REF!</definedName>
    <definedName name="E22P">#REF!</definedName>
    <definedName name="E23M" localSheetId="3">#REF!</definedName>
    <definedName name="E23M">#REF!</definedName>
    <definedName name="E23P" localSheetId="3">#REF!</definedName>
    <definedName name="E23P">#REF!</definedName>
    <definedName name="E24M" localSheetId="3">#REF!</definedName>
    <definedName name="E24M">#REF!</definedName>
    <definedName name="E24P" localSheetId="3">#REF!</definedName>
    <definedName name="E24P">#REF!</definedName>
    <definedName name="E25M" localSheetId="3">#REF!</definedName>
    <definedName name="E25M">#REF!</definedName>
    <definedName name="E25P" localSheetId="3">#REF!</definedName>
    <definedName name="E25P">#REF!</definedName>
    <definedName name="E26E" localSheetId="3">#REF!</definedName>
    <definedName name="E26E">#REF!</definedName>
    <definedName name="E26M" localSheetId="3">#REF!</definedName>
    <definedName name="E26M">#REF!</definedName>
    <definedName name="E26P" localSheetId="3">#REF!</definedName>
    <definedName name="E26P">#REF!</definedName>
    <definedName name="E27E" localSheetId="3">#REF!</definedName>
    <definedName name="E27E">#REF!</definedName>
    <definedName name="E27M" localSheetId="3">#REF!</definedName>
    <definedName name="E27M">#REF!</definedName>
    <definedName name="E27P" localSheetId="3">#REF!</definedName>
    <definedName name="E27P">#REF!</definedName>
    <definedName name="E28E" localSheetId="3">#REF!</definedName>
    <definedName name="E28E">#REF!</definedName>
    <definedName name="E28M" localSheetId="3">#REF!</definedName>
    <definedName name="E28M">#REF!</definedName>
    <definedName name="E28P" localSheetId="3">#REF!</definedName>
    <definedName name="E28P">#REF!</definedName>
    <definedName name="E29M" localSheetId="3">#REF!</definedName>
    <definedName name="E29M">#REF!</definedName>
    <definedName name="E29P" localSheetId="3">#REF!</definedName>
    <definedName name="E29P">#REF!</definedName>
    <definedName name="E2E" localSheetId="3">#REF!</definedName>
    <definedName name="E2E">#REF!</definedName>
    <definedName name="E2M" localSheetId="3">#REF!</definedName>
    <definedName name="E2M">#REF!</definedName>
    <definedName name="E2P" localSheetId="3">#REF!</definedName>
    <definedName name="E2P">#REF!</definedName>
    <definedName name="E30M" localSheetId="3">#REF!</definedName>
    <definedName name="E30M">#REF!</definedName>
    <definedName name="E30P" localSheetId="3">#REF!</definedName>
    <definedName name="E30P">#REF!</definedName>
    <definedName name="E31E" localSheetId="3">#REF!</definedName>
    <definedName name="E31E">#REF!</definedName>
    <definedName name="E31M" localSheetId="3">#REF!</definedName>
    <definedName name="E31M">#REF!</definedName>
    <definedName name="E31P" localSheetId="3">#REF!</definedName>
    <definedName name="E31P">#REF!</definedName>
    <definedName name="E32E" localSheetId="3">#REF!</definedName>
    <definedName name="E32E">#REF!</definedName>
    <definedName name="E32M" localSheetId="3">#REF!</definedName>
    <definedName name="E32M">#REF!</definedName>
    <definedName name="E32P" localSheetId="3">#REF!</definedName>
    <definedName name="E32P">#REF!</definedName>
    <definedName name="E33E" localSheetId="3">#REF!</definedName>
    <definedName name="E33E">#REF!</definedName>
    <definedName name="E33M" localSheetId="3">#REF!</definedName>
    <definedName name="E33M">#REF!</definedName>
    <definedName name="E33P" localSheetId="3">#REF!</definedName>
    <definedName name="E33P">#REF!</definedName>
    <definedName name="E34E" localSheetId="3">#REF!</definedName>
    <definedName name="E34E">#REF!</definedName>
    <definedName name="E34M" localSheetId="3">#REF!</definedName>
    <definedName name="E34M">#REF!</definedName>
    <definedName name="E34P" localSheetId="3">#REF!</definedName>
    <definedName name="E34P">#REF!</definedName>
    <definedName name="E35M" localSheetId="3">#REF!</definedName>
    <definedName name="E35M">#REF!</definedName>
    <definedName name="E35P" localSheetId="3">#REF!</definedName>
    <definedName name="E35P">#REF!</definedName>
    <definedName name="E36M" localSheetId="3">#REF!</definedName>
    <definedName name="E36M">#REF!</definedName>
    <definedName name="E36P" localSheetId="3">#REF!</definedName>
    <definedName name="E36P">#REF!</definedName>
    <definedName name="E37M" localSheetId="3">#REF!</definedName>
    <definedName name="E37M">#REF!</definedName>
    <definedName name="E37P" localSheetId="3">#REF!</definedName>
    <definedName name="E37P">#REF!</definedName>
    <definedName name="E38M" localSheetId="3">#REF!</definedName>
    <definedName name="E38M">#REF!</definedName>
    <definedName name="E38P" localSheetId="3">#REF!</definedName>
    <definedName name="E38P">#REF!</definedName>
    <definedName name="E39M" localSheetId="3">#REF!</definedName>
    <definedName name="E39M">#REF!</definedName>
    <definedName name="E39P" localSheetId="3">#REF!</definedName>
    <definedName name="E39P">#REF!</definedName>
    <definedName name="E3P" localSheetId="3">#REF!</definedName>
    <definedName name="E3P">#REF!</definedName>
    <definedName name="E40M" localSheetId="3">#REF!</definedName>
    <definedName name="E40M">#REF!</definedName>
    <definedName name="E40P" localSheetId="3">#REF!</definedName>
    <definedName name="E40P">#REF!</definedName>
    <definedName name="E41M" localSheetId="3">#REF!</definedName>
    <definedName name="E41M">#REF!</definedName>
    <definedName name="E41P" localSheetId="3">#REF!</definedName>
    <definedName name="E41P">#REF!</definedName>
    <definedName name="E42M" localSheetId="3">#REF!</definedName>
    <definedName name="E42M">#REF!</definedName>
    <definedName name="E42P" localSheetId="3">#REF!</definedName>
    <definedName name="E42P">#REF!</definedName>
    <definedName name="E43M" localSheetId="3">#REF!</definedName>
    <definedName name="E43M">#REF!</definedName>
    <definedName name="E43P" localSheetId="3">#REF!</definedName>
    <definedName name="E43P">#REF!</definedName>
    <definedName name="E44M" localSheetId="3">#REF!</definedName>
    <definedName name="E44M">#REF!</definedName>
    <definedName name="E44P" localSheetId="3">#REF!</definedName>
    <definedName name="E44P">#REF!</definedName>
    <definedName name="E45M" localSheetId="3">#REF!</definedName>
    <definedName name="E45M">#REF!</definedName>
    <definedName name="E45P" localSheetId="3">#REF!</definedName>
    <definedName name="E45P">#REF!</definedName>
    <definedName name="E46M" localSheetId="3">#REF!</definedName>
    <definedName name="E46M">#REF!</definedName>
    <definedName name="E46P" localSheetId="3">#REF!</definedName>
    <definedName name="E46P">#REF!</definedName>
    <definedName name="E47M" localSheetId="3">#REF!</definedName>
    <definedName name="E47M">#REF!</definedName>
    <definedName name="E47P" localSheetId="3">#REF!</definedName>
    <definedName name="E47P">#REF!</definedName>
    <definedName name="E48M" localSheetId="3">#REF!</definedName>
    <definedName name="E48M">#REF!</definedName>
    <definedName name="E48P" localSheetId="3">#REF!</definedName>
    <definedName name="E48P">#REF!</definedName>
    <definedName name="E49M" localSheetId="3">#REF!</definedName>
    <definedName name="E49M">#REF!</definedName>
    <definedName name="E49P" localSheetId="3">#REF!</definedName>
    <definedName name="E49P">#REF!</definedName>
    <definedName name="E4M" localSheetId="3">#REF!</definedName>
    <definedName name="E4M">#REF!</definedName>
    <definedName name="E4P" localSheetId="3">#REF!</definedName>
    <definedName name="E4P">#REF!</definedName>
    <definedName name="E50M" localSheetId="3">#REF!</definedName>
    <definedName name="E50M">#REF!</definedName>
    <definedName name="E50P" localSheetId="3">#REF!</definedName>
    <definedName name="E50P">#REF!</definedName>
    <definedName name="E51E" localSheetId="3">#REF!</definedName>
    <definedName name="E51E">#REF!</definedName>
    <definedName name="E52M" localSheetId="3">#REF!</definedName>
    <definedName name="E52M">#REF!</definedName>
    <definedName name="E52P" localSheetId="3">#REF!</definedName>
    <definedName name="E52P">#REF!</definedName>
    <definedName name="E53M" localSheetId="3">#REF!</definedName>
    <definedName name="E53M">#REF!</definedName>
    <definedName name="E53P" localSheetId="3">#REF!</definedName>
    <definedName name="E53P">#REF!</definedName>
    <definedName name="E54M" localSheetId="3">#REF!</definedName>
    <definedName name="E54M">#REF!</definedName>
    <definedName name="E54P" localSheetId="3">#REF!</definedName>
    <definedName name="E54P">#REF!</definedName>
    <definedName name="E55M" localSheetId="3">#REF!</definedName>
    <definedName name="E55M">#REF!</definedName>
    <definedName name="E55P" localSheetId="3">#REF!</definedName>
    <definedName name="E55P">#REF!</definedName>
    <definedName name="E56M" localSheetId="3">#REF!</definedName>
    <definedName name="E56M">#REF!</definedName>
    <definedName name="E56P" localSheetId="3">#REF!</definedName>
    <definedName name="E56P">#REF!</definedName>
    <definedName name="E57M" localSheetId="3">#REF!</definedName>
    <definedName name="E57M">#REF!</definedName>
    <definedName name="E57P" localSheetId="3">#REF!</definedName>
    <definedName name="E57P">#REF!</definedName>
    <definedName name="E58M" localSheetId="3">#REF!</definedName>
    <definedName name="E58M">#REF!</definedName>
    <definedName name="E58P" localSheetId="3">#REF!</definedName>
    <definedName name="E58P">#REF!</definedName>
    <definedName name="E59M" localSheetId="3">#REF!</definedName>
    <definedName name="E59M">#REF!</definedName>
    <definedName name="E59P" localSheetId="3">#REF!</definedName>
    <definedName name="E59P">#REF!</definedName>
    <definedName name="E5M" localSheetId="3">#REF!</definedName>
    <definedName name="E5M">#REF!</definedName>
    <definedName name="E5P" localSheetId="3">#REF!</definedName>
    <definedName name="E5P">#REF!</definedName>
    <definedName name="E60M" localSheetId="3">#REF!</definedName>
    <definedName name="E60M">#REF!</definedName>
    <definedName name="E60P" localSheetId="3">#REF!</definedName>
    <definedName name="E60P">#REF!</definedName>
    <definedName name="E61M" localSheetId="3">#REF!</definedName>
    <definedName name="E61M">#REF!</definedName>
    <definedName name="E61P" localSheetId="3">#REF!</definedName>
    <definedName name="E61P">#REF!</definedName>
    <definedName name="E62M" localSheetId="3">#REF!</definedName>
    <definedName name="E62M">#REF!</definedName>
    <definedName name="E62P" localSheetId="3">#REF!</definedName>
    <definedName name="E62P">#REF!</definedName>
    <definedName name="E63M" localSheetId="3">#REF!</definedName>
    <definedName name="E63M">#REF!</definedName>
    <definedName name="E63P" localSheetId="3">#REF!</definedName>
    <definedName name="E63P">#REF!</definedName>
    <definedName name="E64M" localSheetId="3">#REF!</definedName>
    <definedName name="E64M">#REF!</definedName>
    <definedName name="E64P" localSheetId="3">#REF!</definedName>
    <definedName name="E64P">#REF!</definedName>
    <definedName name="E65M" localSheetId="3">#REF!</definedName>
    <definedName name="E65M">#REF!</definedName>
    <definedName name="E65P" localSheetId="3">#REF!</definedName>
    <definedName name="E65P">#REF!</definedName>
    <definedName name="E66M" localSheetId="3">#REF!</definedName>
    <definedName name="E66M">#REF!</definedName>
    <definedName name="E66P" localSheetId="3">#REF!</definedName>
    <definedName name="E66P">#REF!</definedName>
    <definedName name="E67M" localSheetId="3">#REF!</definedName>
    <definedName name="E67M">#REF!</definedName>
    <definedName name="E67P" localSheetId="3">#REF!</definedName>
    <definedName name="E67P">#REF!</definedName>
    <definedName name="E68M" localSheetId="3">#REF!</definedName>
    <definedName name="E68M">#REF!</definedName>
    <definedName name="E6M" localSheetId="3">#REF!</definedName>
    <definedName name="E6M">#REF!</definedName>
    <definedName name="E6P" localSheetId="3">#REF!</definedName>
    <definedName name="E6P">#REF!</definedName>
    <definedName name="E7M" localSheetId="3">#REF!</definedName>
    <definedName name="E7M">#REF!</definedName>
    <definedName name="E7P" localSheetId="3">#REF!</definedName>
    <definedName name="E7P">#REF!</definedName>
    <definedName name="E8M" localSheetId="3">#REF!</definedName>
    <definedName name="E8M">#REF!</definedName>
    <definedName name="E8P" localSheetId="3">#REF!</definedName>
    <definedName name="E8P">#REF!</definedName>
    <definedName name="E9M" localSheetId="3">#REF!</definedName>
    <definedName name="E9M">#REF!</definedName>
    <definedName name="E9P" localSheetId="3">#REF!</definedName>
    <definedName name="E9P">#REF!</definedName>
    <definedName name="EA" hidden="1">#REF!</definedName>
    <definedName name="EBP" localSheetId="3">#REF!</definedName>
    <definedName name="EBP">#REF!</definedName>
    <definedName name="EBPC" localSheetId="3">#REF!</definedName>
    <definedName name="EBPC">#REF!</definedName>
    <definedName name="EBPE" localSheetId="3">#REF!</definedName>
    <definedName name="EBPE">#REF!</definedName>
    <definedName name="EBPI" localSheetId="3">#REF!</definedName>
    <definedName name="EBPI">#REF!</definedName>
    <definedName name="EBPP" localSheetId="3">#REF!</definedName>
    <definedName name="EBPP">#REF!</definedName>
    <definedName name="EBPS" localSheetId="3">#REF!</definedName>
    <definedName name="EBPS">#REF!</definedName>
    <definedName name="EBPW" localSheetId="3">#REF!</definedName>
    <definedName name="EBPW">#REF!</definedName>
    <definedName name="EBP계장" localSheetId="3">#REF!</definedName>
    <definedName name="EBP계장">#REF!</definedName>
    <definedName name="EBP도장" localSheetId="3">#REF!</definedName>
    <definedName name="EBP도장">#REF!</definedName>
    <definedName name="EBP전" localSheetId="3">#REF!</definedName>
    <definedName name="EBP전">#REF!</definedName>
    <definedName name="eCIiIi¨­A_I¨￡">#N/A</definedName>
    <definedName name="eCIiIiÞA_Iª">#N/A</definedName>
    <definedName name="èÇÍïÍïÞÀ_Íª">#N/A</definedName>
    <definedName name="ED" hidden="1">{#N/A,#N/A,FALSE,"CCTV"}</definedName>
    <definedName name="edf" localSheetId="3" hidden="1">{#N/A,#N/A,FALSE,"ihz. icmal";#N/A,#N/A,FALSE,"avans";#N/A,#N/A,FALSE,"mal_FF_icm";#N/A,#N/A,FALSE,"fat_ihz";#N/A,#N/A,FALSE,"söz_fiy_fark";#N/A,#N/A,FALSE,"kap2"}</definedName>
    <definedName name="edf" hidden="1">{#N/A,#N/A,FALSE,"ihz. icmal";#N/A,#N/A,FALSE,"avans";#N/A,#N/A,FALSE,"mal_FF_icm";#N/A,#N/A,FALSE,"fat_ihz";#N/A,#N/A,FALSE,"söz_fiy_fark";#N/A,#N/A,FALSE,"kap2"}</definedName>
    <definedName name="EE" localSheetId="3">#REF!</definedName>
    <definedName name="EE">#REF!</definedName>
    <definedName name="EED" localSheetId="3" hidden="1">{#N/A,#N/A,FALSE,"imalat_keşif";#N/A,#N/A,FALSE,"imalat_seviye";#N/A,#N/A,FALSE,"141";#N/A,#N/A,FALSE,"142";#N/A,#N/A,FALSE,"143";#N/A,#N/A,FALSE,"144";#N/A,#N/A,FALSE,"145";#N/A,#N/A,FALSE,"146";#N/A,#N/A,FALSE,"147";#N/A,#N/A,FALSE,"148";#N/A,#N/A,FALSE,"149"}</definedName>
    <definedName name="EED" hidden="1">{#N/A,#N/A,FALSE,"imalat_keşif";#N/A,#N/A,FALSE,"imalat_seviye";#N/A,#N/A,FALSE,"141";#N/A,#N/A,FALSE,"142";#N/A,#N/A,FALSE,"143";#N/A,#N/A,FALSE,"144";#N/A,#N/A,FALSE,"145";#N/A,#N/A,FALSE,"146";#N/A,#N/A,FALSE,"147";#N/A,#N/A,FALSE,"148";#N/A,#N/A,FALSE,"149"}</definedName>
    <definedName name="eee">'[70]h-013211-2'!$Q$4</definedName>
    <definedName name="EEEE" localSheetId="3" hidden="1">{#N/A,#N/A,TRUE,"Basic";#N/A,#N/A,TRUE,"EXT-TABLE";#N/A,#N/A,TRUE,"STEEL";#N/A,#N/A,TRUE,"INT-Table";#N/A,#N/A,TRUE,"STEEL";#N/A,#N/A,TRUE,"Door"}</definedName>
    <definedName name="EEEE" hidden="1">{#N/A,#N/A,TRUE,"Basic";#N/A,#N/A,TRUE,"EXT-TABLE";#N/A,#N/A,TRUE,"STEEL";#N/A,#N/A,TRUE,"INT-Table";#N/A,#N/A,TRUE,"STEEL";#N/A,#N/A,TRUE,"Door"}</definedName>
    <definedName name="eeeeeeeeeeeeeeeeeeeeeeeeeeeeee" localSheetId="17">#REF!</definedName>
    <definedName name="eeeeeeeeeeeeeeeeeeeeeeeeeeeeee" localSheetId="15">#REF!</definedName>
    <definedName name="eeeeeeeeeeeeeeeeeeeeeeeeeeeeee">#REF!</definedName>
    <definedName name="eefedf"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H_001_1" localSheetId="17">#REF!</definedName>
    <definedName name="EH_001_1" localSheetId="15">#REF!</definedName>
    <definedName name="EH_001_1" localSheetId="3">#REF!</definedName>
    <definedName name="EH_001_1">#REF!</definedName>
    <definedName name="EH_001_10" localSheetId="17">#REF!</definedName>
    <definedName name="EH_001_10" localSheetId="15">#REF!</definedName>
    <definedName name="EH_001_10" localSheetId="3">#REF!</definedName>
    <definedName name="EH_001_10">#REF!</definedName>
    <definedName name="EH_001_11" localSheetId="17">#REF!</definedName>
    <definedName name="EH_001_11" localSheetId="15">#REF!</definedName>
    <definedName name="EH_001_11" localSheetId="3">#REF!</definedName>
    <definedName name="EH_001_11">#REF!</definedName>
    <definedName name="EH_001_12" localSheetId="17">#REF!</definedName>
    <definedName name="EH_001_12" localSheetId="15">#REF!</definedName>
    <definedName name="EH_001_12" localSheetId="3">#REF!</definedName>
    <definedName name="EH_001_12">#REF!</definedName>
    <definedName name="EH_001_13" localSheetId="17">#REF!</definedName>
    <definedName name="EH_001_13" localSheetId="15">#REF!</definedName>
    <definedName name="EH_001_13" localSheetId="3">#REF!</definedName>
    <definedName name="EH_001_13">#REF!</definedName>
    <definedName name="EH_001_14" localSheetId="17">#REF!</definedName>
    <definedName name="EH_001_14" localSheetId="15">#REF!</definedName>
    <definedName name="EH_001_14" localSheetId="3">#REF!</definedName>
    <definedName name="EH_001_14">#REF!</definedName>
    <definedName name="EH_001_15" localSheetId="17">#REF!</definedName>
    <definedName name="EH_001_15" localSheetId="15">#REF!</definedName>
    <definedName name="EH_001_15" localSheetId="3">#REF!</definedName>
    <definedName name="EH_001_15">#REF!</definedName>
    <definedName name="EH_001_16" localSheetId="17">#REF!</definedName>
    <definedName name="EH_001_16" localSheetId="15">#REF!</definedName>
    <definedName name="EH_001_16" localSheetId="3">#REF!</definedName>
    <definedName name="EH_001_16">#REF!</definedName>
    <definedName name="EH_001_17" localSheetId="17">#REF!</definedName>
    <definedName name="EH_001_17" localSheetId="15">#REF!</definedName>
    <definedName name="EH_001_17" localSheetId="3">#REF!</definedName>
    <definedName name="EH_001_17">#REF!</definedName>
    <definedName name="EH_001_18" localSheetId="17">#REF!</definedName>
    <definedName name="EH_001_18" localSheetId="15">#REF!</definedName>
    <definedName name="EH_001_18" localSheetId="3">#REF!</definedName>
    <definedName name="EH_001_18">#REF!</definedName>
    <definedName name="EH_001_2" localSheetId="17">#REF!</definedName>
    <definedName name="EH_001_2" localSheetId="15">#REF!</definedName>
    <definedName name="EH_001_2" localSheetId="3">#REF!</definedName>
    <definedName name="EH_001_2">#REF!</definedName>
    <definedName name="EH_001_3" localSheetId="17">#REF!</definedName>
    <definedName name="EH_001_3" localSheetId="15">#REF!</definedName>
    <definedName name="EH_001_3" localSheetId="3">#REF!</definedName>
    <definedName name="EH_001_3">#REF!</definedName>
    <definedName name="EH_001_4" localSheetId="17">#REF!</definedName>
    <definedName name="EH_001_4" localSheetId="15">#REF!</definedName>
    <definedName name="EH_001_4" localSheetId="3">#REF!</definedName>
    <definedName name="EH_001_4">#REF!</definedName>
    <definedName name="EH_001_5" localSheetId="17">#REF!</definedName>
    <definedName name="EH_001_5" localSheetId="15">#REF!</definedName>
    <definedName name="EH_001_5" localSheetId="3">#REF!</definedName>
    <definedName name="EH_001_5">#REF!</definedName>
    <definedName name="EH_001_6" localSheetId="17">#REF!</definedName>
    <definedName name="EH_001_6" localSheetId="15">#REF!</definedName>
    <definedName name="EH_001_6" localSheetId="3">#REF!</definedName>
    <definedName name="EH_001_6">#REF!</definedName>
    <definedName name="EH_001_7" localSheetId="17">#REF!</definedName>
    <definedName name="EH_001_7" localSheetId="15">#REF!</definedName>
    <definedName name="EH_001_7" localSheetId="3">#REF!</definedName>
    <definedName name="EH_001_7">#REF!</definedName>
    <definedName name="EH_001_8" localSheetId="17">#REF!</definedName>
    <definedName name="EH_001_8" localSheetId="15">#REF!</definedName>
    <definedName name="EH_001_8" localSheetId="3">#REF!</definedName>
    <definedName name="EH_001_8">#REF!</definedName>
    <definedName name="EH_001_9" localSheetId="17">#REF!</definedName>
    <definedName name="EH_001_9" localSheetId="15">#REF!</definedName>
    <definedName name="EH_001_9" localSheetId="3">#REF!</definedName>
    <definedName name="EH_001_9">#REF!</definedName>
    <definedName name="EH_002_1" localSheetId="17">#REF!</definedName>
    <definedName name="EH_002_1" localSheetId="15">#REF!</definedName>
    <definedName name="EH_002_1" localSheetId="3">#REF!</definedName>
    <definedName name="EH_002_1">#REF!</definedName>
    <definedName name="EH_002_10" localSheetId="17">#REF!</definedName>
    <definedName name="EH_002_10" localSheetId="15">#REF!</definedName>
    <definedName name="EH_002_10" localSheetId="3">#REF!</definedName>
    <definedName name="EH_002_10">#REF!</definedName>
    <definedName name="EH_002_11" localSheetId="17">#REF!</definedName>
    <definedName name="EH_002_11" localSheetId="15">#REF!</definedName>
    <definedName name="EH_002_11" localSheetId="3">#REF!</definedName>
    <definedName name="EH_002_11">#REF!</definedName>
    <definedName name="EH_002_12" localSheetId="17">#REF!</definedName>
    <definedName name="EH_002_12" localSheetId="15">#REF!</definedName>
    <definedName name="EH_002_12" localSheetId="3">#REF!</definedName>
    <definedName name="EH_002_12">#REF!</definedName>
    <definedName name="EH_002_13" localSheetId="17">#REF!</definedName>
    <definedName name="EH_002_13" localSheetId="15">#REF!</definedName>
    <definedName name="EH_002_13" localSheetId="3">#REF!</definedName>
    <definedName name="EH_002_13">#REF!</definedName>
    <definedName name="EH_002_14" localSheetId="17">#REF!</definedName>
    <definedName name="EH_002_14" localSheetId="15">#REF!</definedName>
    <definedName name="EH_002_14" localSheetId="3">#REF!</definedName>
    <definedName name="EH_002_14">#REF!</definedName>
    <definedName name="EH_002_15" localSheetId="17">#REF!</definedName>
    <definedName name="EH_002_15" localSheetId="15">#REF!</definedName>
    <definedName name="EH_002_15" localSheetId="3">#REF!</definedName>
    <definedName name="EH_002_15">#REF!</definedName>
    <definedName name="EH_002_16" localSheetId="17">#REF!</definedName>
    <definedName name="EH_002_16" localSheetId="15">#REF!</definedName>
    <definedName name="EH_002_16" localSheetId="3">#REF!</definedName>
    <definedName name="EH_002_16">#REF!</definedName>
    <definedName name="EH_002_17" localSheetId="17">#REF!</definedName>
    <definedName name="EH_002_17" localSheetId="15">#REF!</definedName>
    <definedName name="EH_002_17" localSheetId="3">#REF!</definedName>
    <definedName name="EH_002_17">#REF!</definedName>
    <definedName name="EH_002_18" localSheetId="17">#REF!</definedName>
    <definedName name="EH_002_18" localSheetId="15">#REF!</definedName>
    <definedName name="EH_002_18" localSheetId="3">#REF!</definedName>
    <definedName name="EH_002_18">#REF!</definedName>
    <definedName name="EH_002_2" localSheetId="17">#REF!</definedName>
    <definedName name="EH_002_2" localSheetId="15">#REF!</definedName>
    <definedName name="EH_002_2" localSheetId="3">#REF!</definedName>
    <definedName name="EH_002_2">#REF!</definedName>
    <definedName name="EH_002_3" localSheetId="17">#REF!</definedName>
    <definedName name="EH_002_3" localSheetId="15">#REF!</definedName>
    <definedName name="EH_002_3" localSheetId="3">#REF!</definedName>
    <definedName name="EH_002_3">#REF!</definedName>
    <definedName name="EH_002_4" localSheetId="17">#REF!</definedName>
    <definedName name="EH_002_4" localSheetId="15">#REF!</definedName>
    <definedName name="EH_002_4" localSheetId="3">#REF!</definedName>
    <definedName name="EH_002_4">#REF!</definedName>
    <definedName name="EH_002_5" localSheetId="17">#REF!</definedName>
    <definedName name="EH_002_5" localSheetId="15">#REF!</definedName>
    <definedName name="EH_002_5" localSheetId="3">#REF!</definedName>
    <definedName name="EH_002_5">#REF!</definedName>
    <definedName name="EH_002_6" localSheetId="17">#REF!</definedName>
    <definedName name="EH_002_6" localSheetId="15">#REF!</definedName>
    <definedName name="EH_002_6" localSheetId="3">#REF!</definedName>
    <definedName name="EH_002_6">#REF!</definedName>
    <definedName name="EH_002_7" localSheetId="17">#REF!</definedName>
    <definedName name="EH_002_7" localSheetId="15">#REF!</definedName>
    <definedName name="EH_002_7" localSheetId="3">#REF!</definedName>
    <definedName name="EH_002_7">#REF!</definedName>
    <definedName name="EH_002_8" localSheetId="17">#REF!</definedName>
    <definedName name="EH_002_8" localSheetId="15">#REF!</definedName>
    <definedName name="EH_002_8" localSheetId="3">#REF!</definedName>
    <definedName name="EH_002_8">#REF!</definedName>
    <definedName name="EH_002_9" localSheetId="17">#REF!</definedName>
    <definedName name="EH_002_9" localSheetId="15">#REF!</definedName>
    <definedName name="EH_002_9" localSheetId="3">#REF!</definedName>
    <definedName name="EH_002_9">#REF!</definedName>
    <definedName name="EK" hidden="1">#REF!</definedName>
    <definedName name="ELEC1" localSheetId="3">#REF!</definedName>
    <definedName name="ELEC1">#REF!</definedName>
    <definedName name="ELEC1_MCI" localSheetId="3">#REF!</definedName>
    <definedName name="ELEC1_MCI">#REF!</definedName>
    <definedName name="ELEC2" localSheetId="3">#REF!</definedName>
    <definedName name="ELEC2">#REF!</definedName>
    <definedName name="ELEC2_MCI" localSheetId="3">#REF!</definedName>
    <definedName name="ELEC2_MCI">#REF!</definedName>
    <definedName name="ELEC3_MCI" localSheetId="3">#REF!</definedName>
    <definedName name="ELEC3_MCI">#REF!</definedName>
    <definedName name="ELEC4" localSheetId="3">#REF!</definedName>
    <definedName name="ELEC4">#REF!</definedName>
    <definedName name="ELEC4_MCI" localSheetId="3">#REF!</definedName>
    <definedName name="ELEC4_MCI">#REF!</definedName>
    <definedName name="ELEC5" localSheetId="3">#REF!</definedName>
    <definedName name="ELEC5">#REF!</definedName>
    <definedName name="ELEC5_MCI" localSheetId="3">#REF!</definedName>
    <definedName name="ELEC5_MCI">#REF!</definedName>
    <definedName name="elec6" localSheetId="3">#REF!</definedName>
    <definedName name="elec6">#REF!</definedName>
    <definedName name="ELEC6_MCI" localSheetId="3">#REF!</definedName>
    <definedName name="ELEC6_MCI">#REF!</definedName>
    <definedName name="elec7" localSheetId="3">#REF!</definedName>
    <definedName name="elec7">#REF!</definedName>
    <definedName name="ELEC7_MCI" localSheetId="3">#REF!</definedName>
    <definedName name="ELEC7_MCI">#REF!</definedName>
    <definedName name="ELECBILL">#REF!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_001_1" localSheetId="17">#REF!</definedName>
    <definedName name="EM_001_1" localSheetId="15">#REF!</definedName>
    <definedName name="EM_001_1" localSheetId="3">#REF!</definedName>
    <definedName name="EM_001_1">#REF!</definedName>
    <definedName name="EM_001_10" localSheetId="17">#REF!</definedName>
    <definedName name="EM_001_10" localSheetId="15">#REF!</definedName>
    <definedName name="EM_001_10" localSheetId="3">#REF!</definedName>
    <definedName name="EM_001_10">#REF!</definedName>
    <definedName name="EM_001_11" localSheetId="17">#REF!</definedName>
    <definedName name="EM_001_11" localSheetId="15">#REF!</definedName>
    <definedName name="EM_001_11" localSheetId="3">#REF!</definedName>
    <definedName name="EM_001_11">#REF!</definedName>
    <definedName name="EM_001_12" localSheetId="17">#REF!</definedName>
    <definedName name="EM_001_12" localSheetId="15">#REF!</definedName>
    <definedName name="EM_001_12" localSheetId="3">#REF!</definedName>
    <definedName name="EM_001_12">#REF!</definedName>
    <definedName name="EM_001_13" localSheetId="17">#REF!</definedName>
    <definedName name="EM_001_13" localSheetId="15">#REF!</definedName>
    <definedName name="EM_001_13" localSheetId="3">#REF!</definedName>
    <definedName name="EM_001_13">#REF!</definedName>
    <definedName name="EM_001_14" localSheetId="17">#REF!</definedName>
    <definedName name="EM_001_14" localSheetId="15">#REF!</definedName>
    <definedName name="EM_001_14" localSheetId="3">#REF!</definedName>
    <definedName name="EM_001_14">#REF!</definedName>
    <definedName name="EM_001_15" localSheetId="17">#REF!</definedName>
    <definedName name="EM_001_15" localSheetId="15">#REF!</definedName>
    <definedName name="EM_001_15" localSheetId="3">#REF!</definedName>
    <definedName name="EM_001_15">#REF!</definedName>
    <definedName name="EM_001_16" localSheetId="17">#REF!</definedName>
    <definedName name="EM_001_16" localSheetId="15">#REF!</definedName>
    <definedName name="EM_001_16" localSheetId="3">#REF!</definedName>
    <definedName name="EM_001_16">#REF!</definedName>
    <definedName name="EM_001_17" localSheetId="17">#REF!</definedName>
    <definedName name="EM_001_17" localSheetId="15">#REF!</definedName>
    <definedName name="EM_001_17" localSheetId="3">#REF!</definedName>
    <definedName name="EM_001_17">#REF!</definedName>
    <definedName name="EM_001_18" localSheetId="17">#REF!</definedName>
    <definedName name="EM_001_18" localSheetId="15">#REF!</definedName>
    <definedName name="EM_001_18" localSheetId="3">#REF!</definedName>
    <definedName name="EM_001_18">#REF!</definedName>
    <definedName name="EM_001_2" localSheetId="17">#REF!</definedName>
    <definedName name="EM_001_2" localSheetId="15">#REF!</definedName>
    <definedName name="EM_001_2" localSheetId="3">#REF!</definedName>
    <definedName name="EM_001_2">#REF!</definedName>
    <definedName name="EM_001_3" localSheetId="17">#REF!</definedName>
    <definedName name="EM_001_3" localSheetId="15">#REF!</definedName>
    <definedName name="EM_001_3" localSheetId="3">#REF!</definedName>
    <definedName name="EM_001_3">#REF!</definedName>
    <definedName name="EM_001_4" localSheetId="17">#REF!</definedName>
    <definedName name="EM_001_4" localSheetId="15">#REF!</definedName>
    <definedName name="EM_001_4" localSheetId="3">#REF!</definedName>
    <definedName name="EM_001_4">#REF!</definedName>
    <definedName name="EM_001_5" localSheetId="17">#REF!</definedName>
    <definedName name="EM_001_5" localSheetId="15">#REF!</definedName>
    <definedName name="EM_001_5" localSheetId="3">#REF!</definedName>
    <definedName name="EM_001_5">#REF!</definedName>
    <definedName name="EM_001_6" localSheetId="17">#REF!</definedName>
    <definedName name="EM_001_6" localSheetId="15">#REF!</definedName>
    <definedName name="EM_001_6" localSheetId="3">#REF!</definedName>
    <definedName name="EM_001_6">#REF!</definedName>
    <definedName name="EM_001_7" localSheetId="17">#REF!</definedName>
    <definedName name="EM_001_7" localSheetId="15">#REF!</definedName>
    <definedName name="EM_001_7" localSheetId="3">#REF!</definedName>
    <definedName name="EM_001_7">#REF!</definedName>
    <definedName name="EM_001_8" localSheetId="17">#REF!</definedName>
    <definedName name="EM_001_8" localSheetId="15">#REF!</definedName>
    <definedName name="EM_001_8" localSheetId="3">#REF!</definedName>
    <definedName name="EM_001_8">#REF!</definedName>
    <definedName name="EM_001_9" localSheetId="17">#REF!</definedName>
    <definedName name="EM_001_9" localSheetId="15">#REF!</definedName>
    <definedName name="EM_001_9" localSheetId="3">#REF!</definedName>
    <definedName name="EM_001_9">#REF!</definedName>
    <definedName name="EM_002_1" localSheetId="17">#REF!</definedName>
    <definedName name="EM_002_1" localSheetId="15">#REF!</definedName>
    <definedName name="EM_002_1" localSheetId="3">#REF!</definedName>
    <definedName name="EM_002_1">#REF!</definedName>
    <definedName name="EM_002_10" localSheetId="17">#REF!</definedName>
    <definedName name="EM_002_10" localSheetId="15">#REF!</definedName>
    <definedName name="EM_002_10" localSheetId="3">#REF!</definedName>
    <definedName name="EM_002_10">#REF!</definedName>
    <definedName name="EM_002_11" localSheetId="17">#REF!</definedName>
    <definedName name="EM_002_11" localSheetId="15">#REF!</definedName>
    <definedName name="EM_002_11" localSheetId="3">#REF!</definedName>
    <definedName name="EM_002_11">#REF!</definedName>
    <definedName name="EM_002_12" localSheetId="17">#REF!</definedName>
    <definedName name="EM_002_12" localSheetId="15">#REF!</definedName>
    <definedName name="EM_002_12" localSheetId="3">#REF!</definedName>
    <definedName name="EM_002_12">#REF!</definedName>
    <definedName name="EM_002_13" localSheetId="17">#REF!</definedName>
    <definedName name="EM_002_13" localSheetId="15">#REF!</definedName>
    <definedName name="EM_002_13" localSheetId="3">#REF!</definedName>
    <definedName name="EM_002_13">#REF!</definedName>
    <definedName name="EM_002_14" localSheetId="17">#REF!</definedName>
    <definedName name="EM_002_14" localSheetId="15">#REF!</definedName>
    <definedName name="EM_002_14" localSheetId="3">#REF!</definedName>
    <definedName name="EM_002_14">#REF!</definedName>
    <definedName name="EM_002_15" localSheetId="17">#REF!</definedName>
    <definedName name="EM_002_15" localSheetId="15">#REF!</definedName>
    <definedName name="EM_002_15" localSheetId="3">#REF!</definedName>
    <definedName name="EM_002_15">#REF!</definedName>
    <definedName name="EM_002_16" localSheetId="17">#REF!</definedName>
    <definedName name="EM_002_16" localSheetId="15">#REF!</definedName>
    <definedName name="EM_002_16" localSheetId="3">#REF!</definedName>
    <definedName name="EM_002_16">#REF!</definedName>
    <definedName name="EM_002_17" localSheetId="17">#REF!</definedName>
    <definedName name="EM_002_17" localSheetId="15">#REF!</definedName>
    <definedName name="EM_002_17" localSheetId="3">#REF!</definedName>
    <definedName name="EM_002_17">#REF!</definedName>
    <definedName name="EM_002_18" localSheetId="17">#REF!</definedName>
    <definedName name="EM_002_18" localSheetId="15">#REF!</definedName>
    <definedName name="EM_002_18" localSheetId="3">#REF!</definedName>
    <definedName name="EM_002_18">#REF!</definedName>
    <definedName name="EM_002_2" localSheetId="17">#REF!</definedName>
    <definedName name="EM_002_2" localSheetId="15">#REF!</definedName>
    <definedName name="EM_002_2" localSheetId="3">#REF!</definedName>
    <definedName name="EM_002_2">#REF!</definedName>
    <definedName name="EM_002_3" localSheetId="17">#REF!</definedName>
    <definedName name="EM_002_3" localSheetId="15">#REF!</definedName>
    <definedName name="EM_002_3" localSheetId="3">#REF!</definedName>
    <definedName name="EM_002_3">#REF!</definedName>
    <definedName name="EM_002_4" localSheetId="17">#REF!</definedName>
    <definedName name="EM_002_4" localSheetId="15">#REF!</definedName>
    <definedName name="EM_002_4" localSheetId="3">#REF!</definedName>
    <definedName name="EM_002_4">#REF!</definedName>
    <definedName name="EM_002_5" localSheetId="17">#REF!</definedName>
    <definedName name="EM_002_5" localSheetId="15">#REF!</definedName>
    <definedName name="EM_002_5" localSheetId="3">#REF!</definedName>
    <definedName name="EM_002_5">#REF!</definedName>
    <definedName name="EM_002_6" localSheetId="17">#REF!</definedName>
    <definedName name="EM_002_6" localSheetId="15">#REF!</definedName>
    <definedName name="EM_002_6" localSheetId="3">#REF!</definedName>
    <definedName name="EM_002_6">#REF!</definedName>
    <definedName name="EM_002_7" localSheetId="17">#REF!</definedName>
    <definedName name="EM_002_7" localSheetId="15">#REF!</definedName>
    <definedName name="EM_002_7" localSheetId="3">#REF!</definedName>
    <definedName name="EM_002_7">#REF!</definedName>
    <definedName name="EM_002_8" localSheetId="17">#REF!</definedName>
    <definedName name="EM_002_8" localSheetId="15">#REF!</definedName>
    <definedName name="EM_002_8" localSheetId="3">#REF!</definedName>
    <definedName name="EM_002_8">#REF!</definedName>
    <definedName name="EM_002_9" localSheetId="17">#REF!</definedName>
    <definedName name="EM_002_9" localSheetId="15">#REF!</definedName>
    <definedName name="EM_002_9" localSheetId="3">#REF!</definedName>
    <definedName name="EM_002_9">#REF!</definedName>
    <definedName name="EM_003_1" localSheetId="17">#REF!</definedName>
    <definedName name="EM_003_1" localSheetId="15">#REF!</definedName>
    <definedName name="EM_003_1" localSheetId="3">#REF!</definedName>
    <definedName name="EM_003_1">#REF!</definedName>
    <definedName name="EM_003_10" localSheetId="17">#REF!</definedName>
    <definedName name="EM_003_10" localSheetId="15">#REF!</definedName>
    <definedName name="EM_003_10" localSheetId="3">#REF!</definedName>
    <definedName name="EM_003_10">#REF!</definedName>
    <definedName name="EM_003_11" localSheetId="17">#REF!</definedName>
    <definedName name="EM_003_11" localSheetId="15">#REF!</definedName>
    <definedName name="EM_003_11" localSheetId="3">#REF!</definedName>
    <definedName name="EM_003_11">#REF!</definedName>
    <definedName name="EM_003_12" localSheetId="17">#REF!</definedName>
    <definedName name="EM_003_12" localSheetId="15">#REF!</definedName>
    <definedName name="EM_003_12" localSheetId="3">#REF!</definedName>
    <definedName name="EM_003_12">#REF!</definedName>
    <definedName name="EM_003_13" localSheetId="17">#REF!</definedName>
    <definedName name="EM_003_13" localSheetId="15">#REF!</definedName>
    <definedName name="EM_003_13" localSheetId="3">#REF!</definedName>
    <definedName name="EM_003_13">#REF!</definedName>
    <definedName name="EM_003_14" localSheetId="17">#REF!</definedName>
    <definedName name="EM_003_14" localSheetId="15">#REF!</definedName>
    <definedName name="EM_003_14" localSheetId="3">#REF!</definedName>
    <definedName name="EM_003_14">#REF!</definedName>
    <definedName name="EM_003_15" localSheetId="17">#REF!</definedName>
    <definedName name="EM_003_15" localSheetId="15">#REF!</definedName>
    <definedName name="EM_003_15" localSheetId="3">#REF!</definedName>
    <definedName name="EM_003_15">#REF!</definedName>
    <definedName name="EM_003_16" localSheetId="17">#REF!</definedName>
    <definedName name="EM_003_16" localSheetId="15">#REF!</definedName>
    <definedName name="EM_003_16" localSheetId="3">#REF!</definedName>
    <definedName name="EM_003_16">#REF!</definedName>
    <definedName name="EM_003_17" localSheetId="17">#REF!</definedName>
    <definedName name="EM_003_17" localSheetId="15">#REF!</definedName>
    <definedName name="EM_003_17" localSheetId="3">#REF!</definedName>
    <definedName name="EM_003_17">#REF!</definedName>
    <definedName name="EM_003_18" localSheetId="17">#REF!</definedName>
    <definedName name="EM_003_18" localSheetId="15">#REF!</definedName>
    <definedName name="EM_003_18" localSheetId="3">#REF!</definedName>
    <definedName name="EM_003_18">#REF!</definedName>
    <definedName name="EM_003_2" localSheetId="17">#REF!</definedName>
    <definedName name="EM_003_2" localSheetId="15">#REF!</definedName>
    <definedName name="EM_003_2" localSheetId="3">#REF!</definedName>
    <definedName name="EM_003_2">#REF!</definedName>
    <definedName name="EM_003_3" localSheetId="17">#REF!</definedName>
    <definedName name="EM_003_3" localSheetId="15">#REF!</definedName>
    <definedName name="EM_003_3" localSheetId="3">#REF!</definedName>
    <definedName name="EM_003_3">#REF!</definedName>
    <definedName name="EM_003_4" localSheetId="17">#REF!</definedName>
    <definedName name="EM_003_4" localSheetId="15">#REF!</definedName>
    <definedName name="EM_003_4" localSheetId="3">#REF!</definedName>
    <definedName name="EM_003_4">#REF!</definedName>
    <definedName name="EM_003_5" localSheetId="17">#REF!</definedName>
    <definedName name="EM_003_5" localSheetId="15">#REF!</definedName>
    <definedName name="EM_003_5" localSheetId="3">#REF!</definedName>
    <definedName name="EM_003_5">#REF!</definedName>
    <definedName name="EM_003_6" localSheetId="17">#REF!</definedName>
    <definedName name="EM_003_6" localSheetId="15">#REF!</definedName>
    <definedName name="EM_003_6" localSheetId="3">#REF!</definedName>
    <definedName name="EM_003_6">#REF!</definedName>
    <definedName name="EM_003_7" localSheetId="17">#REF!</definedName>
    <definedName name="EM_003_7" localSheetId="15">#REF!</definedName>
    <definedName name="EM_003_7" localSheetId="3">#REF!</definedName>
    <definedName name="EM_003_7">#REF!</definedName>
    <definedName name="EM_003_8" localSheetId="17">#REF!</definedName>
    <definedName name="EM_003_8" localSheetId="15">#REF!</definedName>
    <definedName name="EM_003_8" localSheetId="3">#REF!</definedName>
    <definedName name="EM_003_8">#REF!</definedName>
    <definedName name="EM_003_9" localSheetId="17">#REF!</definedName>
    <definedName name="EM_003_9" localSheetId="15">#REF!</definedName>
    <definedName name="EM_003_9" localSheetId="3">#REF!</definedName>
    <definedName name="EM_003_9">#REF!</definedName>
    <definedName name="EM_004_1" localSheetId="17">#REF!</definedName>
    <definedName name="EM_004_1" localSheetId="15">#REF!</definedName>
    <definedName name="EM_004_1" localSheetId="3">#REF!</definedName>
    <definedName name="EM_004_1">#REF!</definedName>
    <definedName name="EM_004_10" localSheetId="17">#REF!</definedName>
    <definedName name="EM_004_10" localSheetId="15">#REF!</definedName>
    <definedName name="EM_004_10" localSheetId="3">#REF!</definedName>
    <definedName name="EM_004_10">#REF!</definedName>
    <definedName name="EM_004_11" localSheetId="17">#REF!</definedName>
    <definedName name="EM_004_11" localSheetId="15">#REF!</definedName>
    <definedName name="EM_004_11" localSheetId="3">#REF!</definedName>
    <definedName name="EM_004_11">#REF!</definedName>
    <definedName name="EM_004_12" localSheetId="17">#REF!</definedName>
    <definedName name="EM_004_12" localSheetId="15">#REF!</definedName>
    <definedName name="EM_004_12" localSheetId="3">#REF!</definedName>
    <definedName name="EM_004_12">#REF!</definedName>
    <definedName name="EM_004_13" localSheetId="17">#REF!</definedName>
    <definedName name="EM_004_13" localSheetId="15">#REF!</definedName>
    <definedName name="EM_004_13" localSheetId="3">#REF!</definedName>
    <definedName name="EM_004_13">#REF!</definedName>
    <definedName name="EM_004_14" localSheetId="17">#REF!</definedName>
    <definedName name="EM_004_14" localSheetId="15">#REF!</definedName>
    <definedName name="EM_004_14" localSheetId="3">#REF!</definedName>
    <definedName name="EM_004_14">#REF!</definedName>
    <definedName name="EM_004_15" localSheetId="17">#REF!</definedName>
    <definedName name="EM_004_15" localSheetId="15">#REF!</definedName>
    <definedName name="EM_004_15" localSheetId="3">#REF!</definedName>
    <definedName name="EM_004_15">#REF!</definedName>
    <definedName name="EM_004_16" localSheetId="17">#REF!</definedName>
    <definedName name="EM_004_16" localSheetId="15">#REF!</definedName>
    <definedName name="EM_004_16" localSheetId="3">#REF!</definedName>
    <definedName name="EM_004_16">#REF!</definedName>
    <definedName name="EM_004_17" localSheetId="17">#REF!</definedName>
    <definedName name="EM_004_17" localSheetId="15">#REF!</definedName>
    <definedName name="EM_004_17" localSheetId="3">#REF!</definedName>
    <definedName name="EM_004_17">#REF!</definedName>
    <definedName name="EM_004_18" localSheetId="17">#REF!</definedName>
    <definedName name="EM_004_18" localSheetId="15">#REF!</definedName>
    <definedName name="EM_004_18" localSheetId="3">#REF!</definedName>
    <definedName name="EM_004_18">#REF!</definedName>
    <definedName name="EM_004_2" localSheetId="17">#REF!</definedName>
    <definedName name="EM_004_2" localSheetId="15">#REF!</definedName>
    <definedName name="EM_004_2" localSheetId="3">#REF!</definedName>
    <definedName name="EM_004_2">#REF!</definedName>
    <definedName name="EM_004_3" localSheetId="17">#REF!</definedName>
    <definedName name="EM_004_3" localSheetId="15">#REF!</definedName>
    <definedName name="EM_004_3" localSheetId="3">#REF!</definedName>
    <definedName name="EM_004_3">#REF!</definedName>
    <definedName name="EM_004_4" localSheetId="17">#REF!</definedName>
    <definedName name="EM_004_4" localSheetId="15">#REF!</definedName>
    <definedName name="EM_004_4" localSheetId="3">#REF!</definedName>
    <definedName name="EM_004_4">#REF!</definedName>
    <definedName name="EM_004_5" localSheetId="17">#REF!</definedName>
    <definedName name="EM_004_5" localSheetId="15">#REF!</definedName>
    <definedName name="EM_004_5" localSheetId="3">#REF!</definedName>
    <definedName name="EM_004_5">#REF!</definedName>
    <definedName name="EM_004_6" localSheetId="17">#REF!</definedName>
    <definedName name="EM_004_6" localSheetId="15">#REF!</definedName>
    <definedName name="EM_004_6" localSheetId="3">#REF!</definedName>
    <definedName name="EM_004_6">#REF!</definedName>
    <definedName name="EM_004_7" localSheetId="17">#REF!</definedName>
    <definedName name="EM_004_7" localSheetId="15">#REF!</definedName>
    <definedName name="EM_004_7" localSheetId="3">#REF!</definedName>
    <definedName name="EM_004_7">#REF!</definedName>
    <definedName name="EM_004_8" localSheetId="17">#REF!</definedName>
    <definedName name="EM_004_8" localSheetId="15">#REF!</definedName>
    <definedName name="EM_004_8" localSheetId="3">#REF!</definedName>
    <definedName name="EM_004_8">#REF!</definedName>
    <definedName name="EM_004_9" localSheetId="17">#REF!</definedName>
    <definedName name="EM_004_9" localSheetId="15">#REF!</definedName>
    <definedName name="EM_004_9" localSheetId="3">#REF!</definedName>
    <definedName name="EM_004_9">#REF!</definedName>
    <definedName name="EM_005_1" localSheetId="17">#REF!</definedName>
    <definedName name="EM_005_1" localSheetId="15">#REF!</definedName>
    <definedName name="EM_005_1" localSheetId="3">#REF!</definedName>
    <definedName name="EM_005_1">#REF!</definedName>
    <definedName name="EM_005_10" localSheetId="17">#REF!</definedName>
    <definedName name="EM_005_10" localSheetId="15">#REF!</definedName>
    <definedName name="EM_005_10" localSheetId="3">#REF!</definedName>
    <definedName name="EM_005_10">#REF!</definedName>
    <definedName name="EM_005_11" localSheetId="17">#REF!</definedName>
    <definedName name="EM_005_11" localSheetId="15">#REF!</definedName>
    <definedName name="EM_005_11" localSheetId="3">#REF!</definedName>
    <definedName name="EM_005_11">#REF!</definedName>
    <definedName name="EM_005_12" localSheetId="17">#REF!</definedName>
    <definedName name="EM_005_12" localSheetId="15">#REF!</definedName>
    <definedName name="EM_005_12" localSheetId="3">#REF!</definedName>
    <definedName name="EM_005_12">#REF!</definedName>
    <definedName name="EM_005_13" localSheetId="17">#REF!</definedName>
    <definedName name="EM_005_13" localSheetId="15">#REF!</definedName>
    <definedName name="EM_005_13" localSheetId="3">#REF!</definedName>
    <definedName name="EM_005_13">#REF!</definedName>
    <definedName name="EM_005_14" localSheetId="17">#REF!</definedName>
    <definedName name="EM_005_14" localSheetId="15">#REF!</definedName>
    <definedName name="EM_005_14" localSheetId="3">#REF!</definedName>
    <definedName name="EM_005_14">#REF!</definedName>
    <definedName name="EM_005_15" localSheetId="17">#REF!</definedName>
    <definedName name="EM_005_15" localSheetId="15">#REF!</definedName>
    <definedName name="EM_005_15" localSheetId="3">#REF!</definedName>
    <definedName name="EM_005_15">#REF!</definedName>
    <definedName name="EM_005_16" localSheetId="17">#REF!</definedName>
    <definedName name="EM_005_16" localSheetId="15">#REF!</definedName>
    <definedName name="EM_005_16" localSheetId="3">#REF!</definedName>
    <definedName name="EM_005_16">#REF!</definedName>
    <definedName name="EM_005_17" localSheetId="17">#REF!</definedName>
    <definedName name="EM_005_17" localSheetId="15">#REF!</definedName>
    <definedName name="EM_005_17" localSheetId="3">#REF!</definedName>
    <definedName name="EM_005_17">#REF!</definedName>
    <definedName name="EM_005_18" localSheetId="17">#REF!</definedName>
    <definedName name="EM_005_18" localSheetId="15">#REF!</definedName>
    <definedName name="EM_005_18" localSheetId="3">#REF!</definedName>
    <definedName name="EM_005_18">#REF!</definedName>
    <definedName name="EM_005_2" localSheetId="17">#REF!</definedName>
    <definedName name="EM_005_2" localSheetId="15">#REF!</definedName>
    <definedName name="EM_005_2" localSheetId="3">#REF!</definedName>
    <definedName name="EM_005_2">#REF!</definedName>
    <definedName name="EM_005_3" localSheetId="17">#REF!</definedName>
    <definedName name="EM_005_3" localSheetId="15">#REF!</definedName>
    <definedName name="EM_005_3" localSheetId="3">#REF!</definedName>
    <definedName name="EM_005_3">#REF!</definedName>
    <definedName name="EM_005_4" localSheetId="17">#REF!</definedName>
    <definedName name="EM_005_4" localSheetId="15">#REF!</definedName>
    <definedName name="EM_005_4" localSheetId="3">#REF!</definedName>
    <definedName name="EM_005_4">#REF!</definedName>
    <definedName name="EM_005_5" localSheetId="17">#REF!</definedName>
    <definedName name="EM_005_5" localSheetId="15">#REF!</definedName>
    <definedName name="EM_005_5" localSheetId="3">#REF!</definedName>
    <definedName name="EM_005_5">#REF!</definedName>
    <definedName name="EM_005_6" localSheetId="17">#REF!</definedName>
    <definedName name="EM_005_6" localSheetId="15">#REF!</definedName>
    <definedName name="EM_005_6" localSheetId="3">#REF!</definedName>
    <definedName name="EM_005_6">#REF!</definedName>
    <definedName name="EM_005_7" localSheetId="17">#REF!</definedName>
    <definedName name="EM_005_7" localSheetId="15">#REF!</definedName>
    <definedName name="EM_005_7" localSheetId="3">#REF!</definedName>
    <definedName name="EM_005_7">#REF!</definedName>
    <definedName name="EM_005_8" localSheetId="17">#REF!</definedName>
    <definedName name="EM_005_8" localSheetId="15">#REF!</definedName>
    <definedName name="EM_005_8" localSheetId="3">#REF!</definedName>
    <definedName name="EM_005_8">#REF!</definedName>
    <definedName name="EM_005_9" localSheetId="17">#REF!</definedName>
    <definedName name="EM_005_9" localSheetId="15">#REF!</definedName>
    <definedName name="EM_005_9" localSheetId="3">#REF!</definedName>
    <definedName name="EM_005_9">#REF!</definedName>
    <definedName name="EM_006_1" localSheetId="17">#REF!</definedName>
    <definedName name="EM_006_1" localSheetId="15">#REF!</definedName>
    <definedName name="EM_006_1" localSheetId="3">#REF!</definedName>
    <definedName name="EM_006_1">#REF!</definedName>
    <definedName name="EM_006_10" localSheetId="17">#REF!</definedName>
    <definedName name="EM_006_10" localSheetId="15">#REF!</definedName>
    <definedName name="EM_006_10" localSheetId="3">#REF!</definedName>
    <definedName name="EM_006_10">#REF!</definedName>
    <definedName name="EM_006_11" localSheetId="17">#REF!</definedName>
    <definedName name="EM_006_11" localSheetId="15">#REF!</definedName>
    <definedName name="EM_006_11" localSheetId="3">#REF!</definedName>
    <definedName name="EM_006_11">#REF!</definedName>
    <definedName name="EM_006_12" localSheetId="17">#REF!</definedName>
    <definedName name="EM_006_12" localSheetId="15">#REF!</definedName>
    <definedName name="EM_006_12" localSheetId="3">#REF!</definedName>
    <definedName name="EM_006_12">#REF!</definedName>
    <definedName name="EM_006_13" localSheetId="17">#REF!</definedName>
    <definedName name="EM_006_13" localSheetId="15">#REF!</definedName>
    <definedName name="EM_006_13" localSheetId="3">#REF!</definedName>
    <definedName name="EM_006_13">#REF!</definedName>
    <definedName name="EM_006_14" localSheetId="17">#REF!</definedName>
    <definedName name="EM_006_14" localSheetId="15">#REF!</definedName>
    <definedName name="EM_006_14" localSheetId="3">#REF!</definedName>
    <definedName name="EM_006_14">#REF!</definedName>
    <definedName name="EM_006_15" localSheetId="17">#REF!</definedName>
    <definedName name="EM_006_15" localSheetId="15">#REF!</definedName>
    <definedName name="EM_006_15" localSheetId="3">#REF!</definedName>
    <definedName name="EM_006_15">#REF!</definedName>
    <definedName name="EM_006_16" localSheetId="17">#REF!</definedName>
    <definedName name="EM_006_16" localSheetId="15">#REF!</definedName>
    <definedName name="EM_006_16" localSheetId="3">#REF!</definedName>
    <definedName name="EM_006_16">#REF!</definedName>
    <definedName name="EM_006_17" localSheetId="17">#REF!</definedName>
    <definedName name="EM_006_17" localSheetId="15">#REF!</definedName>
    <definedName name="EM_006_17" localSheetId="3">#REF!</definedName>
    <definedName name="EM_006_17">#REF!</definedName>
    <definedName name="EM_006_18" localSheetId="17">#REF!</definedName>
    <definedName name="EM_006_18" localSheetId="15">#REF!</definedName>
    <definedName name="EM_006_18" localSheetId="3">#REF!</definedName>
    <definedName name="EM_006_18">#REF!</definedName>
    <definedName name="EM_006_2" localSheetId="17">#REF!</definedName>
    <definedName name="EM_006_2" localSheetId="15">#REF!</definedName>
    <definedName name="EM_006_2" localSheetId="3">#REF!</definedName>
    <definedName name="EM_006_2">#REF!</definedName>
    <definedName name="EM_006_3" localSheetId="17">#REF!</definedName>
    <definedName name="EM_006_3" localSheetId="15">#REF!</definedName>
    <definedName name="EM_006_3" localSheetId="3">#REF!</definedName>
    <definedName name="EM_006_3">#REF!</definedName>
    <definedName name="EM_006_4" localSheetId="17">#REF!</definedName>
    <definedName name="EM_006_4" localSheetId="15">#REF!</definedName>
    <definedName name="EM_006_4" localSheetId="3">#REF!</definedName>
    <definedName name="EM_006_4">#REF!</definedName>
    <definedName name="EM_006_5" localSheetId="17">#REF!</definedName>
    <definedName name="EM_006_5" localSheetId="15">#REF!</definedName>
    <definedName name="EM_006_5" localSheetId="3">#REF!</definedName>
    <definedName name="EM_006_5">#REF!</definedName>
    <definedName name="EM_006_6" localSheetId="17">#REF!</definedName>
    <definedName name="EM_006_6" localSheetId="15">#REF!</definedName>
    <definedName name="EM_006_6" localSheetId="3">#REF!</definedName>
    <definedName name="EM_006_6">#REF!</definedName>
    <definedName name="EM_006_7" localSheetId="17">#REF!</definedName>
    <definedName name="EM_006_7" localSheetId="15">#REF!</definedName>
    <definedName name="EM_006_7" localSheetId="3">#REF!</definedName>
    <definedName name="EM_006_7">#REF!</definedName>
    <definedName name="EM_006_8" localSheetId="17">#REF!</definedName>
    <definedName name="EM_006_8" localSheetId="15">#REF!</definedName>
    <definedName name="EM_006_8" localSheetId="3">#REF!</definedName>
    <definedName name="EM_006_8">#REF!</definedName>
    <definedName name="EM_006_9" localSheetId="17">#REF!</definedName>
    <definedName name="EM_006_9" localSheetId="15">#REF!</definedName>
    <definedName name="EM_006_9" localSheetId="3">#REF!</definedName>
    <definedName name="EM_006_9">#REF!</definedName>
    <definedName name="EM_007_1" localSheetId="17">#REF!</definedName>
    <definedName name="EM_007_1" localSheetId="15">#REF!</definedName>
    <definedName name="EM_007_1" localSheetId="3">#REF!</definedName>
    <definedName name="EM_007_1">#REF!</definedName>
    <definedName name="EM_007_10" localSheetId="17">#REF!</definedName>
    <definedName name="EM_007_10" localSheetId="15">#REF!</definedName>
    <definedName name="EM_007_10" localSheetId="3">#REF!</definedName>
    <definedName name="EM_007_10">#REF!</definedName>
    <definedName name="EM_007_11" localSheetId="17">#REF!</definedName>
    <definedName name="EM_007_11" localSheetId="15">#REF!</definedName>
    <definedName name="EM_007_11" localSheetId="3">#REF!</definedName>
    <definedName name="EM_007_11">#REF!</definedName>
    <definedName name="EM_007_12" localSheetId="17">#REF!</definedName>
    <definedName name="EM_007_12" localSheetId="15">#REF!</definedName>
    <definedName name="EM_007_12" localSheetId="3">#REF!</definedName>
    <definedName name="EM_007_12">#REF!</definedName>
    <definedName name="EM_007_13" localSheetId="17">#REF!</definedName>
    <definedName name="EM_007_13" localSheetId="15">#REF!</definedName>
    <definedName name="EM_007_13" localSheetId="3">#REF!</definedName>
    <definedName name="EM_007_13">#REF!</definedName>
    <definedName name="EM_007_14" localSheetId="17">#REF!</definedName>
    <definedName name="EM_007_14" localSheetId="15">#REF!</definedName>
    <definedName name="EM_007_14" localSheetId="3">#REF!</definedName>
    <definedName name="EM_007_14">#REF!</definedName>
    <definedName name="EM_007_15" localSheetId="17">#REF!</definedName>
    <definedName name="EM_007_15" localSheetId="15">#REF!</definedName>
    <definedName name="EM_007_15" localSheetId="3">#REF!</definedName>
    <definedName name="EM_007_15">#REF!</definedName>
    <definedName name="EM_007_16" localSheetId="17">#REF!</definedName>
    <definedName name="EM_007_16" localSheetId="15">#REF!</definedName>
    <definedName name="EM_007_16" localSheetId="3">#REF!</definedName>
    <definedName name="EM_007_16">#REF!</definedName>
    <definedName name="EM_007_17" localSheetId="17">#REF!</definedName>
    <definedName name="EM_007_17" localSheetId="15">#REF!</definedName>
    <definedName name="EM_007_17" localSheetId="3">#REF!</definedName>
    <definedName name="EM_007_17">#REF!</definedName>
    <definedName name="EM_007_18" localSheetId="17">#REF!</definedName>
    <definedName name="EM_007_18" localSheetId="15">#REF!</definedName>
    <definedName name="EM_007_18" localSheetId="3">#REF!</definedName>
    <definedName name="EM_007_18">#REF!</definedName>
    <definedName name="EM_007_2" localSheetId="17">#REF!</definedName>
    <definedName name="EM_007_2" localSheetId="15">#REF!</definedName>
    <definedName name="EM_007_2" localSheetId="3">#REF!</definedName>
    <definedName name="EM_007_2">#REF!</definedName>
    <definedName name="EM_007_3" localSheetId="17">#REF!</definedName>
    <definedName name="EM_007_3" localSheetId="15">#REF!</definedName>
    <definedName name="EM_007_3" localSheetId="3">#REF!</definedName>
    <definedName name="EM_007_3">#REF!</definedName>
    <definedName name="EM_007_4" localSheetId="17">#REF!</definedName>
    <definedName name="EM_007_4" localSheetId="15">#REF!</definedName>
    <definedName name="EM_007_4" localSheetId="3">#REF!</definedName>
    <definedName name="EM_007_4">#REF!</definedName>
    <definedName name="EM_007_5" localSheetId="17">#REF!</definedName>
    <definedName name="EM_007_5" localSheetId="15">#REF!</definedName>
    <definedName name="EM_007_5" localSheetId="3">#REF!</definedName>
    <definedName name="EM_007_5">#REF!</definedName>
    <definedName name="EM_007_6" localSheetId="17">#REF!</definedName>
    <definedName name="EM_007_6" localSheetId="15">#REF!</definedName>
    <definedName name="EM_007_6" localSheetId="3">#REF!</definedName>
    <definedName name="EM_007_6">#REF!</definedName>
    <definedName name="EM_007_7" localSheetId="17">#REF!</definedName>
    <definedName name="EM_007_7" localSheetId="15">#REF!</definedName>
    <definedName name="EM_007_7" localSheetId="3">#REF!</definedName>
    <definedName name="EM_007_7">#REF!</definedName>
    <definedName name="EM_007_8" localSheetId="17">#REF!</definedName>
    <definedName name="EM_007_8" localSheetId="15">#REF!</definedName>
    <definedName name="EM_007_8" localSheetId="3">#REF!</definedName>
    <definedName name="EM_007_8">#REF!</definedName>
    <definedName name="EM_007_9" localSheetId="17">#REF!</definedName>
    <definedName name="EM_007_9" localSheetId="15">#REF!</definedName>
    <definedName name="EM_007_9" localSheetId="3">#REF!</definedName>
    <definedName name="EM_007_9">#REF!</definedName>
    <definedName name="EM_008_1" localSheetId="17">#REF!</definedName>
    <definedName name="EM_008_1" localSheetId="15">#REF!</definedName>
    <definedName name="EM_008_1" localSheetId="3">#REF!</definedName>
    <definedName name="EM_008_1">#REF!</definedName>
    <definedName name="EM_008_10" localSheetId="17">#REF!</definedName>
    <definedName name="EM_008_10" localSheetId="15">#REF!</definedName>
    <definedName name="EM_008_10" localSheetId="3">#REF!</definedName>
    <definedName name="EM_008_10">#REF!</definedName>
    <definedName name="EM_008_11" localSheetId="17">#REF!</definedName>
    <definedName name="EM_008_11" localSheetId="15">#REF!</definedName>
    <definedName name="EM_008_11" localSheetId="3">#REF!</definedName>
    <definedName name="EM_008_11">#REF!</definedName>
    <definedName name="EM_008_12" localSheetId="17">#REF!</definedName>
    <definedName name="EM_008_12" localSheetId="15">#REF!</definedName>
    <definedName name="EM_008_12" localSheetId="3">#REF!</definedName>
    <definedName name="EM_008_12">#REF!</definedName>
    <definedName name="EM_008_13" localSheetId="17">#REF!</definedName>
    <definedName name="EM_008_13" localSheetId="15">#REF!</definedName>
    <definedName name="EM_008_13" localSheetId="3">#REF!</definedName>
    <definedName name="EM_008_13">#REF!</definedName>
    <definedName name="EM_008_14" localSheetId="17">#REF!</definedName>
    <definedName name="EM_008_14" localSheetId="15">#REF!</definedName>
    <definedName name="EM_008_14" localSheetId="3">#REF!</definedName>
    <definedName name="EM_008_14">#REF!</definedName>
    <definedName name="EM_008_15" localSheetId="17">#REF!</definedName>
    <definedName name="EM_008_15" localSheetId="15">#REF!</definedName>
    <definedName name="EM_008_15" localSheetId="3">#REF!</definedName>
    <definedName name="EM_008_15">#REF!</definedName>
    <definedName name="EM_008_16" localSheetId="17">#REF!</definedName>
    <definedName name="EM_008_16" localSheetId="15">#REF!</definedName>
    <definedName name="EM_008_16" localSheetId="3">#REF!</definedName>
    <definedName name="EM_008_16">#REF!</definedName>
    <definedName name="EM_008_17" localSheetId="17">#REF!</definedName>
    <definedName name="EM_008_17" localSheetId="15">#REF!</definedName>
    <definedName name="EM_008_17" localSheetId="3">#REF!</definedName>
    <definedName name="EM_008_17">#REF!</definedName>
    <definedName name="EM_008_18" localSheetId="17">#REF!</definedName>
    <definedName name="EM_008_18" localSheetId="15">#REF!</definedName>
    <definedName name="EM_008_18" localSheetId="3">#REF!</definedName>
    <definedName name="EM_008_18">#REF!</definedName>
    <definedName name="EM_008_2" localSheetId="17">#REF!</definedName>
    <definedName name="EM_008_2" localSheetId="15">#REF!</definedName>
    <definedName name="EM_008_2" localSheetId="3">#REF!</definedName>
    <definedName name="EM_008_2">#REF!</definedName>
    <definedName name="EM_008_3" localSheetId="17">#REF!</definedName>
    <definedName name="EM_008_3" localSheetId="15">#REF!</definedName>
    <definedName name="EM_008_3" localSheetId="3">#REF!</definedName>
    <definedName name="EM_008_3">#REF!</definedName>
    <definedName name="EM_008_4" localSheetId="17">#REF!</definedName>
    <definedName name="EM_008_4" localSheetId="15">#REF!</definedName>
    <definedName name="EM_008_4" localSheetId="3">#REF!</definedName>
    <definedName name="EM_008_4">#REF!</definedName>
    <definedName name="EM_008_5" localSheetId="17">#REF!</definedName>
    <definedName name="EM_008_5" localSheetId="15">#REF!</definedName>
    <definedName name="EM_008_5" localSheetId="3">#REF!</definedName>
    <definedName name="EM_008_5">#REF!</definedName>
    <definedName name="EM_008_6" localSheetId="17">#REF!</definedName>
    <definedName name="EM_008_6" localSheetId="15">#REF!</definedName>
    <definedName name="EM_008_6" localSheetId="3">#REF!</definedName>
    <definedName name="EM_008_6">#REF!</definedName>
    <definedName name="EM_008_7" localSheetId="17">#REF!</definedName>
    <definedName name="EM_008_7" localSheetId="15">#REF!</definedName>
    <definedName name="EM_008_7" localSheetId="3">#REF!</definedName>
    <definedName name="EM_008_7">#REF!</definedName>
    <definedName name="EM_008_8" localSheetId="17">#REF!</definedName>
    <definedName name="EM_008_8" localSheetId="15">#REF!</definedName>
    <definedName name="EM_008_8" localSheetId="3">#REF!</definedName>
    <definedName name="EM_008_8">#REF!</definedName>
    <definedName name="EM_008_9" localSheetId="17">#REF!</definedName>
    <definedName name="EM_008_9" localSheetId="15">#REF!</definedName>
    <definedName name="EM_008_9" localSheetId="3">#REF!</definedName>
    <definedName name="EM_008_9">#REF!</definedName>
    <definedName name="EM_009_1" localSheetId="17">#REF!</definedName>
    <definedName name="EM_009_1" localSheetId="15">#REF!</definedName>
    <definedName name="EM_009_1" localSheetId="3">#REF!</definedName>
    <definedName name="EM_009_1">#REF!</definedName>
    <definedName name="EM_009_10" localSheetId="17">#REF!</definedName>
    <definedName name="EM_009_10" localSheetId="15">#REF!</definedName>
    <definedName name="EM_009_10" localSheetId="3">#REF!</definedName>
    <definedName name="EM_009_10">#REF!</definedName>
    <definedName name="EM_009_11" localSheetId="17">#REF!</definedName>
    <definedName name="EM_009_11" localSheetId="15">#REF!</definedName>
    <definedName name="EM_009_11" localSheetId="3">#REF!</definedName>
    <definedName name="EM_009_11">#REF!</definedName>
    <definedName name="EM_009_12" localSheetId="17">#REF!</definedName>
    <definedName name="EM_009_12" localSheetId="15">#REF!</definedName>
    <definedName name="EM_009_12" localSheetId="3">#REF!</definedName>
    <definedName name="EM_009_12">#REF!</definedName>
    <definedName name="EM_009_13" localSheetId="17">#REF!</definedName>
    <definedName name="EM_009_13" localSheetId="15">#REF!</definedName>
    <definedName name="EM_009_13" localSheetId="3">#REF!</definedName>
    <definedName name="EM_009_13">#REF!</definedName>
    <definedName name="EM_009_14" localSheetId="17">#REF!</definedName>
    <definedName name="EM_009_14" localSheetId="15">#REF!</definedName>
    <definedName name="EM_009_14" localSheetId="3">#REF!</definedName>
    <definedName name="EM_009_14">#REF!</definedName>
    <definedName name="EM_009_15" localSheetId="17">#REF!</definedName>
    <definedName name="EM_009_15" localSheetId="15">#REF!</definedName>
    <definedName name="EM_009_15" localSheetId="3">#REF!</definedName>
    <definedName name="EM_009_15">#REF!</definedName>
    <definedName name="EM_009_16" localSheetId="17">#REF!</definedName>
    <definedName name="EM_009_16" localSheetId="15">#REF!</definedName>
    <definedName name="EM_009_16" localSheetId="3">#REF!</definedName>
    <definedName name="EM_009_16">#REF!</definedName>
    <definedName name="EM_009_17" localSheetId="17">#REF!</definedName>
    <definedName name="EM_009_17" localSheetId="15">#REF!</definedName>
    <definedName name="EM_009_17" localSheetId="3">#REF!</definedName>
    <definedName name="EM_009_17">#REF!</definedName>
    <definedName name="EM_009_18" localSheetId="17">#REF!</definedName>
    <definedName name="EM_009_18" localSheetId="15">#REF!</definedName>
    <definedName name="EM_009_18" localSheetId="3">#REF!</definedName>
    <definedName name="EM_009_18">#REF!</definedName>
    <definedName name="EM_009_2" localSheetId="17">#REF!</definedName>
    <definedName name="EM_009_2" localSheetId="15">#REF!</definedName>
    <definedName name="EM_009_2" localSheetId="3">#REF!</definedName>
    <definedName name="EM_009_2">#REF!</definedName>
    <definedName name="EM_009_3" localSheetId="17">#REF!</definedName>
    <definedName name="EM_009_3" localSheetId="15">#REF!</definedName>
    <definedName name="EM_009_3" localSheetId="3">#REF!</definedName>
    <definedName name="EM_009_3">#REF!</definedName>
    <definedName name="EM_009_4" localSheetId="17">#REF!</definedName>
    <definedName name="EM_009_4" localSheetId="15">#REF!</definedName>
    <definedName name="EM_009_4" localSheetId="3">#REF!</definedName>
    <definedName name="EM_009_4">#REF!</definedName>
    <definedName name="EM_009_5" localSheetId="17">#REF!</definedName>
    <definedName name="EM_009_5" localSheetId="15">#REF!</definedName>
    <definedName name="EM_009_5" localSheetId="3">#REF!</definedName>
    <definedName name="EM_009_5">#REF!</definedName>
    <definedName name="EM_009_6" localSheetId="17">#REF!</definedName>
    <definedName name="EM_009_6" localSheetId="15">#REF!</definedName>
    <definedName name="EM_009_6" localSheetId="3">#REF!</definedName>
    <definedName name="EM_009_6">#REF!</definedName>
    <definedName name="EM_009_7" localSheetId="17">#REF!</definedName>
    <definedName name="EM_009_7" localSheetId="15">#REF!</definedName>
    <definedName name="EM_009_7" localSheetId="3">#REF!</definedName>
    <definedName name="EM_009_7">#REF!</definedName>
    <definedName name="EM_009_8" localSheetId="17">#REF!</definedName>
    <definedName name="EM_009_8" localSheetId="15">#REF!</definedName>
    <definedName name="EM_009_8" localSheetId="3">#REF!</definedName>
    <definedName name="EM_009_8">#REF!</definedName>
    <definedName name="EM_009_9" localSheetId="17">#REF!</definedName>
    <definedName name="EM_009_9" localSheetId="15">#REF!</definedName>
    <definedName name="EM_009_9" localSheetId="3">#REF!</definedName>
    <definedName name="EM_009_9">#REF!</definedName>
    <definedName name="EM_010_1" localSheetId="17">#REF!</definedName>
    <definedName name="EM_010_1" localSheetId="15">#REF!</definedName>
    <definedName name="EM_010_1" localSheetId="3">#REF!</definedName>
    <definedName name="EM_010_1">#REF!</definedName>
    <definedName name="EM_010_10" localSheetId="17">#REF!</definedName>
    <definedName name="EM_010_10" localSheetId="15">#REF!</definedName>
    <definedName name="EM_010_10" localSheetId="3">#REF!</definedName>
    <definedName name="EM_010_10">#REF!</definedName>
    <definedName name="EM_010_11" localSheetId="17">#REF!</definedName>
    <definedName name="EM_010_11" localSheetId="15">#REF!</definedName>
    <definedName name="EM_010_11" localSheetId="3">#REF!</definedName>
    <definedName name="EM_010_11">#REF!</definedName>
    <definedName name="EM_010_12" localSheetId="17">#REF!</definedName>
    <definedName name="EM_010_12" localSheetId="15">#REF!</definedName>
    <definedName name="EM_010_12" localSheetId="3">#REF!</definedName>
    <definedName name="EM_010_12">#REF!</definedName>
    <definedName name="EM_010_13" localSheetId="17">#REF!</definedName>
    <definedName name="EM_010_13" localSheetId="15">#REF!</definedName>
    <definedName name="EM_010_13" localSheetId="3">#REF!</definedName>
    <definedName name="EM_010_13">#REF!</definedName>
    <definedName name="EM_010_14" localSheetId="17">#REF!</definedName>
    <definedName name="EM_010_14" localSheetId="15">#REF!</definedName>
    <definedName name="EM_010_14" localSheetId="3">#REF!</definedName>
    <definedName name="EM_010_14">#REF!</definedName>
    <definedName name="EM_010_15" localSheetId="17">#REF!</definedName>
    <definedName name="EM_010_15" localSheetId="15">#REF!</definedName>
    <definedName name="EM_010_15" localSheetId="3">#REF!</definedName>
    <definedName name="EM_010_15">#REF!</definedName>
    <definedName name="EM_010_16" localSheetId="17">#REF!</definedName>
    <definedName name="EM_010_16" localSheetId="15">#REF!</definedName>
    <definedName name="EM_010_16" localSheetId="3">#REF!</definedName>
    <definedName name="EM_010_16">#REF!</definedName>
    <definedName name="EM_010_17" localSheetId="17">#REF!</definedName>
    <definedName name="EM_010_17" localSheetId="15">#REF!</definedName>
    <definedName name="EM_010_17" localSheetId="3">#REF!</definedName>
    <definedName name="EM_010_17">#REF!</definedName>
    <definedName name="EM_010_18" localSheetId="17">#REF!</definedName>
    <definedName name="EM_010_18" localSheetId="15">#REF!</definedName>
    <definedName name="EM_010_18" localSheetId="3">#REF!</definedName>
    <definedName name="EM_010_18">#REF!</definedName>
    <definedName name="EM_010_2" localSheetId="17">#REF!</definedName>
    <definedName name="EM_010_2" localSheetId="15">#REF!</definedName>
    <definedName name="EM_010_2" localSheetId="3">#REF!</definedName>
    <definedName name="EM_010_2">#REF!</definedName>
    <definedName name="EM_010_3" localSheetId="17">#REF!</definedName>
    <definedName name="EM_010_3" localSheetId="15">#REF!</definedName>
    <definedName name="EM_010_3" localSheetId="3">#REF!</definedName>
    <definedName name="EM_010_3">#REF!</definedName>
    <definedName name="EM_010_4" localSheetId="17">#REF!</definedName>
    <definedName name="EM_010_4" localSheetId="15">#REF!</definedName>
    <definedName name="EM_010_4" localSheetId="3">#REF!</definedName>
    <definedName name="EM_010_4">#REF!</definedName>
    <definedName name="EM_010_5" localSheetId="17">#REF!</definedName>
    <definedName name="EM_010_5" localSheetId="15">#REF!</definedName>
    <definedName name="EM_010_5" localSheetId="3">#REF!</definedName>
    <definedName name="EM_010_5">#REF!</definedName>
    <definedName name="EM_010_6" localSheetId="17">#REF!</definedName>
    <definedName name="EM_010_6" localSheetId="15">#REF!</definedName>
    <definedName name="EM_010_6" localSheetId="3">#REF!</definedName>
    <definedName name="EM_010_6">#REF!</definedName>
    <definedName name="EM_010_7" localSheetId="17">#REF!</definedName>
    <definedName name="EM_010_7" localSheetId="15">#REF!</definedName>
    <definedName name="EM_010_7" localSheetId="3">#REF!</definedName>
    <definedName name="EM_010_7">#REF!</definedName>
    <definedName name="EM_010_8" localSheetId="17">#REF!</definedName>
    <definedName name="EM_010_8" localSheetId="15">#REF!</definedName>
    <definedName name="EM_010_8" localSheetId="3">#REF!</definedName>
    <definedName name="EM_010_8">#REF!</definedName>
    <definedName name="EM_010_9" localSheetId="17">#REF!</definedName>
    <definedName name="EM_010_9" localSheetId="15">#REF!</definedName>
    <definedName name="EM_010_9" localSheetId="3">#REF!</definedName>
    <definedName name="EM_010_9">#REF!</definedName>
    <definedName name="EM_011_1" localSheetId="17">#REF!</definedName>
    <definedName name="EM_011_1" localSheetId="15">#REF!</definedName>
    <definedName name="EM_011_1" localSheetId="3">#REF!</definedName>
    <definedName name="EM_011_1">#REF!</definedName>
    <definedName name="EM_011_10" localSheetId="17">#REF!</definedName>
    <definedName name="EM_011_10" localSheetId="15">#REF!</definedName>
    <definedName name="EM_011_10" localSheetId="3">#REF!</definedName>
    <definedName name="EM_011_10">#REF!</definedName>
    <definedName name="EM_011_11" localSheetId="17">#REF!</definedName>
    <definedName name="EM_011_11" localSheetId="15">#REF!</definedName>
    <definedName name="EM_011_11" localSheetId="3">#REF!</definedName>
    <definedName name="EM_011_11">#REF!</definedName>
    <definedName name="EM_011_12" localSheetId="17">#REF!</definedName>
    <definedName name="EM_011_12" localSheetId="15">#REF!</definedName>
    <definedName name="EM_011_12" localSheetId="3">#REF!</definedName>
    <definedName name="EM_011_12">#REF!</definedName>
    <definedName name="EM_011_13" localSheetId="17">#REF!</definedName>
    <definedName name="EM_011_13" localSheetId="15">#REF!</definedName>
    <definedName name="EM_011_13" localSheetId="3">#REF!</definedName>
    <definedName name="EM_011_13">#REF!</definedName>
    <definedName name="EM_011_14" localSheetId="17">#REF!</definedName>
    <definedName name="EM_011_14" localSheetId="15">#REF!</definedName>
    <definedName name="EM_011_14" localSheetId="3">#REF!</definedName>
    <definedName name="EM_011_14">#REF!</definedName>
    <definedName name="EM_011_15" localSheetId="17">#REF!</definedName>
    <definedName name="EM_011_15" localSheetId="15">#REF!</definedName>
    <definedName name="EM_011_15" localSheetId="3">#REF!</definedName>
    <definedName name="EM_011_15">#REF!</definedName>
    <definedName name="EM_011_16" localSheetId="17">#REF!</definedName>
    <definedName name="EM_011_16" localSheetId="15">#REF!</definedName>
    <definedName name="EM_011_16" localSheetId="3">#REF!</definedName>
    <definedName name="EM_011_16">#REF!</definedName>
    <definedName name="EM_011_17" localSheetId="17">#REF!</definedName>
    <definedName name="EM_011_17" localSheetId="15">#REF!</definedName>
    <definedName name="EM_011_17" localSheetId="3">#REF!</definedName>
    <definedName name="EM_011_17">#REF!</definedName>
    <definedName name="EM_011_18" localSheetId="17">#REF!</definedName>
    <definedName name="EM_011_18" localSheetId="15">#REF!</definedName>
    <definedName name="EM_011_18" localSheetId="3">#REF!</definedName>
    <definedName name="EM_011_18">#REF!</definedName>
    <definedName name="EM_011_2" localSheetId="17">#REF!</definedName>
    <definedName name="EM_011_2" localSheetId="15">#REF!</definedName>
    <definedName name="EM_011_2" localSheetId="3">#REF!</definedName>
    <definedName name="EM_011_2">#REF!</definedName>
    <definedName name="EM_011_3" localSheetId="17">#REF!</definedName>
    <definedName name="EM_011_3" localSheetId="15">#REF!</definedName>
    <definedName name="EM_011_3" localSheetId="3">#REF!</definedName>
    <definedName name="EM_011_3">#REF!</definedName>
    <definedName name="EM_011_4" localSheetId="17">#REF!</definedName>
    <definedName name="EM_011_4" localSheetId="15">#REF!</definedName>
    <definedName name="EM_011_4" localSheetId="3">#REF!</definedName>
    <definedName name="EM_011_4">#REF!</definedName>
    <definedName name="EM_011_5" localSheetId="17">#REF!</definedName>
    <definedName name="EM_011_5" localSheetId="15">#REF!</definedName>
    <definedName name="EM_011_5" localSheetId="3">#REF!</definedName>
    <definedName name="EM_011_5">#REF!</definedName>
    <definedName name="EM_011_6" localSheetId="17">#REF!</definedName>
    <definedName name="EM_011_6" localSheetId="15">#REF!</definedName>
    <definedName name="EM_011_6" localSheetId="3">#REF!</definedName>
    <definedName name="EM_011_6">#REF!</definedName>
    <definedName name="EM_011_7" localSheetId="17">#REF!</definedName>
    <definedName name="EM_011_7" localSheetId="15">#REF!</definedName>
    <definedName name="EM_011_7" localSheetId="3">#REF!</definedName>
    <definedName name="EM_011_7">#REF!</definedName>
    <definedName name="EM_011_8" localSheetId="17">#REF!</definedName>
    <definedName name="EM_011_8" localSheetId="15">#REF!</definedName>
    <definedName name="EM_011_8" localSheetId="3">#REF!</definedName>
    <definedName name="EM_011_8">#REF!</definedName>
    <definedName name="EM_011_9" localSheetId="17">#REF!</definedName>
    <definedName name="EM_011_9" localSheetId="15">#REF!</definedName>
    <definedName name="EM_011_9" localSheetId="3">#REF!</definedName>
    <definedName name="EM_011_9">#REF!</definedName>
    <definedName name="EM_012_1" localSheetId="17">#REF!</definedName>
    <definedName name="EM_012_1" localSheetId="15">#REF!</definedName>
    <definedName name="EM_012_1" localSheetId="3">#REF!</definedName>
    <definedName name="EM_012_1">#REF!</definedName>
    <definedName name="EM_012_10" localSheetId="17">#REF!</definedName>
    <definedName name="EM_012_10" localSheetId="15">#REF!</definedName>
    <definedName name="EM_012_10" localSheetId="3">#REF!</definedName>
    <definedName name="EM_012_10">#REF!</definedName>
    <definedName name="EM_012_11" localSheetId="17">#REF!</definedName>
    <definedName name="EM_012_11" localSheetId="15">#REF!</definedName>
    <definedName name="EM_012_11" localSheetId="3">#REF!</definedName>
    <definedName name="EM_012_11">#REF!</definedName>
    <definedName name="EM_012_12" localSheetId="17">#REF!</definedName>
    <definedName name="EM_012_12" localSheetId="15">#REF!</definedName>
    <definedName name="EM_012_12" localSheetId="3">#REF!</definedName>
    <definedName name="EM_012_12">#REF!</definedName>
    <definedName name="EM_012_13" localSheetId="17">#REF!</definedName>
    <definedName name="EM_012_13" localSheetId="15">#REF!</definedName>
    <definedName name="EM_012_13" localSheetId="3">#REF!</definedName>
    <definedName name="EM_012_13">#REF!</definedName>
    <definedName name="EM_012_14" localSheetId="17">#REF!</definedName>
    <definedName name="EM_012_14" localSheetId="15">#REF!</definedName>
    <definedName name="EM_012_14" localSheetId="3">#REF!</definedName>
    <definedName name="EM_012_14">#REF!</definedName>
    <definedName name="EM_012_15" localSheetId="17">#REF!</definedName>
    <definedName name="EM_012_15" localSheetId="15">#REF!</definedName>
    <definedName name="EM_012_15" localSheetId="3">#REF!</definedName>
    <definedName name="EM_012_15">#REF!</definedName>
    <definedName name="EM_012_16" localSheetId="17">#REF!</definedName>
    <definedName name="EM_012_16" localSheetId="15">#REF!</definedName>
    <definedName name="EM_012_16" localSheetId="3">#REF!</definedName>
    <definedName name="EM_012_16">#REF!</definedName>
    <definedName name="EM_012_17" localSheetId="17">#REF!</definedName>
    <definedName name="EM_012_17" localSheetId="15">#REF!</definedName>
    <definedName name="EM_012_17" localSheetId="3">#REF!</definedName>
    <definedName name="EM_012_17">#REF!</definedName>
    <definedName name="EM_012_18" localSheetId="17">#REF!</definedName>
    <definedName name="EM_012_18" localSheetId="15">#REF!</definedName>
    <definedName name="EM_012_18" localSheetId="3">#REF!</definedName>
    <definedName name="EM_012_18">#REF!</definedName>
    <definedName name="EM_012_2" localSheetId="17">#REF!</definedName>
    <definedName name="EM_012_2" localSheetId="15">#REF!</definedName>
    <definedName name="EM_012_2" localSheetId="3">#REF!</definedName>
    <definedName name="EM_012_2">#REF!</definedName>
    <definedName name="EM_012_3" localSheetId="17">#REF!</definedName>
    <definedName name="EM_012_3" localSheetId="15">#REF!</definedName>
    <definedName name="EM_012_3" localSheetId="3">#REF!</definedName>
    <definedName name="EM_012_3">#REF!</definedName>
    <definedName name="EM_012_4" localSheetId="17">#REF!</definedName>
    <definedName name="EM_012_4" localSheetId="15">#REF!</definedName>
    <definedName name="EM_012_4" localSheetId="3">#REF!</definedName>
    <definedName name="EM_012_4">#REF!</definedName>
    <definedName name="EM_012_5" localSheetId="17">#REF!</definedName>
    <definedName name="EM_012_5" localSheetId="15">#REF!</definedName>
    <definedName name="EM_012_5" localSheetId="3">#REF!</definedName>
    <definedName name="EM_012_5">#REF!</definedName>
    <definedName name="EM_012_6" localSheetId="17">#REF!</definedName>
    <definedName name="EM_012_6" localSheetId="15">#REF!</definedName>
    <definedName name="EM_012_6" localSheetId="3">#REF!</definedName>
    <definedName name="EM_012_6">#REF!</definedName>
    <definedName name="EM_012_7" localSheetId="17">#REF!</definedName>
    <definedName name="EM_012_7" localSheetId="15">#REF!</definedName>
    <definedName name="EM_012_7" localSheetId="3">#REF!</definedName>
    <definedName name="EM_012_7">#REF!</definedName>
    <definedName name="EM_012_8" localSheetId="17">#REF!</definedName>
    <definedName name="EM_012_8" localSheetId="15">#REF!</definedName>
    <definedName name="EM_012_8" localSheetId="3">#REF!</definedName>
    <definedName name="EM_012_8">#REF!</definedName>
    <definedName name="EM_012_9" localSheetId="17">#REF!</definedName>
    <definedName name="EM_012_9" localSheetId="15">#REF!</definedName>
    <definedName name="EM_012_9" localSheetId="3">#REF!</definedName>
    <definedName name="EM_012_9">#REF!</definedName>
    <definedName name="EM_013_1" localSheetId="17">#REF!</definedName>
    <definedName name="EM_013_1" localSheetId="15">#REF!</definedName>
    <definedName name="EM_013_1" localSheetId="3">#REF!</definedName>
    <definedName name="EM_013_1">#REF!</definedName>
    <definedName name="EM_013_10" localSheetId="17">#REF!</definedName>
    <definedName name="EM_013_10" localSheetId="15">#REF!</definedName>
    <definedName name="EM_013_10" localSheetId="3">#REF!</definedName>
    <definedName name="EM_013_10">#REF!</definedName>
    <definedName name="EM_013_11" localSheetId="17">#REF!</definedName>
    <definedName name="EM_013_11" localSheetId="15">#REF!</definedName>
    <definedName name="EM_013_11" localSheetId="3">#REF!</definedName>
    <definedName name="EM_013_11">#REF!</definedName>
    <definedName name="EM_013_12" localSheetId="17">#REF!</definedName>
    <definedName name="EM_013_12" localSheetId="15">#REF!</definedName>
    <definedName name="EM_013_12" localSheetId="3">#REF!</definedName>
    <definedName name="EM_013_12">#REF!</definedName>
    <definedName name="EM_013_13" localSheetId="17">#REF!</definedName>
    <definedName name="EM_013_13" localSheetId="15">#REF!</definedName>
    <definedName name="EM_013_13" localSheetId="3">#REF!</definedName>
    <definedName name="EM_013_13">#REF!</definedName>
    <definedName name="EM_013_14" localSheetId="17">#REF!</definedName>
    <definedName name="EM_013_14" localSheetId="15">#REF!</definedName>
    <definedName name="EM_013_14" localSheetId="3">#REF!</definedName>
    <definedName name="EM_013_14">#REF!</definedName>
    <definedName name="EM_013_15" localSheetId="17">#REF!</definedName>
    <definedName name="EM_013_15" localSheetId="15">#REF!</definedName>
    <definedName name="EM_013_15" localSheetId="3">#REF!</definedName>
    <definedName name="EM_013_15">#REF!</definedName>
    <definedName name="EM_013_16" localSheetId="17">#REF!</definedName>
    <definedName name="EM_013_16" localSheetId="15">#REF!</definedName>
    <definedName name="EM_013_16" localSheetId="3">#REF!</definedName>
    <definedName name="EM_013_16">#REF!</definedName>
    <definedName name="EM_013_17" localSheetId="17">#REF!</definedName>
    <definedName name="EM_013_17" localSheetId="15">#REF!</definedName>
    <definedName name="EM_013_17" localSheetId="3">#REF!</definedName>
    <definedName name="EM_013_17">#REF!</definedName>
    <definedName name="EM_013_18" localSheetId="17">#REF!</definedName>
    <definedName name="EM_013_18" localSheetId="15">#REF!</definedName>
    <definedName name="EM_013_18" localSheetId="3">#REF!</definedName>
    <definedName name="EM_013_18">#REF!</definedName>
    <definedName name="EM_013_2" localSheetId="17">#REF!</definedName>
    <definedName name="EM_013_2" localSheetId="15">#REF!</definedName>
    <definedName name="EM_013_2" localSheetId="3">#REF!</definedName>
    <definedName name="EM_013_2">#REF!</definedName>
    <definedName name="EM_013_3" localSheetId="17">#REF!</definedName>
    <definedName name="EM_013_3" localSheetId="15">#REF!</definedName>
    <definedName name="EM_013_3" localSheetId="3">#REF!</definedName>
    <definedName name="EM_013_3">#REF!</definedName>
    <definedName name="EM_013_4" localSheetId="17">#REF!</definedName>
    <definedName name="EM_013_4" localSheetId="15">#REF!</definedName>
    <definedName name="EM_013_4" localSheetId="3">#REF!</definedName>
    <definedName name="EM_013_4">#REF!</definedName>
    <definedName name="EM_013_5" localSheetId="17">#REF!</definedName>
    <definedName name="EM_013_5" localSheetId="15">#REF!</definedName>
    <definedName name="EM_013_5" localSheetId="3">#REF!</definedName>
    <definedName name="EM_013_5">#REF!</definedName>
    <definedName name="EM_013_6" localSheetId="17">#REF!</definedName>
    <definedName name="EM_013_6" localSheetId="15">#REF!</definedName>
    <definedName name="EM_013_6" localSheetId="3">#REF!</definedName>
    <definedName name="EM_013_6">#REF!</definedName>
    <definedName name="EM_013_7" localSheetId="17">#REF!</definedName>
    <definedName name="EM_013_7" localSheetId="15">#REF!</definedName>
    <definedName name="EM_013_7" localSheetId="3">#REF!</definedName>
    <definedName name="EM_013_7">#REF!</definedName>
    <definedName name="EM_013_8" localSheetId="17">#REF!</definedName>
    <definedName name="EM_013_8" localSheetId="15">#REF!</definedName>
    <definedName name="EM_013_8" localSheetId="3">#REF!</definedName>
    <definedName name="EM_013_8">#REF!</definedName>
    <definedName name="EM_013_9" localSheetId="17">#REF!</definedName>
    <definedName name="EM_013_9" localSheetId="15">#REF!</definedName>
    <definedName name="EM_013_9" localSheetId="3">#REF!</definedName>
    <definedName name="EM_013_9">#REF!</definedName>
    <definedName name="EM_014_1" localSheetId="17">#REF!</definedName>
    <definedName name="EM_014_1" localSheetId="15">#REF!</definedName>
    <definedName name="EM_014_1" localSheetId="3">#REF!</definedName>
    <definedName name="EM_014_1">#REF!</definedName>
    <definedName name="EM_014_10" localSheetId="17">#REF!</definedName>
    <definedName name="EM_014_10" localSheetId="15">#REF!</definedName>
    <definedName name="EM_014_10" localSheetId="3">#REF!</definedName>
    <definedName name="EM_014_10">#REF!</definedName>
    <definedName name="EM_014_11" localSheetId="17">#REF!</definedName>
    <definedName name="EM_014_11" localSheetId="15">#REF!</definedName>
    <definedName name="EM_014_11" localSheetId="3">#REF!</definedName>
    <definedName name="EM_014_11">#REF!</definedName>
    <definedName name="EM_014_12" localSheetId="17">#REF!</definedName>
    <definedName name="EM_014_12" localSheetId="15">#REF!</definedName>
    <definedName name="EM_014_12" localSheetId="3">#REF!</definedName>
    <definedName name="EM_014_12">#REF!</definedName>
    <definedName name="EM_014_13" localSheetId="17">#REF!</definedName>
    <definedName name="EM_014_13" localSheetId="15">#REF!</definedName>
    <definedName name="EM_014_13" localSheetId="3">#REF!</definedName>
    <definedName name="EM_014_13">#REF!</definedName>
    <definedName name="EM_014_14" localSheetId="17">#REF!</definedName>
    <definedName name="EM_014_14" localSheetId="15">#REF!</definedName>
    <definedName name="EM_014_14" localSheetId="3">#REF!</definedName>
    <definedName name="EM_014_14">#REF!</definedName>
    <definedName name="EM_014_15" localSheetId="17">#REF!</definedName>
    <definedName name="EM_014_15" localSheetId="15">#REF!</definedName>
    <definedName name="EM_014_15" localSheetId="3">#REF!</definedName>
    <definedName name="EM_014_15">#REF!</definedName>
    <definedName name="EM_014_16" localSheetId="17">#REF!</definedName>
    <definedName name="EM_014_16" localSheetId="15">#REF!</definedName>
    <definedName name="EM_014_16" localSheetId="3">#REF!</definedName>
    <definedName name="EM_014_16">#REF!</definedName>
    <definedName name="EM_014_17" localSheetId="17">#REF!</definedName>
    <definedName name="EM_014_17" localSheetId="15">#REF!</definedName>
    <definedName name="EM_014_17" localSheetId="3">#REF!</definedName>
    <definedName name="EM_014_17">#REF!</definedName>
    <definedName name="EM_014_18" localSheetId="17">#REF!</definedName>
    <definedName name="EM_014_18" localSheetId="15">#REF!</definedName>
    <definedName name="EM_014_18" localSheetId="3">#REF!</definedName>
    <definedName name="EM_014_18">#REF!</definedName>
    <definedName name="EM_014_2" localSheetId="17">#REF!</definedName>
    <definedName name="EM_014_2" localSheetId="15">#REF!</definedName>
    <definedName name="EM_014_2" localSheetId="3">#REF!</definedName>
    <definedName name="EM_014_2">#REF!</definedName>
    <definedName name="EM_014_3" localSheetId="17">#REF!</definedName>
    <definedName name="EM_014_3" localSheetId="15">#REF!</definedName>
    <definedName name="EM_014_3" localSheetId="3">#REF!</definedName>
    <definedName name="EM_014_3">#REF!</definedName>
    <definedName name="EM_014_4" localSheetId="17">#REF!</definedName>
    <definedName name="EM_014_4" localSheetId="15">#REF!</definedName>
    <definedName name="EM_014_4" localSheetId="3">#REF!</definedName>
    <definedName name="EM_014_4">#REF!</definedName>
    <definedName name="EM_014_5" localSheetId="17">#REF!</definedName>
    <definedName name="EM_014_5" localSheetId="15">#REF!</definedName>
    <definedName name="EM_014_5" localSheetId="3">#REF!</definedName>
    <definedName name="EM_014_5">#REF!</definedName>
    <definedName name="EM_014_6" localSheetId="17">#REF!</definedName>
    <definedName name="EM_014_6" localSheetId="15">#REF!</definedName>
    <definedName name="EM_014_6" localSheetId="3">#REF!</definedName>
    <definedName name="EM_014_6">#REF!</definedName>
    <definedName name="EM_014_7" localSheetId="17">#REF!</definedName>
    <definedName name="EM_014_7" localSheetId="15">#REF!</definedName>
    <definedName name="EM_014_7" localSheetId="3">#REF!</definedName>
    <definedName name="EM_014_7">#REF!</definedName>
    <definedName name="EM_014_8" localSheetId="17">#REF!</definedName>
    <definedName name="EM_014_8" localSheetId="15">#REF!</definedName>
    <definedName name="EM_014_8" localSheetId="3">#REF!</definedName>
    <definedName name="EM_014_8">#REF!</definedName>
    <definedName name="EM_014_9" localSheetId="17">#REF!</definedName>
    <definedName name="EM_014_9" localSheetId="15">#REF!</definedName>
    <definedName name="EM_014_9" localSheetId="3">#REF!</definedName>
    <definedName name="EM_014_9">#REF!</definedName>
    <definedName name="EM_015_1" localSheetId="17">#REF!</definedName>
    <definedName name="EM_015_1" localSheetId="15">#REF!</definedName>
    <definedName name="EM_015_1" localSheetId="3">#REF!</definedName>
    <definedName name="EM_015_1">#REF!</definedName>
    <definedName name="EM_015_10" localSheetId="17">#REF!</definedName>
    <definedName name="EM_015_10" localSheetId="15">#REF!</definedName>
    <definedName name="EM_015_10" localSheetId="3">#REF!</definedName>
    <definedName name="EM_015_10">#REF!</definedName>
    <definedName name="EM_015_11" localSheetId="17">#REF!</definedName>
    <definedName name="EM_015_11" localSheetId="15">#REF!</definedName>
    <definedName name="EM_015_11" localSheetId="3">#REF!</definedName>
    <definedName name="EM_015_11">#REF!</definedName>
    <definedName name="EM_015_12" localSheetId="17">#REF!</definedName>
    <definedName name="EM_015_12" localSheetId="15">#REF!</definedName>
    <definedName name="EM_015_12" localSheetId="3">#REF!</definedName>
    <definedName name="EM_015_12">#REF!</definedName>
    <definedName name="EM_015_13" localSheetId="17">#REF!</definedName>
    <definedName name="EM_015_13" localSheetId="15">#REF!</definedName>
    <definedName name="EM_015_13" localSheetId="3">#REF!</definedName>
    <definedName name="EM_015_13">#REF!</definedName>
    <definedName name="EM_015_14" localSheetId="17">#REF!</definedName>
    <definedName name="EM_015_14" localSheetId="15">#REF!</definedName>
    <definedName name="EM_015_14" localSheetId="3">#REF!</definedName>
    <definedName name="EM_015_14">#REF!</definedName>
    <definedName name="EM_015_15" localSheetId="17">#REF!</definedName>
    <definedName name="EM_015_15" localSheetId="15">#REF!</definedName>
    <definedName name="EM_015_15" localSheetId="3">#REF!</definedName>
    <definedName name="EM_015_15">#REF!</definedName>
    <definedName name="EM_015_16" localSheetId="17">#REF!</definedName>
    <definedName name="EM_015_16" localSheetId="15">#REF!</definedName>
    <definedName name="EM_015_16" localSheetId="3">#REF!</definedName>
    <definedName name="EM_015_16">#REF!</definedName>
    <definedName name="EM_015_17" localSheetId="17">#REF!</definedName>
    <definedName name="EM_015_17" localSheetId="15">#REF!</definedName>
    <definedName name="EM_015_17" localSheetId="3">#REF!</definedName>
    <definedName name="EM_015_17">#REF!</definedName>
    <definedName name="EM_015_18" localSheetId="17">#REF!</definedName>
    <definedName name="EM_015_18" localSheetId="15">#REF!</definedName>
    <definedName name="EM_015_18" localSheetId="3">#REF!</definedName>
    <definedName name="EM_015_18">#REF!</definedName>
    <definedName name="EM_015_2" localSheetId="17">#REF!</definedName>
    <definedName name="EM_015_2" localSheetId="15">#REF!</definedName>
    <definedName name="EM_015_2" localSheetId="3">#REF!</definedName>
    <definedName name="EM_015_2">#REF!</definedName>
    <definedName name="EM_015_3" localSheetId="17">#REF!</definedName>
    <definedName name="EM_015_3" localSheetId="15">#REF!</definedName>
    <definedName name="EM_015_3" localSheetId="3">#REF!</definedName>
    <definedName name="EM_015_3">#REF!</definedName>
    <definedName name="EM_015_4" localSheetId="17">#REF!</definedName>
    <definedName name="EM_015_4" localSheetId="15">#REF!</definedName>
    <definedName name="EM_015_4" localSheetId="3">#REF!</definedName>
    <definedName name="EM_015_4">#REF!</definedName>
    <definedName name="EM_015_5" localSheetId="17">#REF!</definedName>
    <definedName name="EM_015_5" localSheetId="15">#REF!</definedName>
    <definedName name="EM_015_5" localSheetId="3">#REF!</definedName>
    <definedName name="EM_015_5">#REF!</definedName>
    <definedName name="EM_015_6" localSheetId="17">#REF!</definedName>
    <definedName name="EM_015_6" localSheetId="15">#REF!</definedName>
    <definedName name="EM_015_6" localSheetId="3">#REF!</definedName>
    <definedName name="EM_015_6">#REF!</definedName>
    <definedName name="EM_015_7" localSheetId="17">#REF!</definedName>
    <definedName name="EM_015_7" localSheetId="15">#REF!</definedName>
    <definedName name="EM_015_7" localSheetId="3">#REF!</definedName>
    <definedName name="EM_015_7">#REF!</definedName>
    <definedName name="EM_015_8" localSheetId="17">#REF!</definedName>
    <definedName name="EM_015_8" localSheetId="15">#REF!</definedName>
    <definedName name="EM_015_8" localSheetId="3">#REF!</definedName>
    <definedName name="EM_015_8">#REF!</definedName>
    <definedName name="EM_015_9" localSheetId="17">#REF!</definedName>
    <definedName name="EM_015_9" localSheetId="15">#REF!</definedName>
    <definedName name="EM_015_9" localSheetId="3">#REF!</definedName>
    <definedName name="EM_015_9">#REF!</definedName>
    <definedName name="EM_016_1" localSheetId="17">#REF!</definedName>
    <definedName name="EM_016_1" localSheetId="15">#REF!</definedName>
    <definedName name="EM_016_1" localSheetId="3">#REF!</definedName>
    <definedName name="EM_016_1">#REF!</definedName>
    <definedName name="EM_016_10" localSheetId="17">#REF!</definedName>
    <definedName name="EM_016_10" localSheetId="15">#REF!</definedName>
    <definedName name="EM_016_10" localSheetId="3">#REF!</definedName>
    <definedName name="EM_016_10">#REF!</definedName>
    <definedName name="EM_016_11" localSheetId="17">#REF!</definedName>
    <definedName name="EM_016_11" localSheetId="15">#REF!</definedName>
    <definedName name="EM_016_11" localSheetId="3">#REF!</definedName>
    <definedName name="EM_016_11">#REF!</definedName>
    <definedName name="EM_016_12" localSheetId="17">#REF!</definedName>
    <definedName name="EM_016_12" localSheetId="15">#REF!</definedName>
    <definedName name="EM_016_12" localSheetId="3">#REF!</definedName>
    <definedName name="EM_016_12">#REF!</definedName>
    <definedName name="EM_016_13" localSheetId="17">#REF!</definedName>
    <definedName name="EM_016_13" localSheetId="15">#REF!</definedName>
    <definedName name="EM_016_13" localSheetId="3">#REF!</definedName>
    <definedName name="EM_016_13">#REF!</definedName>
    <definedName name="EM_016_14" localSheetId="17">#REF!</definedName>
    <definedName name="EM_016_14" localSheetId="15">#REF!</definedName>
    <definedName name="EM_016_14" localSheetId="3">#REF!</definedName>
    <definedName name="EM_016_14">#REF!</definedName>
    <definedName name="EM_016_15" localSheetId="17">#REF!</definedName>
    <definedName name="EM_016_15" localSheetId="15">#REF!</definedName>
    <definedName name="EM_016_15" localSheetId="3">#REF!</definedName>
    <definedName name="EM_016_15">#REF!</definedName>
    <definedName name="EM_016_16" localSheetId="17">#REF!</definedName>
    <definedName name="EM_016_16" localSheetId="15">#REF!</definedName>
    <definedName name="EM_016_16" localSheetId="3">#REF!</definedName>
    <definedName name="EM_016_16">#REF!</definedName>
    <definedName name="EM_016_17" localSheetId="17">#REF!</definedName>
    <definedName name="EM_016_17" localSheetId="15">#REF!</definedName>
    <definedName name="EM_016_17" localSheetId="3">#REF!</definedName>
    <definedName name="EM_016_17">#REF!</definedName>
    <definedName name="EM_016_18" localSheetId="17">#REF!</definedName>
    <definedName name="EM_016_18" localSheetId="15">#REF!</definedName>
    <definedName name="EM_016_18" localSheetId="3">#REF!</definedName>
    <definedName name="EM_016_18">#REF!</definedName>
    <definedName name="EM_016_2" localSheetId="17">#REF!</definedName>
    <definedName name="EM_016_2" localSheetId="15">#REF!</definedName>
    <definedName name="EM_016_2" localSheetId="3">#REF!</definedName>
    <definedName name="EM_016_2">#REF!</definedName>
    <definedName name="EM_016_3" localSheetId="17">#REF!</definedName>
    <definedName name="EM_016_3" localSheetId="15">#REF!</definedName>
    <definedName name="EM_016_3" localSheetId="3">#REF!</definedName>
    <definedName name="EM_016_3">#REF!</definedName>
    <definedName name="EM_016_4" localSheetId="17">#REF!</definedName>
    <definedName name="EM_016_4" localSheetId="15">#REF!</definedName>
    <definedName name="EM_016_4" localSheetId="3">#REF!</definedName>
    <definedName name="EM_016_4">#REF!</definedName>
    <definedName name="EM_016_5" localSheetId="17">#REF!</definedName>
    <definedName name="EM_016_5" localSheetId="15">#REF!</definedName>
    <definedName name="EM_016_5" localSheetId="3">#REF!</definedName>
    <definedName name="EM_016_5">#REF!</definedName>
    <definedName name="EM_016_6" localSheetId="17">#REF!</definedName>
    <definedName name="EM_016_6" localSheetId="15">#REF!</definedName>
    <definedName name="EM_016_6" localSheetId="3">#REF!</definedName>
    <definedName name="EM_016_6">#REF!</definedName>
    <definedName name="EM_016_7" localSheetId="17">#REF!</definedName>
    <definedName name="EM_016_7" localSheetId="15">#REF!</definedName>
    <definedName name="EM_016_7" localSheetId="3">#REF!</definedName>
    <definedName name="EM_016_7">#REF!</definedName>
    <definedName name="EM_016_8" localSheetId="17">#REF!</definedName>
    <definedName name="EM_016_8" localSheetId="15">#REF!</definedName>
    <definedName name="EM_016_8" localSheetId="3">#REF!</definedName>
    <definedName name="EM_016_8">#REF!</definedName>
    <definedName name="EM_016_9" localSheetId="17">#REF!</definedName>
    <definedName name="EM_016_9" localSheetId="15">#REF!</definedName>
    <definedName name="EM_016_9" localSheetId="3">#REF!</definedName>
    <definedName name="EM_016_9">#REF!</definedName>
    <definedName name="EM_017_1" localSheetId="17">#REF!</definedName>
    <definedName name="EM_017_1" localSheetId="15">#REF!</definedName>
    <definedName name="EM_017_1" localSheetId="3">#REF!</definedName>
    <definedName name="EM_017_1">#REF!</definedName>
    <definedName name="EM_017_10" localSheetId="17">#REF!</definedName>
    <definedName name="EM_017_10" localSheetId="15">#REF!</definedName>
    <definedName name="EM_017_10" localSheetId="3">#REF!</definedName>
    <definedName name="EM_017_10">#REF!</definedName>
    <definedName name="EM_017_11" localSheetId="17">#REF!</definedName>
    <definedName name="EM_017_11" localSheetId="15">#REF!</definedName>
    <definedName name="EM_017_11" localSheetId="3">#REF!</definedName>
    <definedName name="EM_017_11">#REF!</definedName>
    <definedName name="EM_017_12" localSheetId="17">#REF!</definedName>
    <definedName name="EM_017_12" localSheetId="15">#REF!</definedName>
    <definedName name="EM_017_12" localSheetId="3">#REF!</definedName>
    <definedName name="EM_017_12">#REF!</definedName>
    <definedName name="EM_017_13" localSheetId="17">#REF!</definedName>
    <definedName name="EM_017_13" localSheetId="15">#REF!</definedName>
    <definedName name="EM_017_13" localSheetId="3">#REF!</definedName>
    <definedName name="EM_017_13">#REF!</definedName>
    <definedName name="EM_017_14" localSheetId="17">#REF!</definedName>
    <definedName name="EM_017_14" localSheetId="15">#REF!</definedName>
    <definedName name="EM_017_14" localSheetId="3">#REF!</definedName>
    <definedName name="EM_017_14">#REF!</definedName>
    <definedName name="EM_017_15" localSheetId="17">#REF!</definedName>
    <definedName name="EM_017_15" localSheetId="15">#REF!</definedName>
    <definedName name="EM_017_15" localSheetId="3">#REF!</definedName>
    <definedName name="EM_017_15">#REF!</definedName>
    <definedName name="EM_017_16" localSheetId="17">#REF!</definedName>
    <definedName name="EM_017_16" localSheetId="15">#REF!</definedName>
    <definedName name="EM_017_16" localSheetId="3">#REF!</definedName>
    <definedName name="EM_017_16">#REF!</definedName>
    <definedName name="EM_017_17" localSheetId="17">#REF!</definedName>
    <definedName name="EM_017_17" localSheetId="15">#REF!</definedName>
    <definedName name="EM_017_17" localSheetId="3">#REF!</definedName>
    <definedName name="EM_017_17">#REF!</definedName>
    <definedName name="EM_017_18" localSheetId="17">#REF!</definedName>
    <definedName name="EM_017_18" localSheetId="15">#REF!</definedName>
    <definedName name="EM_017_18" localSheetId="3">#REF!</definedName>
    <definedName name="EM_017_18">#REF!</definedName>
    <definedName name="EM_017_2" localSheetId="17">#REF!</definedName>
    <definedName name="EM_017_2" localSheetId="15">#REF!</definedName>
    <definedName name="EM_017_2" localSheetId="3">#REF!</definedName>
    <definedName name="EM_017_2">#REF!</definedName>
    <definedName name="EM_017_3" localSheetId="17">#REF!</definedName>
    <definedName name="EM_017_3" localSheetId="15">#REF!</definedName>
    <definedName name="EM_017_3" localSheetId="3">#REF!</definedName>
    <definedName name="EM_017_3">#REF!</definedName>
    <definedName name="EM_017_4" localSheetId="17">#REF!</definedName>
    <definedName name="EM_017_4" localSheetId="15">#REF!</definedName>
    <definedName name="EM_017_4" localSheetId="3">#REF!</definedName>
    <definedName name="EM_017_4">#REF!</definedName>
    <definedName name="EM_017_5" localSheetId="17">#REF!</definedName>
    <definedName name="EM_017_5" localSheetId="15">#REF!</definedName>
    <definedName name="EM_017_5" localSheetId="3">#REF!</definedName>
    <definedName name="EM_017_5">#REF!</definedName>
    <definedName name="EM_017_6" localSheetId="17">#REF!</definedName>
    <definedName name="EM_017_6" localSheetId="15">#REF!</definedName>
    <definedName name="EM_017_6" localSheetId="3">#REF!</definedName>
    <definedName name="EM_017_6">#REF!</definedName>
    <definedName name="EM_017_7" localSheetId="17">#REF!</definedName>
    <definedName name="EM_017_7" localSheetId="15">#REF!</definedName>
    <definedName name="EM_017_7" localSheetId="3">#REF!</definedName>
    <definedName name="EM_017_7">#REF!</definedName>
    <definedName name="EM_017_8" localSheetId="17">#REF!</definedName>
    <definedName name="EM_017_8" localSheetId="15">#REF!</definedName>
    <definedName name="EM_017_8" localSheetId="3">#REF!</definedName>
    <definedName name="EM_017_8">#REF!</definedName>
    <definedName name="EM_017_9" localSheetId="17">#REF!</definedName>
    <definedName name="EM_017_9" localSheetId="15">#REF!</definedName>
    <definedName name="EM_017_9" localSheetId="3">#REF!</definedName>
    <definedName name="EM_017_9">#REF!</definedName>
    <definedName name="EM_018_1" localSheetId="17">#REF!</definedName>
    <definedName name="EM_018_1" localSheetId="15">#REF!</definedName>
    <definedName name="EM_018_1" localSheetId="3">#REF!</definedName>
    <definedName name="EM_018_1">#REF!</definedName>
    <definedName name="EM_018_10" localSheetId="17">#REF!</definedName>
    <definedName name="EM_018_10" localSheetId="15">#REF!</definedName>
    <definedName name="EM_018_10" localSheetId="3">#REF!</definedName>
    <definedName name="EM_018_10">#REF!</definedName>
    <definedName name="EM_018_11" localSheetId="17">#REF!</definedName>
    <definedName name="EM_018_11" localSheetId="15">#REF!</definedName>
    <definedName name="EM_018_11" localSheetId="3">#REF!</definedName>
    <definedName name="EM_018_11">#REF!</definedName>
    <definedName name="EM_018_12" localSheetId="17">#REF!</definedName>
    <definedName name="EM_018_12" localSheetId="15">#REF!</definedName>
    <definedName name="EM_018_12" localSheetId="3">#REF!</definedName>
    <definedName name="EM_018_12">#REF!</definedName>
    <definedName name="EM_018_13" localSheetId="17">#REF!</definedName>
    <definedName name="EM_018_13" localSheetId="15">#REF!</definedName>
    <definedName name="EM_018_13" localSheetId="3">#REF!</definedName>
    <definedName name="EM_018_13">#REF!</definedName>
    <definedName name="EM_018_14" localSheetId="17">#REF!</definedName>
    <definedName name="EM_018_14" localSheetId="15">#REF!</definedName>
    <definedName name="EM_018_14" localSheetId="3">#REF!</definedName>
    <definedName name="EM_018_14">#REF!</definedName>
    <definedName name="EM_018_15" localSheetId="17">#REF!</definedName>
    <definedName name="EM_018_15" localSheetId="15">#REF!</definedName>
    <definedName name="EM_018_15" localSheetId="3">#REF!</definedName>
    <definedName name="EM_018_15">#REF!</definedName>
    <definedName name="EM_018_16" localSheetId="17">#REF!</definedName>
    <definedName name="EM_018_16" localSheetId="15">#REF!</definedName>
    <definedName name="EM_018_16" localSheetId="3">#REF!</definedName>
    <definedName name="EM_018_16">#REF!</definedName>
    <definedName name="EM_018_17" localSheetId="17">#REF!</definedName>
    <definedName name="EM_018_17" localSheetId="15">#REF!</definedName>
    <definedName name="EM_018_17" localSheetId="3">#REF!</definedName>
    <definedName name="EM_018_17">#REF!</definedName>
    <definedName name="EM_018_18" localSheetId="17">#REF!</definedName>
    <definedName name="EM_018_18" localSheetId="15">#REF!</definedName>
    <definedName name="EM_018_18" localSheetId="3">#REF!</definedName>
    <definedName name="EM_018_18">#REF!</definedName>
    <definedName name="EM_018_2" localSheetId="17">#REF!</definedName>
    <definedName name="EM_018_2" localSheetId="15">#REF!</definedName>
    <definedName name="EM_018_2" localSheetId="3">#REF!</definedName>
    <definedName name="EM_018_2">#REF!</definedName>
    <definedName name="EM_018_3" localSheetId="17">#REF!</definedName>
    <definedName name="EM_018_3" localSheetId="15">#REF!</definedName>
    <definedName name="EM_018_3" localSheetId="3">#REF!</definedName>
    <definedName name="EM_018_3">#REF!</definedName>
    <definedName name="EM_018_4" localSheetId="17">#REF!</definedName>
    <definedName name="EM_018_4" localSheetId="15">#REF!</definedName>
    <definedName name="EM_018_4" localSheetId="3">#REF!</definedName>
    <definedName name="EM_018_4">#REF!</definedName>
    <definedName name="EM_018_5" localSheetId="17">#REF!</definedName>
    <definedName name="EM_018_5" localSheetId="15">#REF!</definedName>
    <definedName name="EM_018_5" localSheetId="3">#REF!</definedName>
    <definedName name="EM_018_5">#REF!</definedName>
    <definedName name="EM_018_6" localSheetId="17">#REF!</definedName>
    <definedName name="EM_018_6" localSheetId="15">#REF!</definedName>
    <definedName name="EM_018_6" localSheetId="3">#REF!</definedName>
    <definedName name="EM_018_6">#REF!</definedName>
    <definedName name="EM_018_7" localSheetId="17">#REF!</definedName>
    <definedName name="EM_018_7" localSheetId="15">#REF!</definedName>
    <definedName name="EM_018_7" localSheetId="3">#REF!</definedName>
    <definedName name="EM_018_7">#REF!</definedName>
    <definedName name="EM_018_8" localSheetId="17">#REF!</definedName>
    <definedName name="EM_018_8" localSheetId="15">#REF!</definedName>
    <definedName name="EM_018_8" localSheetId="3">#REF!</definedName>
    <definedName name="EM_018_8">#REF!</definedName>
    <definedName name="EM_018_9" localSheetId="17">#REF!</definedName>
    <definedName name="EM_018_9" localSheetId="15">#REF!</definedName>
    <definedName name="EM_018_9" localSheetId="3">#REF!</definedName>
    <definedName name="EM_018_9">#REF!</definedName>
    <definedName name="EM_019_1" localSheetId="17">#REF!</definedName>
    <definedName name="EM_019_1" localSheetId="15">#REF!</definedName>
    <definedName name="EM_019_1" localSheetId="3">#REF!</definedName>
    <definedName name="EM_019_1">#REF!</definedName>
    <definedName name="EM_019_10" localSheetId="17">#REF!</definedName>
    <definedName name="EM_019_10" localSheetId="15">#REF!</definedName>
    <definedName name="EM_019_10" localSheetId="3">#REF!</definedName>
    <definedName name="EM_019_10">#REF!</definedName>
    <definedName name="EM_019_11" localSheetId="17">#REF!</definedName>
    <definedName name="EM_019_11" localSheetId="15">#REF!</definedName>
    <definedName name="EM_019_11" localSheetId="3">#REF!</definedName>
    <definedName name="EM_019_11">#REF!</definedName>
    <definedName name="EM_019_12" localSheetId="17">#REF!</definedName>
    <definedName name="EM_019_12" localSheetId="15">#REF!</definedName>
    <definedName name="EM_019_12" localSheetId="3">#REF!</definedName>
    <definedName name="EM_019_12">#REF!</definedName>
    <definedName name="EM_019_13" localSheetId="17">#REF!</definedName>
    <definedName name="EM_019_13" localSheetId="15">#REF!</definedName>
    <definedName name="EM_019_13" localSheetId="3">#REF!</definedName>
    <definedName name="EM_019_13">#REF!</definedName>
    <definedName name="EM_019_14" localSheetId="17">#REF!</definedName>
    <definedName name="EM_019_14" localSheetId="15">#REF!</definedName>
    <definedName name="EM_019_14" localSheetId="3">#REF!</definedName>
    <definedName name="EM_019_14">#REF!</definedName>
    <definedName name="EM_019_15" localSheetId="17">#REF!</definedName>
    <definedName name="EM_019_15" localSheetId="15">#REF!</definedName>
    <definedName name="EM_019_15" localSheetId="3">#REF!</definedName>
    <definedName name="EM_019_15">#REF!</definedName>
    <definedName name="EM_019_16" localSheetId="17">#REF!</definedName>
    <definedName name="EM_019_16" localSheetId="15">#REF!</definedName>
    <definedName name="EM_019_16" localSheetId="3">#REF!</definedName>
    <definedName name="EM_019_16">#REF!</definedName>
    <definedName name="EM_019_17" localSheetId="17">#REF!</definedName>
    <definedName name="EM_019_17" localSheetId="15">#REF!</definedName>
    <definedName name="EM_019_17" localSheetId="3">#REF!</definedName>
    <definedName name="EM_019_17">#REF!</definedName>
    <definedName name="EM_019_18" localSheetId="17">#REF!</definedName>
    <definedName name="EM_019_18" localSheetId="15">#REF!</definedName>
    <definedName name="EM_019_18" localSheetId="3">#REF!</definedName>
    <definedName name="EM_019_18">#REF!</definedName>
    <definedName name="EM_019_2" localSheetId="17">#REF!</definedName>
    <definedName name="EM_019_2" localSheetId="15">#REF!</definedName>
    <definedName name="EM_019_2" localSheetId="3">#REF!</definedName>
    <definedName name="EM_019_2">#REF!</definedName>
    <definedName name="EM_019_3" localSheetId="17">#REF!</definedName>
    <definedName name="EM_019_3" localSheetId="15">#REF!</definedName>
    <definedName name="EM_019_3" localSheetId="3">#REF!</definedName>
    <definedName name="EM_019_3">#REF!</definedName>
    <definedName name="EM_019_4" localSheetId="17">#REF!</definedName>
    <definedName name="EM_019_4" localSheetId="15">#REF!</definedName>
    <definedName name="EM_019_4" localSheetId="3">#REF!</definedName>
    <definedName name="EM_019_4">#REF!</definedName>
    <definedName name="EM_019_5" localSheetId="17">#REF!</definedName>
    <definedName name="EM_019_5" localSheetId="15">#REF!</definedName>
    <definedName name="EM_019_5" localSheetId="3">#REF!</definedName>
    <definedName name="EM_019_5">#REF!</definedName>
    <definedName name="EM_019_6" localSheetId="17">#REF!</definedName>
    <definedName name="EM_019_6" localSheetId="15">#REF!</definedName>
    <definedName name="EM_019_6" localSheetId="3">#REF!</definedName>
    <definedName name="EM_019_6">#REF!</definedName>
    <definedName name="EM_019_7" localSheetId="17">#REF!</definedName>
    <definedName name="EM_019_7" localSheetId="15">#REF!</definedName>
    <definedName name="EM_019_7" localSheetId="3">#REF!</definedName>
    <definedName name="EM_019_7">#REF!</definedName>
    <definedName name="EM_019_8" localSheetId="17">#REF!</definedName>
    <definedName name="EM_019_8" localSheetId="15">#REF!</definedName>
    <definedName name="EM_019_8" localSheetId="3">#REF!</definedName>
    <definedName name="EM_019_8">#REF!</definedName>
    <definedName name="EM_019_9" localSheetId="17">#REF!</definedName>
    <definedName name="EM_019_9" localSheetId="15">#REF!</definedName>
    <definedName name="EM_019_9" localSheetId="3">#REF!</definedName>
    <definedName name="EM_019_9">#REF!</definedName>
    <definedName name="EM_020_1" localSheetId="17">#REF!</definedName>
    <definedName name="EM_020_1" localSheetId="15">#REF!</definedName>
    <definedName name="EM_020_1" localSheetId="3">#REF!</definedName>
    <definedName name="EM_020_1">#REF!</definedName>
    <definedName name="EM_020_10" localSheetId="17">#REF!</definedName>
    <definedName name="EM_020_10" localSheetId="15">#REF!</definedName>
    <definedName name="EM_020_10" localSheetId="3">#REF!</definedName>
    <definedName name="EM_020_10">#REF!</definedName>
    <definedName name="EM_020_11" localSheetId="17">#REF!</definedName>
    <definedName name="EM_020_11" localSheetId="15">#REF!</definedName>
    <definedName name="EM_020_11" localSheetId="3">#REF!</definedName>
    <definedName name="EM_020_11">#REF!</definedName>
    <definedName name="EM_020_12" localSheetId="17">#REF!</definedName>
    <definedName name="EM_020_12" localSheetId="15">#REF!</definedName>
    <definedName name="EM_020_12" localSheetId="3">#REF!</definedName>
    <definedName name="EM_020_12">#REF!</definedName>
    <definedName name="EM_020_13" localSheetId="17">#REF!</definedName>
    <definedName name="EM_020_13" localSheetId="15">#REF!</definedName>
    <definedName name="EM_020_13" localSheetId="3">#REF!</definedName>
    <definedName name="EM_020_13">#REF!</definedName>
    <definedName name="EM_020_14" localSheetId="17">#REF!</definedName>
    <definedName name="EM_020_14" localSheetId="15">#REF!</definedName>
    <definedName name="EM_020_14" localSheetId="3">#REF!</definedName>
    <definedName name="EM_020_14">#REF!</definedName>
    <definedName name="EM_020_15" localSheetId="17">#REF!</definedName>
    <definedName name="EM_020_15" localSheetId="15">#REF!</definedName>
    <definedName name="EM_020_15" localSheetId="3">#REF!</definedName>
    <definedName name="EM_020_15">#REF!</definedName>
    <definedName name="EM_020_16" localSheetId="17">#REF!</definedName>
    <definedName name="EM_020_16" localSheetId="15">#REF!</definedName>
    <definedName name="EM_020_16" localSheetId="3">#REF!</definedName>
    <definedName name="EM_020_16">#REF!</definedName>
    <definedName name="EM_020_17" localSheetId="17">#REF!</definedName>
    <definedName name="EM_020_17" localSheetId="15">#REF!</definedName>
    <definedName name="EM_020_17" localSheetId="3">#REF!</definedName>
    <definedName name="EM_020_17">#REF!</definedName>
    <definedName name="EM_020_18" localSheetId="17">#REF!</definedName>
    <definedName name="EM_020_18" localSheetId="15">#REF!</definedName>
    <definedName name="EM_020_18" localSheetId="3">#REF!</definedName>
    <definedName name="EM_020_18">#REF!</definedName>
    <definedName name="EM_020_2" localSheetId="17">#REF!</definedName>
    <definedName name="EM_020_2" localSheetId="15">#REF!</definedName>
    <definedName name="EM_020_2" localSheetId="3">#REF!</definedName>
    <definedName name="EM_020_2">#REF!</definedName>
    <definedName name="EM_020_3" localSheetId="17">#REF!</definedName>
    <definedName name="EM_020_3" localSheetId="15">#REF!</definedName>
    <definedName name="EM_020_3" localSheetId="3">#REF!</definedName>
    <definedName name="EM_020_3">#REF!</definedName>
    <definedName name="EM_020_4" localSheetId="17">#REF!</definedName>
    <definedName name="EM_020_4" localSheetId="15">#REF!</definedName>
    <definedName name="EM_020_4" localSheetId="3">#REF!</definedName>
    <definedName name="EM_020_4">#REF!</definedName>
    <definedName name="EM_020_5" localSheetId="17">#REF!</definedName>
    <definedName name="EM_020_5" localSheetId="15">#REF!</definedName>
    <definedName name="EM_020_5" localSheetId="3">#REF!</definedName>
    <definedName name="EM_020_5">#REF!</definedName>
    <definedName name="EM_020_6" localSheetId="17">#REF!</definedName>
    <definedName name="EM_020_6" localSheetId="15">#REF!</definedName>
    <definedName name="EM_020_6" localSheetId="3">#REF!</definedName>
    <definedName name="EM_020_6">#REF!</definedName>
    <definedName name="EM_020_7" localSheetId="17">#REF!</definedName>
    <definedName name="EM_020_7" localSheetId="15">#REF!</definedName>
    <definedName name="EM_020_7" localSheetId="3">#REF!</definedName>
    <definedName name="EM_020_7">#REF!</definedName>
    <definedName name="EM_020_8" localSheetId="17">#REF!</definedName>
    <definedName name="EM_020_8" localSheetId="15">#REF!</definedName>
    <definedName name="EM_020_8" localSheetId="3">#REF!</definedName>
    <definedName name="EM_020_8">#REF!</definedName>
    <definedName name="EM_020_9" localSheetId="17">#REF!</definedName>
    <definedName name="EM_020_9" localSheetId="15">#REF!</definedName>
    <definedName name="EM_020_9" localSheetId="3">#REF!</definedName>
    <definedName name="EM_020_9">#REF!</definedName>
    <definedName name="EM_021_1" localSheetId="17">#REF!</definedName>
    <definedName name="EM_021_1" localSheetId="15">#REF!</definedName>
    <definedName name="EM_021_1" localSheetId="3">#REF!</definedName>
    <definedName name="EM_021_1">#REF!</definedName>
    <definedName name="EM_021_10" localSheetId="17">#REF!</definedName>
    <definedName name="EM_021_10" localSheetId="15">#REF!</definedName>
    <definedName name="EM_021_10" localSheetId="3">#REF!</definedName>
    <definedName name="EM_021_10">#REF!</definedName>
    <definedName name="EM_021_11" localSheetId="17">#REF!</definedName>
    <definedName name="EM_021_11" localSheetId="15">#REF!</definedName>
    <definedName name="EM_021_11" localSheetId="3">#REF!</definedName>
    <definedName name="EM_021_11">#REF!</definedName>
    <definedName name="EM_021_12" localSheetId="17">#REF!</definedName>
    <definedName name="EM_021_12" localSheetId="15">#REF!</definedName>
    <definedName name="EM_021_12" localSheetId="3">#REF!</definedName>
    <definedName name="EM_021_12">#REF!</definedName>
    <definedName name="EM_021_13" localSheetId="17">#REF!</definedName>
    <definedName name="EM_021_13" localSheetId="15">#REF!</definedName>
    <definedName name="EM_021_13" localSheetId="3">#REF!</definedName>
    <definedName name="EM_021_13">#REF!</definedName>
    <definedName name="EM_021_14" localSheetId="17">#REF!</definedName>
    <definedName name="EM_021_14" localSheetId="15">#REF!</definedName>
    <definedName name="EM_021_14" localSheetId="3">#REF!</definedName>
    <definedName name="EM_021_14">#REF!</definedName>
    <definedName name="EM_021_15" localSheetId="17">#REF!</definedName>
    <definedName name="EM_021_15" localSheetId="15">#REF!</definedName>
    <definedName name="EM_021_15" localSheetId="3">#REF!</definedName>
    <definedName name="EM_021_15">#REF!</definedName>
    <definedName name="EM_021_16" localSheetId="17">#REF!</definedName>
    <definedName name="EM_021_16" localSheetId="15">#REF!</definedName>
    <definedName name="EM_021_16" localSheetId="3">#REF!</definedName>
    <definedName name="EM_021_16">#REF!</definedName>
    <definedName name="EM_021_17" localSheetId="17">#REF!</definedName>
    <definedName name="EM_021_17" localSheetId="15">#REF!</definedName>
    <definedName name="EM_021_17" localSheetId="3">#REF!</definedName>
    <definedName name="EM_021_17">#REF!</definedName>
    <definedName name="EM_021_18" localSheetId="17">#REF!</definedName>
    <definedName name="EM_021_18" localSheetId="15">#REF!</definedName>
    <definedName name="EM_021_18" localSheetId="3">#REF!</definedName>
    <definedName name="EM_021_18">#REF!</definedName>
    <definedName name="EM_021_2" localSheetId="17">#REF!</definedName>
    <definedName name="EM_021_2" localSheetId="15">#REF!</definedName>
    <definedName name="EM_021_2" localSheetId="3">#REF!</definedName>
    <definedName name="EM_021_2">#REF!</definedName>
    <definedName name="EM_021_3" localSheetId="17">#REF!</definedName>
    <definedName name="EM_021_3" localSheetId="15">#REF!</definedName>
    <definedName name="EM_021_3" localSheetId="3">#REF!</definedName>
    <definedName name="EM_021_3">#REF!</definedName>
    <definedName name="EM_021_4" localSheetId="17">#REF!</definedName>
    <definedName name="EM_021_4" localSheetId="15">#REF!</definedName>
    <definedName name="EM_021_4" localSheetId="3">#REF!</definedName>
    <definedName name="EM_021_4">#REF!</definedName>
    <definedName name="EM_021_5" localSheetId="17">#REF!</definedName>
    <definedName name="EM_021_5" localSheetId="15">#REF!</definedName>
    <definedName name="EM_021_5" localSheetId="3">#REF!</definedName>
    <definedName name="EM_021_5">#REF!</definedName>
    <definedName name="EM_021_6" localSheetId="17">#REF!</definedName>
    <definedName name="EM_021_6" localSheetId="15">#REF!</definedName>
    <definedName name="EM_021_6" localSheetId="3">#REF!</definedName>
    <definedName name="EM_021_6">#REF!</definedName>
    <definedName name="EM_021_7" localSheetId="17">#REF!</definedName>
    <definedName name="EM_021_7" localSheetId="15">#REF!</definedName>
    <definedName name="EM_021_7" localSheetId="3">#REF!</definedName>
    <definedName name="EM_021_7">#REF!</definedName>
    <definedName name="EM_021_8" localSheetId="17">#REF!</definedName>
    <definedName name="EM_021_8" localSheetId="15">#REF!</definedName>
    <definedName name="EM_021_8" localSheetId="3">#REF!</definedName>
    <definedName name="EM_021_8">#REF!</definedName>
    <definedName name="EM_021_9" localSheetId="17">#REF!</definedName>
    <definedName name="EM_021_9" localSheetId="15">#REF!</definedName>
    <definedName name="EM_021_9" localSheetId="3">#REF!</definedName>
    <definedName name="EM_021_9">#REF!</definedName>
    <definedName name="EM_022_1" localSheetId="17">#REF!</definedName>
    <definedName name="EM_022_1" localSheetId="15">#REF!</definedName>
    <definedName name="EM_022_1" localSheetId="3">#REF!</definedName>
    <definedName name="EM_022_1">#REF!</definedName>
    <definedName name="EM_022_10" localSheetId="17">#REF!</definedName>
    <definedName name="EM_022_10" localSheetId="15">#REF!</definedName>
    <definedName name="EM_022_10" localSheetId="3">#REF!</definedName>
    <definedName name="EM_022_10">#REF!</definedName>
    <definedName name="EM_022_11" localSheetId="17">#REF!</definedName>
    <definedName name="EM_022_11" localSheetId="15">#REF!</definedName>
    <definedName name="EM_022_11" localSheetId="3">#REF!</definedName>
    <definedName name="EM_022_11">#REF!</definedName>
    <definedName name="EM_022_12" localSheetId="17">#REF!</definedName>
    <definedName name="EM_022_12" localSheetId="15">#REF!</definedName>
    <definedName name="EM_022_12" localSheetId="3">#REF!</definedName>
    <definedName name="EM_022_12">#REF!</definedName>
    <definedName name="EM_022_13" localSheetId="17">#REF!</definedName>
    <definedName name="EM_022_13" localSheetId="15">#REF!</definedName>
    <definedName name="EM_022_13" localSheetId="3">#REF!</definedName>
    <definedName name="EM_022_13">#REF!</definedName>
    <definedName name="EM_022_14" localSheetId="17">#REF!</definedName>
    <definedName name="EM_022_14" localSheetId="15">#REF!</definedName>
    <definedName name="EM_022_14" localSheetId="3">#REF!</definedName>
    <definedName name="EM_022_14">#REF!</definedName>
    <definedName name="EM_022_15" localSheetId="17">#REF!</definedName>
    <definedName name="EM_022_15" localSheetId="15">#REF!</definedName>
    <definedName name="EM_022_15" localSheetId="3">#REF!</definedName>
    <definedName name="EM_022_15">#REF!</definedName>
    <definedName name="EM_022_16" localSheetId="17">#REF!</definedName>
    <definedName name="EM_022_16" localSheetId="15">#REF!</definedName>
    <definedName name="EM_022_16" localSheetId="3">#REF!</definedName>
    <definedName name="EM_022_16">#REF!</definedName>
    <definedName name="EM_022_17" localSheetId="17">#REF!</definedName>
    <definedName name="EM_022_17" localSheetId="15">#REF!</definedName>
    <definedName name="EM_022_17" localSheetId="3">#REF!</definedName>
    <definedName name="EM_022_17">#REF!</definedName>
    <definedName name="EM_022_18" localSheetId="17">#REF!</definedName>
    <definedName name="EM_022_18" localSheetId="15">#REF!</definedName>
    <definedName name="EM_022_18" localSheetId="3">#REF!</definedName>
    <definedName name="EM_022_18">#REF!</definedName>
    <definedName name="EM_022_2" localSheetId="17">#REF!</definedName>
    <definedName name="EM_022_2" localSheetId="15">#REF!</definedName>
    <definedName name="EM_022_2" localSheetId="3">#REF!</definedName>
    <definedName name="EM_022_2">#REF!</definedName>
    <definedName name="EM_022_3" localSheetId="17">#REF!</definedName>
    <definedName name="EM_022_3" localSheetId="15">#REF!</definedName>
    <definedName name="EM_022_3" localSheetId="3">#REF!</definedName>
    <definedName name="EM_022_3">#REF!</definedName>
    <definedName name="EM_022_4" localSheetId="17">#REF!</definedName>
    <definedName name="EM_022_4" localSheetId="15">#REF!</definedName>
    <definedName name="EM_022_4" localSheetId="3">#REF!</definedName>
    <definedName name="EM_022_4">#REF!</definedName>
    <definedName name="EM_022_5" localSheetId="17">#REF!</definedName>
    <definedName name="EM_022_5" localSheetId="15">#REF!</definedName>
    <definedName name="EM_022_5" localSheetId="3">#REF!</definedName>
    <definedName name="EM_022_5">#REF!</definedName>
    <definedName name="EM_022_6" localSheetId="17">#REF!</definedName>
    <definedName name="EM_022_6" localSheetId="15">#REF!</definedName>
    <definedName name="EM_022_6" localSheetId="3">#REF!</definedName>
    <definedName name="EM_022_6">#REF!</definedName>
    <definedName name="EM_022_7" localSheetId="17">#REF!</definedName>
    <definedName name="EM_022_7" localSheetId="15">#REF!</definedName>
    <definedName name="EM_022_7" localSheetId="3">#REF!</definedName>
    <definedName name="EM_022_7">#REF!</definedName>
    <definedName name="EM_022_8" localSheetId="17">#REF!</definedName>
    <definedName name="EM_022_8" localSheetId="15">#REF!</definedName>
    <definedName name="EM_022_8" localSheetId="3">#REF!</definedName>
    <definedName name="EM_022_8">#REF!</definedName>
    <definedName name="EM_022_9" localSheetId="17">#REF!</definedName>
    <definedName name="EM_022_9" localSheetId="15">#REF!</definedName>
    <definedName name="EM_022_9" localSheetId="3">#REF!</definedName>
    <definedName name="EM_022_9">#REF!</definedName>
    <definedName name="EM_023_1" localSheetId="17">#REF!</definedName>
    <definedName name="EM_023_1" localSheetId="15">#REF!</definedName>
    <definedName name="EM_023_1" localSheetId="3">#REF!</definedName>
    <definedName name="EM_023_1">#REF!</definedName>
    <definedName name="EM_023_10" localSheetId="17">#REF!</definedName>
    <definedName name="EM_023_10" localSheetId="15">#REF!</definedName>
    <definedName name="EM_023_10" localSheetId="3">#REF!</definedName>
    <definedName name="EM_023_10">#REF!</definedName>
    <definedName name="EM_023_11" localSheetId="17">#REF!</definedName>
    <definedName name="EM_023_11" localSheetId="15">#REF!</definedName>
    <definedName name="EM_023_11" localSheetId="3">#REF!</definedName>
    <definedName name="EM_023_11">#REF!</definedName>
    <definedName name="EM_023_12" localSheetId="17">#REF!</definedName>
    <definedName name="EM_023_12" localSheetId="15">#REF!</definedName>
    <definedName name="EM_023_12" localSheetId="3">#REF!</definedName>
    <definedName name="EM_023_12">#REF!</definedName>
    <definedName name="EM_023_13" localSheetId="17">#REF!</definedName>
    <definedName name="EM_023_13" localSheetId="15">#REF!</definedName>
    <definedName name="EM_023_13" localSheetId="3">#REF!</definedName>
    <definedName name="EM_023_13">#REF!</definedName>
    <definedName name="EM_023_14" localSheetId="17">#REF!</definedName>
    <definedName name="EM_023_14" localSheetId="15">#REF!</definedName>
    <definedName name="EM_023_14" localSheetId="3">#REF!</definedName>
    <definedName name="EM_023_14">#REF!</definedName>
    <definedName name="EM_023_15" localSheetId="17">#REF!</definedName>
    <definedName name="EM_023_15" localSheetId="15">#REF!</definedName>
    <definedName name="EM_023_15" localSheetId="3">#REF!</definedName>
    <definedName name="EM_023_15">#REF!</definedName>
    <definedName name="EM_023_16" localSheetId="17">#REF!</definedName>
    <definedName name="EM_023_16" localSheetId="15">#REF!</definedName>
    <definedName name="EM_023_16" localSheetId="3">#REF!</definedName>
    <definedName name="EM_023_16">#REF!</definedName>
    <definedName name="EM_023_17" localSheetId="17">#REF!</definedName>
    <definedName name="EM_023_17" localSheetId="15">#REF!</definedName>
    <definedName name="EM_023_17" localSheetId="3">#REF!</definedName>
    <definedName name="EM_023_17">#REF!</definedName>
    <definedName name="EM_023_18" localSheetId="17">#REF!</definedName>
    <definedName name="EM_023_18" localSheetId="15">#REF!</definedName>
    <definedName name="EM_023_18" localSheetId="3">#REF!</definedName>
    <definedName name="EM_023_18">#REF!</definedName>
    <definedName name="EM_023_2" localSheetId="17">#REF!</definedName>
    <definedName name="EM_023_2" localSheetId="15">#REF!</definedName>
    <definedName name="EM_023_2" localSheetId="3">#REF!</definedName>
    <definedName name="EM_023_2">#REF!</definedName>
    <definedName name="EM_023_3" localSheetId="17">#REF!</definedName>
    <definedName name="EM_023_3" localSheetId="15">#REF!</definedName>
    <definedName name="EM_023_3" localSheetId="3">#REF!</definedName>
    <definedName name="EM_023_3">#REF!</definedName>
    <definedName name="EM_023_4" localSheetId="17">#REF!</definedName>
    <definedName name="EM_023_4" localSheetId="15">#REF!</definedName>
    <definedName name="EM_023_4" localSheetId="3">#REF!</definedName>
    <definedName name="EM_023_4">#REF!</definedName>
    <definedName name="EM_023_5" localSheetId="17">#REF!</definedName>
    <definedName name="EM_023_5" localSheetId="15">#REF!</definedName>
    <definedName name="EM_023_5" localSheetId="3">#REF!</definedName>
    <definedName name="EM_023_5">#REF!</definedName>
    <definedName name="EM_023_6" localSheetId="17">#REF!</definedName>
    <definedName name="EM_023_6" localSheetId="15">#REF!</definedName>
    <definedName name="EM_023_6" localSheetId="3">#REF!</definedName>
    <definedName name="EM_023_6">#REF!</definedName>
    <definedName name="EM_023_7" localSheetId="17">#REF!</definedName>
    <definedName name="EM_023_7" localSheetId="15">#REF!</definedName>
    <definedName name="EM_023_7" localSheetId="3">#REF!</definedName>
    <definedName name="EM_023_7">#REF!</definedName>
    <definedName name="EM_023_8" localSheetId="17">#REF!</definedName>
    <definedName name="EM_023_8" localSheetId="15">#REF!</definedName>
    <definedName name="EM_023_8" localSheetId="3">#REF!</definedName>
    <definedName name="EM_023_8">#REF!</definedName>
    <definedName name="EM_023_9" localSheetId="17">#REF!</definedName>
    <definedName name="EM_023_9" localSheetId="15">#REF!</definedName>
    <definedName name="EM_023_9" localSheetId="3">#REF!</definedName>
    <definedName name="EM_023_9">#REF!</definedName>
    <definedName name="EM_024_1" localSheetId="17">#REF!</definedName>
    <definedName name="EM_024_1" localSheetId="15">#REF!</definedName>
    <definedName name="EM_024_1" localSheetId="3">#REF!</definedName>
    <definedName name="EM_024_1">#REF!</definedName>
    <definedName name="EM_024_10" localSheetId="17">#REF!</definedName>
    <definedName name="EM_024_10" localSheetId="15">#REF!</definedName>
    <definedName name="EM_024_10" localSheetId="3">#REF!</definedName>
    <definedName name="EM_024_10">#REF!</definedName>
    <definedName name="EM_024_11" localSheetId="17">#REF!</definedName>
    <definedName name="EM_024_11" localSheetId="15">#REF!</definedName>
    <definedName name="EM_024_11" localSheetId="3">#REF!</definedName>
    <definedName name="EM_024_11">#REF!</definedName>
    <definedName name="EM_024_12" localSheetId="17">#REF!</definedName>
    <definedName name="EM_024_12" localSheetId="15">#REF!</definedName>
    <definedName name="EM_024_12" localSheetId="3">#REF!</definedName>
    <definedName name="EM_024_12">#REF!</definedName>
    <definedName name="EM_024_13" localSheetId="17">#REF!</definedName>
    <definedName name="EM_024_13" localSheetId="15">#REF!</definedName>
    <definedName name="EM_024_13" localSheetId="3">#REF!</definedName>
    <definedName name="EM_024_13">#REF!</definedName>
    <definedName name="EM_024_14" localSheetId="17">#REF!</definedName>
    <definedName name="EM_024_14" localSheetId="15">#REF!</definedName>
    <definedName name="EM_024_14" localSheetId="3">#REF!</definedName>
    <definedName name="EM_024_14">#REF!</definedName>
    <definedName name="EM_024_15" localSheetId="17">#REF!</definedName>
    <definedName name="EM_024_15" localSheetId="15">#REF!</definedName>
    <definedName name="EM_024_15" localSheetId="3">#REF!</definedName>
    <definedName name="EM_024_15">#REF!</definedName>
    <definedName name="EM_024_16" localSheetId="17">#REF!</definedName>
    <definedName name="EM_024_16" localSheetId="15">#REF!</definedName>
    <definedName name="EM_024_16" localSheetId="3">#REF!</definedName>
    <definedName name="EM_024_16">#REF!</definedName>
    <definedName name="EM_024_17" localSheetId="17">#REF!</definedName>
    <definedName name="EM_024_17" localSheetId="15">#REF!</definedName>
    <definedName name="EM_024_17" localSheetId="3">#REF!</definedName>
    <definedName name="EM_024_17">#REF!</definedName>
    <definedName name="EM_024_18" localSheetId="17">#REF!</definedName>
    <definedName name="EM_024_18" localSheetId="15">#REF!</definedName>
    <definedName name="EM_024_18" localSheetId="3">#REF!</definedName>
    <definedName name="EM_024_18">#REF!</definedName>
    <definedName name="EM_024_2" localSheetId="17">#REF!</definedName>
    <definedName name="EM_024_2" localSheetId="15">#REF!</definedName>
    <definedName name="EM_024_2" localSheetId="3">#REF!</definedName>
    <definedName name="EM_024_2">#REF!</definedName>
    <definedName name="EM_024_3" localSheetId="17">#REF!</definedName>
    <definedName name="EM_024_3" localSheetId="15">#REF!</definedName>
    <definedName name="EM_024_3" localSheetId="3">#REF!</definedName>
    <definedName name="EM_024_3">#REF!</definedName>
    <definedName name="EM_024_4" localSheetId="17">#REF!</definedName>
    <definedName name="EM_024_4" localSheetId="15">#REF!</definedName>
    <definedName name="EM_024_4" localSheetId="3">#REF!</definedName>
    <definedName name="EM_024_4">#REF!</definedName>
    <definedName name="EM_024_5" localSheetId="17">#REF!</definedName>
    <definedName name="EM_024_5" localSheetId="15">#REF!</definedName>
    <definedName name="EM_024_5" localSheetId="3">#REF!</definedName>
    <definedName name="EM_024_5">#REF!</definedName>
    <definedName name="EM_024_6" localSheetId="17">#REF!</definedName>
    <definedName name="EM_024_6" localSheetId="15">#REF!</definedName>
    <definedName name="EM_024_6" localSheetId="3">#REF!</definedName>
    <definedName name="EM_024_6">#REF!</definedName>
    <definedName name="EM_024_7" localSheetId="17">#REF!</definedName>
    <definedName name="EM_024_7" localSheetId="15">#REF!</definedName>
    <definedName name="EM_024_7" localSheetId="3">#REF!</definedName>
    <definedName name="EM_024_7">#REF!</definedName>
    <definedName name="EM_024_8" localSheetId="17">#REF!</definedName>
    <definedName name="EM_024_8" localSheetId="15">#REF!</definedName>
    <definedName name="EM_024_8" localSheetId="3">#REF!</definedName>
    <definedName name="EM_024_8">#REF!</definedName>
    <definedName name="EM_024_9" localSheetId="17">#REF!</definedName>
    <definedName name="EM_024_9" localSheetId="15">#REF!</definedName>
    <definedName name="EM_024_9" localSheetId="3">#REF!</definedName>
    <definedName name="EM_024_9">#REF!</definedName>
    <definedName name="EM_025_1" localSheetId="17">#REF!</definedName>
    <definedName name="EM_025_1" localSheetId="15">#REF!</definedName>
    <definedName name="EM_025_1" localSheetId="3">#REF!</definedName>
    <definedName name="EM_025_1">#REF!</definedName>
    <definedName name="EM_025_10" localSheetId="17">#REF!</definedName>
    <definedName name="EM_025_10" localSheetId="15">#REF!</definedName>
    <definedName name="EM_025_10" localSheetId="3">#REF!</definedName>
    <definedName name="EM_025_10">#REF!</definedName>
    <definedName name="EM_025_11" localSheetId="17">#REF!</definedName>
    <definedName name="EM_025_11" localSheetId="15">#REF!</definedName>
    <definedName name="EM_025_11" localSheetId="3">#REF!</definedName>
    <definedName name="EM_025_11">#REF!</definedName>
    <definedName name="EM_025_12" localSheetId="17">#REF!</definedName>
    <definedName name="EM_025_12" localSheetId="15">#REF!</definedName>
    <definedName name="EM_025_12" localSheetId="3">#REF!</definedName>
    <definedName name="EM_025_12">#REF!</definedName>
    <definedName name="EM_025_13" localSheetId="17">#REF!</definedName>
    <definedName name="EM_025_13" localSheetId="15">#REF!</definedName>
    <definedName name="EM_025_13" localSheetId="3">#REF!</definedName>
    <definedName name="EM_025_13">#REF!</definedName>
    <definedName name="EM_025_14" localSheetId="17">#REF!</definedName>
    <definedName name="EM_025_14" localSheetId="15">#REF!</definedName>
    <definedName name="EM_025_14" localSheetId="3">#REF!</definedName>
    <definedName name="EM_025_14">#REF!</definedName>
    <definedName name="EM_025_15" localSheetId="17">#REF!</definedName>
    <definedName name="EM_025_15" localSheetId="15">#REF!</definedName>
    <definedName name="EM_025_15" localSheetId="3">#REF!</definedName>
    <definedName name="EM_025_15">#REF!</definedName>
    <definedName name="EM_025_16" localSheetId="17">#REF!</definedName>
    <definedName name="EM_025_16" localSheetId="15">#REF!</definedName>
    <definedName name="EM_025_16" localSheetId="3">#REF!</definedName>
    <definedName name="EM_025_16">#REF!</definedName>
    <definedName name="EM_025_17" localSheetId="17">#REF!</definedName>
    <definedName name="EM_025_17" localSheetId="15">#REF!</definedName>
    <definedName name="EM_025_17" localSheetId="3">#REF!</definedName>
    <definedName name="EM_025_17">#REF!</definedName>
    <definedName name="EM_025_18" localSheetId="17">#REF!</definedName>
    <definedName name="EM_025_18" localSheetId="15">#REF!</definedName>
    <definedName name="EM_025_18" localSheetId="3">#REF!</definedName>
    <definedName name="EM_025_18">#REF!</definedName>
    <definedName name="EM_025_2" localSheetId="17">#REF!</definedName>
    <definedName name="EM_025_2" localSheetId="15">#REF!</definedName>
    <definedName name="EM_025_2" localSheetId="3">#REF!</definedName>
    <definedName name="EM_025_2">#REF!</definedName>
    <definedName name="EM_025_3" localSheetId="17">#REF!</definedName>
    <definedName name="EM_025_3" localSheetId="15">#REF!</definedName>
    <definedName name="EM_025_3" localSheetId="3">#REF!</definedName>
    <definedName name="EM_025_3">#REF!</definedName>
    <definedName name="EM_025_4" localSheetId="17">#REF!</definedName>
    <definedName name="EM_025_4" localSheetId="15">#REF!</definedName>
    <definedName name="EM_025_4" localSheetId="3">#REF!</definedName>
    <definedName name="EM_025_4">#REF!</definedName>
    <definedName name="EM_025_5" localSheetId="17">#REF!</definedName>
    <definedName name="EM_025_5" localSheetId="15">#REF!</definedName>
    <definedName name="EM_025_5" localSheetId="3">#REF!</definedName>
    <definedName name="EM_025_5">#REF!</definedName>
    <definedName name="EM_025_6" localSheetId="17">#REF!</definedName>
    <definedName name="EM_025_6" localSheetId="15">#REF!</definedName>
    <definedName name="EM_025_6" localSheetId="3">#REF!</definedName>
    <definedName name="EM_025_6">#REF!</definedName>
    <definedName name="EM_025_7" localSheetId="17">#REF!</definedName>
    <definedName name="EM_025_7" localSheetId="15">#REF!</definedName>
    <definedName name="EM_025_7" localSheetId="3">#REF!</definedName>
    <definedName name="EM_025_7">#REF!</definedName>
    <definedName name="EM_025_8" localSheetId="17">#REF!</definedName>
    <definedName name="EM_025_8" localSheetId="15">#REF!</definedName>
    <definedName name="EM_025_8" localSheetId="3">#REF!</definedName>
    <definedName name="EM_025_8">#REF!</definedName>
    <definedName name="EM_025_9" localSheetId="17">#REF!</definedName>
    <definedName name="EM_025_9" localSheetId="15">#REF!</definedName>
    <definedName name="EM_025_9" localSheetId="3">#REF!</definedName>
    <definedName name="EM_025_9">#REF!</definedName>
    <definedName name="EM_026_1" localSheetId="17">#REF!</definedName>
    <definedName name="EM_026_1" localSheetId="15">#REF!</definedName>
    <definedName name="EM_026_1" localSheetId="3">#REF!</definedName>
    <definedName name="EM_026_1">#REF!</definedName>
    <definedName name="EM_026_10" localSheetId="17">#REF!</definedName>
    <definedName name="EM_026_10" localSheetId="15">#REF!</definedName>
    <definedName name="EM_026_10" localSheetId="3">#REF!</definedName>
    <definedName name="EM_026_10">#REF!</definedName>
    <definedName name="EM_026_11" localSheetId="17">#REF!</definedName>
    <definedName name="EM_026_11" localSheetId="15">#REF!</definedName>
    <definedName name="EM_026_11" localSheetId="3">#REF!</definedName>
    <definedName name="EM_026_11">#REF!</definedName>
    <definedName name="EM_026_12" localSheetId="17">#REF!</definedName>
    <definedName name="EM_026_12" localSheetId="15">#REF!</definedName>
    <definedName name="EM_026_12" localSheetId="3">#REF!</definedName>
    <definedName name="EM_026_12">#REF!</definedName>
    <definedName name="EM_026_13" localSheetId="17">#REF!</definedName>
    <definedName name="EM_026_13" localSheetId="15">#REF!</definedName>
    <definedName name="EM_026_13" localSheetId="3">#REF!</definedName>
    <definedName name="EM_026_13">#REF!</definedName>
    <definedName name="EM_026_14" localSheetId="17">#REF!</definedName>
    <definedName name="EM_026_14" localSheetId="15">#REF!</definedName>
    <definedName name="EM_026_14" localSheetId="3">#REF!</definedName>
    <definedName name="EM_026_14">#REF!</definedName>
    <definedName name="EM_026_15" localSheetId="17">#REF!</definedName>
    <definedName name="EM_026_15" localSheetId="15">#REF!</definedName>
    <definedName name="EM_026_15" localSheetId="3">#REF!</definedName>
    <definedName name="EM_026_15">#REF!</definedName>
    <definedName name="EM_026_16" localSheetId="17">#REF!</definedName>
    <definedName name="EM_026_16" localSheetId="15">#REF!</definedName>
    <definedName name="EM_026_16" localSheetId="3">#REF!</definedName>
    <definedName name="EM_026_16">#REF!</definedName>
    <definedName name="EM_026_17" localSheetId="17">#REF!</definedName>
    <definedName name="EM_026_17" localSheetId="15">#REF!</definedName>
    <definedName name="EM_026_17" localSheetId="3">#REF!</definedName>
    <definedName name="EM_026_17">#REF!</definedName>
    <definedName name="EM_026_18" localSheetId="17">#REF!</definedName>
    <definedName name="EM_026_18" localSheetId="15">#REF!</definedName>
    <definedName name="EM_026_18" localSheetId="3">#REF!</definedName>
    <definedName name="EM_026_18">#REF!</definedName>
    <definedName name="EM_026_2" localSheetId="17">#REF!</definedName>
    <definedName name="EM_026_2" localSheetId="15">#REF!</definedName>
    <definedName name="EM_026_2" localSheetId="3">#REF!</definedName>
    <definedName name="EM_026_2">#REF!</definedName>
    <definedName name="EM_026_3" localSheetId="17">#REF!</definedName>
    <definedName name="EM_026_3" localSheetId="15">#REF!</definedName>
    <definedName name="EM_026_3" localSheetId="3">#REF!</definedName>
    <definedName name="EM_026_3">#REF!</definedName>
    <definedName name="EM_026_4" localSheetId="17">#REF!</definedName>
    <definedName name="EM_026_4" localSheetId="15">#REF!</definedName>
    <definedName name="EM_026_4" localSheetId="3">#REF!</definedName>
    <definedName name="EM_026_4">#REF!</definedName>
    <definedName name="EM_026_5" localSheetId="17">#REF!</definedName>
    <definedName name="EM_026_5" localSheetId="15">#REF!</definedName>
    <definedName name="EM_026_5" localSheetId="3">#REF!</definedName>
    <definedName name="EM_026_5">#REF!</definedName>
    <definedName name="EM_026_6" localSheetId="17">#REF!</definedName>
    <definedName name="EM_026_6" localSheetId="15">#REF!</definedName>
    <definedName name="EM_026_6" localSheetId="3">#REF!</definedName>
    <definedName name="EM_026_6">#REF!</definedName>
    <definedName name="EM_026_7" localSheetId="17">#REF!</definedName>
    <definedName name="EM_026_7" localSheetId="15">#REF!</definedName>
    <definedName name="EM_026_7" localSheetId="3">#REF!</definedName>
    <definedName name="EM_026_7">#REF!</definedName>
    <definedName name="EM_026_8" localSheetId="17">#REF!</definedName>
    <definedName name="EM_026_8" localSheetId="15">#REF!</definedName>
    <definedName name="EM_026_8" localSheetId="3">#REF!</definedName>
    <definedName name="EM_026_8">#REF!</definedName>
    <definedName name="EM_026_9" localSheetId="17">#REF!</definedName>
    <definedName name="EM_026_9" localSheetId="15">#REF!</definedName>
    <definedName name="EM_026_9" localSheetId="3">#REF!</definedName>
    <definedName name="EM_026_9">#REF!</definedName>
    <definedName name="EM_027_1" localSheetId="17">#REF!</definedName>
    <definedName name="EM_027_1" localSheetId="15">#REF!</definedName>
    <definedName name="EM_027_1" localSheetId="3">#REF!</definedName>
    <definedName name="EM_027_1">#REF!</definedName>
    <definedName name="EM_027_10" localSheetId="17">#REF!</definedName>
    <definedName name="EM_027_10" localSheetId="15">#REF!</definedName>
    <definedName name="EM_027_10" localSheetId="3">#REF!</definedName>
    <definedName name="EM_027_10">#REF!</definedName>
    <definedName name="EM_027_11" localSheetId="17">#REF!</definedName>
    <definedName name="EM_027_11" localSheetId="15">#REF!</definedName>
    <definedName name="EM_027_11" localSheetId="3">#REF!</definedName>
    <definedName name="EM_027_11">#REF!</definedName>
    <definedName name="EM_027_12" localSheetId="17">#REF!</definedName>
    <definedName name="EM_027_12" localSheetId="15">#REF!</definedName>
    <definedName name="EM_027_12" localSheetId="3">#REF!</definedName>
    <definedName name="EM_027_12">#REF!</definedName>
    <definedName name="EM_027_13" localSheetId="17">#REF!</definedName>
    <definedName name="EM_027_13" localSheetId="15">#REF!</definedName>
    <definedName name="EM_027_13" localSheetId="3">#REF!</definedName>
    <definedName name="EM_027_13">#REF!</definedName>
    <definedName name="EM_027_14" localSheetId="17">#REF!</definedName>
    <definedName name="EM_027_14" localSheetId="15">#REF!</definedName>
    <definedName name="EM_027_14" localSheetId="3">#REF!</definedName>
    <definedName name="EM_027_14">#REF!</definedName>
    <definedName name="EM_027_15" localSheetId="17">#REF!</definedName>
    <definedName name="EM_027_15" localSheetId="15">#REF!</definedName>
    <definedName name="EM_027_15" localSheetId="3">#REF!</definedName>
    <definedName name="EM_027_15">#REF!</definedName>
    <definedName name="EM_027_16" localSheetId="17">#REF!</definedName>
    <definedName name="EM_027_16" localSheetId="15">#REF!</definedName>
    <definedName name="EM_027_16" localSheetId="3">#REF!</definedName>
    <definedName name="EM_027_16">#REF!</definedName>
    <definedName name="EM_027_17" localSheetId="17">#REF!</definedName>
    <definedName name="EM_027_17" localSheetId="15">#REF!</definedName>
    <definedName name="EM_027_17" localSheetId="3">#REF!</definedName>
    <definedName name="EM_027_17">#REF!</definedName>
    <definedName name="EM_027_18" localSheetId="17">#REF!</definedName>
    <definedName name="EM_027_18" localSheetId="15">#REF!</definedName>
    <definedName name="EM_027_18" localSheetId="3">#REF!</definedName>
    <definedName name="EM_027_18">#REF!</definedName>
    <definedName name="EM_027_2" localSheetId="17">#REF!</definedName>
    <definedName name="EM_027_2" localSheetId="15">#REF!</definedName>
    <definedName name="EM_027_2" localSheetId="3">#REF!</definedName>
    <definedName name="EM_027_2">#REF!</definedName>
    <definedName name="EM_027_3" localSheetId="17">#REF!</definedName>
    <definedName name="EM_027_3" localSheetId="15">#REF!</definedName>
    <definedName name="EM_027_3" localSheetId="3">#REF!</definedName>
    <definedName name="EM_027_3">#REF!</definedName>
    <definedName name="EM_027_4" localSheetId="17">#REF!</definedName>
    <definedName name="EM_027_4" localSheetId="15">#REF!</definedName>
    <definedName name="EM_027_4" localSheetId="3">#REF!</definedName>
    <definedName name="EM_027_4">#REF!</definedName>
    <definedName name="EM_027_5" localSheetId="17">#REF!</definedName>
    <definedName name="EM_027_5" localSheetId="15">#REF!</definedName>
    <definedName name="EM_027_5" localSheetId="3">#REF!</definedName>
    <definedName name="EM_027_5">#REF!</definedName>
    <definedName name="EM_027_6" localSheetId="17">#REF!</definedName>
    <definedName name="EM_027_6" localSheetId="15">#REF!</definedName>
    <definedName name="EM_027_6" localSheetId="3">#REF!</definedName>
    <definedName name="EM_027_6">#REF!</definedName>
    <definedName name="EM_027_7" localSheetId="17">#REF!</definedName>
    <definedName name="EM_027_7" localSheetId="15">#REF!</definedName>
    <definedName name="EM_027_7" localSheetId="3">#REF!</definedName>
    <definedName name="EM_027_7">#REF!</definedName>
    <definedName name="EM_027_8" localSheetId="17">#REF!</definedName>
    <definedName name="EM_027_8" localSheetId="15">#REF!</definedName>
    <definedName name="EM_027_8" localSheetId="3">#REF!</definedName>
    <definedName name="EM_027_8">#REF!</definedName>
    <definedName name="EM_027_9" localSheetId="17">#REF!</definedName>
    <definedName name="EM_027_9" localSheetId="15">#REF!</definedName>
    <definedName name="EM_027_9" localSheetId="3">#REF!</definedName>
    <definedName name="EM_027_9">#REF!</definedName>
    <definedName name="EM_028_1" localSheetId="17">#REF!</definedName>
    <definedName name="EM_028_1" localSheetId="15">#REF!</definedName>
    <definedName name="EM_028_1" localSheetId="3">#REF!</definedName>
    <definedName name="EM_028_1">#REF!</definedName>
    <definedName name="EM_028_10" localSheetId="17">#REF!</definedName>
    <definedName name="EM_028_10" localSheetId="15">#REF!</definedName>
    <definedName name="EM_028_10" localSheetId="3">#REF!</definedName>
    <definedName name="EM_028_10">#REF!</definedName>
    <definedName name="EM_028_11" localSheetId="17">#REF!</definedName>
    <definedName name="EM_028_11" localSheetId="15">#REF!</definedName>
    <definedName name="EM_028_11" localSheetId="3">#REF!</definedName>
    <definedName name="EM_028_11">#REF!</definedName>
    <definedName name="EM_028_12" localSheetId="17">#REF!</definedName>
    <definedName name="EM_028_12" localSheetId="15">#REF!</definedName>
    <definedName name="EM_028_12" localSheetId="3">#REF!</definedName>
    <definedName name="EM_028_12">#REF!</definedName>
    <definedName name="EM_028_13" localSheetId="17">#REF!</definedName>
    <definedName name="EM_028_13" localSheetId="15">#REF!</definedName>
    <definedName name="EM_028_13" localSheetId="3">#REF!</definedName>
    <definedName name="EM_028_13">#REF!</definedName>
    <definedName name="EM_028_14" localSheetId="17">#REF!</definedName>
    <definedName name="EM_028_14" localSheetId="15">#REF!</definedName>
    <definedName name="EM_028_14" localSheetId="3">#REF!</definedName>
    <definedName name="EM_028_14">#REF!</definedName>
    <definedName name="EM_028_15" localSheetId="17">#REF!</definedName>
    <definedName name="EM_028_15" localSheetId="15">#REF!</definedName>
    <definedName name="EM_028_15" localSheetId="3">#REF!</definedName>
    <definedName name="EM_028_15">#REF!</definedName>
    <definedName name="EM_028_16" localSheetId="17">#REF!</definedName>
    <definedName name="EM_028_16" localSheetId="15">#REF!</definedName>
    <definedName name="EM_028_16" localSheetId="3">#REF!</definedName>
    <definedName name="EM_028_16">#REF!</definedName>
    <definedName name="EM_028_17" localSheetId="17">#REF!</definedName>
    <definedName name="EM_028_17" localSheetId="15">#REF!</definedName>
    <definedName name="EM_028_17" localSheetId="3">#REF!</definedName>
    <definedName name="EM_028_17">#REF!</definedName>
    <definedName name="EM_028_18" localSheetId="17">#REF!</definedName>
    <definedName name="EM_028_18" localSheetId="15">#REF!</definedName>
    <definedName name="EM_028_18" localSheetId="3">#REF!</definedName>
    <definedName name="EM_028_18">#REF!</definedName>
    <definedName name="EM_028_2" localSheetId="17">#REF!</definedName>
    <definedName name="EM_028_2" localSheetId="15">#REF!</definedName>
    <definedName name="EM_028_2" localSheetId="3">#REF!</definedName>
    <definedName name="EM_028_2">#REF!</definedName>
    <definedName name="EM_028_3" localSheetId="17">#REF!</definedName>
    <definedName name="EM_028_3" localSheetId="15">#REF!</definedName>
    <definedName name="EM_028_3" localSheetId="3">#REF!</definedName>
    <definedName name="EM_028_3">#REF!</definedName>
    <definedName name="EM_028_4" localSheetId="17">#REF!</definedName>
    <definedName name="EM_028_4" localSheetId="15">#REF!</definedName>
    <definedName name="EM_028_4" localSheetId="3">#REF!</definedName>
    <definedName name="EM_028_4">#REF!</definedName>
    <definedName name="EM_028_5" localSheetId="17">#REF!</definedName>
    <definedName name="EM_028_5" localSheetId="15">#REF!</definedName>
    <definedName name="EM_028_5" localSheetId="3">#REF!</definedName>
    <definedName name="EM_028_5">#REF!</definedName>
    <definedName name="EM_028_6" localSheetId="17">#REF!</definedName>
    <definedName name="EM_028_6" localSheetId="15">#REF!</definedName>
    <definedName name="EM_028_6" localSheetId="3">#REF!</definedName>
    <definedName name="EM_028_6">#REF!</definedName>
    <definedName name="EM_028_7" localSheetId="17">#REF!</definedName>
    <definedName name="EM_028_7" localSheetId="15">#REF!</definedName>
    <definedName name="EM_028_7" localSheetId="3">#REF!</definedName>
    <definedName name="EM_028_7">#REF!</definedName>
    <definedName name="EM_028_8" localSheetId="17">#REF!</definedName>
    <definedName name="EM_028_8" localSheetId="15">#REF!</definedName>
    <definedName name="EM_028_8" localSheetId="3">#REF!</definedName>
    <definedName name="EM_028_8">#REF!</definedName>
    <definedName name="EM_028_9" localSheetId="17">#REF!</definedName>
    <definedName name="EM_028_9" localSheetId="15">#REF!</definedName>
    <definedName name="EM_028_9" localSheetId="3">#REF!</definedName>
    <definedName name="EM_028_9">#REF!</definedName>
    <definedName name="EM_029_1" localSheetId="17">#REF!</definedName>
    <definedName name="EM_029_1" localSheetId="15">#REF!</definedName>
    <definedName name="EM_029_1" localSheetId="3">#REF!</definedName>
    <definedName name="EM_029_1">#REF!</definedName>
    <definedName name="EM_029_10" localSheetId="17">#REF!</definedName>
    <definedName name="EM_029_10" localSheetId="15">#REF!</definedName>
    <definedName name="EM_029_10" localSheetId="3">#REF!</definedName>
    <definedName name="EM_029_10">#REF!</definedName>
    <definedName name="EM_029_11" localSheetId="17">#REF!</definedName>
    <definedName name="EM_029_11" localSheetId="15">#REF!</definedName>
    <definedName name="EM_029_11" localSheetId="3">#REF!</definedName>
    <definedName name="EM_029_11">#REF!</definedName>
    <definedName name="EM_029_12" localSheetId="17">#REF!</definedName>
    <definedName name="EM_029_12" localSheetId="15">#REF!</definedName>
    <definedName name="EM_029_12" localSheetId="3">#REF!</definedName>
    <definedName name="EM_029_12">#REF!</definedName>
    <definedName name="EM_029_13" localSheetId="17">#REF!</definedName>
    <definedName name="EM_029_13" localSheetId="15">#REF!</definedName>
    <definedName name="EM_029_13" localSheetId="3">#REF!</definedName>
    <definedName name="EM_029_13">#REF!</definedName>
    <definedName name="EM_029_14" localSheetId="17">#REF!</definedName>
    <definedName name="EM_029_14" localSheetId="15">#REF!</definedName>
    <definedName name="EM_029_14" localSheetId="3">#REF!</definedName>
    <definedName name="EM_029_14">#REF!</definedName>
    <definedName name="EM_029_15" localSheetId="17">#REF!</definedName>
    <definedName name="EM_029_15" localSheetId="15">#REF!</definedName>
    <definedName name="EM_029_15" localSheetId="3">#REF!</definedName>
    <definedName name="EM_029_15">#REF!</definedName>
    <definedName name="EM_029_16" localSheetId="17">#REF!</definedName>
    <definedName name="EM_029_16" localSheetId="15">#REF!</definedName>
    <definedName name="EM_029_16" localSheetId="3">#REF!</definedName>
    <definedName name="EM_029_16">#REF!</definedName>
    <definedName name="EM_029_17" localSheetId="17">#REF!</definedName>
    <definedName name="EM_029_17" localSheetId="15">#REF!</definedName>
    <definedName name="EM_029_17" localSheetId="3">#REF!</definedName>
    <definedName name="EM_029_17">#REF!</definedName>
    <definedName name="EM_029_18" localSheetId="17">#REF!</definedName>
    <definedName name="EM_029_18" localSheetId="15">#REF!</definedName>
    <definedName name="EM_029_18" localSheetId="3">#REF!</definedName>
    <definedName name="EM_029_18">#REF!</definedName>
    <definedName name="EM_029_2" localSheetId="17">#REF!</definedName>
    <definedName name="EM_029_2" localSheetId="15">#REF!</definedName>
    <definedName name="EM_029_2" localSheetId="3">#REF!</definedName>
    <definedName name="EM_029_2">#REF!</definedName>
    <definedName name="EM_029_3" localSheetId="17">#REF!</definedName>
    <definedName name="EM_029_3" localSheetId="15">#REF!</definedName>
    <definedName name="EM_029_3" localSheetId="3">#REF!</definedName>
    <definedName name="EM_029_3">#REF!</definedName>
    <definedName name="EM_029_4" localSheetId="17">#REF!</definedName>
    <definedName name="EM_029_4" localSheetId="15">#REF!</definedName>
    <definedName name="EM_029_4" localSheetId="3">#REF!</definedName>
    <definedName name="EM_029_4">#REF!</definedName>
    <definedName name="EM_029_5" localSheetId="17">#REF!</definedName>
    <definedName name="EM_029_5" localSheetId="15">#REF!</definedName>
    <definedName name="EM_029_5" localSheetId="3">#REF!</definedName>
    <definedName name="EM_029_5">#REF!</definedName>
    <definedName name="EM_029_6" localSheetId="17">#REF!</definedName>
    <definedName name="EM_029_6" localSheetId="15">#REF!</definedName>
    <definedName name="EM_029_6" localSheetId="3">#REF!</definedName>
    <definedName name="EM_029_6">#REF!</definedName>
    <definedName name="EM_029_7" localSheetId="17">#REF!</definedName>
    <definedName name="EM_029_7" localSheetId="15">#REF!</definedName>
    <definedName name="EM_029_7" localSheetId="3">#REF!</definedName>
    <definedName name="EM_029_7">#REF!</definedName>
    <definedName name="EM_029_8" localSheetId="17">#REF!</definedName>
    <definedName name="EM_029_8" localSheetId="15">#REF!</definedName>
    <definedName name="EM_029_8" localSheetId="3">#REF!</definedName>
    <definedName name="EM_029_8">#REF!</definedName>
    <definedName name="EM_029_9" localSheetId="17">#REF!</definedName>
    <definedName name="EM_029_9" localSheetId="15">#REF!</definedName>
    <definedName name="EM_029_9" localSheetId="3">#REF!</definedName>
    <definedName name="EM_029_9">#REF!</definedName>
    <definedName name="EM_030_1" localSheetId="17">#REF!</definedName>
    <definedName name="EM_030_1" localSheetId="15">#REF!</definedName>
    <definedName name="EM_030_1" localSheetId="3">#REF!</definedName>
    <definedName name="EM_030_1">#REF!</definedName>
    <definedName name="EM_030_10" localSheetId="17">#REF!</definedName>
    <definedName name="EM_030_10" localSheetId="15">#REF!</definedName>
    <definedName name="EM_030_10" localSheetId="3">#REF!</definedName>
    <definedName name="EM_030_10">#REF!</definedName>
    <definedName name="EM_030_11" localSheetId="17">#REF!</definedName>
    <definedName name="EM_030_11" localSheetId="15">#REF!</definedName>
    <definedName name="EM_030_11" localSheetId="3">#REF!</definedName>
    <definedName name="EM_030_11">#REF!</definedName>
    <definedName name="EM_030_12" localSheetId="17">#REF!</definedName>
    <definedName name="EM_030_12" localSheetId="15">#REF!</definedName>
    <definedName name="EM_030_12" localSheetId="3">#REF!</definedName>
    <definedName name="EM_030_12">#REF!</definedName>
    <definedName name="EM_030_13" localSheetId="17">#REF!</definedName>
    <definedName name="EM_030_13" localSheetId="15">#REF!</definedName>
    <definedName name="EM_030_13" localSheetId="3">#REF!</definedName>
    <definedName name="EM_030_13">#REF!</definedName>
    <definedName name="EM_030_14" localSheetId="17">#REF!</definedName>
    <definedName name="EM_030_14" localSheetId="15">#REF!</definedName>
    <definedName name="EM_030_14" localSheetId="3">#REF!</definedName>
    <definedName name="EM_030_14">#REF!</definedName>
    <definedName name="EM_030_15" localSheetId="17">#REF!</definedName>
    <definedName name="EM_030_15" localSheetId="15">#REF!</definedName>
    <definedName name="EM_030_15" localSheetId="3">#REF!</definedName>
    <definedName name="EM_030_15">#REF!</definedName>
    <definedName name="EM_030_16" localSheetId="17">#REF!</definedName>
    <definedName name="EM_030_16" localSheetId="15">#REF!</definedName>
    <definedName name="EM_030_16" localSheetId="3">#REF!</definedName>
    <definedName name="EM_030_16">#REF!</definedName>
    <definedName name="EM_030_17" localSheetId="17">#REF!</definedName>
    <definedName name="EM_030_17" localSheetId="15">#REF!</definedName>
    <definedName name="EM_030_17" localSheetId="3">#REF!</definedName>
    <definedName name="EM_030_17">#REF!</definedName>
    <definedName name="EM_030_18" localSheetId="17">#REF!</definedName>
    <definedName name="EM_030_18" localSheetId="15">#REF!</definedName>
    <definedName name="EM_030_18" localSheetId="3">#REF!</definedName>
    <definedName name="EM_030_18">#REF!</definedName>
    <definedName name="EM_030_2" localSheetId="17">#REF!</definedName>
    <definedName name="EM_030_2" localSheetId="15">#REF!</definedName>
    <definedName name="EM_030_2" localSheetId="3">#REF!</definedName>
    <definedName name="EM_030_2">#REF!</definedName>
    <definedName name="EM_030_3" localSheetId="17">#REF!</definedName>
    <definedName name="EM_030_3" localSheetId="15">#REF!</definedName>
    <definedName name="EM_030_3" localSheetId="3">#REF!</definedName>
    <definedName name="EM_030_3">#REF!</definedName>
    <definedName name="EM_030_4" localSheetId="17">#REF!</definedName>
    <definedName name="EM_030_4" localSheetId="15">#REF!</definedName>
    <definedName name="EM_030_4" localSheetId="3">#REF!</definedName>
    <definedName name="EM_030_4">#REF!</definedName>
    <definedName name="EM_030_5" localSheetId="17">#REF!</definedName>
    <definedName name="EM_030_5" localSheetId="15">#REF!</definedName>
    <definedName name="EM_030_5" localSheetId="3">#REF!</definedName>
    <definedName name="EM_030_5">#REF!</definedName>
    <definedName name="EM_030_6" localSheetId="17">#REF!</definedName>
    <definedName name="EM_030_6" localSheetId="15">#REF!</definedName>
    <definedName name="EM_030_6" localSheetId="3">#REF!</definedName>
    <definedName name="EM_030_6">#REF!</definedName>
    <definedName name="EM_030_7" localSheetId="17">#REF!</definedName>
    <definedName name="EM_030_7" localSheetId="15">#REF!</definedName>
    <definedName name="EM_030_7" localSheetId="3">#REF!</definedName>
    <definedName name="EM_030_7">#REF!</definedName>
    <definedName name="EM_030_8" localSheetId="17">#REF!</definedName>
    <definedName name="EM_030_8" localSheetId="15">#REF!</definedName>
    <definedName name="EM_030_8" localSheetId="3">#REF!</definedName>
    <definedName name="EM_030_8">#REF!</definedName>
    <definedName name="EM_030_9" localSheetId="17">#REF!</definedName>
    <definedName name="EM_030_9" localSheetId="15">#REF!</definedName>
    <definedName name="EM_030_9" localSheetId="3">#REF!</definedName>
    <definedName name="EM_030_9">#REF!</definedName>
    <definedName name="EM_031_1" localSheetId="17">#REF!</definedName>
    <definedName name="EM_031_1" localSheetId="15">#REF!</definedName>
    <definedName name="EM_031_1" localSheetId="3">#REF!</definedName>
    <definedName name="EM_031_1">#REF!</definedName>
    <definedName name="EM_031_10" localSheetId="17">#REF!</definedName>
    <definedName name="EM_031_10" localSheetId="15">#REF!</definedName>
    <definedName name="EM_031_10" localSheetId="3">#REF!</definedName>
    <definedName name="EM_031_10">#REF!</definedName>
    <definedName name="EM_031_11" localSheetId="17">#REF!</definedName>
    <definedName name="EM_031_11" localSheetId="15">#REF!</definedName>
    <definedName name="EM_031_11" localSheetId="3">#REF!</definedName>
    <definedName name="EM_031_11">#REF!</definedName>
    <definedName name="EM_031_12" localSheetId="17">#REF!</definedName>
    <definedName name="EM_031_12" localSheetId="15">#REF!</definedName>
    <definedName name="EM_031_12" localSheetId="3">#REF!</definedName>
    <definedName name="EM_031_12">#REF!</definedName>
    <definedName name="EM_031_13" localSheetId="17">#REF!</definedName>
    <definedName name="EM_031_13" localSheetId="15">#REF!</definedName>
    <definedName name="EM_031_13" localSheetId="3">#REF!</definedName>
    <definedName name="EM_031_13">#REF!</definedName>
    <definedName name="EM_031_14" localSheetId="17">#REF!</definedName>
    <definedName name="EM_031_14" localSheetId="15">#REF!</definedName>
    <definedName name="EM_031_14" localSheetId="3">#REF!</definedName>
    <definedName name="EM_031_14">#REF!</definedName>
    <definedName name="EM_031_15" localSheetId="17">#REF!</definedName>
    <definedName name="EM_031_15" localSheetId="15">#REF!</definedName>
    <definedName name="EM_031_15" localSheetId="3">#REF!</definedName>
    <definedName name="EM_031_15">#REF!</definedName>
    <definedName name="EM_031_16" localSheetId="17">#REF!</definedName>
    <definedName name="EM_031_16" localSheetId="15">#REF!</definedName>
    <definedName name="EM_031_16" localSheetId="3">#REF!</definedName>
    <definedName name="EM_031_16">#REF!</definedName>
    <definedName name="EM_031_17" localSheetId="17">#REF!</definedName>
    <definedName name="EM_031_17" localSheetId="15">#REF!</definedName>
    <definedName name="EM_031_17" localSheetId="3">#REF!</definedName>
    <definedName name="EM_031_17">#REF!</definedName>
    <definedName name="EM_031_18" localSheetId="17">#REF!</definedName>
    <definedName name="EM_031_18" localSheetId="15">#REF!</definedName>
    <definedName name="EM_031_18" localSheetId="3">#REF!</definedName>
    <definedName name="EM_031_18">#REF!</definedName>
    <definedName name="EM_031_2" localSheetId="17">#REF!</definedName>
    <definedName name="EM_031_2" localSheetId="15">#REF!</definedName>
    <definedName name="EM_031_2" localSheetId="3">#REF!</definedName>
    <definedName name="EM_031_2">#REF!</definedName>
    <definedName name="EM_031_3" localSheetId="17">#REF!</definedName>
    <definedName name="EM_031_3" localSheetId="15">#REF!</definedName>
    <definedName name="EM_031_3" localSheetId="3">#REF!</definedName>
    <definedName name="EM_031_3">#REF!</definedName>
    <definedName name="EM_031_4" localSheetId="17">#REF!</definedName>
    <definedName name="EM_031_4" localSheetId="15">#REF!</definedName>
    <definedName name="EM_031_4" localSheetId="3">#REF!</definedName>
    <definedName name="EM_031_4">#REF!</definedName>
    <definedName name="EM_031_5" localSheetId="17">#REF!</definedName>
    <definedName name="EM_031_5" localSheetId="15">#REF!</definedName>
    <definedName name="EM_031_5" localSheetId="3">#REF!</definedName>
    <definedName name="EM_031_5">#REF!</definedName>
    <definedName name="EM_031_6" localSheetId="17">#REF!</definedName>
    <definedName name="EM_031_6" localSheetId="15">#REF!</definedName>
    <definedName name="EM_031_6" localSheetId="3">#REF!</definedName>
    <definedName name="EM_031_6">#REF!</definedName>
    <definedName name="EM_031_7" localSheetId="17">#REF!</definedName>
    <definedName name="EM_031_7" localSheetId="15">#REF!</definedName>
    <definedName name="EM_031_7" localSheetId="3">#REF!</definedName>
    <definedName name="EM_031_7">#REF!</definedName>
    <definedName name="EM_031_8" localSheetId="17">#REF!</definedName>
    <definedName name="EM_031_8" localSheetId="15">#REF!</definedName>
    <definedName name="EM_031_8" localSheetId="3">#REF!</definedName>
    <definedName name="EM_031_8">#REF!</definedName>
    <definedName name="EM_031_9" localSheetId="17">#REF!</definedName>
    <definedName name="EM_031_9" localSheetId="15">#REF!</definedName>
    <definedName name="EM_031_9" localSheetId="3">#REF!</definedName>
    <definedName name="EM_031_9">#REF!</definedName>
    <definedName name="EM_032_1" localSheetId="17">#REF!</definedName>
    <definedName name="EM_032_1" localSheetId="15">#REF!</definedName>
    <definedName name="EM_032_1" localSheetId="3">#REF!</definedName>
    <definedName name="EM_032_1">#REF!</definedName>
    <definedName name="EM_032_10" localSheetId="17">#REF!</definedName>
    <definedName name="EM_032_10" localSheetId="15">#REF!</definedName>
    <definedName name="EM_032_10" localSheetId="3">#REF!</definedName>
    <definedName name="EM_032_10">#REF!</definedName>
    <definedName name="EM_032_11" localSheetId="17">#REF!</definedName>
    <definedName name="EM_032_11" localSheetId="15">#REF!</definedName>
    <definedName name="EM_032_11" localSheetId="3">#REF!</definedName>
    <definedName name="EM_032_11">#REF!</definedName>
    <definedName name="EM_032_12" localSheetId="17">#REF!</definedName>
    <definedName name="EM_032_12" localSheetId="15">#REF!</definedName>
    <definedName name="EM_032_12" localSheetId="3">#REF!</definedName>
    <definedName name="EM_032_12">#REF!</definedName>
    <definedName name="EM_032_13" localSheetId="17">#REF!</definedName>
    <definedName name="EM_032_13" localSheetId="15">#REF!</definedName>
    <definedName name="EM_032_13" localSheetId="3">#REF!</definedName>
    <definedName name="EM_032_13">#REF!</definedName>
    <definedName name="EM_032_14" localSheetId="17">#REF!</definedName>
    <definedName name="EM_032_14" localSheetId="15">#REF!</definedName>
    <definedName name="EM_032_14" localSheetId="3">#REF!</definedName>
    <definedName name="EM_032_14">#REF!</definedName>
    <definedName name="EM_032_15" localSheetId="17">#REF!</definedName>
    <definedName name="EM_032_15" localSheetId="15">#REF!</definedName>
    <definedName name="EM_032_15" localSheetId="3">#REF!</definedName>
    <definedName name="EM_032_15">#REF!</definedName>
    <definedName name="EM_032_16" localSheetId="17">#REF!</definedName>
    <definedName name="EM_032_16" localSheetId="15">#REF!</definedName>
    <definedName name="EM_032_16" localSheetId="3">#REF!</definedName>
    <definedName name="EM_032_16">#REF!</definedName>
    <definedName name="EM_032_17" localSheetId="17">#REF!</definedName>
    <definedName name="EM_032_17" localSheetId="15">#REF!</definedName>
    <definedName name="EM_032_17" localSheetId="3">#REF!</definedName>
    <definedName name="EM_032_17">#REF!</definedName>
    <definedName name="EM_032_18" localSheetId="17">#REF!</definedName>
    <definedName name="EM_032_18" localSheetId="15">#REF!</definedName>
    <definedName name="EM_032_18" localSheetId="3">#REF!</definedName>
    <definedName name="EM_032_18">#REF!</definedName>
    <definedName name="EM_032_2" localSheetId="17">#REF!</definedName>
    <definedName name="EM_032_2" localSheetId="15">#REF!</definedName>
    <definedName name="EM_032_2" localSheetId="3">#REF!</definedName>
    <definedName name="EM_032_2">#REF!</definedName>
    <definedName name="EM_032_3" localSheetId="17">#REF!</definedName>
    <definedName name="EM_032_3" localSheetId="15">#REF!</definedName>
    <definedName name="EM_032_3" localSheetId="3">#REF!</definedName>
    <definedName name="EM_032_3">#REF!</definedName>
    <definedName name="EM_032_4" localSheetId="17">#REF!</definedName>
    <definedName name="EM_032_4" localSheetId="15">#REF!</definedName>
    <definedName name="EM_032_4" localSheetId="3">#REF!</definedName>
    <definedName name="EM_032_4">#REF!</definedName>
    <definedName name="EM_032_5" localSheetId="17">#REF!</definedName>
    <definedName name="EM_032_5" localSheetId="15">#REF!</definedName>
    <definedName name="EM_032_5" localSheetId="3">#REF!</definedName>
    <definedName name="EM_032_5">#REF!</definedName>
    <definedName name="EM_032_6" localSheetId="17">#REF!</definedName>
    <definedName name="EM_032_6" localSheetId="15">#REF!</definedName>
    <definedName name="EM_032_6" localSheetId="3">#REF!</definedName>
    <definedName name="EM_032_6">#REF!</definedName>
    <definedName name="EM_032_7" localSheetId="17">#REF!</definedName>
    <definedName name="EM_032_7" localSheetId="15">#REF!</definedName>
    <definedName name="EM_032_7" localSheetId="3">#REF!</definedName>
    <definedName name="EM_032_7">#REF!</definedName>
    <definedName name="EM_032_8" localSheetId="17">#REF!</definedName>
    <definedName name="EM_032_8" localSheetId="15">#REF!</definedName>
    <definedName name="EM_032_8" localSheetId="3">#REF!</definedName>
    <definedName name="EM_032_8">#REF!</definedName>
    <definedName name="EM_032_9" localSheetId="17">#REF!</definedName>
    <definedName name="EM_032_9" localSheetId="15">#REF!</definedName>
    <definedName name="EM_032_9" localSheetId="3">#REF!</definedName>
    <definedName name="EM_032_9">#REF!</definedName>
    <definedName name="EM_033_1" localSheetId="17">#REF!</definedName>
    <definedName name="EM_033_1" localSheetId="15">#REF!</definedName>
    <definedName name="EM_033_1" localSheetId="3">#REF!</definedName>
    <definedName name="EM_033_1">#REF!</definedName>
    <definedName name="EM_033_10" localSheetId="17">#REF!</definedName>
    <definedName name="EM_033_10" localSheetId="15">#REF!</definedName>
    <definedName name="EM_033_10" localSheetId="3">#REF!</definedName>
    <definedName name="EM_033_10">#REF!</definedName>
    <definedName name="EM_033_11" localSheetId="17">#REF!</definedName>
    <definedName name="EM_033_11" localSheetId="15">#REF!</definedName>
    <definedName name="EM_033_11" localSheetId="3">#REF!</definedName>
    <definedName name="EM_033_11">#REF!</definedName>
    <definedName name="EM_033_12" localSheetId="17">#REF!</definedName>
    <definedName name="EM_033_12" localSheetId="15">#REF!</definedName>
    <definedName name="EM_033_12" localSheetId="3">#REF!</definedName>
    <definedName name="EM_033_12">#REF!</definedName>
    <definedName name="EM_033_13" localSheetId="17">#REF!</definedName>
    <definedName name="EM_033_13" localSheetId="15">#REF!</definedName>
    <definedName name="EM_033_13" localSheetId="3">#REF!</definedName>
    <definedName name="EM_033_13">#REF!</definedName>
    <definedName name="EM_033_14" localSheetId="17">#REF!</definedName>
    <definedName name="EM_033_14" localSheetId="15">#REF!</definedName>
    <definedName name="EM_033_14" localSheetId="3">#REF!</definedName>
    <definedName name="EM_033_14">#REF!</definedName>
    <definedName name="EM_033_15" localSheetId="17">#REF!</definedName>
    <definedName name="EM_033_15" localSheetId="15">#REF!</definedName>
    <definedName name="EM_033_15" localSheetId="3">#REF!</definedName>
    <definedName name="EM_033_15">#REF!</definedName>
    <definedName name="EM_033_16" localSheetId="17">#REF!</definedName>
    <definedName name="EM_033_16" localSheetId="15">#REF!</definedName>
    <definedName name="EM_033_16" localSheetId="3">#REF!</definedName>
    <definedName name="EM_033_16">#REF!</definedName>
    <definedName name="EM_033_17" localSheetId="17">#REF!</definedName>
    <definedName name="EM_033_17" localSheetId="15">#REF!</definedName>
    <definedName name="EM_033_17" localSheetId="3">#REF!</definedName>
    <definedName name="EM_033_17">#REF!</definedName>
    <definedName name="EM_033_18" localSheetId="17">#REF!</definedName>
    <definedName name="EM_033_18" localSheetId="15">#REF!</definedName>
    <definedName name="EM_033_18" localSheetId="3">#REF!</definedName>
    <definedName name="EM_033_18">#REF!</definedName>
    <definedName name="EM_033_2" localSheetId="17">#REF!</definedName>
    <definedName name="EM_033_2" localSheetId="15">#REF!</definedName>
    <definedName name="EM_033_2" localSheetId="3">#REF!</definedName>
    <definedName name="EM_033_2">#REF!</definedName>
    <definedName name="EM_033_3" localSheetId="17">#REF!</definedName>
    <definedName name="EM_033_3" localSheetId="15">#REF!</definedName>
    <definedName name="EM_033_3" localSheetId="3">#REF!</definedName>
    <definedName name="EM_033_3">#REF!</definedName>
    <definedName name="EM_033_4" localSheetId="17">#REF!</definedName>
    <definedName name="EM_033_4" localSheetId="15">#REF!</definedName>
    <definedName name="EM_033_4" localSheetId="3">#REF!</definedName>
    <definedName name="EM_033_4">#REF!</definedName>
    <definedName name="EM_033_5" localSheetId="17">#REF!</definedName>
    <definedName name="EM_033_5" localSheetId="15">#REF!</definedName>
    <definedName name="EM_033_5" localSheetId="3">#REF!</definedName>
    <definedName name="EM_033_5">#REF!</definedName>
    <definedName name="EM_033_6" localSheetId="17">#REF!</definedName>
    <definedName name="EM_033_6" localSheetId="15">#REF!</definedName>
    <definedName name="EM_033_6" localSheetId="3">#REF!</definedName>
    <definedName name="EM_033_6">#REF!</definedName>
    <definedName name="EM_033_7" localSheetId="17">#REF!</definedName>
    <definedName name="EM_033_7" localSheetId="15">#REF!</definedName>
    <definedName name="EM_033_7" localSheetId="3">#REF!</definedName>
    <definedName name="EM_033_7">#REF!</definedName>
    <definedName name="EM_033_8" localSheetId="17">#REF!</definedName>
    <definedName name="EM_033_8" localSheetId="15">#REF!</definedName>
    <definedName name="EM_033_8" localSheetId="3">#REF!</definedName>
    <definedName name="EM_033_8">#REF!</definedName>
    <definedName name="EM_033_9" localSheetId="17">#REF!</definedName>
    <definedName name="EM_033_9" localSheetId="15">#REF!</definedName>
    <definedName name="EM_033_9" localSheetId="3">#REF!</definedName>
    <definedName name="EM_033_9">#REF!</definedName>
    <definedName name="EM_034_1" localSheetId="17">#REF!</definedName>
    <definedName name="EM_034_1" localSheetId="15">#REF!</definedName>
    <definedName name="EM_034_1" localSheetId="3">#REF!</definedName>
    <definedName name="EM_034_1">#REF!</definedName>
    <definedName name="EM_034_10" localSheetId="17">#REF!</definedName>
    <definedName name="EM_034_10" localSheetId="15">#REF!</definedName>
    <definedName name="EM_034_10" localSheetId="3">#REF!</definedName>
    <definedName name="EM_034_10">#REF!</definedName>
    <definedName name="EM_034_11" localSheetId="17">#REF!</definedName>
    <definedName name="EM_034_11" localSheetId="15">#REF!</definedName>
    <definedName name="EM_034_11" localSheetId="3">#REF!</definedName>
    <definedName name="EM_034_11">#REF!</definedName>
    <definedName name="EM_034_12" localSheetId="17">#REF!</definedName>
    <definedName name="EM_034_12" localSheetId="15">#REF!</definedName>
    <definedName name="EM_034_12" localSheetId="3">#REF!</definedName>
    <definedName name="EM_034_12">#REF!</definedName>
    <definedName name="EM_034_13" localSheetId="17">#REF!</definedName>
    <definedName name="EM_034_13" localSheetId="15">#REF!</definedName>
    <definedName name="EM_034_13" localSheetId="3">#REF!</definedName>
    <definedName name="EM_034_13">#REF!</definedName>
    <definedName name="EM_034_14" localSheetId="17">#REF!</definedName>
    <definedName name="EM_034_14" localSheetId="15">#REF!</definedName>
    <definedName name="EM_034_14" localSheetId="3">#REF!</definedName>
    <definedName name="EM_034_14">#REF!</definedName>
    <definedName name="EM_034_15" localSheetId="17">#REF!</definedName>
    <definedName name="EM_034_15" localSheetId="15">#REF!</definedName>
    <definedName name="EM_034_15" localSheetId="3">#REF!</definedName>
    <definedName name="EM_034_15">#REF!</definedName>
    <definedName name="EM_034_16" localSheetId="17">#REF!</definedName>
    <definedName name="EM_034_16" localSheetId="15">#REF!</definedName>
    <definedName name="EM_034_16" localSheetId="3">#REF!</definedName>
    <definedName name="EM_034_16">#REF!</definedName>
    <definedName name="EM_034_17" localSheetId="17">#REF!</definedName>
    <definedName name="EM_034_17" localSheetId="15">#REF!</definedName>
    <definedName name="EM_034_17" localSheetId="3">#REF!</definedName>
    <definedName name="EM_034_17">#REF!</definedName>
    <definedName name="EM_034_18" localSheetId="17">#REF!</definedName>
    <definedName name="EM_034_18" localSheetId="15">#REF!</definedName>
    <definedName name="EM_034_18" localSheetId="3">#REF!</definedName>
    <definedName name="EM_034_18">#REF!</definedName>
    <definedName name="EM_034_2" localSheetId="17">#REF!</definedName>
    <definedName name="EM_034_2" localSheetId="15">#REF!</definedName>
    <definedName name="EM_034_2" localSheetId="3">#REF!</definedName>
    <definedName name="EM_034_2">#REF!</definedName>
    <definedName name="EM_034_3" localSheetId="17">#REF!</definedName>
    <definedName name="EM_034_3" localSheetId="15">#REF!</definedName>
    <definedName name="EM_034_3" localSheetId="3">#REF!</definedName>
    <definedName name="EM_034_3">#REF!</definedName>
    <definedName name="EM_034_4" localSheetId="17">#REF!</definedName>
    <definedName name="EM_034_4" localSheetId="15">#REF!</definedName>
    <definedName name="EM_034_4" localSheetId="3">#REF!</definedName>
    <definedName name="EM_034_4">#REF!</definedName>
    <definedName name="EM_034_5" localSheetId="17">#REF!</definedName>
    <definedName name="EM_034_5" localSheetId="15">#REF!</definedName>
    <definedName name="EM_034_5" localSheetId="3">#REF!</definedName>
    <definedName name="EM_034_5">#REF!</definedName>
    <definedName name="EM_034_6" localSheetId="17">#REF!</definedName>
    <definedName name="EM_034_6" localSheetId="15">#REF!</definedName>
    <definedName name="EM_034_6" localSheetId="3">#REF!</definedName>
    <definedName name="EM_034_6">#REF!</definedName>
    <definedName name="EM_034_7" localSheetId="17">#REF!</definedName>
    <definedName name="EM_034_7" localSheetId="15">#REF!</definedName>
    <definedName name="EM_034_7" localSheetId="3">#REF!</definedName>
    <definedName name="EM_034_7">#REF!</definedName>
    <definedName name="EM_034_8" localSheetId="17">#REF!</definedName>
    <definedName name="EM_034_8" localSheetId="15">#REF!</definedName>
    <definedName name="EM_034_8" localSheetId="3">#REF!</definedName>
    <definedName name="EM_034_8">#REF!</definedName>
    <definedName name="EM_034_9" localSheetId="17">#REF!</definedName>
    <definedName name="EM_034_9" localSheetId="15">#REF!</definedName>
    <definedName name="EM_034_9" localSheetId="3">#REF!</definedName>
    <definedName name="EM_034_9">#REF!</definedName>
    <definedName name="EM_035_1" localSheetId="17">#REF!</definedName>
    <definedName name="EM_035_1" localSheetId="15">#REF!</definedName>
    <definedName name="EM_035_1" localSheetId="3">#REF!</definedName>
    <definedName name="EM_035_1">#REF!</definedName>
    <definedName name="EM_035_10" localSheetId="17">#REF!</definedName>
    <definedName name="EM_035_10" localSheetId="15">#REF!</definedName>
    <definedName name="EM_035_10" localSheetId="3">#REF!</definedName>
    <definedName name="EM_035_10">#REF!</definedName>
    <definedName name="EM_035_11" localSheetId="17">#REF!</definedName>
    <definedName name="EM_035_11" localSheetId="15">#REF!</definedName>
    <definedName name="EM_035_11" localSheetId="3">#REF!</definedName>
    <definedName name="EM_035_11">#REF!</definedName>
    <definedName name="EM_035_12" localSheetId="17">#REF!</definedName>
    <definedName name="EM_035_12" localSheetId="15">#REF!</definedName>
    <definedName name="EM_035_12" localSheetId="3">#REF!</definedName>
    <definedName name="EM_035_12">#REF!</definedName>
    <definedName name="EM_035_13" localSheetId="17">#REF!</definedName>
    <definedName name="EM_035_13" localSheetId="15">#REF!</definedName>
    <definedName name="EM_035_13" localSheetId="3">#REF!</definedName>
    <definedName name="EM_035_13">#REF!</definedName>
    <definedName name="EM_035_14" localSheetId="17">#REF!</definedName>
    <definedName name="EM_035_14" localSheetId="15">#REF!</definedName>
    <definedName name="EM_035_14" localSheetId="3">#REF!</definedName>
    <definedName name="EM_035_14">#REF!</definedName>
    <definedName name="EM_035_15" localSheetId="17">#REF!</definedName>
    <definedName name="EM_035_15" localSheetId="15">#REF!</definedName>
    <definedName name="EM_035_15" localSheetId="3">#REF!</definedName>
    <definedName name="EM_035_15">#REF!</definedName>
    <definedName name="EM_035_16" localSheetId="17">#REF!</definedName>
    <definedName name="EM_035_16" localSheetId="15">#REF!</definedName>
    <definedName name="EM_035_16" localSheetId="3">#REF!</definedName>
    <definedName name="EM_035_16">#REF!</definedName>
    <definedName name="EM_035_17" localSheetId="17">#REF!</definedName>
    <definedName name="EM_035_17" localSheetId="15">#REF!</definedName>
    <definedName name="EM_035_17" localSheetId="3">#REF!</definedName>
    <definedName name="EM_035_17">#REF!</definedName>
    <definedName name="EM_035_18" localSheetId="17">#REF!</definedName>
    <definedName name="EM_035_18" localSheetId="15">#REF!</definedName>
    <definedName name="EM_035_18" localSheetId="3">#REF!</definedName>
    <definedName name="EM_035_18">#REF!</definedName>
    <definedName name="EM_035_2" localSheetId="17">#REF!</definedName>
    <definedName name="EM_035_2" localSheetId="15">#REF!</definedName>
    <definedName name="EM_035_2" localSheetId="3">#REF!</definedName>
    <definedName name="EM_035_2">#REF!</definedName>
    <definedName name="EM_035_3" localSheetId="17">#REF!</definedName>
    <definedName name="EM_035_3" localSheetId="15">#REF!</definedName>
    <definedName name="EM_035_3" localSheetId="3">#REF!</definedName>
    <definedName name="EM_035_3">#REF!</definedName>
    <definedName name="EM_035_4" localSheetId="17">#REF!</definedName>
    <definedName name="EM_035_4" localSheetId="15">#REF!</definedName>
    <definedName name="EM_035_4" localSheetId="3">#REF!</definedName>
    <definedName name="EM_035_4">#REF!</definedName>
    <definedName name="EM_035_5" localSheetId="17">#REF!</definedName>
    <definedName name="EM_035_5" localSheetId="15">#REF!</definedName>
    <definedName name="EM_035_5" localSheetId="3">#REF!</definedName>
    <definedName name="EM_035_5">#REF!</definedName>
    <definedName name="EM_035_6" localSheetId="17">#REF!</definedName>
    <definedName name="EM_035_6" localSheetId="15">#REF!</definedName>
    <definedName name="EM_035_6" localSheetId="3">#REF!</definedName>
    <definedName name="EM_035_6">#REF!</definedName>
    <definedName name="EM_035_7" localSheetId="17">#REF!</definedName>
    <definedName name="EM_035_7" localSheetId="15">#REF!</definedName>
    <definedName name="EM_035_7" localSheetId="3">#REF!</definedName>
    <definedName name="EM_035_7">#REF!</definedName>
    <definedName name="EM_035_8" localSheetId="17">#REF!</definedName>
    <definedName name="EM_035_8" localSheetId="15">#REF!</definedName>
    <definedName name="EM_035_8" localSheetId="3">#REF!</definedName>
    <definedName name="EM_035_8">#REF!</definedName>
    <definedName name="EM_035_9" localSheetId="17">#REF!</definedName>
    <definedName name="EM_035_9" localSheetId="15">#REF!</definedName>
    <definedName name="EM_035_9" localSheetId="3">#REF!</definedName>
    <definedName name="EM_035_9">#REF!</definedName>
    <definedName name="EM_036_1" localSheetId="17">#REF!</definedName>
    <definedName name="EM_036_1" localSheetId="15">#REF!</definedName>
    <definedName name="EM_036_1" localSheetId="3">#REF!</definedName>
    <definedName name="EM_036_1">#REF!</definedName>
    <definedName name="EM_036_10" localSheetId="17">#REF!</definedName>
    <definedName name="EM_036_10" localSheetId="15">#REF!</definedName>
    <definedName name="EM_036_10" localSheetId="3">#REF!</definedName>
    <definedName name="EM_036_10">#REF!</definedName>
    <definedName name="EM_036_11" localSheetId="17">#REF!</definedName>
    <definedName name="EM_036_11" localSheetId="15">#REF!</definedName>
    <definedName name="EM_036_11" localSheetId="3">#REF!</definedName>
    <definedName name="EM_036_11">#REF!</definedName>
    <definedName name="EM_036_12" localSheetId="17">#REF!</definedName>
    <definedName name="EM_036_12" localSheetId="15">#REF!</definedName>
    <definedName name="EM_036_12" localSheetId="3">#REF!</definedName>
    <definedName name="EM_036_12">#REF!</definedName>
    <definedName name="EM_036_13" localSheetId="17">#REF!</definedName>
    <definedName name="EM_036_13" localSheetId="15">#REF!</definedName>
    <definedName name="EM_036_13" localSheetId="3">#REF!</definedName>
    <definedName name="EM_036_13">#REF!</definedName>
    <definedName name="EM_036_14" localSheetId="17">#REF!</definedName>
    <definedName name="EM_036_14" localSheetId="15">#REF!</definedName>
    <definedName name="EM_036_14" localSheetId="3">#REF!</definedName>
    <definedName name="EM_036_14">#REF!</definedName>
    <definedName name="EM_036_15" localSheetId="17">#REF!</definedName>
    <definedName name="EM_036_15" localSheetId="15">#REF!</definedName>
    <definedName name="EM_036_15" localSheetId="3">#REF!</definedName>
    <definedName name="EM_036_15">#REF!</definedName>
    <definedName name="EM_036_16" localSheetId="17">#REF!</definedName>
    <definedName name="EM_036_16" localSheetId="15">#REF!</definedName>
    <definedName name="EM_036_16" localSheetId="3">#REF!</definedName>
    <definedName name="EM_036_16">#REF!</definedName>
    <definedName name="EM_036_17" localSheetId="17">#REF!</definedName>
    <definedName name="EM_036_17" localSheetId="15">#REF!</definedName>
    <definedName name="EM_036_17" localSheetId="3">#REF!</definedName>
    <definedName name="EM_036_17">#REF!</definedName>
    <definedName name="EM_036_18" localSheetId="17">#REF!</definedName>
    <definedName name="EM_036_18" localSheetId="15">#REF!</definedName>
    <definedName name="EM_036_18" localSheetId="3">#REF!</definedName>
    <definedName name="EM_036_18">#REF!</definedName>
    <definedName name="EM_036_2" localSheetId="17">#REF!</definedName>
    <definedName name="EM_036_2" localSheetId="15">#REF!</definedName>
    <definedName name="EM_036_2" localSheetId="3">#REF!</definedName>
    <definedName name="EM_036_2">#REF!</definedName>
    <definedName name="EM_036_3" localSheetId="17">#REF!</definedName>
    <definedName name="EM_036_3" localSheetId="15">#REF!</definedName>
    <definedName name="EM_036_3" localSheetId="3">#REF!</definedName>
    <definedName name="EM_036_3">#REF!</definedName>
    <definedName name="EM_036_4" localSheetId="17">#REF!</definedName>
    <definedName name="EM_036_4" localSheetId="15">#REF!</definedName>
    <definedName name="EM_036_4" localSheetId="3">#REF!</definedName>
    <definedName name="EM_036_4">#REF!</definedName>
    <definedName name="EM_036_5" localSheetId="17">#REF!</definedName>
    <definedName name="EM_036_5" localSheetId="15">#REF!</definedName>
    <definedName name="EM_036_5" localSheetId="3">#REF!</definedName>
    <definedName name="EM_036_5">#REF!</definedName>
    <definedName name="EM_036_6" localSheetId="17">#REF!</definedName>
    <definedName name="EM_036_6" localSheetId="15">#REF!</definedName>
    <definedName name="EM_036_6" localSheetId="3">#REF!</definedName>
    <definedName name="EM_036_6">#REF!</definedName>
    <definedName name="EM_036_7" localSheetId="17">#REF!</definedName>
    <definedName name="EM_036_7" localSheetId="15">#REF!</definedName>
    <definedName name="EM_036_7" localSheetId="3">#REF!</definedName>
    <definedName name="EM_036_7">#REF!</definedName>
    <definedName name="EM_036_8" localSheetId="17">#REF!</definedName>
    <definedName name="EM_036_8" localSheetId="15">#REF!</definedName>
    <definedName name="EM_036_8" localSheetId="3">#REF!</definedName>
    <definedName name="EM_036_8">#REF!</definedName>
    <definedName name="EM_036_9" localSheetId="17">#REF!</definedName>
    <definedName name="EM_036_9" localSheetId="15">#REF!</definedName>
    <definedName name="EM_036_9" localSheetId="3">#REF!</definedName>
    <definedName name="EM_036_9">#REF!</definedName>
    <definedName name="EM_037_1" localSheetId="17">#REF!</definedName>
    <definedName name="EM_037_1" localSheetId="15">#REF!</definedName>
    <definedName name="EM_037_1" localSheetId="3">#REF!</definedName>
    <definedName name="EM_037_1">#REF!</definedName>
    <definedName name="EM_037_10" localSheetId="17">#REF!</definedName>
    <definedName name="EM_037_10" localSheetId="15">#REF!</definedName>
    <definedName name="EM_037_10" localSheetId="3">#REF!</definedName>
    <definedName name="EM_037_10">#REF!</definedName>
    <definedName name="EM_037_11" localSheetId="17">#REF!</definedName>
    <definedName name="EM_037_11" localSheetId="15">#REF!</definedName>
    <definedName name="EM_037_11" localSheetId="3">#REF!</definedName>
    <definedName name="EM_037_11">#REF!</definedName>
    <definedName name="EM_037_12" localSheetId="17">#REF!</definedName>
    <definedName name="EM_037_12" localSheetId="15">#REF!</definedName>
    <definedName name="EM_037_12" localSheetId="3">#REF!</definedName>
    <definedName name="EM_037_12">#REF!</definedName>
    <definedName name="EM_037_13" localSheetId="17">#REF!</definedName>
    <definedName name="EM_037_13" localSheetId="15">#REF!</definedName>
    <definedName name="EM_037_13" localSheetId="3">#REF!</definedName>
    <definedName name="EM_037_13">#REF!</definedName>
    <definedName name="EM_037_14" localSheetId="17">#REF!</definedName>
    <definedName name="EM_037_14" localSheetId="15">#REF!</definedName>
    <definedName name="EM_037_14" localSheetId="3">#REF!</definedName>
    <definedName name="EM_037_14">#REF!</definedName>
    <definedName name="EM_037_15" localSheetId="17">#REF!</definedName>
    <definedName name="EM_037_15" localSheetId="15">#REF!</definedName>
    <definedName name="EM_037_15" localSheetId="3">#REF!</definedName>
    <definedName name="EM_037_15">#REF!</definedName>
    <definedName name="EM_037_16" localSheetId="17">#REF!</definedName>
    <definedName name="EM_037_16" localSheetId="15">#REF!</definedName>
    <definedName name="EM_037_16" localSheetId="3">#REF!</definedName>
    <definedName name="EM_037_16">#REF!</definedName>
    <definedName name="EM_037_17" localSheetId="17">#REF!</definedName>
    <definedName name="EM_037_17" localSheetId="15">#REF!</definedName>
    <definedName name="EM_037_17" localSheetId="3">#REF!</definedName>
    <definedName name="EM_037_17">#REF!</definedName>
    <definedName name="EM_037_18" localSheetId="17">#REF!</definedName>
    <definedName name="EM_037_18" localSheetId="15">#REF!</definedName>
    <definedName name="EM_037_18" localSheetId="3">#REF!</definedName>
    <definedName name="EM_037_18">#REF!</definedName>
    <definedName name="EM_037_2" localSheetId="17">#REF!</definedName>
    <definedName name="EM_037_2" localSheetId="15">#REF!</definedName>
    <definedName name="EM_037_2" localSheetId="3">#REF!</definedName>
    <definedName name="EM_037_2">#REF!</definedName>
    <definedName name="EM_037_3" localSheetId="17">#REF!</definedName>
    <definedName name="EM_037_3" localSheetId="15">#REF!</definedName>
    <definedName name="EM_037_3" localSheetId="3">#REF!</definedName>
    <definedName name="EM_037_3">#REF!</definedName>
    <definedName name="EM_037_4" localSheetId="17">#REF!</definedName>
    <definedName name="EM_037_4" localSheetId="15">#REF!</definedName>
    <definedName name="EM_037_4" localSheetId="3">#REF!</definedName>
    <definedName name="EM_037_4">#REF!</definedName>
    <definedName name="EM_037_5" localSheetId="17">#REF!</definedName>
    <definedName name="EM_037_5" localSheetId="15">#REF!</definedName>
    <definedName name="EM_037_5" localSheetId="3">#REF!</definedName>
    <definedName name="EM_037_5">#REF!</definedName>
    <definedName name="EM_037_6" localSheetId="17">#REF!</definedName>
    <definedName name="EM_037_6" localSheetId="15">#REF!</definedName>
    <definedName name="EM_037_6" localSheetId="3">#REF!</definedName>
    <definedName name="EM_037_6">#REF!</definedName>
    <definedName name="EM_037_7" localSheetId="17">#REF!</definedName>
    <definedName name="EM_037_7" localSheetId="15">#REF!</definedName>
    <definedName name="EM_037_7" localSheetId="3">#REF!</definedName>
    <definedName name="EM_037_7">#REF!</definedName>
    <definedName name="EM_037_8" localSheetId="17">#REF!</definedName>
    <definedName name="EM_037_8" localSheetId="15">#REF!</definedName>
    <definedName name="EM_037_8" localSheetId="3">#REF!</definedName>
    <definedName name="EM_037_8">#REF!</definedName>
    <definedName name="EM_037_9" localSheetId="17">#REF!</definedName>
    <definedName name="EM_037_9" localSheetId="15">#REF!</definedName>
    <definedName name="EM_037_9" localSheetId="3">#REF!</definedName>
    <definedName name="EM_037_9">#REF!</definedName>
    <definedName name="EM_038_1" localSheetId="17">#REF!</definedName>
    <definedName name="EM_038_1" localSheetId="15">#REF!</definedName>
    <definedName name="EM_038_1" localSheetId="3">#REF!</definedName>
    <definedName name="EM_038_1">#REF!</definedName>
    <definedName name="EM_038_10" localSheetId="17">#REF!</definedName>
    <definedName name="EM_038_10" localSheetId="15">#REF!</definedName>
    <definedName name="EM_038_10" localSheetId="3">#REF!</definedName>
    <definedName name="EM_038_10">#REF!</definedName>
    <definedName name="EM_038_11" localSheetId="17">#REF!</definedName>
    <definedName name="EM_038_11" localSheetId="15">#REF!</definedName>
    <definedName name="EM_038_11" localSheetId="3">#REF!</definedName>
    <definedName name="EM_038_11">#REF!</definedName>
    <definedName name="EM_038_12" localSheetId="17">#REF!</definedName>
    <definedName name="EM_038_12" localSheetId="15">#REF!</definedName>
    <definedName name="EM_038_12" localSheetId="3">#REF!</definedName>
    <definedName name="EM_038_12">#REF!</definedName>
    <definedName name="EM_038_13" localSheetId="17">#REF!</definedName>
    <definedName name="EM_038_13" localSheetId="15">#REF!</definedName>
    <definedName name="EM_038_13" localSheetId="3">#REF!</definedName>
    <definedName name="EM_038_13">#REF!</definedName>
    <definedName name="EM_038_14" localSheetId="17">#REF!</definedName>
    <definedName name="EM_038_14" localSheetId="15">#REF!</definedName>
    <definedName name="EM_038_14" localSheetId="3">#REF!</definedName>
    <definedName name="EM_038_14">#REF!</definedName>
    <definedName name="EM_038_15" localSheetId="17">#REF!</definedName>
    <definedName name="EM_038_15" localSheetId="15">#REF!</definedName>
    <definedName name="EM_038_15" localSheetId="3">#REF!</definedName>
    <definedName name="EM_038_15">#REF!</definedName>
    <definedName name="EM_038_16" localSheetId="17">#REF!</definedName>
    <definedName name="EM_038_16" localSheetId="15">#REF!</definedName>
    <definedName name="EM_038_16" localSheetId="3">#REF!</definedName>
    <definedName name="EM_038_16">#REF!</definedName>
    <definedName name="EM_038_17" localSheetId="17">#REF!</definedName>
    <definedName name="EM_038_17" localSheetId="15">#REF!</definedName>
    <definedName name="EM_038_17" localSheetId="3">#REF!</definedName>
    <definedName name="EM_038_17">#REF!</definedName>
    <definedName name="EM_038_18" localSheetId="17">#REF!</definedName>
    <definedName name="EM_038_18" localSheetId="15">#REF!</definedName>
    <definedName name="EM_038_18" localSheetId="3">#REF!</definedName>
    <definedName name="EM_038_18">#REF!</definedName>
    <definedName name="EM_038_2" localSheetId="17">#REF!</definedName>
    <definedName name="EM_038_2" localSheetId="15">#REF!</definedName>
    <definedName name="EM_038_2" localSheetId="3">#REF!</definedName>
    <definedName name="EM_038_2">#REF!</definedName>
    <definedName name="EM_038_3" localSheetId="17">#REF!</definedName>
    <definedName name="EM_038_3" localSheetId="15">#REF!</definedName>
    <definedName name="EM_038_3" localSheetId="3">#REF!</definedName>
    <definedName name="EM_038_3">#REF!</definedName>
    <definedName name="EM_038_4" localSheetId="17">#REF!</definedName>
    <definedName name="EM_038_4" localSheetId="15">#REF!</definedName>
    <definedName name="EM_038_4" localSheetId="3">#REF!</definedName>
    <definedName name="EM_038_4">#REF!</definedName>
    <definedName name="EM_038_5" localSheetId="17">#REF!</definedName>
    <definedName name="EM_038_5" localSheetId="15">#REF!</definedName>
    <definedName name="EM_038_5" localSheetId="3">#REF!</definedName>
    <definedName name="EM_038_5">#REF!</definedName>
    <definedName name="EM_038_6" localSheetId="17">#REF!</definedName>
    <definedName name="EM_038_6" localSheetId="15">#REF!</definedName>
    <definedName name="EM_038_6" localSheetId="3">#REF!</definedName>
    <definedName name="EM_038_6">#REF!</definedName>
    <definedName name="EM_038_7" localSheetId="17">#REF!</definedName>
    <definedName name="EM_038_7" localSheetId="15">#REF!</definedName>
    <definedName name="EM_038_7" localSheetId="3">#REF!</definedName>
    <definedName name="EM_038_7">#REF!</definedName>
    <definedName name="EM_038_8" localSheetId="17">#REF!</definedName>
    <definedName name="EM_038_8" localSheetId="15">#REF!</definedName>
    <definedName name="EM_038_8" localSheetId="3">#REF!</definedName>
    <definedName name="EM_038_8">#REF!</definedName>
    <definedName name="EM_038_9" localSheetId="17">#REF!</definedName>
    <definedName name="EM_038_9" localSheetId="15">#REF!</definedName>
    <definedName name="EM_038_9" localSheetId="3">#REF!</definedName>
    <definedName name="EM_038_9">#REF!</definedName>
    <definedName name="EM_039_1" localSheetId="17">#REF!</definedName>
    <definedName name="EM_039_1" localSheetId="15">#REF!</definedName>
    <definedName name="EM_039_1" localSheetId="3">#REF!</definedName>
    <definedName name="EM_039_1">#REF!</definedName>
    <definedName name="EM_039_10" localSheetId="17">#REF!</definedName>
    <definedName name="EM_039_10" localSheetId="15">#REF!</definedName>
    <definedName name="EM_039_10" localSheetId="3">#REF!</definedName>
    <definedName name="EM_039_10">#REF!</definedName>
    <definedName name="EM_039_11" localSheetId="17">#REF!</definedName>
    <definedName name="EM_039_11" localSheetId="15">#REF!</definedName>
    <definedName name="EM_039_11" localSheetId="3">#REF!</definedName>
    <definedName name="EM_039_11">#REF!</definedName>
    <definedName name="EM_039_12" localSheetId="17">#REF!</definedName>
    <definedName name="EM_039_12" localSheetId="15">#REF!</definedName>
    <definedName name="EM_039_12" localSheetId="3">#REF!</definedName>
    <definedName name="EM_039_12">#REF!</definedName>
    <definedName name="EM_039_13" localSheetId="17">#REF!</definedName>
    <definedName name="EM_039_13" localSheetId="15">#REF!</definedName>
    <definedName name="EM_039_13" localSheetId="3">#REF!</definedName>
    <definedName name="EM_039_13">#REF!</definedName>
    <definedName name="EM_039_14" localSheetId="17">#REF!</definedName>
    <definedName name="EM_039_14" localSheetId="15">#REF!</definedName>
    <definedName name="EM_039_14" localSheetId="3">#REF!</definedName>
    <definedName name="EM_039_14">#REF!</definedName>
    <definedName name="EM_039_15" localSheetId="17">#REF!</definedName>
    <definedName name="EM_039_15" localSheetId="15">#REF!</definedName>
    <definedName name="EM_039_15" localSheetId="3">#REF!</definedName>
    <definedName name="EM_039_15">#REF!</definedName>
    <definedName name="EM_039_16" localSheetId="17">#REF!</definedName>
    <definedName name="EM_039_16" localSheetId="15">#REF!</definedName>
    <definedName name="EM_039_16" localSheetId="3">#REF!</definedName>
    <definedName name="EM_039_16">#REF!</definedName>
    <definedName name="EM_039_17" localSheetId="17">#REF!</definedName>
    <definedName name="EM_039_17" localSheetId="15">#REF!</definedName>
    <definedName name="EM_039_17" localSheetId="3">#REF!</definedName>
    <definedName name="EM_039_17">#REF!</definedName>
    <definedName name="EM_039_18" localSheetId="17">#REF!</definedName>
    <definedName name="EM_039_18" localSheetId="15">#REF!</definedName>
    <definedName name="EM_039_18" localSheetId="3">#REF!</definedName>
    <definedName name="EM_039_18">#REF!</definedName>
    <definedName name="EM_039_2" localSheetId="17">#REF!</definedName>
    <definedName name="EM_039_2" localSheetId="15">#REF!</definedName>
    <definedName name="EM_039_2" localSheetId="3">#REF!</definedName>
    <definedName name="EM_039_2">#REF!</definedName>
    <definedName name="EM_039_3" localSheetId="17">#REF!</definedName>
    <definedName name="EM_039_3" localSheetId="15">#REF!</definedName>
    <definedName name="EM_039_3" localSheetId="3">#REF!</definedName>
    <definedName name="EM_039_3">#REF!</definedName>
    <definedName name="EM_039_4" localSheetId="17">#REF!</definedName>
    <definedName name="EM_039_4" localSheetId="15">#REF!</definedName>
    <definedName name="EM_039_4" localSheetId="3">#REF!</definedName>
    <definedName name="EM_039_4">#REF!</definedName>
    <definedName name="EM_039_5" localSheetId="17">#REF!</definedName>
    <definedName name="EM_039_5" localSheetId="15">#REF!</definedName>
    <definedName name="EM_039_5" localSheetId="3">#REF!</definedName>
    <definedName name="EM_039_5">#REF!</definedName>
    <definedName name="EM_039_6" localSheetId="17">#REF!</definedName>
    <definedName name="EM_039_6" localSheetId="15">#REF!</definedName>
    <definedName name="EM_039_6" localSheetId="3">#REF!</definedName>
    <definedName name="EM_039_6">#REF!</definedName>
    <definedName name="EM_039_7" localSheetId="17">#REF!</definedName>
    <definedName name="EM_039_7" localSheetId="15">#REF!</definedName>
    <definedName name="EM_039_7" localSheetId="3">#REF!</definedName>
    <definedName name="EM_039_7">#REF!</definedName>
    <definedName name="EM_039_8" localSheetId="17">#REF!</definedName>
    <definedName name="EM_039_8" localSheetId="15">#REF!</definedName>
    <definedName name="EM_039_8" localSheetId="3">#REF!</definedName>
    <definedName name="EM_039_8">#REF!</definedName>
    <definedName name="EM_039_9" localSheetId="17">#REF!</definedName>
    <definedName name="EM_039_9" localSheetId="15">#REF!</definedName>
    <definedName name="EM_039_9" localSheetId="3">#REF!</definedName>
    <definedName name="EM_039_9">#REF!</definedName>
    <definedName name="EM_051_14" localSheetId="17">#REF!</definedName>
    <definedName name="EM_051_14" localSheetId="15">#REF!</definedName>
    <definedName name="EM_051_14" localSheetId="3">#REF!</definedName>
    <definedName name="EM_051_14">#REF!</definedName>
    <definedName name="EM_051_15" localSheetId="17">#REF!</definedName>
    <definedName name="EM_051_15" localSheetId="15">#REF!</definedName>
    <definedName name="EM_051_15" localSheetId="3">#REF!</definedName>
    <definedName name="EM_051_15">#REF!</definedName>
    <definedName name="EM_051_16" localSheetId="17">#REF!</definedName>
    <definedName name="EM_051_16" localSheetId="15">#REF!</definedName>
    <definedName name="EM_051_16" localSheetId="3">#REF!</definedName>
    <definedName name="EM_051_16">#REF!</definedName>
    <definedName name="EM_051_17" localSheetId="17">#REF!</definedName>
    <definedName name="EM_051_17" localSheetId="15">#REF!</definedName>
    <definedName name="EM_051_17" localSheetId="3">#REF!</definedName>
    <definedName name="EM_051_17">#REF!</definedName>
    <definedName name="EM_051_18" localSheetId="17">#REF!</definedName>
    <definedName name="EM_051_18" localSheetId="15">#REF!</definedName>
    <definedName name="EM_051_18" localSheetId="3">#REF!</definedName>
    <definedName name="EM_051_18">#REF!</definedName>
    <definedName name="EM_052_14" localSheetId="17">#REF!</definedName>
    <definedName name="EM_052_14" localSheetId="15">#REF!</definedName>
    <definedName name="EM_052_14" localSheetId="3">#REF!</definedName>
    <definedName name="EM_052_14">#REF!</definedName>
    <definedName name="EM_052_15" localSheetId="17">#REF!</definedName>
    <definedName name="EM_052_15" localSheetId="15">#REF!</definedName>
    <definedName name="EM_052_15" localSheetId="3">#REF!</definedName>
    <definedName name="EM_052_15">#REF!</definedName>
    <definedName name="EM_052_16" localSheetId="17">#REF!</definedName>
    <definedName name="EM_052_16" localSheetId="15">#REF!</definedName>
    <definedName name="EM_052_16" localSheetId="3">#REF!</definedName>
    <definedName name="EM_052_16">#REF!</definedName>
    <definedName name="EM_052_17" localSheetId="17">#REF!</definedName>
    <definedName name="EM_052_17" localSheetId="15">#REF!</definedName>
    <definedName name="EM_052_17" localSheetId="3">#REF!</definedName>
    <definedName name="EM_052_17">#REF!</definedName>
    <definedName name="EM_052_18" localSheetId="17">#REF!</definedName>
    <definedName name="EM_052_18" localSheetId="15">#REF!</definedName>
    <definedName name="EM_052_18" localSheetId="3">#REF!</definedName>
    <definedName name="EM_052_18">#REF!</definedName>
    <definedName name="EM_053_14" localSheetId="17">#REF!</definedName>
    <definedName name="EM_053_14" localSheetId="15">#REF!</definedName>
    <definedName name="EM_053_14" localSheetId="3">#REF!</definedName>
    <definedName name="EM_053_14">#REF!</definedName>
    <definedName name="EM_053_15" localSheetId="17">#REF!</definedName>
    <definedName name="EM_053_15" localSheetId="15">#REF!</definedName>
    <definedName name="EM_053_15" localSheetId="3">#REF!</definedName>
    <definedName name="EM_053_15">#REF!</definedName>
    <definedName name="EM_053_16" localSheetId="17">#REF!</definedName>
    <definedName name="EM_053_16" localSheetId="15">#REF!</definedName>
    <definedName name="EM_053_16" localSheetId="3">#REF!</definedName>
    <definedName name="EM_053_16">#REF!</definedName>
    <definedName name="EM_053_17" localSheetId="17">#REF!</definedName>
    <definedName name="EM_053_17" localSheetId="15">#REF!</definedName>
    <definedName name="EM_053_17" localSheetId="3">#REF!</definedName>
    <definedName name="EM_053_17">#REF!</definedName>
    <definedName name="EM_053_18" localSheetId="17">#REF!</definedName>
    <definedName name="EM_053_18" localSheetId="15">#REF!</definedName>
    <definedName name="EM_053_18" localSheetId="3">#REF!</definedName>
    <definedName name="EM_053_18">#REF!</definedName>
    <definedName name="EM_054_14" localSheetId="17">#REF!</definedName>
    <definedName name="EM_054_14" localSheetId="15">#REF!</definedName>
    <definedName name="EM_054_14" localSheetId="3">#REF!</definedName>
    <definedName name="EM_054_14">#REF!</definedName>
    <definedName name="EM_054_15" localSheetId="17">#REF!</definedName>
    <definedName name="EM_054_15" localSheetId="15">#REF!</definedName>
    <definedName name="EM_054_15" localSheetId="3">#REF!</definedName>
    <definedName name="EM_054_15">#REF!</definedName>
    <definedName name="EM_054_16" localSheetId="17">#REF!</definedName>
    <definedName name="EM_054_16" localSheetId="15">#REF!</definedName>
    <definedName name="EM_054_16" localSheetId="3">#REF!</definedName>
    <definedName name="EM_054_16">#REF!</definedName>
    <definedName name="EM_054_17" localSheetId="17">#REF!</definedName>
    <definedName name="EM_054_17" localSheetId="15">#REF!</definedName>
    <definedName name="EM_054_17" localSheetId="3">#REF!</definedName>
    <definedName name="EM_054_17">#REF!</definedName>
    <definedName name="EM_054_18" localSheetId="17">#REF!</definedName>
    <definedName name="EM_054_18" localSheetId="15">#REF!</definedName>
    <definedName name="EM_054_18" localSheetId="3">#REF!</definedName>
    <definedName name="EM_054_18">#REF!</definedName>
    <definedName name="EM_055_14" localSheetId="17">#REF!</definedName>
    <definedName name="EM_055_14" localSheetId="15">#REF!</definedName>
    <definedName name="EM_055_14" localSheetId="3">#REF!</definedName>
    <definedName name="EM_055_14">#REF!</definedName>
    <definedName name="EM_055_15" localSheetId="17">#REF!</definedName>
    <definedName name="EM_055_15" localSheetId="15">#REF!</definedName>
    <definedName name="EM_055_15" localSheetId="3">#REF!</definedName>
    <definedName name="EM_055_15">#REF!</definedName>
    <definedName name="EM_055_16" localSheetId="17">#REF!</definedName>
    <definedName name="EM_055_16" localSheetId="15">#REF!</definedName>
    <definedName name="EM_055_16" localSheetId="3">#REF!</definedName>
    <definedName name="EM_055_16">#REF!</definedName>
    <definedName name="EM_055_17" localSheetId="17">#REF!</definedName>
    <definedName name="EM_055_17" localSheetId="15">#REF!</definedName>
    <definedName name="EM_055_17" localSheetId="3">#REF!</definedName>
    <definedName name="EM_055_17">#REF!</definedName>
    <definedName name="EM_055_18" localSheetId="17">#REF!</definedName>
    <definedName name="EM_055_18" localSheetId="15">#REF!</definedName>
    <definedName name="EM_055_18" localSheetId="3">#REF!</definedName>
    <definedName name="EM_055_18">#REF!</definedName>
    <definedName name="EM_056_14" localSheetId="17">#REF!</definedName>
    <definedName name="EM_056_14" localSheetId="15">#REF!</definedName>
    <definedName name="EM_056_14" localSheetId="3">#REF!</definedName>
    <definedName name="EM_056_14">#REF!</definedName>
    <definedName name="EM_056_15" localSheetId="17">#REF!</definedName>
    <definedName name="EM_056_15" localSheetId="15">#REF!</definedName>
    <definedName name="EM_056_15" localSheetId="3">#REF!</definedName>
    <definedName name="EM_056_15">#REF!</definedName>
    <definedName name="EM_056_16" localSheetId="17">#REF!</definedName>
    <definedName name="EM_056_16" localSheetId="15">#REF!</definedName>
    <definedName name="EM_056_16" localSheetId="3">#REF!</definedName>
    <definedName name="EM_056_16">#REF!</definedName>
    <definedName name="EM_056_17" localSheetId="17">#REF!</definedName>
    <definedName name="EM_056_17" localSheetId="15">#REF!</definedName>
    <definedName name="EM_056_17" localSheetId="3">#REF!</definedName>
    <definedName name="EM_056_17">#REF!</definedName>
    <definedName name="EM_056_18" localSheetId="17">#REF!</definedName>
    <definedName name="EM_056_18" localSheetId="15">#REF!</definedName>
    <definedName name="EM_056_18" localSheetId="3">#REF!</definedName>
    <definedName name="EM_056_18">#REF!</definedName>
    <definedName name="EM_057_14" localSheetId="17">#REF!</definedName>
    <definedName name="EM_057_14" localSheetId="15">#REF!</definedName>
    <definedName name="EM_057_14" localSheetId="3">#REF!</definedName>
    <definedName name="EM_057_14">#REF!</definedName>
    <definedName name="EM_057_15" localSheetId="17">#REF!</definedName>
    <definedName name="EM_057_15" localSheetId="15">#REF!</definedName>
    <definedName name="EM_057_15" localSheetId="3">#REF!</definedName>
    <definedName name="EM_057_15">#REF!</definedName>
    <definedName name="EM_057_16" localSheetId="17">#REF!</definedName>
    <definedName name="EM_057_16" localSheetId="15">#REF!</definedName>
    <definedName name="EM_057_16" localSheetId="3">#REF!</definedName>
    <definedName name="EM_057_16">#REF!</definedName>
    <definedName name="EM_057_17" localSheetId="17">#REF!</definedName>
    <definedName name="EM_057_17" localSheetId="15">#REF!</definedName>
    <definedName name="EM_057_17" localSheetId="3">#REF!</definedName>
    <definedName name="EM_057_17">#REF!</definedName>
    <definedName name="EM_057_18" localSheetId="17">#REF!</definedName>
    <definedName name="EM_057_18" localSheetId="15">#REF!</definedName>
    <definedName name="EM_057_18" localSheetId="3">#REF!</definedName>
    <definedName name="EM_057_18">#REF!</definedName>
    <definedName name="EM_058_14" localSheetId="17">#REF!</definedName>
    <definedName name="EM_058_14" localSheetId="15">#REF!</definedName>
    <definedName name="EM_058_14" localSheetId="3">#REF!</definedName>
    <definedName name="EM_058_14">#REF!</definedName>
    <definedName name="EM_058_15" localSheetId="17">#REF!</definedName>
    <definedName name="EM_058_15" localSheetId="15">#REF!</definedName>
    <definedName name="EM_058_15" localSheetId="3">#REF!</definedName>
    <definedName name="EM_058_15">#REF!</definedName>
    <definedName name="EM_058_16" localSheetId="17">#REF!</definedName>
    <definedName name="EM_058_16" localSheetId="15">#REF!</definedName>
    <definedName name="EM_058_16" localSheetId="3">#REF!</definedName>
    <definedName name="EM_058_16">#REF!</definedName>
    <definedName name="EM_058_17" localSheetId="17">#REF!</definedName>
    <definedName name="EM_058_17" localSheetId="15">#REF!</definedName>
    <definedName name="EM_058_17" localSheetId="3">#REF!</definedName>
    <definedName name="EM_058_17">#REF!</definedName>
    <definedName name="EM_058_18" localSheetId="17">#REF!</definedName>
    <definedName name="EM_058_18" localSheetId="15">#REF!</definedName>
    <definedName name="EM_058_18" localSheetId="3">#REF!</definedName>
    <definedName name="EM_058_18">#REF!</definedName>
    <definedName name="EM_059_14" localSheetId="17">#REF!</definedName>
    <definedName name="EM_059_14" localSheetId="15">#REF!</definedName>
    <definedName name="EM_059_14" localSheetId="3">#REF!</definedName>
    <definedName name="EM_059_14">#REF!</definedName>
    <definedName name="EM_059_15" localSheetId="17">#REF!</definedName>
    <definedName name="EM_059_15" localSheetId="15">#REF!</definedName>
    <definedName name="EM_059_15" localSheetId="3">#REF!</definedName>
    <definedName name="EM_059_15">#REF!</definedName>
    <definedName name="EM_059_16" localSheetId="17">#REF!</definedName>
    <definedName name="EM_059_16" localSheetId="15">#REF!</definedName>
    <definedName name="EM_059_16" localSheetId="3">#REF!</definedName>
    <definedName name="EM_059_16">#REF!</definedName>
    <definedName name="EM_059_17" localSheetId="17">#REF!</definedName>
    <definedName name="EM_059_17" localSheetId="15">#REF!</definedName>
    <definedName name="EM_059_17" localSheetId="3">#REF!</definedName>
    <definedName name="EM_059_17">#REF!</definedName>
    <definedName name="EM_059_18" localSheetId="17">#REF!</definedName>
    <definedName name="EM_059_18" localSheetId="15">#REF!</definedName>
    <definedName name="EM_059_18" localSheetId="3">#REF!</definedName>
    <definedName name="EM_059_18">#REF!</definedName>
    <definedName name="EM_060_14" localSheetId="17">#REF!</definedName>
    <definedName name="EM_060_14" localSheetId="15">#REF!</definedName>
    <definedName name="EM_060_14" localSheetId="3">#REF!</definedName>
    <definedName name="EM_060_14">#REF!</definedName>
    <definedName name="EM_060_15" localSheetId="17">#REF!</definedName>
    <definedName name="EM_060_15" localSheetId="15">#REF!</definedName>
    <definedName name="EM_060_15" localSheetId="3">#REF!</definedName>
    <definedName name="EM_060_15">#REF!</definedName>
    <definedName name="EM_060_16" localSheetId="17">#REF!</definedName>
    <definedName name="EM_060_16" localSheetId="15">#REF!</definedName>
    <definedName name="EM_060_16" localSheetId="3">#REF!</definedName>
    <definedName name="EM_060_16">#REF!</definedName>
    <definedName name="EM_060_17" localSheetId="17">#REF!</definedName>
    <definedName name="EM_060_17" localSheetId="15">#REF!</definedName>
    <definedName name="EM_060_17" localSheetId="3">#REF!</definedName>
    <definedName name="EM_060_17">#REF!</definedName>
    <definedName name="EM_060_18" localSheetId="17">#REF!</definedName>
    <definedName name="EM_060_18" localSheetId="15">#REF!</definedName>
    <definedName name="EM_060_18" localSheetId="3">#REF!</definedName>
    <definedName name="EM_060_18">#REF!</definedName>
    <definedName name="EM_061_14" localSheetId="17">#REF!</definedName>
    <definedName name="EM_061_14" localSheetId="15">#REF!</definedName>
    <definedName name="EM_061_14" localSheetId="3">#REF!</definedName>
    <definedName name="EM_061_14">#REF!</definedName>
    <definedName name="EM_061_15" localSheetId="17">#REF!</definedName>
    <definedName name="EM_061_15" localSheetId="15">#REF!</definedName>
    <definedName name="EM_061_15" localSheetId="3">#REF!</definedName>
    <definedName name="EM_061_15">#REF!</definedName>
    <definedName name="EM_061_16" localSheetId="17">#REF!</definedName>
    <definedName name="EM_061_16" localSheetId="15">#REF!</definedName>
    <definedName name="EM_061_16" localSheetId="3">#REF!</definedName>
    <definedName name="EM_061_16">#REF!</definedName>
    <definedName name="EM_061_17" localSheetId="17">#REF!</definedName>
    <definedName name="EM_061_17" localSheetId="15">#REF!</definedName>
    <definedName name="EM_061_17" localSheetId="3">#REF!</definedName>
    <definedName name="EM_061_17">#REF!</definedName>
    <definedName name="EM_061_18" localSheetId="17">#REF!</definedName>
    <definedName name="EM_061_18" localSheetId="15">#REF!</definedName>
    <definedName name="EM_061_18" localSheetId="3">#REF!</definedName>
    <definedName name="EM_061_18">#REF!</definedName>
    <definedName name="EM_062_14" localSheetId="17">#REF!</definedName>
    <definedName name="EM_062_14" localSheetId="15">#REF!</definedName>
    <definedName name="EM_062_14" localSheetId="3">#REF!</definedName>
    <definedName name="EM_062_14">#REF!</definedName>
    <definedName name="EM_062_15" localSheetId="17">#REF!</definedName>
    <definedName name="EM_062_15" localSheetId="15">#REF!</definedName>
    <definedName name="EM_062_15" localSheetId="3">#REF!</definedName>
    <definedName name="EM_062_15">#REF!</definedName>
    <definedName name="EM_062_16" localSheetId="17">#REF!</definedName>
    <definedName name="EM_062_16" localSheetId="15">#REF!</definedName>
    <definedName name="EM_062_16" localSheetId="3">#REF!</definedName>
    <definedName name="EM_062_16">#REF!</definedName>
    <definedName name="EM_062_17" localSheetId="17">#REF!</definedName>
    <definedName name="EM_062_17" localSheetId="15">#REF!</definedName>
    <definedName name="EM_062_17" localSheetId="3">#REF!</definedName>
    <definedName name="EM_062_17">#REF!</definedName>
    <definedName name="EM_062_18" localSheetId="17">#REF!</definedName>
    <definedName name="EM_062_18" localSheetId="15">#REF!</definedName>
    <definedName name="EM_062_18" localSheetId="3">#REF!</definedName>
    <definedName name="EM_062_18">#REF!</definedName>
    <definedName name="EM_063_14" localSheetId="17">#REF!</definedName>
    <definedName name="EM_063_14" localSheetId="15">#REF!</definedName>
    <definedName name="EM_063_14" localSheetId="3">#REF!</definedName>
    <definedName name="EM_063_14">#REF!</definedName>
    <definedName name="EM_063_15" localSheetId="17">#REF!</definedName>
    <definedName name="EM_063_15" localSheetId="15">#REF!</definedName>
    <definedName name="EM_063_15" localSheetId="3">#REF!</definedName>
    <definedName name="EM_063_15">#REF!</definedName>
    <definedName name="EM_063_16" localSheetId="17">#REF!</definedName>
    <definedName name="EM_063_16" localSheetId="15">#REF!</definedName>
    <definedName name="EM_063_16" localSheetId="3">#REF!</definedName>
    <definedName name="EM_063_16">#REF!</definedName>
    <definedName name="EM_063_17" localSheetId="17">#REF!</definedName>
    <definedName name="EM_063_17" localSheetId="15">#REF!</definedName>
    <definedName name="EM_063_17" localSheetId="3">#REF!</definedName>
    <definedName name="EM_063_17">#REF!</definedName>
    <definedName name="EM_063_18" localSheetId="17">#REF!</definedName>
    <definedName name="EM_063_18" localSheetId="15">#REF!</definedName>
    <definedName name="EM_063_18" localSheetId="3">#REF!</definedName>
    <definedName name="EM_063_18">#REF!</definedName>
    <definedName name="EM_064_14" localSheetId="17">#REF!</definedName>
    <definedName name="EM_064_14" localSheetId="15">#REF!</definedName>
    <definedName name="EM_064_14" localSheetId="3">#REF!</definedName>
    <definedName name="EM_064_14">#REF!</definedName>
    <definedName name="EM_064_15" localSheetId="17">#REF!</definedName>
    <definedName name="EM_064_15" localSheetId="15">#REF!</definedName>
    <definedName name="EM_064_15" localSheetId="3">#REF!</definedName>
    <definedName name="EM_064_15">#REF!</definedName>
    <definedName name="EM_064_16" localSheetId="17">#REF!</definedName>
    <definedName name="EM_064_16" localSheetId="15">#REF!</definedName>
    <definedName name="EM_064_16" localSheetId="3">#REF!</definedName>
    <definedName name="EM_064_16">#REF!</definedName>
    <definedName name="EM_064_17" localSheetId="17">#REF!</definedName>
    <definedName name="EM_064_17" localSheetId="15">#REF!</definedName>
    <definedName name="EM_064_17" localSheetId="3">#REF!</definedName>
    <definedName name="EM_064_17">#REF!</definedName>
    <definedName name="EM_064_18" localSheetId="17">#REF!</definedName>
    <definedName name="EM_064_18" localSheetId="15">#REF!</definedName>
    <definedName name="EM_064_18" localSheetId="3">#REF!</definedName>
    <definedName name="EM_064_18">#REF!</definedName>
    <definedName name="EM_065_14" localSheetId="17">#REF!</definedName>
    <definedName name="EM_065_14" localSheetId="15">#REF!</definedName>
    <definedName name="EM_065_14" localSheetId="3">#REF!</definedName>
    <definedName name="EM_065_14">#REF!</definedName>
    <definedName name="EM_065_15" localSheetId="17">#REF!</definedName>
    <definedName name="EM_065_15" localSheetId="15">#REF!</definedName>
    <definedName name="EM_065_15" localSheetId="3">#REF!</definedName>
    <definedName name="EM_065_15">#REF!</definedName>
    <definedName name="EM_065_16" localSheetId="17">#REF!</definedName>
    <definedName name="EM_065_16" localSheetId="15">#REF!</definedName>
    <definedName name="EM_065_16" localSheetId="3">#REF!</definedName>
    <definedName name="EM_065_16">#REF!</definedName>
    <definedName name="EM_065_17" localSheetId="17">#REF!</definedName>
    <definedName name="EM_065_17" localSheetId="15">#REF!</definedName>
    <definedName name="EM_065_17" localSheetId="3">#REF!</definedName>
    <definedName name="EM_065_17">#REF!</definedName>
    <definedName name="EM_065_18" localSheetId="17">#REF!</definedName>
    <definedName name="EM_065_18" localSheetId="15">#REF!</definedName>
    <definedName name="EM_065_18" localSheetId="3">#REF!</definedName>
    <definedName name="EM_065_18">#REF!</definedName>
    <definedName name="EM_066_14" localSheetId="17">#REF!</definedName>
    <definedName name="EM_066_14" localSheetId="15">#REF!</definedName>
    <definedName name="EM_066_14" localSheetId="3">#REF!</definedName>
    <definedName name="EM_066_14">#REF!</definedName>
    <definedName name="EM_066_15" localSheetId="17">#REF!</definedName>
    <definedName name="EM_066_15" localSheetId="15">#REF!</definedName>
    <definedName name="EM_066_15" localSheetId="3">#REF!</definedName>
    <definedName name="EM_066_15">#REF!</definedName>
    <definedName name="EM_066_16" localSheetId="17">#REF!</definedName>
    <definedName name="EM_066_16" localSheetId="15">#REF!</definedName>
    <definedName name="EM_066_16" localSheetId="3">#REF!</definedName>
    <definedName name="EM_066_16">#REF!</definedName>
    <definedName name="EM_066_17" localSheetId="17">#REF!</definedName>
    <definedName name="EM_066_17" localSheetId="15">#REF!</definedName>
    <definedName name="EM_066_17" localSheetId="3">#REF!</definedName>
    <definedName name="EM_066_17">#REF!</definedName>
    <definedName name="EM_066_18" localSheetId="17">#REF!</definedName>
    <definedName name="EM_066_18" localSheetId="15">#REF!</definedName>
    <definedName name="EM_066_18" localSheetId="3">#REF!</definedName>
    <definedName name="EM_066_18">#REF!</definedName>
    <definedName name="EM_067_14" localSheetId="17">#REF!</definedName>
    <definedName name="EM_067_14" localSheetId="15">#REF!</definedName>
    <definedName name="EM_067_14" localSheetId="3">#REF!</definedName>
    <definedName name="EM_067_14">#REF!</definedName>
    <definedName name="EM_067_15" localSheetId="17">#REF!</definedName>
    <definedName name="EM_067_15" localSheetId="15">#REF!</definedName>
    <definedName name="EM_067_15" localSheetId="3">#REF!</definedName>
    <definedName name="EM_067_15">#REF!</definedName>
    <definedName name="EM_067_16" localSheetId="17">#REF!</definedName>
    <definedName name="EM_067_16" localSheetId="15">#REF!</definedName>
    <definedName name="EM_067_16" localSheetId="3">#REF!</definedName>
    <definedName name="EM_067_16">#REF!</definedName>
    <definedName name="EM_067_17" localSheetId="17">#REF!</definedName>
    <definedName name="EM_067_17" localSheetId="15">#REF!</definedName>
    <definedName name="EM_067_17" localSheetId="3">#REF!</definedName>
    <definedName name="EM_067_17">#REF!</definedName>
    <definedName name="EM_067_18" localSheetId="17">#REF!</definedName>
    <definedName name="EM_067_18" localSheetId="15">#REF!</definedName>
    <definedName name="EM_067_18" localSheetId="3">#REF!</definedName>
    <definedName name="EM_067_18">#REF!</definedName>
    <definedName name="EM_068_14" localSheetId="17">#REF!</definedName>
    <definedName name="EM_068_14" localSheetId="15">#REF!</definedName>
    <definedName name="EM_068_14" localSheetId="3">#REF!</definedName>
    <definedName name="EM_068_14">#REF!</definedName>
    <definedName name="EM_068_15" localSheetId="17">#REF!</definedName>
    <definedName name="EM_068_15" localSheetId="15">#REF!</definedName>
    <definedName name="EM_068_15" localSheetId="3">#REF!</definedName>
    <definedName name="EM_068_15">#REF!</definedName>
    <definedName name="EM_068_16" localSheetId="17">#REF!</definedName>
    <definedName name="EM_068_16" localSheetId="15">#REF!</definedName>
    <definedName name="EM_068_16" localSheetId="3">#REF!</definedName>
    <definedName name="EM_068_16">#REF!</definedName>
    <definedName name="EM_068_17" localSheetId="17">#REF!</definedName>
    <definedName name="EM_068_17" localSheetId="15">#REF!</definedName>
    <definedName name="EM_068_17" localSheetId="3">#REF!</definedName>
    <definedName name="EM_068_17">#REF!</definedName>
    <definedName name="EM_068_18" localSheetId="17">#REF!</definedName>
    <definedName name="EM_068_18" localSheetId="15">#REF!</definedName>
    <definedName name="EM_068_18" localSheetId="3">#REF!</definedName>
    <definedName name="EM_068_18">#REF!</definedName>
    <definedName name="EM_069_14" localSheetId="17">#REF!</definedName>
    <definedName name="EM_069_14" localSheetId="15">#REF!</definedName>
    <definedName name="EM_069_14" localSheetId="3">#REF!</definedName>
    <definedName name="EM_069_14">#REF!</definedName>
    <definedName name="EM_069_15" localSheetId="17">#REF!</definedName>
    <definedName name="EM_069_15" localSheetId="15">#REF!</definedName>
    <definedName name="EM_069_15" localSheetId="3">#REF!</definedName>
    <definedName name="EM_069_15">#REF!</definedName>
    <definedName name="EM_069_16" localSheetId="17">#REF!</definedName>
    <definedName name="EM_069_16" localSheetId="15">#REF!</definedName>
    <definedName name="EM_069_16" localSheetId="3">#REF!</definedName>
    <definedName name="EM_069_16">#REF!</definedName>
    <definedName name="EM_069_17" localSheetId="17">#REF!</definedName>
    <definedName name="EM_069_17" localSheetId="15">#REF!</definedName>
    <definedName name="EM_069_17" localSheetId="3">#REF!</definedName>
    <definedName name="EM_069_17">#REF!</definedName>
    <definedName name="EM_069_18" localSheetId="17">#REF!</definedName>
    <definedName name="EM_069_18" localSheetId="15">#REF!</definedName>
    <definedName name="EM_069_18" localSheetId="3">#REF!</definedName>
    <definedName name="EM_069_18">#REF!</definedName>
    <definedName name="EM_070_14" localSheetId="17">#REF!</definedName>
    <definedName name="EM_070_14" localSheetId="15">#REF!</definedName>
    <definedName name="EM_070_14" localSheetId="3">#REF!</definedName>
    <definedName name="EM_070_14">#REF!</definedName>
    <definedName name="EM_070_15" localSheetId="17">#REF!</definedName>
    <definedName name="EM_070_15" localSheetId="15">#REF!</definedName>
    <definedName name="EM_070_15" localSheetId="3">#REF!</definedName>
    <definedName name="EM_070_15">#REF!</definedName>
    <definedName name="EM_070_16" localSheetId="17">#REF!</definedName>
    <definedName name="EM_070_16" localSheetId="15">#REF!</definedName>
    <definedName name="EM_070_16" localSheetId="3">#REF!</definedName>
    <definedName name="EM_070_16">#REF!</definedName>
    <definedName name="EM_070_17" localSheetId="17">#REF!</definedName>
    <definedName name="EM_070_17" localSheetId="15">#REF!</definedName>
    <definedName name="EM_070_17" localSheetId="3">#REF!</definedName>
    <definedName name="EM_070_17">#REF!</definedName>
    <definedName name="EM_070_18" localSheetId="17">#REF!</definedName>
    <definedName name="EM_070_18" localSheetId="15">#REF!</definedName>
    <definedName name="EM_070_18" localSheetId="3">#REF!</definedName>
    <definedName name="EM_070_18">#REF!</definedName>
    <definedName name="EM_071_14" localSheetId="17">#REF!</definedName>
    <definedName name="EM_071_14" localSheetId="15">#REF!</definedName>
    <definedName name="EM_071_14" localSheetId="3">#REF!</definedName>
    <definedName name="EM_071_14">#REF!</definedName>
    <definedName name="EM_071_15" localSheetId="17">#REF!</definedName>
    <definedName name="EM_071_15" localSheetId="15">#REF!</definedName>
    <definedName name="EM_071_15" localSheetId="3">#REF!</definedName>
    <definedName name="EM_071_15">#REF!</definedName>
    <definedName name="EM_071_16" localSheetId="17">#REF!</definedName>
    <definedName name="EM_071_16" localSheetId="15">#REF!</definedName>
    <definedName name="EM_071_16" localSheetId="3">#REF!</definedName>
    <definedName name="EM_071_16">#REF!</definedName>
    <definedName name="EM_071_17" localSheetId="17">#REF!</definedName>
    <definedName name="EM_071_17" localSheetId="15">#REF!</definedName>
    <definedName name="EM_071_17" localSheetId="3">#REF!</definedName>
    <definedName name="EM_071_17">#REF!</definedName>
    <definedName name="EM_071_18" localSheetId="17">#REF!</definedName>
    <definedName name="EM_071_18" localSheetId="15">#REF!</definedName>
    <definedName name="EM_071_18" localSheetId="3">#REF!</definedName>
    <definedName name="EM_071_18">#REF!</definedName>
    <definedName name="EM_072_14" localSheetId="17">#REF!</definedName>
    <definedName name="EM_072_14" localSheetId="15">#REF!</definedName>
    <definedName name="EM_072_14" localSheetId="3">#REF!</definedName>
    <definedName name="EM_072_14">#REF!</definedName>
    <definedName name="EM_072_15" localSheetId="17">#REF!</definedName>
    <definedName name="EM_072_15" localSheetId="15">#REF!</definedName>
    <definedName name="EM_072_15" localSheetId="3">#REF!</definedName>
    <definedName name="EM_072_15">#REF!</definedName>
    <definedName name="EM_072_16" localSheetId="17">#REF!</definedName>
    <definedName name="EM_072_16" localSheetId="15">#REF!</definedName>
    <definedName name="EM_072_16" localSheetId="3">#REF!</definedName>
    <definedName name="EM_072_16">#REF!</definedName>
    <definedName name="EM_072_17" localSheetId="17">#REF!</definedName>
    <definedName name="EM_072_17" localSheetId="15">#REF!</definedName>
    <definedName name="EM_072_17" localSheetId="3">#REF!</definedName>
    <definedName name="EM_072_17">#REF!</definedName>
    <definedName name="EM_072_18" localSheetId="17">#REF!</definedName>
    <definedName name="EM_072_18" localSheetId="15">#REF!</definedName>
    <definedName name="EM_072_18" localSheetId="3">#REF!</definedName>
    <definedName name="EM_072_18">#REF!</definedName>
    <definedName name="EM_073_14" localSheetId="17">#REF!</definedName>
    <definedName name="EM_073_14" localSheetId="15">#REF!</definedName>
    <definedName name="EM_073_14" localSheetId="3">#REF!</definedName>
    <definedName name="EM_073_14">#REF!</definedName>
    <definedName name="EM_073_15" localSheetId="17">#REF!</definedName>
    <definedName name="EM_073_15" localSheetId="15">#REF!</definedName>
    <definedName name="EM_073_15" localSheetId="3">#REF!</definedName>
    <definedName name="EM_073_15">#REF!</definedName>
    <definedName name="EM_073_16" localSheetId="17">#REF!</definedName>
    <definedName name="EM_073_16" localSheetId="15">#REF!</definedName>
    <definedName name="EM_073_16" localSheetId="3">#REF!</definedName>
    <definedName name="EM_073_16">#REF!</definedName>
    <definedName name="EM_073_17" localSheetId="17">#REF!</definedName>
    <definedName name="EM_073_17" localSheetId="15">#REF!</definedName>
    <definedName name="EM_073_17" localSheetId="3">#REF!</definedName>
    <definedName name="EM_073_17">#REF!</definedName>
    <definedName name="EM_073_18" localSheetId="17">#REF!</definedName>
    <definedName name="EM_073_18" localSheetId="15">#REF!</definedName>
    <definedName name="EM_073_18" localSheetId="3">#REF!</definedName>
    <definedName name="EM_073_18">#REF!</definedName>
    <definedName name="EM_074_14" localSheetId="17">#REF!</definedName>
    <definedName name="EM_074_14" localSheetId="15">#REF!</definedName>
    <definedName name="EM_074_14" localSheetId="3">#REF!</definedName>
    <definedName name="EM_074_14">#REF!</definedName>
    <definedName name="EM_074_15" localSheetId="17">#REF!</definedName>
    <definedName name="EM_074_15" localSheetId="15">#REF!</definedName>
    <definedName name="EM_074_15" localSheetId="3">#REF!</definedName>
    <definedName name="EM_074_15">#REF!</definedName>
    <definedName name="EM_074_16" localSheetId="17">#REF!</definedName>
    <definedName name="EM_074_16" localSheetId="15">#REF!</definedName>
    <definedName name="EM_074_16" localSheetId="3">#REF!</definedName>
    <definedName name="EM_074_16">#REF!</definedName>
    <definedName name="EM_074_17" localSheetId="17">#REF!</definedName>
    <definedName name="EM_074_17" localSheetId="15">#REF!</definedName>
    <definedName name="EM_074_17" localSheetId="3">#REF!</definedName>
    <definedName name="EM_074_17">#REF!</definedName>
    <definedName name="EM_074_18" localSheetId="17">#REF!</definedName>
    <definedName name="EM_074_18" localSheetId="15">#REF!</definedName>
    <definedName name="EM_074_18" localSheetId="3">#REF!</definedName>
    <definedName name="EM_074_18">#REF!</definedName>
    <definedName name="END" localSheetId="3">#REF!</definedName>
    <definedName name="END">#REF!</definedName>
    <definedName name="EOL" localSheetId="3">#REF!</definedName>
    <definedName name="EOL">#REF!</definedName>
    <definedName name="EPS" hidden="1">[71]총괄표!$H$840:$H$1248</definedName>
    <definedName name="EQ">185</definedName>
    <definedName name="eq_index" localSheetId="17">#REF!</definedName>
    <definedName name="eq_index" localSheetId="15">#REF!</definedName>
    <definedName name="eq_index" localSheetId="3">#REF!</definedName>
    <definedName name="eq_index">#REF!</definedName>
    <definedName name="eq_name" localSheetId="4">[72]eq_data!$C$5:$C$54</definedName>
    <definedName name="eq_name">[73]eq_data!$C$5:$C$54</definedName>
    <definedName name="EQMOB" localSheetId="3">BlankMacro1</definedName>
    <definedName name="EQMOB">BlankMacro1</definedName>
    <definedName name="eqname">[74]eq_data!$C$5:$C$54</definedName>
    <definedName name="equip" localSheetId="3">#REF!</definedName>
    <definedName name="equip">#REF!</definedName>
    <definedName name="equip_c" localSheetId="3">#REF!</definedName>
    <definedName name="equip_c">#REF!</definedName>
    <definedName name="equipment" localSheetId="3">#REF!</definedName>
    <definedName name="equipment">#REF!</definedName>
    <definedName name="EQUIPMENT_____LIST" localSheetId="17">#REF!</definedName>
    <definedName name="EQUIPMENT_____LIST" localSheetId="15">#REF!</definedName>
    <definedName name="EQUIPMENT_____LIST">#REF!</definedName>
    <definedName name="equipment_u" localSheetId="3">#REF!</definedName>
    <definedName name="equipment_u">#REF!</definedName>
    <definedName name="er" localSheetId="3" hidden="1">{"'Grafik Kontrol'!$A$1:$J$8"}</definedName>
    <definedName name="er">{"'장비'!$A$3:$M$12"}</definedName>
    <definedName name="er_1" localSheetId="3" hidden="1">{"'Grafik Kontrol'!$A$1:$J$8"}</definedName>
    <definedName name="er_1" hidden="1">{"'Grafik Kontrol'!$A$1:$J$8"}</definedName>
    <definedName name="Erate">'[75]E_Rate '!$C$6:$D$11</definedName>
    <definedName name="ERD" localSheetId="3" hidden="1">{#N/A,#N/A,TRUE,"Basic";#N/A,#N/A,TRUE,"EXT-TABLE";#N/A,#N/A,TRUE,"STEEL";#N/A,#N/A,TRUE,"INT-Table";#N/A,#N/A,TRUE,"STEEL";#N/A,#N/A,TRUE,"Door"}</definedName>
    <definedName name="ERD" hidden="1">{#N/A,#N/A,TRUE,"Basic";#N/A,#N/A,TRUE,"EXT-TABLE";#N/A,#N/A,TRUE,"STEEL";#N/A,#N/A,TRUE,"INT-Table";#N/A,#N/A,TRUE,"STEEL";#N/A,#N/A,TRUE,"Door"}</definedName>
    <definedName name="ergt" localSheetId="3" hidden="1">{#N/A,#N/A,FALSE,"Çaykara ataköy (1)";#N/A,#N/A,FALSE,"Çaykara ataköy (2)";#N/A,#N/A,FALSE,"Rize Kalkandere ";#N/A,#N/A,FALSE,"meydancık";#N/A,#N/A,FALSE,"muratlı"}</definedName>
    <definedName name="ergt" hidden="1">{#N/A,#N/A,FALSE,"Çaykara ataköy (1)";#N/A,#N/A,FALSE,"Çaykara ataköy (2)";#N/A,#N/A,FALSE,"Rize Kalkandere ";#N/A,#N/A,FALSE,"meydancık";#N/A,#N/A,FALSE,"muratlı"}</definedName>
    <definedName name="ErrName223737537">[76]Cash2!$G$16:$G$31</definedName>
    <definedName name="ErrName301948010">{0,0,0,0;0,0,0,0;0,0,0,0;0,0,0,0;0,0,0,0;0,0,0,0}</definedName>
    <definedName name="ErrName903058408">#REF!</definedName>
    <definedName name="ert">{"'장비'!$A$3:$M$12"}</definedName>
    <definedName name="ertd" localSheetId="3" hidden="1">{#N/A,#N/A,FALSE,"Çaykara ataköy (1)";#N/A,#N/A,FALSE,"Çaykara ataköy (2)";#N/A,#N/A,FALSE,"Rize Kalkandere ";#N/A,#N/A,FALSE,"meydancık";#N/A,#N/A,FALSE,"muratlı"}</definedName>
    <definedName name="ertd" hidden="1">{#N/A,#N/A,FALSE,"Çaykara ataköy (1)";#N/A,#N/A,FALSE,"Çaykara ataköy (2)";#N/A,#N/A,FALSE,"Rize Kalkandere ";#N/A,#N/A,FALSE,"meydancık";#N/A,#N/A,FALSE,"muratlı"}</definedName>
    <definedName name="erty">{"'장비'!$A$3:$M$12"}</definedName>
    <definedName name="escalation" localSheetId="3">#REF!</definedName>
    <definedName name="escalation">#REF!</definedName>
    <definedName name="ESE" localSheetId="3" hidden="1">{#N/A,#N/A,FALSE,"TABLE"}</definedName>
    <definedName name="ESE" hidden="1">{#N/A,#N/A,FALSE,"TABLE"}</definedName>
    <definedName name="Espiye" localSheetId="3" hidden="1">{#N/A,#N/A,FALSE,"Çaykara ataköy (1)";#N/A,#N/A,FALSE,"Çaykara ataköy (2)";#N/A,#N/A,FALSE,"Rize Kalkandere ";#N/A,#N/A,FALSE,"meydancık";#N/A,#N/A,FALSE,"muratlı"}</definedName>
    <definedName name="Espiye" hidden="1">{#N/A,#N/A,FALSE,"Çaykara ataköy (1)";#N/A,#N/A,FALSE,"Çaykara ataköy (2)";#N/A,#N/A,FALSE,"Rize Kalkandere ";#N/A,#N/A,FALSE,"meydancık";#N/A,#N/A,FALSE,"muratlı"}</definedName>
    <definedName name="ETABLI1">"Texte 164"</definedName>
    <definedName name="ETABLI2">"Texte 176"</definedName>
    <definedName name="ETABLI3">"Texte 170"</definedName>
    <definedName name="ETABLI4">"Texte 182"</definedName>
    <definedName name="ETE" localSheetId="3" hidden="1">{#N/A,#N/A,FALSE,"TABLE"}</definedName>
    <definedName name="ETE" hidden="1">{#N/A,#N/A,FALSE,"TABLE"}</definedName>
    <definedName name="EU" localSheetId="3">#REF!</definedName>
    <definedName name="EU">#REF!</definedName>
    <definedName name="EUP">[77]적용환율!$B$6</definedName>
    <definedName name="EUR" localSheetId="3">#REF!</definedName>
    <definedName name="EUR">#REF!</definedName>
    <definedName name="Euro" localSheetId="3">#REF!</definedName>
    <definedName name="Euro">#REF!</definedName>
    <definedName name="ewr" hidden="1">#REF!</definedName>
    <definedName name="EWTWET" localSheetId="3" hidden="1">{#N/A,#N/A,FALSE,"TABLE"}</definedName>
    <definedName name="EWTWET" hidden="1">{#N/A,#N/A,FALSE,"TABLE"}</definedName>
    <definedName name="ex_joint" localSheetId="3">#REF!</definedName>
    <definedName name="ex_joint">#REF!</definedName>
    <definedName name="Exch._K">'[57]현장 개요'!$D$9</definedName>
    <definedName name="Exch_E">'[57]현장 개요'!$D$10</definedName>
    <definedName name="Exch_L">'[57]현장 개요'!$D$11</definedName>
    <definedName name="exec" localSheetId="3">#REF!</definedName>
    <definedName name="exec">#REF!</definedName>
    <definedName name="Ext_Paint_Final" localSheetId="3">#REF!</definedName>
    <definedName name="Ext_Paint_Final">#REF!</definedName>
    <definedName name="Ext_Paint_Intermediate" localSheetId="3">#REF!</definedName>
    <definedName name="Ext_Paint_Intermediate">#REF!</definedName>
    <definedName name="Ext_Paint_Primer" localSheetId="3">#REF!</definedName>
    <definedName name="Ext_Paint_Primer">#REF!</definedName>
    <definedName name="_xlnm.Extract">#REF!</definedName>
    <definedName name="EXTRACT_MI" localSheetId="3">#REF!</definedName>
    <definedName name="EXTRACT_MI">#REF!</definedName>
    <definedName name="eyteyt" localSheetId="3" hidden="1">{#N/A,#N/A,FALSE,"CCTV"}</definedName>
    <definedName name="eyteyt" hidden="1">{#N/A,#N/A,FALSE,"CCTV"}</definedName>
    <definedName name="F" localSheetId="17">[78]영업소실적!#REF!</definedName>
    <definedName name="F" localSheetId="15">[78]영업소실적!#REF!</definedName>
    <definedName name="F" localSheetId="4">#REF!</definedName>
    <definedName name="F">[78]영업소실적!#REF!</definedName>
    <definedName name="F_CODE" localSheetId="3">#REF!</definedName>
    <definedName name="F_CODE">#REF!</definedName>
    <definedName name="F_DES" localSheetId="3">#REF!</definedName>
    <definedName name="F_DES">#REF!</definedName>
    <definedName name="F_INT1">#N/A</definedName>
    <definedName name="F_LA1" localSheetId="3">#REF!</definedName>
    <definedName name="F_LA1">#REF!</definedName>
    <definedName name="F_LA2" localSheetId="3">#REF!</definedName>
    <definedName name="F_LA2">#REF!</definedName>
    <definedName name="F_LA3" localSheetId="3">#REF!</definedName>
    <definedName name="F_LA3">#REF!</definedName>
    <definedName name="F_QUNIT" localSheetId="3">#REF!</definedName>
    <definedName name="F_QUNIT">#REF!</definedName>
    <definedName name="F_Rate">'[57]현장 개요'!$E$47</definedName>
    <definedName name="f_shape" localSheetId="17">#REF!</definedName>
    <definedName name="f_shape" localSheetId="15">#REF!</definedName>
    <definedName name="f_shape" localSheetId="3">#REF!</definedName>
    <definedName name="f_shape">#REF!</definedName>
    <definedName name="F_SIZE">#N/A</definedName>
    <definedName name="fact" localSheetId="3">#REF!</definedName>
    <definedName name="fact">#REF!</definedName>
    <definedName name="Factor">[79]PumpSpec!$U$2:$V$5</definedName>
    <definedName name="FAN견적의뢰" localSheetId="3" hidden="1">{#N/A,#N/A,FALSE,"기안지";#N/A,#N/A,FALSE,"통신지"}</definedName>
    <definedName name="FAN견적의뢰" hidden="1">{#N/A,#N/A,FALSE,"기안지";#N/A,#N/A,FALSE,"통신지"}</definedName>
    <definedName name="fasfsdfsdfasdfsdfsd" localSheetId="3" hidden="1">{#N/A,#N/A,TRUE,"Basic";#N/A,#N/A,TRUE,"EXT-TABLE";#N/A,#N/A,TRUE,"STEEL";#N/A,#N/A,TRUE,"INT-Table";#N/A,#N/A,TRUE,"STEEL";#N/A,#N/A,TRUE,"Door"}</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b">#REF!</definedName>
    <definedName name="FC" localSheetId="3">#REF!</definedName>
    <definedName name="FC">#REF!</definedName>
    <definedName name="fd" localSheetId="3" hidden="1">{#N/A,#N/A,FALSE,"TABLE"}</definedName>
    <definedName name="fd" hidden="1">{#N/A,#N/A,FALSE,"TABLE"}</definedName>
    <definedName name="fddfhdfhdgh" localSheetId="3" hidden="1">{#N/A,#N/A,FALSE,"CCTV"}</definedName>
    <definedName name="fddfhdfhdgh" hidden="1">{#N/A,#N/A,FALSE,"CCTV"}</definedName>
    <definedName name="fdf" localSheetId="3" hidden="1">{#N/A,#N/A,FALSE,"CCTV"}</definedName>
    <definedName name="fdf" hidden="1">{#N/A,#N/A,FALSE,"CCTV"}</definedName>
    <definedName name="FDFD"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DFD"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DFDF" localSheetId="3" hidden="1">{#N/A,#N/A,FALSE,"CCTV"}</definedName>
    <definedName name="FDFDF" hidden="1">{#N/A,#N/A,FALSE,"CCTV"}</definedName>
    <definedName name="fdfsdfsd" localSheetId="3">#REF!</definedName>
    <definedName name="fdfsdfsd">#REF!</definedName>
    <definedName name="fdgg" localSheetId="3" hidden="1">{#N/A,#N/A,FALSE,"Çaykara ataköy (1)";#N/A,#N/A,FALSE,"Çaykara ataköy (2)";#N/A,#N/A,FALSE,"Rize Kalkandere ";#N/A,#N/A,FALSE,"meydancık";#N/A,#N/A,FALSE,"muratlı"}</definedName>
    <definedName name="fdgg" hidden="1">{#N/A,#N/A,FALSE,"Çaykara ataköy (1)";#N/A,#N/A,FALSE,"Çaykara ataköy (2)";#N/A,#N/A,FALSE,"Rize Kalkandere ";#N/A,#N/A,FALSE,"meydancık";#N/A,#N/A,FALSE,"muratlı"}</definedName>
    <definedName name="fdhg" hidden="1">{#N/A,#N/A,FALSE,"이태원철근"}</definedName>
    <definedName name="fdn_no" localSheetId="17">#REF!</definedName>
    <definedName name="fdn_no" localSheetId="15">#REF!</definedName>
    <definedName name="fdn_no" localSheetId="3">#REF!</definedName>
    <definedName name="fdn_no">#REF!</definedName>
    <definedName name="fdsgf" localSheetId="3" hidden="1">{#N/A,#N/A,FALSE,"Çaykara ataköy (1)";#N/A,#N/A,FALSE,"Çaykara ataköy (2)";#N/A,#N/A,FALSE,"Rize Kalkandere ";#N/A,#N/A,FALSE,"meydancık";#N/A,#N/A,FALSE,"muratlı"}</definedName>
    <definedName name="fdsgf" hidden="1">{#N/A,#N/A,FALSE,"Çaykara ataköy (1)";#N/A,#N/A,FALSE,"Çaykara ataköy (2)";#N/A,#N/A,FALSE,"Rize Kalkandere ";#N/A,#N/A,FALSE,"meydancık";#N/A,#N/A,FALSE,"muratlı"}</definedName>
    <definedName name="Fence" localSheetId="3">{"Book1","tender-form0110-final.xls"}</definedName>
    <definedName name="Fence">{"Book1","tender-form0110-final.xls"}</definedName>
    <definedName name="ferhan" localSheetId="3" hidden="1">{#N/A,#N/A,FALSE,"Çaykara ataköy (1)";#N/A,#N/A,FALSE,"Çaykara ataköy (2)";#N/A,#N/A,FALSE,"Rize Kalkandere ";#N/A,#N/A,FALSE,"meydancık";#N/A,#N/A,FALSE,"muratlı"}</definedName>
    <definedName name="ferhan" hidden="1">{#N/A,#N/A,FALSE,"Çaykara ataköy (1)";#N/A,#N/A,FALSE,"Çaykara ataköy (2)";#N/A,#N/A,FALSE,"Rize Kalkandere ";#N/A,#N/A,FALSE,"meydancık";#N/A,#N/A,FALSE,"muratlı"}</definedName>
    <definedName name="FERHAN1" localSheetId="3" hidden="1">{#N/A,#N/A,FALSE,"Çaykara ataköy (1)";#N/A,#N/A,FALSE,"Çaykara ataköy (2)";#N/A,#N/A,FALSE,"Rize Kalkandere ";#N/A,#N/A,FALSE,"meydancık";#N/A,#N/A,FALSE,"muratlı"}</definedName>
    <definedName name="FERHAN1" hidden="1">{#N/A,#N/A,FALSE,"Çaykara ataköy (1)";#N/A,#N/A,FALSE,"Çaykara ataköy (2)";#N/A,#N/A,FALSE,"Rize Kalkandere ";#N/A,#N/A,FALSE,"meydancık";#N/A,#N/A,FALSE,"muratlı"}</definedName>
    <definedName name="ferhan2" localSheetId="3" hidden="1">{#N/A,#N/A,FALSE,"Çaykara ataköy (1)";#N/A,#N/A,FALSE,"Çaykara ataköy (2)";#N/A,#N/A,FALSE,"Rize Kalkandere ";#N/A,#N/A,FALSE,"meydancık";#N/A,#N/A,FALSE,"muratlı"}</definedName>
    <definedName name="ferhan2" hidden="1">{#N/A,#N/A,FALSE,"Çaykara ataköy (1)";#N/A,#N/A,FALSE,"Çaykara ataköy (2)";#N/A,#N/A,FALSE,"Rize Kalkandere ";#N/A,#N/A,FALSE,"meydancık";#N/A,#N/A,FALSE,"muratlı"}</definedName>
    <definedName name="FF" localSheetId="3">#REF!</definedName>
    <definedName name="ff" hidden="1">#REF!</definedName>
    <definedName name="FF." localSheetId="3" hidden="1">{#N/A,#N/A,FALSE,"Çaykara ataköy (1)";#N/A,#N/A,FALSE,"Çaykara ataköy (2)";#N/A,#N/A,FALSE,"Rize Kalkandere ";#N/A,#N/A,FALSE,"meydancık";#N/A,#N/A,FALSE,"muratlı"}</definedName>
    <definedName name="FF." hidden="1">{#N/A,#N/A,FALSE,"Çaykara ataköy (1)";#N/A,#N/A,FALSE,"Çaykara ataköy (2)";#N/A,#N/A,FALSE,"Rize Kalkandere ";#N/A,#N/A,FALSE,"meydancık";#N/A,#N/A,FALSE,"muratlı"}</definedName>
    <definedName name="FFF" localSheetId="3" hidden="1">{#N/A,#N/A,FALSE,"Çaykara ataköy (1)";#N/A,#N/A,FALSE,"Çaykara ataköy (2)";#N/A,#N/A,FALSE,"Rize Kalkandere ";#N/A,#N/A,FALSE,"meydancık";#N/A,#N/A,FALSE,"muratlı"}</definedName>
    <definedName name="FFF">'[80]MOB-MAN1'!$D$40:$BW$49</definedName>
    <definedName name="ffff" hidden="1">{#N/A,#N/A,TRUE,"Basic";#N/A,#N/A,TRUE,"EXT-TABLE";#N/A,#N/A,TRUE,"STEEL";#N/A,#N/A,TRUE,"INT-Table";#N/A,#N/A,TRUE,"STEEL";#N/A,#N/A,TRUE,"Door"}</definedName>
    <definedName name="ffffdd" hidden="1">{#N/A,#N/A,FALSE,"TABLE"}</definedName>
    <definedName name="fffff" localSheetId="3" hidden="1">{#N/A,#N/A,TRUE,"Basic";#N/A,#N/A,TRUE,"EXT-TABLE";#N/A,#N/A,TRUE,"STEEL";#N/A,#N/A,TRUE,"INT-Table";#N/A,#N/A,TRUE,"STEEL";#N/A,#N/A,TRUE,"Door"}</definedName>
    <definedName name="fffff" hidden="1">{#N/A,#N/A,TRUE,"Basic";#N/A,#N/A,TRUE,"EXT-TABLE";#N/A,#N/A,TRUE,"STEEL";#N/A,#N/A,TRUE,"INT-Table";#N/A,#N/A,TRUE,"STEEL";#N/A,#N/A,TRUE,"Door"}</definedName>
    <definedName name="fffff_1" hidden="1">{#N/A,#N/A,TRUE,"Basic";#N/A,#N/A,TRUE,"EXT-TABLE";#N/A,#N/A,TRUE,"STEEL";#N/A,#N/A,TRUE,"INT-Table";#N/A,#N/A,TRUE,"STEEL";#N/A,#N/A,TRUE,"Door"}</definedName>
    <definedName name="ffffff" localSheetId="3" hidden="1">{#N/A,#N/A,FALSE,"CCTV"}</definedName>
    <definedName name="ffffff" hidden="1">{#N/A,#N/A,FALSE,"CCTV"}</definedName>
    <definedName name="FFFFFFFFFFFFFF" localSheetId="3" hidden="1">{#N/A,#N/A,FALSE,"Çaykara ataköy (1)";#N/A,#N/A,FALSE,"Çaykara ataköy (2)";#N/A,#N/A,FALSE,"Rize Kalkandere ";#N/A,#N/A,FALSE,"meydancık";#N/A,#N/A,FALSE,"muratlı"}</definedName>
    <definedName name="FFFFFFFFFFFFFF" hidden="1">{#N/A,#N/A,FALSE,"Çaykara ataköy (1)";#N/A,#N/A,FALSE,"Çaykara ataköy (2)";#N/A,#N/A,FALSE,"Rize Kalkandere ";#N/A,#N/A,FALSE,"meydancık";#N/A,#N/A,FALSE,"muratlı"}</definedName>
    <definedName name="FFFFFFFFFFFFFFFFFFFF">'[81]현장 개요'!$D$6</definedName>
    <definedName name="fffffffg">{"'장비'!$A$3:$M$12"}</definedName>
    <definedName name="FFFFHBT" hidden="1">#REF!</definedName>
    <definedName name="FFFFHHH" hidden="1">'[82]TABLO-3'!$B$8:$B$8</definedName>
    <definedName name="ffgfg">{"'장비'!$A$3:$M$12"}</definedName>
    <definedName name="ffsdgsgf" localSheetId="3" hidden="1">{#N/A,#N/A,FALSE,"표지목차"}</definedName>
    <definedName name="ffsdgsgf" hidden="1">{#N/A,#N/A,FALSE,"표지목차"}</definedName>
    <definedName name="fg" localSheetId="3" hidden="1">{"'Grafik Kontrol'!$A$1:$J$8"}</definedName>
    <definedName name="fg" hidden="1">{"'Grafik Kontrol'!$A$1:$J$8"}</definedName>
    <definedName name="fg_1" localSheetId="3" hidden="1">{"'Grafik Kontrol'!$A$1:$J$8"}</definedName>
    <definedName name="fg_1" hidden="1">{"'Grafik Kontrol'!$A$1:$J$8"}</definedName>
    <definedName name="fg1314TBTB4RTDKDKDKRT" localSheetId="3">#REF!</definedName>
    <definedName name="fg1314TBTB4RTDKDKDKRT">#REF!</definedName>
    <definedName name="FG20TBTB2RT" localSheetId="3">#REF!</definedName>
    <definedName name="FG20TBTB2RT">#REF!</definedName>
    <definedName name="fg28TBTB2RTDKDK" localSheetId="3">#REF!</definedName>
    <definedName name="fg28TBTB2RTDKDK">#REF!</definedName>
    <definedName name="FG28TBTB2RTDKDKRT" localSheetId="3">#REF!</definedName>
    <definedName name="FG28TBTB2RTDKDKRT">#REF!</definedName>
    <definedName name="FG28TBTB4RTDK" localSheetId="3">#REF!</definedName>
    <definedName name="FG28TBTB4RTDK">#REF!</definedName>
    <definedName name="FG44TBTB4RTDKDK" localSheetId="3">#REF!</definedName>
    <definedName name="FG44TBTB4RTDKDK">#REF!</definedName>
    <definedName name="FG46TBTB4RTDKDK" localSheetId="17">#REF!</definedName>
    <definedName name="FG46TBTB4RTDKDK" localSheetId="15">#REF!</definedName>
    <definedName name="FG46TBTB4RTDKDK" localSheetId="3">#REF!</definedName>
    <definedName name="FG46TBTB4RTDKDK">#REF!</definedName>
    <definedName name="FGF" localSheetId="3" hidden="1">{#N/A,#N/A,FALSE,"CCTV"}</definedName>
    <definedName name="FGF" hidden="1">{#N/A,#N/A,FALSE,"CCTV"}</definedName>
    <definedName name="fgfg"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hfgh" localSheetId="3" hidden="1">{#N/A,#N/A,FALSE,"Çaykara ataköy (1)";#N/A,#N/A,FALSE,"Çaykara ataköy (2)";#N/A,#N/A,FALSE,"Rize Kalkandere ";#N/A,#N/A,FALSE,"meydancık";#N/A,#N/A,FALSE,"muratlı"}</definedName>
    <definedName name="fgfhfgh" hidden="1">{#N/A,#N/A,FALSE,"Çaykara ataköy (1)";#N/A,#N/A,FALSE,"Çaykara ataköy (2)";#N/A,#N/A,FALSE,"Rize Kalkandere ";#N/A,#N/A,FALSE,"meydancık";#N/A,#N/A,FALSE,"muratlı"}</definedName>
    <definedName name="FGPRPRRKRKRKTBTB2RTDKDK" localSheetId="3">#REF!</definedName>
    <definedName name="FGPRPRRKRKRKTBTB2RTDKDK">#REF!</definedName>
    <definedName name="FGRKRKRKRKRKRKRKRKRKRKRKRKTBTB3" localSheetId="3">#REF!</definedName>
    <definedName name="FGRKRKRKRKRKRKRKRKRKRKRKRKTBTB3">#REF!</definedName>
    <definedName name="FHFH" localSheetId="3" hidden="1">{#N/A,#N/A,FALSE,"TABLE"}</definedName>
    <definedName name="FHFH" hidden="1">{#N/A,#N/A,FALSE,"TABLE"}</definedName>
    <definedName name="fhgjfghfghgf" localSheetId="3" hidden="1">{#N/A,#N/A,FALSE,"CCTV"}</definedName>
    <definedName name="fhgjfghfghgf" hidden="1">{#N/A,#N/A,FALSE,"CCTV"}</definedName>
    <definedName name="Field_Erection" localSheetId="3">#REF!</definedName>
    <definedName name="Field_Erection">#REF!</definedName>
    <definedName name="Field_Internals" localSheetId="3">#REF!</definedName>
    <definedName name="Field_Internals">#REF!</definedName>
    <definedName name="Field_Platform" localSheetId="3">#REF!</definedName>
    <definedName name="Field_Platform">#REF!</definedName>
    <definedName name="FieldFab" localSheetId="3">#REF!</definedName>
    <definedName name="FieldFab">#REF!</definedName>
    <definedName name="FileNameSummary">[83]Main!#REF!</definedName>
    <definedName name="filter" hidden="1">#REF!</definedName>
    <definedName name="FINAL" localSheetId="3" hidden="1">{#N/A,#N/A,FALSE,"TABLE"}</definedName>
    <definedName name="FINAL" hidden="1">{#N/A,#N/A,FALSE,"TABLE"}</definedName>
    <definedName name="Fire_Proofing" localSheetId="3">#REF!</definedName>
    <definedName name="Fire_Proofing">#REF!</definedName>
    <definedName name="FIT" localSheetId="3">#REF!</definedName>
    <definedName name="FIT">#REF!</definedName>
    <definedName name="FJKLSJ" localSheetId="3" hidden="1">{#N/A,#N/A,FALSE,"TABLE"}</definedName>
    <definedName name="FJKLSJ" hidden="1">{#N/A,#N/A,FALSE,"TABLE"}</definedName>
    <definedName name="FKJLSDJFK" localSheetId="3" hidden="1">{#N/A,#N/A,FALSE,"TABLE"}</definedName>
    <definedName name="FKJLSDJFK" hidden="1">{#N/A,#N/A,FALSE,"TABLE"}</definedName>
    <definedName name="FLG" localSheetId="3">#REF!</definedName>
    <definedName name="FLG">#REF!</definedName>
    <definedName name="FLG_Orifice" localSheetId="3">#REF!</definedName>
    <definedName name="FLG_Orifice">#REF!</definedName>
    <definedName name="FM">#REF!</definedName>
    <definedName name="fo">1300</definedName>
    <definedName name="FOBA">[84]PANTAI!$C$3</definedName>
    <definedName name="FOR" hidden="1">{#N/A,#N/A,FALSE,"CCTV"}</definedName>
    <definedName name="FOR_ITEM" localSheetId="3">#REF!</definedName>
    <definedName name="FOR_ITEM">#REF!</definedName>
    <definedName name="FORMAT" hidden="1">{#N/A,#N/A,FALSE,"CCTV"}</definedName>
    <definedName name="FOS" localSheetId="3">#REF!</definedName>
    <definedName name="FOS">#REF!</definedName>
    <definedName name="FQWFF" hidden="1">#REF!</definedName>
    <definedName name="freight1" localSheetId="3">#REF!</definedName>
    <definedName name="freight1">#REF!</definedName>
    <definedName name="fsda" localSheetId="3" hidden="1">{#N/A,#N/A,TRUE,"Basic";#N/A,#N/A,TRUE,"EXT-TABLE";#N/A,#N/A,TRUE,"STEEL";#N/A,#N/A,TRUE,"INT-Table";#N/A,#N/A,TRUE,"STEEL";#N/A,#N/A,TRUE,"Door"}</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a" hidden="1">{#N/A,#N/A,TRUE,"Basic";#N/A,#N/A,TRUE,"EXT-TABLE";#N/A,#N/A,TRUE,"STEEL";#N/A,#N/A,TRUE,"INT-Table";#N/A,#N/A,TRUE,"STEEL";#N/A,#N/A,TRUE,"Door"}</definedName>
    <definedName name="fsdf" localSheetId="3" hidden="1">#REF!</definedName>
    <definedName name="fsdf" hidden="1">#REF!</definedName>
    <definedName name="FSDFSD" localSheetId="3" hidden="1">{#N/A,#N/A,FALSE,"Çaykara ataköy (1)";#N/A,#N/A,FALSE,"Çaykara ataköy (2)";#N/A,#N/A,FALSE,"Rize Kalkandere ";#N/A,#N/A,FALSE,"meydancık";#N/A,#N/A,FALSE,"muratlı"}</definedName>
    <definedName name="FSDFSD" hidden="1">{#N/A,#N/A,FALSE,"Çaykara ataköy (1)";#N/A,#N/A,FALSE,"Çaykara ataköy (2)";#N/A,#N/A,FALSE,"Rize Kalkandere ";#N/A,#N/A,FALSE,"meydancık";#N/A,#N/A,FALSE,"muratlı"}</definedName>
    <definedName name="FSIZE" localSheetId="3">#REF!</definedName>
    <definedName name="FSIZE">#REF!</definedName>
    <definedName name="ft">[85]PUMP!$A$6</definedName>
    <definedName name="fththfg" hidden="1">[14]유림골조!#REF!</definedName>
    <definedName name="Furniture" hidden="1">{#N/A,#N/A,TRUE,"Basic";#N/A,#N/A,TRUE,"EXT-TABLE";#N/A,#N/A,TRUE,"STEEL";#N/A,#N/A,TRUE,"INT-Table";#N/A,#N/A,TRUE,"STEEL";#N/A,#N/A,TRUE,"Door"}</definedName>
    <definedName name="fwbs_name" localSheetId="3">#REF!</definedName>
    <definedName name="fwbs_name">#REF!</definedName>
    <definedName name="g">[86]사업계획!$AF$54</definedName>
    <definedName name="G.M.Eköden.İht." localSheetId="3" hidden="1">{#N/A,#N/A,FALSE,"Çaykara ataköy (1)";#N/A,#N/A,FALSE,"Çaykara ataköy (2)";#N/A,#N/A,FALSE,"Rize Kalkandere ";#N/A,#N/A,FALSE,"meydancık";#N/A,#N/A,FALSE,"muratlı"}</definedName>
    <definedName name="G.M.Eköden.İht." hidden="1">{#N/A,#N/A,FALSE,"Çaykara ataköy (1)";#N/A,#N/A,FALSE,"Çaykara ataköy (2)";#N/A,#N/A,FALSE,"Rize Kalkandere ";#N/A,#N/A,FALSE,"meydancık";#N/A,#N/A,FALSE,"muratlı"}</definedName>
    <definedName name="G_P_P">#N/A</definedName>
    <definedName name="Gas" localSheetId="3">#REF!</definedName>
    <definedName name="Gas">#REF!</definedName>
    <definedName name="Gasoline" comment="가솔린단가">[64]차량운영비!$O$8</definedName>
    <definedName name="GASUL" localSheetId="3">#REF!</definedName>
    <definedName name="GASUL">#REF!</definedName>
    <definedName name="gate" localSheetId="3">#REF!</definedName>
    <definedName name="gate">#REF!</definedName>
    <definedName name="GBP">'[46]Ex-Rate'!$C$8</definedName>
    <definedName name="GBP_SDG" localSheetId="3">#REF!</definedName>
    <definedName name="GBP_SDG">#REF!</definedName>
    <definedName name="gdsf"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n.Müd.İhl" localSheetId="3" hidden="1">{#N/A,#N/A,FALSE,"Çaykara ataköy (1)";#N/A,#N/A,FALSE,"Çaykara ataköy (2)";#N/A,#N/A,FALSE,"Rize Kalkandere ";#N/A,#N/A,FALSE,"meydancık";#N/A,#N/A,FALSE,"muratlı"}</definedName>
    <definedName name="Gen.Müd.İhl" hidden="1">{#N/A,#N/A,FALSE,"Çaykara ataköy (1)";#N/A,#N/A,FALSE,"Çaykara ataköy (2)";#N/A,#N/A,FALSE,"Rize Kalkandere ";#N/A,#N/A,FALSE,"meydancık";#N/A,#N/A,FALSE,"muratlı"}</definedName>
    <definedName name="GFD" localSheetId="3" hidden="1">{#N/A,#N/A,FALSE,"TABLE"}</definedName>
    <definedName name="GFD" hidden="1">{#N/A,#N/A,FALSE,"TABLE"}</definedName>
    <definedName name="gfjgfh" localSheetId="3" hidden="1">{#N/A,#N/A,FALSE,"CCTV"}</definedName>
    <definedName name="gfjgfh" hidden="1">{#N/A,#N/A,FALSE,"CCTV"}</definedName>
    <definedName name="gfjgfhfg" localSheetId="3" hidden="1">{#N/A,#N/A,FALSE,"CCTV"}</definedName>
    <definedName name="gfjgfhfg" hidden="1">{#N/A,#N/A,FALSE,"CCTV"}</definedName>
    <definedName name="gfsfg" hidden="1">{#N/A,#N/A,FALSE,"이태원철근"}</definedName>
    <definedName name="GG" localSheetId="3" hidden="1">{#N/A,#N/A,FALSE,"Çaykara ataköy (1)";#N/A,#N/A,FALSE,"Çaykara ataköy (2)";#N/A,#N/A,FALSE,"Rize Kalkandere ";#N/A,#N/A,FALSE,"meydancık";#N/A,#N/A,FALSE,"muratlı"}</definedName>
    <definedName name="gg" hidden="1">{"LKD",#N/A,FALSE,"표지"}</definedName>
    <definedName name="GG." localSheetId="3" hidden="1">{#N/A,#N/A,FALSE,"Çaykara ataköy (1)";#N/A,#N/A,FALSE,"Çaykara ataköy (2)";#N/A,#N/A,FALSE,"Rize Kalkandere ";#N/A,#N/A,FALSE,"meydancık";#N/A,#N/A,FALSE,"muratlı"}</definedName>
    <definedName name="GG." hidden="1">{#N/A,#N/A,FALSE,"Çaykara ataköy (1)";#N/A,#N/A,FALSE,"Çaykara ataköy (2)";#N/A,#N/A,FALSE,"Rize Kalkandere ";#N/A,#N/A,FALSE,"meydancık";#N/A,#N/A,FALSE,"muratlı"}</definedName>
    <definedName name="GGG" localSheetId="3" hidden="1">{"'Grafik Kontrol'!$A$1:$J$8"}</definedName>
    <definedName name="ggg">{"'장비'!$A$3:$M$12"}</definedName>
    <definedName name="GGG_1" localSheetId="3" hidden="1">{"'Grafik Kontrol'!$A$1:$J$8"}</definedName>
    <definedName name="GGG_1" hidden="1">{"'Grafik Kontrol'!$A$1:$J$8"}</definedName>
    <definedName name="gggg">{"'장비'!$A$3:$M$12"}</definedName>
    <definedName name="ggggg">{"'장비'!$A$3:$M$12"}</definedName>
    <definedName name="ghdghdg" hidden="1">{#N/A,#N/A,FALSE,"이태원철근"}</definedName>
    <definedName name="ghghhg" localSheetId="3" hidden="1">{#N/A,#N/A,FALSE,"Çaykara ataköy (1)";#N/A,#N/A,FALSE,"Çaykara ataköy (2)";#N/A,#N/A,FALSE,"Rize Kalkandere ";#N/A,#N/A,FALSE,"meydancık";#N/A,#N/A,FALSE,"muratlı"}</definedName>
    <definedName name="ghghhg" hidden="1">{#N/A,#N/A,FALSE,"Çaykara ataköy (1)";#N/A,#N/A,FALSE,"Çaykara ataköy (2)";#N/A,#N/A,FALSE,"Rize Kalkandere ";#N/A,#N/A,FALSE,"meydancık";#N/A,#N/A,FALSE,"muratlı"}</definedName>
    <definedName name="ghhg" localSheetId="3" hidden="1">{"'Grafik Kontrol'!$A$1:$J$8"}</definedName>
    <definedName name="ghhg" hidden="1">{"'Grafik Kontrol'!$A$1:$J$8"}</definedName>
    <definedName name="ghhg_1" localSheetId="3" hidden="1">{"'Grafik Kontrol'!$A$1:$J$8"}</definedName>
    <definedName name="ghhg_1" hidden="1">{"'Grafik Kontrol'!$A$1:$J$8"}</definedName>
    <definedName name="GHI" localSheetId="3" hidden="1">{#N/A,#N/A,FALSE,"TABLE"}</definedName>
    <definedName name="GHI" hidden="1">{#N/A,#N/A,FALSE,"TABLE"}</definedName>
    <definedName name="GJ1M" localSheetId="17">#REF!</definedName>
    <definedName name="GJ1M" localSheetId="15">#REF!</definedName>
    <definedName name="GJ1M" localSheetId="3">#REF!</definedName>
    <definedName name="GJ1M">#REF!</definedName>
    <definedName name="GJ1Y" localSheetId="17">#REF!</definedName>
    <definedName name="GJ1Y" localSheetId="15">#REF!</definedName>
    <definedName name="GJ1Y" localSheetId="3">#REF!</definedName>
    <definedName name="GJ1Y">#REF!</definedName>
    <definedName name="GJ3M" localSheetId="17">#REF!</definedName>
    <definedName name="GJ3M" localSheetId="15">#REF!</definedName>
    <definedName name="GJ3M" localSheetId="3">#REF!</definedName>
    <definedName name="GJ3M">#REF!</definedName>
    <definedName name="GJ3Y" localSheetId="17">#REF!</definedName>
    <definedName name="GJ3Y" localSheetId="15">#REF!</definedName>
    <definedName name="GJ3Y" localSheetId="3">#REF!</definedName>
    <definedName name="GJ3Y">#REF!</definedName>
    <definedName name="GJ5P" localSheetId="17">'[26]95삼성급(본사)'!#REF!</definedName>
    <definedName name="GJ5P" localSheetId="15">'[26]95삼성급(본사)'!#REF!</definedName>
    <definedName name="GJ5P">'[26]95삼성급(본사)'!#REF!</definedName>
    <definedName name="GJ5Y" localSheetId="17">'[26]95삼성급(본사)'!#REF!</definedName>
    <definedName name="GJ5Y" localSheetId="15">'[26]95삼성급(본사)'!#REF!</definedName>
    <definedName name="GJ5Y">'[26]95삼성급(본사)'!#REF!</definedName>
    <definedName name="GK" localSheetId="3">#REF!</definedName>
    <definedName name="GK">#REF!</definedName>
    <definedName name="GLAND600V" localSheetId="3">#REF!</definedName>
    <definedName name="GLAND600V">#REF!</definedName>
    <definedName name="GLAND6KV" localSheetId="3">#REF!</definedName>
    <definedName name="GLAND6KV">#REF!</definedName>
    <definedName name="globe" localSheetId="3">#REF!</definedName>
    <definedName name="globe">#REF!</definedName>
    <definedName name="gnfyat.anliz" localSheetId="3" hidden="1">{#N/A,#N/A,FALSE,"Çaykara ataköy (1)";#N/A,#N/A,FALSE,"Çaykara ataköy (2)";#N/A,#N/A,FALSE,"Rize Kalkandere ";#N/A,#N/A,FALSE,"meydancık";#N/A,#N/A,FALSE,"muratlı"}</definedName>
    <definedName name="gnfyat.anliz" hidden="1">{#N/A,#N/A,FALSE,"Çaykara ataköy (1)";#N/A,#N/A,FALSE,"Çaykara ataköy (2)";#N/A,#N/A,FALSE,"Rize Kalkandere ";#N/A,#N/A,FALSE,"meydancık";#N/A,#N/A,FALSE,"muratlı"}</definedName>
    <definedName name="GO" localSheetId="3">#REF!</definedName>
    <definedName name="GO">#REF!</definedName>
    <definedName name="god_num" localSheetId="3">#REF!</definedName>
    <definedName name="god_num">#REF!</definedName>
    <definedName name="GOH" localSheetId="3" hidden="1">{#N/A,#N/A,FALSE,"TABLE"}</definedName>
    <definedName name="GOH" hidden="1">{#N/A,#N/A,FALSE,"TABLE"}</definedName>
    <definedName name="gölge" localSheetId="3" hidden="1">{#N/A,#N/A,FALSE,"Çaykara ataköy (1)";#N/A,#N/A,FALSE,"Çaykara ataköy (2)";#N/A,#N/A,FALSE,"Rize Kalkandere ";#N/A,#N/A,FALSE,"meydancık";#N/A,#N/A,FALSE,"muratlı"}</definedName>
    <definedName name="gölge" hidden="1">{#N/A,#N/A,FALSE,"Çaykara ataköy (1)";#N/A,#N/A,FALSE,"Çaykara ataköy (2)";#N/A,#N/A,FALSE,"Rize Kalkandere ";#N/A,#N/A,FALSE,"meydancık";#N/A,#N/A,FALSE,"muratlı"}</definedName>
    <definedName name="görk"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görk"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GP">'[53]총괄표(OOK)'!$Q$10</definedName>
    <definedName name="GRAFİK2" hidden="1">#REF!</definedName>
    <definedName name="grout_type" localSheetId="17">#REF!</definedName>
    <definedName name="grout_type" localSheetId="15">#REF!</definedName>
    <definedName name="grout_type" localSheetId="3">#REF!</definedName>
    <definedName name="grout_type">#REF!</definedName>
    <definedName name="GrphActSales" localSheetId="17">#REF!</definedName>
    <definedName name="GrphActSales" localSheetId="15">#REF!</definedName>
    <definedName name="GrphActSales" localSheetId="3">#REF!</definedName>
    <definedName name="GrphActSales">#REF!</definedName>
    <definedName name="GrphActStk" localSheetId="17">#REF!</definedName>
    <definedName name="GrphActStk" localSheetId="15">#REF!</definedName>
    <definedName name="GrphActStk" localSheetId="3">#REF!</definedName>
    <definedName name="GrphActStk">#REF!</definedName>
    <definedName name="GrphPlanSales" localSheetId="17">#REF!</definedName>
    <definedName name="GrphPlanSales" localSheetId="15">#REF!</definedName>
    <definedName name="GrphPlanSales" localSheetId="3">#REF!</definedName>
    <definedName name="GrphPlanSales">#REF!</definedName>
    <definedName name="GrphTgtStk" localSheetId="17">#REF!</definedName>
    <definedName name="GrphTgtStk" localSheetId="15">#REF!</definedName>
    <definedName name="GrphTgtStk" localSheetId="3">#REF!</definedName>
    <definedName name="GrphTgtStk">#REF!</definedName>
    <definedName name="grto">#REF!</definedName>
    <definedName name="gs" localSheetId="3" hidden="1">{#N/A,#N/A,FALSE,"Çaykara ataköy (1)";#N/A,#N/A,FALSE,"Çaykara ataköy (2)";#N/A,#N/A,FALSE,"Rize Kalkandere ";#N/A,#N/A,FALSE,"meydancık";#N/A,#N/A,FALSE,"muratlı"}</definedName>
    <definedName name="gs" hidden="1">{#N/A,#N/A,FALSE,"Çaykara ataköy (1)";#N/A,#N/A,FALSE,"Çaykara ataköy (2)";#N/A,#N/A,FALSE,"Rize Kalkandere ";#N/A,#N/A,FALSE,"meydancık";#N/A,#N/A,FALSE,"muratlı"}</definedName>
    <definedName name="gs." localSheetId="3" hidden="1">{#N/A,#N/A,FALSE,"Çaykara ataköy (1)";#N/A,#N/A,FALSE,"Çaykara ataköy (2)";#N/A,#N/A,FALSE,"Rize Kalkandere ";#N/A,#N/A,FALSE,"meydancık";#N/A,#N/A,FALSE,"muratlı"}</definedName>
    <definedName name="gs." hidden="1">{#N/A,#N/A,FALSE,"Çaykara ataköy (1)";#N/A,#N/A,FALSE,"Çaykara ataköy (2)";#N/A,#N/A,FALSE,"Rize Kalkandere ";#N/A,#N/A,FALSE,"meydancık";#N/A,#N/A,FALSE,"muratlı"}</definedName>
    <definedName name="gta">[86]사업계획!$AE$54</definedName>
    <definedName name="GTTA">'[87]간접비(1)'!$AE$54</definedName>
    <definedName name="GTTB">'[87]간접비(1)'!$AF$54</definedName>
    <definedName name="gtwhh" hidden="1">#REF!</definedName>
    <definedName name="GTY">[88]HDECGTY!$A$9:$P$10</definedName>
    <definedName name="ĞÜM" localSheetId="3" hidden="1">{#N/A,#N/A,FALSE,"Çaykara ataköy (1)";#N/A,#N/A,FALSE,"Çaykara ataköy (2)";#N/A,#N/A,FALSE,"Rize Kalkandere ";#N/A,#N/A,FALSE,"meydancık";#N/A,#N/A,FALSE,"muratlı"}</definedName>
    <definedName name="ĞÜM" hidden="1">{#N/A,#N/A,FALSE,"Çaykara ataköy (1)";#N/A,#N/A,FALSE,"Çaykara ataköy (2)";#N/A,#N/A,FALSE,"Rize Kalkandere ";#N/A,#N/A,FALSE,"meydancık";#N/A,#N/A,FALSE,"muratlı"}</definedName>
    <definedName name="GUUUG"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UUUG"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vv" hidden="1">{"LKD",#N/A,FALSE,"표지"}</definedName>
    <definedName name="gyg">[89]간접총괄!$D$42</definedName>
    <definedName name="h" hidden="1">[29]S1BOQ!#REF!</definedName>
    <definedName name="h_af" localSheetId="17">#REF!</definedName>
    <definedName name="h_af" localSheetId="15">#REF!</definedName>
    <definedName name="h_af" localSheetId="3">#REF!</definedName>
    <definedName name="h_af">#REF!</definedName>
    <definedName name="h_bf" localSheetId="17">#REF!</definedName>
    <definedName name="h_bf" localSheetId="15">#REF!</definedName>
    <definedName name="h_bf" localSheetId="3">#REF!</definedName>
    <definedName name="h_bf">#REF!</definedName>
    <definedName name="ha" hidden="1">{#N/A,#N/A,FALSE,"지침";#N/A,#N/A,FALSE,"환경분석";#N/A,#N/A,FALSE,"Sheet16"}</definedName>
    <definedName name="han_ins" localSheetId="3">#REF!</definedName>
    <definedName name="han_ins">#REF!</definedName>
    <definedName name="HapCKVA" localSheetId="3">#REF!</definedName>
    <definedName name="HapCKVA">#REF!</definedName>
    <definedName name="HapCKvar" localSheetId="3">#REF!</definedName>
    <definedName name="HapCKvar">#REF!</definedName>
    <definedName name="HapCKW" localSheetId="3">#REF!</definedName>
    <definedName name="HapCKW">#REF!</definedName>
    <definedName name="HapIKVA" localSheetId="3">#REF!</definedName>
    <definedName name="HapIKVA">#REF!</definedName>
    <definedName name="HapIKvar" localSheetId="3">#REF!</definedName>
    <definedName name="HapIKvar">#REF!</definedName>
    <definedName name="HapIKW" localSheetId="3">#REF!</definedName>
    <definedName name="HapIKW">#REF!</definedName>
    <definedName name="HapKVA" localSheetId="3">#REF!</definedName>
    <definedName name="HapKVA">#REF!</definedName>
    <definedName name="HapSKVA" localSheetId="3">#REF!</definedName>
    <definedName name="HapSKVA">#REF!</definedName>
    <definedName name="HapSKW" localSheetId="3">#REF!</definedName>
    <definedName name="HapSKW">#REF!</definedName>
    <definedName name="hasan" localSheetId="3" hidden="1">{#VALUE!,#N/A,TRUE,0;#N/A,#N/A,TRUE,0;#N/A,#N/A,TRUE,0;#N/A,#N/A,TRUE,0;#N/A,#N/A,TRUE,0;#N/A,#N/A,TRUE,0;#N/A,#N/A,TRUE,0;#N/A,#N/A,TRUE,0}</definedName>
    <definedName name="hasan" hidden="1">{#VALUE!,#N/A,TRUE,0;#N/A,#N/A,TRUE,0;#N/A,#N/A,TRUE,0;#N/A,#N/A,TRUE,0;#N/A,#N/A,TRUE,0;#N/A,#N/A,TRUE,0;#N/A,#N/A,TRUE,0;#N/A,#N/A,TRUE,0}</definedName>
    <definedName name="HEADER">[21]갑지!$A$1:$IV$3</definedName>
    <definedName name="HEDAL" hidden="1">{#N/A,#N/A,FALSE,"TABLE"}</definedName>
    <definedName name="HEL" localSheetId="3">#REF!</definedName>
    <definedName name="HEL">#REF!</definedName>
    <definedName name="HEM" localSheetId="3">#REF!</definedName>
    <definedName name="HEM">#REF!</definedName>
    <definedName name="hf" localSheetId="17">#REF!</definedName>
    <definedName name="hf" localSheetId="15">#REF!</definedName>
    <definedName name="hf" localSheetId="3">#REF!</definedName>
    <definedName name="hf">#REF!</definedName>
    <definedName name="hfdgfdg" localSheetId="3" hidden="1">{#N/A,#N/A,FALSE,"CCTV"}</definedName>
    <definedName name="hfdgfdg" hidden="1">{#N/A,#N/A,FALSE,"CCTV"}</definedName>
    <definedName name="hfjhhjj" localSheetId="3" hidden="1">{#N/A,#N/A,FALSE,"CCTV"}</definedName>
    <definedName name="hfjhhjj" hidden="1">{#N/A,#N/A,FALSE,"CCTV"}</definedName>
    <definedName name="HGH" localSheetId="3" hidden="1">{#N/A,#N/A,FALSE,"TABLE"}</definedName>
    <definedName name="HGH" hidden="1">{#N/A,#N/A,FALSE,"TABLE"}</definedName>
    <definedName name="HGHG" localSheetId="3" hidden="1">{#N/A,#N/A,FALSE,"TABLE"}</definedName>
    <definedName name="HGHG" hidden="1">{#N/A,#N/A,FALSE,"TABLE"}</definedName>
    <definedName name="hgjfgh" localSheetId="3" hidden="1">{#N/A,#N/A,FALSE,"CCTV"}</definedName>
    <definedName name="hgjfgh" hidden="1">{#N/A,#N/A,FALSE,"CCTV"}</definedName>
    <definedName name="hgjgfhgh" localSheetId="3" hidden="1">{#N/A,#N/A,FALSE,"CCTV"}</definedName>
    <definedName name="hgjgfhgh" hidden="1">{#N/A,#N/A,FALSE,"CCTV"}</definedName>
    <definedName name="HGJHH" localSheetId="3" hidden="1">{#N/A,#N/A,FALSE,"TABLE"}</definedName>
    <definedName name="HGJHH" hidden="1">{#N/A,#N/A,FALSE,"TABLE"}</definedName>
    <definedName name="hh" hidden="1">#REF!</definedName>
    <definedName name="HHH" localSheetId="3">BlankMacro1</definedName>
    <definedName name="HHH" hidden="1">{#N/A,#N/A,TRUE,"Basic";#N/A,#N/A,TRUE,"EXT-TABLE";#N/A,#N/A,TRUE,"STEEL";#N/A,#N/A,TRUE,"INT-Table";#N/A,#N/A,TRUE,"STEEL";#N/A,#N/A,TRUE,"Door"}</definedName>
    <definedName name="HHHH" localSheetId="3" hidden="1">{#N/A,#N/A,FALSE,"Çaykara ataköy (1)";#N/A,#N/A,FALSE,"Çaykara ataköy (2)";#N/A,#N/A,FALSE,"Rize Kalkandere ";#N/A,#N/A,FALSE,"meydancık";#N/A,#N/A,FALSE,"muratlı"}</definedName>
    <definedName name="HHHH" hidden="1">{#N/A,#N/A,FALSE,"Çaykara ataköy (1)";#N/A,#N/A,FALSE,"Çaykara ataköy (2)";#N/A,#N/A,FALSE,"Rize Kalkandere ";#N/A,#N/A,FALSE,"meydancık";#N/A,#N/A,FALSE,"muratlı"}</definedName>
    <definedName name="HHHHHHHHHHHHHHHHHHHHHHHHHHHHHHHH" localSheetId="3" hidden="1">{#N/A,#N/A,FALSE,"Çaykara ataköy (1)";#N/A,#N/A,FALSE,"Çaykara ataköy (2)";#N/A,#N/A,FALSE,"Rize Kalkandere ";#N/A,#N/A,FALSE,"meydancık";#N/A,#N/A,FALSE,"muratlı"}</definedName>
    <definedName name="HHHHHHHHHHHHHHHHHHHHHHHHHHHHHHHH" hidden="1">{#N/A,#N/A,FALSE,"Çaykara ataköy (1)";#N/A,#N/A,FALSE,"Çaykara ataköy (2)";#N/A,#N/A,FALSE,"Rize Kalkandere ";#N/A,#N/A,FALSE,"meydancık";#N/A,#N/A,FALSE,"muratlı"}</definedName>
    <definedName name="hik" localSheetId="3" hidden="1">{#N/A,#N/A,FALSE,"TABLE"}</definedName>
    <definedName name="hik" hidden="1">{#N/A,#N/A,FALSE,"TABLE"}</definedName>
    <definedName name="hjg" localSheetId="3" hidden="1">{#N/A,#N/A,FALSE,"Çaykara ataköy (1)";#N/A,#N/A,FALSE,"Çaykara ataköy (2)";#N/A,#N/A,FALSE,"Rize Kalkandere ";#N/A,#N/A,FALSE,"meydancık";#N/A,#N/A,FALSE,"muratlı"}</definedName>
    <definedName name="hjg" hidden="1">{#N/A,#N/A,FALSE,"Çaykara ataköy (1)";#N/A,#N/A,FALSE,"Çaykara ataköy (2)";#N/A,#N/A,FALSE,"Rize Kalkandere ";#N/A,#N/A,FALSE,"meydancık";#N/A,#N/A,FALSE,"muratlı"}</definedName>
    <definedName name="HJK" localSheetId="3" hidden="1">{#N/A,#N/A,FALSE,"이태원철근"}</definedName>
    <definedName name="HJK" hidden="1">{#N/A,#N/A,FALSE,"이태원철근"}</definedName>
    <definedName name="hk">0.925</definedName>
    <definedName name="hkjhkj"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o" localSheetId="3" hidden="1">{#N/A,#N/A,FALSE,"TABLE"}</definedName>
    <definedName name="ho" hidden="1">{#N/A,#N/A,FALSE,"TABLE"}</definedName>
    <definedName name="HOME" localSheetId="3">#REF!</definedName>
    <definedName name="HOME">#REF!</definedName>
    <definedName name="HOME1">'[27]개시대사 (2)'!$A$1</definedName>
    <definedName name="HOME2">'[27]개시대사 (2)'!$H$1</definedName>
    <definedName name="HOPA." localSheetId="3" hidden="1">{#N/A,#N/A,FALSE,"Çaykara ataköy (1)";#N/A,#N/A,FALSE,"Çaykara ataköy (2)";#N/A,#N/A,FALSE,"Rize Kalkandere ";#N/A,#N/A,FALSE,"meydancık";#N/A,#N/A,FALSE,"muratlı"}</definedName>
    <definedName name="HOPA." hidden="1">{#N/A,#N/A,FALSE,"Çaykara ataköy (1)";#N/A,#N/A,FALSE,"Çaykara ataköy (2)";#N/A,#N/A,FALSE,"Rize Kalkandere ";#N/A,#N/A,FALSE,"meydancık";#N/A,#N/A,FALSE,"muratlı"}</definedName>
    <definedName name="Hot_Insulation" localSheetId="3">#REF!</definedName>
    <definedName name="Hot_Insulation">#REF!</definedName>
    <definedName name="HPL" localSheetId="3">#REF!</definedName>
    <definedName name="HPL">#REF!</definedName>
    <definedName name="HPM" localSheetId="3">#REF!</definedName>
    <definedName name="HPM">#REF!</definedName>
    <definedName name="HTML_CodePage" hidden="1">949</definedName>
    <definedName name="HTML_Control" localSheetId="3" hidden="1">{"'Total_curve(ABT)'!$A$1:$AN$60"}</definedName>
    <definedName name="HTML_Control">{"'장비'!$A$3:$M$12"}</definedName>
    <definedName name="HTML_Control_1" localSheetId="3" hidden="1">{"'Grafik Kontrol'!$A$1:$J$8"}</definedName>
    <definedName name="HTML_Control_1" hidden="1">{"'Grafik Kontrol'!$A$1:$J$8"}</definedName>
    <definedName name="HTML_Control2">{"'장비'!$A$3:$M$12"}</definedName>
    <definedName name="HTML_Description" hidden="1">""</definedName>
    <definedName name="HTML_Email" hidden="1">""</definedName>
    <definedName name="HTML_Header" localSheetId="3" hidden="1">"사업비총괄"</definedName>
    <definedName name="HTML_Header" hidden="1">"사업비총괄"</definedName>
    <definedName name="HTML_LastUpdate" localSheetId="3" hidden="1">"01-06-17"</definedName>
    <definedName name="HTML_LastUpdate" hidden="1">"01-06-17"</definedName>
    <definedName name="HTML_LineAfter" hidden="1">FALSE</definedName>
    <definedName name="HTML_LineBefore" hidden="1">FALSE</definedName>
    <definedName name="HTML_Name" localSheetId="3" hidden="1">"김정호"</definedName>
    <definedName name="HTML_Name" hidden="1">"김정호"</definedName>
    <definedName name="HTML_OBDlg2" hidden="1">TRUE</definedName>
    <definedName name="HTML_OBDlg4" hidden="1">TRUE</definedName>
    <definedName name="HTML_OS" hidden="1">0</definedName>
    <definedName name="HTML_PathFile" localSheetId="3" hidden="1">"C:\My Documents\6.htm"</definedName>
    <definedName name="HTML_PathFile" hidden="1">"C:\My Documents\6.htm"</definedName>
    <definedName name="HTML_Title" localSheetId="3" hidden="1">"비용산출"</definedName>
    <definedName name="HTML_Title" hidden="1">"비용산출"</definedName>
    <definedName name="HTR" localSheetId="3" hidden="1">{#N/A,#N/A,FALSE,"이태원철근"}</definedName>
    <definedName name="HTR" hidden="1">{#N/A,#N/A,FALSE,"이태원철근"}</definedName>
    <definedName name="huy">{"'Sheet1'!$L$16"}</definedName>
    <definedName name="hyun" localSheetId="3" hidden="1">{#N/A,#N/A,FALSE,"TABLE"}</definedName>
    <definedName name="hyun" hidden="1">{#N/A,#N/A,FALSE,"TABLE"}</definedName>
    <definedName name="HYUY" localSheetId="3" hidden="1">{#N/A,#N/A,FALSE,"TABLE"}</definedName>
    <definedName name="HYUY" hidden="1">{#N/A,#N/A,FALSE,"TABLE"}</definedName>
    <definedName name="I" localSheetId="3">#REF!</definedName>
    <definedName name="I">#REF!</definedName>
    <definedName name="ı" localSheetId="3" hidden="1">{#N/A,#N/A,FALSE,"Çaykara ataköy (1)";#N/A,#N/A,FALSE,"Çaykara ataköy (2)";#N/A,#N/A,FALSE,"Rize Kalkandere ";#N/A,#N/A,FALSE,"meydancık";#N/A,#N/A,FALSE,"muratlı"}</definedName>
    <definedName name="ı" hidden="1">{#N/A,#N/A,FALSE,"Çaykara ataköy (1)";#N/A,#N/A,FALSE,"Çaykara ataköy (2)";#N/A,#N/A,FALSE,"Rize Kalkandere ";#N/A,#N/A,FALSE,"meydancık";#N/A,#N/A,FALSE,"muratlı"}</definedName>
    <definedName name="IC" localSheetId="3" hidden="1">#REF!</definedName>
    <definedName name="IC" hidden="1">#REF!</definedName>
    <definedName name="ID600V" localSheetId="3">#REF!</definedName>
    <definedName name="ID600V">#REF!</definedName>
    <definedName name="ID6KV" localSheetId="3">#REF!</definedName>
    <definedName name="ID6KV">#REF!</definedName>
    <definedName name="Identification" localSheetId="3">INDEX(#REF!, MATCH(VALUE(#REF!),#REF!,), MATCH(#REF!,#REF!,))</definedName>
    <definedName name="Identification">INDEX(#REF!, MATCH(VALUE(#REF!),#REF!,), MATCH(#REF!,#REF!,))</definedName>
    <definedName name="IEDK" localSheetId="3" hidden="1">{#N/A,#N/A,FALSE,"TABLE"}</definedName>
    <definedName name="IEDK" hidden="1">{#N/A,#N/A,FALSE,"TABLE"}</definedName>
    <definedName name="IEIEEI" localSheetId="3" hidden="1">{#N/A,#N/A,FALSE,"TABLE"}</definedName>
    <definedName name="IEIEEI" hidden="1">{#N/A,#N/A,FALSE,"TABLE"}</definedName>
    <definedName name="IELWSALES" localSheetId="17">#REF!</definedName>
    <definedName name="IELWSALES" localSheetId="15">#REF!</definedName>
    <definedName name="IELWSALES" localSheetId="3">#REF!</definedName>
    <definedName name="IELWSALES">#REF!</definedName>
    <definedName name="IELYSALES" localSheetId="17">#REF!</definedName>
    <definedName name="IELYSALES" localSheetId="15">#REF!</definedName>
    <definedName name="IELYSALES" localSheetId="3">#REF!</definedName>
    <definedName name="IELYSALES">#REF!</definedName>
    <definedName name="IEPLANSALES" localSheetId="17">#REF!</definedName>
    <definedName name="IEPLANSALES" localSheetId="15">#REF!</definedName>
    <definedName name="IEPLANSALES" localSheetId="3">#REF!</definedName>
    <definedName name="IEPLANSALES">#REF!</definedName>
    <definedName name="IESP" localSheetId="17">#REF!</definedName>
    <definedName name="IESP" localSheetId="15">#REF!</definedName>
    <definedName name="IESP" localSheetId="3">#REF!</definedName>
    <definedName name="IESP">#REF!</definedName>
    <definedName name="ihtiyaç" localSheetId="3" hidden="1">{#N/A,#N/A,FALSE,"Çaykara ataköy (1)";#N/A,#N/A,FALSE,"Çaykara ataköy (2)";#N/A,#N/A,FALSE,"Rize Kalkandere ";#N/A,#N/A,FALSE,"meydancık";#N/A,#N/A,FALSE,"muratlı"}</definedName>
    <definedName name="ihtiyaç" hidden="1">{#N/A,#N/A,FALSE,"Çaykara ataköy (1)";#N/A,#N/A,FALSE,"Çaykara ataköy (2)";#N/A,#N/A,FALSE,"Rize Kalkandere ";#N/A,#N/A,FALSE,"meydancık";#N/A,#N/A,FALSE,"muratlı"}</definedName>
    <definedName name="ihyuhhj" localSheetId="3">#REF!</definedName>
    <definedName name="ihyuhhj">#REF!</definedName>
    <definedName name="II" localSheetId="3">#REF!</definedName>
    <definedName name="ii" hidden="1">{"LKD",#N/A,FALSE,"표지"}</definedName>
    <definedName name="iiğ"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ıııı" localSheetId="3" hidden="1">{#N/A,#N/A,FALSE,"Çaykara ataköy (1)";#N/A,#N/A,FALSE,"Çaykara ataköy (2)";#N/A,#N/A,FALSE,"Rize Kalkandere ";#N/A,#N/A,FALSE,"meydancık";#N/A,#N/A,FALSE,"muratlı"}</definedName>
    <definedName name="ıııı" hidden="1">{#N/A,#N/A,FALSE,"Çaykara ataköy (1)";#N/A,#N/A,FALSE,"Çaykara ataköy (2)";#N/A,#N/A,FALSE,"Rize Kalkandere ";#N/A,#N/A,FALSE,"meydancık";#N/A,#N/A,FALSE,"muratlı"}</definedName>
    <definedName name="İİİİİİİİİİİİİİİİİİİİİİİİİİİİİİİİİİİİİİİİİİİİİİİ" localSheetId="3" hidden="1">{#N/A,#N/A,FALSE,"Çaykara ataköy (1)";#N/A,#N/A,FALSE,"Çaykara ataköy (2)";#N/A,#N/A,FALSE,"Rize Kalkandere ";#N/A,#N/A,FALSE,"meydancık";#N/A,#N/A,FALSE,"muratlı"}</definedName>
    <definedName name="İİİİİİİİİİİİİİİİİİİİİİİİİİİİİİİİİİİİİİİİİİİİİİİ" hidden="1">{#N/A,#N/A,FALSE,"Çaykara ataköy (1)";#N/A,#N/A,FALSE,"Çaykara ataköy (2)";#N/A,#N/A,FALSE,"Rize Kalkandere ";#N/A,#N/A,FALSE,"meydancık";#N/A,#N/A,FALSE,"muratlı"}</definedName>
    <definedName name="iiouolkll" localSheetId="3" hidden="1">{#N/A,#N/A,FALSE,"CCTV"}</definedName>
    <definedName name="iiouolkll" hidden="1">{#N/A,#N/A,FALSE,"CCTV"}</definedName>
    <definedName name="ik" localSheetId="3" hidden="1">{#N/A,#N/A,FALSE,"변경관리예산";#N/A,#N/A,FALSE,"변경장비예산";#N/A,#N/A,FALSE,"변경준설예산";#N/A,#N/A,FALSE,"변경철구예산"}</definedName>
    <definedName name="ik" hidden="1">{#N/A,#N/A,FALSE,"변경관리예산";#N/A,#N/A,FALSE,"변경장비예산";#N/A,#N/A,FALSE,"변경준설예산";#N/A,#N/A,FALSE,"변경철구예산"}</definedName>
    <definedName name="IL">#REF!</definedName>
    <definedName name="IMPRESSION" localSheetId="3">#REF!</definedName>
    <definedName name="IMPRESSION">#REF!</definedName>
    <definedName name="İNCE" localSheetId="3"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d" localSheetId="3">#REF!</definedName>
    <definedName name="ind">#REF!</definedName>
    <definedName name="indirect" localSheetId="3">#REF!</definedName>
    <definedName name="indirect">#REF!</definedName>
    <definedName name="INDIRECT_ALL_SEOUL_NATION">'[90]INDIRECT MOBILIZATION PLAN'!$A$114:$U$122</definedName>
    <definedName name="INDIRECT_ALL_SITE_NATION">'[90]INDIRECT MOBILIZATION PLAN'!$A$102:$U$110</definedName>
    <definedName name="InputData">[91]Testing!$E$8:$E$12,[91]Testing!$E$15:$E$18,[91]Testing!$E$21:$E$23,[91]Testing!$E$26:$E$27,[91]Testing!$E$30:$E$33,[91]Testing!$E$35:$E$37,[91]Testing!$D$43:$F$47</definedName>
    <definedName name="INQ3100BQ" localSheetId="3">#REF!</definedName>
    <definedName name="INQ3100BQ">#REF!</definedName>
    <definedName name="INQ3200BQ" localSheetId="3">#REF!</definedName>
    <definedName name="INQ3200BQ">#REF!</definedName>
    <definedName name="INQ3300BQ" localSheetId="3">#REF!</definedName>
    <definedName name="INQ3300BQ">#REF!</definedName>
    <definedName name="INQ3400BQ" localSheetId="3">#REF!</definedName>
    <definedName name="INQ3400BQ">#REF!</definedName>
    <definedName name="INQ3500BQ" localSheetId="3">#REF!</definedName>
    <definedName name="INQ3500BQ">#REF!</definedName>
    <definedName name="INQ3600BQ" localSheetId="3">#REF!</definedName>
    <definedName name="INQ3600BQ">#REF!</definedName>
    <definedName name="INQ3700BQ" localSheetId="3">#REF!</definedName>
    <definedName name="INQ3700BQ">#REF!</definedName>
    <definedName name="INQ3800BQ" localSheetId="3">#REF!</definedName>
    <definedName name="INQ3800BQ">#REF!</definedName>
    <definedName name="INST_DCI_심의" localSheetId="3">#REF!</definedName>
    <definedName name="INST_DCI_심의">#REF!</definedName>
    <definedName name="inst1" localSheetId="3">#REF!</definedName>
    <definedName name="inst1">#REF!</definedName>
    <definedName name="INST1_MCI" localSheetId="3">#REF!</definedName>
    <definedName name="INST1_MCI">#REF!</definedName>
    <definedName name="inst2" localSheetId="3">#REF!</definedName>
    <definedName name="inst2">#REF!</definedName>
    <definedName name="INST2_MCI" localSheetId="3">#REF!</definedName>
    <definedName name="INST2_MCI">#REF!</definedName>
    <definedName name="INST3_MCI" localSheetId="3">#REF!</definedName>
    <definedName name="INST3_MCI">#REF!</definedName>
    <definedName name="inst4" localSheetId="3">#REF!</definedName>
    <definedName name="inst4">#REF!</definedName>
    <definedName name="INST4_MCI" localSheetId="3">#REF!</definedName>
    <definedName name="INST4_MCI">#REF!</definedName>
    <definedName name="inst5" localSheetId="3">#REF!</definedName>
    <definedName name="inst5">#REF!</definedName>
    <definedName name="INST5_MCI" localSheetId="3">#REF!</definedName>
    <definedName name="INST5_MCI">#REF!</definedName>
    <definedName name="inst6" localSheetId="3">#REF!</definedName>
    <definedName name="inst6">#REF!</definedName>
    <definedName name="INST6_MCI" localSheetId="3">#REF!</definedName>
    <definedName name="INST6_MCI">#REF!</definedName>
    <definedName name="inst7" localSheetId="3">#REF!</definedName>
    <definedName name="inst7">#REF!</definedName>
    <definedName name="INST7_MCI" localSheetId="3">#REF!</definedName>
    <definedName name="INST7_MCI">#REF!</definedName>
    <definedName name="Instrument">#N/A</definedName>
    <definedName name="Instrument_Database1" localSheetId="3">#REF!</definedName>
    <definedName name="Instrument_Database1">#REF!</definedName>
    <definedName name="Instrument_Database2" localSheetId="3">#REF!</definedName>
    <definedName name="Instrument_Database2">#REF!</definedName>
    <definedName name="insu" localSheetId="3">#REF!</definedName>
    <definedName name="insu">#REF!</definedName>
    <definedName name="INSUL" localSheetId="3">#REF!</definedName>
    <definedName name="INSUL">#REF!</definedName>
    <definedName name="Int_Paint_Final" localSheetId="3">#REF!</definedName>
    <definedName name="Int_Paint_Final">#REF!</definedName>
    <definedName name="Int_Paint_Intermediate" localSheetId="3">#REF!</definedName>
    <definedName name="Int_Paint_Intermediate">#REF!</definedName>
    <definedName name="Int_Paint_Primer" localSheetId="3">#REF!</definedName>
    <definedName name="Int_Paint_Primer">#REF!</definedName>
    <definedName name="intel" localSheetId="3" hidden="1">{#N/A,#N/A,FALSE,"TABLE"}</definedName>
    <definedName name="intel" hidden="1">{#N/A,#N/A,FALSE,"TABLE"}</definedName>
    <definedName name="inter" localSheetId="3">#REF!</definedName>
    <definedName name="inter">#REF!</definedName>
    <definedName name="IntFreeCred" localSheetId="17">#REF!</definedName>
    <definedName name="IntFreeCred" localSheetId="15">#REF!</definedName>
    <definedName name="IntFreeCred" localSheetId="3">#REF!</definedName>
    <definedName name="IntFreeCred">#REF!</definedName>
    <definedName name="ioioiio" localSheetId="3">#REF!</definedName>
    <definedName name="ioioiio">#REF!</definedName>
    <definedName name="ioioio" localSheetId="3">#REF!</definedName>
    <definedName name="ioioio">#REF!</definedName>
    <definedName name="iooio" localSheetId="3">#REF!</definedName>
    <definedName name="iooio">#REF!</definedName>
    <definedName name="iouioi" localSheetId="3">#REF!</definedName>
    <definedName name="iouioi">#REF!</definedName>
    <definedName name="iouioiii" localSheetId="3">#REF!</definedName>
    <definedName name="iouioiii">#REF!</definedName>
    <definedName name="iouiou" localSheetId="3">#REF!</definedName>
    <definedName name="iouiou">#REF!</definedName>
    <definedName name="iouoiioioi" localSheetId="3">#REF!</definedName>
    <definedName name="iouoiioioi">#REF!</definedName>
    <definedName name="IPT">#N/A</definedName>
    <definedName name="IRIW" localSheetId="3" hidden="1">{#N/A,#N/A,FALSE,"TABLE"}</definedName>
    <definedName name="IRIW" hidden="1">{#N/A,#N/A,FALSE,"TABLE"}</definedName>
    <definedName name="isbl_1105bm_1">'[92]ISBL (검증)'!$B$7:$F$81</definedName>
    <definedName name="isbl_boq">[93]Bdown_ISBL!$D$11:$S$252</definedName>
    <definedName name="isbl_gen_alghanim">'[94]TABLE2-1 ISBL(GENEAL-CIVIL)'!$B$8:$P$71</definedName>
    <definedName name="isbl_gen_bahar">'[95]TABLE2-1 ISBL(GENEAL-CIVIL)'!$B$9:$S$71</definedName>
    <definedName name="isbl_gen_hamra">'[96]TABLE2-1 ISBL(GENEAL-CIVIL)'!$B$9:$X$71</definedName>
    <definedName name="isbl_gen_mushrif">'[97]TABLE2-1 ISBL(GENEAL-CIVIL)'!$B$8:$S$71</definedName>
    <definedName name="isbl_gen_naser">'[98]TABLE2-1 ISBL(GENEAL-CIVIL)'!$B$8:$S$71</definedName>
    <definedName name="isbl_site_alghanim">'[94]TABLE2-1 ISBL-(SlTE PREP)'!$B$8:$P$15</definedName>
    <definedName name="isbl_site_bahar">'[95]TABLE2-1 ISBL-(SlTE PREP)'!$B$9:$S$16</definedName>
    <definedName name="isbl_site_hamra">'[96]TABLE2-1 ISBL-(SlTE PREP)'!$B$9:$X$16</definedName>
    <definedName name="isbl_site_khalifa">[99]ISBL!$B$13:$S$20</definedName>
    <definedName name="isbl_site_mushrif">'[97]TABLE2-1 ISBL-(SlTE PREP)'!$B$8:$S$15</definedName>
    <definedName name="isbl_site_naser">'[98]TABLE2-1 ISBL-(SlTE PREP)'!$B$8:$S$15</definedName>
    <definedName name="isbl_soil_bahar">'[95]TABLE2.1 ISBL (Soil Invest)'!$B$9:$S$9</definedName>
    <definedName name="isbl_soil_hamra">'[96]TABLE2.1 ISBL (Soil Invest)'!$B$9:$X$9</definedName>
    <definedName name="isbl_soil_mushrif">'[97]TABLE2.1 ISBL (Soil Invest)'!$B$8:$S$8</definedName>
    <definedName name="isbl_soil_naser">'[98]TABLE2.1 ISBL (Soil Invest)'!$B$8:$S$8</definedName>
    <definedName name="ispir" localSheetId="3" hidden="1">{#N/A,#N/A,FALSE,"Çaykara ataköy (1)";#N/A,#N/A,FALSE,"Çaykara ataköy (2)";#N/A,#N/A,FALSE,"Rize Kalkandere ";#N/A,#N/A,FALSE,"meydancık";#N/A,#N/A,FALSE,"muratlı"}</definedName>
    <definedName name="ispir" hidden="1">{#N/A,#N/A,FALSE,"Çaykara ataköy (1)";#N/A,#N/A,FALSE,"Çaykara ataköy (2)";#N/A,#N/A,FALSE,"Rize Kalkandere ";#N/A,#N/A,FALSE,"meydancık";#N/A,#N/A,FALSE,"muratlı"}</definedName>
    <definedName name="IssueDate" localSheetId="3">#REF!</definedName>
    <definedName name="IssueDate">#REF!</definedName>
    <definedName name="istfwqzbnm" localSheetId="3" hidden="1">{#N/A,#N/A,FALSE,"Çaykara ataköy (1)";#N/A,#N/A,FALSE,"Çaykara ataköy (2)";#N/A,#N/A,FALSE,"Rize Kalkandere ";#N/A,#N/A,FALSE,"meydancık";#N/A,#N/A,FALSE,"muratlı"}</definedName>
    <definedName name="istfwqzbnm" hidden="1">{#N/A,#N/A,FALSE,"Çaykara ataköy (1)";#N/A,#N/A,FALSE,"Çaykara ataköy (2)";#N/A,#N/A,FALSE,"Rize Kalkandere ";#N/A,#N/A,FALSE,"meydancık";#N/A,#N/A,FALSE,"muratlı"}</definedName>
    <definedName name="ITEM" localSheetId="3">#REF!</definedName>
    <definedName name="ITEM">"Texte 185"</definedName>
    <definedName name="IWW"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IWW"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iyuigu" localSheetId="3">#REF!</definedName>
    <definedName name="iyuigu">#REF!</definedName>
    <definedName name="j" localSheetId="3" hidden="1">{#N/A,#N/A,FALSE,"Çaykara ataköy (1)";#N/A,#N/A,FALSE,"Çaykara ataköy (2)";#N/A,#N/A,FALSE,"Rize Kalkandere ";#N/A,#N/A,FALSE,"meydancık";#N/A,#N/A,FALSE,"muratlı"}</definedName>
    <definedName name="j" hidden="1">{#N/A,#N/A,FALSE,"Çaykara ataköy (1)";#N/A,#N/A,FALSE,"Çaykara ataköy (2)";#N/A,#N/A,FALSE,"Rize Kalkandere ";#N/A,#N/A,FALSE,"meydancık";#N/A,#N/A,FALSE,"muratlı"}</definedName>
    <definedName name="j_filler" localSheetId="17">#REF!</definedName>
    <definedName name="j_filler" localSheetId="15">#REF!</definedName>
    <definedName name="j_filler" localSheetId="3">#REF!</definedName>
    <definedName name="j_filler">#REF!</definedName>
    <definedName name="jacket" hidden="1">{#N/A,#N/A,FALSE,"CCTV"}</definedName>
    <definedName name="jçöhkjhl" localSheetId="3" hidden="1">{#VALUE!,#N/A,FALSE,0;#N/A,#N/A,FALSE,0;#N/A,#N/A,FALSE,0;#N/A,#N/A,FALSE,0;#N/A,#N/A,FALSE,0;#N/A,#N/A,FALSE,0;#N/A,#N/A,FALSE,0;#N/A,#N/A,FALSE,0;#N/A,#N/A,FALSE,0;#N/A,#N/A,FALSE,0;#N/A,#N/A,FALSE,0;#N/A,#N/A,FALSE,0;#N/A,#N/A,FALSE,0;#N/A,#N/A,FALSE,0;#N/A,#N/A,FALSE,0;#N/A,#N/A,FALSE,0;#N/A,#N/A,FALSE,0;#N/A,#N/A,FALSE,0;#N/A,#N/A,FALSE,0;#N/A,#N/A,FALSE,0;#N/A,#N/A,FALSE,0;#N/A,#N/A,FALSE,0}</definedName>
    <definedName name="jçöhkjhl" hidden="1">{#VALUE!,#N/A,FALSE,0;#N/A,#N/A,FALSE,0;#N/A,#N/A,FALSE,0;#N/A,#N/A,FALSE,0;#N/A,#N/A,FALSE,0;#N/A,#N/A,FALSE,0;#N/A,#N/A,FALSE,0;#N/A,#N/A,FALSE,0;#N/A,#N/A,FALSE,0;#N/A,#N/A,FALSE,0;#N/A,#N/A,FALSE,0;#N/A,#N/A,FALSE,0;#N/A,#N/A,FALSE,0;#N/A,#N/A,FALSE,0;#N/A,#N/A,FALSE,0;#N/A,#N/A,FALSE,0;#N/A,#N/A,FALSE,0;#N/A,#N/A,FALSE,0;#N/A,#N/A,FALSE,0;#N/A,#N/A,FALSE,0;#N/A,#N/A,FALSE,0;#N/A,#N/A,FALSE,0}</definedName>
    <definedName name="jenny" localSheetId="3" hidden="1">{#N/A,#N/A,FALSE,"이태원철근"}</definedName>
    <definedName name="jenny" hidden="1">{#N/A,#N/A,FALSE,"이태원철근"}</definedName>
    <definedName name="JFJF" localSheetId="3" hidden="1">{#N/A,#N/A,FALSE,"TABLE"}</definedName>
    <definedName name="JFJF" hidden="1">{#N/A,#N/A,FALSE,"TABLE"}</definedName>
    <definedName name="JFWERIWJIFG" localSheetId="3" hidden="1">{#N/A,#N/A,FALSE,"TABLE"}</definedName>
    <definedName name="JFWERIWJIFG" hidden="1">{#N/A,#N/A,FALSE,"TABLE"}</definedName>
    <definedName name="JH">[100]정부노임단가!$A$5:$F$215</definedName>
    <definedName name="JHG" localSheetId="3" hidden="1">{#N/A,#N/A,FALSE,"TABLE"}</definedName>
    <definedName name="JHG" hidden="1">{#N/A,#N/A,FALSE,"TABLE"}</definedName>
    <definedName name="jhgffd" hidden="1">{#N/A,#N/A,FALSE,"TABLE"}</definedName>
    <definedName name="jhhhh" localSheetId="3" hidden="1">{#N/A,#N/A,FALSE,"CCTV"}</definedName>
    <definedName name="jhhhh" hidden="1">{#N/A,#N/A,FALSE,"CCTV"}</definedName>
    <definedName name="jhjkh" localSheetId="3">#REF!</definedName>
    <definedName name="jhjkh">#REF!</definedName>
    <definedName name="JHJLHKHG" localSheetId="3" hidden="1">{#N/A,#N/A,FALSE,"TABLE"}</definedName>
    <definedName name="JHJLHKHG" hidden="1">{#N/A,#N/A,FALSE,"TABLE"}</definedName>
    <definedName name="JJ" localSheetId="3" hidden="1">{#N/A,#N/A,FALSE,"Çaykara ataköy (1)";#N/A,#N/A,FALSE,"Çaykara ataköy (2)";#N/A,#N/A,FALSE,"Rize Kalkandere ";#N/A,#N/A,FALSE,"meydancık";#N/A,#N/A,FALSE,"muratlı"}</definedName>
    <definedName name="JJ">'[80]MOB-MAN1'!$D$40:$BW$49</definedName>
    <definedName name="JJ." localSheetId="3" hidden="1">{#N/A,#N/A,FALSE,"Çaykara ataköy (1)";#N/A,#N/A,FALSE,"Çaykara ataköy (2)";#N/A,#N/A,FALSE,"Rize Kalkandere ";#N/A,#N/A,FALSE,"meydancık";#N/A,#N/A,FALSE,"muratlı"}</definedName>
    <definedName name="JJ." hidden="1">{#N/A,#N/A,FALSE,"Çaykara ataköy (1)";#N/A,#N/A,FALSE,"Çaykara ataköy (2)";#N/A,#N/A,FALSE,"Rize Kalkandere ";#N/A,#N/A,FALSE,"meydancık";#N/A,#N/A,FALSE,"muratlı"}</definedName>
    <definedName name="JJG" localSheetId="3">#REF!</definedName>
    <definedName name="JJG">#REF!</definedName>
    <definedName name="jjjjjjjjjjjjjjj" localSheetId="3" hidden="1">{#N/A,#N/A,FALSE,"Çaykara ataköy (1)";#N/A,#N/A,FALSE,"Çaykara ataköy (2)";#N/A,#N/A,FALSE,"Rize Kalkandere ";#N/A,#N/A,FALSE,"meydancık";#N/A,#N/A,FALSE,"muratlı"}</definedName>
    <definedName name="jjjjjjjjjjjjjjj" hidden="1">{#N/A,#N/A,FALSE,"Çaykara ataköy (1)";#N/A,#N/A,FALSE,"Çaykara ataköy (2)";#N/A,#N/A,FALSE,"Rize Kalkandere ";#N/A,#N/A,FALSE,"meydancık";#N/A,#N/A,FALSE,"muratlı"}</definedName>
    <definedName name="JJPARK" localSheetId="3" hidden="1">{#N/A,#N/A,FALSE,"TABLE"}</definedName>
    <definedName name="JJPARK" hidden="1">{#N/A,#N/A,FALSE,"TABLE"}</definedName>
    <definedName name="jkhjkj" localSheetId="3">#REF!</definedName>
    <definedName name="jkhjkj">#REF!</definedName>
    <definedName name="jkjkh" localSheetId="3">#REF!</definedName>
    <definedName name="jkjkh">#REF!</definedName>
    <definedName name="jkjkhj" localSheetId="3">#REF!</definedName>
    <definedName name="jkjkhj">#REF!</definedName>
    <definedName name="JKL" localSheetId="3" hidden="1">{#N/A,#N/A,FALSE,"TABLE"}</definedName>
    <definedName name="JKL" hidden="1">{#N/A,#N/A,FALSE,"TABLE"}</definedName>
    <definedName name="JOINT" localSheetId="3">#REF!</definedName>
    <definedName name="JOINT">#REF!</definedName>
    <definedName name="JSKJ" localSheetId="3" hidden="1">{#N/A,#N/A,FALSE,"TABLE"}</definedName>
    <definedName name="JSKJ" hidden="1">{#N/A,#N/A,FALSE,"TABLE"}</definedName>
    <definedName name="ju" localSheetId="3" hidden="1">{#N/A,#N/A,FALSE,"TABLE"}</definedName>
    <definedName name="ju" hidden="1">{#N/A,#N/A,FALSE,"TABLE"}</definedName>
    <definedName name="juioioio" localSheetId="3">#REF!</definedName>
    <definedName name="juioioio">#REF!</definedName>
    <definedName name="JUJ" localSheetId="3" hidden="1">{#N/A,#N/A,FALSE,"TABLE"}</definedName>
    <definedName name="JUJ" hidden="1">{#N/A,#N/A,FALSE,"TABLE"}</definedName>
    <definedName name="jwsjkks" hidden="1">#REF!</definedName>
    <definedName name="JY" localSheetId="3" hidden="1">#REF!</definedName>
    <definedName name="JY" hidden="1">#REF!</definedName>
    <definedName name="jydkkde" hidden="1">#REF!</definedName>
    <definedName name="jyskdkklds" hidden="1">#REF!</definedName>
    <definedName name="K" localSheetId="3">#REF!</definedName>
    <definedName name="K">#REF!</definedName>
    <definedName name="k.artışı" localSheetId="3" hidden="1">{#N/A,#N/A,FALSE,"Çaykara ataköy (1)";#N/A,#N/A,FALSE,"Çaykara ataköy (2)";#N/A,#N/A,FALSE,"Rize Kalkandere ";#N/A,#N/A,FALSE,"meydancık";#N/A,#N/A,FALSE,"muratlı"}</definedName>
    <definedName name="k.artışı" hidden="1">{#N/A,#N/A,FALSE,"Çaykara ataköy (1)";#N/A,#N/A,FALSE,"Çaykara ataköy (2)";#N/A,#N/A,FALSE,"Rize Kalkandere ";#N/A,#N/A,FALSE,"meydancık";#N/A,#N/A,FALSE,"muratlı"}</definedName>
    <definedName name="K_TBM2" localSheetId="3">#REF!</definedName>
    <definedName name="K_TBM2">#REF!</definedName>
    <definedName name="kam" hidden="1">[101]METRAJ!$A$11:$A$19</definedName>
    <definedName name="KAMALIK" localSheetId="3" hidden="1">{#N/A,#N/A,FALSE,"Çaykara ataköy (1)";#N/A,#N/A,FALSE,"Çaykara ataköy (2)";#N/A,#N/A,FALSE,"Rize Kalkandere ";#N/A,#N/A,FALSE,"meydancık";#N/A,#N/A,FALSE,"muratlı"}</definedName>
    <definedName name="KAMALIK" hidden="1">{#N/A,#N/A,FALSE,"Çaykara ataköy (1)";#N/A,#N/A,FALSE,"Çaykara ataköy (2)";#N/A,#N/A,FALSE,"Rize Kalkandere ";#N/A,#N/A,FALSE,"meydancık";#N/A,#N/A,FALSE,"muratlı"}</definedName>
    <definedName name="karadeniz" localSheetId="3" hidden="1">{#N/A,#N/A,FALSE,"Çaykara ataköy (1)";#N/A,#N/A,FALSE,"Çaykara ataköy (2)";#N/A,#N/A,FALSE,"Rize Kalkandere ";#N/A,#N/A,FALSE,"meydancık";#N/A,#N/A,FALSE,"muratlı"}</definedName>
    <definedName name="karadeniz" hidden="1">{#N/A,#N/A,FALSE,"Çaykara ataköy (1)";#N/A,#N/A,FALSE,"Çaykara ataköy (2)";#N/A,#N/A,FALSE,"Rize Kalkandere ";#N/A,#N/A,FALSE,"meydancık";#N/A,#N/A,FALSE,"muratlı"}</definedName>
    <definedName name="kay" localSheetId="3" hidden="1">{#N/A,#N/A,FALSE,"kal_iç_ihz";#N/A,#N/A,FALSE,"kal_iç_er";#N/A,#N/A,FALSE,"kal_iç_tut"}</definedName>
    <definedName name="kay" hidden="1">{#N/A,#N/A,FALSE,"kal_iç_ihz";#N/A,#N/A,FALSE,"kal_iç_er";#N/A,#N/A,FALSE,"kal_iç_tut"}</definedName>
    <definedName name="KD">'[46]Ex-Rate'!$C$14</definedName>
    <definedName name="KDIDUUE" localSheetId="3" hidden="1">{#N/A,#N/A,FALSE,"TABLE"}</definedName>
    <definedName name="KDIDUUE" hidden="1">{#N/A,#N/A,FALSE,"TABLE"}</definedName>
    <definedName name="KFHJFIH" hidden="1">#REF!</definedName>
    <definedName name="kghlgh" localSheetId="3" hidden="1">{#N/A,#N/A,FALSE,"CCTV"}</definedName>
    <definedName name="kghlgh" hidden="1">{#N/A,#N/A,FALSE,"CCTV"}</definedName>
    <definedName name="KHKHK" localSheetId="3" hidden="1">{#N/A,#N/A,FALSE,"ihz. icmal";#N/A,#N/A,FALSE,"avans";#N/A,#N/A,FALSE,"mal_FF_icm";#N/A,#N/A,FALSE,"fat_ihz";#N/A,#N/A,FALSE,"söz_fiy_fark";#N/A,#N/A,FALSE,"kap2"}</definedName>
    <definedName name="KHKHK" hidden="1">{#N/A,#N/A,FALSE,"ihz. icmal";#N/A,#N/A,FALSE,"avans";#N/A,#N/A,FALSE,"mal_FF_icm";#N/A,#N/A,FALSE,"fat_ihz";#N/A,#N/A,FALSE,"söz_fiy_fark";#N/A,#N/A,FALSE,"kap2"}</definedName>
    <definedName name="kib" localSheetId="3">#REF!</definedName>
    <definedName name="kib">#REF!</definedName>
    <definedName name="kim" localSheetId="3" hidden="1">{#N/A,#N/A,FALSE,"TABLE"}</definedName>
    <definedName name="kim" hidden="1">{#N/A,#N/A,FALSE,"TABLE"}</definedName>
    <definedName name="kiulil" localSheetId="3" hidden="1">{#N/A,#N/A,FALSE,"CCTV"}</definedName>
    <definedName name="kiulil" hidden="1">{#N/A,#N/A,FALSE,"CCTV"}</definedName>
    <definedName name="kj" localSheetId="3" hidden="1">#REF!</definedName>
    <definedName name="kj" hidden="1">#REF!</definedName>
    <definedName name="KJFF" localSheetId="3" hidden="1">{#N/A,#N/A,FALSE,"TABLE"}</definedName>
    <definedName name="KJFF" hidden="1">{#N/A,#N/A,FALSE,"TABLE"}</definedName>
    <definedName name="kjhjkh" localSheetId="3">#REF!</definedName>
    <definedName name="kjhjkh">#REF!</definedName>
    <definedName name="kjhkjj" localSheetId="3">#REF!</definedName>
    <definedName name="kjhkjj">#REF!</definedName>
    <definedName name="kjhlh" localSheetId="3" hidden="1">{#N/A,#N/A,FALSE,"CCTV"}</definedName>
    <definedName name="kjhlh" hidden="1">{#N/A,#N/A,FALSE,"CCTV"}</definedName>
    <definedName name="kjhljhk" localSheetId="3" hidden="1">{#N/A,#N/A,FALSE,"CCTV"}</definedName>
    <definedName name="kjhljhk" hidden="1">{#N/A,#N/A,FALSE,"CCTV"}</definedName>
    <definedName name="kjkgh">{"'장비'!$A$3:$M$12"}</definedName>
    <definedName name="kk" localSheetId="4" hidden="1">{"LKD",#N/A,FALSE,"표지"}</definedName>
    <definedName name="KK" localSheetId="3">#REF!</definedName>
    <definedName name="KK">#N/A</definedName>
    <definedName name="KKK" localSheetId="3">BlankMacro1</definedName>
    <definedName name="kkk" hidden="1">{#N/A,#N/A,FALSE,"CCTV"}</definedName>
    <definedName name="kkkk" localSheetId="3">#REF!</definedName>
    <definedName name="kkkk" hidden="1">#REF!</definedName>
    <definedName name="kkkkkk" hidden="1">'[102]TABLO-3'!$B$4:$B$4</definedName>
    <definedName name="kl" localSheetId="3" hidden="1">{#N/A,#N/A,FALSE,"TABLE"}</definedName>
    <definedName name="kl" hidden="1">{#N/A,#N/A,FALSE,"TABLE"}</definedName>
    <definedName name="KLDSFHLS" localSheetId="3" hidden="1">{#N/A,#N/A,FALSE,"TABLE"}</definedName>
    <definedName name="KLDSFHLS" hidden="1">{#N/A,#N/A,FALSE,"TABLE"}</definedName>
    <definedName name="klk" localSheetId="3">#REF!</definedName>
    <definedName name="klk">#REF!</definedName>
    <definedName name="KÖ" localSheetId="3" hidden="1">{#N/A,#N/A,FALSE,"Çaykara ataköy (1)";#N/A,#N/A,FALSE,"Çaykara ataköy (2)";#N/A,#N/A,FALSE,"Rize Kalkandere ";#N/A,#N/A,FALSE,"meydancık";#N/A,#N/A,FALSE,"muratlı"}</definedName>
    <definedName name="KÖ" hidden="1">{#N/A,#N/A,FALSE,"Çaykara ataköy (1)";#N/A,#N/A,FALSE,"Çaykara ataköy (2)";#N/A,#N/A,FALSE,"Rize Kalkandere ";#N/A,#N/A,FALSE,"meydancık";#N/A,#N/A,FALSE,"muratlı"}</definedName>
    <definedName name="Kopya"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opya"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OR">[103]직원동원SCH!$D$14:[103]직원동원SCH!#REF!</definedName>
    <definedName name="Köse" localSheetId="3" hidden="1">{#N/A,#N/A,FALSE,"Çaykara ataköy (1)";#N/A,#N/A,FALSE,"Çaykara ataköy (2)";#N/A,#N/A,FALSE,"Rize Kalkandere ";#N/A,#N/A,FALSE,"meydancık";#N/A,#N/A,FALSE,"muratlı"}</definedName>
    <definedName name="Köse" hidden="1">{#N/A,#N/A,FALSE,"Çaykara ataköy (1)";#N/A,#N/A,FALSE,"Çaykara ataköy (2)";#N/A,#N/A,FALSE,"Rize Kalkandere ";#N/A,#N/A,FALSE,"meydancık";#N/A,#N/A,FALSE,"muratlı"}</definedName>
    <definedName name="KROKİ" localSheetId="3" hidden="1">{#N/A,#N/A,FALSE,"Çaykara ataköy (1)";#N/A,#N/A,FALSE,"Çaykara ataköy (2)";#N/A,#N/A,FALSE,"Rize Kalkandere ";#N/A,#N/A,FALSE,"meydancık";#N/A,#N/A,FALSE,"muratlı"}</definedName>
    <definedName name="KROKİ" hidden="1">{#N/A,#N/A,FALSE,"Çaykara ataköy (1)";#N/A,#N/A,FALSE,"Çaykara ataköy (2)";#N/A,#N/A,FALSE,"Rize Kalkandere ";#N/A,#N/A,FALSE,"meydancık";#N/A,#N/A,FALSE,"muratlı"}</definedName>
    <definedName name="KS" hidden="1">{#N/A,#N/A,FALSE,"지침";#N/A,#N/A,FALSE,"환경분석";#N/A,#N/A,FALSE,"Sheet16"}</definedName>
    <definedName name="ksy.99" localSheetId="3" hidden="1">{#N/A,#N/A,FALSE,"Çaykara ataköy (1)";#N/A,#N/A,FALSE,"Çaykara ataköy (2)";#N/A,#N/A,FALSE,"Rize Kalkandere ";#N/A,#N/A,FALSE,"meydancık";#N/A,#N/A,FALSE,"muratlı"}</definedName>
    <definedName name="ksy.99" hidden="1">{#N/A,#N/A,FALSE,"Çaykara ataköy (1)";#N/A,#N/A,FALSE,"Çaykara ataköy (2)";#N/A,#N/A,FALSE,"Rize Kalkandere ";#N/A,#N/A,FALSE,"meydancık";#N/A,#N/A,FALSE,"muratlı"}</definedName>
    <definedName name="ksy.sON" localSheetId="3" hidden="1">{#N/A,#N/A,FALSE,"Çaykara ataköy (1)";#N/A,#N/A,FALSE,"Çaykara ataköy (2)";#N/A,#N/A,FALSE,"Rize Kalkandere ";#N/A,#N/A,FALSE,"meydancık";#N/A,#N/A,FALSE,"muratlı"}</definedName>
    <definedName name="ksy.sON" hidden="1">{#N/A,#N/A,FALSE,"Çaykara ataköy (1)";#N/A,#N/A,FALSE,"Çaykara ataköy (2)";#N/A,#N/A,FALSE,"Rize Kalkandere ";#N/A,#N/A,FALSE,"meydancık";#N/A,#N/A,FALSE,"muratlı"}</definedName>
    <definedName name="KTA" localSheetId="17">#REF!</definedName>
    <definedName name="KTA" localSheetId="15">#REF!</definedName>
    <definedName name="KTA" localSheetId="4">'[64]간접비내역-1'!#REF!</definedName>
    <definedName name="KTA">#REF!</definedName>
    <definedName name="KTB" localSheetId="17">#REF!</definedName>
    <definedName name="KTB" localSheetId="15">#REF!</definedName>
    <definedName name="KTB" localSheetId="4">'[64]간접비내역-1'!#REF!</definedName>
    <definedName name="KTB">#REF!</definedName>
    <definedName name="KTX" localSheetId="17">#REF!</definedName>
    <definedName name="KTX" localSheetId="15">#REF!</definedName>
    <definedName name="KTX" localSheetId="4">'[64]간접비내역-1'!#REF!</definedName>
    <definedName name="KTX">#REF!</definedName>
    <definedName name="KUNOP" localSheetId="3" hidden="1">{#N/A,#N/A,FALSE,"TABLE"}</definedName>
    <definedName name="KUNOP" hidden="1">{#N/A,#N/A,FALSE,"TABLE"}</definedName>
    <definedName name="küt" localSheetId="3" hidden="1">{#N/A,#N/A,FALSE,"Çaykara ataköy (1)";#N/A,#N/A,FALSE,"Çaykara ataköy (2)";#N/A,#N/A,FALSE,"Rize Kalkandere ";#N/A,#N/A,FALSE,"meydancık";#N/A,#N/A,FALSE,"muratlı"}</definedName>
    <definedName name="küt" hidden="1">{#N/A,#N/A,FALSE,"Çaykara ataköy (1)";#N/A,#N/A,FALSE,"Çaykara ataköy (2)";#N/A,#N/A,FALSE,"Rize Kalkandere ";#N/A,#N/A,FALSE,"meydancık";#N/A,#N/A,FALSE,"muratlı"}</definedName>
    <definedName name="KW">[60]작성기준!$C$23</definedName>
    <definedName name="L" localSheetId="3">#REF!</definedName>
    <definedName name="L">#REF!</definedName>
    <definedName name="L.C">[10]당초!#REF!</definedName>
    <definedName name="L_______EARTH_WORKS">#REF!</definedName>
    <definedName name="L_1" localSheetId="3" hidden="1">{"'Grafik Kontrol'!$A$1:$J$8"}</definedName>
    <definedName name="L_1" hidden="1">{"'Grafik Kontrol'!$A$1:$J$8"}</definedName>
    <definedName name="l_HEC_M">'[104]첨1.5'!$H$7</definedName>
    <definedName name="l_HEC_MM">'[104]첨1.5'!$M$7</definedName>
    <definedName name="l_HEC_천원">'[104]첨1.5'!$BJ$7</definedName>
    <definedName name="l_KOR_M">'[104]첨1.5'!$H$32</definedName>
    <definedName name="l_KOR_MM">'[104]첨1.5'!$M$32</definedName>
    <definedName name="l_KOR_천원">'[104]첨1.5'!$BJ$32</definedName>
    <definedName name="l_LIC_M">'[104]첨1.5'!$H$90</definedName>
    <definedName name="l_LIC_MM">'[104]첨1.5'!$M$90</definedName>
    <definedName name="l_LOC_M">'[104]첨1.5'!$H$71</definedName>
    <definedName name="l_LOC_MM">'[104]첨1.5'!$M$71</definedName>
    <definedName name="l_LOC_천원">'[104]첨1.5'!$BJ$71</definedName>
    <definedName name="l_TCN_M">'[104]첨1.5'!$H$51</definedName>
    <definedName name="l_TCN_MM">'[104]첨1.5'!$M$51</definedName>
    <definedName name="La">650</definedName>
    <definedName name="labor_c" localSheetId="3">#REF!</definedName>
    <definedName name="labor_c">#REF!</definedName>
    <definedName name="labor_u" localSheetId="3">#REF!</definedName>
    <definedName name="labor_u">#REF!</definedName>
    <definedName name="Las">770</definedName>
    <definedName name="LAST" localSheetId="3">#REF!</definedName>
    <definedName name="LAST">#REF!</definedName>
    <definedName name="lavatory">#REF!</definedName>
    <definedName name="LC" localSheetId="3" hidden="1">{#N/A,#N/A,FALSE,"TABLE"}</definedName>
    <definedName name="LC">#REF!</definedName>
    <definedName name="LCthk">[52]Calc!#REF!</definedName>
    <definedName name="LC산출" localSheetId="3" hidden="1">{#N/A,#N/A,FALSE,"사업총괄";#N/A,#N/A,FALSE,"장비사업";#N/A,#N/A,FALSE,"철구사업";#N/A,#N/A,FALSE,"준설사업"}</definedName>
    <definedName name="LC산출" hidden="1">{#N/A,#N/A,FALSE,"사업총괄";#N/A,#N/A,FALSE,"장비사업";#N/A,#N/A,FALSE,"철구사업";#N/A,#N/A,FALSE,"준설사업"}</definedName>
    <definedName name="lean" localSheetId="17">#REF!</definedName>
    <definedName name="lean" localSheetId="15">#REF!</definedName>
    <definedName name="lean" localSheetId="3">#REF!</definedName>
    <definedName name="lean">#REF!</definedName>
    <definedName name="LEE" hidden="1">{#N/A,#N/A,TRUE,"Basic";#N/A,#N/A,TRUE,"EXT-TABLE";#N/A,#N/A,TRUE,"STEEL";#N/A,#N/A,TRUE,"INT-Table";#N/A,#N/A,TRUE,"STEEL";#N/A,#N/A,TRUE,"Door"}</definedName>
    <definedName name="level">{"'장비'!$A$3:$M$12"}</definedName>
    <definedName name="level1">{"'장비'!$A$3:$M$12"}</definedName>
    <definedName name="lg" localSheetId="3" hidden="1">{#N/A,#N/A,FALSE,"Çaykara ataköy (1)";#N/A,#N/A,FALSE,"Çaykara ataköy (2)";#N/A,#N/A,FALSE,"Rize Kalkandere ";#N/A,#N/A,FALSE,"meydancık";#N/A,#N/A,FALSE,"muratlı"}</definedName>
    <definedName name="lg" hidden="1">{#N/A,#N/A,FALSE,"Çaykara ataköy (1)";#N/A,#N/A,FALSE,"Çaykara ataköy (2)";#N/A,#N/A,FALSE,"Rize Kalkandere ";#N/A,#N/A,FALSE,"meydancık";#N/A,#N/A,FALSE,"muratlı"}</definedName>
    <definedName name="LIEU1">"Texte 157"</definedName>
    <definedName name="LIEU2">"Texte 158"</definedName>
    <definedName name="LINE1" localSheetId="3">#REF!</definedName>
    <definedName name="LINE1">#REF!</definedName>
    <definedName name="list" localSheetId="3" hidden="1">{#N/A,#N/A,TRUE,"Basic";#N/A,#N/A,TRUE,"EXT-TABLE";#N/A,#N/A,TRUE,"STEEL";#N/A,#N/A,TRUE,"INT-Table";#N/A,#N/A,TRUE,"STEEL";#N/A,#N/A,TRUE,"Door"}</definedName>
    <definedName name="list" hidden="1">{#N/A,#N/A,TRUE,"Basic";#N/A,#N/A,TRUE,"EXT-TABLE";#N/A,#N/A,TRUE,"STEEL";#N/A,#N/A,TRUE,"INT-Table";#N/A,#N/A,TRUE,"STEEL";#N/A,#N/A,TRUE,"Door"}</definedName>
    <definedName name="list_1" hidden="1">{#N/A,#N/A,TRUE,"Basic";#N/A,#N/A,TRUE,"EXT-TABLE";#N/A,#N/A,TRUE,"STEEL";#N/A,#N/A,TRUE,"INT-Table";#N/A,#N/A,TRUE,"STEEL";#N/A,#N/A,TRUE,"Door"}</definedName>
    <definedName name="list01" localSheetId="3"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2" localSheetId="3" hidden="1">{#N/A,#N/A,TRUE,"Basic";#N/A,#N/A,TRUE,"EXT-TABLE";#N/A,#N/A,TRUE,"STEEL";#N/A,#N/A,TRUE,"INT-Table";#N/A,#N/A,TRUE,"STEEL";#N/A,#N/A,TRUE,"Door"}</definedName>
    <definedName name="list02" hidden="1">{#N/A,#N/A,TRUE,"Basic";#N/A,#N/A,TRUE,"EXT-TABLE";#N/A,#N/A,TRUE,"STEEL";#N/A,#N/A,TRUE,"INT-Table";#N/A,#N/A,TRUE,"STEEL";#N/A,#N/A,TRUE,"Door"}</definedName>
    <definedName name="liuk" hidden="1">'[105]PROJECT DATA'!$I$12:$BD$12</definedName>
    <definedName name="LJAHH" localSheetId="3" hidden="1">{#N/A,#N/A,FALSE,"TABLE"}</definedName>
    <definedName name="LJAHH" hidden="1">{#N/A,#N/A,FALSE,"TABLE"}</definedName>
    <definedName name="LJKL" localSheetId="3" hidden="1">{#N/A,#N/A,FALSE,"TABLE"}</definedName>
    <definedName name="LJKL" hidden="1">{#N/A,#N/A,FALSE,"TABLE"}</definedName>
    <definedName name="ljkㅏㅎ" localSheetId="3" hidden="1">{#N/A,#N/A,FALSE,"2~8번"}</definedName>
    <definedName name="ljkㅏㅎ" hidden="1">{#N/A,#N/A,FALSE,"2~8번"}</definedName>
    <definedName name="lkkkk" localSheetId="3" hidden="1">{#N/A,#N/A,FALSE,"müş_iç_ihz";#N/A,#N/A,FALSE,"müş_iç_er";#N/A,#N/A,FALSE,"müş_iç_tut"}</definedName>
    <definedName name="lkkkk" hidden="1">{#N/A,#N/A,FALSE,"müş_iç_ihz";#N/A,#N/A,FALSE,"müş_iç_er";#N/A,#N/A,FALSE,"müş_iç_tut"}</definedName>
    <definedName name="lklhlkjl" localSheetId="3" hidden="1">{#N/A,#N/A,FALSE,"CCTV"}</definedName>
    <definedName name="lklhlkjl" hidden="1">{#N/A,#N/A,FALSE,"CCTV"}</definedName>
    <definedName name="ll" localSheetId="3" hidden="1">{#N/A,#N/A,FALSE,"Çaykara ataköy (1)";#N/A,#N/A,FALSE,"Çaykara ataköy (2)";#N/A,#N/A,FALSE,"Rize Kalkandere ";#N/A,#N/A,FALSE,"meydancık";#N/A,#N/A,FALSE,"muratlı"}</definedName>
    <definedName name="ll" hidden="1">{#N/A,#N/A,FALSE,"Çaykara ataköy (1)";#N/A,#N/A,FALSE,"Çaykara ataköy (2)";#N/A,#N/A,FALSE,"Rize Kalkandere ";#N/A,#N/A,FALSE,"meydancık";#N/A,#N/A,FALSE,"muratlı"}</definedName>
    <definedName name="lll" hidden="1">{#N/A,#N/A,FALSE,"CCTV"}</definedName>
    <definedName name="llll" localSheetId="3" hidden="1">{#N/A,#N/A,FALSE,"이태원철근"}</definedName>
    <definedName name="llll" hidden="1">{#N/A,#N/A,FALSE,"이태원철근"}</definedName>
    <definedName name="LNKJLKM" localSheetId="3" hidden="1">{#N/A,#N/A,FALSE,"kal_iç_ihz";#N/A,#N/A,FALSE,"kal_iç_er";#N/A,#N/A,FALSE,"kal_iç_tut"}</definedName>
    <definedName name="LNKJLKM" hidden="1">{#N/A,#N/A,FALSE,"kal_iç_ihz";#N/A,#N/A,FALSE,"kal_iç_er";#N/A,#N/A,FALSE,"kal_iç_tut"}</definedName>
    <definedName name="loading_port">'[106]Shipping Cost'!$AV$3:$AV$49</definedName>
    <definedName name="loca" localSheetId="3">#REF!</definedName>
    <definedName name="loca">#REF!</definedName>
    <definedName name="LOCATION">[51]LEGEND!$D$7</definedName>
    <definedName name="LOP">[105]LOPCALC!$A$4:$J$8</definedName>
    <definedName name="LS">#REF!</definedName>
    <definedName name="LSKDK" localSheetId="3" hidden="1">{#N/A,#N/A,FALSE,"TABLE"}</definedName>
    <definedName name="LSKDK" hidden="1">{#N/A,#N/A,FALSE,"TABLE"}</definedName>
    <definedName name="lth">#REF!</definedName>
    <definedName name="LTR_현바제_93113_93.10.07" localSheetId="3">#REF!</definedName>
    <definedName name="LTR_현바제_93113_93.10.07">#REF!</definedName>
    <definedName name="LÜTFÜ" localSheetId="3" hidden="1">{#N/A,#N/A,FALSE,"Çaykara ataköy (1)";#N/A,#N/A,FALSE,"Çaykara ataköy (2)";#N/A,#N/A,FALSE,"Rize Kalkandere ";#N/A,#N/A,FALSE,"meydancık";#N/A,#N/A,FALSE,"muratlı"}</definedName>
    <definedName name="LÜTFÜ" hidden="1">{#N/A,#N/A,FALSE,"Çaykara ataköy (1)";#N/A,#N/A,FALSE,"Çaykara ataköy (2)";#N/A,#N/A,FALSE,"Rize Kalkandere ";#N/A,#N/A,FALSE,"meydancık";#N/A,#N/A,FALSE,"muratlı"}</definedName>
    <definedName name="lütfü1" localSheetId="3" hidden="1">{#N/A,#N/A,FALSE,"Çaykara ataköy (1)";#N/A,#N/A,FALSE,"Çaykara ataköy (2)";#N/A,#N/A,FALSE,"Rize Kalkandere ";#N/A,#N/A,FALSE,"meydancık";#N/A,#N/A,FALSE,"muratlı"}</definedName>
    <definedName name="lütfü1" hidden="1">{#N/A,#N/A,FALSE,"Çaykara ataköy (1)";#N/A,#N/A,FALSE,"Çaykara ataköy (2)";#N/A,#N/A,FALSE,"Rize Kalkandere ";#N/A,#N/A,FALSE,"meydancık";#N/A,#N/A,FALSE,"muratlı"}</definedName>
    <definedName name="LWSALES" localSheetId="17">#REF!</definedName>
    <definedName name="LWSALES" localSheetId="15">#REF!</definedName>
    <definedName name="LWSALES" localSheetId="3">#REF!</definedName>
    <definedName name="LWSALES">#REF!</definedName>
    <definedName name="lx" localSheetId="17">#REF!</definedName>
    <definedName name="lx" localSheetId="15">#REF!</definedName>
    <definedName name="lx" localSheetId="3">#REF!</definedName>
    <definedName name="lx">#REF!</definedName>
    <definedName name="ly" localSheetId="17">#REF!</definedName>
    <definedName name="ly" localSheetId="15">#REF!</definedName>
    <definedName name="LY" localSheetId="3" hidden="1">#REF!</definedName>
    <definedName name="ly">#REF!</definedName>
    <definedName name="LYBin" localSheetId="17">#REF!</definedName>
    <definedName name="LYBin" localSheetId="15">#REF!</definedName>
    <definedName name="LYBin" localSheetId="3">#REF!</definedName>
    <definedName name="LYBin">#REF!</definedName>
    <definedName name="LYHolds" localSheetId="17">#REF!</definedName>
    <definedName name="LYHolds" localSheetId="15">#REF!</definedName>
    <definedName name="LYHolds" localSheetId="3">#REF!</definedName>
    <definedName name="LYHolds">#REF!</definedName>
    <definedName name="LYNet" localSheetId="17">#REF!</definedName>
    <definedName name="LYNet" localSheetId="15">#REF!</definedName>
    <definedName name="LYNet" localSheetId="3">#REF!</definedName>
    <definedName name="LYNet">#REF!</definedName>
    <definedName name="LYoos" localSheetId="17">#REF!</definedName>
    <definedName name="LYoos" localSheetId="15">#REF!</definedName>
    <definedName name="LYoos" localSheetId="3">#REF!</definedName>
    <definedName name="LYoos">#REF!</definedName>
    <definedName name="LYReselects" localSheetId="17">#REF!</definedName>
    <definedName name="LYReselects" localSheetId="15">#REF!</definedName>
    <definedName name="LYReselects" localSheetId="3">#REF!</definedName>
    <definedName name="LYReselects">#REF!</definedName>
    <definedName name="LYReturns" localSheetId="17">#REF!</definedName>
    <definedName name="LYReturns" localSheetId="15">#REF!</definedName>
    <definedName name="LYReturns" localSheetId="3">#REF!</definedName>
    <definedName name="LYReturns">#REF!</definedName>
    <definedName name="LYSales" localSheetId="17">#REF!</definedName>
    <definedName name="LYSales" localSheetId="15">#REF!</definedName>
    <definedName name="LYSales" localSheetId="3">#REF!</definedName>
    <definedName name="LYSales">#REF!</definedName>
    <definedName name="LYTotal" localSheetId="17">#REF!</definedName>
    <definedName name="LYTotal" localSheetId="15">#REF!</definedName>
    <definedName name="LYTotal" localSheetId="3">#REF!</definedName>
    <definedName name="LYTotal">#REF!</definedName>
    <definedName name="m">{"'장비'!$A$3:$M$12"}</definedName>
    <definedName name="M_A_L_G_A">#N/A</definedName>
    <definedName name="M_L_N_G">#N/A</definedName>
    <definedName name="M_P_D_P">#N/A</definedName>
    <definedName name="M1_">#N/A</definedName>
    <definedName name="M2_">#N/A</definedName>
    <definedName name="maçka" localSheetId="3" hidden="1">{#N/A,#N/A,FALSE,"Çaykara ataköy (1)";#N/A,#N/A,FALSE,"Çaykara ataköy (2)";#N/A,#N/A,FALSE,"Rize Kalkandere ";#N/A,#N/A,FALSE,"meydancık";#N/A,#N/A,FALSE,"muratlı"}</definedName>
    <definedName name="maçka" hidden="1">{#N/A,#N/A,FALSE,"Çaykara ataköy (1)";#N/A,#N/A,FALSE,"Çaykara ataköy (2)";#N/A,#N/A,FALSE,"Rize Kalkandere ";#N/A,#N/A,FALSE,"meydancık";#N/A,#N/A,FALSE,"muratlı"}</definedName>
    <definedName name="Macro1">[107]!Macro1</definedName>
    <definedName name="MAL.F.F.HESAP2" localSheetId="3" hidden="1">{#N/A,#N/A,FALSE,"ihz. icmal";#N/A,#N/A,FALSE,"avans";#N/A,#N/A,FALSE,"mal_FF_icm";#N/A,#N/A,FALSE,"fat_ihz";#N/A,#N/A,FALSE,"söz_fiy_fark";#N/A,#N/A,FALSE,"kap2"}</definedName>
    <definedName name="MAL.F.F.HESAP2" hidden="1">{#N/A,#N/A,FALSE,"ihz. icmal";#N/A,#N/A,FALSE,"avans";#N/A,#N/A,FALSE,"mal_FF_icm";#N/A,#N/A,FALSE,"fat_ihz";#N/A,#N/A,FALSE,"söz_fiy_fark";#N/A,#N/A,FALSE,"kap2"}</definedName>
    <definedName name="MAL.F.F.HESAP3"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3" hidden="1">{#N/A,#N/A,FALSE,"ihz. icmal";#N/A,#N/A,FALSE,"avans";#N/A,#N/A,FALSE,"mal_FF_icm";#N/A,#N/A,FALSE,"fat_ihz";#N/A,#N/A,FALSE,"söz_fiy_fark";#N/A,#N/A,FALSE,"kap2"}</definedName>
    <definedName name="MAL.F.F3" hidden="1">{#N/A,#N/A,FALSE,"ihz. icmal";#N/A,#N/A,FALSE,"avans";#N/A,#N/A,FALSE,"mal_FF_icm";#N/A,#N/A,FALSE,"fat_ihz";#N/A,#N/A,FALSE,"söz_fiy_fark";#N/A,#N/A,FALSE,"kap2"}</definedName>
    <definedName name="MAL.F.F4" localSheetId="3"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nmonth" localSheetId="3">#REF!</definedName>
    <definedName name="manmonth">#REF!</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MANPOWER_LABOR_NATION">'[90]MANPOWER MOBILIZATION'!$A$43:$AC$50</definedName>
    <definedName name="MANPOWER_STAFF_KOR_POSITION">'[90]MANPOWER MOBILIZATION'!$A$58:$AC$67</definedName>
    <definedName name="MANPOWER_STAFF_NATION">'[90]MANPOWER MOBILIZATION'!$A$19:$AC$27</definedName>
    <definedName name="margin" localSheetId="3">#REF!</definedName>
    <definedName name="margin">#REF!</definedName>
    <definedName name="margin1" localSheetId="3">#REF!</definedName>
    <definedName name="margin1">#REF!</definedName>
    <definedName name="MARGINPLAN" localSheetId="17">#REF!</definedName>
    <definedName name="MARGINPLAN" localSheetId="15">#REF!</definedName>
    <definedName name="MARGINPLAN" localSheetId="3">#REF!</definedName>
    <definedName name="MARGINPLAN">#REF!</definedName>
    <definedName name="MARGINPROJ" localSheetId="17">#REF!</definedName>
    <definedName name="MARGINPROJ" localSheetId="15">#REF!</definedName>
    <definedName name="MARGINPROJ" localSheetId="3">#REF!</definedName>
    <definedName name="MARGINPROJ">#REF!</definedName>
    <definedName name="MarkIdx">[83]Data!#REF!</definedName>
    <definedName name="MAT">[62]lookup!$IL$3:$IV$17</definedName>
    <definedName name="mat_list" localSheetId="3">#REF!</definedName>
    <definedName name="mat_list">#REF!</definedName>
    <definedName name="material_c" localSheetId="3">#REF!</definedName>
    <definedName name="material_c">#REF!</definedName>
    <definedName name="material_u" localSheetId="3">#REF!</definedName>
    <definedName name="material_u">#REF!</definedName>
    <definedName name="Matl" localSheetId="3">#REF!</definedName>
    <definedName name="Matl">#REF!</definedName>
    <definedName name="MBNFV" localSheetId="3" hidden="1">{#N/A,#N/A,FALSE,"TABLE"}</definedName>
    <definedName name="MBNFV" hidden="1">{#N/A,#N/A,FALSE,"TABLE"}</definedName>
    <definedName name="MCC">[107]DATA!$A$30:$D$53</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DR_">#REF!</definedName>
    <definedName name="mech1" localSheetId="3">#REF!</definedName>
    <definedName name="mech1">#REF!</definedName>
    <definedName name="mech1_mci" localSheetId="3">#REF!</definedName>
    <definedName name="mech1_mci">#REF!</definedName>
    <definedName name="mech2" localSheetId="3">#REF!</definedName>
    <definedName name="mech2">#REF!</definedName>
    <definedName name="mech2_mci" localSheetId="3">#REF!</definedName>
    <definedName name="mech2_mci">#REF!</definedName>
    <definedName name="mech3_mci" localSheetId="3">#REF!</definedName>
    <definedName name="mech3_mci">#REF!</definedName>
    <definedName name="mech4" localSheetId="3">#REF!</definedName>
    <definedName name="mech4">#REF!</definedName>
    <definedName name="mech4_mci" localSheetId="3">#REF!</definedName>
    <definedName name="mech4_mci">#REF!</definedName>
    <definedName name="mech5" localSheetId="3">#REF!</definedName>
    <definedName name="mech5">#REF!</definedName>
    <definedName name="mech5_mci" localSheetId="3">#REF!</definedName>
    <definedName name="mech5_mci">#REF!</definedName>
    <definedName name="MECH6" localSheetId="3">#REF!</definedName>
    <definedName name="MECH6">#REF!</definedName>
    <definedName name="mech6_mci" localSheetId="3">#REF!</definedName>
    <definedName name="mech6_mci">#REF!</definedName>
    <definedName name="mech7" localSheetId="3">#REF!</definedName>
    <definedName name="mech7">#REF!</definedName>
    <definedName name="mecH7_mci" localSheetId="3">#REF!</definedName>
    <definedName name="mecH7_mci">#REF!</definedName>
    <definedName name="meci7_mci" localSheetId="3">#REF!</definedName>
    <definedName name="meci7_mci">#REF!</definedName>
    <definedName name="MEHMET"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NU">[108]!MENU</definedName>
    <definedName name="MENU1" localSheetId="3">#REF!</definedName>
    <definedName name="MENU1">#REF!</definedName>
    <definedName name="MENU2" localSheetId="3">#REF!</definedName>
    <definedName name="MENU2">#REF!</definedName>
    <definedName name="MESEYE" localSheetId="3" hidden="1">{#N/A,#N/A,FALSE,"Çaykara ataköy (1)";#N/A,#N/A,FALSE,"Çaykara ataköy (2)";#N/A,#N/A,FALSE,"Rize Kalkandere ";#N/A,#N/A,FALSE,"meydancık";#N/A,#N/A,FALSE,"muratlı"}</definedName>
    <definedName name="MESEYE" hidden="1">{#N/A,#N/A,FALSE,"Çaykara ataköy (1)";#N/A,#N/A,FALSE,"Çaykara ataköy (2)";#N/A,#N/A,FALSE,"Rize Kalkandere ";#N/A,#N/A,FALSE,"meydancık";#N/A,#N/A,FALSE,"muratlı"}</definedName>
    <definedName name="mhpmm">'[109]2 설계비'!$J$4</definedName>
    <definedName name="mhr" localSheetId="3">#REF!</definedName>
    <definedName name="mhr">#REF!</definedName>
    <definedName name="mik" localSheetId="3" hidden="1">{#N/A,#N/A,FALSE,"TABLE"}</definedName>
    <definedName name="mik" hidden="1">{#N/A,#N/A,FALSE,"TABLE"}</definedName>
    <definedName name="mjkj" hidden="1">'[7]TABLO-3'!$B$4:$B$4</definedName>
    <definedName name="MJU" localSheetId="3" hidden="1">{#N/A,#N/A,FALSE,"TABLE"}</definedName>
    <definedName name="MJU" hidden="1">{#N/A,#N/A,FALSE,"TABLE"}</definedName>
    <definedName name="Mlz.Mik.Hs.Tb." localSheetId="3" hidden="1">{#N/A,#N/A,FALSE,"Çaykara ataköy (1)";#N/A,#N/A,FALSE,"Çaykara ataköy (2)";#N/A,#N/A,FALSE,"Rize Kalkandere ";#N/A,#N/A,FALSE,"meydancık";#N/A,#N/A,FALSE,"muratlı"}</definedName>
    <definedName name="Mlz.Mik.Hs.Tb." hidden="1">{#N/A,#N/A,FALSE,"Çaykara ataköy (1)";#N/A,#N/A,FALSE,"Çaykara ataköy (2)";#N/A,#N/A,FALSE,"Rize Kalkandere ";#N/A,#N/A,FALSE,"meydancık";#N/A,#N/A,FALSE,"muratlı"}</definedName>
    <definedName name="mm" localSheetId="3" hidden="1">{#N/A,#N/A,TRUE,"토적및재료집계";#N/A,#N/A,TRUE,"토적및재료집계";#N/A,#N/A,TRUE,"단위량"}</definedName>
    <definedName name="mm" hidden="1">{#N/A,#N/A,TRUE,"토적및재료집계";#N/A,#N/A,TRUE,"토적및재료집계";#N/A,#N/A,TRUE,"단위량"}</definedName>
    <definedName name="mmm" localSheetId="3" hidden="1">{#N/A,#N/A,FALSE,"TABLE"}</definedName>
    <definedName name="mmm">{"'장비'!$A$3:$M$12"}</definedName>
    <definedName name="mmmm">{"'장비'!$A$3:$M$12"}</definedName>
    <definedName name="mmmmm" localSheetId="3" hidden="1">{#N/A,#N/A,FALSE,"CCTV"}</definedName>
    <definedName name="mmmmm" hidden="1">{#N/A,#N/A,FALSE,"CCTV"}</definedName>
    <definedName name="MNBV" localSheetId="3" hidden="1">{#N/A,#N/A,FALSE,"TABLE"}</definedName>
    <definedName name="MNBV" hidden="1">{#N/A,#N/A,FALSE,"TABLE"}</definedName>
    <definedName name="mnnb">'[32]h-013211-2'!$Q$2</definedName>
    <definedName name="MNO" localSheetId="3" hidden="1">{#N/A,#N/A,FALSE,"TABLE"}</definedName>
    <definedName name="MNO" hidden="1">{#N/A,#N/A,FALSE,"TABLE"}</definedName>
    <definedName name="MOB_SITE_LABOR_COLUMN">'[90]LABOR MOBILIZATION PLAN'!$A$11:$BV$11</definedName>
    <definedName name="MOB_SITE_LABOR_NATION">'[90]LABOR MOBILIZATION PLAN'!$A$368:$BV$370</definedName>
    <definedName name="MOB_SITE_STAFF_COLUMN">'[90]STAFF MOBILIZATION PLAN'!$A$11:$CC$11</definedName>
    <definedName name="MOB_SITE_STAFF_KOR_POSITION">'[90]STAFF MOBILIZATION PLAN'!$A$183:$CC$192</definedName>
    <definedName name="MOB_SITE_STAFF_MANAGER">'[90]STAFF MOBILIZATION PLAN'!$A$675:$CC$675</definedName>
    <definedName name="MOB_SITE_STAFF_NATION">'[90]STAFF MOBILIZATION PLAN'!$A$234:$CC$242</definedName>
    <definedName name="moi">{"'Sheet1'!$L$16"}</definedName>
    <definedName name="MOM">[62]lookup!$HH$2:$HP$46</definedName>
    <definedName name="Motorrating">[79]PumpSpec!$Y$3:$Z$25</definedName>
    <definedName name="MPMOB" localSheetId="3">#REF!</definedName>
    <definedName name="MPMOB">#REF!</definedName>
    <definedName name="mrate" localSheetId="3">#REF!</definedName>
    <definedName name="mrate">#REF!</definedName>
    <definedName name="msy" localSheetId="3" hidden="1">{#N/A,#N/A,FALSE,"Çaykara ataköy (1)";#N/A,#N/A,FALSE,"Çaykara ataköy (2)";#N/A,#N/A,FALSE,"Rize Kalkandere ";#N/A,#N/A,FALSE,"meydancık";#N/A,#N/A,FALSE,"muratlı"}</definedName>
    <definedName name="msy" hidden="1">{#N/A,#N/A,FALSE,"Çaykara ataköy (1)";#N/A,#N/A,FALSE,"Çaykara ataköy (2)";#N/A,#N/A,FALSE,"Rize Kalkandere ";#N/A,#N/A,FALSE,"meydancık";#N/A,#N/A,FALSE,"muratlı"}</definedName>
    <definedName name="MTBE" localSheetId="3">#REF!</definedName>
    <definedName name="MTBE">#REF!</definedName>
    <definedName name="MTBEC" localSheetId="3">#REF!</definedName>
    <definedName name="MTBEC">#REF!</definedName>
    <definedName name="MTBEE" localSheetId="3">#REF!</definedName>
    <definedName name="MTBEE">#REF!</definedName>
    <definedName name="MTBEI" localSheetId="3">#REF!</definedName>
    <definedName name="MTBEI">#REF!</definedName>
    <definedName name="MTBEP" localSheetId="3">#REF!</definedName>
    <definedName name="MTBEP">#REF!</definedName>
    <definedName name="MTBES" localSheetId="3">#REF!</definedName>
    <definedName name="MTBES">#REF!</definedName>
    <definedName name="MTBEW" localSheetId="3">#REF!</definedName>
    <definedName name="MTBEW">#REF!</definedName>
    <definedName name="MTBE계장" localSheetId="3">#REF!</definedName>
    <definedName name="MTBE계장">#REF!</definedName>
    <definedName name="MTBE도장" localSheetId="3">#REF!</definedName>
    <definedName name="MTBE도장">#REF!</definedName>
    <definedName name="MTBE전" localSheetId="3">#REF!</definedName>
    <definedName name="MTBE전">#REF!</definedName>
    <definedName name="MTL" localSheetId="3">#REF!</definedName>
    <definedName name="MTL">#REF!</definedName>
    <definedName name="MVNB" localSheetId="3" hidden="1">{#N/A,#N/A,FALSE,"TABLE"}</definedName>
    <definedName name="MVNB" hidden="1">{#N/A,#N/A,FALSE,"TABLE"}</definedName>
    <definedName name="name" localSheetId="17">#REF!</definedName>
    <definedName name="name" localSheetId="15">#REF!</definedName>
    <definedName name="name" localSheetId="3">#REF!</definedName>
    <definedName name="name">#REF!</definedName>
    <definedName name="NBM" localSheetId="3">#REF!</definedName>
    <definedName name="NBM">#REF!</definedName>
    <definedName name="NBNB" localSheetId="3" hidden="1">{#N/A,#N/A,FALSE,"TABLE"}</definedName>
    <definedName name="NBNB" hidden="1">{#N/A,#N/A,FALSE,"TABLE"}</definedName>
    <definedName name="nd" localSheetId="3" hidden="1">{#N/A,#N/A,FALSE,"Çaykara ataköy (1)";#N/A,#N/A,FALSE,"Çaykara ataköy (2)";#N/A,#N/A,FALSE,"Rize Kalkandere ";#N/A,#N/A,FALSE,"meydancık";#N/A,#N/A,FALSE,"muratlı"}</definedName>
    <definedName name="nd" hidden="1">{#N/A,#N/A,FALSE,"Çaykara ataköy (1)";#N/A,#N/A,FALSE,"Çaykara ataköy (2)";#N/A,#N/A,FALSE,"Rize Kalkandere ";#N/A,#N/A,FALSE,"meydancık";#N/A,#N/A,FALSE,"muratlı"}</definedName>
    <definedName name="needle" localSheetId="3">#REF!</definedName>
    <definedName name="needle">#REF!</definedName>
    <definedName name="netwark" localSheetId="3" hidden="1">{#N/A,#N/A,FALSE,"골재소요량";#N/A,#N/A,FALSE,"골재소요량"}</definedName>
    <definedName name="netwark" hidden="1">{#N/A,#N/A,FALSE,"골재소요량";#N/A,#N/A,FALSE,"골재소요량"}</definedName>
    <definedName name="NEWNAME" localSheetId="3" hidden="1">{#N/A,#N/A,FALSE,"CCTV"}</definedName>
    <definedName name="NEWNAME" hidden="1">{#N/A,#N/A,FALSE,"CCTV"}</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GG" localSheetId="3" hidden="1">{#N/A,#N/A,FALSE,"TABLE"}</definedName>
    <definedName name="NGGG" hidden="1">{#N/A,#N/A,FALSE,"TABLE"}</definedName>
    <definedName name="nhk"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nhk"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NIPP" localSheetId="3">#REF!</definedName>
    <definedName name="NIPP">#REF!</definedName>
    <definedName name="nkknk" localSheetId="3" hidden="1">{#N/A,#N/A,FALSE,"CCTV"}</definedName>
    <definedName name="nkknk" hidden="1">{#N/A,#N/A,FALSE,"CCTV"}</definedName>
    <definedName name="NN" localSheetId="17">'[37]97 사업추정(WEKI)'!#REF!</definedName>
    <definedName name="NN" localSheetId="15">'[37]97 사업추정(WEKI)'!#REF!</definedName>
    <definedName name="NN" localSheetId="4" hidden="1">{#N/A,#N/A,FALSE,"지침";#N/A,#N/A,FALSE,"환경분석";#N/A,#N/A,FALSE,"Sheet16"}</definedName>
    <definedName name="NN">'[37]97 사업추정(WEKI)'!#REF!</definedName>
    <definedName name="NNN" localSheetId="17">'[66]97 사업추정(WEKI)'!#REF!</definedName>
    <definedName name="NNN" localSheetId="15">'[66]97 사업추정(WEKI)'!#REF!</definedName>
    <definedName name="NNN" localSheetId="4">[110]구의33고!$H$16:$H$29</definedName>
    <definedName name="NNN">'[66]97 사업추정(WEKI)'!#REF!</definedName>
    <definedName name="NNNM" localSheetId="3" hidden="1">{#N/A,#N/A,FALSE,"kap1";#N/A,#N/A,FALSE,"kap2";#N/A,#N/A,FALSE,"tem_mektubu";#N/A,#N/A,FALSE,"avans";#N/A,#N/A,FALSE,"söz_fiy_fark";#N/A,#N/A,FALSE,"fat_ihz"}</definedName>
    <definedName name="NNNM" hidden="1">{#N/A,#N/A,FALSE,"kap1";#N/A,#N/A,FALSE,"kap2";#N/A,#N/A,FALSE,"tem_mektubu";#N/A,#N/A,FALSE,"avans";#N/A,#N/A,FALSE,"söz_fiy_fark";#N/A,#N/A,FALSE,"fat_ihz"}</definedName>
    <definedName name="NNNN" localSheetId="3" hidden="1">'[111]TABLO-3'!$B$8:$B$8</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hidden="1">{#N/A,#N/A,FALSE,"지침";#N/A,#N/A,FALSE,"환경분석";#N/A,#N/A,FALSE,"Sheet16"}</definedName>
    <definedName name="NO_INDIRECT_NATION">'[59]PERSONNEL SETUP'!$E$31:$Y$39</definedName>
    <definedName name="NO_INDIRECT_TCN_NATION">'[59]PERSONNEL SETUP'!$G$34:$Y$38</definedName>
    <definedName name="NO_LABOR_NATION">'[59]PERSONNEL SETUP'!$E$43:$Y$50</definedName>
    <definedName name="NO_LABOR_TCN_NATION">'[59]PERSONNEL SETUP'!$G$45:$Y$49</definedName>
    <definedName name="NO_POSITION">'[59]PERSONNEL SETUP'!$C$18:$Y$50</definedName>
    <definedName name="NO_STAFF_KOR_POSITION">'[59]PERSONNEL SETUP'!$C$58:$Y$67</definedName>
    <definedName name="NO_STAFF_NATION">'[59]PERSONNEL SETUP'!$E$19:$Y$27</definedName>
    <definedName name="NO_STAFF_TCN_NATION">'[59]PERSONNEL SETUP'!$G$22:$Y$26</definedName>
    <definedName name="NOMU" localSheetId="3">#REF!</definedName>
    <definedName name="NOMU">#REF!</definedName>
    <definedName name="NoPlan">"Texte 148"</definedName>
    <definedName name="NOTE" hidden="1">{#N/A,#N/A,TRUE,"총괄"}</definedName>
    <definedName name="NOZZLE_PRESS" localSheetId="3">#REF!</definedName>
    <definedName name="NOZZLE_PRESS">#REF!</definedName>
    <definedName name="nsort" localSheetId="3">#REF!</definedName>
    <definedName name="nsort">#REF!</definedName>
    <definedName name="nt" localSheetId="3" hidden="1">{#N/A,#N/A,FALSE,"NAKLİYE TABLOLARI";#N/A,#N/A,FALSE,"İTİNERER";#N/A,#N/A,FALSE,"bürükner cetveli";#N/A,#N/A,FALSE,"SANAT YAPILARI";#N/A,#N/A,FALSE,"B.A TABLOLARI";#N/A,#N/A,FALSE,"istinat duv.";#N/A,#N/A,FALSE,"NAKLİYE TABLOLARI"}</definedName>
    <definedName name="nt" hidden="1">{#N/A,#N/A,FALSE,"NAKLİYE TABLOLARI";#N/A,#N/A,FALSE,"İTİNERER";#N/A,#N/A,FALSE,"bürükner cetveli";#N/A,#N/A,FALSE,"SANAT YAPILARI";#N/A,#N/A,FALSE,"B.A TABLOLARI";#N/A,#N/A,FALSE,"istinat duv.";#N/A,#N/A,FALSE,"NAKLİYE TABLOLARI"}</definedName>
    <definedName name="num" localSheetId="17">#REF!</definedName>
    <definedName name="num" localSheetId="15">#REF!</definedName>
    <definedName name="num" localSheetId="3">#REF!</definedName>
    <definedName name="num">#REF!</definedName>
    <definedName name="NVNG" localSheetId="3" hidden="1">{#N/A,#N/A,FALSE,"TABLE"}</definedName>
    <definedName name="NVNG" hidden="1">{#N/A,#N/A,FALSE,"TABLE"}</definedName>
    <definedName name="O" localSheetId="17">[34]상반기손익차2총괄!#REF!</definedName>
    <definedName name="O" localSheetId="15">[34]상반기손익차2총괄!#REF!</definedName>
    <definedName name="o" localSheetId="4" hidden="1">{"MAN H.O.",#N/A,FALSE,"tabella"}</definedName>
    <definedName name="O">[34]상반기손익차2총괄!#REF!</definedName>
    <definedName name="öççç" localSheetId="3" hidden="1">{#N/A,#N/A,FALSE,"kal_iç_ihz";#N/A,#N/A,FALSE,"kal_iç_er";#N/A,#N/A,FALSE,"kal_iç_tut"}</definedName>
    <definedName name="öççç" hidden="1">{#N/A,#N/A,FALSE,"kal_iç_ihz";#N/A,#N/A,FALSE,"kal_iç_er";#N/A,#N/A,FALSE,"kal_iç_tut"}</definedName>
    <definedName name="OD">[62]lookup!$B$3:$C$46</definedName>
    <definedName name="ödenek" localSheetId="3" hidden="1">{#N/A,#N/A,FALSE,"Çaykara ataköy (1)";#N/A,#N/A,FALSE,"Çaykara ataköy (2)";#N/A,#N/A,FALSE,"Rize Kalkandere ";#N/A,#N/A,FALSE,"meydancık";#N/A,#N/A,FALSE,"muratlı"}</definedName>
    <definedName name="ödenek" hidden="1">{#N/A,#N/A,FALSE,"Çaykara ataköy (1)";#N/A,#N/A,FALSE,"Çaykara ataköy (2)";#N/A,#N/A,FALSE,"Rize Kalkandere ";#N/A,#N/A,FALSE,"meydancık";#N/A,#N/A,FALSE,"muratlı"}</definedName>
    <definedName name="ODH" localSheetId="3" hidden="1">#REF!</definedName>
    <definedName name="ODH" hidden="1">#REF!</definedName>
    <definedName name="OFFICE_EQUIP_SEOUL">'[59]LIST OF OFFICE EQUIPMENT'!$E$20:$O$57</definedName>
    <definedName name="OFFICE_EQUIP_SEOUL_NO">[90]BREAKDOWN!$L$103:$Y$146</definedName>
    <definedName name="OFFICE_EQUIP_SITE">'[59]LIST OF OFFICE EQUIPMENT'!$E$61:$O$104</definedName>
    <definedName name="OFFICE_EQUIP_SITE_NO">[90]BREAKDOWN!$L$465:$Y$519</definedName>
    <definedName name="offsite_num" localSheetId="3">#REF!</definedName>
    <definedName name="offsite_num">#REF!</definedName>
    <definedName name="oı" localSheetId="3" hidden="1">{#N/A,#N/A,FALSE,"Çaykara ataköy (1)";#N/A,#N/A,FALSE,"Çaykara ataköy (2)";#N/A,#N/A,FALSE,"Rize Kalkandere ";#N/A,#N/A,FALSE,"meydancık";#N/A,#N/A,FALSE,"muratlı"}</definedName>
    <definedName name="oı" hidden="1">{#N/A,#N/A,FALSE,"Çaykara ataköy (1)";#N/A,#N/A,FALSE,"Çaykara ataköy (2)";#N/A,#N/A,FALSE,"Rize Kalkandere ";#N/A,#N/A,FALSE,"meydancık";#N/A,#N/A,FALSE,"muratlı"}</definedName>
    <definedName name="oiioioioio" localSheetId="3">#REF!</definedName>
    <definedName name="oiioioioio">#REF!</definedName>
    <definedName name="oiioiouiouio" localSheetId="3">#REF!</definedName>
    <definedName name="oiioiouiouio">#REF!</definedName>
    <definedName name="Oil" localSheetId="3">#REF!</definedName>
    <definedName name="Oil">#REF!</definedName>
    <definedName name="oililui" localSheetId="3" hidden="1">{#N/A,#N/A,FALSE,"CCTV"}</definedName>
    <definedName name="oililui" hidden="1">{#N/A,#N/A,FALSE,"CCTV"}</definedName>
    <definedName name="oioio" localSheetId="3">#REF!</definedName>
    <definedName name="oioio">#REF!</definedName>
    <definedName name="OIU" localSheetId="3" hidden="1">{#N/A,#N/A,FALSE,"TABLE"}</definedName>
    <definedName name="OIU" hidden="1">{#N/A,#N/A,FALSE,"TABLE"}</definedName>
    <definedName name="one_eight" localSheetId="3">#REF!</definedName>
    <definedName name="one_eight">#REF!</definedName>
    <definedName name="Öner" localSheetId="3" hidden="1">{#N/A,#N/A,FALSE,"Çaykara ataköy (1)";#N/A,#N/A,FALSE,"Çaykara ataköy (2)";#N/A,#N/A,FALSE,"Rize Kalkandere ";#N/A,#N/A,FALSE,"meydancık";#N/A,#N/A,FALSE,"muratlı"}</definedName>
    <definedName name="Öner" hidden="1">{#N/A,#N/A,FALSE,"Çaykara ataköy (1)";#N/A,#N/A,FALSE,"Çaykara ataköy (2)";#N/A,#N/A,FALSE,"Rize Kalkandere ";#N/A,#N/A,FALSE,"meydancık";#N/A,#N/A,FALSE,"muratlı"}</definedName>
    <definedName name="oo">'[70]h-013211-2'!$Q$3</definedName>
    <definedName name="OOO" localSheetId="3" hidden="1">{#N/A,#N/A,FALSE,"TABLE"}</definedName>
    <definedName name="OOO" hidden="1">{#N/A,#N/A,FALSE,"TABLE"}</definedName>
    <definedName name="ööööö" localSheetId="3" hidden="1">{#N/A,#N/A,FALSE,"Çaykara ataköy (1)";#N/A,#N/A,FALSE,"Çaykara ataköy (2)";#N/A,#N/A,FALSE,"Rize Kalkandere ";#N/A,#N/A,FALSE,"meydancık";#N/A,#N/A,FALSE,"muratlı"}</definedName>
    <definedName name="ööööö" hidden="1">{#N/A,#N/A,FALSE,"Çaykara ataköy (1)";#N/A,#N/A,FALSE,"Çaykara ataköy (2)";#N/A,#N/A,FALSE,"Rize Kalkandere ";#N/A,#N/A,FALSE,"meydancık";#N/A,#N/A,FALSE,"muratlı"}</definedName>
    <definedName name="ööööööö" localSheetId="3" hidden="1">{#N/A,#N/A,FALSE,"Çaykara ataköy (1)";#N/A,#N/A,FALSE,"Çaykara ataköy (2)";#N/A,#N/A,FALSE,"Rize Kalkandere ";#N/A,#N/A,FALSE,"meydancık";#N/A,#N/A,FALSE,"muratlı"}</definedName>
    <definedName name="ööööööö" hidden="1">{#N/A,#N/A,FALSE,"Çaykara ataköy (1)";#N/A,#N/A,FALSE,"Çaykara ataköy (2)";#N/A,#N/A,FALSE,"Rize Kalkandere ";#N/A,#N/A,FALSE,"meydancık";#N/A,#N/A,FALSE,"muratlı"}</definedName>
    <definedName name="ooooooooooooooooooooooooo" localSheetId="3" hidden="1">{#N/A,#N/A,FALSE,"Çaykara ataköy (1)";#N/A,#N/A,FALSE,"Çaykara ataköy (2)";#N/A,#N/A,FALSE,"Rize Kalkandere ";#N/A,#N/A,FALSE,"meydancık";#N/A,#N/A,FALSE,"muratlı"}</definedName>
    <definedName name="ooooooooooooooooooooooooo" hidden="1">{#N/A,#N/A,FALSE,"Çaykara ataköy (1)";#N/A,#N/A,FALSE,"Çaykara ataköy (2)";#N/A,#N/A,FALSE,"Rize Kalkandere ";#N/A,#N/A,FALSE,"meydancık";#N/A,#N/A,FALSE,"muratlı"}</definedName>
    <definedName name="ooooooooooooooooooooooooooooooooooooooooooooooooo" localSheetId="3" hidden="1">#REF!</definedName>
    <definedName name="ooooooooooooooooooooooooooooooooooooooooooooooooo" hidden="1">#REF!</definedName>
    <definedName name="OPC">#REF!</definedName>
    <definedName name="oper" localSheetId="3">#REF!</definedName>
    <definedName name="oper">#REF!</definedName>
    <definedName name="oper." localSheetId="3">#REF!</definedName>
    <definedName name="oper.">#REF!</definedName>
    <definedName name="Organization" localSheetId="3">#REF!</definedName>
    <definedName name="Organization">#REF!</definedName>
    <definedName name="origine">'[56]Tipo Terzi'!$L$2:$L$12</definedName>
    <definedName name="ÖRNEK2" localSheetId="3" hidden="1">{#N/A,#N/A,FALSE,"ihz. icmal";#N/A,#N/A,FALSE,"avans";#N/A,#N/A,FALSE,"mal_FF_icm";#N/A,#N/A,FALSE,"fat_ihz";#N/A,#N/A,FALSE,"söz_fiy_fark";#N/A,#N/A,FALSE,"kap2"}</definedName>
    <definedName name="ÖRNEK2" hidden="1">{#N/A,#N/A,FALSE,"ihz. icmal";#N/A,#N/A,FALSE,"avans";#N/A,#N/A,FALSE,"mal_FF_icm";#N/A,#N/A,FALSE,"fat_ihz";#N/A,#N/A,FALSE,"söz_fiy_fark";#N/A,#N/A,FALSE,"kap2"}</definedName>
    <definedName name="os" localSheetId="3" hidden="1">{#N/A,#N/A,FALSE,"TABLE"}</definedName>
    <definedName name="os" hidden="1">{#N/A,#N/A,FALSE,"TABLE"}</definedName>
    <definedName name="osbl_gen_alghanim">'[94]TABLE2-2 OSBL(GENERAL-CIVIL)'!$B$8:$P$51</definedName>
    <definedName name="osbl_gen_bahar">'[95]TABLE2-2 OSBL(GENERAL-CIVIL)'!$B$9:$S$49</definedName>
    <definedName name="osbl_gen_hamra">'[96]TABLE2-2 OSBL(GENERAL-CIVIL)'!$B$9:$X$49</definedName>
    <definedName name="osbl_gen_mushrif">'[97]TABLE2-2 OSBL(GENERAL-CIVIL)'!$B$8:$S$51</definedName>
    <definedName name="osbl_gen_naser">'[98]TABLE2-2 OSBL(GENERAL-CIVIL)'!$B$8:$S$51</definedName>
    <definedName name="osbl_sea_1105bm">'[112]OSBL-TOTAL (SEA WATER)'!$B$8:$F$35</definedName>
    <definedName name="osbl_sea_1105bm_1">'[113]OSBL-TOTAL (SEA WATER)'!$B$8:$F$38</definedName>
    <definedName name="osbl_site_1105bm_1">'[112]OSBL-TOTAL (CIVIL WORK)'!$B$8:$F$17</definedName>
    <definedName name="osbl_site_alghanim">'[94]TABLE2-2 OSBL-(SITE PREP)'!$B$8:$P$12</definedName>
    <definedName name="osbl_site_associated">[114]boq!$B$35:$G$39</definedName>
    <definedName name="osbl_site_bahar">'[115]TABLE2-2 OSBL-(SITE PREP)'!$B$9:$S$13</definedName>
    <definedName name="osbl_site_hamra">'[96]TABLE2-2 OSBL-(SITE PREP)'!$B$9:$X$13</definedName>
    <definedName name="osbl_site_khalifa">[99]OSBL!$B$13:$S$17</definedName>
    <definedName name="osbl_site_mushrif">'[97]TABLE2-2 OSBL-(SITE PREP)'!$B$8:$S$12</definedName>
    <definedName name="osbl_site_naser">'[98]TABLE2-2 OSBL-(SITE PREP)'!$B$8:$S$12</definedName>
    <definedName name="osman" localSheetId="3" hidden="1">{#N/A,#N/A,FALSE,"Çaykara ataköy (1)";#N/A,#N/A,FALSE,"Çaykara ataköy (2)";#N/A,#N/A,FALSE,"Rize Kalkandere ";#N/A,#N/A,FALSE,"meydancık";#N/A,#N/A,FALSE,"muratlı"}</definedName>
    <definedName name="osman" hidden="1">{#N/A,#N/A,FALSE,"Çaykara ataköy (1)";#N/A,#N/A,FALSE,"Çaykara ataköy (2)";#N/A,#N/A,FALSE,"Rize Kalkandere ";#N/A,#N/A,FALSE,"meydancık";#N/A,#N/A,FALSE,"muratlı"}</definedName>
    <definedName name="ot" localSheetId="3" hidden="1">{#N/A,#N/A,FALSE,"TABLE"}</definedName>
    <definedName name="ot" hidden="1">{#N/A,#N/A,FALSE,"TABLE"}</definedName>
    <definedName name="OTHERS">{"'장비'!$A$3:$M$12"}</definedName>
    <definedName name="ÖTNEK"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ÖTN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OVER" localSheetId="3">#REF!</definedName>
    <definedName name="OVER">#REF!</definedName>
    <definedName name="OWOE" localSheetId="3" hidden="1">{#N/A,#N/A,FALSE,"TABLE"}</definedName>
    <definedName name="OWOE" hidden="1">{#N/A,#N/A,FALSE,"TABLE"}</definedName>
    <definedName name="P" localSheetId="3">#REF!</definedName>
    <definedName name="P">#REF!</definedName>
    <definedName name="P_1">#REF!</definedName>
    <definedName name="P_10">#REF!</definedName>
    <definedName name="P_10A">[116]cement!#REF!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2">#REF!</definedName>
    <definedName name="P_23">#REF!</definedName>
    <definedName name="P_24">#REF!</definedName>
    <definedName name="P_25">#REF!</definedName>
    <definedName name="P_26">#REF!</definedName>
    <definedName name="P_3">#REF!</definedName>
    <definedName name="P_4">#REF!</definedName>
    <definedName name="P_5">#REF!</definedName>
    <definedName name="P_6">#REF!</definedName>
    <definedName name="P_7">#REF!</definedName>
    <definedName name="P_8">#REF!</definedName>
    <definedName name="P_9">#REF!</definedName>
    <definedName name="P_Actual">{"Book1","DOC&amp;DWG.xls"}</definedName>
    <definedName name="p_shape" localSheetId="17">#REF!</definedName>
    <definedName name="p_shape" localSheetId="15">#REF!</definedName>
    <definedName name="p_shape" localSheetId="3">#REF!</definedName>
    <definedName name="p_shape">#REF!</definedName>
    <definedName name="Packed" localSheetId="3">#REF!</definedName>
    <definedName name="Packed">#REF!</definedName>
    <definedName name="PAGE1">#N/A</definedName>
    <definedName name="PAGE11">#N/A</definedName>
    <definedName name="PAGE12">#N/A</definedName>
    <definedName name="PAGE2">#N/A</definedName>
    <definedName name="PAGE21">#N/A</definedName>
    <definedName name="PAGE22">#N/A</definedName>
    <definedName name="PAGE3">#N/A</definedName>
    <definedName name="PAGE31">#N/A</definedName>
    <definedName name="PAGE32">#N/A</definedName>
    <definedName name="PAGE41">#N/A</definedName>
    <definedName name="PAGE42">#N/A</definedName>
    <definedName name="paint" localSheetId="3">#REF!</definedName>
    <definedName name="paint">#REF!</definedName>
    <definedName name="Pal_Workbook_GUID">"AMHFJFAZVKC3G9XNH7Z3E6YG"</definedName>
    <definedName name="Panel" hidden="1">{#N/A,#N/A,TRUE,"Basic";#N/A,#N/A,TRUE,"EXT-TABLE";#N/A,#N/A,TRUE,"STEEL";#N/A,#N/A,TRUE,"INT-Table";#N/A,#N/A,TRUE,"STEEL";#N/A,#N/A,TRUE,"Door"}</definedName>
    <definedName name="PARALI" localSheetId="3" hidden="1">{#N/A,#N/A,FALSE,"NAKLİYE TABLOLARI";#N/A,#N/A,FALSE,"İTİNERER";#N/A,#N/A,FALSE,"bürükner cetveli";#N/A,#N/A,FALSE,"SANAT YAPILARI";#N/A,#N/A,FALSE,"B.A TABLOLARI";#N/A,#N/A,FALSE,"istinat duv.";#N/A,#N/A,FALSE,"NAKLİYE TABLOLARI"}</definedName>
    <definedName name="PARALI" hidden="1">{#N/A,#N/A,FALSE,"NAKLİYE TABLOLARI";#N/A,#N/A,FALSE,"İTİNERER";#N/A,#N/A,FALSE,"bürükner cetveli";#N/A,#N/A,FALSE,"SANAT YAPILARI";#N/A,#N/A,FALSE,"B.A TABLOLARI";#N/A,#N/A,FALSE,"istinat duv.";#N/A,#N/A,FALSE,"NAKLİYE TABLOLARI"}</definedName>
    <definedName name="part2">'[117]D-3'!#REF!</definedName>
    <definedName name="patata" localSheetId="3" hidden="1">{#N/A,#N/A,FALSE,"Çaykara ataköy (1)";#N/A,#N/A,FALSE,"Çaykara ataköy (2)";#N/A,#N/A,FALSE,"Rize Kalkandere ";#N/A,#N/A,FALSE,"meydancık";#N/A,#N/A,FALSE,"muratlı"}</definedName>
    <definedName name="patata" hidden="1">{#N/A,#N/A,FALSE,"Çaykara ataköy (1)";#N/A,#N/A,FALSE,"Çaykara ataköy (2)";#N/A,#N/A,FALSE,"Rize Kalkandere ";#N/A,#N/A,FALSE,"meydancık";#N/A,#N/A,FALSE,"muratlı"}</definedName>
    <definedName name="pc" localSheetId="3" hidden="1">{#N/A,#N/A,FALSE,"elk_iç_er";#N/A,#N/A,FALSE,"elk_iç_tut";#N/A,#N/A,FALSE,"elk_iç_ihz"}</definedName>
    <definedName name="pc" hidden="1">{#N/A,#N/A,FALSE,"elk_iç_er";#N/A,#N/A,FALSE,"elk_iç_tut";#N/A,#N/A,FALSE,"elk_iç_ihz"}</definedName>
    <definedName name="PC_PILE_운반" localSheetId="3">#REF!</definedName>
    <definedName name="PC_PILE_운반">#REF!</definedName>
    <definedName name="PC_PILE_항타" localSheetId="3">#REF!</definedName>
    <definedName name="PC_PILE_항타">#REF!</definedName>
    <definedName name="PC_항타" localSheetId="3">#REF!</definedName>
    <definedName name="PC_항타">#REF!</definedName>
    <definedName name="PCN" localSheetId="3">#REF!</definedName>
    <definedName name="PCN">#REF!</definedName>
    <definedName name="PCPILE운반" localSheetId="3">#REF!</definedName>
    <definedName name="PCPILE운반">#REF!</definedName>
    <definedName name="PCPILE항타" localSheetId="3">#REF!</definedName>
    <definedName name="PCPILE항타">#REF!</definedName>
    <definedName name="PC항타" localSheetId="3">#REF!</definedName>
    <definedName name="PC항타">#REF!</definedName>
    <definedName name="ped_no" localSheetId="17">#REF!</definedName>
    <definedName name="ped_no" localSheetId="15">#REF!</definedName>
    <definedName name="ped_no" localSheetId="3">#REF!</definedName>
    <definedName name="ped_no">#REF!</definedName>
    <definedName name="PER" localSheetId="17">#REF!</definedName>
    <definedName name="PER" localSheetId="15">#REF!</definedName>
    <definedName name="PER" localSheetId="4">'[64]간접비내역-1'!#REF!</definedName>
    <definedName name="PER">#REF!</definedName>
    <definedName name="percentagerate" localSheetId="3">#REF!</definedName>
    <definedName name="percentagerate">#REF!</definedName>
    <definedName name="PERSON_STAFF_HEC_POSITION">'[90]STAFF MOBILIZATION PLAN'!$A$584:$S$593</definedName>
    <definedName name="PERSONNEL_DESCRIPTION">'[90]PERSONNEL SETUP'!$A$18:$AC$50</definedName>
    <definedName name="PERSONNEL_INDIRECT_NATION">'[90]PERSONNEL SETUP'!$A$31:$AC$39</definedName>
    <definedName name="PERSONNEL_LABOR_NATION">'[90]PERSONNEL SETUP'!$A$43:$AC$50</definedName>
    <definedName name="PERSONNEL_STAFF_NATION">'[90]PERSONNEL SETUP'!$A$19:$AC$27</definedName>
    <definedName name="PESO">#REF!</definedName>
    <definedName name="petro2" localSheetId="3" hidden="1">#REF!</definedName>
    <definedName name="petro2" hidden="1">#REF!</definedName>
    <definedName name="petrol_freight" localSheetId="3">#REF!</definedName>
    <definedName name="petrol_freight">#REF!</definedName>
    <definedName name="PF">1200</definedName>
    <definedName name="PHASE" localSheetId="3" hidden="1">{#N/A,#N/A,TRUE,"Basic";#N/A,#N/A,TRUE,"EXT-TABLE";#N/A,#N/A,TRUE,"STEEL";#N/A,#N/A,TRUE,"INT-Table";#N/A,#N/A,TRUE,"STEEL";#N/A,#N/A,TRUE,"Door"}</definedName>
    <definedName name="PHASE" hidden="1">{#N/A,#N/A,TRUE,"Basic";#N/A,#N/A,TRUE,"EXT-TABLE";#N/A,#N/A,TRUE,"STEEL";#N/A,#N/A,TRUE,"INT-Table";#N/A,#N/A,TRUE,"STEEL";#N/A,#N/A,TRUE,"Door"}</definedName>
    <definedName name="phase2" hidden="1">{#N/A,#N/A,FALSE,"지침";#N/A,#N/A,FALSE,"환경분석";#N/A,#N/A,FALSE,"Sheet16"}</definedName>
    <definedName name="Physical_Scope">[118]eq_data!$C$5:$C$54</definedName>
    <definedName name="picture1" localSheetId="3">#REF!</definedName>
    <definedName name="picture1">#REF!</definedName>
    <definedName name="PILE__항타" localSheetId="3">#REF!</definedName>
    <definedName name="PILE__항타">#REF!</definedName>
    <definedName name="pile_no" localSheetId="17">#REF!</definedName>
    <definedName name="pile_no" localSheetId="15">#REF!</definedName>
    <definedName name="pile_no" localSheetId="3">#REF!</definedName>
    <definedName name="pile_no">#REF!</definedName>
    <definedName name="PILE_운반" localSheetId="3">#REF!</definedName>
    <definedName name="PILE_운반">#REF!</definedName>
    <definedName name="PILE운반" localSheetId="3">#REF!</definedName>
    <definedName name="PILE운반">#REF!</definedName>
    <definedName name="PILE항타" localSheetId="3">#REF!</definedName>
    <definedName name="PILE항타">#REF!</definedName>
    <definedName name="PIPE" localSheetId="3">#REF!</definedName>
    <definedName name="PIPE">#REF!</definedName>
    <definedName name="PIPE_ID" localSheetId="3">#REF!</definedName>
    <definedName name="PIPE_ID">#REF!</definedName>
    <definedName name="PIPE_SIZE" localSheetId="3">#REF!</definedName>
    <definedName name="PIPE_SIZE">#REF!</definedName>
    <definedName name="pipe1" localSheetId="3">#REF!</definedName>
    <definedName name="pipe1">#REF!</definedName>
    <definedName name="pipe2" localSheetId="3">#REF!</definedName>
    <definedName name="pipe2">#REF!</definedName>
    <definedName name="pipe4" localSheetId="3">#REF!</definedName>
    <definedName name="pipe4">#REF!</definedName>
    <definedName name="pipe5" localSheetId="3">#REF!</definedName>
    <definedName name="pipe5">#REF!</definedName>
    <definedName name="pipe6" localSheetId="3">#REF!</definedName>
    <definedName name="pipe6">#REF!</definedName>
    <definedName name="pipe7" localSheetId="3">#REF!</definedName>
    <definedName name="pipe7">#REF!</definedName>
    <definedName name="PIPEDATA">'[119]Piping Design Data'!$B$3:$E$1823</definedName>
    <definedName name="PJT" localSheetId="3">#REF!</definedName>
    <definedName name="PJT">#REF!</definedName>
    <definedName name="pjtName" localSheetId="3">#REF!</definedName>
    <definedName name="pjtName">#REF!</definedName>
    <definedName name="pjtNo" localSheetId="3">#REF!</definedName>
    <definedName name="pjtNo">#REF!</definedName>
    <definedName name="PKS" localSheetId="3">#REF!</definedName>
    <definedName name="PKS">#REF!</definedName>
    <definedName name="PLANT_JE_GWAN_GONG" localSheetId="3">#REF!</definedName>
    <definedName name="PLANT_JE_GWAN_GONG">#REF!</definedName>
    <definedName name="plantCapa" localSheetId="3">#REF!</definedName>
    <definedName name="plantCapa">#REF!</definedName>
    <definedName name="PLUG" localSheetId="3">#REF!</definedName>
    <definedName name="PLUG">#REF!</definedName>
    <definedName name="PM별점수" localSheetId="3" hidden="1">{#N/A,#N/A,FALSE,"사업총괄";#N/A,#N/A,FALSE,"장비사업";#N/A,#N/A,FALSE,"철구사업";#N/A,#N/A,FALSE,"준설사업"}</definedName>
    <definedName name="PM별점수" hidden="1">{#N/A,#N/A,FALSE,"사업총괄";#N/A,#N/A,FALSE,"장비사업";#N/A,#N/A,FALSE,"철구사업";#N/A,#N/A,FALSE,"준설사업"}</definedName>
    <definedName name="poa1RTRTpoa2RTRT" localSheetId="3">#REF!</definedName>
    <definedName name="poa1RTRTpoa2RTRT">#REF!</definedName>
    <definedName name="poaaRTRTpobbRTRT" localSheetId="3">#REF!</definedName>
    <definedName name="poaaRTRTpobbRTRT">#REF!</definedName>
    <definedName name="POARTM0TB0TB0TB0TB4.8TB55TB175R" localSheetId="17">[40]영업소실적!#REF!</definedName>
    <definedName name="POARTM0TB0TB0TB0TB4.8TB55TB175R" localSheetId="15">[40]영업소실적!#REF!</definedName>
    <definedName name="POARTM0TB0TB0TB0TB4.8TB55TB175R">[40]영업소실적!#REF!</definedName>
    <definedName name="POARTM0TB0TB0TB0TB4.8TB55TB200R" localSheetId="17">#REF!</definedName>
    <definedName name="POARTM0TB0TB0TB0TB4.8TB55TB200R" localSheetId="15">#REF!</definedName>
    <definedName name="POARTM0TB0TB0TB0TB4.8TB55TB200R" localSheetId="3">#REF!</definedName>
    <definedName name="POARTM0TB0TB0TB0TB4.8TB55TB200R">#REF!</definedName>
    <definedName name="POARTSQKS15C5LRTRT" localSheetId="17">#REF!</definedName>
    <definedName name="POARTSQKS15C5LRTRT" localSheetId="15">#REF!</definedName>
    <definedName name="POARTSQKS15C5LRTRT" localSheetId="3">#REF!</definedName>
    <definedName name="POARTSQKS15C5LRTRT">#REF!</definedName>
    <definedName name="POI" hidden="1">#REF!</definedName>
    <definedName name="POP" localSheetId="3" hidden="1">{#N/A,#N/A,FALSE,"TABLE"}</definedName>
    <definedName name="POP" hidden="1">{#N/A,#N/A,FALSE,"TABLE"}</definedName>
    <definedName name="pound" localSheetId="3">#REF!</definedName>
    <definedName name="pound">#REF!</definedName>
    <definedName name="pp">{"Book1","DOC&amp;DWG.xls"}</definedName>
    <definedName name="PPMdate" localSheetId="3">#REF!</definedName>
    <definedName name="PPMdate">#REF!</definedName>
    <definedName name="PPP" hidden="1">{#N/A,#N/A,FALSE,"CCTV"}</definedName>
    <definedName name="ppppp" localSheetId="3" hidden="1">{#N/A,#N/A,FALSE,"İÇ TOPRAK";#N/A,#N/A,FALSE,"İÇ SANAT";#N/A,#N/A,FALSE,"İÇ AYASOFYA ";#N/A,#N/A,FALSE,"İÇ AKYAZI";#N/A,#N/A,FALSE,"İÇ BEŞİRLİ";#N/A,#N/A,FALSE,"İÇ HAVAALANI";#N/A,#N/A,FALSE,"İÇ SONDAJ";#N/A,#N/A,FALSE,"İÇ KAMU";#N/A,#N/A,FALSE,"İÇ FAROZ"}</definedName>
    <definedName name="ppppp" hidden="1">{#N/A,#N/A,FALSE,"İÇ TOPRAK";#N/A,#N/A,FALSE,"İÇ SANAT";#N/A,#N/A,FALSE,"İÇ AYASOFYA ";#N/A,#N/A,FALSE,"İÇ AKYAZI";#N/A,#N/A,FALSE,"İÇ BEŞİRLİ";#N/A,#N/A,FALSE,"İÇ HAVAALANI";#N/A,#N/A,FALSE,"İÇ SONDAJ";#N/A,#N/A,FALSE,"İÇ KAMU";#N/A,#N/A,FALSE,"İÇ FAROZ"}</definedName>
    <definedName name="pppppp">#N/A</definedName>
    <definedName name="PPR" localSheetId="3">#REF!</definedName>
    <definedName name="PPR">#REF!</definedName>
    <definedName name="PPRC" localSheetId="3">#REF!</definedName>
    <definedName name="PPRC">#REF!</definedName>
    <definedName name="PPRE" localSheetId="3">#REF!</definedName>
    <definedName name="PPRE">#REF!</definedName>
    <definedName name="PPRI" localSheetId="3">#REF!</definedName>
    <definedName name="PPRI">#REF!</definedName>
    <definedName name="PPRP" localSheetId="3">#REF!</definedName>
    <definedName name="PPRP">#REF!</definedName>
    <definedName name="PPRS" localSheetId="3">#REF!</definedName>
    <definedName name="PPRS">#REF!</definedName>
    <definedName name="PPRW" localSheetId="3">#REF!</definedName>
    <definedName name="PPRW">#REF!</definedName>
    <definedName name="PPRWAP" localSheetId="3">#REF!</definedName>
    <definedName name="PPRWAP">#REF!</definedName>
    <definedName name="PPRWRA" localSheetId="3">#REF!</definedName>
    <definedName name="PPRWRA">#REF!</definedName>
    <definedName name="PPR계장" localSheetId="3">#REF!</definedName>
    <definedName name="PPR계장">#REF!</definedName>
    <definedName name="PPR도장" localSheetId="3">#REF!</definedName>
    <definedName name="PPR도장">#REF!</definedName>
    <definedName name="PPR전" localSheetId="3">#REF!</definedName>
    <definedName name="PPR전">#REF!</definedName>
    <definedName name="PQR" localSheetId="3" hidden="1">{#N/A,#N/A,FALSE,"TABLE"}</definedName>
    <definedName name="PQR" hidden="1">{#N/A,#N/A,FALSE,"TABLE"}</definedName>
    <definedName name="PRDump" localSheetId="17">#REF!</definedName>
    <definedName name="PRDump" localSheetId="15">#REF!</definedName>
    <definedName name="PRDump" localSheetId="3">#REF!</definedName>
    <definedName name="PRDump">#REF!</definedName>
    <definedName name="PRESSURE">[120]Information!$C$22</definedName>
    <definedName name="PREVIEW" localSheetId="3">#REF!</definedName>
    <definedName name="PREVIEW">#REF!</definedName>
    <definedName name="PRINT">[120]!PRINT</definedName>
    <definedName name="_xlnm.Print_Area" localSheetId="0">'Acro Riverheim'!$A$1:$M$103</definedName>
    <definedName name="_xlnm.Print_Area" localSheetId="19">Anniversary!$A$1:$V$81</definedName>
    <definedName name="_xlnm.Print_Area" localSheetId="7">'Financial Statements'!$A$1:$DZ$152</definedName>
    <definedName name="_xlnm.Print_Area" localSheetId="17">'Golf Score'!$A$1:$Z$281</definedName>
    <definedName name="_xlnm.Print_Area" localSheetId="16">'Golf WITB'!$A$1:$AA$57</definedName>
    <definedName name="_xlnm.Print_Area" localSheetId="15">Grandeur!$A$1:$G$36</definedName>
    <definedName name="_xlnm.Print_Area" localSheetId="4">'Overseas(舊)'!$B$2:$O$77</definedName>
    <definedName name="_xlnm.Print_Area" localSheetId="3">'Overseas(新)'!$A$1:$AA$39</definedName>
    <definedName name="_xlnm.Print_Area">[121]Sheet1!$A$1:$S$1444</definedName>
    <definedName name="Print_Area_MI" localSheetId="17">#REF!</definedName>
    <definedName name="Print_Area_MI" localSheetId="15">#REF!</definedName>
    <definedName name="Print_Area_MI" localSheetId="4">#REF!</definedName>
    <definedName name="Print_Area_MI" localSheetId="3">#REF!</definedName>
    <definedName name="Print_Area_MI">#REF!</definedName>
    <definedName name="PRINT_AREA_MI1" localSheetId="3">#REF!</definedName>
    <definedName name="PRINT_AREA_MI1">#REF!</definedName>
    <definedName name="Print_Area_Mi2" localSheetId="3">#REF!</definedName>
    <definedName name="Print_Area_Mi2">#REF!</definedName>
    <definedName name="_xlnm.Print_Titles" localSheetId="15">#REF!</definedName>
    <definedName name="_xlnm.Print_Titles" localSheetId="4">#REF!</definedName>
    <definedName name="_xlnm.Print_Titles" localSheetId="3">#REF!</definedName>
    <definedName name="_xlnm.Print_Titles">#REF!</definedName>
    <definedName name="PRINT_TITLES_MI" localSheetId="3">#REF!</definedName>
    <definedName name="Print_Titles_MI">#REF!</definedName>
    <definedName name="PRINT_TITLES_MI1" localSheetId="3">#REF!</definedName>
    <definedName name="PRINT_TITLES_MI1">#REF!</definedName>
    <definedName name="PrintArea" localSheetId="3">#REF!</definedName>
    <definedName name="PrintArea">#REF!</definedName>
    <definedName name="PrintTitles" localSheetId="3">#REF!</definedName>
    <definedName name="PrintTitles">#REF!</definedName>
    <definedName name="prjName">#REF!</definedName>
    <definedName name="prjNo">#REF!</definedName>
    <definedName name="PrjOwner">[52]Data!$E$14</definedName>
    <definedName name="PRN_CODE" localSheetId="17">'[122]IT-BAT'!#REF!</definedName>
    <definedName name="PRN_CODE" localSheetId="15">'[122]IT-BAT'!#REF!</definedName>
    <definedName name="PRN_CODE">'[122]IT-BAT'!#REF!</definedName>
    <definedName name="PRO1_MCI" localSheetId="3">#REF!</definedName>
    <definedName name="PRO1_MCI">#REF!</definedName>
    <definedName name="PRO2_MCI" localSheetId="3">#REF!</definedName>
    <definedName name="PRO2_MCI">#REF!</definedName>
    <definedName name="PRO3_MCI" localSheetId="3">#REF!</definedName>
    <definedName name="PRO3_MCI">#REF!</definedName>
    <definedName name="PRO4_MCI" localSheetId="3">#REF!</definedName>
    <definedName name="PRO4_MCI">#REF!</definedName>
    <definedName name="PRO5_MCI" localSheetId="3">#REF!</definedName>
    <definedName name="PRO5_MCI">#REF!</definedName>
    <definedName name="PRO6_MCI" localSheetId="3">#REF!</definedName>
    <definedName name="PRO6_MCI">#REF!</definedName>
    <definedName name="pro7_mci" localSheetId="3">#REF!</definedName>
    <definedName name="pro7_mci">#REF!</definedName>
    <definedName name="Process" hidden="1">{"MAN H.O.",#N/A,FALSE,"tabella"}</definedName>
    <definedName name="PROD_COLD" localSheetId="3">#REF!</definedName>
    <definedName name="PROD_COLD">#REF!</definedName>
    <definedName name="PROD_HOT" localSheetId="3">#REF!</definedName>
    <definedName name="PROD_HOT">#REF!</definedName>
    <definedName name="PRODUCT" localSheetId="3">#REF!</definedName>
    <definedName name="PRODUCT">#REF!</definedName>
    <definedName name="PROGRAM" localSheetId="3" hidden="1">{#N/A,#N/A,FALSE,"Çaykara ataköy (1)";#N/A,#N/A,FALSE,"Çaykara ataköy (2)";#N/A,#N/A,FALSE,"Rize Kalkandere ";#N/A,#N/A,FALSE,"meydancık";#N/A,#N/A,FALSE,"muratlı"}</definedName>
    <definedName name="PROGRAM" hidden="1">{#N/A,#N/A,FALSE,"Çaykara ataköy (1)";#N/A,#N/A,FALSE,"Çaykara ataköy (2)";#N/A,#N/A,FALSE,"Rize Kalkandere ";#N/A,#N/A,FALSE,"meydancık";#N/A,#N/A,FALSE,"muratlı"}</definedName>
    <definedName name="PROJ" localSheetId="3">#REF!</definedName>
    <definedName name="PROJ">[51]LEGEND!$D$4</definedName>
    <definedName name="Provisions" hidden="1">{#N/A,#N/A,FALSE,"JACKETS (1100 t) (1)"}</definedName>
    <definedName name="PSR" localSheetId="3">#REF!</definedName>
    <definedName name="PSR">#REF!</definedName>
    <definedName name="PUANTAJ3" localSheetId="3" hidden="1">{#N/A,#N/A,FALSE,"Çaykara ataköy (1)";#N/A,#N/A,FALSE,"Çaykara ataköy (2)";#N/A,#N/A,FALSE,"Rize Kalkandere ";#N/A,#N/A,FALSE,"meydancık";#N/A,#N/A,FALSE,"muratlı"}</definedName>
    <definedName name="PUANTAJ3" hidden="1">{#N/A,#N/A,FALSE,"Çaykara ataköy (1)";#N/A,#N/A,FALSE,"Çaykara ataköy (2)";#N/A,#N/A,FALSE,"Rize Kalkandere ";#N/A,#N/A,FALSE,"meydancık";#N/A,#N/A,FALSE,"muratlı"}</definedName>
    <definedName name="pump" localSheetId="0">BlankMacro1</definedName>
    <definedName name="pump" localSheetId="2">BlankMacro1</definedName>
    <definedName name="pump" localSheetId="17">BlankMacro1</definedName>
    <definedName name="pump" localSheetId="15">BlankMacro1</definedName>
    <definedName name="pump">BlankMacro1</definedName>
    <definedName name="PWPW" localSheetId="3">#REF!</definedName>
    <definedName name="PWPW">#REF!</definedName>
    <definedName name="Q">'[123]VC2 9.98'!$BP$191:$BR$196</definedName>
    <definedName name="Q_1" hidden="1">{#N/A,#N/A,TRUE,"Basic";#N/A,#N/A,TRUE,"EXT-TABLE";#N/A,#N/A,TRUE,"STEEL";#N/A,#N/A,TRUE,"INT-Table";#N/A,#N/A,TRUE,"STEEL";#N/A,#N/A,TRUE,"Door"}</definedName>
    <definedName name="q1u" localSheetId="3">#REF!</definedName>
    <definedName name="q1u">#REF!</definedName>
    <definedName name="Q2zarfı" hidden="1">#REF!</definedName>
    <definedName name="Q91A" localSheetId="3">#REF!</definedName>
    <definedName name="Q91A">#REF!</definedName>
    <definedName name="q91b" localSheetId="3">#REF!</definedName>
    <definedName name="q91b">#REF!</definedName>
    <definedName name="qaz" localSheetId="3" hidden="1">{#N/A,#N/A,FALSE,"TABLE"}</definedName>
    <definedName name="qaz" hidden="1">{#N/A,#N/A,FALSE,"TABLE"}</definedName>
    <definedName name="qerad" hidden="1">{"LKD",#N/A,FALSE,"표지"}</definedName>
    <definedName name="qq" localSheetId="3" hidden="1">{"'장비'!$A$3:$M$12"}</definedName>
    <definedName name="QQ" hidden="1">{#N/A,#N/A,FALSE,"이태원철근"}</definedName>
    <definedName name="qqq" localSheetId="3" hidden="1">{#N/A,#N/A,TRUE,"Basic";#N/A,#N/A,TRUE,"EXT-TABLE";#N/A,#N/A,TRUE,"STEEL";#N/A,#N/A,TRUE,"INT-Table";#N/A,#N/A,TRUE,"STEEL";#N/A,#N/A,TRUE,"Door"}</definedName>
    <definedName name="QQQ">'[27]개시대사 (2)'!$M$26</definedName>
    <definedName name="qqq_1" hidden="1">{#N/A,#N/A,TRUE,"Basic";#N/A,#N/A,TRUE,"EXT-TABLE";#N/A,#N/A,TRUE,"STEEL";#N/A,#N/A,TRUE,"INT-Table";#N/A,#N/A,TRUE,"STEEL";#N/A,#N/A,TRUE,"Door"}</definedName>
    <definedName name="qqqq" localSheetId="3" hidden="1">{"'장비'!$A$3:$M$12"}</definedName>
    <definedName name="qqqq">{"'장비'!$A$3:$M$12"}</definedName>
    <definedName name="qqqqq" localSheetId="3" hidden="1">{#N/A,#N/A,TRUE,"Basic";#N/A,#N/A,TRUE,"EXT-TABLE";#N/A,#N/A,TRUE,"STEEL";#N/A,#N/A,TRUE,"INT-Table";#N/A,#N/A,TRUE,"STEEL";#N/A,#N/A,TRUE,"Door"}</definedName>
    <definedName name="qqqqq" hidden="1">{#N/A,#N/A,TRUE,"Basic";#N/A,#N/A,TRUE,"EXT-TABLE";#N/A,#N/A,TRUE,"STEEL";#N/A,#N/A,TRUE,"INT-Table";#N/A,#N/A,TRUE,"STEEL";#N/A,#N/A,TRUE,"Door"}</definedName>
    <definedName name="qqqqq_1" hidden="1">{#N/A,#N/A,TRUE,"Basic";#N/A,#N/A,TRUE,"EXT-TABLE";#N/A,#N/A,TRUE,"STEEL";#N/A,#N/A,TRUE,"INT-Table";#N/A,#N/A,TRUE,"STEEL";#N/A,#N/A,TRUE,"Door"}</definedName>
    <definedName name="qt" localSheetId="3" hidden="1">{#N/A,#N/A,FALSE,"TABLE"}</definedName>
    <definedName name="qt" hidden="1">{#N/A,#N/A,FALSE,"TABLE"}</definedName>
    <definedName name="QTY" localSheetId="3">#REF!</definedName>
    <definedName name="Qty">#REF!</definedName>
    <definedName name="QVQQVV" hidden="1">#REF!</definedName>
    <definedName name="qw" localSheetId="3" hidden="1">{#N/A,#N/A,TRUE,"Basic";#N/A,#N/A,TRUE,"EXT-TABLE";#N/A,#N/A,TRUE,"STEEL";#N/A,#N/A,TRUE,"INT-Table";#N/A,#N/A,TRUE,"STEEL";#N/A,#N/A,TRUE,"Door"}</definedName>
    <definedName name="QW" hidden="1">{#N/A,#N/A,FALSE,"이태원철근"}</definedName>
    <definedName name="QWE" localSheetId="3" hidden="1">{#N/A,#N/A,FALSE,"이태원철근"}</definedName>
    <definedName name="QWE" hidden="1">{#N/A,#N/A,FALSE,"이태원철근"}</definedName>
    <definedName name="QWER" localSheetId="3" hidden="1">{#N/A,#N/A,FALSE,"이태원철근"}</definedName>
    <definedName name="QWER" hidden="1">{#N/A,#N/A,FALSE,"이태원철근"}</definedName>
    <definedName name="qwq" hidden="1">#REF!</definedName>
    <definedName name="qws" hidden="1">#REF!</definedName>
    <definedName name="R_" localSheetId="3">#REF!</definedName>
    <definedName name="R_">#REF!</definedName>
    <definedName name="R_I_Q_A_S">#N/A</definedName>
    <definedName name="R8937589" localSheetId="3" hidden="1">{#N/A,#N/A,FALSE,"TABLE"}</definedName>
    <definedName name="R8937589" hidden="1">{#N/A,#N/A,FALSE,"TABLE"}</definedName>
    <definedName name="rarewt" localSheetId="3" hidden="1">{#N/A,#N/A,FALSE,"CCTV"}</definedName>
    <definedName name="rarewt" hidden="1">{#N/A,#N/A,FALSE,"CCTV"}</definedName>
    <definedName name="RASCO__3">#N/A</definedName>
    <definedName name="RASCO__A">#N/A</definedName>
    <definedName name="rate" localSheetId="3">#REF!</definedName>
    <definedName name="rate">#REF!</definedName>
    <definedName name="rate1" localSheetId="3">#REF!</definedName>
    <definedName name="rate1">#REF!</definedName>
    <definedName name="rate2" localSheetId="3">#REF!</definedName>
    <definedName name="rate2">#REF!</definedName>
    <definedName name="rated">[79]PumpSpec!$X$2:$Y$26</definedName>
    <definedName name="Rating">[79]PumpSpec!$U$2:$V$5</definedName>
    <definedName name="RawAgencyPrice" localSheetId="17">#REF!</definedName>
    <definedName name="RawAgencyPrice" localSheetId="15">#REF!</definedName>
    <definedName name="RawAgencyPrice" localSheetId="3">#REF!</definedName>
    <definedName name="RawAgencyPrice">#REF!</definedName>
    <definedName name="RBData" localSheetId="17">#REF!</definedName>
    <definedName name="RBData" localSheetId="15">#REF!</definedName>
    <definedName name="RBData" localSheetId="3">#REF!</definedName>
    <definedName name="RBData">#REF!</definedName>
    <definedName name="RCODE" localSheetId="3">#REF!</definedName>
    <definedName name="RCODE">#REF!</definedName>
    <definedName name="RCROOF" localSheetId="3">#REF!</definedName>
    <definedName name="RCROOF">#REF!</definedName>
    <definedName name="RE" localSheetId="3" hidden="1">{#N/A,#N/A,FALSE,"kal_iç_ihz";#N/A,#N/A,FALSE,"kal_iç_er";#N/A,#N/A,FALSE,"kal_iç_tut"}</definedName>
    <definedName name="RE" hidden="1">{#N/A,#N/A,FALSE,"kal_iç_ihz";#N/A,#N/A,FALSE,"kal_iç_er";#N/A,#N/A,FALSE,"kal_iç_tut"}</definedName>
    <definedName name="re_bar" localSheetId="17">#REF!</definedName>
    <definedName name="re_bar" localSheetId="15">#REF!</definedName>
    <definedName name="re_bar" localSheetId="3">#REF!</definedName>
    <definedName name="re_bar">#REF!</definedName>
    <definedName name="RE_SIZE" localSheetId="3">#REF!</definedName>
    <definedName name="RE_SIZE">#REF!</definedName>
    <definedName name="ReadCaseButton">"Button 19"</definedName>
    <definedName name="ReadItemButton">"Button 18"</definedName>
    <definedName name="ReadSelectByButton">"Button 16"</definedName>
    <definedName name="ReadStatusButton">"Button 17"</definedName>
    <definedName name="ReadWgButton">"Button 15"</definedName>
    <definedName name="rebar">#REF!</definedName>
    <definedName name="RECEIVE" localSheetId="3">#REF!</definedName>
    <definedName name="RECEIVE">#REF!</definedName>
    <definedName name="_xlnm.Recorder" localSheetId="3">#REF!</definedName>
    <definedName name="_xlnm.Recorder">#REF!</definedName>
    <definedName name="RECOUT">#N/A</definedName>
    <definedName name="RED" localSheetId="3">#REF!</definedName>
    <definedName name="RED">#REF!</definedName>
    <definedName name="Ref_Area">#N/A</definedName>
    <definedName name="REF_CLIENT2">"Texte 156"</definedName>
    <definedName name="REF_FILE">[124]Macro!$C$6</definedName>
    <definedName name="REF_PRINT">[124]Macro!$C$5</definedName>
    <definedName name="Ref_Vol">#N/A</definedName>
    <definedName name="Reselects" localSheetId="17">#REF!</definedName>
    <definedName name="Reselects" localSheetId="15">#REF!</definedName>
    <definedName name="Reselects" localSheetId="3">#REF!</definedName>
    <definedName name="Reselects">#REF!</definedName>
    <definedName name="rev" localSheetId="3">#REF!</definedName>
    <definedName name="rev">#REF!</definedName>
    <definedName name="rev.B.f." localSheetId="3" hidden="1">{#N/A,#N/A,FALSE,"Çaykara ataköy (1)";#N/A,#N/A,FALSE,"Çaykara ataköy (2)";#N/A,#N/A,FALSE,"Rize Kalkandere ";#N/A,#N/A,FALSE,"meydancık";#N/A,#N/A,FALSE,"muratlı"}</definedName>
    <definedName name="rev.B.f." hidden="1">{#N/A,#N/A,FALSE,"Çaykara ataköy (1)";#N/A,#N/A,FALSE,"Çaykara ataköy (2)";#N/A,#N/A,FALSE,"Rize Kalkandere ";#N/A,#N/A,FALSE,"meydancık";#N/A,#N/A,FALSE,"muratlı"}</definedName>
    <definedName name="Rev.fiy" localSheetId="3" hidden="1">{#N/A,#N/A,FALSE,"Çaykara ataköy (1)";#N/A,#N/A,FALSE,"Çaykara ataköy (2)";#N/A,#N/A,FALSE,"Rize Kalkandere ";#N/A,#N/A,FALSE,"meydancık";#N/A,#N/A,FALSE,"muratlı"}</definedName>
    <definedName name="Rev.fiy" hidden="1">{#N/A,#N/A,FALSE,"Çaykara ataköy (1)";#N/A,#N/A,FALSE,"Çaykara ataköy (2)";#N/A,#N/A,FALSE,"Rize Kalkandere ";#N/A,#N/A,FALSE,"meydancık";#N/A,#N/A,FALSE,"muratlı"}</definedName>
    <definedName name="REV3100BQ" localSheetId="3">#REF!</definedName>
    <definedName name="REV3100BQ">#REF!</definedName>
    <definedName name="REV3110BQ" localSheetId="3">#REF!</definedName>
    <definedName name="REV3110BQ">#REF!</definedName>
    <definedName name="REV3200BQ" localSheetId="3">#REF!</definedName>
    <definedName name="REV3200BQ">#REF!</definedName>
    <definedName name="REV3300BQ" localSheetId="3">#REF!</definedName>
    <definedName name="REV3300BQ">#REF!</definedName>
    <definedName name="REV3400BQ" localSheetId="3">#REF!</definedName>
    <definedName name="REV3400BQ">#REF!</definedName>
    <definedName name="REV3500BQ" localSheetId="3">#REF!</definedName>
    <definedName name="REV3500BQ">#REF!</definedName>
    <definedName name="REV3600BQ" localSheetId="3">#REF!</definedName>
    <definedName name="REV3600BQ">#REF!</definedName>
    <definedName name="REV3700BQ" localSheetId="3">#REF!</definedName>
    <definedName name="REV3700BQ">#REF!</definedName>
    <definedName name="REV3800BQ" localSheetId="3">#REF!</definedName>
    <definedName name="REV3800BQ">#REF!</definedName>
    <definedName name="revNo" localSheetId="3">#REF!</definedName>
    <definedName name="revNo">#REF!</definedName>
    <definedName name="RF">#REF!</definedName>
    <definedName name="RFA" localSheetId="3">#REF!</definedName>
    <definedName name="RFA">#REF!</definedName>
    <definedName name="RFB" localSheetId="3">#REF!</definedName>
    <definedName name="RFB">#REF!</definedName>
    <definedName name="RFC" localSheetId="3">#REF!</definedName>
    <definedName name="RFC">#REF!</definedName>
    <definedName name="RFE" localSheetId="3">#REF!</definedName>
    <definedName name="RFE">#REF!</definedName>
    <definedName name="RFF" localSheetId="3">#REF!</definedName>
    <definedName name="RFF">#REF!</definedName>
    <definedName name="RFG" localSheetId="3">#REF!</definedName>
    <definedName name="RFG">#REF!</definedName>
    <definedName name="RFP003A" localSheetId="3">#REF!</definedName>
    <definedName name="RFP003A">#REF!</definedName>
    <definedName name="RFP003B" localSheetId="3">#REF!</definedName>
    <definedName name="RFP003B">#REF!</definedName>
    <definedName name="RFP003C" localSheetId="3">#REF!</definedName>
    <definedName name="RFP003C">#REF!</definedName>
    <definedName name="RFP003D" localSheetId="3">#REF!</definedName>
    <definedName name="RFP003D">#REF!</definedName>
    <definedName name="RFP003E" localSheetId="3">#REF!</definedName>
    <definedName name="RFP003E">#REF!</definedName>
    <definedName name="RFP003F" localSheetId="3">#REF!</definedName>
    <definedName name="RFP003F">#REF!</definedName>
    <definedName name="RFUIOEWJFE" localSheetId="3" hidden="1">{#N/A,#N/A,FALSE,"TABLE"}</definedName>
    <definedName name="RFUIOEWJFE" hidden="1">{#N/A,#N/A,FALSE,"TABLE"}</definedName>
    <definedName name="RHDK" localSheetId="3" hidden="1">{#N/A,#N/A,FALSE,"이태원철근"}</definedName>
    <definedName name="RHDK" hidden="1">{#N/A,#N/A,FALSE,"이태원철근"}</definedName>
    <definedName name="rhsj" hidden="1">'[18]Eq. Mobilization'!#REF!</definedName>
    <definedName name="Risk_Class" localSheetId="4">[125]Cover!$N$6:$O$14</definedName>
    <definedName name="Risk_Class">[126]Cover!$N$6:$O$14</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 localSheetId="3" hidden="1">FALSE</definedName>
    <definedName name="RiskMinimizeOnStart">TRUE</definedName>
    <definedName name="RiskMonitorConvergence">FALSE</definedName>
    <definedName name="RiskMultipleCPUSupportEnabled">TRUE</definedName>
    <definedName name="RiskNumIterations" localSheetId="3" hidden="1">100</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 localSheetId="3" hidden="1">3</definedName>
    <definedName name="RiskSamplingType">2</definedName>
    <definedName name="RiskStandardRecalc" localSheetId="3" hidden="1">2</definedName>
    <definedName name="RiskStandardRecalc">1</definedName>
    <definedName name="RiskUpdateDisplay" localSheetId="3" hidden="1">FALSE</definedName>
    <definedName name="RiskUpdateDisplay">TRUE</definedName>
    <definedName name="RiskUseDifferentSeedForEachSim">FALSE</definedName>
    <definedName name="RiskUseFixedSeed">FALSE</definedName>
    <definedName name="RiskUseMultipleCPUs" localSheetId="3" hidden="1">FALSE</definedName>
    <definedName name="RiskUseMultipleCPUs">TRUE</definedName>
    <definedName name="rizeispir" localSheetId="3" hidden="1">{#N/A,#N/A,FALSE,"Çaykara ataköy (1)";#N/A,#N/A,FALSE,"Çaykara ataköy (2)";#N/A,#N/A,FALSE,"Rize Kalkandere ";#N/A,#N/A,FALSE,"meydancık";#N/A,#N/A,FALSE,"muratlı"}</definedName>
    <definedName name="rizeispir" hidden="1">{#N/A,#N/A,FALSE,"Çaykara ataköy (1)";#N/A,#N/A,FALSE,"Çaykara ataköy (2)";#N/A,#N/A,FALSE,"Rize Kalkandere ";#N/A,#N/A,FALSE,"meydancık";#N/A,#N/A,FALSE,"muratlı"}</definedName>
    <definedName name="RK" localSheetId="3" hidden="1">{#N/A,#N/A,FALSE,"이태원철근"}</definedName>
    <definedName name="RK" hidden="1">{#N/A,#N/A,FALSE,"이태원철근"}</definedName>
    <definedName name="rkd" hidden="1">{#N/A,#N/A,FALSE,"CCTV"}</definedName>
    <definedName name="RKSKEK" localSheetId="3" hidden="1">{#N/A,#N/A,FALSE,"이태원철근"}</definedName>
    <definedName name="RKSKEK" hidden="1">{#N/A,#N/A,FALSE,"이태원철근"}</definedName>
    <definedName name="RL" localSheetId="3" hidden="1">{#N/A,#N/A,TRUE,"Basic";#N/A,#N/A,TRUE,"EXT-TABLE";#N/A,#N/A,TRUE,"STEEL";#N/A,#N/A,TRUE,"INT-Table";#N/A,#N/A,TRUE,"STEEL";#N/A,#N/A,TRUE,"Door"}</definedName>
    <definedName name="RL" hidden="1">{#N/A,#N/A,TRUE,"Basic";#N/A,#N/A,TRUE,"EXT-TABLE";#N/A,#N/A,TRUE,"STEEL";#N/A,#N/A,TRUE,"INT-Table";#N/A,#N/A,TRUE,"STEEL";#N/A,#N/A,TRUE,"Door"}</definedName>
    <definedName name="RM">#REF!</definedName>
    <definedName name="RMRATE">[84]PANTAI!$C$2</definedName>
    <definedName name="RNAO">{"'장비'!$A$3:$M$12"}</definedName>
    <definedName name="rout_t" localSheetId="17">#REF!</definedName>
    <definedName name="rout_t" localSheetId="15">#REF!</definedName>
    <definedName name="rout_t" localSheetId="3">#REF!</definedName>
    <definedName name="rout_t">#REF!</definedName>
    <definedName name="RP">#REF!</definedName>
    <definedName name="RQTY" localSheetId="3">#REF!</definedName>
    <definedName name="RQTY">#REF!</definedName>
    <definedName name="rr" localSheetId="3" hidden="1">{"'Grafik Kontrol'!$A$1:$J$8"}</definedName>
    <definedName name="rr" hidden="1">{#N/A,#N/A,TRUE,"Basic";#N/A,#N/A,TRUE,"EXT-TABLE";#N/A,#N/A,TRUE,"STEEL";#N/A,#N/A,TRUE,"INT-Table";#N/A,#N/A,TRUE,"STEEL";#N/A,#N/A,TRUE,"Door"}</definedName>
    <definedName name="rr_1" localSheetId="3" hidden="1">{"'Grafik Kontrol'!$A$1:$J$8"}</definedName>
    <definedName name="rr_1" hidden="1">{#N/A,#N/A,TRUE,"Basic";#N/A,#N/A,TRUE,"EXT-TABLE";#N/A,#N/A,TRUE,"STEEL";#N/A,#N/A,TRUE,"INT-Table";#N/A,#N/A,TRUE,"STEEL";#N/A,#N/A,TRUE,"Door"}</definedName>
    <definedName name="rrr" localSheetId="3" hidden="1">{#N/A,#N/A,FALSE,"이태원철근"}</definedName>
    <definedName name="RRR" hidden="1">#REF!</definedName>
    <definedName name="RS">#REF!</definedName>
    <definedName name="RSR">[127]내역총괄!$L$3</definedName>
    <definedName name="RT" localSheetId="3" hidden="1">{#N/A,#N/A,FALSE,"이태원철근"}</definedName>
    <definedName name="RT" hidden="1">{#N/A,#N/A,FALSE,"이태원철근"}</definedName>
    <definedName name="rthjryjfgd" hidden="1">[15]공통비총괄표!#REF!</definedName>
    <definedName name="RTInfo" localSheetId="3">#REF!</definedName>
    <definedName name="RTInfo">#REF!</definedName>
    <definedName name="rtu" localSheetId="3" hidden="1">{#N/A,#N/A,FALSE,"TABLE"}</definedName>
    <definedName name="rtu" hidden="1">{#N/A,#N/A,FALSE,"TABLE"}</definedName>
    <definedName name="rtytry">{"'장비'!$A$3:$M$12"}</definedName>
    <definedName name="RUA" localSheetId="3">#REF!</definedName>
    <definedName name="RUA">#REF!</definedName>
    <definedName name="RUAC" localSheetId="3">#REF!</definedName>
    <definedName name="RUAC">#REF!</definedName>
    <definedName name="RUAE" localSheetId="3">#REF!</definedName>
    <definedName name="RUAE">#REF!</definedName>
    <definedName name="RUAI" localSheetId="3">#REF!</definedName>
    <definedName name="RUAI">#REF!</definedName>
    <definedName name="RUAP" localSheetId="3">#REF!</definedName>
    <definedName name="RUAP">#REF!</definedName>
    <definedName name="RUAS" localSheetId="3">#REF!</definedName>
    <definedName name="RUAS">#REF!</definedName>
    <definedName name="RUAW" localSheetId="3">#REF!</definedName>
    <definedName name="RUAW">#REF!</definedName>
    <definedName name="RUAWRAP" localSheetId="3">#REF!</definedName>
    <definedName name="RUAWRAP">#REF!</definedName>
    <definedName name="RUA계장" localSheetId="3">#REF!</definedName>
    <definedName name="RUA계장">#REF!</definedName>
    <definedName name="RUA도장" localSheetId="3">#REF!</definedName>
    <definedName name="RUA도장">#REF!</definedName>
    <definedName name="RUA전" localSheetId="3">#REF!</definedName>
    <definedName name="RUA전">#REF!</definedName>
    <definedName name="RUE" localSheetId="3" hidden="1">{#N/A,#N/A,FALSE,"TABLE"}</definedName>
    <definedName name="RUE" hidden="1">{#N/A,#N/A,FALSE,"TABLE"}</definedName>
    <definedName name="RW_MAT" localSheetId="3">#REF!</definedName>
    <definedName name="RW_MAT">#REF!</definedName>
    <definedName name="RW_PIPE" localSheetId="3">#REF!</definedName>
    <definedName name="RW_PIPE">#REF!</definedName>
    <definedName name="S" localSheetId="3">#REF!</definedName>
    <definedName name="S" hidden="1">{#N/A,#N/A,FALSE,"CCTV"}</definedName>
    <definedName name="S.Alacan"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_HEC_M">'[104]첨1.3'!$H$7</definedName>
    <definedName name="s_HEC_MM">'[104]첨1.3'!$M$7</definedName>
    <definedName name="s_HEC_천원">'[104]첨1.3'!$BN$7</definedName>
    <definedName name="s_KOR_M">'[104]첨1.3'!$H$29</definedName>
    <definedName name="s_KOR_MM">'[104]첨1.3'!$M$29</definedName>
    <definedName name="s_KOR_천원">'[104]첨1.3'!$BN$29</definedName>
    <definedName name="s_LIC_M">'[104]첨1.3'!$H$109</definedName>
    <definedName name="s_LIC_MM">'[104]첨1.3'!$M$109</definedName>
    <definedName name="s_LOC_M">'[104]첨1.3'!$H$90</definedName>
    <definedName name="s_LOC_MM">'[104]첨1.3'!$M$90</definedName>
    <definedName name="s_LOC_천원">'[104]첨1.3'!$BN$90</definedName>
    <definedName name="S_M_D_S">#N/A</definedName>
    <definedName name="s_TCN_M">'[104]첨1.3'!$H$51</definedName>
    <definedName name="s_TCN_MM">'[104]첨1.3'!$M$51</definedName>
    <definedName name="s_TCN_천원">'[104]첨1.3'!$BN$51</definedName>
    <definedName name="S41M" localSheetId="17">#REF!</definedName>
    <definedName name="S41M" localSheetId="15">#REF!</definedName>
    <definedName name="S41M" localSheetId="3">#REF!</definedName>
    <definedName name="S41M">#REF!</definedName>
    <definedName name="S41Y" localSheetId="17">#REF!</definedName>
    <definedName name="S41Y" localSheetId="15">#REF!</definedName>
    <definedName name="S41Y" localSheetId="3">#REF!</definedName>
    <definedName name="S41Y">#REF!</definedName>
    <definedName name="S43M" localSheetId="17">#REF!</definedName>
    <definedName name="S43M" localSheetId="15">#REF!</definedName>
    <definedName name="S43M" localSheetId="3">#REF!</definedName>
    <definedName name="S43M">#REF!</definedName>
    <definedName name="S43Y" localSheetId="17">#REF!</definedName>
    <definedName name="S43Y" localSheetId="15">#REF!</definedName>
    <definedName name="S43Y" localSheetId="3">#REF!</definedName>
    <definedName name="S43Y">#REF!</definedName>
    <definedName name="sa" localSheetId="3" hidden="1">{#N/A,#N/A,FALSE,"Çaykara ataköy (1)";#N/A,#N/A,FALSE,"Çaykara ataköy (2)";#N/A,#N/A,FALSE,"Rize Kalkandere ";#N/A,#N/A,FALSE,"meydancık";#N/A,#N/A,FALSE,"muratlı"}</definedName>
    <definedName name="sa" hidden="1">{#N/A,#N/A,FALSE,"Çaykara ataköy (1)";#N/A,#N/A,FALSE,"Çaykara ataköy (2)";#N/A,#N/A,FALSE,"Rize Kalkandere ";#N/A,#N/A,FALSE,"meydancık";#N/A,#N/A,FALSE,"muratlı"}</definedName>
    <definedName name="sad" hidden="1">{#N/A,#N/A,FALSE,"이태원철근"}</definedName>
    <definedName name="sad565a6s" hidden="1">[44]METRAJ!#REF!</definedName>
    <definedName name="SAH.2001" localSheetId="3" hidden="1">{#N/A,#N/A,FALSE,"Çaykara ataköy (1)";#N/A,#N/A,FALSE,"Çaykara ataköy (2)";#N/A,#N/A,FALSE,"Rize Kalkandere ";#N/A,#N/A,FALSE,"meydancık";#N/A,#N/A,FALSE,"muratlı"}</definedName>
    <definedName name="SAH.2001" hidden="1">{#N/A,#N/A,FALSE,"Çaykara ataköy (1)";#N/A,#N/A,FALSE,"Çaykara ataköy (2)";#N/A,#N/A,FALSE,"Rize Kalkandere ";#N/A,#N/A,FALSE,"meydancık";#N/A,#N/A,FALSE,"muratlı"}</definedName>
    <definedName name="SAHİL" localSheetId="3" hidden="1">{#N/A,#N/A,FALSE,"Çaykara ataköy (1)";#N/A,#N/A,FALSE,"Çaykara ataköy (2)";#N/A,#N/A,FALSE,"Rize Kalkandere ";#N/A,#N/A,FALSE,"meydancık";#N/A,#N/A,FALSE,"muratlı"}</definedName>
    <definedName name="SAHİL" hidden="1">{#N/A,#N/A,FALSE,"Çaykara ataköy (1)";#N/A,#N/A,FALSE,"Çaykara ataköy (2)";#N/A,#N/A,FALSE,"Rize Kalkandere ";#N/A,#N/A,FALSE,"meydancık";#N/A,#N/A,FALSE,"muratlı"}</definedName>
    <definedName name="sal" localSheetId="3">#REF!</definedName>
    <definedName name="sal">#REF!</definedName>
    <definedName name="SALARY_INDIRECT_TCN_NATION">'[59]STAFF&amp;INDIRECT SALARY - SUMMARY'!$F$69:$K$73</definedName>
    <definedName name="SALARY_STAFF_KOR_해외수당">'[59]KOREAN STAFF SALARY_BREAKDOWN'!$F$40:$L$49</definedName>
    <definedName name="SALARY_YEAR_SITE_STAFF_KOR">'[90]KOREAN STAFF SALARY - SITE'!$H$13:$Q$90</definedName>
    <definedName name="SALESPLAN" localSheetId="17">#REF!</definedName>
    <definedName name="SALESPLAN" localSheetId="15">#REF!</definedName>
    <definedName name="SALESPLAN" localSheetId="3">#REF!</definedName>
    <definedName name="SALESPLAN">#REF!</definedName>
    <definedName name="sam" localSheetId="3" hidden="1">{#N/A,#N/A,FALSE,"배수1"}</definedName>
    <definedName name="SAM" hidden="1">{#N/A,#N/A,TRUE,"Basic";#N/A,#N/A,TRUE,"EXT-TABLE";#N/A,#N/A,TRUE,"STEEL";#N/A,#N/A,TRUE,"INT-Table";#N/A,#N/A,TRUE,"STEEL";#N/A,#N/A,TRUE,"Door"}</definedName>
    <definedName name="SAM_1" hidden="1">{#N/A,#N/A,TRUE,"Basic";#N/A,#N/A,TRUE,"EXT-TABLE";#N/A,#N/A,TRUE,"STEEL";#N/A,#N/A,TRUE,"INT-Table";#N/A,#N/A,TRUE,"STEEL";#N/A,#N/A,TRUE,"Door"}</definedName>
    <definedName name="sample" localSheetId="3">#REF!</definedName>
    <definedName name="sample">#REF!</definedName>
    <definedName name="ŞAN.DIŞ.İHZ.TUT."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NTA" localSheetId="3" hidden="1">{#N/A,#N/A,FALSE,"Çaykara ataköy (1)";#N/A,#N/A,FALSE,"Çaykara ataköy (2)";#N/A,#N/A,FALSE,"Rize Kalkandere ";#N/A,#N/A,FALSE,"meydancık";#N/A,#N/A,FALSE,"muratlı"}</definedName>
    <definedName name="SANTA" hidden="1">{#N/A,#N/A,FALSE,"Çaykara ataköy (1)";#N/A,#N/A,FALSE,"Çaykara ataköy (2)";#N/A,#N/A,FALSE,"Rize Kalkandere ";#N/A,#N/A,FALSE,"meydancık";#N/A,#N/A,FALSE,"muratlı"}</definedName>
    <definedName name="SAR">'[128]E_Rate PM'!$I$6</definedName>
    <definedName name="SAR_USD">'[64]E_Rate PM'!$M$6</definedName>
    <definedName name="sasda"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yfa15" localSheetId="3" hidden="1">{#N/A,#N/A,FALSE,"Çaykara ataköy (1)";#N/A,#N/A,FALSE,"Çaykara ataköy (2)";#N/A,#N/A,FALSE,"Rize Kalkandere ";#N/A,#N/A,FALSE,"meydancık";#N/A,#N/A,FALSE,"muratlı"}</definedName>
    <definedName name="sayfa15" hidden="1">{#N/A,#N/A,FALSE,"Çaykara ataköy (1)";#N/A,#N/A,FALSE,"Çaykara ataköy (2)";#N/A,#N/A,FALSE,"Rize Kalkandere ";#N/A,#N/A,FALSE,"meydancık";#N/A,#N/A,FALSE,"muratlı"}</definedName>
    <definedName name="SC" localSheetId="3">#REF!</definedName>
    <definedName name="SC" hidden="1">#REF!</definedName>
    <definedName name="scale" localSheetId="17">#REF!</definedName>
    <definedName name="scale" localSheetId="15">#REF!</definedName>
    <definedName name="scale" localSheetId="3">#REF!</definedName>
    <definedName name="scale">#REF!</definedName>
    <definedName name="Sch" localSheetId="3">#REF!</definedName>
    <definedName name="Sch">#REF!</definedName>
    <definedName name="Sch_No." localSheetId="3">INDEX(#REF!, MATCH(VALUE(#REF!),#REF!,), MATCH(#REF!,#REF!,))</definedName>
    <definedName name="Sch_No.">INDEX(#REF!, MATCH(VALUE(#REF!),#REF!,), MATCH(#REF!,#REF!,))</definedName>
    <definedName name="sche">{"Book1","DOC&amp;DWG.xls"}</definedName>
    <definedName name="SCK" localSheetId="3" hidden="1">{#N/A,#N/A,FALSE,"TABLE"}</definedName>
    <definedName name="SCK" hidden="1">{#N/A,#N/A,FALSE,"TABLE"}</definedName>
    <definedName name="sckim" localSheetId="3" hidden="1">{#N/A,#N/A,FALSE,"TABLE"}</definedName>
    <definedName name="sckim" hidden="1">{#N/A,#N/A,FALSE,"TABLE"}</definedName>
    <definedName name="SCOPE">[129]eq_data!$C$5:$C$54</definedName>
    <definedName name="scope0">[109]입찰내역서!$T$56</definedName>
    <definedName name="scope1">[109]입찰내역서!$T$57</definedName>
    <definedName name="scope2">[109]입찰내역서!$T$58</definedName>
    <definedName name="scope3">[109]입찰내역서!$T$59</definedName>
    <definedName name="scope4">[109]입찰내역서!$T$60</definedName>
    <definedName name="SD" localSheetId="3" hidden="1">{#N/A,#N/A,FALSE,"이태원철근"}</definedName>
    <definedName name="SD" hidden="1">{#N/A,#N/A,FALSE,"이태원철근"}</definedName>
    <definedName name="sdasd" hidden="1">[44]METRAJ!#REF!</definedName>
    <definedName name="SDCFG\" localSheetId="3" hidden="1">{#N/A,#N/A,FALSE,"운반시간"}</definedName>
    <definedName name="SDCFG\" hidden="1">{#N/A,#N/A,FALSE,"운반시간"}</definedName>
    <definedName name="sddd" localSheetId="0">BlankMacro1</definedName>
    <definedName name="sddd" localSheetId="2">BlankMacro1</definedName>
    <definedName name="sddd" localSheetId="17">BlankMacro1</definedName>
    <definedName name="sddd" localSheetId="15">BlankMacro1</definedName>
    <definedName name="sddd">BlankMacro1</definedName>
    <definedName name="SDF" localSheetId="3" hidden="1">{#N/A,#N/A,FALSE,"혼합골재"}</definedName>
    <definedName name="SDF" hidden="1">{#N/A,#N/A,FALSE,"혼합골재"}</definedName>
    <definedName name="sdfatgarsdyh" hidden="1">'[45]Eq. Mobilization'!#REF!</definedName>
    <definedName name="sdfdf">{"'장비'!$A$3:$M$12"}</definedName>
    <definedName name="sdfdsgdf" hidden="1">'[68]#REF'!#REF!</definedName>
    <definedName name="sdfg" hidden="1">{#N/A,#N/A,FALSE,"이태원철근"}</definedName>
    <definedName name="sdfh" hidden="1">'[18]Eq. Mobilization'!#REF!</definedName>
    <definedName name="SDFS" localSheetId="3" hidden="1">{#N/A,#N/A,FALSE,"TABLE"}</definedName>
    <definedName name="SDFS" hidden="1">{#N/A,#N/A,FALSE,"TABLE"}</definedName>
    <definedName name="SDFSDFAF" localSheetId="3" hidden="1">'[2]Eq. Mobilization'!#REF!</definedName>
    <definedName name="SDFSDFAF" hidden="1">'[12]Eq. Mobilization'!#REF!</definedName>
    <definedName name="sdfsf" hidden="1">[44]METRAJ!#REF!</definedName>
    <definedName name="sdfsgd" hidden="1">{#N/A,#N/A,FALSE,"이태원철근"}</definedName>
    <definedName name="sdsds"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a" localSheetId="3">#REF!</definedName>
    <definedName name="sdsdsa">#REF!</definedName>
    <definedName name="sdukfgas" localSheetId="3" hidden="1">'[45]Eq. Mobilization'!#REF!</definedName>
    <definedName name="sdukfgas" hidden="1">'[45]Eq. Mobilization'!#REF!</definedName>
    <definedName name="SECVAL">[130]RIEP!$G$5</definedName>
    <definedName name="SEG" localSheetId="3">#REF!</definedName>
    <definedName name="SEG">#REF!</definedName>
    <definedName name="ŞEN" localSheetId="3" hidden="1">{#N/A,#N/A,FALSE,"Çaykara ataköy (1)";#N/A,#N/A,FALSE,"Çaykara ataköy (2)";#N/A,#N/A,FALSE,"Rize Kalkandere ";#N/A,#N/A,FALSE,"meydancık";#N/A,#N/A,FALSE,"muratlı"}</definedName>
    <definedName name="ŞEN" hidden="1">{#N/A,#N/A,FALSE,"Çaykara ataköy (1)";#N/A,#N/A,FALSE,"Çaykara ataköy (2)";#N/A,#N/A,FALSE,"Rize Kalkandere ";#N/A,#N/A,FALSE,"meydancık";#N/A,#N/A,FALSE,"muratlı"}</definedName>
    <definedName name="sencount">1</definedName>
    <definedName name="SEOUL_INDIRECT">[59]BREAKDOWN!$F$52:$R$54</definedName>
    <definedName name="SEP">'[131]96.12'!$A$1:$N$61</definedName>
    <definedName name="SERVICE" localSheetId="3" hidden="1">{#N/A,#N/A,FALSE,"이태원철근"}</definedName>
    <definedName name="SERVICE" hidden="1">{#N/A,#N/A,FALSE,"이태원철근"}</definedName>
    <definedName name="SF" localSheetId="3" hidden="1">{#N/A,#N/A,FALSE,"이태원철근"}</definedName>
    <definedName name="SF" hidden="1">{#N/A,#N/A,FALSE,"이태원철근"}</definedName>
    <definedName name="SFA" localSheetId="3">#REF!</definedName>
    <definedName name="SFA">#REF!</definedName>
    <definedName name="SFB" localSheetId="3">#REF!</definedName>
    <definedName name="SFB">#REF!</definedName>
    <definedName name="SFC" localSheetId="3">#REF!</definedName>
    <definedName name="SFC">#REF!</definedName>
    <definedName name="SFFF" hidden="1">[132]노임단가!#REF!</definedName>
    <definedName name="SFFFFF" hidden="1">[132]노임단가!#REF!</definedName>
    <definedName name="sfsfsdf" hidden="1">{"LKD",#N/A,FALSE,"표지"}</definedName>
    <definedName name="SG" localSheetId="3">#REF!</definedName>
    <definedName name="SG">#REF!</definedName>
    <definedName name="SGD">'[46]Ex-Rate'!$C$15</definedName>
    <definedName name="SHEET">#N/A</definedName>
    <definedName name="SHEET03"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00" hidden="1">#REF!</definedName>
    <definedName name="sheet3" localSheetId="3">#REF!</definedName>
    <definedName name="sheet3">#REF!</definedName>
    <definedName name="SHEET8" localSheetId="0">BlankMacro1</definedName>
    <definedName name="SHEET8" localSheetId="2">BlankMacro1</definedName>
    <definedName name="SHEET8" localSheetId="17">BlankMacro1</definedName>
    <definedName name="SHEET8" localSheetId="15">BlankMacro1</definedName>
    <definedName name="SHEET8">BlankMacro1</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op_Erection" localSheetId="3">#REF!</definedName>
    <definedName name="Shop_Erection">#REF!</definedName>
    <definedName name="Shop_Internals" localSheetId="3">#REF!</definedName>
    <definedName name="Shop_Internals">#REF!</definedName>
    <definedName name="Shop_Platform" localSheetId="3">#REF!</definedName>
    <definedName name="Shop_Platform">#REF!</definedName>
    <definedName name="shpe" localSheetId="17">#REF!</definedName>
    <definedName name="shpe" localSheetId="15">#REF!</definedName>
    <definedName name="shpe" localSheetId="3">#REF!</definedName>
    <definedName name="shpe">#REF!</definedName>
    <definedName name="sibel"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sibel"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SINAN">"Chart 4"</definedName>
    <definedName name="SITE" localSheetId="3" hidden="1">{#N/A,#N/A,FALSE,"TABLE"}</definedName>
    <definedName name="SITE" hidden="1">{#N/A,#N/A,FALSE,"TABLE"}</definedName>
    <definedName name="Site최대인원">[133]세부내역!$L$527</definedName>
    <definedName name="SIZE" localSheetId="3">#REF!</definedName>
    <definedName name="SIZE">'[132]WE''T'!$B$15:$BR$16</definedName>
    <definedName name="SIZE2" localSheetId="3">#REF!</definedName>
    <definedName name="SIZE2">#REF!</definedName>
    <definedName name="SIZEC" localSheetId="3">#REF!</definedName>
    <definedName name="SIZEC">'[132]WE''T'!$B$1:$BR$4</definedName>
    <definedName name="SIZELIST" localSheetId="3">#REF!</definedName>
    <definedName name="SIZELIST">#REF!</definedName>
    <definedName name="SizeNew" localSheetId="3">#REF!</definedName>
    <definedName name="SizeNew">#REF!</definedName>
    <definedName name="SJ">'[134]97년 SEACO예산'!$W$16:$W$110</definedName>
    <definedName name="SK" localSheetId="3">#REF!</definedName>
    <definedName name="SK">#REF!</definedName>
    <definedName name="SKI" hidden="1">[132]노임단가!#REF!</definedName>
    <definedName name="SKR">'[46]Ex-Rate'!$C$9</definedName>
    <definedName name="SlArea">[52]Calc!#REF!</definedName>
    <definedName name="SLHJLS" localSheetId="3" hidden="1">{#N/A,#N/A,FALSE,"TABLE"}</definedName>
    <definedName name="SLHJLS" hidden="1">{#N/A,#N/A,FALSE,"TABLE"}</definedName>
    <definedName name="slope" localSheetId="17">#REF!</definedName>
    <definedName name="slope" localSheetId="15">#REF!</definedName>
    <definedName name="slope" localSheetId="3">#REF!</definedName>
    <definedName name="slope">#REF!</definedName>
    <definedName name="SMLTOOLS" localSheetId="3">#REF!</definedName>
    <definedName name="SMLTOOLS">#REF!</definedName>
    <definedName name="SN" hidden="1">{"LKD",#N/A,FALSE,"표지"}</definedName>
    <definedName name="SO" localSheetId="3">#REF!</definedName>
    <definedName name="SO">#REF!</definedName>
    <definedName name="SOC" localSheetId="3"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분야" localSheetId="3"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사업" localSheetId="3" hidden="1">{#N/A,#N/A,FALSE,"예상손익";#N/A,#N/A,FALSE,"관리분석";#N/A,#N/A,FALSE,"장비분석";#N/A,#N/A,FALSE,"준설분석";#N/A,#N/A,FALSE,"철구분석"}</definedName>
    <definedName name="SOC사업" hidden="1">{#N/A,#N/A,FALSE,"예상손익";#N/A,#N/A,FALSE,"관리분석";#N/A,#N/A,FALSE,"장비분석";#N/A,#N/A,FALSE,"준설분석";#N/A,#N/A,FALSE,"철구분석"}</definedName>
    <definedName name="SOC집계" localSheetId="3" hidden="1">{#N/A,#N/A,FALSE,"사업총괄";#N/A,#N/A,FALSE,"장비사업";#N/A,#N/A,FALSE,"철구사업";#N/A,#N/A,FALSE,"준설사업"}</definedName>
    <definedName name="SOC집계" hidden="1">{#N/A,#N/A,FALSE,"사업총괄";#N/A,#N/A,FALSE,"장비사업";#N/A,#N/A,FALSE,"철구사업";#N/A,#N/A,FALSE,"준설사업"}</definedName>
    <definedName name="SOL" localSheetId="3">#REF!</definedName>
    <definedName name="SOL">#REF!</definedName>
    <definedName name="sort" localSheetId="3">#REF!</definedName>
    <definedName name="sort">#REF!</definedName>
    <definedName name="SORT1" localSheetId="3">#REF!</definedName>
    <definedName name="SORT1" hidden="1">[135]STAND98!$A$1:$IT$4019</definedName>
    <definedName name="SORT191" localSheetId="3">#REF!</definedName>
    <definedName name="SORT191">#REF!</definedName>
    <definedName name="SORT194" localSheetId="3">#REF!</definedName>
    <definedName name="SORT194">#REF!</definedName>
    <definedName name="SORT195" localSheetId="3">#REF!</definedName>
    <definedName name="SORT195">#REF!</definedName>
    <definedName name="sort2" localSheetId="3">#REF!</definedName>
    <definedName name="sort2">#REF!</definedName>
    <definedName name="SORT200" localSheetId="3">#REF!</definedName>
    <definedName name="SORT200">#REF!</definedName>
    <definedName name="SOURCE" localSheetId="3">#REF!</definedName>
    <definedName name="SOURCE">#REF!</definedName>
    <definedName name="SR">'[53]총괄표(OOK)'!$Q$6</definedName>
    <definedName name="SRC">#REF!</definedName>
    <definedName name="srer" localSheetId="3" hidden="1">{#N/A,#N/A,FALSE,"Çaykara ataköy (1)";#N/A,#N/A,FALSE,"Çaykara ataköy (2)";#N/A,#N/A,FALSE,"Rize Kalkandere ";#N/A,#N/A,FALSE,"meydancık";#N/A,#N/A,FALSE,"muratlı"}</definedName>
    <definedName name="srer" hidden="1">{#N/A,#N/A,FALSE,"Çaykara ataköy (1)";#N/A,#N/A,FALSE,"Çaykara ataköy (2)";#N/A,#N/A,FALSE,"Rize Kalkandere ";#N/A,#N/A,FALSE,"meydancık";#N/A,#N/A,FALSE,"muratlı"}</definedName>
    <definedName name="srhtrjhcd" hidden="1">'[68]#REF'!#REF!</definedName>
    <definedName name="ss" localSheetId="0">BlankMacro1</definedName>
    <definedName name="ss" localSheetId="2">BlankMacro1</definedName>
    <definedName name="ss" localSheetId="17">BlankMacro1</definedName>
    <definedName name="ss" localSheetId="15">BlankMacro1</definedName>
    <definedName name="ss" localSheetId="4" hidden="1">{"LKD",#N/A,FALSE,"표지"}</definedName>
    <definedName name="ss" localSheetId="3">#REF!</definedName>
    <definedName name="ss">BlankMacro1</definedName>
    <definedName name="SSIZE" localSheetId="3">#REF!</definedName>
    <definedName name="SSIZE">#REF!</definedName>
    <definedName name="sss" localSheetId="3" hidden="1">{#N/A,#N/A,TRUE,"Basic";#N/A,#N/A,TRUE,"EXT-TABLE";#N/A,#N/A,TRUE,"STEEL";#N/A,#N/A,TRUE,"INT-Table";#N/A,#N/A,TRUE,"STEEL";#N/A,#N/A,TRUE,"Door"}</definedName>
    <definedName name="sss" hidden="1">{#N/A,#N/A,FALSE,"전력간선"}</definedName>
    <definedName name="sss_1" hidden="1">{#N/A,#N/A,TRUE,"Basic";#N/A,#N/A,TRUE,"EXT-TABLE";#N/A,#N/A,TRUE,"STEEL";#N/A,#N/A,TRUE,"INT-Table";#N/A,#N/A,TRUE,"STEEL";#N/A,#N/A,TRUE,"Door"}</definedName>
    <definedName name="sssddd" hidden="1">{#N/A,#N/A,FALSE,"TABLE"}</definedName>
    <definedName name="ssss" localSheetId="3" hidden="1">{#N/A,#N/A,TRUE,"Basic";#N/A,#N/A,TRUE,"EXT-TABLE";#N/A,#N/A,TRUE,"STEEL";#N/A,#N/A,TRUE,"INT-Table";#N/A,#N/A,TRUE,"STEEL";#N/A,#N/A,TRUE,"Door"}</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s" hidden="1">{#N/A,#N/A,FALSE,"TABLE"}</definedName>
    <definedName name="sssssssssss" localSheetId="0">BlankMacro1</definedName>
    <definedName name="sssssssssss" localSheetId="2">BlankMacro1</definedName>
    <definedName name="sssssssssss" localSheetId="17">BlankMacro1</definedName>
    <definedName name="sssssssssss" localSheetId="15">BlankMacro1</definedName>
    <definedName name="sssssssssss">BlankMacro1</definedName>
    <definedName name="ST" localSheetId="3" hidden="1">{#N/A,#N/A,FALSE,"TABLE"}</definedName>
    <definedName name="st">{"'장비'!$A$3:$M$12"}</definedName>
    <definedName name="STAFF_ALL_MILAN_POSITION">'[90]STAFF MOBILIZATION PLAN'!$A$207:$T$216</definedName>
    <definedName name="STAFF_ALL_SEOUL_NATION">'[90]STAFF MOBILIZATION PLAN'!$A$246:$T$254</definedName>
    <definedName name="STAFF_ALL_SEOUL_POSITION">'[90]STAFF MOBILIZATION PLAN'!$A$195:$T$204</definedName>
    <definedName name="STAFF_ALL_SITE_NATION">'[90]STAFF MOBILIZATION PLAN'!$A$234:$T$242</definedName>
    <definedName name="STAFF_ALL_SITE_POSITION">'[90]STAFF MOBILIZATION PLAN'!$A$183:$T$192</definedName>
    <definedName name="STAFF_HEC_LOCATION">'[90]STAFF MOBILIZATION PLAN'!$A$390:$T$392</definedName>
    <definedName name="STAFF_HEC_MILAN_NATION">'[90]STAFF MOBILIZATION PLAN'!$A$487:$T$495</definedName>
    <definedName name="STAFF_HEC_MILAN_POSITION">'[90]STAFF MOBILIZATION PLAN'!$A$437:$T$446</definedName>
    <definedName name="STAFF_HEC_SEOUL_NATION">'[90]STAFF MOBILIZATION PLAN'!$A$476:$T$484</definedName>
    <definedName name="STAFF_HEC_SEOUL_POSITION">'[90]STAFF MOBILIZATION PLAN'!$A$425:$T$434</definedName>
    <definedName name="STAFF_HEC_SITE_NATION">'[90]STAFF MOBILIZATION PLAN'!$A$464:$T$472</definedName>
    <definedName name="STAFF_HEC_SITE_POSITION">'[90]STAFF MOBILIZATION PLAN'!$A$413:$T$422</definedName>
    <definedName name="status">[136]MR!$S$3:$S$10</definedName>
    <definedName name="steam_trap" localSheetId="3">#REF!</definedName>
    <definedName name="steam_trap">#REF!</definedName>
    <definedName name="STHK" localSheetId="3">#REF!</definedName>
    <definedName name="STHK">#REF!</definedName>
    <definedName name="Stm" localSheetId="3">#REF!</definedName>
    <definedName name="Stm">#REF!</definedName>
    <definedName name="STOT1">[137]HVAC!#REF!</definedName>
    <definedName name="STOT2">[137]HVAC!#REF!</definedName>
    <definedName name="STOT3">[137]HVAC!#REF!</definedName>
    <definedName name="STOT4">[137]HVAC!#REF!</definedName>
    <definedName name="str" localSheetId="3">#REF!</definedName>
    <definedName name="str">#REF!</definedName>
    <definedName name="STU" localSheetId="3" hidden="1">{#N/A,#N/A,FALSE,"TABLE"}</definedName>
    <definedName name="STU" hidden="1">{#N/A,#N/A,FALSE,"TABLE"}</definedName>
    <definedName name="SUB" localSheetId="3">#REF!</definedName>
    <definedName name="SUB">#REF!</definedName>
    <definedName name="sum" hidden="1">{#N/A,#N/A,TRUE,"Basic";#N/A,#N/A,TRUE,"EXT-TABLE";#N/A,#N/A,TRUE,"STEEL";#N/A,#N/A,TRUE,"INT-Table";#N/A,#N/A,TRUE,"STEEL";#N/A,#N/A,TRUE,"Door"}</definedName>
    <definedName name="sum_1" hidden="1">{#N/A,#N/A,TRUE,"Basic";#N/A,#N/A,TRUE,"EXT-TABLE";#N/A,#N/A,TRUE,"STEEL";#N/A,#N/A,TRUE,"INT-Table";#N/A,#N/A,TRUE,"STEEL";#N/A,#N/A,TRUE,"Door"}</definedName>
    <definedName name="SUMARY" localSheetId="3">#REF!</definedName>
    <definedName name="SUMARY">#REF!</definedName>
    <definedName name="summary" localSheetId="3">#REF!</definedName>
    <definedName name="summary" hidden="1">'[61]#REF'!$B$5</definedName>
    <definedName name="sumpreview" localSheetId="3">#REF!</definedName>
    <definedName name="sumpreview">#REF!</definedName>
    <definedName name="SUMPREVIEWS" localSheetId="3">#REF!</definedName>
    <definedName name="SUMPREVIEWS">#REF!</definedName>
    <definedName name="süpürgelik"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üpürgelik"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urf_Area">#N/A</definedName>
    <definedName name="SUS">[60]작성기준!$C$20</definedName>
    <definedName name="SW" hidden="1">'[138]#REF'!$1:$26</definedName>
    <definedName name="SYS" localSheetId="3">#REF!</definedName>
    <definedName name="SYS">#REF!</definedName>
    <definedName name="t" localSheetId="3">#REF!</definedName>
    <definedName name="T">#N/A</definedName>
    <definedName name="T_2">#N/A</definedName>
    <definedName name="T_3">#N/A</definedName>
    <definedName name="T_4">#N/A</definedName>
    <definedName name="T1_">#N/A</definedName>
    <definedName name="T10M" localSheetId="3">#REF!</definedName>
    <definedName name="T10M">#REF!</definedName>
    <definedName name="T10P" localSheetId="3">#REF!</definedName>
    <definedName name="T10P">#REF!</definedName>
    <definedName name="T11M" localSheetId="3">#REF!</definedName>
    <definedName name="T11M">#REF!</definedName>
    <definedName name="T11P" localSheetId="3">#REF!</definedName>
    <definedName name="T11P">#REF!</definedName>
    <definedName name="T12M" localSheetId="3">#REF!</definedName>
    <definedName name="T12M">#REF!</definedName>
    <definedName name="T12P" localSheetId="3">#REF!</definedName>
    <definedName name="T12P">#REF!</definedName>
    <definedName name="T13M" localSheetId="3">#REF!</definedName>
    <definedName name="T13M">#REF!</definedName>
    <definedName name="T13P" localSheetId="3">#REF!</definedName>
    <definedName name="T13P">#REF!</definedName>
    <definedName name="T14M" localSheetId="3">#REF!</definedName>
    <definedName name="T14M">#REF!</definedName>
    <definedName name="T14P" localSheetId="3">#REF!</definedName>
    <definedName name="T14P">#REF!</definedName>
    <definedName name="T15M" localSheetId="3">#REF!</definedName>
    <definedName name="T15M">#REF!</definedName>
    <definedName name="T15P" localSheetId="3">#REF!</definedName>
    <definedName name="T15P">#REF!</definedName>
    <definedName name="T16M" localSheetId="3">#REF!</definedName>
    <definedName name="T16M">#REF!</definedName>
    <definedName name="T16P" localSheetId="3">#REF!</definedName>
    <definedName name="T16P">#REF!</definedName>
    <definedName name="T17M" localSheetId="3">#REF!</definedName>
    <definedName name="T17M">#REF!</definedName>
    <definedName name="T17P" localSheetId="3">#REF!</definedName>
    <definedName name="T17P">#REF!</definedName>
    <definedName name="T18M" localSheetId="3">#REF!</definedName>
    <definedName name="T18M">#REF!</definedName>
    <definedName name="T18P" localSheetId="3">#REF!</definedName>
    <definedName name="T18P">#REF!</definedName>
    <definedName name="T19M" localSheetId="3">#REF!</definedName>
    <definedName name="T19M">#REF!</definedName>
    <definedName name="T19P" localSheetId="3">#REF!</definedName>
    <definedName name="T19P">#REF!</definedName>
    <definedName name="T1E" localSheetId="3">#REF!</definedName>
    <definedName name="T1E">#REF!</definedName>
    <definedName name="T1M" localSheetId="3">#REF!</definedName>
    <definedName name="T1M">#REF!</definedName>
    <definedName name="T1P" localSheetId="3">#REF!</definedName>
    <definedName name="T1P">#REF!</definedName>
    <definedName name="T2_">#N/A</definedName>
    <definedName name="T20M" localSheetId="3">#REF!</definedName>
    <definedName name="T20M">#REF!</definedName>
    <definedName name="T20P" localSheetId="3">#REF!</definedName>
    <definedName name="T20P">#REF!</definedName>
    <definedName name="T21M" localSheetId="3">#REF!</definedName>
    <definedName name="T21M">#REF!</definedName>
    <definedName name="T21P" localSheetId="3">#REF!</definedName>
    <definedName name="T21P">#REF!</definedName>
    <definedName name="T22E" localSheetId="3">#REF!</definedName>
    <definedName name="T22E">#REF!</definedName>
    <definedName name="T23M" localSheetId="3">#REF!</definedName>
    <definedName name="T23M">#REF!</definedName>
    <definedName name="T23P" localSheetId="3">#REF!</definedName>
    <definedName name="T23P">#REF!</definedName>
    <definedName name="T24M" localSheetId="3">#REF!</definedName>
    <definedName name="T24M">#REF!</definedName>
    <definedName name="T24P" localSheetId="3">#REF!</definedName>
    <definedName name="T24P">#REF!</definedName>
    <definedName name="T2E" localSheetId="3">#REF!</definedName>
    <definedName name="T2E">#REF!</definedName>
    <definedName name="T2M" localSheetId="3">#REF!</definedName>
    <definedName name="T2M">#REF!</definedName>
    <definedName name="T2P" localSheetId="3">#REF!</definedName>
    <definedName name="T2P">#REF!</definedName>
    <definedName name="T3_">#N/A</definedName>
    <definedName name="T3P" localSheetId="3">#REF!</definedName>
    <definedName name="T3P">#REF!</definedName>
    <definedName name="T4_">#N/A</definedName>
    <definedName name="T4M" localSheetId="3">#REF!</definedName>
    <definedName name="T4M">#REF!</definedName>
    <definedName name="T4P" localSheetId="3">#REF!</definedName>
    <definedName name="T4P">#REF!</definedName>
    <definedName name="T5M" localSheetId="3">#REF!</definedName>
    <definedName name="T5M">#REF!</definedName>
    <definedName name="T5P" localSheetId="3">#REF!</definedName>
    <definedName name="T5P">#REF!</definedName>
    <definedName name="T6M" localSheetId="3">#REF!</definedName>
    <definedName name="T6M">#REF!</definedName>
    <definedName name="T6P" localSheetId="3">#REF!</definedName>
    <definedName name="T6P">#REF!</definedName>
    <definedName name="T7M" localSheetId="3">#REF!</definedName>
    <definedName name="T7M">#REF!</definedName>
    <definedName name="T7P" localSheetId="3">#REF!</definedName>
    <definedName name="T7P">#REF!</definedName>
    <definedName name="T8M" localSheetId="3">#REF!</definedName>
    <definedName name="T8M">#REF!</definedName>
    <definedName name="T8P" localSheetId="3">#REF!</definedName>
    <definedName name="T8P">#REF!</definedName>
    <definedName name="T9M" localSheetId="3">#REF!</definedName>
    <definedName name="T9M">#REF!</definedName>
    <definedName name="T9P" localSheetId="3">#REF!</definedName>
    <definedName name="T9P">#REF!</definedName>
    <definedName name="Table" localSheetId="17">#REF!</definedName>
    <definedName name="Table" localSheetId="15">#REF!</definedName>
    <definedName name="Table" localSheetId="3">#REF!</definedName>
    <definedName name="Table">#REF!</definedName>
    <definedName name="Table_14_01" localSheetId="3">#REF!</definedName>
    <definedName name="Table_14_01">#REF!</definedName>
    <definedName name="Table_14_02" localSheetId="3">#REF!</definedName>
    <definedName name="Table_14_02">#REF!</definedName>
    <definedName name="Table_14_03" localSheetId="3">#REF!</definedName>
    <definedName name="Table_14_03">#REF!</definedName>
    <definedName name="Table_14_04" localSheetId="3">#REF!</definedName>
    <definedName name="Table_14_04">#REF!</definedName>
    <definedName name="Table_14_05" localSheetId="3">#REF!</definedName>
    <definedName name="Table_14_05">#REF!</definedName>
    <definedName name="Table_14_06" localSheetId="3">#REF!</definedName>
    <definedName name="Table_14_06">#REF!</definedName>
    <definedName name="Table_14_07" localSheetId="3">#REF!</definedName>
    <definedName name="Table_14_07">#REF!</definedName>
    <definedName name="Table_14_13" localSheetId="3">#REF!</definedName>
    <definedName name="Table_14_13">#REF!</definedName>
    <definedName name="Table_14_14" localSheetId="3">#REF!</definedName>
    <definedName name="Table_14_14">#REF!</definedName>
    <definedName name="Table1" localSheetId="17">#REF!</definedName>
    <definedName name="Table1" localSheetId="15">#REF!</definedName>
    <definedName name="Table1" localSheetId="3">#REF!</definedName>
    <definedName name="Table1">#REF!</definedName>
    <definedName name="TableSummary" hidden="1">#REF!</definedName>
    <definedName name="tablo_3" hidden="1">#REF!</definedName>
    <definedName name="tablo2" hidden="1">'[139]TABLO-3'!$B$6:$B$6</definedName>
    <definedName name="TARIK" hidden="1">'[140]TABLO-3'!$B$4:$B$4</definedName>
    <definedName name="TARIK1" hidden="1">'[140]TABLO-3'!$B$5:$B$5</definedName>
    <definedName name="TARIK3" hidden="1">'[140]TABLO-3'!$B$6:$B$6</definedName>
    <definedName name="TARIK4" hidden="1">'[140]TABLO-3'!$B$7:$B$7</definedName>
    <definedName name="TARIK5" hidden="1">'[140]TABLO-3'!$B$8:$B$8</definedName>
    <definedName name="TARIK6" hidden="1">'[140]TABLO-3'!$A$4:$A$8</definedName>
    <definedName name="taşımak" localSheetId="3" hidden="1">{#N/A,#N/A,FALSE,"Çaykara ataköy (1)";#N/A,#N/A,FALSE,"Çaykara ataköy (2)";#N/A,#N/A,FALSE,"Rize Kalkandere ";#N/A,#N/A,FALSE,"meydancık";#N/A,#N/A,FALSE,"muratlı"}</definedName>
    <definedName name="taşımak" hidden="1">{#N/A,#N/A,FALSE,"Çaykara ataköy (1)";#N/A,#N/A,FALSE,"Çaykara ataköy (2)";#N/A,#N/A,FALSE,"Rize Kalkandere ";#N/A,#N/A,FALSE,"meydancık";#N/A,#N/A,FALSE,"muratlı"}</definedName>
    <definedName name="TAUX">[124]Taux!$C$13:$K$121</definedName>
    <definedName name="taux_devise">[141]rates!$A$4:$I$9</definedName>
    <definedName name="TAX" localSheetId="3">#REF!</definedName>
    <definedName name="TAX">#REF!</definedName>
    <definedName name="taxtabl">[137]Sheet4!$A$20:$D$31</definedName>
    <definedName name="taxtable">[137]Sheet4!$A$20:$D$31</definedName>
    <definedName name="TB">#REF!</definedName>
    <definedName name="TC">8.5</definedName>
    <definedName name="tck" localSheetId="3" hidden="1">{#N/A,#N/A,FALSE,"Çaykara ataköy (1)";#N/A,#N/A,FALSE,"Çaykara ataköy (2)";#N/A,#N/A,FALSE,"Rize Kalkandere ";#N/A,#N/A,FALSE,"meydancık";#N/A,#N/A,FALSE,"muratlı"}</definedName>
    <definedName name="tck" hidden="1">{#N/A,#N/A,FALSE,"Çaykara ataköy (1)";#N/A,#N/A,FALSE,"Çaykara ataköy (2)";#N/A,#N/A,FALSE,"Rize Kalkandere ";#N/A,#N/A,FALSE,"meydancık";#N/A,#N/A,FALSE,"muratlı"}</definedName>
    <definedName name="TCN">[103]직원동원SCH!$D1:[103]직원동원SCH!#REF!</definedName>
    <definedName name="tdyu" localSheetId="3" hidden="1">{#N/A,#N/A,FALSE,"Çaykara ataköy (1)";#N/A,#N/A,FALSE,"Çaykara ataköy (2)";#N/A,#N/A,FALSE,"Rize Kalkandere ";#N/A,#N/A,FALSE,"meydancık";#N/A,#N/A,FALSE,"muratlı"}</definedName>
    <definedName name="tdyu" hidden="1">{#N/A,#N/A,FALSE,"Çaykara ataköy (1)";#N/A,#N/A,FALSE,"Çaykara ataköy (2)";#N/A,#N/A,FALSE,"Rize Kalkandere ";#N/A,#N/A,FALSE,"meydancık";#N/A,#N/A,FALSE,"muratlı"}</definedName>
    <definedName name="TEE" localSheetId="3">#REF!</definedName>
    <definedName name="TEE">#REF!</definedName>
    <definedName name="tefe" hidden="1">'[142]TABLO-3'!$B$4:$B$4</definedName>
    <definedName name="tefe1" hidden="1">'[142]TABLO-3'!$B$4:$B$4</definedName>
    <definedName name="tefemayıs" hidden="1">'[142]TABLO-3'!$B$7:$B$7</definedName>
    <definedName name="teklifler" localSheetId="3" hidden="1">{#N/A,#N/A,FALSE,"Çaykara ataköy (1)";#N/A,#N/A,FALSE,"Çaykara ataköy (2)";#N/A,#N/A,FALSE,"Rize Kalkandere ";#N/A,#N/A,FALSE,"meydancık";#N/A,#N/A,FALSE,"muratlı"}</definedName>
    <definedName name="teklifler" hidden="1">{#N/A,#N/A,FALSE,"Çaykara ataköy (1)";#N/A,#N/A,FALSE,"Çaykara ataköy (2)";#N/A,#N/A,FALSE,"Rize Kalkandere ";#N/A,#N/A,FALSE,"meydancık";#N/A,#N/A,FALSE,"muratlı"}</definedName>
    <definedName name="temp" localSheetId="0">BlankMacro1</definedName>
    <definedName name="temp" localSheetId="2">BlankMacro1</definedName>
    <definedName name="temp" localSheetId="17">BlankMacro1</definedName>
    <definedName name="temp" localSheetId="15">BlankMacro1</definedName>
    <definedName name="temp" localSheetId="4">{"'장비'!$A$3:$M$12"}</definedName>
    <definedName name="temp" localSheetId="3">#REF!</definedName>
    <definedName name="temp">BlankMacro1</definedName>
    <definedName name="TEMP_FACILITIES">'[90]TEMPORARY FACILITIES'!$A$19:$W$58</definedName>
    <definedName name="TEMP_FACILITIES_COLUMN">'[90]TEMPORARY FACILITIES'!$A$1:$Z$1</definedName>
    <definedName name="TEMP_FACILITIES_EX">'[90]TEMPORARY FACILITIES'!$E$19:$W$58</definedName>
    <definedName name="TEMP_FACILITIES_EX_COLUMN">'[90]TEMPORARY FACILITIES'!$E$1:$W$1</definedName>
    <definedName name="Temp_Facility_Total_Cost_FC">[143]RFP007!$L$45</definedName>
    <definedName name="temp_strainer" localSheetId="3">#REF!</definedName>
    <definedName name="temp_strainer">#REF!</definedName>
    <definedName name="temp2" localSheetId="0">BlankMacro1</definedName>
    <definedName name="temp2" localSheetId="2">BlankMacro1</definedName>
    <definedName name="temp2" localSheetId="17">BlankMacro1</definedName>
    <definedName name="temp2" localSheetId="15">BlankMacro1</definedName>
    <definedName name="temp2" localSheetId="3">#REF!</definedName>
    <definedName name="temp2">BlankMacro1</definedName>
    <definedName name="TEMPERATURE">[120]Information!$C$24</definedName>
    <definedName name="temporary10" localSheetId="3" hidden="1">{#N/A,#N/A,FALSE,"이태원철근"}</definedName>
    <definedName name="temporary10" hidden="1">{#N/A,#N/A,FALSE,"이태원철근"}</definedName>
    <definedName name="temporary11" localSheetId="3" hidden="1">{#N/A,#N/A,FALSE,"TABLE"}</definedName>
    <definedName name="temporary11" hidden="1">{#N/A,#N/A,FALSE,"TABLE"}</definedName>
    <definedName name="teri" hidden="1">{#N/A,#N/A,TRUE,"Basic";#N/A,#N/A,TRUE,"EXT-TABLE";#N/A,#N/A,TRUE,"STEEL";#N/A,#N/A,TRUE,"INT-Table";#N/A,#N/A,TRUE,"STEEL";#N/A,#N/A,TRUE,"Door"}</definedName>
    <definedName name="TERVAL">[130]RIEP!$H$5</definedName>
    <definedName name="TEST" localSheetId="3" hidden="1">{#N/A,#N/A,FALSE,"Çaykara ataköy (1)";#N/A,#N/A,FALSE,"Çaykara ataköy (2)";#N/A,#N/A,FALSE,"Rize Kalkandere ";#N/A,#N/A,FALSE,"meydancık";#N/A,#N/A,FALSE,"muratlı"}</definedName>
    <definedName name="test">#REF!</definedName>
    <definedName name="TextRefCopyRangeCount" hidden="1">1</definedName>
    <definedName name="tg" hidden="1">{"LKD",#N/A,FALSE,"표지"}</definedName>
    <definedName name="tha">{"'Sheet1'!$L$16"}</definedName>
    <definedName name="THA_">#REF!</definedName>
    <definedName name="THK" localSheetId="3">#REF!</definedName>
    <definedName name="THK">#REF!</definedName>
    <definedName name="Thk__mm" localSheetId="3">0.02466*#REF!*(#REF!-#REF!)</definedName>
    <definedName name="Thk__mm">0.02466*#REF!*(#REF!-#REF!)</definedName>
    <definedName name="TI_CLAD" hidden="1">{#N/A,#N/A,FALSE,"Sheet1"}</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meext" hidden="1">{#N/A,#N/A,FALSE,"TABLE"}</definedName>
    <definedName name="TIT" localSheetId="3">#REF!</definedName>
    <definedName name="TIT">#REF!</definedName>
    <definedName name="title" localSheetId="3">#REF!</definedName>
    <definedName name="TITLE" hidden="1">{#N/A,#N/A,TRUE,"Basic";#N/A,#N/A,TRUE,"EXT-TABLE";#N/A,#N/A,TRUE,"STEEL";#N/A,#N/A,TRUE,"INT-Table";#N/A,#N/A,TRUE,"STEEL";#N/A,#N/A,TRUE,"Door"}</definedName>
    <definedName name="TITLE1" localSheetId="3">#REF!</definedName>
    <definedName name="TITLE1">#REF!</definedName>
    <definedName name="TLS" hidden="1">{"LKD",#N/A,FALSE,"표지"}</definedName>
    <definedName name="TNTN" localSheetId="3" hidden="1">{#N/A,#N/A,FALSE,"TABLE"}</definedName>
    <definedName name="TNTN" hidden="1">{#N/A,#N/A,FALSE,"TABLE"}</definedName>
    <definedName name="to" localSheetId="3">#REF!</definedName>
    <definedName name="to">#REF!</definedName>
    <definedName name="TOIYO" localSheetId="3" hidden="1">{#N/A,#N/A,FALSE,"TABLE"}</definedName>
    <definedName name="TOIYO" hidden="1">{#N/A,#N/A,FALSE,"TABLE"}</definedName>
    <definedName name="TOL" localSheetId="3">#REF!</definedName>
    <definedName name="TOL">#REF!</definedName>
    <definedName name="tonyaiskend." localSheetId="3" hidden="1">{#N/A,#N/A,FALSE,"Çaykara ataköy (1)";#N/A,#N/A,FALSE,"Çaykara ataköy (2)";#N/A,#N/A,FALSE,"Rize Kalkandere ";#N/A,#N/A,FALSE,"meydancık";#N/A,#N/A,FALSE,"muratlı"}</definedName>
    <definedName name="tonyaiskend." hidden="1">{#N/A,#N/A,FALSE,"Çaykara ataköy (1)";#N/A,#N/A,FALSE,"Çaykara ataköy (2)";#N/A,#N/A,FALSE,"Rize Kalkandere ";#N/A,#N/A,FALSE,"meydancık";#N/A,#N/A,FALSE,"muratlı"}</definedName>
    <definedName name="TOOL" localSheetId="3">#REF!</definedName>
    <definedName name="TOOL">#REF!</definedName>
    <definedName name="TOOL장" localSheetId="3">BlankMacro1</definedName>
    <definedName name="TOOL장">BlankMacro1</definedName>
    <definedName name="TOTAL" localSheetId="3">SUM(#REF!)</definedName>
    <definedName name="TOTAL">[103]직원동원SCH!$D$16:[103]직원동원SCH!#REF!</definedName>
    <definedName name="total_c" localSheetId="3">#REF!</definedName>
    <definedName name="total_c">#REF!</definedName>
    <definedName name="total_num" localSheetId="3">#REF!</definedName>
    <definedName name="total_num">#REF!</definedName>
    <definedName name="Total_Price_CPSstd">[144]NEWCPS!$CI$279</definedName>
    <definedName name="total_qty" localSheetId="3">#REF!</definedName>
    <definedName name="total_qty">#REF!</definedName>
    <definedName name="total_unit" localSheetId="3">#REF!</definedName>
    <definedName name="total_unit">#REF!</definedName>
    <definedName name="totalcost">'[145]FDM TOT'!$C$1:$AB$75,'[145]FDM TOT'!$C$76:$AB$144</definedName>
    <definedName name="TotalWt" localSheetId="3">IF(ISNA(#REF!),IF(ISNA(#REF!),#REF!,#REF!),#REF!)*#REF!</definedName>
    <definedName name="TotalWt">IF(ISNA(#REF!),IF(ISNA(#REF!),#REF!,#REF!),#REF!)*#REF!</definedName>
    <definedName name="TOTBM">[146]TOTAL!$F$8:$H$95</definedName>
    <definedName name="tr" localSheetId="3" hidden="1">{#N/A,#N/A,FALSE,"Çaykara ataköy (1)";#N/A,#N/A,FALSE,"Çaykara ataköy (2)";#N/A,#N/A,FALSE,"Rize Kalkandere ";#N/A,#N/A,FALSE,"meydancık";#N/A,#N/A,FALSE,"muratlı"}</definedName>
    <definedName name="tr" hidden="1">{#N/A,#N/A,FALSE,"Çaykara ataköy (1)";#N/A,#N/A,FALSE,"Çaykara ataköy (2)";#N/A,#N/A,FALSE,"Rize Kalkandere ";#N/A,#N/A,FALSE,"meydancık";#N/A,#N/A,FALSE,"muratlı"}</definedName>
    <definedName name="TRAY" localSheetId="3">#REF!</definedName>
    <definedName name="TRAY">#REF!</definedName>
    <definedName name="trjgfcjgfj" hidden="1">[15]공통비총괄표!#REF!</definedName>
    <definedName name="TRRUYTR" localSheetId="3" hidden="1">{#N/A,#N/A,FALSE,"TABLE"}</definedName>
    <definedName name="TRRUYTR" hidden="1">{#N/A,#N/A,FALSE,"TABLE"}</definedName>
    <definedName name="tt" localSheetId="3" hidden="1">{#N/A,#N/A,FALSE,"TABLE"}</definedName>
    <definedName name="TT">'[134]97년 SEACO예산'!$D$16:$T$110</definedName>
    <definedName name="TTA">'[87]간접비(1)'!$AE$41</definedName>
    <definedName name="TTB">'[87]간접비(1)'!$AF$41</definedName>
    <definedName name="TTDI" localSheetId="3">#REF!</definedName>
    <definedName name="TTDI">#REF!</definedName>
    <definedName name="TTL">[147]Sheet1!$1:$4</definedName>
    <definedName name="TTMH" localSheetId="3">#REF!</definedName>
    <definedName name="TTMH">#REF!</definedName>
    <definedName name="TTMT" localSheetId="3">#REF!</definedName>
    <definedName name="TTMT">#REF!</definedName>
    <definedName name="ttt" localSheetId="3">#REF!</definedName>
    <definedName name="ttt">#REF!</definedName>
    <definedName name="TTWT" localSheetId="3">#REF!</definedName>
    <definedName name="TTWT">#REF!</definedName>
    <definedName name="TTX">'[87]간접비(1)'!$AD$41</definedName>
    <definedName name="tube_test_press1_12" localSheetId="3">#REF!</definedName>
    <definedName name="tube_test_press1_12">#REF!</definedName>
    <definedName name="tutanak" localSheetId="3" hidden="1">{#N/A,#N/A,FALSE,"Çaykara ataköy (1)";#N/A,#N/A,FALSE,"Çaykara ataköy (2)";#N/A,#N/A,FALSE,"Rize Kalkandere ";#N/A,#N/A,FALSE,"meydancık";#N/A,#N/A,FALSE,"muratlı"}</definedName>
    <definedName name="tutanak" hidden="1">{#N/A,#N/A,FALSE,"Çaykara ataköy (1)";#N/A,#N/A,FALSE,"Çaykara ataköy (2)";#N/A,#N/A,FALSE,"Rize Kalkandere ";#N/A,#N/A,FALSE,"meydancık";#N/A,#N/A,FALSE,"muratlı"}</definedName>
    <definedName name="TW">#REF!</definedName>
    <definedName name="TX" localSheetId="3">#REF!</definedName>
    <definedName name="TX">#REF!</definedName>
    <definedName name="ty">{"'장비'!$A$3:$M$12"}</definedName>
    <definedName name="Type" localSheetId="3">#REF!</definedName>
    <definedName name="Type">#REF!</definedName>
    <definedName name="TYPE10" localSheetId="3">#REF!</definedName>
    <definedName name="TYPE10">#REF!</definedName>
    <definedName name="TYPELIST" localSheetId="3">#REF!</definedName>
    <definedName name="TYPELIST">#REF!</definedName>
    <definedName name="TYT" localSheetId="3" hidden="1">{#N/A,#N/A,FALSE,"TABLE"}</definedName>
    <definedName name="tyt">{"'장비'!$A$3:$M$12"}</definedName>
    <definedName name="tyyuy">{"'장비'!$A$3:$M$12"}</definedName>
    <definedName name="U">'[87]간접비(1)'!$AE$13</definedName>
    <definedName name="UD" localSheetId="3">#REF!</definedName>
    <definedName name="UD">#REF!</definedName>
    <definedName name="ue____I¨￡">#N/A</definedName>
    <definedName name="ue____Iª">#N/A</definedName>
    <definedName name="ùê____Íª">#N/A</definedName>
    <definedName name="ughuigjih" localSheetId="3">#REF!</definedName>
    <definedName name="ughuigjih">#REF!</definedName>
    <definedName name="UGP">#N/A</definedName>
    <definedName name="UGUR" localSheetId="3" hidden="1">{#N/A,#N/A,FALSE,"ihz. icmal";#N/A,#N/A,FALSE,"avans";#N/A,#N/A,FALSE,"mal_FF_icm";#N/A,#N/A,FALSE,"fat_ihz";#N/A,#N/A,FALSE,"söz_fiy_fark";#N/A,#N/A,FALSE,"kap2"}</definedName>
    <definedName name="UGUR" hidden="1">{#N/A,#N/A,FALSE,"ihz. icmal";#N/A,#N/A,FALSE,"avans";#N/A,#N/A,FALSE,"mal_FF_icm";#N/A,#N/A,FALSE,"fat_ihz";#N/A,#N/A,FALSE,"söz_fiy_fark";#N/A,#N/A,FALSE,"kap2"}</definedName>
    <definedName name="uhuihuhuihu" localSheetId="3">#REF!</definedName>
    <definedName name="uhuihuhuihu">#REF!</definedName>
    <definedName name="uhyui" localSheetId="3">#REF!</definedName>
    <definedName name="uhyui">#REF!</definedName>
    <definedName name="ui">{"'장비'!$A$3:$M$12"}</definedName>
    <definedName name="uihuihu" localSheetId="3">#REF!</definedName>
    <definedName name="uihuihu">#REF!</definedName>
    <definedName name="uihuihui" localSheetId="3">#REF!</definedName>
    <definedName name="uihuihui">#REF!</definedName>
    <definedName name="uık" localSheetId="3" hidden="1">{#N/A,#N/A,FALSE,"ihz. icmal";#N/A,#N/A,FALSE,"avans";#N/A,#N/A,FALSE,"mal_FF_icm";#N/A,#N/A,FALSE,"fat_ihz";#N/A,#N/A,FALSE,"söz_fiy_fark";#N/A,#N/A,FALSE,"kap2"}</definedName>
    <definedName name="uık" hidden="1">{#N/A,#N/A,FALSE,"ihz. icmal";#N/A,#N/A,FALSE,"avans";#N/A,#N/A,FALSE,"mal_FF_icm";#N/A,#N/A,FALSE,"fat_ihz";#N/A,#N/A,FALSE,"söz_fiy_fark";#N/A,#N/A,FALSE,"kap2"}</definedName>
    <definedName name="uioioioio" localSheetId="3">#REF!</definedName>
    <definedName name="uioioioio">#REF!</definedName>
    <definedName name="uiooio" localSheetId="3">#REF!</definedName>
    <definedName name="uiooio">#REF!</definedName>
    <definedName name="uiouiio" localSheetId="3">#REF!</definedName>
    <definedName name="uiouiio">#REF!</definedName>
    <definedName name="uiuihuh" localSheetId="3">#REF!</definedName>
    <definedName name="uiuihuh">#REF!</definedName>
    <definedName name="uiuihuu" localSheetId="3">#REF!</definedName>
    <definedName name="uiuihuu">#REF!</definedName>
    <definedName name="uiuiouiop" localSheetId="3">#REF!</definedName>
    <definedName name="uiuiouiop">#REF!</definedName>
    <definedName name="uiuiuihu" localSheetId="3">#REF!</definedName>
    <definedName name="uiuiuihu">#REF!</definedName>
    <definedName name="UJDH" localSheetId="3"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kfreight" localSheetId="3">#REF!</definedName>
    <definedName name="ukfreight">#REF!</definedName>
    <definedName name="ul" localSheetId="3">#REF!</definedName>
    <definedName name="ul">#REF!</definedName>
    <definedName name="umatl" localSheetId="3">#REF!</definedName>
    <definedName name="umatl">#REF!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ON" localSheetId="3">#REF!</definedName>
    <definedName name="UNION">#REF!</definedName>
    <definedName name="UNIT" localSheetId="3">#REF!</definedName>
    <definedName name="UNIT">#REF!</definedName>
    <definedName name="Unit100" localSheetId="3">#REF!</definedName>
    <definedName name="Unit100">#REF!</definedName>
    <definedName name="Unit101" localSheetId="3">#REF!</definedName>
    <definedName name="Unit101">#REF!</definedName>
    <definedName name="Unit102" localSheetId="3">#REF!</definedName>
    <definedName name="Unit102">#REF!</definedName>
    <definedName name="Unit103" localSheetId="3">#REF!</definedName>
    <definedName name="Unit103">#REF!</definedName>
    <definedName name="Unit106" localSheetId="3">#REF!</definedName>
    <definedName name="Unit106">#REF!</definedName>
    <definedName name="Unit107" localSheetId="3">#REF!</definedName>
    <definedName name="Unit107">#REF!</definedName>
    <definedName name="Unit108" localSheetId="3">#REF!</definedName>
    <definedName name="Unit108">#REF!</definedName>
    <definedName name="Unit109" localSheetId="3">#REF!</definedName>
    <definedName name="Unit109">#REF!</definedName>
    <definedName name="Unit110" localSheetId="3">#REF!</definedName>
    <definedName name="Unit110">#REF!</definedName>
    <definedName name="Unit111" localSheetId="3">#REF!</definedName>
    <definedName name="Unit111">#REF!</definedName>
    <definedName name="Unit113" localSheetId="3">#REF!</definedName>
    <definedName name="Unit113">#REF!</definedName>
    <definedName name="Unit120" localSheetId="3">#REF!</definedName>
    <definedName name="Unit120">#REF!</definedName>
    <definedName name="Unit121" localSheetId="3">#REF!</definedName>
    <definedName name="Unit121">#REF!</definedName>
    <definedName name="Unit125" localSheetId="3">#REF!</definedName>
    <definedName name="Unit125">#REF!</definedName>
    <definedName name="Unit126" localSheetId="3">#REF!</definedName>
    <definedName name="Unit126">#REF!</definedName>
    <definedName name="Unit129" localSheetId="3">#REF!</definedName>
    <definedName name="Unit129">#REF!</definedName>
    <definedName name="Unit130" localSheetId="3">#REF!</definedName>
    <definedName name="Unit130">#REF!</definedName>
    <definedName name="Unit131" localSheetId="3">#REF!</definedName>
    <definedName name="Unit131">#REF!</definedName>
    <definedName name="Unit140" localSheetId="3">#REF!</definedName>
    <definedName name="Unit140">#REF!</definedName>
    <definedName name="Unit142" localSheetId="3">#REF!</definedName>
    <definedName name="Unit142">#REF!</definedName>
    <definedName name="Unit143" localSheetId="3">#REF!</definedName>
    <definedName name="Unit143">#REF!</definedName>
    <definedName name="Unit145" localSheetId="3">#REF!</definedName>
    <definedName name="Unit145">#REF!</definedName>
    <definedName name="Unit147" localSheetId="3">#REF!</definedName>
    <definedName name="Unit147">#REF!</definedName>
    <definedName name="Unit148" localSheetId="3">#REF!</definedName>
    <definedName name="Unit148">#REF!</definedName>
    <definedName name="Unit160" localSheetId="3">#REF!</definedName>
    <definedName name="Unit160">#REF!</definedName>
    <definedName name="UNITE1">"Texte 159"</definedName>
    <definedName name="UNITE2">"Texte 160"</definedName>
    <definedName name="UnitPrice">#REF!</definedName>
    <definedName name="ünsal"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ünsa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P_1">#REF!</definedName>
    <definedName name="UP_2">#REF!</definedName>
    <definedName name="UP_3">#REF!</definedName>
    <definedName name="UP_total">#REF!</definedName>
    <definedName name="üqşj" localSheetId="3" hidden="1">{#N/A,#N/A,FALSE,"Çaykara ataköy (1)";#N/A,#N/A,FALSE,"Çaykara ataköy (2)";#N/A,#N/A,FALSE,"Rize Kalkandere ";#N/A,#N/A,FALSE,"meydancık";#N/A,#N/A,FALSE,"muratlı"}</definedName>
    <definedName name="üqşj" hidden="1">{#N/A,#N/A,FALSE,"Çaykara ataköy (1)";#N/A,#N/A,FALSE,"Çaykara ataköy (2)";#N/A,#N/A,FALSE,"Rize Kalkandere ";#N/A,#N/A,FALSE,"meydancık";#N/A,#N/A,FALSE,"muratlı"}</definedName>
    <definedName name="ur" localSheetId="3">#REF!</definedName>
    <definedName name="ur">#REF!</definedName>
    <definedName name="urea" localSheetId="3">#REF!</definedName>
    <definedName name="urea">#REF!</definedName>
    <definedName name="US">[106]Factor!$B$41</definedName>
    <definedName name="USD" localSheetId="3">#REF!</definedName>
    <definedName name="USD">'[46]Ex-Rate'!$C$16</definedName>
    <definedName name="usddha" localSheetId="3">#REF!</definedName>
    <definedName name="usddha">#REF!</definedName>
    <definedName name="usdkrw" localSheetId="3">#REF!</definedName>
    <definedName name="usdkrw">#REF!</definedName>
    <definedName name="UTIL" hidden="1">{"MAN H.O.",#N/A,FALSE,"tabella"}</definedName>
    <definedName name="utility_num" localSheetId="3">#REF!</definedName>
    <definedName name="utility_num">#REF!</definedName>
    <definedName name="UTM" localSheetId="3" hidden="1">{#N/A,#N/A,FALSE,"TABLE"}</definedName>
    <definedName name="UTM" hidden="1">{#N/A,#N/A,FALSE,"TABLE"}</definedName>
    <definedName name="UTotal" localSheetId="3">SUM(#REF!)</definedName>
    <definedName name="UTotal">SUM(#REF!)</definedName>
    <definedName name="uu" hidden="1">{"LKD",#N/A,FALSE,"표지"}</definedName>
    <definedName name="uu8uiou" localSheetId="3">#REF!</definedName>
    <definedName name="uu8uiou">#REF!</definedName>
    <definedName name="uuihuihuih" localSheetId="3">#REF!</definedName>
    <definedName name="uuihuihuih">#REF!</definedName>
    <definedName name="uuiiuu" localSheetId="3">#REF!</definedName>
    <definedName name="uuiiuu">#REF!</definedName>
    <definedName name="uuiuihhui" localSheetId="3">#REF!</definedName>
    <definedName name="uuiuihhui">#REF!</definedName>
    <definedName name="UUU" localSheetId="3" hidden="1">{#N/A,#N/A,FALSE,"CCTV"}</definedName>
    <definedName name="UUU" hidden="1">{#N/A,#N/A,FALSE,"CCTV"}</definedName>
    <definedName name="uuuio" localSheetId="3">#REF!</definedName>
    <definedName name="uuuio">#REF!</definedName>
    <definedName name="uuuuu" hidden="1">{#N/A,#N/A,FALSE,"TABLE"}</definedName>
    <definedName name="uuuuuu">{"'장비'!$A$3:$M$12"}</definedName>
    <definedName name="uuyttt" hidden="1">{#N/A,#N/A,FALSE,"TABLE"}</definedName>
    <definedName name="UWT" localSheetId="3">#REF!</definedName>
    <definedName name="UWT">#REF!</definedName>
    <definedName name="uy">{"'장비'!$A$3:$M$12"}</definedName>
    <definedName name="uy89uu8" localSheetId="3">#REF!</definedName>
    <definedName name="uy89uu8">#REF!</definedName>
    <definedName name="uyedgnhgdf" hidden="1">#REF!</definedName>
    <definedName name="UYI" localSheetId="3" hidden="1">{#N/A,#N/A,FALSE,"elk_iç_er";#N/A,#N/A,FALSE,"elk_iç_tut";#N/A,#N/A,FALSE,"elk_iç_ihz"}</definedName>
    <definedName name="UYI" hidden="1">{#N/A,#N/A,FALSE,"elk_iç_er";#N/A,#N/A,FALSE,"elk_iç_tut";#N/A,#N/A,FALSE,"elk_iç_ihz"}</definedName>
    <definedName name="uyuy" localSheetId="3" hidden="1">{#N/A,#N/A,FALSE,"M.F.F.İCMALİ";#N/A,#N/A,FALSE,"MFF HESAP TAB";#N/A,#N/A,FALSE,"AKARY.MİK";#N/A,#N/A,FALSE,"AKARY.TUTANAĞI";#N/A,#N/A,FALSE,"MOTORİN";#N/A,#N/A,FALSE," TAB ÇİM PÇ425";#N/A,#N/A,FALSE,"ÇİM. MİK PÇ-425";#N/A,#N/A,FALSE,"DEMİR";#N/A,#N/A,FALSE," TAB demir"}</definedName>
    <definedName name="uyuy" hidden="1">{#N/A,#N/A,FALSE,"M.F.F.İCMALİ";#N/A,#N/A,FALSE,"MFF HESAP TAB";#N/A,#N/A,FALSE,"AKARY.MİK";#N/A,#N/A,FALSE,"AKARY.TUTANAĞI";#N/A,#N/A,FALSE,"MOTORİN";#N/A,#N/A,FALSE," TAB ÇİM PÇ425";#N/A,#N/A,FALSE,"ÇİM. MİK PÇ-425";#N/A,#N/A,FALSE,"DEMİR";#N/A,#N/A,FALSE," TAB demir"}</definedName>
    <definedName name="U형_측구" localSheetId="3">#REF!</definedName>
    <definedName name="U형_측구">#REF!</definedName>
    <definedName name="U형측구" localSheetId="3">#REF!</definedName>
    <definedName name="U형측구">#REF!</definedName>
    <definedName name="van" localSheetId="3" hidden="1">{#N/A,#N/A,FALSE,"Çaykara ataköy (1)";#N/A,#N/A,FALSE,"Çaykara ataköy (2)";#N/A,#N/A,FALSE,"Rize Kalkandere ";#N/A,#N/A,FALSE,"meydancık";#N/A,#N/A,FALSE,"muratlı"}</definedName>
    <definedName name="van" hidden="1">{#N/A,#N/A,FALSE,"Çaykara ataköy (1)";#N/A,#N/A,FALSE,"Çaykara ataköy (2)";#N/A,#N/A,FALSE,"Rize Kalkandere ";#N/A,#N/A,FALSE,"meydancık";#N/A,#N/A,FALSE,"muratlı"}</definedName>
    <definedName name="VAR_ACCOMMODATION" xml:space="preserve"> {"MANAGER","CHIEF","SENIOR","JUNIOR","K-SKLD","T-SKLD","T-UNSKLD","-"}</definedName>
    <definedName name="VAR_CATEGORY" xml:space="preserve"> {"STAFF","INDIRECT","DIRECT"}</definedName>
    <definedName name="VAR_DISCIPLINE_LEVEL1" xml:space="preserve"> {"PROJECT MANAGEMENT","PROJECT CONTROL","ADMINISTRATION","CONSTRUCTION","PRE-COMMISSIONING","DETAIL ENGINEERING","FIELD ENGINEERING","PROCUREMENT","HSE","QA/QC","INTERFACE","SEOUL OFFICE","AL KHOBAR OFFICE","-"}</definedName>
    <definedName name="VAR_DISCIPLINE_LEVEL2" xml:space="preserve"> {"EQUIPMENT ERECTION","FIELD TANK ERECTION","STEEL STRUCTURE","PIPING","INSULATION","PAINTING","FIRE PROOFING","CIVIL","ARCHITECTURE","HVAC","ELECTRICAL","INSTRUMENT","SCAFFOLDING","PRE-COMMISSIONIG","MATERIAL HANDLING","TEMPORARY FACILITIES","-"}</definedName>
    <definedName name="VAR_LOCATION" xml:space="preserve"> {"TRNS","S","A","-","-","SITE","-"}</definedName>
    <definedName name="VAR_NATION" xml:space="preserve"> {"KOR","EUR","TCN","LOC","-"}</definedName>
    <definedName name="VAR_PARTY" xml:space="preserve"> {"HDEC","HEC","JCBS","-"}</definedName>
    <definedName name="VAR_PC_PAYMENT" xml:space="preserve"> {"PAYED","NOT"}</definedName>
    <definedName name="VAR_POSITION" xml:space="preserve"> {"SM","SB","SBD","BJ","BD","CJ","GJ","DR","4SW","TCN-H","TCN-M","TCN-L","HY","AR","-"}</definedName>
    <definedName name="VB" localSheetId="3" hidden="1">{#N/A,#N/A,FALSE,"이태원철근"}</definedName>
    <definedName name="VB" hidden="1">{#N/A,#N/A,FALSE,"이태원철근"}</definedName>
    <definedName name="VBN" localSheetId="3" hidden="1">{#N/A,#N/A,FALSE,"이태원철근"}</definedName>
    <definedName name="VBN" hidden="1">{#N/A,#N/A,FALSE,"이태원철근"}</definedName>
    <definedName name="VC" hidden="1">#REF!</definedName>
    <definedName name="VC1a8.98">'[148]VC2 8.98'!$BN$187</definedName>
    <definedName name="vcxb" localSheetId="3" hidden="1">{#N/A,#N/A,FALSE,"Çaykara ataköy (1)";#N/A,#N/A,FALSE,"Çaykara ataköy (2)";#N/A,#N/A,FALSE,"Rize Kalkandere ";#N/A,#N/A,FALSE,"meydancık";#N/A,#N/A,FALSE,"muratlı"}</definedName>
    <definedName name="vcxb" hidden="1">{#N/A,#N/A,FALSE,"Çaykara ataköy (1)";#N/A,#N/A,FALSE,"Çaykara ataköy (2)";#N/A,#N/A,FALSE,"Rize Kalkandere ";#N/A,#N/A,FALSE,"meydancık";#N/A,#N/A,FALSE,"muratlı"}</definedName>
    <definedName name="Vente">[149]base!$B$76:$F$148,[149]base!$Y$76:$AF$148</definedName>
    <definedName name="VERIFIE1">"Texte 165"</definedName>
    <definedName name="VERIFIE2">"Texte 177"</definedName>
    <definedName name="VERIFIE3">"Texte 171"</definedName>
    <definedName name="VERIFIE4">"Texte 183"</definedName>
    <definedName name="vessel_type">'[106]Shipping Cost'!$AV$3:$AZ$3</definedName>
    <definedName name="VEVE" localSheetId="3" hidden="1">{#N/A,#N/A,FALSE,"TABLE"}</definedName>
    <definedName name="VEVE" hidden="1">{#N/A,#N/A,FALSE,"TABLE"}</definedName>
    <definedName name="vffsfs" localSheetId="3" hidden="1">{#N/A,#N/A,TRUE,"Basic";#N/A,#N/A,TRUE,"EXT-TABLE";#N/A,#N/A,TRUE,"STEEL";#N/A,#N/A,TRUE,"INT-Table";#N/A,#N/A,TRUE,"STEEL";#N/A,#N/A,TRUE,"Door"}</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hj" hidden="1">{#N/A,#N/A,TRUE,"Basic";#N/A,#N/A,TRUE,"EXT-TABLE";#N/A,#N/A,TRUE,"STEEL";#N/A,#N/A,TRUE,"INT-Table";#N/A,#N/A,TRUE,"STEEL";#N/A,#N/A,TRUE,"Door"}</definedName>
    <definedName name="vfrgh" hidden="1">{#N/A,#N/A,TRUE,"Basic";#N/A,#N/A,TRUE,"EXT-TABLE";#N/A,#N/A,TRUE,"STEEL";#N/A,#N/A,TRUE,"INT-Table";#N/A,#N/A,TRUE,"STEEL";#N/A,#N/A,TRUE,"Door"}</definedName>
    <definedName name="VMB3MCAP" localSheetId="3">#REF!</definedName>
    <definedName name="VMB3MCAP">#REF!</definedName>
    <definedName name="VMB3MELBOW" localSheetId="3">#REF!</definedName>
    <definedName name="VMB3MELBOW">#REF!</definedName>
    <definedName name="VMB3MTEE" localSheetId="3">#REF!</definedName>
    <definedName name="VMB3MTEE">#REF!</definedName>
    <definedName name="VMB3MVALVE" localSheetId="3">#REF!</definedName>
    <definedName name="VMB3MVALVE">#REF!</definedName>
    <definedName name="VMB3RED" localSheetId="3">#REF!</definedName>
    <definedName name="VMB3RED">#REF!</definedName>
    <definedName name="VMB3SCAP" localSheetId="3">#REF!</definedName>
    <definedName name="VMB3SCAP">#REF!</definedName>
    <definedName name="VMB3SELBOW" localSheetId="3">#REF!</definedName>
    <definedName name="VMB3SELBOW">#REF!</definedName>
    <definedName name="VMB3STEE" localSheetId="3">#REF!</definedName>
    <definedName name="VMB3STEE">#REF!</definedName>
    <definedName name="VMB3SVALVE" localSheetId="3">#REF!</definedName>
    <definedName name="VMB3SVALVE">#REF!</definedName>
    <definedName name="VMB4MCAP" localSheetId="3">#REF!</definedName>
    <definedName name="VMB4MCAP">#REF!</definedName>
    <definedName name="VMB4MELBOW" localSheetId="3">#REF!</definedName>
    <definedName name="VMB4MELBOW">#REF!</definedName>
    <definedName name="VMB4MTEE" localSheetId="3">#REF!</definedName>
    <definedName name="VMB4MTEE">#REF!</definedName>
    <definedName name="VMB4MVALVE" localSheetId="3">#REF!</definedName>
    <definedName name="VMB4MVALVE">#REF!</definedName>
    <definedName name="VMB4RED" localSheetId="3">#REF!</definedName>
    <definedName name="VMB4RED">#REF!</definedName>
    <definedName name="VMB4SCAP" localSheetId="3">#REF!</definedName>
    <definedName name="VMB4SCAP">#REF!</definedName>
    <definedName name="VMB4SELBOW" localSheetId="3">#REF!</definedName>
    <definedName name="VMB4SELBOW">#REF!</definedName>
    <definedName name="VMB4STEE" localSheetId="3">#REF!</definedName>
    <definedName name="VMB4STEE">#REF!</definedName>
    <definedName name="VMB4SVALVE" localSheetId="3">#REF!</definedName>
    <definedName name="VMB4SVALVE">#REF!</definedName>
    <definedName name="VRVR" localSheetId="3" hidden="1">{#N/A,#N/A,FALSE,"TABLE"}</definedName>
    <definedName name="VRVR" hidden="1">{#N/A,#N/A,FALSE,"TABLE"}</definedName>
    <definedName name="vv" localSheetId="3" hidden="1">{#N/A,#N/A,FALSE,"kap1";#N/A,#N/A,FALSE,"kap2";#N/A,#N/A,FALSE,"tem_mektubu";#N/A,#N/A,FALSE,"avans";#N/A,#N/A,FALSE,"söz_fiy_fark";#N/A,#N/A,FALSE,"fat_ihz"}</definedName>
    <definedName name="vv">{"'장비'!$A$3:$M$12"}</definedName>
    <definedName name="vv_1" localSheetId="3" hidden="1">{#N/A,#N/A,FALSE,"kap1";#N/A,#N/A,FALSE,"kap2";#N/A,#N/A,FALSE,"tem_mektubu";#N/A,#N/A,FALSE,"avans";#N/A,#N/A,FALSE,"söz_fiy_fark";#N/A,#N/A,FALSE,"fat_ihz"}</definedName>
    <definedName name="vv_1" hidden="1">{#N/A,#N/A,FALSE,"kap1";#N/A,#N/A,FALSE,"kap2";#N/A,#N/A,FALSE,"tem_mektubu";#N/A,#N/A,FALSE,"avans";#N/A,#N/A,FALSE,"söz_fiy_fark";#N/A,#N/A,FALSE,"fat_ihz"}</definedName>
    <definedName name="VVVV" localSheetId="3" hidden="1">{#N/A,#N/A,FALSE,"TABLE"}</definedName>
    <definedName name="VVVV" hidden="1">{#N/A,#N/A,FALSE,"TABLE"}</definedName>
    <definedName name="VWX" localSheetId="3" hidden="1">{#N/A,#N/A,FALSE,"TABLE"}</definedName>
    <definedName name="VWX" hidden="1">{#N/A,#N/A,FALSE,"TABLE"}</definedName>
    <definedName name="VX" localSheetId="3" hidden="1">#REF!</definedName>
    <definedName name="VX" hidden="1">#REF!</definedName>
    <definedName name="VZX" localSheetId="3" hidden="1">{#N/A,#N/A,FALSE,"TABLE"}</definedName>
    <definedName name="VZX" hidden="1">{#N/A,#N/A,FALSE,"TABLE"}</definedName>
    <definedName name="V형_측구" localSheetId="3">#REF!</definedName>
    <definedName name="V형_측구">#REF!</definedName>
    <definedName name="V형측구" localSheetId="3">#REF!</definedName>
    <definedName name="V형측구">#REF!</definedName>
    <definedName name="W" hidden="1">{#N/A,#N/A,TRUE,"Basic";#N/A,#N/A,TRUE,"EXT-TABLE";#N/A,#N/A,TRUE,"STEEL";#N/A,#N/A,TRUE,"INT-Table";#N/A,#N/A,TRUE,"STEEL";#N/A,#N/A,TRUE,"Door"}</definedName>
    <definedName name="w_1" localSheetId="3" hidden="1">{#N/A,#N/A,FALSE,"B1";#N/A,#N/A,FALSE,"B2";#N/A,#N/A,FALSE,"B3";#N/A,#N/A,FALSE,"B4";#N/A,#N/A,FALSE,"B5";#N/A,#N/A,FALSE,"B6";#N/A,#N/A,FALSE,"B7";#N/A,#N/A,FALSE,"B8";#N/A,#N/A,FALSE,"B9";#N/A,#N/A,FALSE,"B10";#N/A,#N/A,FALSE,"B11";#N/A,#N/A,FALSE,"B12";#N/A,#N/A,FALSE,"B13";#N/A,#N/A,FALSE,"B14";#N/A,#N/A,FALSE,"B15";#N/A,#N/A,FALSE,"B16"}</definedName>
    <definedName name="w_1" hidden="1">{#N/A,#N/A,FALSE,"B1";#N/A,#N/A,FALSE,"B2";#N/A,#N/A,FALSE,"B3";#N/A,#N/A,FALSE,"B4";#N/A,#N/A,FALSE,"B5";#N/A,#N/A,FALSE,"B6";#N/A,#N/A,FALSE,"B7";#N/A,#N/A,FALSE,"B8";#N/A,#N/A,FALSE,"B9";#N/A,#N/A,FALSE,"B10";#N/A,#N/A,FALSE,"B11";#N/A,#N/A,FALSE,"B12";#N/A,#N/A,FALSE,"B13";#N/A,#N/A,FALSE,"B14";#N/A,#N/A,FALSE,"B15";#N/A,#N/A,FALSE,"B16"}</definedName>
    <definedName name="WAGE" localSheetId="3">#REF!</definedName>
    <definedName name="WAGE">#REF!</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TER_CAMP">'[90]WATER SUPPLY'!$A$60:$K$68</definedName>
    <definedName name="WATER_SITE">'[90]WATER SUPPLY'!$A$39:$K$47</definedName>
    <definedName name="WCCWS" localSheetId="3" hidden="1">{#N/A,#N/A,FALSE,"TABLE"}</definedName>
    <definedName name="WCCWS" hidden="1">{#N/A,#N/A,FALSE,"TABLE"}</definedName>
    <definedName name="weight" localSheetId="3">#REF!</definedName>
    <definedName name="weight">#REF!</definedName>
    <definedName name="WEJA" localSheetId="3" hidden="1">{#N/A,#N/A,FALSE,"TABLE"}</definedName>
    <definedName name="WEJA" hidden="1">{#N/A,#N/A,FALSE,"TABLE"}</definedName>
    <definedName name="weka" localSheetId="3" hidden="1">{#N/A,#N/A,FALSE,"TABLE"}</definedName>
    <definedName name="weka" hidden="1">{#N/A,#N/A,FALSE,"TABLE"}</definedName>
    <definedName name="weki_9701.xls" localSheetId="3" hidden="1">'[2]Eq. Mobilization'!#REF!</definedName>
    <definedName name="weki_9701.xls" hidden="1">'[3]#REF'!#REF!</definedName>
    <definedName name="wekir9701.xls" localSheetId="3" hidden="1">'[2]Eq. Mobilization'!#REF!</definedName>
    <definedName name="wekir9701.xls" hidden="1">'[3]#REF'!#REF!</definedName>
    <definedName name="WELFARE_INDIRECT">'[59]WELFARE COST - SITE'!$E$22:$AB$25</definedName>
    <definedName name="WELFARE_LABOR">'[59]WELFARE COST - SITE'!$E$26:$AB$28</definedName>
    <definedName name="WELFARE_STAFF">'[59]WELFARE COST - SITE'!$E$18:$AB$21</definedName>
    <definedName name="wer" localSheetId="3" hidden="1">{#N/A,#N/A,FALSE,"TABLE"}</definedName>
    <definedName name="wer" hidden="1">{#N/A,#N/A,FALSE,"TABLE"}</definedName>
    <definedName name="WETO" localSheetId="3" hidden="1">{#N/A,#N/A,FALSE,"TABLE"}</definedName>
    <definedName name="WETO" hidden="1">{#N/A,#N/A,FALSE,"TABLE"}</definedName>
    <definedName name="wew" hidden="1">[150]현금흐름표!$F$45</definedName>
    <definedName name="WINWIN" localSheetId="3" hidden="1">{#N/A,#N/A,FALSE,"TABLE"}</definedName>
    <definedName name="WINWIN" hidden="1">{#N/A,#N/A,FALSE,"TABLE"}</definedName>
    <definedName name="wjs">{"'장비'!$A$3:$M$12"}</definedName>
    <definedName name="wm.조골재1" localSheetId="3" hidden="1">{#N/A,#N/A,FALSE,"조골재"}</definedName>
    <definedName name="wm.조골재1" hidden="1">{#N/A,#N/A,FALSE,"조골재"}</definedName>
    <definedName name="WOL" localSheetId="3">#REF!</definedName>
    <definedName name="WOL">#REF!</definedName>
    <definedName name="WON">'[46]Ex-Rate'!$C$10</definedName>
    <definedName name="WON_USD">[133]환율!$G$21</definedName>
    <definedName name="WORKSHOP" hidden="1">{#N/A,#N/A,TRUE,"Basic";#N/A,#N/A,TRUE,"EXT-TABLE";#N/A,#N/A,TRUE,"STEEL";#N/A,#N/A,TRUE,"INT-Table";#N/A,#N/A,TRUE,"STEEL";#N/A,#N/A,TRUE,"Door"}</definedName>
    <definedName name="WORKSHOP_1" hidden="1">{#N/A,#N/A,TRUE,"Basic";#N/A,#N/A,TRUE,"EXT-TABLE";#N/A,#N/A,TRUE,"STEEL";#N/A,#N/A,TRUE,"INT-Table";#N/A,#N/A,TRUE,"STEEL";#N/A,#N/A,TRUE,"Door"}</definedName>
    <definedName name="WR">37.76</definedName>
    <definedName name="WRITE" localSheetId="3" hidden="1">{#N/A,#N/A,FALSE,"CCTV"}</definedName>
    <definedName name="WRITE" hidden="1">{#N/A,#N/A,FALSE,"CCTV"}</definedName>
    <definedName name="WRN" hidden="1">{#N/A,#N/A,FALSE,"CCTV"}</definedName>
    <definedName name="wrn.2번." localSheetId="3" hidden="1">{#N/A,#N/A,FALSE,"2~8번"}</definedName>
    <definedName name="wrn.2번." hidden="1">{#N/A,#N/A,FALSE,"2~8번"}</definedName>
    <definedName name="wrn.97." hidden="1">{#N/A,#N/A,FALSE,"지침";#N/A,#N/A,FALSE,"환경분석";#N/A,#N/A,FALSE,"Sheet16"}</definedName>
    <definedName name="WRN.98." hidden="1">{#N/A,#N/A,FALSE,"지침";#N/A,#N/A,FALSE,"환경분석";#N/A,#N/A,FALSE,"Sheet16"}</definedName>
    <definedName name="wrn.age._.ihzarat." localSheetId="3" hidden="1">{#N/A,#N/A,FALSE,"ihz. icmal";#N/A,#N/A,FALSE,"avans";#N/A,#N/A,FALSE,"mal_FF_icm";#N/A,#N/A,FALSE,"fat_ihz";#N/A,#N/A,FALSE,"söz_fiy_fark";#N/A,#N/A,FALSE,"kap2"}</definedName>
    <definedName name="wrn.age._.ihzarat." hidden="1">{#N/A,#N/A,FALSE,"ihz. icmal";#N/A,#N/A,FALSE,"avans";#N/A,#N/A,FALSE,"mal_FF_icm";#N/A,#N/A,FALSE,"fat_ihz";#N/A,#N/A,FALSE,"söz_fiy_fark";#N/A,#N/A,FALSE,"kap2"}</definedName>
    <definedName name="wrn.age._.imalat."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raba." localSheetId="3" hidden="1">{#N/A,#N/A,FALSE,"yazı";#N/A,#N/A,FALSE,"ödeme cet.";#N/A,#N/A,FALSE,"hak.rap.(iç)";#N/A,#N/A,FALSE,"y.def.(iç)";#N/A,#N/A,FALSE,"y.def.(kapak)";#N/A,#N/A,FALSE,"puvantajlar";#N/A,#N/A,FALSE,"işe baş.tut."}</definedName>
    <definedName name="wrn.araba." hidden="1">{#N/A,#N/A,FALSE,"yazı";#N/A,#N/A,FALSE,"ödeme cet.";#N/A,#N/A,FALSE,"hak.rap.(iç)";#N/A,#N/A,FALSE,"y.def.(iç)";#N/A,#N/A,FALSE,"y.def.(kapak)";#N/A,#N/A,FALSE,"puvantajlar";#N/A,#N/A,FALSE,"işe baş.tut."}</definedName>
    <definedName name="wrn.bakı.xla." localSheetId="3" hidden="1">{#N/A,#N/A,FALSE,"Çaykara ataköy (1)";#N/A,#N/A,FALSE,"Çaykara ataköy (2)";#N/A,#N/A,FALSE,"Rize Kalkandere ";#N/A,#N/A,FALSE,"meydancık";#N/A,#N/A,FALSE,"muratlı"}</definedName>
    <definedName name="wrn.bakı.xla." hidden="1">{#N/A,#N/A,FALSE,"Çaykara ataköy (1)";#N/A,#N/A,FALSE,"Çaykara ataköy (2)";#N/A,#N/A,FALSE,"Rize Kalkandere ";#N/A,#N/A,FALSE,"meydancık";#N/A,#N/A,FALSE,"muratlı"}</definedName>
    <definedName name="wrn.BETON." localSheetId="3" hidden="1">{#N/A,#N/A,FALSE,"B1";#N/A,#N/A,FALSE,"B2";#N/A,#N/A,FALSE,"B3";#N/A,#N/A,FALSE,"B4";#N/A,#N/A,FALSE,"B5";#N/A,#N/A,FALSE,"B6";#N/A,#N/A,FALSE,"B7";#N/A,#N/A,FALSE,"B8";#N/A,#N/A,FALSE,"B9";#N/A,#N/A,FALSE,"B10";#N/A,#N/A,FALSE,"B11";#N/A,#N/A,FALSE,"B12";#N/A,#N/A,FALSE,"B13";#N/A,#N/A,FALSE,"B14";#N/A,#N/A,FALSE,"B15";#N/A,#N/A,FALSE,"B16"}</definedName>
    <definedName name="wrn.BETON." hidden="1">{#N/A,#N/A,FALSE,"B1";#N/A,#N/A,FALSE,"B2";#N/A,#N/A,FALSE,"B3";#N/A,#N/A,FALSE,"B4";#N/A,#N/A,FALSE,"B5";#N/A,#N/A,FALSE,"B6";#N/A,#N/A,FALSE,"B7";#N/A,#N/A,FALSE,"B8";#N/A,#N/A,FALSE,"B9";#N/A,#N/A,FALSE,"B10";#N/A,#N/A,FALSE,"B11";#N/A,#N/A,FALSE,"B12";#N/A,#N/A,FALSE,"B13";#N/A,#N/A,FALSE,"B14";#N/A,#N/A,FALSE,"B15";#N/A,#N/A,FALSE,"B16"}</definedName>
    <definedName name="wrn.BETON._1" localSheetId="3" hidden="1">{#N/A,#N/A,FALSE,"B1";#N/A,#N/A,FALSE,"B2";#N/A,#N/A,FALSE,"B3";#N/A,#N/A,FALSE,"B4";#N/A,#N/A,FALSE,"B5";#N/A,#N/A,FALSE,"B6";#N/A,#N/A,FALSE,"B7";#N/A,#N/A,FALSE,"B8";#N/A,#N/A,FALSE,"B9";#N/A,#N/A,FALSE,"B10";#N/A,#N/A,FALSE,"B11";#N/A,#N/A,FALSE,"B12";#N/A,#N/A,FALSE,"B13";#N/A,#N/A,FALSE,"B14";#N/A,#N/A,FALSE,"B15";#N/A,#N/A,FALSE,"B16"}</definedName>
    <definedName name="wrn.BETON._1" hidden="1">{#N/A,#N/A,FALSE,"B1";#N/A,#N/A,FALSE,"B2";#N/A,#N/A,FALSE,"B3";#N/A,#N/A,FALSE,"B4";#N/A,#N/A,FALSE,"B5";#N/A,#N/A,FALSE,"B6";#N/A,#N/A,FALSE,"B7";#N/A,#N/A,FALSE,"B8";#N/A,#N/A,FALSE,"B9";#N/A,#N/A,FALSE,"B10";#N/A,#N/A,FALSE,"B11";#N/A,#N/A,FALSE,"B12";#N/A,#N/A,FALSE,"B13";#N/A,#N/A,FALSE,"B14";#N/A,#N/A,FALSE,"B15";#N/A,#N/A,FALSE,"B16"}</definedName>
    <definedName name="wrn.BIMAL." localSheetId="3" hidden="1">{#N/A,#N/A,FALSE,"BRIM_ICMAL";#N/A,#N/A,FALSE,"ASE_KUR";#N/A,#N/A,FALSE,"ASE_YES";#N/A,#N/A,FALSE,"AM_KUR";#N/A,#N/A,FALSE,"AMU_YES";#N/A,#N/A,FALSE,"PAR_KUR";#N/A,#N/A,FALSE,"PAR_YES";#N/A,#N/A,FALSE,"YSE_KUR";#N/A,#N/A,FALSE,"YSE_YES";#N/A,#N/A,FALSE,"YMU_KUR";#N/A,#N/A,FALSE,"YM_YES"}</definedName>
    <definedName name="wrn.BIMAL." hidden="1">{#N/A,#N/A,FALSE,"BRIM_ICMAL";#N/A,#N/A,FALSE,"ASE_KUR";#N/A,#N/A,FALSE,"ASE_YES";#N/A,#N/A,FALSE,"AM_KUR";#N/A,#N/A,FALSE,"AMU_YES";#N/A,#N/A,FALSE,"PAR_KUR";#N/A,#N/A,FALSE,"PAR_YES";#N/A,#N/A,FALSE,"YSE_KUR";#N/A,#N/A,FALSE,"YSE_YES";#N/A,#N/A,FALSE,"YMU_KUR";#N/A,#N/A,FALSE,"YM_YES"}</definedName>
    <definedName name="wrn.BIMAL._1" localSheetId="3" hidden="1">{#N/A,#N/A,FALSE,"BRIM_ICMAL";#N/A,#N/A,FALSE,"ASE_KUR";#N/A,#N/A,FALSE,"ASE_YES";#N/A,#N/A,FALSE,"AM_KUR";#N/A,#N/A,FALSE,"AMU_YES";#N/A,#N/A,FALSE,"PAR_KUR";#N/A,#N/A,FALSE,"PAR_YES";#N/A,#N/A,FALSE,"YSE_KUR";#N/A,#N/A,FALSE,"YSE_YES";#N/A,#N/A,FALSE,"YMU_KUR";#N/A,#N/A,FALSE,"YM_YES"}</definedName>
    <definedName name="wrn.BIMAL._1" hidden="1">{#N/A,#N/A,FALSE,"BRIM_ICMAL";#N/A,#N/A,FALSE,"ASE_KUR";#N/A,#N/A,FALSE,"ASE_YES";#N/A,#N/A,FALSE,"AM_KUR";#N/A,#N/A,FALSE,"AMU_YES";#N/A,#N/A,FALSE,"PAR_KUR";#N/A,#N/A,FALSE,"PAR_YES";#N/A,#N/A,FALSE,"YSE_KUR";#N/A,#N/A,FALSE,"YSE_YES";#N/A,#N/A,FALSE,"YMU_KUR";#N/A,#N/A,FALSE,"YM_YES"}</definedName>
    <definedName name="wrn.BM." localSheetId="3" hidden="1">{#N/A,#N/A,TRUE,"Basic";#N/A,#N/A,TRUE,"EXT-TABLE";#N/A,#N/A,TRUE,"STEEL";#N/A,#N/A,TRUE,"INT-Table";#N/A,#N/A,TRUE,"STEEL";#N/A,#N/A,TRUE,"Door"}</definedName>
    <definedName name="wrn.BM." hidden="1">{#N/A,#N/A,FALSE,"CCTV"}</definedName>
    <definedName name="wrn.BM._1" hidden="1">{#N/A,#N/A,TRUE,"Basic";#N/A,#N/A,TRUE,"EXT-TABLE";#N/A,#N/A,TRUE,"STEEL";#N/A,#N/A,TRUE,"INT-Table";#N/A,#N/A,TRUE,"STEEL";#N/A,#N/A,TRUE,"Door"}</definedName>
    <definedName name="wrn.book1.xls." localSheetId="3" hidden="1">{#N/A,#N/A,FALSE,"NAKLİYE TABLOLARI";#N/A,#N/A,FALSE,"İTİNERER";#N/A,#N/A,FALSE,"bürükner cetveli";#N/A,#N/A,FALSE,"SANAT YAPILARI";#N/A,#N/A,FALSE,"B.A TABLOLARI";#N/A,#N/A,FALSE,"istinat duv.";#N/A,#N/A,FALSE,"NAKLİYE TABLOLARI"}</definedName>
    <definedName name="wrn.book1.xls." hidden="1">{#N/A,#N/A,FALSE,"NAKLİYE TABLOLARI";#N/A,#N/A,FALSE,"İTİNERER";#N/A,#N/A,FALSE,"bürükner cetveli";#N/A,#N/A,FALSE,"SANAT YAPILARI";#N/A,#N/A,FALSE,"B.A TABLOLARI";#N/A,#N/A,FALSE,"istinat duv.";#N/A,#N/A,FALSE,"NAKLİYE TABLOLARI"}</definedName>
    <definedName name="wrn.budget." localSheetId="3" hidden="1">{"form-D1",#N/A,FALSE,"FORM-D1";"form-D1_amt",#N/A,FALSE,"FORM-D1"}</definedName>
    <definedName name="wrn.budget." hidden="1">{"form-D1",#N/A,FALSE,"FORM-D1";"form-D1_amt",#N/A,FALSE,"FORM-D1"}</definedName>
    <definedName name="wrn.ÇARŞAF." localSheetId="3" hidden="1">{#N/A,#N/A,FALSE,"İÇ TOPRAK";#N/A,#N/A,FALSE,"İÇ SANAT";#N/A,#N/A,FALSE,"İÇ AYASOFYA ";#N/A,#N/A,FALSE,"İÇ AKYAZI";#N/A,#N/A,FALSE,"İÇ BEŞİRLİ";#N/A,#N/A,FALSE,"İÇ HAVAALANI";#N/A,#N/A,FALSE,"İÇ SONDAJ";#N/A,#N/A,FALSE,"İÇ KAMU";#N/A,#N/A,FALSE,"İÇ FAROZ"}</definedName>
    <definedName name="wrn.ÇARŞAF." hidden="1">{#N/A,#N/A,FALSE,"İÇ TOPRAK";#N/A,#N/A,FALSE,"İÇ SANAT";#N/A,#N/A,FALSE,"İÇ AYASOFYA ";#N/A,#N/A,FALSE,"İÇ AKYAZI";#N/A,#N/A,FALSE,"İÇ BEŞİRLİ";#N/A,#N/A,FALSE,"İÇ HAVAALANI";#N/A,#N/A,FALSE,"İÇ SONDAJ";#N/A,#N/A,FALSE,"İÇ KAMU";#N/A,#N/A,FALSE,"İÇ FAROZ"}</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3" hidden="1">{"Cost Summary",#N/A,FALSE,"B";"Cost Detail 1",#N/A,FALSE,"C";"Cost Detail 2",#N/A,FALSE,"C"}</definedName>
    <definedName name="wrn.Cost._.Summary." hidden="1">{"Cost Summary",#N/A,FALSE,"B";"Cost Detail 1",#N/A,FALSE,"C";"Cost Detail 2",#N/A,FALSE,"C"}</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3"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EMIR." localSheetId="3" hidden="1">{#N/A,#N/A,FALSE,"D1";#N/A,#N/A,FALSE,"D2";#N/A,#N/A,FALSE,"D3";#N/A,#N/A,FALSE,"D4";#N/A,#N/A,FALSE,"D5";#N/A,#N/A,FALSE,"D6";#N/A,#N/A,FALSE,"D7";#N/A,#N/A,FALSE,"D8";#N/A,#N/A,FALSE,"D9";#N/A,#N/A,FALSE,"D10";#N/A,#N/A,FALSE,"D11";#N/A,#N/A,FALSE,"D12";#N/A,#N/A,FALSE,"D13";#N/A,#N/A,FALSE,"D14";#N/A,#N/A,FALSE,"D15";#N/A,#N/A,FALSE,"D16"}</definedName>
    <definedName name="wrn.DEMIR." hidden="1">{#N/A,#N/A,FALSE,"D1";#N/A,#N/A,FALSE,"D2";#N/A,#N/A,FALSE,"D3";#N/A,#N/A,FALSE,"D4";#N/A,#N/A,FALSE,"D5";#N/A,#N/A,FALSE,"D6";#N/A,#N/A,FALSE,"D7";#N/A,#N/A,FALSE,"D8";#N/A,#N/A,FALSE,"D9";#N/A,#N/A,FALSE,"D10";#N/A,#N/A,FALSE,"D11";#N/A,#N/A,FALSE,"D12";#N/A,#N/A,FALSE,"D13";#N/A,#N/A,FALSE,"D14";#N/A,#N/A,FALSE,"D15";#N/A,#N/A,FALSE,"D16"}</definedName>
    <definedName name="wrn.DEMIR._1" localSheetId="3" hidden="1">{#N/A,#N/A,FALSE,"D1";#N/A,#N/A,FALSE,"D2";#N/A,#N/A,FALSE,"D3";#N/A,#N/A,FALSE,"D4";#N/A,#N/A,FALSE,"D5";#N/A,#N/A,FALSE,"D6";#N/A,#N/A,FALSE,"D7";#N/A,#N/A,FALSE,"D8";#N/A,#N/A,FALSE,"D9";#N/A,#N/A,FALSE,"D10";#N/A,#N/A,FALSE,"D11";#N/A,#N/A,FALSE,"D12";#N/A,#N/A,FALSE,"D13";#N/A,#N/A,FALSE,"D14";#N/A,#N/A,FALSE,"D15";#N/A,#N/A,FALSE,"D16"}</definedName>
    <definedName name="wrn.DEMIR._1" hidden="1">{#N/A,#N/A,FALSE,"D1";#N/A,#N/A,FALSE,"D2";#N/A,#N/A,FALSE,"D3";#N/A,#N/A,FALSE,"D4";#N/A,#N/A,FALSE,"D5";#N/A,#N/A,FALSE,"D6";#N/A,#N/A,FALSE,"D7";#N/A,#N/A,FALSE,"D8";#N/A,#N/A,FALSE,"D9";#N/A,#N/A,FALSE,"D10";#N/A,#N/A,FALSE,"D11";#N/A,#N/A,FALSE,"D12";#N/A,#N/A,FALSE,"D13";#N/A,#N/A,FALSE,"D14";#N/A,#N/A,FALSE,"D15";#N/A,#N/A,FALSE,"D16"}</definedName>
    <definedName name="wrn.deneme."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wrn.deneme."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wrn.dış."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_1"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_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3"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lektrik_iç." localSheetId="3" hidden="1">{#N/A,#N/A,FALSE,"elk_iç_er";#N/A,#N/A,FALSE,"elk_iç_tut";#N/A,#N/A,FALSE,"elk_iç_ihz"}</definedName>
    <definedName name="wrn.elektrik_iç." hidden="1">{#N/A,#N/A,FALSE,"elk_iç_er";#N/A,#N/A,FALSE,"elk_iç_tut";#N/A,#N/A,FALSE,"elk_iç_ihz"}</definedName>
    <definedName name="wrn.Equipment._.List." localSheetId="3" hidden="1">{#N/A,#N/A,TRUE,"COVERSHEET";#N/A,#N/A,TRUE,"LEGEND";#N/A,#N/A,TRUE,"LIST"}</definedName>
    <definedName name="wrn.Equipment._.List." hidden="1">{#N/A,#N/A,TRUE,"COVERSHEET";#N/A,#N/A,TRUE,"LEGEND";#N/A,#N/A,TRUE,"LIST"}</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gecici." localSheetId="3" hidden="1">{#N/A,#N/A,FALSE,"avans";#N/A,#N/A,FALSE,"teminat_mektubu";#N/A,#N/A,FALSE,"ihz. icmal";#N/A,#N/A,FALSE,"söz_fiy_fark";#N/A,#N/A,FALSE,"kap2";#N/A,#N/A,FALSE,"mal_FF_icm";#N/A,#N/A,FALSE,"kap1"}</definedName>
    <definedName name="wrn.gecici." hidden="1">{#N/A,#N/A,FALSE,"avans";#N/A,#N/A,FALSE,"teminat_mektubu";#N/A,#N/A,FALSE,"ihz. icmal";#N/A,#N/A,FALSE,"söz_fiy_fark";#N/A,#N/A,FALSE,"kap2";#N/A,#N/A,FALSE,"mal_FF_icm";#N/A,#N/A,FALSE,"kap1"}</definedName>
    <definedName name="wrn.GENEL." localSheetId="3" hidden="1">{#N/A,#N/A,FALSE,"kap1";#N/A,#N/A,FALSE,"kap2";#N/A,#N/A,FALSE,"tem_mektubu";#N/A,#N/A,FALSE,"avans";#N/A,#N/A,FALSE,"söz_fiy_fark";#N/A,#N/A,FALSE,"fat_ihz"}</definedName>
    <definedName name="wrn.GENEL." hidden="1">{#N/A,#N/A,FALSE,"kap1";#N/A,#N/A,FALSE,"kap2";#N/A,#N/A,FALSE,"tem_mektubu";#N/A,#N/A,FALSE,"avans";#N/A,#N/A,FALSE,"söz_fiy_fark";#N/A,#N/A,FALSE,"fat_ihz"}</definedName>
    <definedName name="wrn.GENEL._1" localSheetId="3" hidden="1">{#N/A,#N/A,FALSE,"kap1";#N/A,#N/A,FALSE,"kap2";#N/A,#N/A,FALSE,"tem_mektubu";#N/A,#N/A,FALSE,"avans";#N/A,#N/A,FALSE,"söz_fiy_fark";#N/A,#N/A,FALSE,"fat_ihz"}</definedName>
    <definedName name="wrn.GENEL._1" hidden="1">{#N/A,#N/A,FALSE,"kap1";#N/A,#N/A,FALSE,"kap2";#N/A,#N/A,FALSE,"tem_mektubu";#N/A,#N/A,FALSE,"avans";#N/A,#N/A,FALSE,"söz_fiy_fark";#N/A,#N/A,FALSE,"fat_ihz"}</definedName>
    <definedName name="wrn.HAK1." localSheetId="3" hidden="1">{#N/A,#N/A,FALSE,"imalat_kesif";#N/A,#N/A,FALSE,"imalat_seviye";#N/A,#N/A,FALSE,"141";#N/A,#N/A,FALSE,"142";#N/A,#N/A,FALSE,"143";#N/A,#N/A,FALSE,"144";#N/A,#N/A,FALSE,"145";#N/A,#N/A,FALSE,"146";#N/A,#N/A,FALSE,"147";#N/A,#N/A,FALSE,"148";#N/A,#N/A,FALSE,"149"}</definedName>
    <definedName name="wrn.HAK1." hidden="1">{#N/A,#N/A,FALSE,"imalat_kesif";#N/A,#N/A,FALSE,"imalat_seviye";#N/A,#N/A,FALSE,"141";#N/A,#N/A,FALSE,"142";#N/A,#N/A,FALSE,"143";#N/A,#N/A,FALSE,"144";#N/A,#N/A,FALSE,"145";#N/A,#N/A,FALSE,"146";#N/A,#N/A,FALSE,"147";#N/A,#N/A,FALSE,"148";#N/A,#N/A,FALSE,"149"}</definedName>
    <definedName name="wrn.hakkari._.imalat." localSheetId="3"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hzarat."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LAVE._.BETON." localSheetId="3"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BETON."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BETON._1" localSheetId="3"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BETON._1"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DEMIR." localSheetId="3"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LAVE._.DEMIR."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LAVE._.DEMIR._1" localSheetId="3"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LAVE._.DEMIR._1"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NS." localSheetId="3" hidden="1">{#N/A,#N/A,FALSE,"kap2";#N/A,#N/A,FALSE,"tem_mektubu";#N/A,#N/A,FALSE,"söz_fiy_fark";#N/A,#N/A,FALSE,"fat_ihz";#N/A,#N/A,FALSE,"ihz. icmal";#N/A,#N/A,FALSE,"inş_iç_ihz";#N/A,#N/A,FALSE,"inş_iç_tut";#N/A,#N/A,FALSE,"inş_iç_er"}</definedName>
    <definedName name="wrn.INS." hidden="1">{#N/A,#N/A,FALSE,"kap2";#N/A,#N/A,FALSE,"tem_mektubu";#N/A,#N/A,FALSE,"söz_fiy_fark";#N/A,#N/A,FALSE,"fat_ihz";#N/A,#N/A,FALSE,"ihz. icmal";#N/A,#N/A,FALSE,"inş_iç_ihz";#N/A,#N/A,FALSE,"inş_iç_tut";#N/A,#N/A,FALSE,"inş_iç_er"}</definedName>
    <definedName name="wrn.INS._1" localSheetId="3" hidden="1">{#N/A,#N/A,FALSE,"kap2";#N/A,#N/A,FALSE,"tem_mektubu";#N/A,#N/A,FALSE,"söz_fiy_fark";#N/A,#N/A,FALSE,"fat_ihz";#N/A,#N/A,FALSE,"ihz. icmal";#N/A,#N/A,FALSE,"inş_iç_ihz";#N/A,#N/A,FALSE,"inş_iç_tut";#N/A,#N/A,FALSE,"inş_iç_er"}</definedName>
    <definedName name="wrn.INS._1" hidden="1">{#N/A,#N/A,FALSE,"kap2";#N/A,#N/A,FALSE,"tem_mektubu";#N/A,#N/A,FALSE,"söz_fiy_fark";#N/A,#N/A,FALSE,"fat_ihz";#N/A,#N/A,FALSE,"ihz. icmal";#N/A,#N/A,FALSE,"inş_iç_ihz";#N/A,#N/A,FALSE,"inş_iç_tut";#N/A,#N/A,FALSE,"inş_iç_er"}</definedName>
    <definedName name="wrn.insaat_ic." localSheetId="3" hidden="1">{#N/A,#N/A,FALSE,"inş_iç_ihz";#N/A,#N/A,FALSE,"inş_iç_er";#N/A,#N/A,FALSE,"inş_iç_tut"}</definedName>
    <definedName name="wrn.insaat_ic." hidden="1">{#N/A,#N/A,FALSE,"inş_iç_ihz";#N/A,#N/A,FALSE,"inş_iç_er";#N/A,#N/A,FALSE,"inş_iç_tut"}</definedName>
    <definedName name="wrn.istinat." localSheetId="3" hidden="1">{#N/A,#N/A,FALSE,"NF_S1";#N/A,#N/A,FALSE,"İ_100M";#N/A,#N/A,FALSE,"İ_150M";#N/A,#N/A,FALSE,"İ_200M"}</definedName>
    <definedName name="wrn.istinat." hidden="1">{#N/A,#N/A,FALSE,"NF_S1";#N/A,#N/A,FALSE,"İ_100M";#N/A,#N/A,FALSE,"İ_150M";#N/A,#N/A,FALSE,"İ_200M"}</definedName>
    <definedName name="wrn.istinat._1" localSheetId="3" hidden="1">{#N/A,#N/A,FALSE,"NF_S1";#N/A,#N/A,FALSE,"İ_100M";#N/A,#N/A,FALSE,"İ_150M";#N/A,#N/A,FALSE,"İ_200M"}</definedName>
    <definedName name="wrn.istinat._1" hidden="1">{#N/A,#N/A,FALSE,"NF_S1";#N/A,#N/A,FALSE,"İ_100M";#N/A,#N/A,FALSE,"İ_150M";#N/A,#N/A,FALSE,"İ_200M"}</definedName>
    <definedName name="wrn.KAL._.BÜR." localSheetId="3" hidden="1">{#N/A,#N/A,FALSE,"3";#N/A,#N/A,FALSE,"kal_iç_ihz";#N/A,#N/A,FALSE,"kal_iç_er";#N/A,#N/A,FALSE,"kal_iç_tut";#N/A,#N/A,FALSE,"5";#N/A,#N/A,FALSE,"brü_ihz";#N/A,#N/A,FALSE,"brü_er";#N/A,#N/A,FALSE,"brü_tut"}</definedName>
    <definedName name="wrn.KAL._.BÜR." hidden="1">{#N/A,#N/A,FALSE,"3";#N/A,#N/A,FALSE,"kal_iç_ihz";#N/A,#N/A,FALSE,"kal_iç_er";#N/A,#N/A,FALSE,"kal_iç_tut";#N/A,#N/A,FALSE,"5";#N/A,#N/A,FALSE,"brü_ihz";#N/A,#N/A,FALSE,"brü_er";#N/A,#N/A,FALSE,"brü_tut"}</definedName>
    <definedName name="wrn.KAL._.BÜR._1" localSheetId="3" hidden="1">{#N/A,#N/A,FALSE,"3";#N/A,#N/A,FALSE,"kal_iç_ihz";#N/A,#N/A,FALSE,"kal_iç_er";#N/A,#N/A,FALSE,"kal_iç_tut";#N/A,#N/A,FALSE,"5";#N/A,#N/A,FALSE,"brü_ihz";#N/A,#N/A,FALSE,"brü_er";#N/A,#N/A,FALSE,"brü_tut"}</definedName>
    <definedName name="wrn.KAL._.BÜR._1" hidden="1">{#N/A,#N/A,FALSE,"3";#N/A,#N/A,FALSE,"kal_iç_ihz";#N/A,#N/A,FALSE,"kal_iç_er";#N/A,#N/A,FALSE,"kal_iç_tut";#N/A,#N/A,FALSE,"5";#N/A,#N/A,FALSE,"brü_ihz";#N/A,#N/A,FALSE,"brü_er";#N/A,#N/A,FALSE,"brü_tut"}</definedName>
    <definedName name="wrn.kalorifer_ic." localSheetId="3" hidden="1">{#N/A,#N/A,FALSE,"kal_iç_ihz";#N/A,#N/A,FALSE,"kal_iç_er";#N/A,#N/A,FALSE,"kal_iç_tut"}</definedName>
    <definedName name="wrn.kalorifer_ic." hidden="1">{#N/A,#N/A,FALSE,"kal_iç_ihz";#N/A,#N/A,FALSE,"kal_iç_er";#N/A,#N/A,FALSE,"kal_iç_tut"}</definedName>
    <definedName name="wrn.kocoglu._.ihzarat." localSheetId="3"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hzarat."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malat." localSheetId="3"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LISTE_CONSO." hidden="1">{#N/A,#N/A,FALSE,"PageGarde";#N/A,#N/A,FALSE,"Notes";#N/A,#N/A,FALSE,"LCE"}</definedName>
    <definedName name="wrn.maff_report." localSheetId="3" hidden="1">{#N/A,#N/A,FALSE,"maff_h1";#N/A,#N/A,FALSE,"maff_h2";#N/A,#N/A,FALSE,"maff_h3";#N/A,#N/A,FALSE,"maff_h4";#N/A,#N/A,FALSE,"maff_h5";#N/A,#N/A,FALSE,"maff_h6";#N/A,#N/A,FALSE,"maff_h7"}</definedName>
    <definedName name="wrn.maff_report." hidden="1">{#N/A,#N/A,FALSE,"maff_h1";#N/A,#N/A,FALSE,"maff_h2";#N/A,#N/A,FALSE,"maff_h3";#N/A,#N/A,FALSE,"maff_h4";#N/A,#N/A,FALSE,"maff_h5";#N/A,#N/A,FALSE,"maff_h6";#N/A,#N/A,FALSE,"maff_h7"}</definedName>
    <definedName name="wrn.malzeme._.fiyat._.farkı." localSheetId="3" hidden="1">{#N/A,#N/A,FALSE,"M.F.F.İCMALİ";#N/A,#N/A,FALSE,"MFF HESAP TAB";#N/A,#N/A,FALSE,"AKARY.MİK";#N/A,#N/A,FALSE,"AKARY.TUTANAĞI";#N/A,#N/A,FALSE,"MOTORİN";#N/A,#N/A,FALSE," TAB ÇİM PÇ425";#N/A,#N/A,FALSE,"ÇİM. MİK PÇ-425";#N/A,#N/A,FALSE,"DEMİR";#N/A,#N/A,FALSE," TAB demir"}</definedName>
    <definedName name="wrn.malzeme._.fiyat._.farkı." hidden="1">{#N/A,#N/A,FALSE,"M.F.F.İCMALİ";#N/A,#N/A,FALSE,"MFF HESAP TAB";#N/A,#N/A,FALSE,"AKARY.MİK";#N/A,#N/A,FALSE,"AKARY.TUTANAĞI";#N/A,#N/A,FALSE,"MOTORİN";#N/A,#N/A,FALSE," TAB ÇİM PÇ425";#N/A,#N/A,FALSE,"ÇİM. MİK PÇ-425";#N/A,#N/A,FALSE,"DEMİR";#N/A,#N/A,FALSE," TAB demir"}</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KESIF." localSheetId="3" hidden="1">{#N/A,#N/A,TRUE,"İcmal1";#N/A,#N/A,TRUE,"icmal2";#N/A,#N/A,TRUE,"1";#N/A,#N/A,TRUE,"2";#N/A,#N/A,TRUE,"3";#N/A,#N/A,TRUE,"4";#N/A,#N/A,TRUE,"5";#N/A,#N/A,TRUE,"6";#N/A,#N/A,TRUE,"7";#N/A,#N/A,TRUE,"8";#N/A,#N/A,TRUE,"9";#N/A,#N/A,TRUE,"10";#N/A,#N/A,TRUE,"11";#N/A,#N/A,TRUE,"12";#N/A,#N/A,TRUE,"13";#N/A,#N/A,TRUE,"14";#N/A,#N/A,TRUE,"15";#N/A,#N/A,TRUE,"16";#N/A,#N/A,TRUE,"17"}</definedName>
    <definedName name="wrn.MKESIF." hidden="1">{#N/A,#N/A,TRUE,"İcmal1";#N/A,#N/A,TRUE,"icmal2";#N/A,#N/A,TRUE,"1";#N/A,#N/A,TRUE,"2";#N/A,#N/A,TRUE,"3";#N/A,#N/A,TRUE,"4";#N/A,#N/A,TRUE,"5";#N/A,#N/A,TRUE,"6";#N/A,#N/A,TRUE,"7";#N/A,#N/A,TRUE,"8";#N/A,#N/A,TRUE,"9";#N/A,#N/A,TRUE,"10";#N/A,#N/A,TRUE,"11";#N/A,#N/A,TRUE,"12";#N/A,#N/A,TRUE,"13";#N/A,#N/A,TRUE,"14";#N/A,#N/A,TRUE,"15";#N/A,#N/A,TRUE,"16";#N/A,#N/A,TRUE,"17"}</definedName>
    <definedName name="wrn.MKESIF._1" localSheetId="3" hidden="1">{#N/A,#N/A,TRUE,"İcmal1";#N/A,#N/A,TRUE,"icmal2";#N/A,#N/A,TRUE,"1";#N/A,#N/A,TRUE,"2";#N/A,#N/A,TRUE,"3";#N/A,#N/A,TRUE,"4";#N/A,#N/A,TRUE,"5";#N/A,#N/A,TRUE,"6";#N/A,#N/A,TRUE,"7";#N/A,#N/A,TRUE,"8";#N/A,#N/A,TRUE,"9";#N/A,#N/A,TRUE,"10";#N/A,#N/A,TRUE,"11";#N/A,#N/A,TRUE,"12";#N/A,#N/A,TRUE,"13";#N/A,#N/A,TRUE,"14";#N/A,#N/A,TRUE,"15";#N/A,#N/A,TRUE,"16";#N/A,#N/A,TRUE,"17"}</definedName>
    <definedName name="wrn.MKESIF._1" hidden="1">{#N/A,#N/A,TRUE,"İcmal1";#N/A,#N/A,TRUE,"icmal2";#N/A,#N/A,TRUE,"1";#N/A,#N/A,TRUE,"2";#N/A,#N/A,TRUE,"3";#N/A,#N/A,TRUE,"4";#N/A,#N/A,TRUE,"5";#N/A,#N/A,TRUE,"6";#N/A,#N/A,TRUE,"7";#N/A,#N/A,TRUE,"8";#N/A,#N/A,TRUE,"9";#N/A,#N/A,TRUE,"10";#N/A,#N/A,TRUE,"11";#N/A,#N/A,TRUE,"12";#N/A,#N/A,TRUE,"13";#N/A,#N/A,TRUE,"14";#N/A,#N/A,TRUE,"15";#N/A,#N/A,TRUE,"16";#N/A,#N/A,TRUE,"17"}</definedName>
    <definedName name="wrn.mukayese." localSheetId="3" hidden="1">{#N/A,#N/A,FALSE,"İcmal1";#N/A,#N/A,FALSE,"icmal2";#N/A,#N/A,FALSE,"1";#N/A,#N/A,FALSE,"2";#N/A,#N/A,FALSE,"3";#N/A,#N/A,FALSE,"4";#N/A,#N/A,FALSE,"5";#N/A,#N/A,FALSE,"6";#N/A,#N/A,FALSE,"7";#N/A,#N/A,FALSE,"8";#N/A,#N/A,FALSE,"9";#N/A,#N/A,FALSE,"10";#N/A,#N/A,FALSE,"11";#N/A,#N/A,FALSE,"12";#N/A,#N/A,FALSE,"13";#N/A,#N/A,FALSE,"14";#N/A,#N/A,FALSE,"15";#N/A,#N/A,FALSE,"16";#N/A,#N/A,FALSE,"17"}</definedName>
    <definedName name="wrn.mukayese." hidden="1">{#N/A,#N/A,FALSE,"İcmal1";#N/A,#N/A,FALSE,"icmal2";#N/A,#N/A,FALSE,"1";#N/A,#N/A,FALSE,"2";#N/A,#N/A,FALSE,"3";#N/A,#N/A,FALSE,"4";#N/A,#N/A,FALSE,"5";#N/A,#N/A,FALSE,"6";#N/A,#N/A,FALSE,"7";#N/A,#N/A,FALSE,"8";#N/A,#N/A,FALSE,"9";#N/A,#N/A,FALSE,"10";#N/A,#N/A,FALSE,"11";#N/A,#N/A,FALSE,"12";#N/A,#N/A,FALSE,"13";#N/A,#N/A,FALSE,"14";#N/A,#N/A,FALSE,"15";#N/A,#N/A,FALSE,"16";#N/A,#N/A,FALSE,"17"}</definedName>
    <definedName name="wrn.mukayese._1" localSheetId="3" hidden="1">{#N/A,#N/A,FALSE,"İcmal1";#N/A,#N/A,FALSE,"icmal2";#N/A,#N/A,FALSE,"1";#N/A,#N/A,FALSE,"2";#N/A,#N/A,FALSE,"3";#N/A,#N/A,FALSE,"4";#N/A,#N/A,FALSE,"5";#N/A,#N/A,FALSE,"6";#N/A,#N/A,FALSE,"7";#N/A,#N/A,FALSE,"8";#N/A,#N/A,FALSE,"9";#N/A,#N/A,FALSE,"10";#N/A,#N/A,FALSE,"11";#N/A,#N/A,FALSE,"12";#N/A,#N/A,FALSE,"13";#N/A,#N/A,FALSE,"14";#N/A,#N/A,FALSE,"15";#N/A,#N/A,FALSE,"16";#N/A,#N/A,FALSE,"17"}</definedName>
    <definedName name="wrn.mukayese._1" hidden="1">{#N/A,#N/A,FALSE,"İcmal1";#N/A,#N/A,FALSE,"icmal2";#N/A,#N/A,FALSE,"1";#N/A,#N/A,FALSE,"2";#N/A,#N/A,FALSE,"3";#N/A,#N/A,FALSE,"4";#N/A,#N/A,FALSE,"5";#N/A,#N/A,FALSE,"6";#N/A,#N/A,FALSE,"7";#N/A,#N/A,FALSE,"8";#N/A,#N/A,FALSE,"9";#N/A,#N/A,FALSE,"10";#N/A,#N/A,FALSE,"11";#N/A,#N/A,FALSE,"12";#N/A,#N/A,FALSE,"13";#N/A,#N/A,FALSE,"14";#N/A,#N/A,FALSE,"15";#N/A,#N/A,FALSE,"16";#N/A,#N/A,FALSE,"17"}</definedName>
    <definedName name="wrn.müşterek."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usterek_ic." localSheetId="3" hidden="1">{#N/A,#N/A,FALSE,"müş_iç_ihz";#N/A,#N/A,FALSE,"müş_iç_er";#N/A,#N/A,FALSE,"müş_iç_tut"}</definedName>
    <definedName name="wrn.musterek_ic." hidden="1">{#N/A,#N/A,FALSE,"müş_iç_ihz";#N/A,#N/A,FALSE,"müş_iç_er";#N/A,#N/A,FALSE,"müş_iç_tut"}</definedName>
    <definedName name="wrn.nakliye." localSheetId="3" hidden="1">{#N/A,#N/A,FALSE,"NAKLİYE_MESAFE";#N/A,#N/A,FALSE,"NF_01";#N/A,#N/A,FALSE,"NF_02";#N/A,#N/A,FALSE,"NF_03";#N/A,#N/A,FALSE,"NF_04";#N/A,#N/A,FALSE,"NF_05";#N/A,#N/A,FALSE,"NF_06"}</definedName>
    <definedName name="wrn.nakliye." hidden="1">{#N/A,#N/A,FALSE,"NAKLİYE_MESAFE";#N/A,#N/A,FALSE,"NF_01";#N/A,#N/A,FALSE,"NF_02";#N/A,#N/A,FALSE,"NF_03";#N/A,#N/A,FALSE,"NF_04";#N/A,#N/A,FALSE,"NF_05";#N/A,#N/A,FALSE,"NF_06"}</definedName>
    <definedName name="wrn.NAKLİYE._.METRAJI." localSheetId="3" hidden="1">{#N/A,#N/A,FALSE,"NAK-BEŞİRLİ"}</definedName>
    <definedName name="wrn.NAKLİYE._.METRAJI." hidden="1">{#N/A,#N/A,FALSE,"NAK-BEŞİRLİ"}</definedName>
    <definedName name="wrn.nakliye._1" localSheetId="3" hidden="1">{#N/A,#N/A,FALSE,"NAKLİYE_MESAFE";#N/A,#N/A,FALSE,"NF_01";#N/A,#N/A,FALSE,"NF_02";#N/A,#N/A,FALSE,"NF_03";#N/A,#N/A,FALSE,"NF_04";#N/A,#N/A,FALSE,"NF_05";#N/A,#N/A,FALSE,"NF_06"}</definedName>
    <definedName name="wrn.nakliye._1" hidden="1">{#N/A,#N/A,FALSE,"NAKLİYE_MESAFE";#N/A,#N/A,FALSE,"NF_01";#N/A,#N/A,FALSE,"NF_02";#N/A,#N/A,FALSE,"NF_03";#N/A,#N/A,FALSE,"NF_04";#N/A,#N/A,FALSE,"NF_05";#N/A,#N/A,FALSE,"NF_06"}</definedName>
    <definedName name="wrn.NAKLİYELER." localSheetId="3" hidden="1">{#N/A,#N/A,FALSE,"SANAT NAKLİYE "}</definedName>
    <definedName name="wrn.NAKLİYELER." hidden="1">{#N/A,#N/A,FALSE,"SANAT NAKLİYE "}</definedName>
    <definedName name="wrn.ÖDEME._.SAYFALARI." localSheetId="3" hidden="1">{#N/A,#N/A,TRUE,"TAKİP";#N/A,#N/A,TRUE,"RAPOR";#N/A,#N/A,TRUE,"ÖDEME";#N/A,#N/A,TRUE,"İCMAL"}</definedName>
    <definedName name="wrn.ÖDEME._.SAYFALARI." hidden="1">{#N/A,#N/A,TRUE,"TAKİP";#N/A,#N/A,TRUE,"RAPOR";#N/A,#N/A,TRUE,"ÖDEME";#N/A,#N/A,TRUE,"İCMAL"}</definedName>
    <definedName name="wrn.oztas._.imalat." localSheetId="3"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ratio." hidden="1">{#N/A,#N/A,FALSE,"JACKETS (1100 t) (1)"}</definedName>
    <definedName name="wrn.REPORT."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rn.REPORT."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rn.SIHHI." localSheetId="3" hidden="1">{#N/A,#N/A,FALSE,"1";#N/A,#N/A,FALSE,"sıh_iç_ihz";#N/A,#N/A,FALSE,"sıh_iç_tut";#N/A,#N/A,FALSE,"sıh_iç_er";#N/A,#N/A,FALSE,"ihz. icmal";#N/A,#N/A,FALSE,"inş_iç_ihz";#N/A,#N/A,FALSE,"inş_iç_tut";#N/A,#N/A,FALSE,"inş_iç_er";#N/A,#N/A,FALSE,"elk_iç_ihz";#N/A,#N/A,FALSE,"elk_iç_tut";#N/A,#N/A,FALSE,"elk_iç_er"}</definedName>
    <definedName name="wrn.SIHHI." hidden="1">{#N/A,#N/A,FALSE,"1";#N/A,#N/A,FALSE,"sıh_iç_ihz";#N/A,#N/A,FALSE,"sıh_iç_tut";#N/A,#N/A,FALSE,"sıh_iç_er";#N/A,#N/A,FALSE,"ihz. icmal";#N/A,#N/A,FALSE,"inş_iç_ihz";#N/A,#N/A,FALSE,"inş_iç_tut";#N/A,#N/A,FALSE,"inş_iç_er";#N/A,#N/A,FALSE,"elk_iç_ihz";#N/A,#N/A,FALSE,"elk_iç_tut";#N/A,#N/A,FALSE,"elk_iç_er"}</definedName>
    <definedName name="wrn.SIHHI._1" localSheetId="3" hidden="1">{#N/A,#N/A,FALSE,"1";#N/A,#N/A,FALSE,"sıh_iç_ihz";#N/A,#N/A,FALSE,"sıh_iç_tut";#N/A,#N/A,FALSE,"sıh_iç_er";#N/A,#N/A,FALSE,"ihz. icmal";#N/A,#N/A,FALSE,"inş_iç_ihz";#N/A,#N/A,FALSE,"inş_iç_tut";#N/A,#N/A,FALSE,"inş_iç_er";#N/A,#N/A,FALSE,"elk_iç_ihz";#N/A,#N/A,FALSE,"elk_iç_tut";#N/A,#N/A,FALSE,"elk_iç_er"}</definedName>
    <definedName name="wrn.SIHHI._1" hidden="1">{#N/A,#N/A,FALSE,"1";#N/A,#N/A,FALSE,"sıh_iç_ihz";#N/A,#N/A,FALSE,"sıh_iç_tut";#N/A,#N/A,FALSE,"sıh_iç_er";#N/A,#N/A,FALSE,"ihz. icmal";#N/A,#N/A,FALSE,"inş_iç_ihz";#N/A,#N/A,FALSE,"inş_iç_tut";#N/A,#N/A,FALSE,"inş_iç_er";#N/A,#N/A,FALSE,"elk_iç_ihz";#N/A,#N/A,FALSE,"elk_iç_tut";#N/A,#N/A,FALSE,"elk_iç_er"}</definedName>
    <definedName name="wrn.sihhi_ic." localSheetId="3" hidden="1">{#N/A,#N/A,FALSE,"sıh_iç_ihz";#N/A,#N/A,FALSE,"sıh_iç_er";#N/A,#N/A,FALSE,"sıh_iç_tut"}</definedName>
    <definedName name="wrn.sihhi_ic." hidden="1">{#N/A,#N/A,FALSE,"sıh_iç_ihz";#N/A,#N/A,FALSE,"sıh_iç_er";#N/A,#N/A,FALSE,"sıh_iç_tut"}</definedName>
    <definedName name="wrn.sirnak._.imalat."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FFS." localSheetId="3" hidden="1">{#N/A,#N/A,FALSE,"TABLE"}</definedName>
    <definedName name="wrn.STAFFS." hidden="1">{#N/A,#N/A,FALSE,"TABLE"}</definedName>
    <definedName name="wrn.TOTAL._.MAN._.H.O.." hidden="1">{"MAN H.O.",#N/A,FALSE,"tabella"}</definedName>
    <definedName name="wrn.tutanaklar." localSheetId="3" hidden="1">{#N/A,#N/A,FALSE,"ilan TUT";#N/A,#N/A,FALSE,"ilan";#N/A,#N/A,FALSE,"ÇİMENT";#N/A,#N/A,FALSE,"fatura"}</definedName>
    <definedName name="wrn.tutanaklar." hidden="1">{#N/A,#N/A,FALSE,"ilan TUT";#N/A,#N/A,FALSE,"ilan";#N/A,#N/A,FALSE,"ÇİMENT";#N/A,#N/A,FALSE,"fatura"}</definedName>
    <definedName name="wrn.x." hidden="1">{#N/A,#N/A,FALSE,"fax답변"}</definedName>
    <definedName name="wrn.YEŞİLDEFTER." localSheetId="3" hidden="1">{#N/A,#N/A,FALSE,"YEŞİL KAPAK";#N/A,#N/A,FALSE,"YEŞİL TOPRAK.";#N/A,#N/A,FALSE,"YEŞİL SANAT";#N/A,#N/A,FALSE,"YEŞİL AYASOFYA KÖP.";#N/A,#N/A,FALSE,"YEŞİL AKYAZI";#N/A,#N/A,FALSE,"YEŞİL BEŞİRLİ";#N/A,#N/A,FALSE,"YEŞİL HAVAALAN";#N/A,#N/A,FALSE,"YEŞİL SONDAJ.";#N/A,#N/A,FALSE,"YEŞİL KAMU";#N/A,#N/A,FALSE,"YEŞİL FAROZ "}</definedName>
    <definedName name="wrn.YEŞİLDEFTER." hidden="1">{#N/A,#N/A,FALSE,"YEŞİL KAPAK";#N/A,#N/A,FALSE,"YEŞİL TOPRAK.";#N/A,#N/A,FALSE,"YEŞİL SANAT";#N/A,#N/A,FALSE,"YEŞİL AYASOFYA KÖP.";#N/A,#N/A,FALSE,"YEŞİL AKYAZI";#N/A,#N/A,FALSE,"YEŞİL BEŞİRLİ";#N/A,#N/A,FALSE,"YEŞİL HAVAALAN";#N/A,#N/A,FALSE,"YEŞİL SONDAJ.";#N/A,#N/A,FALSE,"YEŞİL KAMU";#N/A,#N/A,FALSE,"YEŞİL FAROZ "}</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3"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골재소요량." localSheetId="3" hidden="1">{#N/A,#N/A,FALSE,"골재소요량";#N/A,#N/A,FALSE,"골재소요량"}</definedName>
    <definedName name="wrn.골재소요량." hidden="1">{#N/A,#N/A,FALSE,"골재소요량";#N/A,#N/A,FALSE,"골재소요량"}</definedName>
    <definedName name="wrn.교대." localSheetId="3"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3" hidden="1">{#N/A,#N/A,FALSE,"전력간선"}</definedName>
    <definedName name="wrn.교육청." hidden="1">{#N/A,#N/A,FALSE,"전력간선"}</definedName>
    <definedName name="wrn.구조2." localSheetId="3" hidden="1">{#N/A,#N/A,FALSE,"구조2"}</definedName>
    <definedName name="wrn.구조2." hidden="1">{#N/A,#N/A,FALSE,"구조2"}</definedName>
    <definedName name="wrn.단가표지." localSheetId="3" hidden="1">{#N/A,#N/A,FALSE,"단가표지"}</definedName>
    <definedName name="wrn.단가표지." hidden="1">{#N/A,#N/A,FALSE,"단가표지"}</definedName>
    <definedName name="wrn.배수1." localSheetId="3" hidden="1">{#N/A,#N/A,FALSE,"배수1"}</definedName>
    <definedName name="wrn.배수1." hidden="1">{#N/A,#N/A,FALSE,"배수1"}</definedName>
    <definedName name="wrn.배수2." localSheetId="3" hidden="1">{#N/A,#N/A,FALSE,"배수2"}</definedName>
    <definedName name="wrn.배수2." hidden="1">{#N/A,#N/A,FALSE,"배수2"}</definedName>
    <definedName name="wrn.변경예산." localSheetId="3"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부대1." localSheetId="3" hidden="1">{#N/A,#N/A,FALSE,"부대1"}</definedName>
    <definedName name="wrn.부대1." hidden="1">{#N/A,#N/A,FALSE,"부대1"}</definedName>
    <definedName name="wrn.부대2." localSheetId="3"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사업현황."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설계내역서." hidden="1">{#N/A,#N/A,FALSE,"설계내억서"}</definedName>
    <definedName name="wrn.속도." localSheetId="3" hidden="1">{#N/A,#N/A,FALSE,"속도"}</definedName>
    <definedName name="wrn.속도." hidden="1">{#N/A,#N/A,FALSE,"속도"}</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localSheetId="3" hidden="1">{#N/A,#N/A,TRUE,"토적및재료집계";#N/A,#N/A,TRUE,"토적및재료집계";#N/A,#N/A,TRUE,"단위량"}</definedName>
    <definedName name="wrn.신용찬." hidden="1">{#N/A,#N/A,TRUE,"토적및재료집계";#N/A,#N/A,TRUE,"토적및재료집계";#N/A,#N/A,TRUE,"단위량"}</definedName>
    <definedName name="wrn.업체별._.견적공사명." hidden="1">{"SJ - 기본 보기",#N/A,FALSE,"공사별 외주견적"}</definedName>
    <definedName name="wrn.연동제." hidden="1">{#N/A,#N/A,TRUE,"총괄"}</definedName>
    <definedName name="wrn.예상손익." localSheetId="3"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3" hidden="1">{#N/A,#N/A,FALSE,"운반시간"}</definedName>
    <definedName name="wrn.운반시간." hidden="1">{#N/A,#N/A,FALSE,"운반시간"}</definedName>
    <definedName name="wrn.이정표." localSheetId="3" hidden="1">{#N/A,#N/A,FALSE,"이정표"}</definedName>
    <definedName name="wrn.이정표." hidden="1">{#N/A,#N/A,FALSE,"이정표"}</definedName>
    <definedName name="wrn.이태원._.철근." localSheetId="3" hidden="1">{#N/A,#N/A,FALSE,"이태원철근"}</definedName>
    <definedName name="wrn.이태원._.철근." hidden="1">{#N/A,#N/A,FALSE,"이태원철근"}</definedName>
    <definedName name="wrn.전부인쇄." localSheetId="3" hidden="1">{#N/A,#N/A,FALSE,"단축1";#N/A,#N/A,FALSE,"단축2";#N/A,#N/A,FALSE,"단축3";#N/A,#N/A,FALSE,"장축";#N/A,#N/A,FALSE,"4WD"}</definedName>
    <definedName name="wrn.전부인쇄." hidden="1">{#N/A,#N/A,FALSE,"단축1";#N/A,#N/A,FALSE,"단축2";#N/A,#N/A,FALSE,"단축3";#N/A,#N/A,FALSE,"장축";#N/A,#N/A,FALSE,"4WD"}</definedName>
    <definedName name="wrn.조골재." localSheetId="3" hidden="1">{#N/A,#N/A,FALSE,"조골재"}</definedName>
    <definedName name="wrn.조골재." hidden="1">{#N/A,#N/A,FALSE,"조골재"}</definedName>
    <definedName name="wrn.철골집계표._.5칸." hidden="1">{#N/A,#N/A,FALSE,"Sheet1"}</definedName>
    <definedName name="wrn.토공1." localSheetId="3" hidden="1">{#N/A,#N/A,FALSE,"구조1"}</definedName>
    <definedName name="wrn.토공1." hidden="1">{#N/A,#N/A,FALSE,"구조1"}</definedName>
    <definedName name="wrn.토공2." localSheetId="3" hidden="1">{#N/A,#N/A,FALSE,"토공2"}</definedName>
    <definedName name="wrn.토공2." hidden="1">{#N/A,#N/A,FALSE,"토공2"}</definedName>
    <definedName name="wrn.통신지." localSheetId="3" hidden="1">{#N/A,#N/A,FALSE,"기안지";#N/A,#N/A,FALSE,"통신지"}</definedName>
    <definedName name="wrn.통신지." hidden="1">{#N/A,#N/A,FALSE,"기안지";#N/A,#N/A,FALSE,"통신지"}</definedName>
    <definedName name="wrn.포장1." localSheetId="3" hidden="1">{#N/A,#N/A,FALSE,"포장1";#N/A,#N/A,FALSE,"포장1"}</definedName>
    <definedName name="wrn.포장1." hidden="1">{#N/A,#N/A,FALSE,"포장1";#N/A,#N/A,FALSE,"포장1"}</definedName>
    <definedName name="wrn.포장2." localSheetId="3" hidden="1">{#N/A,#N/A,FALSE,"포장2"}</definedName>
    <definedName name="wrn.포장2." hidden="1">{#N/A,#N/A,FALSE,"포장2"}</definedName>
    <definedName name="wrn.표지목차." localSheetId="3" hidden="1">{#N/A,#N/A,FALSE,"표지목차"}</definedName>
    <definedName name="wrn.표지목차." hidden="1">{#N/A,#N/A,FALSE,"표지목차"}</definedName>
    <definedName name="wrn.혼합골재." localSheetId="3" hidden="1">{#N/A,#N/A,FALSE,"혼합골재"}</definedName>
    <definedName name="wrn.혼합골재." hidden="1">{#N/A,#N/A,FALSE,"혼합골재"}</definedName>
    <definedName name="WRR" localSheetId="3" hidden="1">{#VALUE!,#N/A,FALSE,0;#N/A,#N/A,FALSE,0;#N/A,#N/A,FALSE,0;#N/A,#N/A,FALSE,0}</definedName>
    <definedName name="WRR" hidden="1">{#VALUE!,#N/A,FALSE,0;#N/A,#N/A,FALSE,0;#N/A,#N/A,FALSE,0;#N/A,#N/A,FALSE,0}</definedName>
    <definedName name="wsq" hidden="1">#REF!</definedName>
    <definedName name="wsx" localSheetId="3" hidden="1">{#N/A,#N/A,FALSE,"TABLE"}</definedName>
    <definedName name="wsx" hidden="1">{#N/A,#N/A,FALSE,"TABLE"}</definedName>
    <definedName name="wtr" localSheetId="3">#REF!</definedName>
    <definedName name="wtr">#REF!</definedName>
    <definedName name="WV" localSheetId="0">BlankMacro1</definedName>
    <definedName name="WV" localSheetId="2">BlankMacro1</definedName>
    <definedName name="WV" localSheetId="17">BlankMacro1</definedName>
    <definedName name="WV" localSheetId="15">BlankMacro1</definedName>
    <definedName name="WV">BlankMacro1</definedName>
    <definedName name="ww"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w" hidden="1">{#N/A,#N/A,FALSE,"CCTV"}</definedName>
    <definedName name="WWW" localSheetId="3" hidden="1">{#N/A,#N/A,FALSE,"CCTV"}</definedName>
    <definedName name="WWW" hidden="1">{#N/A,#N/A,FALSE,"CCTV"}</definedName>
    <definedName name="WWWFFFF" hidden="1">'[82]TABLO-3'!$B$7:$B$7</definedName>
    <definedName name="wysapşxcy574" localSheetId="3" hidden="1">{#N/A,#N/A,FALSE,"Çaykara ataköy (1)";#N/A,#N/A,FALSE,"Çaykara ataköy (2)";#N/A,#N/A,FALSE,"Rize Kalkandere ";#N/A,#N/A,FALSE,"meydancık";#N/A,#N/A,FALSE,"muratlı"}</definedName>
    <definedName name="wysapşxcy574" hidden="1">{#N/A,#N/A,FALSE,"Çaykara ataköy (1)";#N/A,#N/A,FALSE,"Çaykara ataköy (2)";#N/A,#N/A,FALSE,"Rize Kalkandere ";#N/A,#N/A,FALSE,"meydancık";#N/A,#N/A,FALSE,"muratlı"}</definedName>
    <definedName name="WYWY" localSheetId="3" hidden="1">{#N/A,#N/A,FALSE,"TABLE"}</definedName>
    <definedName name="WYWY" hidden="1">{#N/A,#N/A,FALSE,"TABLE"}</definedName>
    <definedName name="x" localSheetId="3" hidden="1">{#N/A,#N/A,FALSE,"운반시간"}</definedName>
    <definedName name="X" hidden="1">{"LKD",#N/A,FALSE,"표지"}</definedName>
    <definedName name="xc" localSheetId="3" hidden="1">{#N/A,#N/A,FALSE,"TABLE"}</definedName>
    <definedName name="xc" hidden="1">{#N/A,#N/A,FALSE,"TABLE"}</definedName>
    <definedName name="xh">{"'장비'!$A$3:$M$12"}</definedName>
    <definedName name="xjj1" localSheetId="3">BlankMacro1</definedName>
    <definedName name="xjj1">BlankMacro1</definedName>
    <definedName name="XLS" localSheetId="3">#REF!</definedName>
    <definedName name="XLS">#REF!</definedName>
    <definedName name="XRefColumnsCount" hidden="1">12</definedName>
    <definedName name="XRefCopyRangeCount" hidden="1">7</definedName>
    <definedName name="xv" localSheetId="3" hidden="1">{#N/A,#N/A,FALSE,"TABLE"}</definedName>
    <definedName name="xv" hidden="1">{#N/A,#N/A,FALSE,"TABLE"}</definedName>
    <definedName name="xx" localSheetId="3">#REF!</definedName>
    <definedName name="xx">{"'장비'!$A$3:$M$12"}</definedName>
    <definedName name="xxx" localSheetId="3" hidden="1">{#N/A,#N/A,FALSE,"TABLE"}</definedName>
    <definedName name="xxx">{"'장비'!$A$3:$M$12"}</definedName>
    <definedName name="XZ" localSheetId="3" hidden="1">{#N/A,#N/A,FALSE,"TABLE"}</definedName>
    <definedName name="XZ" hidden="1">{#N/A,#N/A,FALSE,"TABLE"}</definedName>
    <definedName name="Y" localSheetId="3" hidden="1">{#N/A,#N/A,FALSE,"이태원철근"}</definedName>
    <definedName name="Y" hidden="1">{#N/A,#N/A,FALSE,"이태원철근"}</definedName>
    <definedName name="y_strainer" localSheetId="3">#REF!</definedName>
    <definedName name="y_strainer">#REF!</definedName>
    <definedName name="y8gyyug" localSheetId="3">#REF!</definedName>
    <definedName name="y8gyyug">#REF!</definedName>
    <definedName name="yAdi">"Tip Çek Yapıları - I"</definedName>
    <definedName name="yapiimar" localSheetId="3"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FUFY" localSheetId="3" hidden="1">{#N/A,#N/A,FALSE,"TABLE"}</definedName>
    <definedName name="YFUFY" hidden="1">{#N/A,#N/A,FALSE,"TABLE"}</definedName>
    <definedName name="yg542hg" hidden="1">#REF!</definedName>
    <definedName name="ykr" localSheetId="3" hidden="1">{#N/A,#N/A,FALSE,"Çaykara ataköy (1)";#N/A,#N/A,FALSE,"Çaykara ataköy (2)";#N/A,#N/A,FALSE,"Rize Kalkandere ";#N/A,#N/A,FALSE,"meydancık";#N/A,#N/A,FALSE,"muratlı"}</definedName>
    <definedName name="ykr" hidden="1">{#N/A,#N/A,FALSE,"Çaykara ataköy (1)";#N/A,#N/A,FALSE,"Çaykara ataköy (2)";#N/A,#N/A,FALSE,"Rize Kalkandere ";#N/A,#N/A,FALSE,"meydancık";#N/A,#N/A,FALSE,"muratlı"}</definedName>
    <definedName name="ykroki" localSheetId="3" hidden="1">{#N/A,#N/A,FALSE,"Çaykara ataköy (1)";#N/A,#N/A,FALSE,"Çaykara ataköy (2)";#N/A,#N/A,FALSE,"Rize Kalkandere ";#N/A,#N/A,FALSE,"meydancık";#N/A,#N/A,FALSE,"muratlı"}</definedName>
    <definedName name="ykroki" hidden="1">{#N/A,#N/A,FALSE,"Çaykara ataköy (1)";#N/A,#N/A,FALSE,"Çaykara ataköy (2)";#N/A,#N/A,FALSE,"Rize Kalkandere ";#N/A,#N/A,FALSE,"meydancık";#N/A,#N/A,FALSE,"muratlı"}</definedName>
    <definedName name="YMYM" localSheetId="3" hidden="1">{#N/A,#N/A,FALSE,"TABLE"}</definedName>
    <definedName name="YMYM" hidden="1">{#N/A,#N/A,FALSE,"TABLE"}</definedName>
    <definedName name="yn" localSheetId="3">#REF!</definedName>
    <definedName name="yn">#REF!</definedName>
    <definedName name="ynkim" localSheetId="3" hidden="1">{#N/A,#N/A,TRUE,"Basic";#N/A,#N/A,TRUE,"EXT-TABLE";#N/A,#N/A,TRUE,"STEEL";#N/A,#N/A,TRUE,"INT-Table";#N/A,#N/A,TRUE,"STEEL";#N/A,#N/A,TRUE,"Door"}</definedName>
    <definedName name="ynkim" hidden="1">{#N/A,#N/A,TRUE,"Basic";#N/A,#N/A,TRUE,"EXT-TABLE";#N/A,#N/A,TRUE,"STEEL";#N/A,#N/A,TRUE,"INT-Table";#N/A,#N/A,TRUE,"STEEL";#N/A,#N/A,TRUE,"Door"}</definedName>
    <definedName name="yok" localSheetId="3" hidden="1">{#N/A,#N/A,FALSE,"Çaykara ataköy (1)";#N/A,#N/A,FALSE,"Çaykara ataköy (2)";#N/A,#N/A,FALSE,"Rize Kalkandere ";#N/A,#N/A,FALSE,"meydancık";#N/A,#N/A,FALSE,"muratlı"}</definedName>
    <definedName name="yok" hidden="1">{#N/A,#N/A,FALSE,"Çaykara ataköy (1)";#N/A,#N/A,FALSE,"Çaykara ataköy (2)";#N/A,#N/A,FALSE,"Rize Kalkandere ";#N/A,#N/A,FALSE,"meydancık";#N/A,#N/A,FALSE,"muratlı"}</definedName>
    <definedName name="Yosuequipment0106_X_port_Equipment_List___Final__List" localSheetId="3">#REF!</definedName>
    <definedName name="Yosuequipment0106_X_port_Equipment_List___Final__List">#REF!</definedName>
    <definedName name="YOYO" localSheetId="3" hidden="1">{#N/A,#N/A,FALSE,"TABLE"}</definedName>
    <definedName name="YOYO" hidden="1">{#N/A,#N/A,FALSE,"TABLE"}</definedName>
    <definedName name="yrdtytyt" localSheetId="3" hidden="1">{#N/A,#N/A,FALSE,"CCTV"}</definedName>
    <definedName name="yrdtytyt" hidden="1">{#N/A,#N/A,FALSE,"CCTV"}</definedName>
    <definedName name="YRUEYU" localSheetId="3" hidden="1">{#N/A,#N/A,FALSE,"TABLE"}</definedName>
    <definedName name="YRUEYU" hidden="1">{#N/A,#N/A,FALSE,"TABLE"}</definedName>
    <definedName name="ys" localSheetId="3">#REF!</definedName>
    <definedName name="ys">#REF!</definedName>
    <definedName name="yu">{"'장비'!$A$3:$M$12"}</definedName>
    <definedName name="yugyy" localSheetId="3">#REF!</definedName>
    <definedName name="yugyy">#REF!</definedName>
    <definedName name="yuio" localSheetId="3">#REF!</definedName>
    <definedName name="yuio">#REF!</definedName>
    <definedName name="YUYJĞ" hidden="1">#REF!</definedName>
    <definedName name="yuyu">{"'장비'!$A$3:$M$12"}</definedName>
    <definedName name="yuyuyu">{"'장비'!$A$3:$M$12"}</definedName>
    <definedName name="Yvalues" localSheetId="3">OFFSET([0]!Xvalues,0,1)</definedName>
    <definedName name="Yvalues">OFFSET([0]!Xvalues,0,1)</definedName>
    <definedName name="Yvalues2" localSheetId="3">OFFSET([0]!Xvalues,0,2)</definedName>
    <definedName name="Yvalues2">OFFSET([0]!Xvalues,0,2)</definedName>
    <definedName name="yy" localSheetId="3">#REF!</definedName>
    <definedName name="yy" hidden="1">{"LKD",#N/A,FALSE,"표지"}</definedName>
    <definedName name="yyuuu" localSheetId="3">#REF!</definedName>
    <definedName name="yyuuu">#REF!</definedName>
    <definedName name="yyy" localSheetId="3" hidden="1">{#N/A,#N/A,FALSE,"Çaykara ataköy (1)";#N/A,#N/A,FALSE,"Çaykara ataköy (2)";#N/A,#N/A,FALSE,"Rize Kalkandere ";#N/A,#N/A,FALSE,"meydancık";#N/A,#N/A,FALSE,"muratlı"}</definedName>
    <definedName name="yyy">{"'장비'!$A$3:$M$12"}</definedName>
    <definedName name="YYYYY" hidden="1">#REF!</definedName>
    <definedName name="YZ" localSheetId="3" hidden="1">{#N/A,#N/A,FALSE,"TABLE"}</definedName>
    <definedName name="YZ" hidden="1">{#N/A,#N/A,FALSE,"TABLE"}</definedName>
    <definedName name="Z" localSheetId="17">#REF!</definedName>
    <definedName name="Z" localSheetId="15">#REF!</definedName>
    <definedName name="Z" localSheetId="4">#REF!</definedName>
    <definedName name="Z" localSheetId="3">#REF!</definedName>
    <definedName name="Z">#REF!</definedName>
    <definedName name="Z_6332A1C3_4451_11D5_8DF3_00C026000EEF_.wvu.PrintTitles" localSheetId="3" hidden="1">#REF!</definedName>
    <definedName name="Z_6332A1C3_4451_11D5_8DF3_00C026000EEF_.wvu.PrintTitles" hidden="1">#REF!</definedName>
    <definedName name="Z_6FD68921_FD8A_11D1_84A4_444553540000_.wvu.Cols" hidden="1">#REF!</definedName>
    <definedName name="Z_B3255642_8A6B_11D5_916F_005004920FCB_.wvu.PrintTitles" hidden="1">#REF!</definedName>
    <definedName name="Z_DB8AC590_3D3A_11D5_BCB0_000021EC112A_.wvu.Cols" localSheetId="3"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localSheetId="3" hidden="1">#REF!,#REF!</definedName>
    <definedName name="Z_DB8AC590_3D3A_11D5_BCB0_000021EC112A_.wvu.Rows" hidden="1">#REF!,#REF!</definedName>
    <definedName name="Z_L_I_T_E_N">#N/A</definedName>
    <definedName name="ZA" localSheetId="3" hidden="1">{#N/A,#N/A,FALSE,"TABLE"}</definedName>
    <definedName name="ZA" hidden="1">{#N/A,#N/A,FALSE,"TABLE"}</definedName>
    <definedName name="zas" hidden="1">#REF!</definedName>
    <definedName name="zc" localSheetId="3" hidden="1">{#N/A,#N/A,FALSE,"TABLE"}</definedName>
    <definedName name="zc" hidden="1">{#N/A,#N/A,FALSE,"TABLE"}</definedName>
    <definedName name="ZIGZAG" localSheetId="3" hidden="1">{#N/A,#N/A,FALSE,"TABLE"}</definedName>
    <definedName name="ZIGZAG" hidden="1">{#N/A,#N/A,FALSE,"TABLE"}</definedName>
    <definedName name="zx" localSheetId="3" hidden="1">{#N/A,#N/A,FALSE,"TABLE"}</definedName>
    <definedName name="zx">{"'장비'!$A$3:$M$12"}</definedName>
    <definedName name="ZXC" localSheetId="3" hidden="1">{#N/A,#N/A,FALSE,"이태원철근"}</definedName>
    <definedName name="ZXC" hidden="1">{#N/A,#N/A,FALSE,"이태원철근"}</definedName>
    <definedName name="ZXXX" localSheetId="3" hidden="1">{#N/A,#N/A,FALSE,"TABLE"}</definedName>
    <definedName name="ZXXX" hidden="1">{#N/A,#N/A,FALSE,"TABLE"}</definedName>
    <definedName name="zy" localSheetId="3" hidden="1">{#N/A,#N/A,FALSE,"TABLE"}</definedName>
    <definedName name="zy" hidden="1">{#N/A,#N/A,FALSE,"TABLE"}</definedName>
    <definedName name="zz" hidden="1">{"LKD",#N/A,FALSE,"표지"}</definedName>
    <definedName name="zzz" localSheetId="3" hidden="1">{#N/A,#N/A,TRUE,"Basic";#N/A,#N/A,TRUE,"EXT-TABLE";#N/A,#N/A,TRUE,"STEEL";#N/A,#N/A,TRUE,"INT-Table";#N/A,#N/A,TRUE,"STEEL";#N/A,#N/A,TRUE,"Door"}</definedName>
    <definedName name="zzz" hidden="1">{#N/A,#N/A,TRUE,"Basic";#N/A,#N/A,TRUE,"EXT-TABLE";#N/A,#N/A,TRUE,"STEEL";#N/A,#N/A,TRUE,"INT-Table";#N/A,#N/A,TRUE,"STEEL";#N/A,#N/A,TRUE,"Door"}</definedName>
    <definedName name="zzzz" localSheetId="3" hidden="1">{#N/A,#N/A,FALSE,"이태원철근"}</definedName>
    <definedName name="zzzz" hidden="1">{#N/A,#N/A,FALSE,"이태원철근"}</definedName>
    <definedName name="ㄱ" localSheetId="3" hidden="1">{#N/A,#N/A,FALSE,"이태원철근"}</definedName>
    <definedName name="ㄱ" hidden="1">{#N/A,#N/A,FALSE,"이태원철근"}</definedName>
    <definedName name="ㄱㄱ" localSheetId="3" hidden="1">{#N/A,#N/A,FALSE,"이태원철근"}</definedName>
    <definedName name="ㄱㄱ" hidden="1">{#N/A,#N/A,FALSE,"이태원철근"}</definedName>
    <definedName name="ㄱㄱㄱ" hidden="1">{#N/A,#N/A,FALSE,"이태원철근"}</definedName>
    <definedName name="ㄱㄱㄱㄱ" hidden="1">{#N/A,#N/A,FALSE,"이태원철근"}</definedName>
    <definedName name="ㄱㄱㄱㄱㄱ" localSheetId="3" hidden="1">{#N/A,#N/A,FALSE,"이태원철근"}</definedName>
    <definedName name="ㄱㄱㄱㄱㄱ" hidden="1">{#N/A,#N/A,FALSE,"이태원철근"}</definedName>
    <definedName name="ㄱㄷㅈㅂㄱㄷㅈ" hidden="1">{#N/A,#N/A,FALSE,"이태원철근"}</definedName>
    <definedName name="ㄱ됴ㅐㅏ독핻" localSheetId="3" hidden="1">{#N/A,#N/A,FALSE,"혼합골재"}</definedName>
    <definedName name="ㄱ됴ㅐㅏ독핻" hidden="1">{#N/A,#N/A,FALSE,"혼합골재"}</definedName>
    <definedName name="ㄱㄹㅇㄷ" hidden="1">#REF!</definedName>
    <definedName name="ㄱ미" localSheetId="3" hidden="1">{#N/A,#N/A,TRUE,"Basic";#N/A,#N/A,TRUE,"EXT-TABLE";#N/A,#N/A,TRUE,"STEEL";#N/A,#N/A,TRUE,"INT-Table";#N/A,#N/A,TRUE,"STEEL";#N/A,#N/A,TRUE,"Door"}</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쇽숏교" hidden="1">{#N/A,#N/A,FALSE,"이태원철근"}</definedName>
    <definedName name="ㄱ숏ㄱ요오헐" hidden="1">{#N/A,#N/A,FALSE,"이태원철근"}</definedName>
    <definedName name="가" hidden="1">#REF!</definedName>
    <definedName name="가갸" localSheetId="3" hidden="1">{#N/A,#N/A,FALSE,"이태원철근"}</definedName>
    <definedName name="가갸" hidden="1">{#N/A,#N/A,FALSE,"이태원철근"}</definedName>
    <definedName name="가건물손료">#REF!</definedName>
    <definedName name="가격" localSheetId="3">#REF!</definedName>
    <definedName name="가격">#REF!</definedName>
    <definedName name="가나" hidden="1">{#N/A,#N/A,FALSE,"이태원철근"}</definedName>
    <definedName name="가나다라마사" hidden="1">{#N/A,#N/A,FALSE,"이태원철근"}</definedName>
    <definedName name="가물" hidden="1">{#N/A,#N/A,FALSE,"이태원철근"}</definedName>
    <definedName name="가설">[47]Main!#REF!</definedName>
    <definedName name="가설건물면적산정" localSheetId="3" hidden="1">{#N/A,#N/A,FALSE,"사업총괄";#N/A,#N/A,FALSE,"장비사업";#N/A,#N/A,FALSE,"철구사업";#N/A,#N/A,FALSE,"준설사업"}</definedName>
    <definedName name="가설건물면적산정" hidden="1">{#N/A,#N/A,FALSE,"사업총괄";#N/A,#N/A,FALSE,"장비사업";#N/A,#N/A,FALSE,"철구사업";#N/A,#N/A,FALSE,"준설사업"}</definedName>
    <definedName name="가설공사비" localSheetId="3">#REF!</definedName>
    <definedName name="가설공사비">#REF!</definedName>
    <definedName name="가스창고" localSheetId="3">#REF!</definedName>
    <definedName name="가스창고">#REF!</definedName>
    <definedName name="가실행" hidden="1">{#N/A,#N/A,FALSE,"지침";#N/A,#N/A,FALSE,"환경분석";#N/A,#N/A,FALSE,"Sheet16"}</definedName>
    <definedName name="가을이구나">#REF!</definedName>
    <definedName name="간접노무비" localSheetId="3">#REF!</definedName>
    <definedName name="간접노무비">#REF!</definedName>
    <definedName name="간접웡">'[151]공사비 내역 (가)'!$AE$41</definedName>
    <definedName name="간접재료비" localSheetId="3">#REF!</definedName>
    <definedName name="간접재료비">#REF!</definedName>
    <definedName name="감" hidden="1">{#N/A,#N/A,TRUE,"Basic";#N/A,#N/A,TRUE,"EXT-TABLE";#N/A,#N/A,TRUE,"STEEL";#N/A,#N/A,TRUE,"INT-Table";#N/A,#N/A,TRUE,"STEEL";#N/A,#N/A,TRUE,"Door"}</definedName>
    <definedName name="감_1" hidden="1">{#N/A,#N/A,TRUE,"Basic";#N/A,#N/A,TRUE,"EXT-TABLE";#N/A,#N/A,TRUE,"STEEL";#N/A,#N/A,TRUE,"INT-Table";#N/A,#N/A,TRUE,"STEEL";#N/A,#N/A,TRUE,"Door"}</definedName>
    <definedName name="감리상주" hidden="1">{#N/A,#N/A,FALSE,"지침";#N/A,#N/A,FALSE,"환경분석";#N/A,#N/A,FALSE,"Sheet16"}</definedName>
    <definedName name="갑" localSheetId="3">#REF!</definedName>
    <definedName name="갑">#REF!</definedName>
    <definedName name="갑지" localSheetId="3">BlankMacro1</definedName>
    <definedName name="갑지">BlankMacro1</definedName>
    <definedName name="강1" localSheetId="3">#REF!</definedName>
    <definedName name="강1">#REF!</definedName>
    <definedName name="강2" localSheetId="3">#REF!</definedName>
    <definedName name="강2">#REF!</definedName>
    <definedName name="강3" localSheetId="3">#REF!</definedName>
    <definedName name="강3">#REF!</definedName>
    <definedName name="강관비계" localSheetId="3">#REF!</definedName>
    <definedName name="강관비계">#REF!</definedName>
    <definedName name="강릉교동" localSheetId="3" hidden="1">#REF!</definedName>
    <definedName name="강릉교동" hidden="1">#REF!</definedName>
    <definedName name="강릉교동터파기" localSheetId="3" hidden="1">#REF!</definedName>
    <definedName name="강릉교동터파기" hidden="1">#REF!</definedName>
    <definedName name="강릉교동토목" localSheetId="3"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재호" localSheetId="3"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개월" localSheetId="3">#REF!</definedName>
    <definedName name="개월">#REF!</definedName>
    <definedName name="거래처" localSheetId="3">#REF!</definedName>
    <definedName name="거래처">#REF!</definedName>
    <definedName name="거제" localSheetId="3" hidden="1">{#N/A,#N/A,FALSE,"이태원철근"}</definedName>
    <definedName name="거제" hidden="1">{#N/A,#N/A,FALSE,"이태원철근"}</definedName>
    <definedName name="거제2" localSheetId="3" hidden="1">{#N/A,#N/A,FALSE,"이태원철근"}</definedName>
    <definedName name="거제2" hidden="1">{#N/A,#N/A,FALSE,"이태원철근"}</definedName>
    <definedName name="거제리" localSheetId="3" hidden="1">{#N/A,#N/A,FALSE,"이태원철근"}</definedName>
    <definedName name="거제리" hidden="1">{#N/A,#N/A,FALSE,"이태원철근"}</definedName>
    <definedName name="거제현장" localSheetId="3" hidden="1">{#N/A,#N/A,FALSE,"이태원철근"}</definedName>
    <definedName name="거제현장" hidden="1">{#N/A,#N/A,FALSE,"이태원철근"}</definedName>
    <definedName name="건">#N/A</definedName>
    <definedName name="건기" localSheetId="3" hidden="1">{#N/A,#N/A,FALSE,"사업총괄";#N/A,#N/A,FALSE,"장비사업";#N/A,#N/A,FALSE,"철구사업";#N/A,#N/A,FALSE,"준설사업"}</definedName>
    <definedName name="건기" hidden="1">{#N/A,#N/A,FALSE,"사업총괄";#N/A,#N/A,FALSE,"장비사업";#N/A,#N/A,FALSE,"철구사업";#N/A,#N/A,FALSE,"준설사업"}</definedName>
    <definedName name="건기2" localSheetId="3" hidden="1">{#N/A,#N/A,FALSE,"사업총괄";#N/A,#N/A,FALSE,"장비사업";#N/A,#N/A,FALSE,"철구사업";#N/A,#N/A,FALSE,"준설사업"}</definedName>
    <definedName name="건기2" hidden="1">{#N/A,#N/A,FALSE,"사업총괄";#N/A,#N/A,FALSE,"장비사업";#N/A,#N/A,FALSE,"철구사업";#N/A,#N/A,FALSE,"준설사업"}</definedName>
    <definedName name="건설기계새로움" localSheetId="3" hidden="1">{#VALUE!,#N/A,FALSE,0;#N/A,#N/A,FALSE,0;#N/A,#N/A,FALSE,0;#N/A,#N/A,FALSE,0}</definedName>
    <definedName name="건설기계새로움" hidden="1">{#VALUE!,#N/A,FALSE,0;#N/A,#N/A,FALSE,0;#N/A,#N/A,FALSE,0;#N/A,#N/A,FALSE,0}</definedName>
    <definedName name="건축" localSheetId="3">#REF!</definedName>
    <definedName name="건축" hidden="1">{#N/A,#N/A,TRUE,"토적및재료집계";#N/A,#N/A,TRUE,"토적및재료집계";#N/A,#N/A,TRUE,"단위량"}</definedName>
    <definedName name="건축외">#REF!</definedName>
    <definedName name="건축외총">#REF!</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견적" localSheetId="3" hidden="1">#REF!</definedName>
    <definedName name="견적" hidden="1">{#N/A,#N/A,FALSE,"CCTV"}</definedName>
    <definedName name="견적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조건" hidden="1">[152]산근!#REF!</definedName>
    <definedName name="견적조건8" hidden="1">{#N/A,#N/A,FALSE,"CCTV"}</definedName>
    <definedName name="견적품의서">{"'장비'!$A$3:$M$12"}</definedName>
    <definedName name="경도급" localSheetId="3">#REF!</definedName>
    <definedName name="경도급">#REF!</definedName>
    <definedName name="경비조정중기" localSheetId="3">#REF!</definedName>
    <definedName name="경비조정중기">#REF!</definedName>
    <definedName name="경순" localSheetId="3" hidden="1">{#N/A,#N/A,FALSE,"이태원철근"}</definedName>
    <definedName name="경순" hidden="1">{#N/A,#N/A,FALSE,"이태원철근"}</definedName>
    <definedName name="경영" hidden="1">#REF!</definedName>
    <definedName name="경제" localSheetId="4">[153]세금자료!$A$3:$D$52</definedName>
    <definedName name="경제">[154]세금자료!$A$3:$D$52</definedName>
    <definedName name="경회사" localSheetId="3">#REF!</definedName>
    <definedName name="경회사">#REF!</definedName>
    <definedName name="계" hidden="1">#REF!</definedName>
    <definedName name="계매10">#REF!</definedName>
    <definedName name="계매11">#REF!</definedName>
    <definedName name="계매12">#REF!</definedName>
    <definedName name="계매5">#REF!</definedName>
    <definedName name="계매6">#REF!</definedName>
    <definedName name="계매7">#REF!</definedName>
    <definedName name="계매8">#REF!</definedName>
    <definedName name="계매9">#REF!</definedName>
    <definedName name="계매과">#REF!</definedName>
    <definedName name="계매내년">#REF!</definedName>
    <definedName name="계매신">#REF!</definedName>
    <definedName name="계매잔">#REF!</definedName>
    <definedName name="계약고">[155]요약!$K$49</definedName>
    <definedName name="계이10">#REF!</definedName>
    <definedName name="계이11">#REF!</definedName>
    <definedName name="계이12">#REF!</definedName>
    <definedName name="계이5">#REF!</definedName>
    <definedName name="계이6">#REF!</definedName>
    <definedName name="계이7">#REF!</definedName>
    <definedName name="계이8">#REF!</definedName>
    <definedName name="계이9">#REF!</definedName>
    <definedName name="계이과">#REF!</definedName>
    <definedName name="계이내년">#REF!</definedName>
    <definedName name="계이신">#REF!</definedName>
    <definedName name="계이잔">#REF!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localSheetId="3">#REF!</definedName>
    <definedName name="계획" hidden="1">{#N/A,#N/A,FALSE,"TABLE"}</definedName>
    <definedName name="고가" hidden="1">#N/A</definedName>
    <definedName name="고고" localSheetId="3" hidden="1">{#N/A,#N/A,FALSE,"이태원철근"}</definedName>
    <definedName name="고고" hidden="1">{#N/A,#N/A,FALSE,"이태원철근"}</definedName>
    <definedName name="고급" localSheetId="3">#REF!</definedName>
    <definedName name="고급">#REF!</definedName>
    <definedName name="고민수" hidden="1">{"LKD",#N/A,FALSE,"표지"}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3">#REF!</definedName>
    <definedName name="공구">#REF!</definedName>
    <definedName name="공구손료" localSheetId="3">#REF!</definedName>
    <definedName name="공구손료">#REF!</definedName>
    <definedName name="공기" localSheetId="3">#REF!</definedName>
    <definedName name="공기">[109]입찰내역서!$T$54</definedName>
    <definedName name="공기1" hidden="1">[156]설계내역서!#REF!</definedName>
    <definedName name="공무">#REF!</definedName>
    <definedName name="공무외">#REF!,#REF!,#REF!</definedName>
    <definedName name="공무외총">#REF!,#REF!,#REF!</definedName>
    <definedName name="공사" localSheetId="3" hidden="1">{#N/A,#N/A,FALSE,"이태원철근"}</definedName>
    <definedName name="공사" hidden="1">{#N/A,#N/A,FALSE,"이태원철근"}</definedName>
    <definedName name="공사_NDE">[152]공사비_NDE!$A$1:$K$6295</definedName>
    <definedName name="공사_PAINT">[152]공사비_NDE!$A$1:$K$6295</definedName>
    <definedName name="공사1" localSheetId="3" hidden="1">{#N/A,#N/A,FALSE,"이태원철근"}</definedName>
    <definedName name="공사1" hidden="1">{#N/A,#N/A,FALSE,"이태원철근"}</definedName>
    <definedName name="공사개요최종" localSheetId="3" hidden="1">{#N/A,#N/A,FALSE,"이태원철근"}</definedName>
    <definedName name="공사개요최종" hidden="1">{#N/A,#N/A,FALSE,"이태원철근"}</definedName>
    <definedName name="공사규모">'[157]Bond Fee'!$I$3</definedName>
    <definedName name="공사기간" localSheetId="3">#REF!</definedName>
    <definedName name="공사기간">#REF!</definedName>
    <definedName name="공사기간2" localSheetId="3">#REF!</definedName>
    <definedName name="공사기간2">#REF!</definedName>
    <definedName name="공사명4">[158]환율!$B$14</definedName>
    <definedName name="공사손익.중국" localSheetId="3">#REF!</definedName>
    <definedName name="공사손익.중국">#REF!</definedName>
    <definedName name="공사원가계산서" localSheetId="3" hidden="1">{#N/A,#N/A,TRUE,"토적및재료집계";#N/A,#N/A,TRUE,"토적및재료집계";#N/A,#N/A,TRUE,"단위량"}</definedName>
    <definedName name="공사원가계산서" hidden="1">{#N/A,#N/A,TRUE,"토적및재료집계";#N/A,#N/A,TRUE,"토적및재료집계";#N/A,#N/A,TRUE,"단위량"}</definedName>
    <definedName name="공사총액">#REF!</definedName>
    <definedName name="공사코드">'[159]Sheet2 (2)'!$A$6:$B$144</definedName>
    <definedName name="공사현황2" hidden="1">{#N/A,#N/A,FALSE,"이태원철근"}</definedName>
    <definedName name="공양식"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공양식"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공일" localSheetId="3">#REF!</definedName>
    <definedName name="공일">#REF!</definedName>
    <definedName name="공정" hidden="1">{#N/A,#N/A,FALSE,"이태원철근"}</definedName>
    <definedName name="공정2" hidden="1">{#N/A,#N/A,FALSE,"이태원철근"}</definedName>
    <definedName name="공정계획" localSheetId="3" hidden="1">{#N/A,#N/A,FALSE,"이태원철근"}</definedName>
    <definedName name="공정계획" hidden="1">{#N/A,#N/A,FALSE,"이태원철근"}</definedName>
    <definedName name="공정표" localSheetId="3" hidden="1">{#N/A,#N/A,FALSE,"운반시간"}</definedName>
    <definedName name="공정표" hidden="1">{#N/A,#N/A,FALSE,"운반시간"}</definedName>
    <definedName name="공종" localSheetId="3">#REF!</definedName>
    <definedName name="공종">#REF!</definedName>
    <definedName name="공종갯수" localSheetId="3">#REF!</definedName>
    <definedName name="공종갯수">#REF!</definedName>
    <definedName name="공종보기">[160]!공종보기</definedName>
    <definedName name="공통가설내역서" localSheetId="3" hidden="1">{#N/A,#N/A,FALSE,"이태원철근"}</definedName>
    <definedName name="공통가설내역서" hidden="1">{#N/A,#N/A,FALSE,"이태원철근"}</definedName>
    <definedName name="공통비" hidden="1">#REF!</definedName>
    <definedName name="공통비총괄표" localSheetId="3">#REF!</definedName>
    <definedName name="공통비총괄표">#REF!</definedName>
    <definedName name="공통비코아" hidden="1">[15]Sheet2!#REF!</definedName>
    <definedName name="관급" localSheetId="3">#REF!,#REF!,#REF!</definedName>
    <definedName name="관급">#REF!,#REF!,#REF!</definedName>
    <definedName name="관급자재비" localSheetId="3">#REF!</definedName>
    <definedName name="관급자재비">#REF!</definedName>
    <definedName name="관리">#REF!</definedName>
    <definedName name="관리외">#REF!,#REF!</definedName>
    <definedName name="관리외총">#REF!,#REF!</definedName>
    <definedName name="광장동" localSheetId="3">BlankMacro1</definedName>
    <definedName name="광장동">BlankMacro1</definedName>
    <definedName name="교" hidden="1">{#N/A,#N/A,FALSE,"이태원철근"}</definedName>
    <definedName name="교굑"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localSheetId="3" hidden="1">#REF!</definedName>
    <definedName name="교동토" hidden="1">#REF!</definedName>
    <definedName name="교동토목" localSheetId="3" hidden="1">{#N/A,#N/A,FALSE,"이태원철근"}</definedName>
    <definedName name="교동토목" hidden="1">{#N/A,#N/A,FALSE,"이태원철근"}</definedName>
    <definedName name="교동토목공사" localSheetId="3" hidden="1">{#N/A,#N/A,FALSE,"이태원철근"}</definedName>
    <definedName name="교동토목공사" hidden="1">{#N/A,#N/A,FALSE,"이태원철근"}</definedName>
    <definedName name="교ㅗ" hidden="1">{#N/A,#N/A,FALSE,"이태원철근"}</definedName>
    <definedName name="구분" localSheetId="3">#REF!</definedName>
    <definedName name="구분">#REF!</definedName>
    <definedName name="구조물_터파기" localSheetId="3">#REF!</definedName>
    <definedName name="구조물_터파기">#REF!</definedName>
    <definedName name="구조물공" localSheetId="3" hidden="1">{#N/A,#N/A,FALSE,"이정표"}</definedName>
    <definedName name="구조물공" hidden="1">{#N/A,#N/A,FALSE,"이정표"}</definedName>
    <definedName name="구조물공사" hidden="1">{#N/A,#N/A,TRUE,"토적및재료집계";#N/A,#N/A,TRUE,"토적및재료집계";#N/A,#N/A,TRUE,"단위량"}</definedName>
    <definedName name="구조물터파기" localSheetId="3">#REF!</definedName>
    <definedName name="구조물터파기">#REF!</definedName>
    <definedName name="국가" localSheetId="3">[161]Sheet2!$A$2:$A$11</definedName>
    <definedName name="국가">[162]Sheet2!$A$2:$A$11</definedName>
    <definedName name="국내" hidden="1">#REF!</definedName>
    <definedName name="규격" localSheetId="3">#REF!</definedName>
    <definedName name="규격">#REF!</definedName>
    <definedName name="그림24">#REF!</definedName>
    <definedName name="그만" localSheetId="3">#REF!</definedName>
    <definedName name="그만">#REF!</definedName>
    <definedName name="근무시간" localSheetId="3">[161]Sheet2!$B$2:$B$11</definedName>
    <definedName name="근무시간">[162]Sheet2!$B$2:$B$11</definedName>
    <definedName name="금액" localSheetId="3">#REF!</definedName>
    <definedName name="금액">#REF!</definedName>
    <definedName name="금액비교" hidden="1">{#N/A,#N/A,TRUE,"Basic";#N/A,#N/A,TRUE,"EXT-TABLE";#N/A,#N/A,TRUE,"STEEL";#N/A,#N/A,TRUE,"INT-Table";#N/A,#N/A,TRUE,"STEEL";#N/A,#N/A,TRUE,"Door"}</definedName>
    <definedName name="기간">#REF!</definedName>
    <definedName name="기계" localSheetId="3">#REF!</definedName>
    <definedName name="기계">#REF!</definedName>
    <definedName name="기계1" localSheetId="3">#REF!</definedName>
    <definedName name="기계1">#REF!</definedName>
    <definedName name="기계외">#REF!</definedName>
    <definedName name="기계외총">#REF!</definedName>
    <definedName name="기공" hidden="1">[163]노임이!#REF!</definedName>
    <definedName name="기기222" localSheetId="3" hidden="1">{#VALUE!,#N/A,FALSE,0;#N/A,#N/A,FALSE,0;#N/A,#N/A,FALSE,0;#N/A,#N/A,FALSE,0}</definedName>
    <definedName name="기기222" hidden="1">{#VALUE!,#N/A,FALSE,0;#N/A,#N/A,FALSE,0;#N/A,#N/A,FALSE,0;#N/A,#N/A,FALSE,0}</definedName>
    <definedName name="기기231"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기기23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기기기" localSheetId="3" hidden="1">{#N/A,#N/A,FALSE,"사업총괄";#N/A,#N/A,FALSE,"장비사업";#N/A,#N/A,FALSE,"철구사업";#N/A,#N/A,FALSE,"준설사업"}</definedName>
    <definedName name="기기기" hidden="1">{#N/A,#N/A,FALSE,"사업총괄";#N/A,#N/A,FALSE,"장비사업";#N/A,#N/A,FALSE,"철구사업";#N/A,#N/A,FALSE,"준설사업"}</definedName>
    <definedName name="기기신설" localSheetId="3">#REF!</definedName>
    <definedName name="기기신설">#REF!</definedName>
    <definedName name="기기철거" localSheetId="3">#REF!</definedName>
    <definedName name="기기철거">#REF!</definedName>
    <definedName name="기능공" localSheetId="3">#REF!</definedName>
    <definedName name="기능공">#REF!</definedName>
    <definedName name="기능공1" localSheetId="3">#REF!</definedName>
    <definedName name="기능공1">#REF!</definedName>
    <definedName name="기능공2">[164]Sheet1!$AE$54</definedName>
    <definedName name="기능공투입계획" localSheetId="3">#REF!</definedName>
    <definedName name="기능공투입계획">#REF!</definedName>
    <definedName name="기본" localSheetId="3">#REF!</definedName>
    <definedName name="기본">#REF!</definedName>
    <definedName name="기본시간" localSheetId="3">[161]Sheet2!$C$2:$C$11</definedName>
    <definedName name="기본시간">[162]Sheet2!$C$2:$C$11</definedName>
    <definedName name="기성3" hidden="1">{#N/A,#N/A,FALSE,"CCTV"}</definedName>
    <definedName name="기안" localSheetId="3" hidden="1">#REF!</definedName>
    <definedName name="기안" hidden="1">#REF!</definedName>
    <definedName name="기안변경" localSheetId="3" hidden="1">#REF!</definedName>
    <definedName name="기안변경" hidden="1">#REF!</definedName>
    <definedName name="기업" localSheetId="3">BlankMacro1</definedName>
    <definedName name="기업">BlankMacro1</definedName>
    <definedName name="기전1" localSheetId="3" hidden="1">{#N/A,#N/A,FALSE,"TABLE"}</definedName>
    <definedName name="기전1" hidden="1">{#N/A,#N/A,FALSE,"TABLE"}</definedName>
    <definedName name="기준환율">[109]입찰내역서!$R$11</definedName>
    <definedName name="기지지지" localSheetId="3" hidden="1">{#N/A,#N/A,FALSE,"사업총괄";#N/A,#N/A,FALSE,"장비사업";#N/A,#N/A,FALSE,"철구사업";#N/A,#N/A,FALSE,"준설사업"}</definedName>
    <definedName name="기지지지" hidden="1">{#N/A,#N/A,FALSE,"사업총괄";#N/A,#N/A,FALSE,"장비사업";#N/A,#N/A,FALSE,"철구사업";#N/A,#N/A,FALSE,"준설사업"}</definedName>
    <definedName name="기초_잡석깔기" localSheetId="3">#REF!</definedName>
    <definedName name="기초_잡석깔기">#REF!</definedName>
    <definedName name="기초잡석깔기" localSheetId="3">#REF!</definedName>
    <definedName name="기초잡석깔기">#REF!</definedName>
    <definedName name="기타경비" localSheetId="3" hidden="1">{#N/A,#N/A,TRUE,"토적및재료집계";#N/A,#N/A,TRUE,"토적및재료집계";#N/A,#N/A,TRUE,"단위량"}</definedName>
    <definedName name="기타경비" hidden="1">{#N/A,#N/A,TRUE,"토적및재료집계";#N/A,#N/A,TRUE,"토적및재료집계";#N/A,#N/A,TRUE,"단위량"}</definedName>
    <definedName name="기타경비1" localSheetId="3" hidden="1">{#N/A,#N/A,TRUE,"토적및재료집계";#N/A,#N/A,TRUE,"토적및재료집계";#N/A,#N/A,TRUE,"단위량"}</definedName>
    <definedName name="기타경비1" hidden="1">{#N/A,#N/A,TRUE,"토적및재료집계";#N/A,#N/A,TRUE,"토적및재료집계";#N/A,#N/A,TRUE,"단위량"}</definedName>
    <definedName name="김" localSheetId="3" hidden="1">{#N/A,#N/A,TRUE,"Basic";#N/A,#N/A,TRUE,"EXT-TABLE";#N/A,#N/A,TRUE,"STEEL";#N/A,#N/A,TRUE,"INT-Table";#N/A,#N/A,TRUE,"STEEL";#N/A,#N/A,TRUE,"Door"}</definedName>
    <definedName name="김" hidden="1">{#N/A,#N/A,TRUE,"Basic";#N/A,#N/A,TRUE,"EXT-TABLE";#N/A,#N/A,TRUE,"STEEL";#N/A,#N/A,TRUE,"INT-Table";#N/A,#N/A,TRUE,"STEEL";#N/A,#N/A,TRUE,"Door"}</definedName>
    <definedName name="김_1" hidden="1">{#N/A,#N/A,TRUE,"Basic";#N/A,#N/A,TRUE,"EXT-TABLE";#N/A,#N/A,TRUE,"STEEL";#N/A,#N/A,TRUE,"INT-Table";#N/A,#N/A,TRUE,"STEEL";#N/A,#N/A,TRUE,"Door"}</definedName>
    <definedName name="김1" localSheetId="3"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2" localSheetId="3">#REF!</definedName>
    <definedName name="김2">#REF!</definedName>
    <definedName name="김3" localSheetId="3"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김김" localSheetId="3">#REF!</definedName>
    <definedName name="김김김">#REF!</definedName>
    <definedName name="김동종" localSheetId="3" hidden="1">#REF!</definedName>
    <definedName name="김동종" hidden="1">#REF!</definedName>
    <definedName name="김명준" hidden="1">{"LKD",#N/A,FALSE,"표지"}</definedName>
    <definedName name="김병철" hidden="1">{"LKD",#N/A,FALSE,"표지"}</definedName>
    <definedName name="김병철1" hidden="1">{"LKD",#N/A,FALSE,"표지"}</definedName>
    <definedName name="김석철" localSheetId="3" hidden="1">{#N/A,#N/A,FALSE,"TABLE"}</definedName>
    <definedName name="김석철" hidden="1">{#N/A,#N/A,FALSE,"TABLE"}</definedName>
    <definedName name="김성배_상무" localSheetId="3">#REF!</definedName>
    <definedName name="김성배_상무">#REF!</definedName>
    <definedName name="김성찬" localSheetId="3" hidden="1">#REF!</definedName>
    <definedName name="김성찬" hidden="1">#REF!</definedName>
    <definedName name="김재홍" hidden="1">{"LKD",#N/A,FALSE,"표지"}</definedName>
    <definedName name="김전진행" localSheetId="3">#REF!</definedName>
    <definedName name="김전진행">#REF!</definedName>
    <definedName name="김전진행2" localSheetId="3">#REF!</definedName>
    <definedName name="김전진행2">#REF!</definedName>
    <definedName name="김전청산" localSheetId="3">#REF!</definedName>
    <definedName name="김전청산">#REF!</definedName>
    <definedName name="김중규" hidden="1">{#N/A,#N/A,FALSE,"이태원철근"}</definedName>
    <definedName name="김희진행" localSheetId="3">#REF!</definedName>
    <definedName name="김희진행">#REF!</definedName>
    <definedName name="김희진행2" localSheetId="3">#REF!</definedName>
    <definedName name="김희진행2">#REF!</definedName>
    <definedName name="김희청산" localSheetId="3">#REF!</definedName>
    <definedName name="김희청산">#REF!</definedName>
    <definedName name="끝에삽입" localSheetId="3" hidden="1">{#N/A,#N/A,FALSE,"이태원철근"}</definedName>
    <definedName name="끝에삽입" hidden="1">{#N/A,#N/A,FALSE,"이태원철근"}</definedName>
    <definedName name="ㄳ" localSheetId="3" hidden="1">{#N/A,#N/A,FALSE,"단가표지"}</definedName>
    <definedName name="ㄳ" hidden="1">{#N/A,#N/A,FALSE,"단가표지"}</definedName>
    <definedName name="ㄳㄱ소쇼ㅓ" hidden="1">#REF!</definedName>
    <definedName name="ㄴ" localSheetId="3" hidden="1">#REF!</definedName>
    <definedName name="ㄴ" hidden="1">{#N/A,#N/A,TRUE,"Basic";#N/A,#N/A,TRUE,"EXT-TABLE";#N/A,#N/A,TRUE,"STEEL";#N/A,#N/A,TRUE,"INT-Table";#N/A,#N/A,TRUE,"STEEL";#N/A,#N/A,TRUE,"Door"}</definedName>
    <definedName name="ㄴㄴ" localSheetId="3" hidden="1">{#N/A,#N/A,FALSE,"예상손익";#N/A,#N/A,FALSE,"관리분석";#N/A,#N/A,FALSE,"장비분석";#N/A,#N/A,FALSE,"준설분석";#N/A,#N/A,FALSE,"철구분석"}</definedName>
    <definedName name="ㄴㄴ" hidden="1">#REF!</definedName>
    <definedName name="ㄴㄴㄴ">#N/A</definedName>
    <definedName name="ㄴㄴㄴㄴ" localSheetId="3" hidden="1">'[165]매각(6)'!$A$1:$IV$4051</definedName>
    <definedName name="ㄴㄴㄴㄴ" hidden="1">'[166]매각(6)'!$1:$4051</definedName>
    <definedName name="ㄴㄴㄴㄴㄴ">#REF!</definedName>
    <definedName name="ㄴㄴㄴㄴㅇ">#N/A</definedName>
    <definedName name="ㄴㄴㄴㅇㅁ" localSheetId="3" hidden="1">{#N/A,#N/A,FALSE,"이태원철근"}</definedName>
    <definedName name="ㄴㄴㄴㅇㅁ" hidden="1">{#N/A,#N/A,FALSE,"이태원철근"}</definedName>
    <definedName name="ㄴㄴㄷ" hidden="1">{#N/A,#N/A,FALSE,"이태원철근"}</definedName>
    <definedName name="ㄴㄻㄴㅇ" localSheetId="3" hidden="1">{#N/A,#N/A,FALSE,"조골재"}</definedName>
    <definedName name="ㄴㄻㄴㅇ" hidden="1">{#N/A,#N/A,FALSE,"조골재"}</definedName>
    <definedName name="ㄴㅁ논ㄹ홍" hidden="1">{#N/A,#N/A,FALSE,"이태원철근"}</definedName>
    <definedName name="ㄴㅁㄹㄴㅁㅇㄴㅇㅁㄹㄴ" localSheetId="3" hidden="1">{#N/A,#N/A,FALSE,"단가표지"}</definedName>
    <definedName name="ㄴㅁㄹㄴㅁㅇㄴㅇㅁㄹㄴ" hidden="1">{#N/A,#N/A,FALSE,"단가표지"}</definedName>
    <definedName name="ㄴㅁㅁㄴㄴㅁ">#N/A</definedName>
    <definedName name="ㄴㅁㅁㅁㅁㅁㅁ" hidden="1">{#N/A,#N/A,FALSE,"이태원철근"}</definedName>
    <definedName name="ㄴㅁㅇㅂㅈㄷㅁㄴㅂㅈㄷ" hidden="1">{#N/A,#N/A,FALSE,"이태원철근"}</definedName>
    <definedName name="ㄴㅁㅇㅎㅁㄴㅇㄻㄴㄷㅈㄹㄴㅇ" hidden="1">{#N/A,#N/A,FALSE,"이태원철근"}</definedName>
    <definedName name="ㄴㅇ" localSheetId="3" hidden="1">{#N/A,#N/A,FALSE,"이태원철근"}</definedName>
    <definedName name="ㄴㅇ" hidden="1">{#N/A,#N/A,FALSE,"이태원철근"}</definedName>
    <definedName name="ㄴㅇㄹ" hidden="1">{#N/A,#N/A,FALSE,"CCTV"}</definedName>
    <definedName name="ㄴㅇㄹㄴㅇㄹㄴㅇㅁㄹㄴㄷㅈㄱㄹ" hidden="1">{#N/A,#N/A,FALSE,"이태원철근"}</definedName>
    <definedName name="ㄴㅇㄹㄴㅇㄻㄴㅇㄹ" hidden="1">{#N/A,#N/A,FALSE,"이태원철근"}</definedName>
    <definedName name="ㄴㅇㄻㄴㅇㄹ" hidden="1">{#N/A,#N/A,FALSE,"이태원철근"}</definedName>
    <definedName name="ㄴㅇㄻㄴㅇㄻㄴㅇㄻㄴㅇ" hidden="1">{#N/A,#N/A,FALSE,"이태원철근"}</definedName>
    <definedName name="ㄴㅇㅀㄴㄶ" localSheetId="3" hidden="1">{#N/A,#N/A,FALSE,"운반시간"}</definedName>
    <definedName name="ㄴㅇㅀㄴㄶ" hidden="1">{#N/A,#N/A,FALSE,"운반시간"}</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ㅎ" hidden="1">{#N/A,#N/A,FALSE,"이태원철근"}</definedName>
    <definedName name="ㄴㅇㅎㄻㄴㄻㄴㅇ" hidden="1">{#N/A,#N/A,FALSE,"이태원철근"}</definedName>
    <definedName name="나" hidden="1">[14]유림골조!#REF!</definedName>
    <definedName name="남미Site출발항공료">'[109]계약고별 차등단가'!#REF!</definedName>
    <definedName name="남미출장비">'[109]계약고별 차등단가'!#REF!</definedName>
    <definedName name="남미한국출발항공료">'[109]계약고별 차등단가'!#REF!</definedName>
    <definedName name="남미호텔비">'[109]계약고별 차등단가'!#REF!</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납기일" localSheetId="3">#REF!</definedName>
    <definedName name="납기일">#REF!</definedName>
    <definedName name="내선전공">#REF!</definedName>
    <definedName name="내역" localSheetId="3" hidden="1">{#N/A,#N/A,FALSE,"단가표지"}</definedName>
    <definedName name="내역" hidden="1">{#N/A,#N/A,FALSE,"단가표지"}</definedName>
    <definedName name="내역1">[160]!내역1</definedName>
    <definedName name="내역서" localSheetId="3">#REF!</definedName>
    <definedName name="내역서">#REF!</definedName>
    <definedName name="내역서1" localSheetId="3">#REF!</definedName>
    <definedName name="내역서1">#REF!</definedName>
    <definedName name="낷" localSheetId="3">#REF!</definedName>
    <definedName name="낷">#REF!</definedName>
    <definedName name="낷2" localSheetId="3">#REF!</definedName>
    <definedName name="낷2">#REF!</definedName>
    <definedName name="넣러" localSheetId="3" hidden="1">{#N/A,#N/A,FALSE,"표지목차"}</definedName>
    <definedName name="넣러" hidden="1">{#N/A,#N/A,FALSE,"표지목차"}</definedName>
    <definedName name="년초99" localSheetId="3">#REF!</definedName>
    <definedName name="년초99">#REF!</definedName>
    <definedName name="노" localSheetId="3" hidden="1">{#N/A,#N/A,FALSE,"사업총괄";#N/A,#N/A,FALSE,"장비사업";#N/A,#N/A,FALSE,"철구사업";#N/A,#N/A,FALSE,"준설사업"}</definedName>
    <definedName name="노" hidden="1">{#N/A,#N/A,FALSE,"사업총괄";#N/A,#N/A,FALSE,"장비사업";#N/A,#N/A,FALSE,"철구사업";#N/A,#N/A,FALSE,"준설사업"}</definedName>
    <definedName name="노견토_포설_및_다짐" localSheetId="3">#REF!</definedName>
    <definedName name="노견토_포설_및_다짐">#REF!</definedName>
    <definedName name="노견토포설및다짐" localSheetId="3">#REF!</definedName>
    <definedName name="노견토포설및다짐">#REF!</definedName>
    <definedName name="노무비" localSheetId="3">#REF!</definedName>
    <definedName name="노무비">#REF!</definedName>
    <definedName name="노무비단가산출서" hidden="1">#REF!</definedName>
    <definedName name="노무인력투입계획교사" hidden="1">{#N/A,#N/A,FALSE,"이태원철근"}</definedName>
    <definedName name="노상_준비_공사" localSheetId="3">#REF!</definedName>
    <definedName name="노상_준비_공사">#REF!</definedName>
    <definedName name="노상준비공사" localSheetId="3">#REF!</definedName>
    <definedName name="노상준비공사">#REF!</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 localSheetId="3">#REF!</definedName>
    <definedName name="노임">#REF!</definedName>
    <definedName name="노트" hidden="1">{#N/A,#N/A,TRUE,"총괄"}</definedName>
    <definedName name="노형1" localSheetId="3" hidden="1">{#N/A,#N/A,FALSE,"사업총괄";#N/A,#N/A,FALSE,"장비사업";#N/A,#N/A,FALSE,"철구사업";#N/A,#N/A,FALSE,"준설사업"}</definedName>
    <definedName name="노형1" hidden="1">{#N/A,#N/A,FALSE,"사업총괄";#N/A,#N/A,FALSE,"장비사업";#N/A,#N/A,FALSE,"철구사업";#N/A,#N/A,FALSE,"준설사업"}</definedName>
    <definedName name="놀ㄴ홀옿ㅇ" hidden="1">{#N/A,#N/A,FALSE,"이태원철근"}</definedName>
    <definedName name="놈ㄴㅁㅇ로" hidden="1">{#N/A,#N/A,FALSE,"이태원철근"}</definedName>
    <definedName name="놓ㄹ노" localSheetId="3" hidden="1">{#N/A,#N/A,FALSE,"골재소요량";#N/A,#N/A,FALSE,"골재소요량"}</definedName>
    <definedName name="놓ㄹ노" hidden="1">{#N/A,#N/A,FALSE,"골재소요량";#N/A,#N/A,FALSE,"골재소요량"}</definedName>
    <definedName name="놓롢론ㄹ" hidden="1">{#N/A,#N/A,FALSE,"이태원철근"}</definedName>
    <definedName name="ㄶㅇㅀㄴㅇ" localSheetId="3" hidden="1">{#N/A,#N/A,FALSE,"표지목차"}</definedName>
    <definedName name="ㄶㅇㅀㄴㅇ" hidden="1">{#N/A,#N/A,FALSE,"표지목차"}</definedName>
    <definedName name="ㄶㅇㅁㄶㅇㅎㅇㅁㄶㅁㄶㅇ" hidden="1">{#N/A,#N/A,FALSE,"이태원철근"}</definedName>
    <definedName name="ㄷ" hidden="1">{#N/A,#N/A,FALSE,"이태원철근"}</definedName>
    <definedName name="ㄷㄱ" localSheetId="3" hidden="1">{#N/A,#N/A,FALSE,"단가표지"}</definedName>
    <definedName name="ㄷㄱ" hidden="1">{#N/A,#N/A,FALSE,"단가표지"}</definedName>
    <definedName name="ㄷㄱㅈ" hidden="1">{#N/A,#N/A,FALSE,"이태원철근"}</definedName>
    <definedName name="ㄷㄱㅈㄱㄷㅈ" hidden="1">{#N/A,#N/A,FALSE,"이태원철근"}</definedName>
    <definedName name="ㄷ굦ㄷ굗ㄱㅈ" hidden="1">{#N/A,#N/A,FALSE,"이태원철근"}</definedName>
    <definedName name="ㄷㄳ" hidden="1">{#N/A,#N/A,FALSE,"이태원철근"}</definedName>
    <definedName name="ㄷㄷ" localSheetId="4" hidden="1">{#N/A,#N/A,FALSE,"이태원철근"}</definedName>
    <definedName name="ㄷㄷ">#N/A</definedName>
    <definedName name="ㄷㄷㄷ" localSheetId="3" hidden="1">{#N/A,#N/A,FALSE,"운반시간"}</definedName>
    <definedName name="ㄷㄷㄷ" hidden="1">{#N/A,#N/A,FALSE,"운반시간"}</definedName>
    <definedName name="ㄷㄷㄷㄷㄷ" localSheetId="3" hidden="1">{#N/A,#N/A,FALSE,"이태원철근"}</definedName>
    <definedName name="ㄷㄷㄷㄷㄷ" hidden="1">{#N/A,#N/A,FALSE,"이태원철근"}</definedName>
    <definedName name="ㄷㄹ" localSheetId="3" hidden="1">{#N/A,#N/A,FALSE,"부대2"}</definedName>
    <definedName name="ㄷㄹ" hidden="1">{#N/A,#N/A,FALSE,"부대2"}</definedName>
    <definedName name="ㄷㄹㄷ" hidden="1">#REF!</definedName>
    <definedName name="ㄷㄹㅈㄷㄽ" localSheetId="3" hidden="1">{#N/A,#N/A,FALSE,"포장2"}</definedName>
    <definedName name="ㄷㄹㅈㄷㄽ" hidden="1">{#N/A,#N/A,FALSE,"포장2"}</definedName>
    <definedName name="ㄷ오" localSheetId="3" hidden="1">{#N/A,#N/A,FALSE,"이태원철근"}</definedName>
    <definedName name="ㄷ오" hidden="1">{#N/A,#N/A,FALSE,"이태원철근"}</definedName>
    <definedName name="ㄷㅈㄱㅈㄷㄱㅈㄱ주" hidden="1">{#N/A,#N/A,FALSE,"이태원철근"}</definedName>
    <definedName name="ㄷㅈㅈㅈㅈㅂ" hidden="1">{#N/A,#N/A,FALSE,"이태원철근"}</definedName>
    <definedName name="다" localSheetId="3">#REF!</definedName>
    <definedName name="다" hidden="1">[25]Sheet4!#REF!</definedName>
    <definedName name="단가2" localSheetId="3" hidden="1">{#N/A,#N/A,FALSE,"이태원철근"}</definedName>
    <definedName name="단가2" hidden="1">{#N/A,#N/A,FALSE,"이태원철근"}</definedName>
    <definedName name="단가비교" localSheetId="3">#REF!</definedName>
    <definedName name="단가비교">#REF!</definedName>
    <definedName name="단가비교표" localSheetId="3">#REF!,#REF!</definedName>
    <definedName name="단가비교표">#REF!,#REF!</definedName>
    <definedName name="단가산출" localSheetId="3">#REF!</definedName>
    <definedName name="단가산출">#REF!</definedName>
    <definedName name="단가할증" localSheetId="3">#REF!</definedName>
    <definedName name="단가할증">#REF!</definedName>
    <definedName name="단순" localSheetId="17">#REF!</definedName>
    <definedName name="단순" localSheetId="15">#REF!</definedName>
    <definedName name="단순">#REF!</definedName>
    <definedName name="단위" localSheetId="3">#REF!</definedName>
    <definedName name="단위">#REF!</definedName>
    <definedName name="달러환율" localSheetId="3">#REF!</definedName>
    <definedName name="달러환율">#REF!</definedName>
    <definedName name="당" hidden="1">{#N/A,#N/A,FALSE,"이태원철근"}</definedName>
    <definedName name="당초계획" localSheetId="17" hidden="1">#REF!</definedName>
    <definedName name="당초계획" localSheetId="15" hidden="1">#REF!</definedName>
    <definedName name="당초계획" localSheetId="4" hidden="1">#REF!</definedName>
    <definedName name="당초계획" localSheetId="3" hidden="1">#REF!</definedName>
    <definedName name="당초계획" hidden="1">#REF!</definedName>
    <definedName name="대가" localSheetId="3">#REF!</definedName>
    <definedName name="대가">#REF!</definedName>
    <definedName name="대가1" localSheetId="3">#REF!</definedName>
    <definedName name="대가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여금" localSheetId="3" hidden="1">{#N/A,#N/A,FALSE,"이태원철근"}</definedName>
    <definedName name="대여금" hidden="1">{#N/A,#N/A,FALSE,"이태원철근"}</definedName>
    <definedName name="대전유통">[167]견적서!$A$1:$D$1063</definedName>
    <definedName name="더ㅓ" localSheetId="3" hidden="1">{#N/A,#N/A,FALSE,"이태원철근"}</definedName>
    <definedName name="더ㅓ" hidden="1">{#N/A,#N/A,FALSE,"이태원철근"}</definedName>
    <definedName name="더ㅓㅓ" localSheetId="3" hidden="1">{#N/A,#N/A,FALSE,"이태원철근"}</definedName>
    <definedName name="더ㅓㅓ" hidden="1">{#N/A,#N/A,FALSE,"이태원철근"}</definedName>
    <definedName name="덕" hidden="1">{#N/A,#N/A,FALSE,"지침";#N/A,#N/A,FALSE,"환경분석";#N/A,#N/A,FALSE,"Sheet16"}</definedName>
    <definedName name="도" localSheetId="3" hidden="1">{#N/A,#N/A,FALSE,"이태원철근"}</definedName>
    <definedName name="도" hidden="1">{#N/A,#N/A,FALSE,"이태원철근"}</definedName>
    <definedName name="도급공사비" localSheetId="3">#REF!</definedName>
    <definedName name="도급공사비">#REF!</definedName>
    <definedName name="도급내역">[160]!도급내역</definedName>
    <definedName name="도급영역">[21]갑지!#REF!</definedName>
    <definedName name="도재운반" localSheetId="3">#REF!</definedName>
    <definedName name="도재운반">#REF!</definedName>
    <definedName name="동구연숩" hidden="1">{#N/A,#N/A,FALSE,"전력간선"}</definedName>
    <definedName name="동남아시아Site출발항공료">'[109]계약고별 차등단가'!#REF!</definedName>
    <definedName name="동남아시아출장비">'[109]계약고별 차등단가'!#REF!</definedName>
    <definedName name="동남아시아한국출발항공료">'[109]계약고별 차등단가'!#REF!</definedName>
    <definedName name="동남아시아호텔비">'[109]계약고별 차등단가'!#REF!</definedName>
    <definedName name="동원" localSheetId="3">#REF!</definedName>
    <definedName name="동원">#REF!</definedName>
    <definedName name="동원1" localSheetId="3">#REF!</definedName>
    <definedName name="동원1">#REF!</definedName>
    <definedName name="되메우기" localSheetId="3">#REF!</definedName>
    <definedName name="되메우기">#REF!</definedName>
    <definedName name="되메우기_및_다짐" localSheetId="3">#REF!</definedName>
    <definedName name="되메우기_및_다짐">#REF!</definedName>
    <definedName name="되메우기및다짐" localSheetId="3">#REF!</definedName>
    <definedName name="되메우기및다짐">#REF!</definedName>
    <definedName name="들" hidden="1">{#N/A,#N/A,FALSE,"이태원철근"}</definedName>
    <definedName name="ㄹ" localSheetId="3" hidden="1">{#N/A,#N/A,FALSE,"이태원철근"}</definedName>
    <definedName name="ㄹ" hidden="1">{#N/A,#N/A,FALSE,"이태원철근"}</definedName>
    <definedName name="ㄹㄴㄴㄴ" hidden="1">{#N/A,#N/A,FALSE,"이태원철근"}</definedName>
    <definedName name="ㄹㄴㄹ" hidden="1">#REF!</definedName>
    <definedName name="ㄹㄴㅇㄻㄴ" localSheetId="3" hidden="1">{#N/A,#N/A,FALSE,"단가표지"}</definedName>
    <definedName name="ㄹㄴㅇㄻㄴ" hidden="1">{#N/A,#N/A,FALSE,"단가표지"}</definedName>
    <definedName name="ㄹㄴ웋" localSheetId="3" hidden="1">{#N/A,#N/A,FALSE,"운반시간"}</definedName>
    <definedName name="ㄹㄴ웋" hidden="1">{#N/A,#N/A,FALSE,"운반시간"}</definedName>
    <definedName name="ㄹㄷㅈ" hidden="1">{#N/A,#N/A,FALSE,"이태원철근"}</definedName>
    <definedName name="ㄹㄹ" localSheetId="3" hidden="1">{#N/A,#N/A,FALSE,"조골재"}</definedName>
    <definedName name="ㄹㄹ" hidden="1">{#N/A,#N/A,FALSE,"조골재"}</definedName>
    <definedName name="ㄹㄹㄹ" hidden="1">{#N/A,#N/A,FALSE,"이태원철근"}</definedName>
    <definedName name="ㄹㄹㄹㄹㅀㅎ">#N/A</definedName>
    <definedName name="ㄹㅇ" localSheetId="3">#REF!</definedName>
    <definedName name="ㄹㅇ">#REF!</definedName>
    <definedName name="ㄹㅇㄹ" localSheetId="3" hidden="1">{#N/A,#N/A,FALSE,"혼합골재"}</definedName>
    <definedName name="ㄹㅇㄹ" hidden="1">{#N/A,#N/A,FALSE,"혼합골재"}</definedName>
    <definedName name="ㄹㅇㅁ" localSheetId="17">[164]사업부배부A!#REF!</definedName>
    <definedName name="ㄹㅇㅁ" localSheetId="15">[164]사업부배부A!#REF!</definedName>
    <definedName name="ㄹㅇㅁ">[164]사업부배부A!#REF!</definedName>
    <definedName name="ㄹㅇㅂ" hidden="1">{#N/A,#N/A,FALSE,"이태원철근"}</definedName>
    <definedName name="ㄹㅇㅎㄴㅇ" localSheetId="3" hidden="1">{#N/A,#N/A,FALSE,"조골재"}</definedName>
    <definedName name="ㄹㅇㅎㄴㅇ" hidden="1">{#N/A,#N/A,FALSE,"조골재"}</definedName>
    <definedName name="라" hidden="1">[25]Sheet4!#REF!</definedName>
    <definedName name="래그" hidden="1">{#N/A,#N/A,FALSE,"CCTV"}</definedName>
    <definedName name="러시아Site출발항공료">'[109]계약고별 차등단가'!#REF!</definedName>
    <definedName name="러시아출장비">'[109]계약고별 차등단가'!#REF!</definedName>
    <definedName name="러시아한국출발항공료">'[109]계약고별 차등단가'!#REF!</definedName>
    <definedName name="러시아호텔비">'[109]계약고별 차등단가'!#REF!</definedName>
    <definedName name="러ㅛ" hidden="1">{#N/A,#N/A,FALSE,"이태원철근"}</definedName>
    <definedName name="레미콘__철근" localSheetId="3">#REF!</definedName>
    <definedName name="레미콘__철근">#REF!</definedName>
    <definedName name="레미콘_철근" localSheetId="3">#REF!</definedName>
    <definedName name="레미콘_철근">#REF!</definedName>
    <definedName name="레미콘_타설" localSheetId="3">#REF!</definedName>
    <definedName name="레미콘_타설">#REF!</definedName>
    <definedName name="레미콘_타설__철근" localSheetId="3">#REF!</definedName>
    <definedName name="레미콘_타설__철근">#REF!</definedName>
    <definedName name="레미콘철근" localSheetId="3">#REF!</definedName>
    <definedName name="레미콘철근">#REF!</definedName>
    <definedName name="레미콘타설" localSheetId="3">#REF!</definedName>
    <definedName name="레미콘타설">#REF!</definedName>
    <definedName name="레미콘타설_철근" localSheetId="3">#REF!</definedName>
    <definedName name="레미콘타설_철근">#REF!</definedName>
    <definedName name="레미콘타설철근" localSheetId="3">#REF!</definedName>
    <definedName name="레미콘타설철근">#REF!</definedName>
    <definedName name="로" localSheetId="3" hidden="1">{#N/A,#N/A,FALSE,"이태원철근"}</definedName>
    <definedName name="로" hidden="1">{#N/A,#N/A,FALSE,"이태원철근"}</definedName>
    <definedName name="로소" localSheetId="3" hidden="1">{#N/A,#N/A,FALSE,"포장2"}</definedName>
    <definedName name="로소" hidden="1">{#N/A,#N/A,FALSE,"포장2"}</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로ㅗ" localSheetId="3" hidden="1">{#N/A,#N/A,FALSE,"이태원철근"}</definedName>
    <definedName name="로ㅗ" hidden="1">{#N/A,#N/A,FALSE,"이태원철근"}</definedName>
    <definedName name="롷럻" hidden="1">{#N/A,#N/A,FALSE,"이태원철근"}</definedName>
    <definedName name="료료" localSheetId="3" hidden="1">{#N/A,#N/A,FALSE,"이태원철근"}</definedName>
    <definedName name="료료" hidden="1">{#N/A,#N/A,FALSE,"이태원철근"}</definedName>
    <definedName name="류기평" hidden="1">{"LKD",#N/A,FALSE,"표지"}</definedName>
    <definedName name="리리리" localSheetId="3">#REF!,#REF!,#REF!</definedName>
    <definedName name="리리리">#REF!,#REF!,#REF!</definedName>
    <definedName name="리비" localSheetId="3" hidden="1">#REF!</definedName>
    <definedName name="리비" hidden="1">#REF!</definedName>
    <definedName name="ㄻㄴㄹㅇㄴㅁ" localSheetId="3" hidden="1">{#N/A,#N/A,FALSE,"운반시간"}</definedName>
    <definedName name="ㄻㄴㄹㅇㄴㅁ" hidden="1">{#N/A,#N/A,FALSE,"운반시간"}</definedName>
    <definedName name="ㄻㄴㄻㄴㅇㄻㄴ" localSheetId="3" hidden="1">{#N/A,#N/A,FALSE,"표지목차"}</definedName>
    <definedName name="ㄻㄴㄻㄴㅇㄻㄴ" hidden="1">{#N/A,#N/A,FALSE,"표지목차"}</definedName>
    <definedName name="ㄻㄴㅇㄻㄴ" localSheetId="3" hidden="1">{#N/A,#N/A,FALSE,"단가표지"}</definedName>
    <definedName name="ㄻㄴㅇㄻㄴ" hidden="1">{#N/A,#N/A,FALSE,"단가표지"}</definedName>
    <definedName name="ㄻㄴㅇㄻㄴㄹ" localSheetId="3" hidden="1">{#N/A,#N/A,FALSE,"2~8번"}</definedName>
    <definedName name="ㄻㄴㅇㄻㄴㄹ" hidden="1">{#N/A,#N/A,FALSE,"2~8번"}</definedName>
    <definedName name="ㄻㄴㅇㄻㄴㄻㄴㅁㄴ" localSheetId="3" hidden="1">{#N/A,#N/A,FALSE,"단가표지"}</definedName>
    <definedName name="ㄻㄴㅇㄻㄴㄻㄴㅁㄴ" hidden="1">{#N/A,#N/A,FALSE,"단가표지"}</definedName>
    <definedName name="ㄻㄴㅇㄻㄴㅁ" localSheetId="3" hidden="1">{#N/A,#N/A,FALSE,"운반시간"}</definedName>
    <definedName name="ㄻㄴㅇㄻㄴㅁ" hidden="1">{#N/A,#N/A,FALSE,"운반시간"}</definedName>
    <definedName name="ㄻㄴㅇㄻㄴㅇ" localSheetId="3" hidden="1">{#N/A,#N/A,FALSE,"단가표지"}</definedName>
    <definedName name="ㄻㄴㅇㄻㄴㅇ" hidden="1">{#N/A,#N/A,FALSE,"단가표지"}</definedName>
    <definedName name="ㄻㄴㅇㄻㄴㅇㄻ" localSheetId="3" hidden="1">{#N/A,#N/A,FALSE,"표지목차"}</definedName>
    <definedName name="ㄻㄴㅇㄻㄴㅇㄻ" hidden="1">{#N/A,#N/A,FALSE,"표지목차"}</definedName>
    <definedName name="ㄻㄴㅇㅁㄴㅇ" localSheetId="3" hidden="1">{#N/A,#N/A,FALSE,"단가표지"}</definedName>
    <definedName name="ㄻㄴㅇㅁㄴㅇ" hidden="1">{#N/A,#N/A,FALSE,"단가표지"}</definedName>
    <definedName name="ㄻㅁ" localSheetId="3" hidden="1">{#N/A,#N/A,FALSE,"조골재"}</definedName>
    <definedName name="ㄻㅁ" hidden="1">{#N/A,#N/A,FALSE,"조골재"}</definedName>
    <definedName name="ㄼ" hidden="1">{#N/A,#N/A,FALSE,"이태원철근"}</definedName>
    <definedName name="ㄼㅂ" hidden="1">{#N/A,#N/A,FALSE,"이태원철근"}</definedName>
    <definedName name="ㄽ허쇼ㅓ쇼ㅓㅛ서" hidden="1">#REF!</definedName>
    <definedName name="ㅀ" localSheetId="3" hidden="1">#REF!</definedName>
    <definedName name="ㅀ" hidden="1">#REF!</definedName>
    <definedName name="ㅀㅇㅁ" localSheetId="3" hidden="1">{#N/A,#N/A,FALSE,"골재소요량";#N/A,#N/A,FALSE,"골재소요량"}</definedName>
    <definedName name="ㅀㅇㅁ" hidden="1">{#N/A,#N/A,FALSE,"골재소요량";#N/A,#N/A,FALSE,"골재소요량"}</definedName>
    <definedName name="ㅀ허" hidden="1">{#N/A,#N/A,FALSE,"CCTV"}</definedName>
    <definedName name="ㅁ" localSheetId="4" hidden="1">{#N/A,#N/A,FALSE,"이태원철근"}</definedName>
    <definedName name="ㅁ">#N/A</definedName>
    <definedName name="ㅁ01" localSheetId="3">#REF!</definedName>
    <definedName name="ㅁ01">#REF!</definedName>
    <definedName name="ㅁ1" localSheetId="3">#REF!</definedName>
    <definedName name="ㅁ1">#REF!</definedName>
    <definedName name="ㅁ139" localSheetId="3">#REF!</definedName>
    <definedName name="ㅁ139">#REF!</definedName>
    <definedName name="ㅁ1390" localSheetId="3">#REF!</definedName>
    <definedName name="ㅁ1390">#REF!</definedName>
    <definedName name="ㅁ545" localSheetId="3">#REF!</definedName>
    <definedName name="ㅁ545">#REF!</definedName>
    <definedName name="ㅁ636" localSheetId="3">#REF!</definedName>
    <definedName name="ㅁ636">#REF!</definedName>
    <definedName name="ㅁ835" localSheetId="3">#REF!</definedName>
    <definedName name="ㅁ835">#REF!</definedName>
    <definedName name="ㅁㄴㄹㄴ" localSheetId="3" hidden="1">{#N/A,#N/A,FALSE,"운반시간"}</definedName>
    <definedName name="ㅁㄴㄹㄴ" hidden="1">{#N/A,#N/A,FALSE,"운반시간"}</definedName>
    <definedName name="ㅁㄴㄹㅇㅁ" localSheetId="3" hidden="1">{#N/A,#N/A,FALSE,"단가표지"}</definedName>
    <definedName name="ㅁㄴㄹㅇㅁ" hidden="1">{#N/A,#N/A,FALSE,"단가표지"}</definedName>
    <definedName name="ㅁㄴㄹㅇㅁㄴㅇ" hidden="1">'[3]#REF'!#REF!</definedName>
    <definedName name="ㅁㄴㅁㅁ">#N/A</definedName>
    <definedName name="ㅁㄴㅁㅇ" hidden="1">#REF!</definedName>
    <definedName name="ㅁㄴㅇ" localSheetId="3" hidden="1">{#N/A,#N/A,FALSE,"배수1"}</definedName>
    <definedName name="ㅁㄴㅇ" hidden="1">{#N/A,#N/A,TRUE,"총괄"}</definedName>
    <definedName name="ㅁㄴㅇㄷㅂㅈㄷㅇㅂㅈㄷ" hidden="1">{#N/A,#N/A,FALSE,"이태원철근"}</definedName>
    <definedName name="ㅁㄴㅇㄹ" localSheetId="3" hidden="1">'[1]TOWER 10TON'!#REF!</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ㄴ옴ㄴ오"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 localSheetId="3" hidden="1">{#N/A,#N/A,FALSE,"이태원철근"}</definedName>
    <definedName name="ㅁㄹ" hidden="1">{#N/A,#N/A,FALSE,"이태원철근"}</definedName>
    <definedName name="ㅁㄹㄴㅇ" localSheetId="3" hidden="1">{#N/A,#N/A,FALSE,"단가표지"}</definedName>
    <definedName name="ㅁㄹㄴㅇ" hidden="1">{#N/A,#N/A,FALSE,"단가표지"}</definedName>
    <definedName name="ㅁㄹㄴㅇㄻㄴㄹ" localSheetId="3" hidden="1">{#N/A,#N/A,FALSE,"골재소요량";#N/A,#N/A,FALSE,"골재소요량"}</definedName>
    <definedName name="ㅁㄹㄴㅇㄻㄴㄹ" hidden="1">{#N/A,#N/A,FALSE,"골재소요량";#N/A,#N/A,FALSE,"골재소요량"}</definedName>
    <definedName name="ㅁㄹㄴㅇㅁ" localSheetId="3" hidden="1">{#N/A,#N/A,FALSE,"표지목차"}</definedName>
    <definedName name="ㅁㄹㄴㅇㅁ" hidden="1">{#N/A,#N/A,FALSE,"표지목차"}</definedName>
    <definedName name="ㅁㄹㅇㄴ" localSheetId="3" hidden="1">{#N/A,#N/A,FALSE,"단가표지"}</definedName>
    <definedName name="ㅁㄹㅇㄴ" hidden="1">{#N/A,#N/A,FALSE,"단가표지"}</definedName>
    <definedName name="ㅁㄹㅇㅁㄴ" localSheetId="3" hidden="1">{#N/A,#N/A,FALSE,"골재소요량";#N/A,#N/A,FALSE,"골재소요량"}</definedName>
    <definedName name="ㅁㄹㅇㅁㄴ" hidden="1">{#N/A,#N/A,FALSE,"골재소요량";#N/A,#N/A,FALSE,"골재소요량"}</definedName>
    <definedName name="ㅁㄻㄴㄹ" localSheetId="3" hidden="1">{#N/A,#N/A,FALSE,"골재소요량";#N/A,#N/A,FALSE,"골재소요량"}</definedName>
    <definedName name="ㅁㄻㄴㄹ" hidden="1">{#N/A,#N/A,FALSE,"골재소요량";#N/A,#N/A,FALSE,"골재소요량"}</definedName>
    <definedName name="ㅁㅁ" hidden="1">{#N/A,#N/A,FALSE,"이태원철근"}</definedName>
    <definedName name="ㅁㅁㅁ" localSheetId="3">#REF!</definedName>
    <definedName name="ㅁㅁㅁ" hidden="1">{"LKD",#N/A,FALSE,"표지"}</definedName>
    <definedName name="ㅁㅁㅁㅁ" localSheetId="3" hidden="1">{#N/A,#N/A,FALSE,"혼합골재"}</definedName>
    <definedName name="ㅁㅁㅁㅁ" hidden="1">{#N/A,#N/A,FALSE,"혼합골재"}</definedName>
    <definedName name="ㅁㅁㅁㅁㅁ" hidden="1">{#N/A,#N/A,FALSE,"이태원철근"}</definedName>
    <definedName name="ㅁㅁㅁㅁㅁㅁ" localSheetId="3" hidden="1">{#N/A,#N/A,FALSE,"이태원철근"}</definedName>
    <definedName name="ㅁㅁㅁㅁㅁㅁ" hidden="1">{#N/A,#N/A,FALSE,"이태원철근"}</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ㅇㄴㄻㄴㅇㄻㄴㅇㄹ" hidden="1">{#N/A,#N/A,FALSE,"이태원철근"}</definedName>
    <definedName name="ㅁㅇㄹㄴㅇㅁㄹ" localSheetId="3" hidden="1">{#N/A,#N/A,FALSE,"운반시간"}</definedName>
    <definedName name="ㅁㅇㄹㄴㅇㅁㄹ" hidden="1">{#N/A,#N/A,FALSE,"운반시간"}</definedName>
    <definedName name="ㅁㅇㄻ" localSheetId="3" hidden="1">{#N/A,#N/A,FALSE,"조골재"}</definedName>
    <definedName name="ㅁㅇㄻ" hidden="1">{#N/A,#N/A,FALSE,"조골재"}</definedName>
    <definedName name="ㅁㅇㄻㄴㄹ" localSheetId="3" hidden="1">{#N/A,#N/A,FALSE,"혼합골재"}</definedName>
    <definedName name="ㅁㅇㄻㄴㄹ" hidden="1">{#N/A,#N/A,FALSE,"혼합골재"}</definedName>
    <definedName name="ㅁㅇㄻㄴㄻ" hidden="1">{#N/A,#N/A,FALSE,"이태원철근"}</definedName>
    <definedName name="ㅁㅇㄻㅇㅎ" localSheetId="3" hidden="1">{#N/A,#N/A,FALSE,"조골재"}</definedName>
    <definedName name="ㅁㅇㄻㅇㅎ" hidden="1">{#N/A,#N/A,FALSE,"조골재"}</definedName>
    <definedName name="ㅁㅇㅀㅁㅇ" localSheetId="3" hidden="1">{#N/A,#N/A,FALSE,"단가표지"}</definedName>
    <definedName name="ㅁㅇㅀㅁㅇ" hidden="1">{#N/A,#N/A,FALSE,"단가표지"}</definedName>
    <definedName name="ㅁㅇㅂㅈㄷㅇㅂㅈㄷㅁㄴ" hidden="1">{#N/A,#N/A,FALSE,"이태원철근"}</definedName>
    <definedName name="ㅁㅇㅎㅁㄴㅇㅎㅁㄴ">{"'장비'!$A$3:$M$12"}</definedName>
    <definedName name="ㅁㅇㅎㅁㄴㅇㅎㅇㅁㄶㄻㅇㄴ" hidden="1">{#N/A,#N/A,FALSE,"이태원철근"}</definedName>
    <definedName name="ㅁㅇㅎㅁㄶㅇㅁㅎㅇㄶㅇ" hidden="1">{#N/A,#N/A,FALSE,"이태원철근"}</definedName>
    <definedName name="ㅁ오ㅓㅇ머" hidden="1">{#N/A,#N/A,FALSE,"이태원철근"}</definedName>
    <definedName name="ㅁㅎㄻㅇㄻ" localSheetId="3" hidden="1">{#N/A,#N/A,FALSE,"운반시간"}</definedName>
    <definedName name="ㅁㅎㄻㅇㄻ" hidden="1">{#N/A,#N/A,FALSE,"운반시간"}</definedName>
    <definedName name="ㅁㅎㅇㅀㅁㅇ" localSheetId="3" hidden="1">{#N/A,#N/A,FALSE,"2~8번"}</definedName>
    <definedName name="ㅁㅎㅇㅀㅁㅇ" hidden="1">{#N/A,#N/A,FALSE,"2~8번"}</definedName>
    <definedName name="ㅁㅎㅇㅀㅁㅎ" localSheetId="3" hidden="1">{#N/A,#N/A,FALSE,"단가표지"}</definedName>
    <definedName name="ㅁㅎㅇㅀㅁㅎ" hidden="1">{#N/A,#N/A,FALSE,"단가표지"}</definedName>
    <definedName name="마감공사비A3" localSheetId="3" hidden="1">[168]유림골조!#REF!</definedName>
    <definedName name="마감공사비A3" hidden="1">[169]유림골조!#REF!</definedName>
    <definedName name="마지막" localSheetId="3">#REF!</definedName>
    <definedName name="마지막">#REF!</definedName>
    <definedName name="마포" localSheetId="3" hidden="1">{#N/A,#N/A,FALSE,"이태원철근"}</definedName>
    <definedName name="마포" hidden="1">{#N/A,#N/A,FALSE,"이태원철근"}</definedName>
    <definedName name="매입세액" localSheetId="3"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 hidden="1">{#N/A,#N/A,FALSE,"이태원철근"}</definedName>
    <definedName name="매출원가율">[109]입찰내역서!$T$48</definedName>
    <definedName name="맹민용" localSheetId="3">BlankMacro1</definedName>
    <definedName name="맹민용">BlankMacro1</definedName>
    <definedName name="먁" hidden="1">#REF!</definedName>
    <definedName name="모래부설_및_다짐" localSheetId="3">#REF!</definedName>
    <definedName name="모래부설_및_다짐">#REF!</definedName>
    <definedName name="모래부설및다짐" localSheetId="3">#REF!</definedName>
    <definedName name="모래부설및다짐">#REF!</definedName>
    <definedName name="모래운반" localSheetId="3">#REF!</definedName>
    <definedName name="모래운반">#REF!</definedName>
    <definedName name="목차9" localSheetId="3" hidden="1">{#N/A,#N/A,FALSE,"이태원철근"}</definedName>
    <definedName name="목차9" hidden="1">{#N/A,#N/A,FALSE,"이태원철근"}</definedName>
    <definedName name="뫃ㄹ놓ㄴ오" hidden="1">{#N/A,#N/A,FALSE,"이태원철근"}</definedName>
    <definedName name="무늬강판_제작_설치" localSheetId="3">#REF!</definedName>
    <definedName name="무늬강판_제작_설치">#REF!</definedName>
    <definedName name="무늬강판제작설치" localSheetId="3">#REF!</definedName>
    <definedName name="무늬강판제작설치">#REF!</definedName>
    <definedName name="문" localSheetId="3">BlankMacro1</definedName>
    <definedName name="문">BlankMacro1</definedName>
    <definedName name="물" localSheetId="3" hidden="1">{#N/A,#N/A,FALSE,"이태원철근"}</definedName>
    <definedName name="물" hidden="1">{#N/A,#N/A,FALSE,"이태원철근"}</definedName>
    <definedName name="물가" localSheetId="3" hidden="1">{#N/A,#N/A,FALSE,"이태원철근"}</definedName>
    <definedName name="물가" hidden="1">{#N/A,#N/A,FALSE,"이태원철근"}</definedName>
    <definedName name="물가2" hidden="1">{#N/A,#N/A,FALSE,"이태원철근"}</definedName>
    <definedName name="물량">'[170]RCF CLAIMED'!$A$1:$S$27</definedName>
    <definedName name="물품대" localSheetId="3">#REF!</definedName>
    <definedName name="물품대">#REF!</definedName>
    <definedName name="뭉">{"'장비'!$A$3:$M$12"}</definedName>
    <definedName name="뭐" hidden="1">{#N/A,#N/A,FALSE,"이태원철근"}</definedName>
    <definedName name="뭐가이태원이야" localSheetId="3" hidden="1">{#N/A,#N/A,FALSE,"이태원철근"}</definedName>
    <definedName name="뭐가이태원이야" hidden="1">{#N/A,#N/A,FALSE,"이태원철근"}</definedName>
    <definedName name="뮤직" hidden="1">{#N/A,#N/A,FALSE,"이태원철근"}</definedName>
    <definedName name="미국Site출발항공료">'[109]계약고별 차등단가'!#REF!</definedName>
    <definedName name="미국출장비">'[109]계약고별 차등단가'!#REF!</definedName>
    <definedName name="미국한국출발항공료">'[109]계약고별 차등단가'!#REF!</definedName>
    <definedName name="미국호텔비">'[109]계약고별 차등단가'!#REF!</definedName>
    <definedName name="미동의" localSheetId="3" hidden="1">{#N/A,#N/A,FALSE,"이태원철근"}</definedName>
    <definedName name="미동의" hidden="1">{#N/A,#N/A,FALSE,"이태원철근"}</definedName>
    <definedName name="미동의이주" hidden="1">#N/A</definedName>
    <definedName name="미상주" hidden="1">{#N/A,#N/A,FALSE,"지침";#N/A,#N/A,FALSE,"환경분석";#N/A,#N/A,FALSE,"Sheet16"}</definedName>
    <definedName name="미이주" localSheetId="3" hidden="1">{#N/A,#N/A,FALSE,"이태원철근"}</definedName>
    <definedName name="미이주" hidden="1">{#N/A,#N/A,FALSE,"이태원철근"}</definedName>
    <definedName name="민원관련"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대응" localSheetId="3" hidden="1">{#N/A,#N/A,FALSE,"변경관리예산";#N/A,#N/A,FALSE,"변경장비예산";#N/A,#N/A,FALSE,"변경준설예산";#N/A,#N/A,FALSE,"변경철구예산"}</definedName>
    <definedName name="민원대응" hidden="1">{#N/A,#N/A,FALSE,"변경관리예산";#N/A,#N/A,FALSE,"변경장비예산";#N/A,#N/A,FALSE,"변경준설예산";#N/A,#N/A,FALSE,"변경철구예산"}</definedName>
    <definedName name="민원품의" localSheetId="3"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ㅂ" localSheetId="4" hidden="1">{#N/A,#N/A,FALSE,"이태원철근"}</definedName>
    <definedName name="ㅂ">#N/A</definedName>
    <definedName name="ㅂㄷ" hidden="1">{#N/A,#N/A,FALSE,"이태원철근"}</definedName>
    <definedName name="ㅂㅂ" localSheetId="3" hidden="1">{#N/A,#N/A,FALSE,"단가표지"}</definedName>
    <definedName name="ㅂㅂ" hidden="1">{#N/A,#N/A,FALSE,"단가표지"}</definedName>
    <definedName name="ㅂㅂㅂ">#N/A</definedName>
    <definedName name="ㅂㅂㅂㅂ" localSheetId="3" hidden="1">{#N/A,#N/A,FALSE,"조골재"}</definedName>
    <definedName name="ㅂㅂㅂㅂ" hidden="1">{#N/A,#N/A,FALSE,"조골재"}</definedName>
    <definedName name="ㅂㅂㅂㅂㅂ">#N/A</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 localSheetId="3" hidden="1">{#N/A,#N/A,FALSE,"배수1"}</definedName>
    <definedName name="ㅂㅈㄷ"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바" hidden="1">{#N/A,#N/A,FALSE,"이태원철근"}</definedName>
    <definedName name="바보" localSheetId="3">#REF!</definedName>
    <definedName name="바보">#REF!</definedName>
    <definedName name="박종태" hidden="1">{#N/A,#N/A,FALSE,"이태원철근"}</definedName>
    <definedName name="박태균" localSheetId="3" hidden="1">{#N/A,#N/A,FALSE,"변경관리예산";#N/A,#N/A,FALSE,"변경장비예산";#N/A,#N/A,FALSE,"변경준설예산";#N/A,#N/A,FALSE,"변경철구예산"}</definedName>
    <definedName name="박태균" hidden="1">{#N/A,#N/A,FALSE,"변경관리예산";#N/A,#N/A,FALSE,"변경장비예산";#N/A,#N/A,FALSE,"변경준설예산";#N/A,#N/A,FALSE,"변경철구예산"}</definedName>
    <definedName name="발표양식">#N/A</definedName>
    <definedName name="방송설비" localSheetId="3">#REF!</definedName>
    <definedName name="방송설비">#REF!</definedName>
    <definedName name="배관" localSheetId="3">#REF!</definedName>
    <definedName name="배관">#REF!</definedName>
    <definedName name="배관2">#REF!</definedName>
    <definedName name="배관외">#REF!,#REF!,#REF!,#REF!</definedName>
    <definedName name="배관외총">#REF!,#REF!,#REF!,#REF!</definedName>
    <definedName name="배부기준" localSheetId="17">[171]영업소실적!#REF!</definedName>
    <definedName name="배부기준" localSheetId="15">[171]영업소실적!#REF!</definedName>
    <definedName name="배부기준">[171]영업소실적!#REF!</definedName>
    <definedName name="배부내역" localSheetId="17">[39]주관사업!#REF!</definedName>
    <definedName name="배부내역" localSheetId="15">[39]주관사업!#REF!</definedName>
    <definedName name="배부내역">[39]주관사업!#REF!</definedName>
    <definedName name="배수공" localSheetId="3" hidden="1">{#N/A,#N/A,FALSE,"부대1"}</definedName>
    <definedName name="배수공" hidden="1">{#N/A,#N/A,FALSE,"부대1"}</definedName>
    <definedName name="버티">#N/A</definedName>
    <definedName name="변환" localSheetId="3">#REF!</definedName>
    <definedName name="변환">#REF!</definedName>
    <definedName name="보" hidden="1">{#N/A,#N/A,FALSE,"이태원철근"}</definedName>
    <definedName name="보고양식1" localSheetId="3">#REF!</definedName>
    <definedName name="보고양식1">#REF!</definedName>
    <definedName name="보고양식2" localSheetId="3">#REF!</definedName>
    <definedName name="보고양식2">#REF!</definedName>
    <definedName name="보고양식3" localSheetId="3">#REF!</definedName>
    <definedName name="보고양식3">#REF!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1" localSheetId="3">#REF!</definedName>
    <definedName name="보온1">#REF!</definedName>
    <definedName name="보정리" localSheetId="3" hidden="1">{#N/A,#N/A,FALSE,"이태원철근"}</definedName>
    <definedName name="보정리" hidden="1">{#N/A,#N/A,FALSE,"이태원철근"}</definedName>
    <definedName name="보조기층_운반" localSheetId="3">#REF!</definedName>
    <definedName name="보조기층_운반">#REF!</definedName>
    <definedName name="보조기층_포설_및_다짐" localSheetId="3">#REF!</definedName>
    <definedName name="보조기층_포설_및_다짐">#REF!</definedName>
    <definedName name="보조기층운반" localSheetId="3">#REF!</definedName>
    <definedName name="보조기층운반">#REF!</definedName>
    <definedName name="보조기층재_운반" localSheetId="3">#REF!</definedName>
    <definedName name="보조기층재_운반">#REF!</definedName>
    <definedName name="보조기층재운반" localSheetId="3">#REF!</definedName>
    <definedName name="보조기층재운반">#REF!</definedName>
    <definedName name="보조기층포설및다짐" localSheetId="3">#REF!</definedName>
    <definedName name="보조기층포설및다짐">#REF!</definedName>
    <definedName name="보충" localSheetId="3" hidden="1">#REF!</definedName>
    <definedName name="보충" hidden="1">#REF!</definedName>
    <definedName name="보할" localSheetId="3" hidden="1">{#N/A,#N/A,FALSE,"이태원철근"}</definedName>
    <definedName name="보할" hidden="1">{#N/A,#N/A,FALSE,"이태원철근"}</definedName>
    <definedName name="보할공정률매출투입취하" localSheetId="3" hidden="1">{#N/A,#N/A,FALSE,"이태원철근"}</definedName>
    <definedName name="보할공정률매출투입취하" hidden="1">{#N/A,#N/A,FALSE,"이태원철근"}</definedName>
    <definedName name="보할푬_2000년" localSheetId="3" hidden="1">{#N/A,#N/A,FALSE,"이태원철근"}</definedName>
    <definedName name="보할푬_2000년" hidden="1">{#N/A,#N/A,FALSE,"이태원철근"}</definedName>
    <definedName name="보험" localSheetId="3">#REF!</definedName>
    <definedName name="보험">#REF!</definedName>
    <definedName name="보활공정" localSheetId="3" hidden="1">{#N/A,#N/A,FALSE,"이태원철근"}</definedName>
    <definedName name="보활공정" hidden="1">{#N/A,#N/A,FALSE,"이태원철근"}</definedName>
    <definedName name="복리" localSheetId="3">#REF!</definedName>
    <definedName name="복리">#REF!</definedName>
    <definedName name="복사" localSheetId="3" hidden="1">{#N/A,#N/A,FALSE,"이태원철근"}</definedName>
    <definedName name="복사" hidden="1">{#N/A,#N/A,FALSE,"이태원철근"}</definedName>
    <definedName name="복잡" localSheetId="17">#REF!</definedName>
    <definedName name="복잡" localSheetId="15">#REF!</definedName>
    <definedName name="복잡">#REF!</definedName>
    <definedName name="부가가치세" localSheetId="3">#REF!</definedName>
    <definedName name="부가가치세">#REF!</definedName>
    <definedName name="부대" localSheetId="3" hidden="1">{#N/A,#N/A,FALSE,"골재소요량";#N/A,#N/A,FALSE,"골재소요량"}</definedName>
    <definedName name="부대" hidden="1">{#N/A,#N/A,FALSE,"골재소요량";#N/A,#N/A,FALSE,"골재소요량"}</definedName>
    <definedName name="부대1" localSheetId="3" hidden="1">{#N/A,#N/A,FALSE,"운반시간"}</definedName>
    <definedName name="부대1" hidden="1">{#N/A,#N/A,FALSE,"운반시간"}</definedName>
    <definedName name="부대건축2" hidden="1">'[1]TOWER 12TON'!#REF!</definedName>
    <definedName name="부대공사" localSheetId="3" hidden="1">#REF!</definedName>
    <definedName name="부대공사" hidden="1">#REF!</definedName>
    <definedName name="부대공통비총괄표">'[172]간접비(1)'!$AF$54</definedName>
    <definedName name="부대입찰서류작성" localSheetId="3" hidden="1">'[173]갑지(추정)'!#REF!</definedName>
    <definedName name="부대입찰서류작성" hidden="1">'[173]갑지(추정)'!#REF!</definedName>
    <definedName name="부임일" hidden="1">{#N/A,#N/A,FALSE,"이태원철근"}</definedName>
    <definedName name="분" localSheetId="3" hidden="1">{#N/A,#N/A,FALSE,"이태원철근"}</definedName>
    <definedName name="분" hidden="1">{#N/A,#N/A,FALSE,"이태원철근"}</definedName>
    <definedName name="분당공" hidden="1">'[1]TOWER 10TON'!$A$58:$A$97</definedName>
    <definedName name="분당물가" hidden="1">'[1]TOWER 10TON'!$F$58:$F$73</definedName>
    <definedName name="분당코아" hidden="1">'[1]TOWER 10TON'!$F$58:$F$73</definedName>
    <definedName name="분당협조" localSheetId="3" hidden="1">{#N/A,#N/A,FALSE,"이태원철근"}</definedName>
    <definedName name="분당협조" hidden="1">{#N/A,#N/A,FALSE,"이태원철근"}</definedName>
    <definedName name="분류" hidden="1">{"LKD",#N/A,FALSE,"표지"}</definedName>
    <definedName name="분석변경" localSheetId="3"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양" localSheetId="3" hidden="1">{#N/A,#N/A,FALSE,"이태원철근"}</definedName>
    <definedName name="분양" hidden="1">{#N/A,#N/A,FALSE,"이태원철근"}</definedName>
    <definedName name="뷰" localSheetId="3" hidden="1">{#N/A,#N/A,FALSE,"단가표지"}</definedName>
    <definedName name="뷰" hidden="1">{#N/A,#N/A,FALSE,"단가표지"}</definedName>
    <definedName name="비고" localSheetId="3">#REF!</definedName>
    <definedName name="비고">#REF!</definedName>
    <definedName name="비교" localSheetId="3">#REF!</definedName>
    <definedName name="비교">#REF!</definedName>
    <definedName name="비교표1">255</definedName>
    <definedName name="비품임차1" localSheetId="3" hidden="1">[174]STAND20!$A$1:$IT$3893</definedName>
    <definedName name="비품임차1" hidden="1">[175]STAND20!$A$1:$IT$3893</definedName>
    <definedName name="빈칸" localSheetId="3">#REF!</definedName>
    <definedName name="빈칸">#REF!</definedName>
    <definedName name="ㅅ" localSheetId="3" hidden="1">{#N/A,#N/A,FALSE,"이태원철근"}</definedName>
    <definedName name="ㅅ" hidden="1">{#N/A,#N/A,FALSE,"이태원철근"}</definedName>
    <definedName name="ㅅ굲유" localSheetId="3" hidden="1">{#N/A,#N/A,FALSE,"조골재"}</definedName>
    <definedName name="ㅅ굲유" hidden="1">{#N/A,#N/A,FALSE,"조골재"}</definedName>
    <definedName name="ㅅㅅ" hidden="1">{"LKD",#N/A,FALSE,"표지"}</definedName>
    <definedName name="사" hidden="1">{#N/A,#N/A,FALSE,"이태원철근"}</definedName>
    <definedName name="사랑해" hidden="1">{#N/A,#N/A,FALSE,"이태원철근"}</definedName>
    <definedName name="사무임차1" hidden="1">#REF!</definedName>
    <definedName name="사업" localSheetId="3" hidden="1">{#N/A,#N/A,FALSE,"이태원철근"}</definedName>
    <definedName name="사업" hidden="1">{#N/A,#N/A,FALSE,"이태원철근"}</definedName>
    <definedName name="사업계획" localSheetId="3" hidden="1">{#N/A,#N/A,FALSE,"이태원철근"}</definedName>
    <definedName name="사업계획" hidden="1">{#N/A,#N/A,FALSE,"이태원철근"}</definedName>
    <definedName name="사업계획수정" hidden="1">#REF!</definedName>
    <definedName name="사업부양식2" localSheetId="3" hidden="1">#REF!</definedName>
    <definedName name="사업부양식2" hidden="1">#REF!</definedName>
    <definedName name="사업비최종" localSheetId="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현황" hidden="1">{#N/A,#N/A,FALSE,"TABLE"}</definedName>
    <definedName name="사토운반" localSheetId="3">#REF!</definedName>
    <definedName name="사토운반">#REF!</definedName>
    <definedName name="사호" localSheetId="3" hidden="1">{#N/A,#N/A,FALSE,"이태원철근"}</definedName>
    <definedName name="사호" hidden="1">{#N/A,#N/A,FALSE,"이태원철근"}</definedName>
    <definedName name="산식" localSheetId="3">[161]Sheet2!$H$2:$H$11</definedName>
    <definedName name="산식">[162]Sheet2!$H$2:$H$11</definedName>
    <definedName name="산재보험료" localSheetId="3">#REF!</definedName>
    <definedName name="산재보험료">#REF!</definedName>
    <definedName name="산출" hidden="1">#REF!</definedName>
    <definedName name="상" hidden="1">{#N/A,#N/A,FALSE,"지침";#N/A,#N/A,FALSE,"환경분석";#N/A,#N/A,FALSE,"Sheet16"}</definedName>
    <definedName name="상각비2" localSheetId="3" hidden="1">#REF!</definedName>
    <definedName name="상각비2" hidden="1">#REF!</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벌기준2" localSheetId="3" hidden="1">{#N/A,#N/A,FALSE,"예상손익";#N/A,#N/A,FALSE,"관리분석";#N/A,#N/A,FALSE,"장비분석";#N/A,#N/A,FALSE,"준설분석";#N/A,#N/A,FALSE,"철구분석"}</definedName>
    <definedName name="상벌기준2" hidden="1">{#N/A,#N/A,FALSE,"예상손익";#N/A,#N/A,FALSE,"관리분석";#N/A,#N/A,FALSE,"장비분석";#N/A,#N/A,FALSE,"준설분석";#N/A,#N/A,FALSE,"철구분석"}</definedName>
    <definedName name="상자" localSheetId="3" hidden="1">{#N/A,#N/A,FALSE,"이태원철근"}</definedName>
    <definedName name="상자" hidden="1">{#N/A,#N/A,FALSE,"이태원철근"}</definedName>
    <definedName name="상주"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품" hidden="1">#REF!</definedName>
    <definedName name="새" hidden="1">{#N/A,#N/A,FALSE,"이태원철근"}</definedName>
    <definedName name="새공통" localSheetId="3" hidden="1">{#N/A,#N/A,FALSE,"이태원철근"}</definedName>
    <definedName name="새공통" hidden="1">{#N/A,#N/A,FALSE,"이태원철근"}</definedName>
    <definedName name="새로" hidden="1">#REF!</definedName>
    <definedName name="새안" localSheetId="3" hidden="1">{#N/A,#N/A,FALSE,"TABLE"}</definedName>
    <definedName name="새안" hidden="1">{#N/A,#N/A,FALSE,"TABLE"}</definedName>
    <definedName name="새이름"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파일" hidden="1">#REF!</definedName>
    <definedName name="샘풀카피" hidden="1">{#N/A,#N/A,FALSE,"CCTV"}</definedName>
    <definedName name="샘플카피2" hidden="1">{#N/A,#N/A,FALSE,"CCTV"}</definedName>
    <definedName name="샘플카피3" hidden="1">{#N/A,#N/A,FALSE,"CCTV"}</definedName>
    <definedName name="생" localSheetId="3" hidden="1">{#N/A,#N/A,FALSE,"이태원철근"}</definedName>
    <definedName name="생" hidden="1">{#N/A,#N/A,FALSE,"이태원철근"}</definedName>
    <definedName name="생산" localSheetId="3" hidden="1">{#N/A,#N/A,FALSE,"이태원철근"}</definedName>
    <definedName name="생산" hidden="1">{#N/A,#N/A,FALSE,"이태원철근"}</definedName>
    <definedName name="서울공기">[176]환율!$B$15</definedName>
    <definedName name="서울사무소">[109]입찰내역서!$T$64</definedName>
    <definedName name="서울최대인원">[64]세부내역!$O$115</definedName>
    <definedName name="석" hidden="1">{#N/A,#N/A,FALSE,"지침";#N/A,#N/A,FALSE,"환경분석";#N/A,#N/A,FALSE,"Sheet16"}</definedName>
    <definedName name="선로신설" localSheetId="3">#REF!</definedName>
    <definedName name="선로신설">#REF!</definedName>
    <definedName name="선로철거" localSheetId="3">#REF!</definedName>
    <definedName name="선로철거">#REF!</definedName>
    <definedName name="선택층_포설_및_다짐" localSheetId="3">#REF!</definedName>
    <definedName name="선택층_포설_및_다짐">#REF!</definedName>
    <definedName name="선택층포설및다짐" localSheetId="3">#REF!</definedName>
    <definedName name="선택층포설및다짐">#REF!</definedName>
    <definedName name="선투입추정" localSheetId="3">#REF!</definedName>
    <definedName name="선투입추정">#REF!</definedName>
    <definedName name="설" hidden="1">{#N/A,#N/A,TRUE,"총괄"}</definedName>
    <definedName name="설계내역" localSheetId="3">#REF!</definedName>
    <definedName name="설계내역">#REF!</definedName>
    <definedName name="설변" hidden="1">{#N/A,#N/A,TRUE,"총괄"}</definedName>
    <definedName name="설비" localSheetId="3" hidden="1">{#N/A,#N/A,FALSE,"이태원철근"}</definedName>
    <definedName name="설비" hidden="1">{#N/A,#N/A,FALSE,"이태원철근"}</definedName>
    <definedName name="세금" localSheetId="3">#REF!</definedName>
    <definedName name="세금">#REF!</definedName>
    <definedName name="소33" localSheetId="3" hidden="1">{#N/A,#N/A,FALSE,"이태원철근"}</definedName>
    <definedName name="소33" hidden="1">{#N/A,#N/A,FALSE,"이태원철근"}</definedName>
    <definedName name="소모" localSheetId="3">#REF!</definedName>
    <definedName name="소모">#REF!</definedName>
    <definedName name="소모비" localSheetId="3">#REF!</definedName>
    <definedName name="소모비">#REF!</definedName>
    <definedName name="소방" localSheetId="3">#REF!</definedName>
    <definedName name="소방">#REF!</definedName>
    <definedName name="소방사항" localSheetId="3" hidden="1">[177]소방사항!#REF!</definedName>
    <definedName name="소방사항" hidden="1">[177]소방사항!#REF!</definedName>
    <definedName name="소요계획" hidden="1">{#N/A,#N/A,FALSE,"이태원철근"}</definedName>
    <definedName name="소프" localSheetId="3">#REF!</definedName>
    <definedName name="소프">#REF!</definedName>
    <definedName name="소ㅗㅗ" localSheetId="3" hidden="1">{#N/A,#N/A,FALSE,"이태원철근"}</definedName>
    <definedName name="소ㅗㅗ" hidden="1">{#N/A,#N/A,FALSE,"이태원철근"}</definedName>
    <definedName name="손익계산서" localSheetId="3" hidden="1">#REF!</definedName>
    <definedName name="손익계산서" hidden="1">#REF!</definedName>
    <definedName name="손잉율"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손잉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솔비" localSheetId="3" hidden="1">{#N/A,#N/A,FALSE,"이태원철근"}</definedName>
    <definedName name="솔비" hidden="1">{#N/A,#N/A,FALSE,"이태원철근"}</definedName>
    <definedName name="쇼" hidden="1">{#N/A,#N/A,FALSE,"이태원철근"}</definedName>
    <definedName name="숏" localSheetId="3">#REF!</definedName>
    <definedName name="숏">#REF!</definedName>
    <definedName name="수" localSheetId="3" hidden="1">{#N/A,#N/A,TRUE,"Basic";#N/A,#N/A,TRUE,"EXT-TABLE";#N/A,#N/A,TRUE,"STEEL";#N/A,#N/A,TRUE,"INT-Table";#N/A,#N/A,TRUE,"STEEL";#N/A,#N/A,TRUE,"Door"}</definedName>
    <definedName name="수" hidden="1">{#N/A,#N/A,TRUE,"Basic";#N/A,#N/A,TRUE,"EXT-TABLE";#N/A,#N/A,TRUE,"STEEL";#N/A,#N/A,TRUE,"INT-Table";#N/A,#N/A,TRUE,"STEEL";#N/A,#N/A,TRUE,"Door"}</definedName>
    <definedName name="수_1" hidden="1">{#N/A,#N/A,TRUE,"Basic";#N/A,#N/A,TRUE,"EXT-TABLE";#N/A,#N/A,TRUE,"STEEL";#N/A,#N/A,TRUE,"INT-Table";#N/A,#N/A,TRUE,"STEEL";#N/A,#N/A,TRUE,"Door"}</definedName>
    <definedName name="수금3" hidden="1">'[17]Eq. Mobilization'!#REF!</definedName>
    <definedName name="수금4" hidden="1">'[17]Eq. Mobilization'!#REF!</definedName>
    <definedName name="수금5" hidden="1">'[17]Eq. Mobilization'!#REF!</definedName>
    <definedName name="수당" hidden="1">#N/A</definedName>
    <definedName name="수량" localSheetId="3">#REF!</definedName>
    <definedName name="수량">#REF!</definedName>
    <definedName name="수량계산" localSheetId="3">#REF!</definedName>
    <definedName name="수량계산">#REF!</definedName>
    <definedName name="수량산출" localSheetId="3">#REF!</definedName>
    <definedName name="수량산출">#REF!</definedName>
    <definedName name="수소_및_탄산가스창고" localSheetId="3">#REF!</definedName>
    <definedName name="수소_및_탄산가스창고">#REF!</definedName>
    <definedName name="수수">#N/A</definedName>
    <definedName name="수수수">#N/A</definedName>
    <definedName name="수수실적7월">#N/A</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정설계단가" localSheetId="3">#REF!</definedName>
    <definedName name="수정설계단가">#REF!</definedName>
    <definedName name="수주산설1">#REF!</definedName>
    <definedName name="수주산설2팀">#REF!</definedName>
    <definedName name="수주일" localSheetId="3">#REF!</definedName>
    <definedName name="수주일">#REF!</definedName>
    <definedName name="순공사비" localSheetId="3">#REF!</definedName>
    <definedName name="순공사비">#REF!</definedName>
    <definedName name="순서" hidden="1">#REF!</definedName>
    <definedName name="승" hidden="1">{#N/A,#N/A,FALSE,"지침";#N/A,#N/A,FALSE,"환경분석";#N/A,#N/A,FALSE,"Sheet16"}</definedName>
    <definedName name="승인보고21차" localSheetId="3" hidden="1">{#N/A,#N/A,FALSE,"기안지";#N/A,#N/A,FALSE,"통신지"}</definedName>
    <definedName name="승인보고21차" hidden="1">{#N/A,#N/A,FALSE,"기안지";#N/A,#N/A,FALSE,"통신지"}</definedName>
    <definedName name="승인보고22차" localSheetId="3" hidden="1">{#N/A,#N/A,FALSE,"기안지";#N/A,#N/A,FALSE,"통신지"}</definedName>
    <definedName name="승인보고22차" hidden="1">{#N/A,#N/A,FALSE,"기안지";#N/A,#N/A,FALSE,"통신지"}</definedName>
    <definedName name="시" hidden="1">{#N/A,#N/A,FALSE,"이태원철근"}</definedName>
    <definedName name="시작일">[109]입찰내역서!$T$53</definedName>
    <definedName name="시행" hidden="1">{#N/A,#N/A,FALSE,"이태원철근"}</definedName>
    <definedName name="시행2" hidden="1">{#N/A,#N/A,FALSE,"이태원철근"}</definedName>
    <definedName name="시험비" localSheetId="3">#REF!</definedName>
    <definedName name="시험비">#REF!</definedName>
    <definedName name="시험비__토목" localSheetId="3">#REF!</definedName>
    <definedName name="시험비__토목">#REF!</definedName>
    <definedName name="시험비_토목" localSheetId="3">#REF!</definedName>
    <definedName name="시험비_토목">#REF!</definedName>
    <definedName name="시험비토목" localSheetId="3">#REF!</definedName>
    <definedName name="시험비토목">#REF!</definedName>
    <definedName name="신규" localSheetId="3">#REF!</definedName>
    <definedName name="신규">#REF!</definedName>
    <definedName name="신규계획97" localSheetId="3">#REF!</definedName>
    <definedName name="신규계획97">#REF!</definedName>
    <definedName name="新規工事__小計" localSheetId="3">#REF!</definedName>
    <definedName name="新規工事__小計">#REF!</definedName>
    <definedName name="新規工事_計">#N/A</definedName>
    <definedName name="新規工事_小計" localSheetId="3">#REF!</definedName>
    <definedName name="新規工事_小計">#REF!</definedName>
    <definedName name="신규사업97" localSheetId="3">#REF!</definedName>
    <definedName name="신규사업97">#REF!</definedName>
    <definedName name="新規推進__小計" localSheetId="3">#REF!</definedName>
    <definedName name="新規推進__小計">#REF!</definedName>
    <definedName name="신성" localSheetId="3">#REF!</definedName>
    <definedName name="신성">#REF!</definedName>
    <definedName name="신성감" localSheetId="3">#REF!</definedName>
    <definedName name="신성감">#REF!</definedName>
    <definedName name="신재점" hidden="1">{#N/A,#N/A,FALSE,"이태원철근"}</definedName>
    <definedName name="신정연휴" localSheetId="3" hidden="1">{#N/A,#N/A,FALSE,"예상손익";#N/A,#N/A,FALSE,"관리분석";#N/A,#N/A,FALSE,"장비분석";#N/A,#N/A,FALSE,"준설분석";#N/A,#N/A,FALSE,"철구분석"}</definedName>
    <definedName name="신정연휴" hidden="1">{#N/A,#N/A,FALSE,"예상손익";#N/A,#N/A,FALSE,"관리분석";#N/A,#N/A,FALSE,"장비분석";#N/A,#N/A,FALSE,"준설분석";#N/A,#N/A,FALSE,"철구분석"}</definedName>
    <definedName name="신진공사" localSheetId="3">#REF!</definedName>
    <definedName name="신진공사">#REF!</definedName>
    <definedName name="신진자금" localSheetId="3">#REF!</definedName>
    <definedName name="신진자금">#REF!</definedName>
    <definedName name="실시공내역" localSheetId="3" hidden="1">[178]콘크리트타설집계표!#REF!</definedName>
    <definedName name="실시공내역" hidden="1">[178]콘크리트타설집계표!#REF!</definedName>
    <definedName name="실적">#N/A</definedName>
    <definedName name="실적총괄1" hidden="1">'[3]#REF'!$A$1:$IV$4083</definedName>
    <definedName name="실총" hidden="1">'[3]#REF'!$A$1:$IV$4083</definedName>
    <definedName name="실행" localSheetId="3" hidden="1">{#N/A,#N/A,FALSE,"운반시간"}</definedName>
    <definedName name="실행" hidden="1">{#N/A,#N/A,FALSE,"운반시간"}</definedName>
    <definedName name="실행2" hidden="1">{#N/A,#N/A,FALSE,"지침";#N/A,#N/A,FALSE,"환경분석";#N/A,#N/A,FALSE,"Sheet16"}</definedName>
    <definedName name="실행영역">#REF!</definedName>
    <definedName name="심우" localSheetId="3">#REF!</definedName>
    <definedName name="심우">#REF!</definedName>
    <definedName name="심우을" localSheetId="3">#REF!</definedName>
    <definedName name="심우을">#REF!</definedName>
    <definedName name="ㅇ">#N/A</definedName>
    <definedName name="ㅇㄴ" hidden="1">#REF!</definedName>
    <definedName name="ㅇㄴㄻ" localSheetId="3" hidden="1">{#N/A,#N/A,FALSE,"표지목차"}</definedName>
    <definedName name="ㅇㄴㄻ" hidden="1">{#N/A,#N/A,FALSE,"표지목차"}</definedName>
    <definedName name="ㅇㄴㄻㄴㅇ" localSheetId="3" hidden="1">{#N/A,#N/A,FALSE,"표지목차"}</definedName>
    <definedName name="ㅇㄴㄻㄴㅇ" hidden="1">{#N/A,#N/A,FALSE,"표지목차"}</definedName>
    <definedName name="ㅇㄴㅁㄴㅁㄴㅇㄴㅇㅁㄴㅇㅁㄴㅇㅁㄴㅇㅇㄴㄴㅇㅇㄴㅁ">#N/A</definedName>
    <definedName name="ㅇㄴㅁㅎ" hidden="1">{#N/A,#N/A,FALSE,"이태원철근"}</definedName>
    <definedName name="ㅇㄴㅇ">#N/A</definedName>
    <definedName name="ㅇㄹ" localSheetId="3" hidden="1">{#N/A,#N/A,FALSE,"이태원철근"}</definedName>
    <definedName name="ㅇㄹ" hidden="1">{#N/A,#N/A,FALSE,"이태원철근"}</definedName>
    <definedName name="ㅇㄹㄴㄻㄴㅇㄹ" hidden="1">{#N/A,#N/A,FALSE,"이태원철근"}</definedName>
    <definedName name="ㅇㄹㄹ">#N/A</definedName>
    <definedName name="ㅇㄻㄴㅁㄴㄻ" localSheetId="3" hidden="1">{#N/A,#N/A,FALSE,"단가표지"}</definedName>
    <definedName name="ㅇㄻㄴㅁㄴㄻ" hidden="1">{#N/A,#N/A,FALSE,"단가표지"}</definedName>
    <definedName name="ㅇㄻㅇㄻㄴㄹ" localSheetId="3" hidden="1">{#N/A,#N/A,FALSE,"단가표지"}</definedName>
    <definedName name="ㅇㄻㅇㄻㄴㄹ" hidden="1">{#N/A,#N/A,FALSE,"단가표지"}</definedName>
    <definedName name="ㅇㅀㅁㅇㅁㅇ" localSheetId="3" hidden="1">{#N/A,#N/A,FALSE,"단가표지"}</definedName>
    <definedName name="ㅇㅀㅁㅇㅁㅇ" hidden="1">{#N/A,#N/A,FALSE,"단가표지"}</definedName>
    <definedName name="ㅇㅁㅎㅁㅇㄶㄻㅇㄶㄹ" hidden="1">{#N/A,#N/A,FALSE,"이태원철근"}</definedName>
    <definedName name="ㅇㅂㄴㅇㄴㅁㅇㄷㅂㅈ" hidden="1">{#N/A,#N/A,FALSE,"이태원철근"}</definedName>
    <definedName name="ㅇㅂㅁ" hidden="1">{#N/A,#N/A,FALSE,"이태원철근"}</definedName>
    <definedName name="ㅇㅅ굓요" hidden="1">{#N/A,#N/A,FALSE,"이태원철근"}</definedName>
    <definedName name="ㅇㅇ" localSheetId="4" hidden="1">{#N/A,#N/A,FALSE,"이태원철근"}</definedName>
    <definedName name="ㅇㅇ">#N/A</definedName>
    <definedName name="ㅇㅇ4" localSheetId="3" hidden="1">{#N/A,#N/A,FALSE,"이태원철근"}</definedName>
    <definedName name="ㅇㅇ4" hidden="1">{#N/A,#N/A,FALSE,"이태원철근"}</definedName>
    <definedName name="ㅇㅇㅇ" localSheetId="4" hidden="1">{#N/A,#N/A,FALSE,"이태원철근"}</definedName>
    <definedName name="ㅇㅇㅇ" localSheetId="3">#REF!</definedName>
    <definedName name="ㅇㅇㅇ">#N/A</definedName>
    <definedName name="ㅇㅇㅇㅇ">#N/A</definedName>
    <definedName name="ㅇㅇㅇㅇㅇㅇ" localSheetId="3" hidden="1">{#N/A,#N/A,FALSE,"이태원철근"}</definedName>
    <definedName name="ㅇㅇㅇㅇㅇㅇ" hidden="1">{#N/A,#N/A,FALSE,"이태원철근"}</definedName>
    <definedName name="ㅇㅇㅇㅇㅇㅇㅇ" hidden="1">{#N/A,#N/A,FALSE,"이태원철근"}</definedName>
    <definedName name="ㅇㅎㅇ" localSheetId="3" hidden="1">{#N/A,#N/A,FALSE,"포장1";#N/A,#N/A,FALSE,"포장1"}</definedName>
    <definedName name="ㅇㅎㅇ" hidden="1">{#N/A,#N/A,FALSE,"포장1";#N/A,#N/A,FALSE,"포장1"}</definedName>
    <definedName name="ㅇ호" localSheetId="3" hidden="1">{#N/A,#N/A,FALSE,"혼합골재"}</definedName>
    <definedName name="ㅇ호" hidden="1">{#N/A,#N/A,FALSE,"혼합골재"}</definedName>
    <definedName name="ㅇ호ㅓㅗ허" hidden="1">{#N/A,#N/A,FALSE,"이태원철근"}</definedName>
    <definedName name="아">{"'터널공'!$A$177:$A$186"}</definedName>
    <definedName name="아름" localSheetId="3" hidden="1">{#N/A,#N/A,FALSE,"이태원철근"}</definedName>
    <definedName name="아름" hidden="1">{#N/A,#N/A,FALSE,"이태원철근"}</definedName>
    <definedName name="아마도">#REF!</definedName>
    <definedName name="아무거나" hidden="1">#REF!</definedName>
    <definedName name="아스콘_기층_포설" localSheetId="3">#REF!</definedName>
    <definedName name="아스콘_기층_포설">#REF!</definedName>
    <definedName name="아스콘_포장깨기" localSheetId="3">#REF!</definedName>
    <definedName name="아스콘_포장깨기">#REF!</definedName>
    <definedName name="아스콘_포장절단" localSheetId="3">#REF!</definedName>
    <definedName name="아스콘_포장절단">#REF!</definedName>
    <definedName name="아스콘_표층_포설" localSheetId="3">#REF!</definedName>
    <definedName name="아스콘_표층_포설">#REF!</definedName>
    <definedName name="아스콘기층포설" localSheetId="3">#REF!</definedName>
    <definedName name="아스콘기층포설">#REF!</definedName>
    <definedName name="아스콘포장깨기" localSheetId="3">#REF!</definedName>
    <definedName name="아스콘포장깨기">#REF!</definedName>
    <definedName name="아스콘포장절단" localSheetId="3">#REF!</definedName>
    <definedName name="아스콘포장절단">#REF!</definedName>
    <definedName name="아스콘표층포설" localSheetId="3">#REF!</definedName>
    <definedName name="아스콘표층포설">#REF!</definedName>
    <definedName name="아스팔트_운반" localSheetId="3">#REF!</definedName>
    <definedName name="아스팔트_운반">#REF!</definedName>
    <definedName name="아스팔트운반" localSheetId="3">#REF!</definedName>
    <definedName name="아스팔트운반">#REF!</definedName>
    <definedName name="아아아아아앙">#REF!</definedName>
    <definedName name="아야아야아야야야야야야야양" hidden="1">#REF!</definedName>
    <definedName name="아이">#REF!</definedName>
    <definedName name="아프리카Site출발항공료">'[109]계약고별 차등단가'!#REF!</definedName>
    <definedName name="아프리카출장비">'[109]계약고별 차등단가'!#REF!</definedName>
    <definedName name="아프리카한국출발항공료">'[109]계약고별 차등단가'!#REF!</definedName>
    <definedName name="아프리카호텔비">'[109]계약고별 차등단가'!#REF!</definedName>
    <definedName name="안" hidden="1">[179]공통!$F$45</definedName>
    <definedName name="안내" localSheetId="3" hidden="1">{#N/A,#N/A,FALSE,"이태원철근"}</definedName>
    <definedName name="안내" hidden="1">{#N/A,#N/A,FALSE,"이태원철근"}</definedName>
    <definedName name="안성진행" localSheetId="3">#REF!</definedName>
    <definedName name="안성진행">#REF!</definedName>
    <definedName name="안성진행2" localSheetId="3">#REF!</definedName>
    <definedName name="안성진행2">#REF!</definedName>
    <definedName name="안성청산" localSheetId="3">#REF!</definedName>
    <definedName name="안성청산">#REF!</definedName>
    <definedName name="안양현대" localSheetId="3" hidden="1">{#N/A,#N/A,FALSE,"이태원철근"}</definedName>
    <definedName name="안양현대" hidden="1">{#N/A,#N/A,FALSE,"이태원철근"}</definedName>
    <definedName name="안전" localSheetId="3">#REF!</definedName>
    <definedName name="안전">#REF!</definedName>
    <definedName name="안전관리비" localSheetId="3">#REF!</definedName>
    <definedName name="안전관리비">#REF!</definedName>
    <definedName name="안전급여">#REF!</definedName>
    <definedName name="안전상여금">#REF!</definedName>
    <definedName name="안전외">#REF!</definedName>
    <definedName name="안전외총">#REF!</definedName>
    <definedName name="안정" localSheetId="3" hidden="1">{#N/A,#N/A,FALSE,"사업총괄";#N/A,#N/A,FALSE,"장비사업";#N/A,#N/A,FALSE,"철구사업";#N/A,#N/A,FALSE,"준설사업"}</definedName>
    <definedName name="안정" hidden="1">{#N/A,#N/A,FALSE,"사업총괄";#N/A,#N/A,FALSE,"장비사업";#N/A,#N/A,FALSE,"철구사업";#N/A,#N/A,FALSE,"준설사업"}</definedName>
    <definedName name="안효진행" localSheetId="3">#REF!</definedName>
    <definedName name="안효진행">#REF!</definedName>
    <definedName name="안효청산" localSheetId="3">#REF!</definedName>
    <definedName name="안효청산">#REF!</definedName>
    <definedName name="암__거" localSheetId="3">#REF!</definedName>
    <definedName name="암__거">#REF!</definedName>
    <definedName name="암거" localSheetId="3">#REF!</definedName>
    <definedName name="암거">#REF!</definedName>
    <definedName name="암거_날개벽" localSheetId="3">#REF!</definedName>
    <definedName name="암거_날개벽">#REF!</definedName>
    <definedName name="암거날개벽" localSheetId="3">#REF!</definedName>
    <definedName name="암거날개벽">#REF!</definedName>
    <definedName name="야간" hidden="1">{#N/A,#N/A,FALSE,"지침";#N/A,#N/A,FALSE,"환경분석";#N/A,#N/A,FALSE,"Sheet16"}</definedName>
    <definedName name="약수">#N/A</definedName>
    <definedName name="양" localSheetId="3" hidden="1">{#N/A,#N/A,FALSE,"이태원철근"}</definedName>
    <definedName name="양" hidden="1">{#N/A,#N/A,FALSE,"이태원철근"}</definedName>
    <definedName name="양식1" localSheetId="3" hidden="1">{#VALUE!,#N/A,FALSE,0;#N/A,#N/A,FALSE,0;#N/A,#N/A,FALSE,0;#N/A,#N/A,FALSE,0}</definedName>
    <definedName name="양식1" hidden="1">{#VALUE!,#N/A,FALSE,0;#N/A,#N/A,FALSE,0;#N/A,#N/A,FALSE,0;#N/A,#N/A,FALSE,0}</definedName>
    <definedName name="양중계획" localSheetId="3" hidden="1">{#N/A,#N/A,FALSE,"이태원철근"}</definedName>
    <definedName name="양중계획" hidden="1">{#N/A,#N/A,FALSE,"이태원철근"}</definedName>
    <definedName name="어ㅏㅣ" hidden="1">{#N/A,#N/A,FALSE,"이태원철근"}</definedName>
    <definedName name="업무" localSheetId="3" hidden="1">{#N/A,#N/A,FALSE,"이태원철근"}</definedName>
    <definedName name="업무" hidden="1">{#N/A,#N/A,FALSE,"이태원철근"}</definedName>
    <definedName name="업체" hidden="1">#REF!</definedName>
    <definedName name="엑설" localSheetId="3">#REF!</definedName>
    <definedName name="엑설">#REF!</definedName>
    <definedName name="엔s" localSheetId="3">#REF!</definedName>
    <definedName name="엔s">#REF!</definedName>
    <definedName name="엔화" localSheetId="3">#REF!</definedName>
    <definedName name="엔화">#REF!</definedName>
    <definedName name="여비" localSheetId="3">#REF!</definedName>
    <definedName name="여비">#REF!</definedName>
    <definedName name="연습" localSheetId="3">#REF!</definedName>
    <definedName name="연습">#REF!</definedName>
    <definedName name="영흥재료비" localSheetId="3">'Overseas(新)'!영흥재료비</definedName>
    <definedName name="영흥재료비">[0]!영흥재료비</definedName>
    <definedName name="예매10">#REF!</definedName>
    <definedName name="예매11">#REF!</definedName>
    <definedName name="예매12">#REF!</definedName>
    <definedName name="예매5">#REF!</definedName>
    <definedName name="예매6">#REF!</definedName>
    <definedName name="예매7">#REF!</definedName>
    <definedName name="예매8">#REF!</definedName>
    <definedName name="예매9">#REF!</definedName>
    <definedName name="예매과">#REF!</definedName>
    <definedName name="예매내년">#REF!</definedName>
    <definedName name="예매신">#REF!</definedName>
    <definedName name="예매잔">#REF!</definedName>
    <definedName name="예산내역" localSheetId="3" hidden="1">{#N/A,#N/A,FALSE,"이태원철근"}</definedName>
    <definedName name="예산내역" hidden="1">{#N/A,#N/A,FALSE,"이태원철근"}</definedName>
    <definedName name="예이10">#REF!</definedName>
    <definedName name="예이11">#REF!</definedName>
    <definedName name="예이12">#REF!</definedName>
    <definedName name="예이5">#REF!</definedName>
    <definedName name="예이6">#REF!</definedName>
    <definedName name="예이7">#REF!</definedName>
    <definedName name="예이8">#REF!</definedName>
    <definedName name="예이9">#REF!</definedName>
    <definedName name="예이과">#REF!</definedName>
    <definedName name="예이내년">#REF!</definedName>
    <definedName name="예이신">#REF!</definedName>
    <definedName name="예이잔">#REF!</definedName>
    <definedName name="오1" localSheetId="3">#REF!</definedName>
    <definedName name="오1">#REF!</definedName>
    <definedName name="오2" localSheetId="3">#REF!</definedName>
    <definedName name="오2">#REF!</definedName>
    <definedName name="오3" localSheetId="3">#REF!</definedName>
    <definedName name="오3">#REF!</definedName>
    <definedName name="오세아니아Site출발항공료">'[109]계약고별 차등단가'!#REF!</definedName>
    <definedName name="오세아니아출장비">'[109]계약고별 차등단가'!#REF!</definedName>
    <definedName name="오세아니아한국출발항공료">'[109]계약고별 차등단가'!#REF!</definedName>
    <definedName name="오세아니아호텔비">'[109]계약고별 차등단가'!#REF!</definedName>
    <definedName name="옥" localSheetId="3" hidden="1">{#N/A,#N/A,FALSE,"이태원철근"}</definedName>
    <definedName name="옥" hidden="1">{#N/A,#N/A,FALSE,"이태원철근"}</definedName>
    <definedName name="옥내" localSheetId="3" hidden="1">{#N/A,#N/A,FALSE,"이태원철근"}</definedName>
    <definedName name="옥내" hidden="1">{#N/A,#N/A,FALSE,"이태원철근"}</definedName>
    <definedName name="옥외1" localSheetId="3">#REF!</definedName>
    <definedName name="옥외1">#REF!</definedName>
    <definedName name="옥외2" localSheetId="3">#REF!</definedName>
    <definedName name="옥외2">#REF!</definedName>
    <definedName name="옥외3" localSheetId="3">#REF!</definedName>
    <definedName name="옥외3">#REF!</definedName>
    <definedName name="옥외4" localSheetId="3">#REF!</definedName>
    <definedName name="옥외4">#REF!</definedName>
    <definedName name="옥외5" localSheetId="3">#REF!</definedName>
    <definedName name="옥외5">#REF!</definedName>
    <definedName name="옥외6" localSheetId="3">#REF!</definedName>
    <definedName name="옥외6">#REF!</definedName>
    <definedName name="옥외7" localSheetId="3">#REF!</definedName>
    <definedName name="옥외7">#REF!</definedName>
    <definedName name="옥외8" localSheetId="3">#REF!</definedName>
    <definedName name="옥외8">#REF!</definedName>
    <definedName name="옥외공사" localSheetId="3" hidden="1">{#N/A,#N/A,FALSE,"이태원철근"}</definedName>
    <definedName name="옥외공사" hidden="1">{#N/A,#N/A,FALSE,"이태원철근"}</definedName>
    <definedName name="옥외대비" localSheetId="3" hidden="1">{#N/A,#N/A,FALSE,"이태원철근"}</definedName>
    <definedName name="옥외대비" hidden="1">{#N/A,#N/A,FALSE,"이태원철근"}</definedName>
    <definedName name="옥외대비1" hidden="1">{#N/A,#N/A,FALSE,"이태원철근"}</definedName>
    <definedName name="옥외수량1" localSheetId="3">#REF!</definedName>
    <definedName name="옥외수량1">#REF!</definedName>
    <definedName name="옥외수량2" localSheetId="3">#REF!</definedName>
    <definedName name="옥외수량2">#REF!</definedName>
    <definedName name="옥외수량3" localSheetId="3">#REF!</definedName>
    <definedName name="옥외수량3">#REF!</definedName>
    <definedName name="옥외수량4" localSheetId="3">#REF!</definedName>
    <definedName name="옥외수량4">#REF!</definedName>
    <definedName name="옥외수량5" localSheetId="3">#REF!</definedName>
    <definedName name="옥외수량5">#REF!</definedName>
    <definedName name="옥외수량6" localSheetId="3">#REF!</definedName>
    <definedName name="옥외수량6">#REF!</definedName>
    <definedName name="옥외수량7" localSheetId="3">#REF!</definedName>
    <definedName name="옥외수량7">#REF!</definedName>
    <definedName name="옥외수량8" localSheetId="3">#REF!</definedName>
    <definedName name="옥외수량8">#REF!</definedName>
    <definedName name="완결" localSheetId="3" hidden="1">{#N/A,#N/A,FALSE,"사업총괄";#N/A,#N/A,FALSE,"장비사업";#N/A,#N/A,FALSE,"철구사업";#N/A,#N/A,FALSE,"준설사업"}</definedName>
    <definedName name="완결" hidden="1">{#N/A,#N/A,FALSE,"사업총괄";#N/A,#N/A,FALSE,"장비사업";#N/A,#N/A,FALSE,"철구사업";#N/A,#N/A,FALSE,"준설사업"}</definedName>
    <definedName name="완결2" localSheetId="3" hidden="1">{#N/A,#N/A,FALSE,"사업총괄";#N/A,#N/A,FALSE,"장비사업";#N/A,#N/A,FALSE,"철구사업";#N/A,#N/A,FALSE,"준설사업"}</definedName>
    <definedName name="완결2" hidden="1">{#N/A,#N/A,FALSE,"사업총괄";#N/A,#N/A,FALSE,"장비사업";#N/A,#N/A,FALSE,"철구사업";#N/A,#N/A,FALSE,"준설사업"}</definedName>
    <definedName name="완공" localSheetId="3">#REF!</definedName>
    <definedName name="완공">#REF!</definedName>
    <definedName name="完工工事_計">#N/A</definedName>
    <definedName name="왜그래" localSheetId="3">#REF!</definedName>
    <definedName name="왜그래">#REF!</definedName>
    <definedName name="우가" hidden="1">{#N/A,#N/A,FALSE,"이태원철근"}</definedName>
    <definedName name="우리" localSheetId="3" hidden="1">{#N/A,#N/A,FALSE,"이태원철근"}</definedName>
    <definedName name="우리" hidden="1">{#N/A,#N/A,FALSE,"이태원철근"}</definedName>
    <definedName name="우성공사" localSheetId="3">#REF!</definedName>
    <definedName name="우성공사">#REF!</definedName>
    <definedName name="우ㅗ홓ㅇ" localSheetId="3" hidden="1">{#N/A,#N/A,FALSE,"조골재"}</definedName>
    <definedName name="우ㅗ홓ㅇ" hidden="1">{#N/A,#N/A,FALSE,"조골재"}</definedName>
    <definedName name="운반" localSheetId="3">#REF!</definedName>
    <definedName name="운반">#REF!</definedName>
    <definedName name="운반비" localSheetId="3">#REF!</definedName>
    <definedName name="운반비">#REF!</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3">'Overseas(新)'!원가계산</definedName>
    <definedName name="원가계산">[0]!원가계산</definedName>
    <definedName name="원가계산서" localSheetId="3">#REF!</definedName>
    <definedName name="원가계산서">#REF!</definedName>
    <definedName name="원가계산창" localSheetId="3">'Overseas(新)'!원가계산창</definedName>
    <definedName name="원가계산창">[0]!원가계산창</definedName>
    <definedName name="원남내역" hidden="1">[180]실행철강하도!$A$1:$A$4</definedName>
    <definedName name="원화환율" localSheetId="3">#REF!</definedName>
    <definedName name="원화환율">#REF!</definedName>
    <definedName name="월드건설" localSheetId="3" hidden="1">{#N/A,#N/A,FALSE,"이태원철근"}</definedName>
    <definedName name="월드건설" hidden="1">{#N/A,#N/A,FALSE,"이태원철근"}</definedName>
    <definedName name="월별영업" localSheetId="17">#REF!</definedName>
    <definedName name="월별영업" localSheetId="15">#REF!</definedName>
    <definedName name="월별영업" localSheetId="3">#REF!</definedName>
    <definedName name="월별영업">#REF!</definedName>
    <definedName name="월별투입" hidden="1">{#N/A,#N/A,FALSE,"지침";#N/A,#N/A,FALSE,"환경분석";#N/A,#N/A,FALSE,"Sheet16"}</definedName>
    <definedName name="위치" localSheetId="3">[161]GCC!$C$5</definedName>
    <definedName name="위치">[162]GCC!$C$5</definedName>
    <definedName name="유" localSheetId="3" hidden="1">{#N/A,#N/A,FALSE,"이태원철근"}</definedName>
    <definedName name="유" hidden="1">{#N/A,#N/A,FALSE,"이태원철근"}</definedName>
    <definedName name="유_지_창_고" localSheetId="3">#REF!</definedName>
    <definedName name="유_지_창_고">#REF!</definedName>
    <definedName name="유1" localSheetId="3">#REF!</definedName>
    <definedName name="유1">#REF!</definedName>
    <definedName name="유2" localSheetId="3">#REF!</definedName>
    <definedName name="유2">#REF!</definedName>
    <definedName name="유3" localSheetId="3">#REF!</definedName>
    <definedName name="유3">#REF!</definedName>
    <definedName name="有價__券.1.A" localSheetId="3">#REF!</definedName>
    <definedName name="有價__券.1.A">#REF!</definedName>
    <definedName name="유럽Site출발항공료">'[109]계약고별 차등단가'!#REF!</definedName>
    <definedName name="유럽출장비">'[109]계약고별 차등단가'!#REF!</definedName>
    <definedName name="유럽한국출발항공료">'[109]계약고별 차등단가'!#REF!</definedName>
    <definedName name="유럽호텔비">'[109]계약고별 차등단가'!#REF!</definedName>
    <definedName name="유지창고" localSheetId="3">#REF!</definedName>
    <definedName name="유지창고">#REF!</definedName>
    <definedName name="율촌가설" localSheetId="3">#REF!</definedName>
    <definedName name="율촌가설">#REF!</definedName>
    <definedName name="을" localSheetId="3">#REF!</definedName>
    <definedName name="을">#REF!</definedName>
    <definedName name="이" localSheetId="3" hidden="1">{#N/A,#N/A,FALSE,"이태원철근"}</definedName>
    <definedName name="이" hidden="1">{#N/A,#N/A,FALSE,"이태원철근"}</definedName>
    <definedName name="이1" localSheetId="3">#REF!</definedName>
    <definedName name="이1">#REF!</definedName>
    <definedName name="이2" localSheetId="3">#REF!</definedName>
    <definedName name="이2">#REF!</definedName>
    <definedName name="이3" localSheetId="3">#REF!</definedName>
    <definedName name="이3">#REF!</definedName>
    <definedName name="이금모" hidden="1">{"LKD",#N/A,FALSE,"표지"}</definedName>
    <definedName name="이름" localSheetId="3" hidden="1">{#N/A,#N/A,FALSE,"이태원철근"}</definedName>
    <definedName name="이름" hidden="1">{#N/A,#N/A,FALSE,"이태원철근"}</definedName>
    <definedName name="이승훈" localSheetId="3" hidden="1">{#N/A,#N/A,FALSE,"TABLE"}</definedName>
    <definedName name="이승훈" hidden="1">{#N/A,#N/A,FALSE,"TABLE"}</definedName>
    <definedName name="移越工事__小計" localSheetId="3">#REF!</definedName>
    <definedName name="移越工事__小計">#REF!</definedName>
    <definedName name="이이" localSheetId="3" hidden="1">{#N/A,#N/A,FALSE,"이태원철근"}</definedName>
    <definedName name="이이" hidden="1">{#N/A,#N/A,FALSE,"이태원철근"}</definedName>
    <definedName name="이정" localSheetId="3" hidden="1">{#N/A,#N/A,FALSE,"2~8번"}</definedName>
    <definedName name="이정" hidden="1">{#N/A,#N/A,FALSE,"2~8번"}</definedName>
    <definedName name="이태원" localSheetId="17">'[122]IT-BAT'!#REF!</definedName>
    <definedName name="이태원" localSheetId="15">'[122]IT-BAT'!#REF!</definedName>
    <definedName name="이태원">'[122]IT-BAT'!#REF!</definedName>
    <definedName name="이ㅏㅎ" hidden="1">{#N/A,#N/A,FALSE,"이태원철근"}</definedName>
    <definedName name="인공" localSheetId="3">#REF!</definedName>
    <definedName name="인공">#REF!</definedName>
    <definedName name="인도">#REF!</definedName>
    <definedName name="인력2" hidden="1">{#N/A,#N/A,FALSE,"CCTV"}</definedName>
    <definedName name="인력투입" localSheetId="3">#REF!</definedName>
    <definedName name="인력투입">#REF!</definedName>
    <definedName name="인쇄양식">#N/A</definedName>
    <definedName name="인쇄영역">[181]갑지!$B$1:$F$18,[181]갑지!#REF!,[181]갑지!#REF!</definedName>
    <definedName name="인원">#REF!</definedName>
    <definedName name="인원2" localSheetId="17">[182]인원계획!#REF!</definedName>
    <definedName name="인원2" localSheetId="15">[182]인원계획!#REF!</definedName>
    <definedName name="인원2">[182]인원계획!#REF!</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 localSheetId="3">#REF!</definedName>
    <definedName name="일반">#REF!</definedName>
    <definedName name="일반통신설비" localSheetId="3">#REF!</definedName>
    <definedName name="일반통신설비">#REF!</definedName>
    <definedName name="일본출장비">'[109]계약고별 차등단가'!#REF!</definedName>
    <definedName name="일본한국출발항공료">'[109]계약고별 차등단가'!#REF!</definedName>
    <definedName name="일본호텔비">'[109]계약고별 차등단가'!#REF!</definedName>
    <definedName name="일위" localSheetId="3">#REF!,#REF!</definedName>
    <definedName name="일위">#REF!,#REF!</definedName>
    <definedName name="일위대가" localSheetId="3">#REF!</definedName>
    <definedName name="일위대가">#REF!</definedName>
    <definedName name="일위대가1" localSheetId="3">#REF!</definedName>
    <definedName name="일위대가1">#REF!</definedName>
    <definedName name="일위대가단가" localSheetId="3">#REF!</definedName>
    <definedName name="일위대가단가">#REF!</definedName>
    <definedName name="일위산출" localSheetId="3">#REF!</definedName>
    <definedName name="일위산출">#REF!</definedName>
    <definedName name="일위산출1" localSheetId="3">#REF!</definedName>
    <definedName name="일위산출1">#REF!</definedName>
    <definedName name="일자" localSheetId="3">#REF!</definedName>
    <definedName name="일자">#REF!</definedName>
    <definedName name="일정표" hidden="1">{#N/A,#N/A,FALSE,"이태원철근"}</definedName>
    <definedName name="일정표0124" hidden="1">{#N/A,#N/A,FALSE,"이태원철근"}</definedName>
    <definedName name="일투입" hidden="1">{#N/A,#N/A,FALSE,"지침";#N/A,#N/A,FALSE,"환경분석";#N/A,#N/A,FALSE,"Sheet16"}</definedName>
    <definedName name="임금" localSheetId="3" hidden="1">'[183]간접비 총괄표'!$B$840:$B$1248</definedName>
    <definedName name="임금" hidden="1">'[184]간접비 총괄표'!$B$840:$B$1248</definedName>
    <definedName name="임금시간" localSheetId="3">[161]Sheet2!$G$2:$G$11</definedName>
    <definedName name="임금시간">[162]Sheet2!$G$2:$G$11</definedName>
    <definedName name="임직" localSheetId="3" hidden="1">#REF!</definedName>
    <definedName name="임직" hidden="1">#REF!</definedName>
    <definedName name="ㅈ" localSheetId="17">[36]상반기손익차2총괄!#REF!</definedName>
    <definedName name="ㅈ" localSheetId="15">[36]상반기손익차2총괄!#REF!</definedName>
    <definedName name="ㅈ" localSheetId="4" hidden="1">{#N/A,#N/A,FALSE,"이태원철근"}</definedName>
    <definedName name="ㅈ">[36]상반기손익차2총괄!#REF!</definedName>
    <definedName name="ㅈㄷㄱ" hidden="1">{#N/A,#N/A,FALSE,"이태원철근"}</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ㄷㅇㄴㅇㄹ" localSheetId="3" hidden="1">{#N/A,#N/A,FALSE,"속도"}</definedName>
    <definedName name="ㅈㄷㅇㄴㅇㄹ" hidden="1">{#N/A,#N/A,FALSE,"속도"}</definedName>
    <definedName name="ㅈㄷㅈㄷ">#N/A</definedName>
    <definedName name="ㅈㅂㅇㄴㅁㅇㅈㅇㅂ" hidden="1">{#N/A,#N/A,FALSE,"이태원철근"}</definedName>
    <definedName name="ㅈㅇㅁㄴㅇㅂㄴㄷㅇㅁ" hidden="1">{#N/A,#N/A,FALSE,"이태원철근"}</definedName>
    <definedName name="ㅈㅈ" localSheetId="3" hidden="1">{#N/A,#N/A,FALSE,"표지목차"}</definedName>
    <definedName name="ㅈㅈ">{"'장비'!$A$3:$M$12"}</definedName>
    <definedName name="ㅈㅈㅈ" localSheetId="3">#REF!</definedName>
    <definedName name="ㅈㅈㅈ" hidden="1">{"LKD",#N/A,FALSE,"표지"}</definedName>
    <definedName name="자" hidden="1">{#N/A,#N/A,FALSE,"이태원철근"}</definedName>
    <definedName name="자갈운반" localSheetId="3">#REF!</definedName>
    <definedName name="자갈운반">#REF!</definedName>
    <definedName name="자금7차" hidden="1">{#N/A,#N/A,FALSE,"이태원철근"}</definedName>
    <definedName name="자금수급" localSheetId="3">#REF!</definedName>
    <definedName name="자금수급">#REF!</definedName>
    <definedName name="자금운영7차" hidden="1">#N/A</definedName>
    <definedName name="자동화재탐지설비" localSheetId="3">#REF!</definedName>
    <definedName name="자동화재탐지설비">#REF!</definedName>
    <definedName name="자리수" localSheetId="3">#REF!</definedName>
    <definedName name="자리수">#REF!</definedName>
    <definedName name="자양" hidden="1">{#N/A,#N/A,FALSE,"이태원철근"}</definedName>
    <definedName name="자양공사개요" hidden="1">{#N/A,#N/A,FALSE,"이태원철근"}</definedName>
    <definedName name="자운" hidden="1">'[3]#REF'!$A$1:$IV$4083</definedName>
    <definedName name="자재단가" hidden="1">{#N/A,#N/A,TRUE,"총괄"}</definedName>
    <definedName name="자재단가근거" localSheetId="3" hidden="1">#REF!</definedName>
    <definedName name="자재단가근거" hidden="1">#REF!</definedName>
    <definedName name="자재단가표" localSheetId="3">#REF!</definedName>
    <definedName name="자재단가표">#REF!</definedName>
    <definedName name="작성" localSheetId="3">#REF!</definedName>
    <definedName name="작성">#REF!</definedName>
    <definedName name="작업계획">{"'장비'!$A$3:$M$12"}</definedName>
    <definedName name="잔액" localSheetId="3">#REF!</definedName>
    <definedName name="잔액">#REF!</definedName>
    <definedName name="잡석운반" localSheetId="3">#REF!</definedName>
    <definedName name="잡석운반">#REF!</definedName>
    <definedName name="잡자재비" localSheetId="3">#REF!</definedName>
    <definedName name="잡자재비">#REF!</definedName>
    <definedName name="장동" localSheetId="3">BlankMacro1</definedName>
    <definedName name="장동">BlankMacro1</definedName>
    <definedName name="장비" localSheetId="3">BlankMacro1</definedName>
    <definedName name="장비" hidden="1">{#N/A,#N/A,FALSE,"CCTV"}</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비동원" localSheetId="3">BlankMacro1</definedName>
    <definedName name="장비동원">BlankMacro1</definedName>
    <definedName name="재건축경과" localSheetId="3" hidden="1">{#N/A,#N/A,FALSE,"이태원철근"}</definedName>
    <definedName name="재건축경과" hidden="1">{#N/A,#N/A,FALSE,"이태원철근"}</definedName>
    <definedName name="재검토" localSheetId="3">#REF!</definedName>
    <definedName name="재검토">#REF!</definedName>
    <definedName name="재도급" localSheetId="3">#REF!</definedName>
    <definedName name="재도급">#REF!</definedName>
    <definedName name="재료비" localSheetId="3">#REF!</definedName>
    <definedName name="재료비">#REF!</definedName>
    <definedName name="재료비1" localSheetId="3">#REF!</definedName>
    <definedName name="재료비1">#REF!</definedName>
    <definedName name="재료비10" localSheetId="3">#REF!</definedName>
    <definedName name="재료비10">#REF!</definedName>
    <definedName name="재료비11" localSheetId="3">#REF!</definedName>
    <definedName name="재료비11">#REF!</definedName>
    <definedName name="재료비12" localSheetId="3">#REF!</definedName>
    <definedName name="재료비12">#REF!</definedName>
    <definedName name="재료비13" localSheetId="3">#REF!</definedName>
    <definedName name="재료비13">#REF!</definedName>
    <definedName name="재료비14" localSheetId="3">#REF!</definedName>
    <definedName name="재료비14">#REF!</definedName>
    <definedName name="재료비15" localSheetId="3">#REF!</definedName>
    <definedName name="재료비15">#REF!</definedName>
    <definedName name="재료비16" localSheetId="3">#REF!</definedName>
    <definedName name="재료비16">#REF!</definedName>
    <definedName name="재료비2" localSheetId="3">#REF!</definedName>
    <definedName name="재료비2">#REF!</definedName>
    <definedName name="재료비3" localSheetId="3">#REF!</definedName>
    <definedName name="재료비3">#REF!</definedName>
    <definedName name="재료비4" localSheetId="3">#REF!</definedName>
    <definedName name="재료비4">#REF!</definedName>
    <definedName name="재료비5" localSheetId="3">#REF!</definedName>
    <definedName name="재료비5">#REF!</definedName>
    <definedName name="재료비6" localSheetId="3">#REF!</definedName>
    <definedName name="재료비6">#REF!</definedName>
    <definedName name="재료비7" localSheetId="3">#REF!</definedName>
    <definedName name="재료비7">#REF!</definedName>
    <definedName name="재료비8" localSheetId="3">#REF!</definedName>
    <definedName name="재료비8">#REF!</definedName>
    <definedName name="재료비9" localSheetId="3">#REF!</definedName>
    <definedName name="재료비9">#REF!</definedName>
    <definedName name="재정부" localSheetId="3">#REF!</definedName>
    <definedName name="재정부">#REF!</definedName>
    <definedName name="재회사" localSheetId="3">#REF!</definedName>
    <definedName name="재회사">#REF!</definedName>
    <definedName name="전" localSheetId="3">#REF!</definedName>
    <definedName name="전">#N/A</definedName>
    <definedName name="전기" localSheetId="3">#N/A</definedName>
    <definedName name="전기">{"'장비'!$A$3:$M$12"}</definedName>
    <definedName name="전기계장" localSheetId="3">#REF!</definedName>
    <definedName name="전기계장">#REF!</definedName>
    <definedName name="전기계장외">#REF!</definedName>
    <definedName name="전기계장외총">#REF!</definedName>
    <definedName name="전기공사" localSheetId="3">#REF!</definedName>
    <definedName name="전기공사">#REF!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내역" hidden="1">{#N/A,#N/A,FALSE,"CCTV"}</definedName>
    <definedName name="전등신설" localSheetId="3">#REF!</definedName>
    <definedName name="전등신설">#REF!</definedName>
    <definedName name="全体" localSheetId="3">#REF!</definedName>
    <definedName name="全体">#REF!</definedName>
    <definedName name="全体１" localSheetId="3">#REF!</definedName>
    <definedName name="全体１">#REF!</definedName>
    <definedName name="전선관및접지내역서" hidden="1">'[185]당진1,2호기전선관설치및접지4차공사내역서-을지'!#REF!</definedName>
    <definedName name="전체sum" localSheetId="3">#REF!</definedName>
    <definedName name="전체sum">#REF!</definedName>
    <definedName name="전체서류">'[186]General Data'!$B$14</definedName>
    <definedName name="절" localSheetId="3" hidden="1">#REF!</definedName>
    <definedName name="절" hidden="1">#REF!</definedName>
    <definedName name="정리" localSheetId="3">#REF!</definedName>
    <definedName name="정리">#REF!</definedName>
    <definedName name="정명영" localSheetId="3" hidden="1">{#N/A,#N/A,FALSE,"이태원철근"}</definedName>
    <definedName name="정명영" hidden="1">{#N/A,#N/A,FALSE,"이태원철근"}</definedName>
    <definedName name="정전무사업" localSheetId="3">#REF!</definedName>
    <definedName name="정전무사업">#REF!</definedName>
    <definedName name="정전무사업계획97" localSheetId="3">#REF!</definedName>
    <definedName name="정전무사업계획97">#REF!</definedName>
    <definedName name="정하명" hidden="1">{#N/A,#N/A,TRUE,"Basic";#N/A,#N/A,TRUE,"EXT-TABLE";#N/A,#N/A,TRUE,"STEEL";#N/A,#N/A,TRUE,"INT-Table";#N/A,#N/A,TRUE,"STEEL";#N/A,#N/A,TRUE,"Door"}</definedName>
    <definedName name="정호" localSheetId="3">#REF!</definedName>
    <definedName name="정호">#REF!</definedName>
    <definedName name="제1호표" localSheetId="3">#REF!</definedName>
    <definedName name="제1호표">#REF!</definedName>
    <definedName name="제2호표" localSheetId="3">#REF!</definedName>
    <definedName name="제2호표">#REF!</definedName>
    <definedName name="제3호표" localSheetId="3">#REF!</definedName>
    <definedName name="제3호표">#REF!</definedName>
    <definedName name="제4호표" localSheetId="3">#REF!</definedName>
    <definedName name="제4호표">#REF!</definedName>
    <definedName name="제5호표" localSheetId="3">#REF!</definedName>
    <definedName name="제5호표">#REF!</definedName>
    <definedName name="제6호표" localSheetId="3">#REF!</definedName>
    <definedName name="제6호표">#REF!</definedName>
    <definedName name="제목" localSheetId="3">#REF!</definedName>
    <definedName name="제목">#REF!</definedName>
    <definedName name="제출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감도" localSheetId="3" hidden="1">{#N/A,#N/A,FALSE,"이태원철근"}</definedName>
    <definedName name="조감도" hidden="1">{#N/A,#N/A,FALSE,"이태원철근"}</definedName>
    <definedName name="조감도2" localSheetId="3" hidden="1">{#N/A,#N/A,FALSE,"이태원철근"}</definedName>
    <definedName name="조감도2" hidden="1">{#N/A,#N/A,FALSE,"이태원철근"}</definedName>
    <definedName name="조건2" hidden="1">{#N/A,#N/A,FALSE,"CCTV"}</definedName>
    <definedName name="조견표1" localSheetId="3"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사가" hidden="1">[187]내역서!#REF!</definedName>
    <definedName name="조원일">'[188]99년하반기'!$C$12:$C$18,'[188]99년하반기'!$E$12:$E$18,'[188]99년하반기'!$G$12:$G$18,'[188]99년하반기'!$I$12:$I$18,'[188]99년하반기'!$K$12:$K$18,'[188]99년하반기'!$M$12:$M$18,'[188]99년하반기'!$C$30:$C$36,'[188]99년하반기'!$E$30:$E$36,'[188]99년하반기'!$G$30:$G$36,'[188]99년하반기'!$I$30:$I$36,'[188]99년하반기'!$K$30:$K$36,'[188]99년하반기'!$M$30:$M$36</definedName>
    <definedName name="조직도" localSheetId="3" hidden="1">{#N/A,#N/A,FALSE,"이태원철근"}</definedName>
    <definedName name="조직도" hidden="1">{#N/A,#N/A,FALSE,"이태원철근"}</definedName>
    <definedName name="조직도1" localSheetId="3" hidden="1">{#N/A,#N/A,FALSE,"기안지";#N/A,#N/A,FALSE,"통신지"}</definedName>
    <definedName name="조직도1" hidden="1">{#N/A,#N/A,FALSE,"기안지";#N/A,#N/A,FALSE,"통신지"}</definedName>
    <definedName name="조직도2" localSheetId="3" hidden="1">{#N/A,#N/A,FALSE,"기안지";#N/A,#N/A,FALSE,"통신지"}</definedName>
    <definedName name="조직도2" hidden="1">{#N/A,#N/A,FALSE,"기안지";#N/A,#N/A,FALSE,"통신지"}</definedName>
    <definedName name="조직표" hidden="1">{#N/A,#N/A,FALSE,"이태원철근"}</definedName>
    <definedName name="조직표현장" localSheetId="3" hidden="1">'[189]간접비 총괄표'!$I$10:$I$1248</definedName>
    <definedName name="조직표현장" hidden="1">'[190]간접비 총괄표'!$I$10:$I$1248</definedName>
    <definedName name="종근" localSheetId="3" hidden="1">{#N/A,#N/A,FALSE,"사업총괄";#N/A,#N/A,FALSE,"장비사업";#N/A,#N/A,FALSE,"철구사업";#N/A,#N/A,FALSE,"준설사업"}</definedName>
    <definedName name="종근" hidden="1">{#N/A,#N/A,FALSE,"사업총괄";#N/A,#N/A,FALSE,"장비사업";#N/A,#N/A,FALSE,"철구사업";#N/A,#N/A,FALSE,"준설사업"}</definedName>
    <definedName name="종배수관_부설" localSheetId="3">#REF!</definedName>
    <definedName name="종배수관_부설">#REF!</definedName>
    <definedName name="종배수관부설" localSheetId="3">#REF!</definedName>
    <definedName name="종배수관부설">#REF!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 hidden="1">{#N/A,#N/A,FALSE,"지침";#N/A,#N/A,FALSE,"환경분석";#N/A,#N/A,FALSE,"Sheet16"}</definedName>
    <definedName name="주거" localSheetId="3" hidden="1">{#N/A,#N/A,FALSE,"이태원철근"}</definedName>
    <definedName name="주거" hidden="1">{#N/A,#N/A,FALSE,"이태원철근"}</definedName>
    <definedName name="주요" hidden="1">{#N/A,#N/A,FALSE,"TABLE"}</definedName>
    <definedName name="주차" localSheetId="3">[161]Sheet2!$D$2:$D$11</definedName>
    <definedName name="주차">[162]Sheet2!$D$2:$D$11</definedName>
    <definedName name="주택사업본부" localSheetId="3">#REF!</definedName>
    <definedName name="주택사업본부">#REF!</definedName>
    <definedName name="죽전" localSheetId="3" hidden="1">{#N/A,#N/A,FALSE,"이태원철근"}</definedName>
    <definedName name="죽전" hidden="1">{#N/A,#N/A,FALSE,"이태원철근"}</definedName>
    <definedName name="죽전3차" hidden="1">{#N/A,#N/A,FALSE,"이태원철근"}</definedName>
    <definedName name="죽전5차" localSheetId="3" hidden="1">{#N/A,#N/A,FALSE,"이태원철근"}</definedName>
    <definedName name="죽전5차" hidden="1">{#N/A,#N/A,FALSE,"이태원철근"}</definedName>
    <definedName name="중국Site출발항공료">'[109]계약고별 차등단가'!#REF!</definedName>
    <definedName name="중국출장비">'[109]계약고별 차등단가'!#REF!</definedName>
    <definedName name="중국한국출발항공료">'[109]계약고별 차등단가'!#REF!</definedName>
    <definedName name="중국호텔비">'[109]계약고별 차등단가'!#REF!</definedName>
    <definedName name="중급" localSheetId="3">#REF!</definedName>
    <definedName name="중급">#REF!</definedName>
    <definedName name="중기" localSheetId="3">#REF!</definedName>
    <definedName name="중기">#REF!</definedName>
    <definedName name="중기운반" localSheetId="3">#REF!</definedName>
    <definedName name="중기운반">#REF!</definedName>
    <definedName name="중단공사" localSheetId="3">#REF!</definedName>
    <definedName name="중단공사">#REF!</definedName>
    <definedName name="中斷工事__小計" localSheetId="3">#REF!</definedName>
    <definedName name="中斷工事__小計">#REF!</definedName>
    <definedName name="중동Site출발항공료">'[109]계약고별 차등단가'!#REF!</definedName>
    <definedName name="중동출장비">'[109]계약고별 차등단가'!#REF!</definedName>
    <definedName name="중동한국출발항공료">'[109]계약고별 차등단가'!#REF!</definedName>
    <definedName name="중동호텔비">'[109]계약고별 차등단가'!#REF!</definedName>
    <definedName name="중량산출" hidden="1">{#N/A,#N/A,FALSE,"Sheet1"}</definedName>
    <definedName name="중량산출1" hidden="1">{#N/A,#N/A,FALSE,"Sheet1"}</definedName>
    <definedName name="중미Site출발항공료">'[109]계약고별 차등단가'!#REF!</definedName>
    <definedName name="중미출장비">'[109]계약고별 차등단가'!#REF!</definedName>
    <definedName name="중미한국출발항공료">'[109]계약고별 차등단가'!#REF!</definedName>
    <definedName name="중미호텔비">'[109]계약고별 차등단가'!#REF!</definedName>
    <definedName name="중앙아시아Site출발항공료">'[109]계약고별 차등단가'!#REF!</definedName>
    <definedName name="중앙아시아출장비">'[109]계약고별 차등단가'!#REF!</definedName>
    <definedName name="중앙아시아한국출발항공료">'[109]계약고별 차등단가'!#REF!</definedName>
    <definedName name="중앙아시아호텔비">'[109]계약고별 차등단가'!#REF!</definedName>
    <definedName name="중점0601" localSheetId="3" hidden="1">{#N/A,#N/A,FALSE,"이태원철근"}</definedName>
    <definedName name="중점0601" hidden="1">{#N/A,#N/A,FALSE,"이태원철근"}</definedName>
    <definedName name="중점관리" localSheetId="3" hidden="1">{#N/A,#N/A,FALSE,"이태원철근"}</definedName>
    <definedName name="중점관리" hidden="1">{#N/A,#N/A,FALSE,"이태원철근"}</definedName>
    <definedName name="중추2교대거푸집집계" localSheetId="3" hidden="1">{#N/A,#N/A,FALSE,"배수1"}</definedName>
    <definedName name="중추2교대거푸집집계" hidden="1">{#N/A,#N/A,FALSE,"배수1"}</definedName>
    <definedName name="지" localSheetId="3">#REF!</definedName>
    <definedName name="지" hidden="1">{#N/A,#N/A,FALSE,"이태원철근"}</definedName>
    <definedName name="지사">[109]입찰내역서!$T$62</definedName>
    <definedName name="지장선로" localSheetId="3">#REF!</definedName>
    <definedName name="지장선로">#REF!</definedName>
    <definedName name="직노1" localSheetId="3">#REF!</definedName>
    <definedName name="직노1">#REF!</definedName>
    <definedName name="직매54P" localSheetId="3" hidden="1">{#N/A,#N/A,TRUE,"토적및재료집계";#N/A,#N/A,TRUE,"토적및재료집계";#N/A,#N/A,TRUE,"단위량"}</definedName>
    <definedName name="직매54P" hidden="1">{#N/A,#N/A,TRUE,"토적및재료집계";#N/A,#N/A,TRUE,"토적및재료집계";#N/A,#N/A,TRUE,"단위량"}</definedName>
    <definedName name="직원소요철수계획" hidden="1">{#N/A,#N/A,FALSE,"이태원철근"}</definedName>
    <definedName name="직원수" hidden="1">{#N/A,#N/A,FALSE,"이태원철근"}</definedName>
    <definedName name="직원임금" localSheetId="3" hidden="1">'[183]간접비 총괄표'!$I$10:$I$1248</definedName>
    <definedName name="직원임금" hidden="1">'[184]간접비 총괄표'!$I$10:$I$1248</definedName>
    <definedName name="직원조직" localSheetId="3" hidden="1">{#N/A,#N/A,FALSE,"이태원철근"}</definedName>
    <definedName name="직원조직" hidden="1">{#N/A,#N/A,FALSE,"이태원철근"}</definedName>
    <definedName name="직원조직표" localSheetId="3" hidden="1">{#N/A,#N/A,FALSE,"이태원철근"}</definedName>
    <definedName name="직원조직표" hidden="1">{#N/A,#N/A,FALSE,"이태원철근"}</definedName>
    <definedName name="직원조직표1" localSheetId="3" hidden="1">{#N/A,#N/A,FALSE,"이태원철근"}</definedName>
    <definedName name="직원조직표1" hidden="1">{#N/A,#N/A,FALSE,"이태원철근"}</definedName>
    <definedName name="직원조직표복사" hidden="1">{#N/A,#N/A,FALSE,"이태원철근"}</definedName>
    <definedName name="직재" localSheetId="3">#REF!</definedName>
    <definedName name="직재">#REF!</definedName>
    <definedName name="직접노무비" localSheetId="3">#REF!</definedName>
    <definedName name="직접노무비">#REF!</definedName>
    <definedName name="직접재료비" localSheetId="3">#REF!</definedName>
    <definedName name="직접재료비">#REF!</definedName>
    <definedName name="직종" localSheetId="3">#REF!</definedName>
    <definedName name="직종">#REF!</definedName>
    <definedName name="진행" localSheetId="3">#REF!</definedName>
    <definedName name="진행">#REF!</definedName>
    <definedName name="진행1" localSheetId="3">#REF!</definedName>
    <definedName name="진행1">#REF!</definedName>
    <definedName name="進行工事__小計" localSheetId="3">#REF!</definedName>
    <definedName name="進行工事__小計">#REF!</definedName>
    <definedName name="進行工事__小計1" localSheetId="3">#REF!</definedName>
    <definedName name="進行工事__小計1">#REF!</definedName>
    <definedName name="질소_및_탄산가스창고" localSheetId="3">#REF!</definedName>
    <definedName name="질소_및_탄산가스창고">#REF!</definedName>
    <definedName name="집계SHEET">[191]당초!#REF!</definedName>
    <definedName name="집계표" hidden="1">{#N/A,#N/A,FALSE,"Sheet1"}</definedName>
    <definedName name="집수정" localSheetId="3">#REF!</definedName>
    <definedName name="집수정">#REF!</definedName>
    <definedName name="ㅊ1555" localSheetId="3">#REF!</definedName>
    <definedName name="ㅊ1555">#REF!</definedName>
    <definedName name="ㅊㅍㅋㅌㅊㅋ" localSheetId="3" hidden="1">{#N/A,#N/A,FALSE,"운반시간"}</definedName>
    <definedName name="ㅊㅍㅋㅌㅊㅋ" hidden="1">{#N/A,#N/A,FALSE,"운반시간"}</definedName>
    <definedName name="ㅊㅍㅋㅌㅍㅌ" localSheetId="3" hidden="1">{#N/A,#N/A,FALSE,"혼합골재"}</definedName>
    <definedName name="ㅊㅍㅋㅌㅍㅌ" hidden="1">{#N/A,#N/A,FALSE,"혼합골재"}</definedName>
    <definedName name="차량" localSheetId="3" hidden="1">'[192]간접비 총괄표'!$I$10:$I$1248</definedName>
    <definedName name="차량" hidden="1">#REF!</definedName>
    <definedName name="차량현황1" hidden="1">#REF!</definedName>
    <definedName name="차선도색" localSheetId="3">#REF!</definedName>
    <definedName name="차선도색">#REF!</definedName>
    <definedName name="착수최종" hidden="1">{#N/A,#N/A,FALSE,"이태원철근"}</definedName>
    <definedName name="참고2" localSheetId="3" hidden="1">[193]현장!#REF!</definedName>
    <definedName name="참고2" hidden="1">[193]현장!#REF!</definedName>
    <definedName name="참고자료" localSheetId="3" hidden="1">{#VALUE!,#N/A,FALSE,0;#N/A,#N/A,FALSE,0;#N/A,#N/A,FALSE,0;#N/A,#N/A,FALSE,0}</definedName>
    <definedName name="참고자료" hidden="1">{#VALUE!,#N/A,FALSE,0;#N/A,#N/A,FALSE,0;#N/A,#N/A,FALSE,0;#N/A,#N/A,FALSE,0}</definedName>
    <definedName name="참고자료2" localSheetId="3" hidden="1">{#VALUE!,#N/A,FALSE,0;#N/A,#N/A,FALSE,0;#N/A,#N/A,FALSE,0;#N/A,#N/A,FALSE,0}</definedName>
    <definedName name="참고자료2" hidden="1">{#VALUE!,#N/A,FALSE,0;#N/A,#N/A,FALSE,0;#N/A,#N/A,FALSE,0;#N/A,#N/A,FALSE,0}</definedName>
    <definedName name="창원" hidden="1">{#N/A,#N/A,FALSE,"이태원철근"}</definedName>
    <definedName name="창원공사현황" hidden="1">{#N/A,#N/A,FALSE,"이태원철근"}</definedName>
    <definedName name="처리" localSheetId="3">#REF!</definedName>
    <definedName name="처리">#REF!</definedName>
    <definedName name="철거자재" localSheetId="3">#REF!</definedName>
    <definedName name="철거자재">#REF!</definedName>
    <definedName name="철구사업본부" localSheetId="3">#REF!</definedName>
    <definedName name="철구사업본부">#REF!</definedName>
    <definedName name="철재류_운반" localSheetId="3">#REF!</definedName>
    <definedName name="철재류_운반">#REF!</definedName>
    <definedName name="철재류운반" localSheetId="3">#REF!</definedName>
    <definedName name="철재류운반">#REF!</definedName>
    <definedName name="첫장" hidden="1">{#N/A,#N/A,TRUE,"총괄"}</definedName>
    <definedName name="淸算工事__小計" localSheetId="3">#REF!</definedName>
    <definedName name="淸算工事__小計">#REF!</definedName>
    <definedName name="청상과부" localSheetId="3">#REF!</definedName>
    <definedName name="청상과부">#REF!</definedName>
    <definedName name="청상과부1" localSheetId="3">#REF!</definedName>
    <definedName name="청상과부1">#REF!</definedName>
    <definedName name="초기예산서보고" localSheetId="3" hidden="1">{#N/A,#N/A,FALSE,"이태원철근"}</definedName>
    <definedName name="초기예산서보고" hidden="1">{#N/A,#N/A,FALSE,"이태원철근"}</definedName>
    <definedName name="초기예산표지" hidden="1">{#N/A,#N/A,FALSE,"이태원철근"}</definedName>
    <definedName name="총공사비" localSheetId="3">#REF!</definedName>
    <definedName name="총공사비">#REF!</definedName>
    <definedName name="총괄내역" hidden="1">{#N/A,#N/A,TRUE,"총괄"}</definedName>
    <definedName name="총괄내역서" hidden="1">{#N/A,#N/A,TRUE,"총괄"}</definedName>
    <definedName name="총괄표" localSheetId="3" hidden="1">#REF!</definedName>
    <definedName name="총괄표">#REF!</definedName>
    <definedName name="총도급" localSheetId="3">#REF!</definedName>
    <definedName name="총도급">#REF!</definedName>
    <definedName name="총원가" localSheetId="3">#REF!</definedName>
    <definedName name="총원가">#REF!</definedName>
    <definedName name="총일수" localSheetId="3">#REF!</definedName>
    <definedName name="총일수">#REF!</definedName>
    <definedName name="총회사" localSheetId="3">#REF!</definedName>
    <definedName name="총회사">#REF!</definedName>
    <definedName name="최건진행" localSheetId="3">#REF!</definedName>
    <definedName name="최건진행">#REF!</definedName>
    <definedName name="최건청산" localSheetId="3">#REF!</definedName>
    <definedName name="최건청산">#REF!</definedName>
    <definedName name="최건청산2" localSheetId="3">#REF!</definedName>
    <definedName name="최건청산2">#REF!</definedName>
    <definedName name="최대현" hidden="1">{"LKD",#N/A,FALSE,"표지"}</definedName>
    <definedName name="최대현1" hidden="1">{"LKD",#N/A,FALSE,"표지"}</definedName>
    <definedName name="추가" hidden="1">#REF!</definedName>
    <definedName name="추이" localSheetId="3" hidden="1">{#VALUE!,#N/A,FALSE,0;#N/A,#N/A,FALSE,0;#N/A,#N/A,FALSE,0;#N/A,#N/A,FALSE,0}</definedName>
    <definedName name="추이" hidden="1">{#VALUE!,#N/A,FALSE,0;#N/A,#N/A,FALSE,0;#N/A,#N/A,FALSE,0;#N/A,#N/A,FALSE,0}</definedName>
    <definedName name="추정" hidden="1">#REF!</definedName>
    <definedName name="추정2" hidden="1">[194]갑지!#REF!</definedName>
    <definedName name="추정가격" localSheetId="3">#REF!</definedName>
    <definedName name="추정가격">#REF!</definedName>
    <definedName name="추정사업계획" localSheetId="3">#REF!</definedName>
    <definedName name="추정사업계획">#REF!</definedName>
    <definedName name="추진" localSheetId="3">#REF!</definedName>
    <definedName name="추진">#REF!</definedName>
    <definedName name="취하" localSheetId="3" hidden="1">{#N/A,#N/A,FALSE,"이태원철근"}</definedName>
    <definedName name="취하" hidden="1">{#N/A,#N/A,FALSE,"이태원철근"}</definedName>
    <definedName name="취하1" localSheetId="3" hidden="1">{#N/A,#N/A,FALSE,"이태원철근"}</definedName>
    <definedName name="취하1" hidden="1">{#N/A,#N/A,FALSE,"이태원철근"}</definedName>
    <definedName name="취하실적1." hidden="1">{#N/A,#N/A,FALSE,"이태원철근"}</definedName>
    <definedName name="측구_터파기" localSheetId="3">#REF!</definedName>
    <definedName name="측구_터파기">#REF!</definedName>
    <definedName name="측구터파기" localSheetId="3">#REF!</definedName>
    <definedName name="측구터파기">#REF!</definedName>
    <definedName name="층따기" localSheetId="3">#REF!</definedName>
    <definedName name="층따기">#REF!</definedName>
    <definedName name="ㅋ" localSheetId="3" hidden="1">{#N/A,#N/A,FALSE,"이태원철근"}</definedName>
    <definedName name="ㅋ" hidden="1">{#N/A,#N/A,FALSE,"이태원철근"}</definedName>
    <definedName name="ㅋ츄" hidden="1">{#N/A,#N/A,FALSE,"이태원철근"}</definedName>
    <definedName name="ㅋㅋㅋㅋㅋㅋ" localSheetId="3" hidden="1">{#N/A,#N/A,FALSE,"이태원철근"}</definedName>
    <definedName name="ㅋㅋㅋㅋㅋㅋ" hidden="1">{#N/A,#N/A,FALSE,"이태원철근"}</definedName>
    <definedName name="카메라" hidden="1">{#N/A,#N/A,FALSE,"이태원철근"}</definedName>
    <definedName name="캇타_줄눈" localSheetId="3">#REF!</definedName>
    <definedName name="캇타_줄눈">#REF!</definedName>
    <definedName name="캇타줄눈" localSheetId="3">#REF!</definedName>
    <definedName name="캇타줄눈">#REF!</definedName>
    <definedName name="캐나다Site출발항공료">'[109]계약고별 차등단가'!#REF!</definedName>
    <definedName name="캐나다출장비">'[109]계약고별 차등단가'!#REF!</definedName>
    <definedName name="캐나다한국출발항공료">'[109]계약고별 차등단가'!#REF!</definedName>
    <definedName name="캐나다호텔비">'[109]계약고별 차등단가'!#REF!</definedName>
    <definedName name="케이블간지" localSheetId="3" hidden="1">{#N/A,#N/A,TRUE,"토적및재료집계";#N/A,#N/A,TRUE,"토적및재료집계";#N/A,#N/A,TRUE,"단위량"}</definedName>
    <definedName name="케이블간지" hidden="1">{#N/A,#N/A,TRUE,"토적및재료집계";#N/A,#N/A,TRUE,"토적및재료집계";#N/A,#N/A,TRUE,"단위량"}</definedName>
    <definedName name="콘크리트_포장_깨기" localSheetId="3">#REF!</definedName>
    <definedName name="콘크리트_포장_깨기">#REF!</definedName>
    <definedName name="콘크리트_포장_절단" localSheetId="3">#REF!</definedName>
    <definedName name="콘크리트_포장_절단">#REF!</definedName>
    <definedName name="콘크리트포장깨기" localSheetId="3">#REF!</definedName>
    <definedName name="콘크리트포장깨기">#REF!</definedName>
    <definedName name="콘크리트포장절단" localSheetId="3">#REF!</definedName>
    <definedName name="콘크리트포장절단">#REF!</definedName>
    <definedName name="클_레_임">#N/A</definedName>
    <definedName name="ㅌㄵㅅ" hidden="1">{#N/A,#N/A,FALSE,"이태원철근"}</definedName>
    <definedName name="ㅌㅇ" hidden="1">{#N/A,#N/A,FALSE,"이태원철근"}</definedName>
    <definedName name="ㅌㅇㄴ" hidden="1">[195]상품입고집계!#REF!</definedName>
    <definedName name="ㅌㅊ" hidden="1">{#N/A,#N/A,FALSE,"이태원철근"}</definedName>
    <definedName name="ㅌㅌㅌ" localSheetId="3">BlankMacro1</definedName>
    <definedName name="ㅌㅌㅌ">BlankMacro1</definedName>
    <definedName name="ㅌㅍ츛ㅌ" localSheetId="3" hidden="1">{#N/A,#N/A,FALSE,"운반시간"}</definedName>
    <definedName name="ㅌㅍ츛ㅌ" hidden="1">{#N/A,#N/A,FALSE,"운반시간"}</definedName>
    <definedName name="태광공사" localSheetId="3">#REF!</definedName>
    <definedName name="태광공사">#REF!</definedName>
    <definedName name="터_파_기" localSheetId="3">#REF!</definedName>
    <definedName name="터_파_기">#REF!</definedName>
    <definedName name="터파기" localSheetId="3">#REF!</definedName>
    <definedName name="터파기">#REF!</definedName>
    <definedName name="턴키" localSheetId="3" hidden="1">{#N/A,#N/A,FALSE,"사업총괄";#N/A,#N/A,FALSE,"장비사업";#N/A,#N/A,FALSE,"철구사업";#N/A,#N/A,FALSE,"준설사업"}</definedName>
    <definedName name="턴키" hidden="1">{#N/A,#N/A,FALSE,"사업총괄";#N/A,#N/A,FALSE,"장비사업";#N/A,#N/A,FALSE,"철구사업";#N/A,#N/A,FALSE,"준설사업"}</definedName>
    <definedName name="테스크" localSheetId="3" hidden="1">{#N/A,#N/A,FALSE,"단가표지"}</definedName>
    <definedName name="테스크" hidden="1">{#N/A,#N/A,FALSE,"단가표지"}</definedName>
    <definedName name="테스트" hidden="1">#REF!</definedName>
    <definedName name="텍코팅" localSheetId="3">#REF!</definedName>
    <definedName name="텍코팅">#REF!</definedName>
    <definedName name="템플리트모듈1" localSheetId="0">BlankMacro1</definedName>
    <definedName name="템플리트모듈1" localSheetId="2">BlankMacro1</definedName>
    <definedName name="템플리트모듈1" localSheetId="17">BlankMacro1</definedName>
    <definedName name="템플리트모듈1" localSheetId="15">BlankMacro1</definedName>
    <definedName name="템플리트모듈1" localSheetId="3">BlankMacro1</definedName>
    <definedName name="템플리트모듈1">BlankMacro1</definedName>
    <definedName name="템플리트모듈2" localSheetId="0">BlankMacro1</definedName>
    <definedName name="템플리트모듈2" localSheetId="2">BlankMacro1</definedName>
    <definedName name="템플리트모듈2" localSheetId="17">BlankMacro1</definedName>
    <definedName name="템플리트모듈2" localSheetId="15">BlankMacro1</definedName>
    <definedName name="템플리트모듈2" localSheetId="3">BlankMacro1</definedName>
    <definedName name="템플리트모듈2">BlankMacro1</definedName>
    <definedName name="템플리트모듈3" localSheetId="0">BlankMacro1</definedName>
    <definedName name="템플리트모듈3" localSheetId="2">BlankMacro1</definedName>
    <definedName name="템플리트모듈3" localSheetId="17">BlankMacro1</definedName>
    <definedName name="템플리트모듈3" localSheetId="15">BlankMacro1</definedName>
    <definedName name="템플리트모듈3" localSheetId="3">BlankMacro1</definedName>
    <definedName name="템플리트모듈3">BlankMacro1</definedName>
    <definedName name="템플리트모듈4" localSheetId="0">BlankMacro1</definedName>
    <definedName name="템플리트모듈4" localSheetId="2">BlankMacro1</definedName>
    <definedName name="템플리트모듈4" localSheetId="17">BlankMacro1</definedName>
    <definedName name="템플리트모듈4" localSheetId="15">BlankMacro1</definedName>
    <definedName name="템플리트모듈4" localSheetId="3">BlankMacro1</definedName>
    <definedName name="템플리트모듈4">BlankMacro1</definedName>
    <definedName name="템플리트모듈5" localSheetId="0">BlankMacro1</definedName>
    <definedName name="템플리트모듈5" localSheetId="2">BlankMacro1</definedName>
    <definedName name="템플리트모듈5" localSheetId="17">BlankMacro1</definedName>
    <definedName name="템플리트모듈5" localSheetId="15">BlankMacro1</definedName>
    <definedName name="템플리트모듈5" localSheetId="3">BlankMacro1</definedName>
    <definedName name="템플리트모듈5">BlankMacro1</definedName>
    <definedName name="템플리트모듈6" localSheetId="0">BlankMacro1</definedName>
    <definedName name="템플리트모듈6" localSheetId="2">BlankMacro1</definedName>
    <definedName name="템플리트모듈6" localSheetId="17">BlankMacro1</definedName>
    <definedName name="템플리트모듈6" localSheetId="15">BlankMacro1</definedName>
    <definedName name="템플리트모듈6" localSheetId="3">BlankMacro1</definedName>
    <definedName name="템플리트모듈6">BlankMacro1</definedName>
    <definedName name="토">#N/A</definedName>
    <definedName name="토건">{"'장비'!$A$3:$M$12"}</definedName>
    <definedName name="토건업체">{"'장비'!$A$3:$M$12"}</definedName>
    <definedName name="토목" localSheetId="3">#REF!</definedName>
    <definedName name="토목" hidden="1">#REF!</definedName>
    <definedName name="토목1" localSheetId="3" hidden="1">{#N/A,#N/A,FALSE,"사업총괄";#N/A,#N/A,FALSE,"장비사업";#N/A,#N/A,FALSE,"철구사업";#N/A,#N/A,FALSE,"준설사업"}</definedName>
    <definedName name="토목1">#REF!</definedName>
    <definedName name="토목2">#REF!</definedName>
    <definedName name="토목3">#REF!</definedName>
    <definedName name="토목p" localSheetId="3">#REF!</definedName>
    <definedName name="토목p">#REF!</definedName>
    <definedName name="토목공사" localSheetId="3" hidden="1">{#N/A,#N/A,FALSE,"이태원철근"}</definedName>
    <definedName name="토목공사" hidden="1">{#N/A,#N/A,FALSE,"이태원철근"}</definedName>
    <definedName name="토목공사2" hidden="1">{#N/A,#N/A,FALSE,"이태원철근"}</definedName>
    <definedName name="토목공사강릉" hidden="1">#REF!</definedName>
    <definedName name="토목설계" localSheetId="3" hidden="1">{#N/A,#N/A,FALSE,"골재소요량";#N/A,#N/A,FALSE,"골재소요량"}</definedName>
    <definedName name="토목설계" hidden="1">{#N/A,#N/A,FALSE,"골재소요량";#N/A,#N/A,FALSE,"골재소요량"}</definedName>
    <definedName name="토목실견적" localSheetId="3" hidden="1">{#N/A,#N/A,FALSE,"이태원철근"}</definedName>
    <definedName name="토목실견적" hidden="1">{#N/A,#N/A,FALSE,"이태원철근"}</definedName>
    <definedName name="토목외">#REF!,#REF!</definedName>
    <definedName name="토목외총">#REF!,#REF!</definedName>
    <definedName name="토목이월" localSheetId="3">#REF!</definedName>
    <definedName name="토목이월">#REF!</definedName>
    <definedName name="토목이월1" localSheetId="3">#REF!</definedName>
    <definedName name="토목이월1">#REF!</definedName>
    <definedName name="투" localSheetId="3" hidden="1">#REF!</definedName>
    <definedName name="투" hidden="1">#REF!</definedName>
    <definedName name="투찰예정가50">{"'장비'!$A$3:$M$12"}</definedName>
    <definedName name="투찰예정본부장">{"'장비'!$A$3:$M$12"}</definedName>
    <definedName name="특기시방" hidden="1">#REF!</definedName>
    <definedName name="특수" localSheetId="3">#REF!</definedName>
    <definedName name="특수">#REF!</definedName>
    <definedName name="ㅍ" hidden="1">{#N/A,#N/A,FALSE,"이태원철근"}</definedName>
    <definedName name="ㅍㅇㄴ" hidden="1">{#N/A,#N/A,FALSE,"이태원철근"}</definedName>
    <definedName name="ㅍㅇㅁㅂ" hidden="1">{#N/A,#N/A,FALSE,"이태원철근"}</definedName>
    <definedName name="ㅍㅈ" hidden="1">{#N/A,#N/A,FALSE,"이태원철근"}</definedName>
    <definedName name="ㅍ춫" localSheetId="3" hidden="1">{#N/A,#N/A,FALSE,"골재소요량";#N/A,#N/A,FALSE,"골재소요량"}</definedName>
    <definedName name="ㅍ춫" hidden="1">{#N/A,#N/A,FALSE,"골재소요량";#N/A,#N/A,FALSE,"골재소요량"}</definedName>
    <definedName name="ㅍ츝" localSheetId="3" hidden="1">{#N/A,#N/A,FALSE,"표지목차"}</definedName>
    <definedName name="ㅍ츝" hidden="1">{#N/A,#N/A,FALSE,"표지목차"}</definedName>
    <definedName name="ㅍㅍ" localSheetId="3" hidden="1">{#N/A,#N/A,TRUE,"토적및재료집계";#N/A,#N/A,TRUE,"토적및재료집계";#N/A,#N/A,TRUE,"단위량"}</definedName>
    <definedName name="ㅍㅍ" hidden="1">{#N/A,#N/A,TRUE,"토적및재료집계";#N/A,#N/A,TRUE,"토적및재료집계";#N/A,#N/A,TRUE,"단위량"}</definedName>
    <definedName name="ㅍㅍㅍ">#N/A</definedName>
    <definedName name="ㅍㅍㅍㅍㅍㅍㅍ" hidden="1">{#N/A,#N/A,FALSE,"이태원철근"}</definedName>
    <definedName name="ㅍㅎㄷ" hidden="1">{#N/A,#N/A,FALSE,"이태원철근"}</definedName>
    <definedName name="파운드" localSheetId="3">#REF!</definedName>
    <definedName name="파운드">#REF!</definedName>
    <definedName name="파운드환율" localSheetId="3">#REF!</definedName>
    <definedName name="파운드환율">#REF!</definedName>
    <definedName name="팔십" localSheetId="3">#REF!</definedName>
    <definedName name="팔십">#REF!</definedName>
    <definedName name="평" localSheetId="3">#REF!</definedName>
    <definedName name="평">#REF!</definedName>
    <definedName name="평일추가" localSheetId="3">[161]Sheet2!$E$2:$E$11</definedName>
    <definedName name="평일추가">[162]Sheet2!$E$2:$E$11</definedName>
    <definedName name="폐기고" localSheetId="3">#REF!</definedName>
    <definedName name="폐기고">#REF!</definedName>
    <definedName name="폐기물_운반" localSheetId="3">#REF!</definedName>
    <definedName name="폐기물_운반">#REF!</definedName>
    <definedName name="폐기물_저장창고_및_소각로" localSheetId="3">#REF!</definedName>
    <definedName name="폐기물_저장창고_및_소각로">#REF!</definedName>
    <definedName name="폐기물_처리비" localSheetId="3">#REF!</definedName>
    <definedName name="폐기물_처리비">#REF!</definedName>
    <definedName name="폐기물운반" localSheetId="3">#REF!</definedName>
    <definedName name="폐기물운반">#REF!</definedName>
    <definedName name="폐기물처리비" localSheetId="3">#REF!</definedName>
    <definedName name="폐기물처리비">#REF!</definedName>
    <definedName name="표지" localSheetId="3">#REF!</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2" localSheetId="3" hidden="1">#REF!</definedName>
    <definedName name="표지2" hidden="1">#REF!</definedName>
    <definedName name="표토제거" localSheetId="3">#REF!</definedName>
    <definedName name="표토제거">#REF!</definedName>
    <definedName name="품명" localSheetId="3">#REF!</definedName>
    <definedName name="품명">#REF!</definedName>
    <definedName name="품셈단가표" localSheetId="3">#REF!</definedName>
    <definedName name="품셈단가표">#REF!</definedName>
    <definedName name="품의민원"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2" hidden="1">[196]필리핀!$A$1:$IV$4057</definedName>
    <definedName name="품질">#REF!</definedName>
    <definedName name="품질외">#REF!</definedName>
    <definedName name="품질외총">#REF!</definedName>
    <definedName name="풍납동" localSheetId="3" hidden="1">'[1]TOWER 10TON'!#REF!</definedName>
    <definedName name="풍납동" hidden="1">'[1]TOWER 10TON'!#REF!</definedName>
    <definedName name="풍납동아파트" localSheetId="3" hidden="1">'[1]TOWER 10TON'!#REF!</definedName>
    <definedName name="풍납동아파트" hidden="1">'[1]TOWER 10TON'!#REF!</definedName>
    <definedName name="프라임_코팅" localSheetId="3">#REF!</definedName>
    <definedName name="프라임_코팅">#REF!</definedName>
    <definedName name="프라임코팅" localSheetId="3">#REF!</definedName>
    <definedName name="프라임코팅">#REF!</definedName>
    <definedName name="플">#N/A</definedName>
    <definedName name="피로티" localSheetId="3" hidden="1">{#N/A,#N/A,FALSE,"이태원철근"}</definedName>
    <definedName name="피로티" hidden="1">{#N/A,#N/A,FALSE,"이태원철근"}</definedName>
    <definedName name="피로티1" localSheetId="3" hidden="1">{#N/A,#N/A,FALSE,"이태원철근"}</definedName>
    <definedName name="피로티1" hidden="1">{#N/A,#N/A,FALSE,"이태원철근"}</definedName>
    <definedName name="ㅎ" hidden="1">{#N/A,#N/A,FALSE,"이태원철근"}</definedName>
    <definedName name="ㅎ384" localSheetId="3">#REF!</definedName>
    <definedName name="ㅎ384">#REF!</definedName>
    <definedName name="ㅎ4ㄷㅈ" hidden="1">{#N/A,#N/A,FALSE,"이태원철근"}</definedName>
    <definedName name="ㅎㄱㄷㅂㅈ" hidden="1">{#N/A,#N/A,FALSE,"이태원철근"}</definedName>
    <definedName name="ㅎㄱㄷㅈ" hidden="1">{#N/A,#N/A,FALSE,"이태원철근"}</definedName>
    <definedName name="ㅎㄱㅈ" hidden="1">{#N/A,#N/A,FALSE,"이태원철근"}</definedName>
    <definedName name="ㅎㄴ" localSheetId="3" hidden="1">{#N/A,#N/A,FALSE,"단가표지"}</definedName>
    <definedName name="ㅎㄴ" hidden="1">{#N/A,#N/A,FALSE,"단가표지"}</definedName>
    <definedName name="ㅎㄷ" hidden="1">{#N/A,#N/A,FALSE,"이태원철근"}</definedName>
    <definedName name="ㅎㄷㅈㅈ" hidden="1">{#N/A,#N/A,FALSE,"이태원철근"}</definedName>
    <definedName name="ㅎㄹㄴㅇ" localSheetId="3" hidden="1">{#N/A,#N/A,FALSE,"단가표지"}</definedName>
    <definedName name="ㅎㄹㄴㅇ" hidden="1">{#N/A,#N/A,FALSE,"단가표지"}</definedName>
    <definedName name="ㅎㄹㅇㄴ" localSheetId="3" hidden="1">{#N/A,#N/A,FALSE,"골재소요량";#N/A,#N/A,FALSE,"골재소요량"}</definedName>
    <definedName name="ㅎㄹㅇㄴ" hidden="1">{#N/A,#N/A,FALSE,"골재소요량";#N/A,#N/A,FALSE,"골재소요량"}</definedName>
    <definedName name="ㅎㄹㅇㅁㅁㅎ" localSheetId="3" hidden="1">{#N/A,#N/A,FALSE,"조골재"}</definedName>
    <definedName name="ㅎㄹㅇㅁㅁㅎ" hidden="1">{#N/A,#N/A,FALSE,"조골재"}</definedName>
    <definedName name="ㅎㄹㅇㅁㅎㅁ" localSheetId="3" hidden="1">{#N/A,#N/A,FALSE,"표지목차"}</definedName>
    <definedName name="ㅎㄹㅇㅁㅎㅁ" hidden="1">{#N/A,#N/A,FALSE,"표지목차"}</definedName>
    <definedName name="ㅎㄹㅇㅎ" localSheetId="3" hidden="1">{#N/A,#N/A,FALSE,"단가표지"}</definedName>
    <definedName name="ㅎㄹㅇㅎ" hidden="1">{#N/A,#N/A,FALSE,"단가표지"}</definedName>
    <definedName name="ㅎㄹㅇㅎㅇㅁㅎ" localSheetId="3" hidden="1">{#N/A,#N/A,FALSE,"운반시간"}</definedName>
    <definedName name="ㅎㄹㅇㅎㅇㅁㅎ" hidden="1">{#N/A,#N/A,FALSE,"운반시간"}</definedName>
    <definedName name="ㅎ라ㅓㅓㅗㅎ라러" hidden="1">{#N/A,#N/A,FALSE,"이태원철근"}</definedName>
    <definedName name="ㅎ러ㅗ엉ㅎ러ㅗㅎㄹㅇ" hidden="1">{#N/A,#N/A,FALSE,"이태원철근"}</definedName>
    <definedName name="ㅎ륜ㅇㄹ" localSheetId="3" hidden="1">{#N/A,#N/A,FALSE,"2~8번"}</definedName>
    <definedName name="ㅎ륜ㅇㄹ" hidden="1">{#N/A,#N/A,FALSE,"2~8번"}</definedName>
    <definedName name="ㅎ르ㅓㅗㅓ" localSheetId="3" hidden="1">{#N/A,#N/A,FALSE,"골재소요량";#N/A,#N/A,FALSE,"골재소요량"}</definedName>
    <definedName name="ㅎ르ㅓㅗㅓ" hidden="1">{#N/A,#N/A,FALSE,"골재소요량";#N/A,#N/A,FALSE,"골재소요량"}</definedName>
    <definedName name="ㅎㄻㄹㅇㅎㅇㅁ" localSheetId="3" hidden="1">{#N/A,#N/A,FALSE,"혼합골재"}</definedName>
    <definedName name="ㅎㄻㄹㅇㅎㅇㅁ" hidden="1">{#N/A,#N/A,FALSE,"혼합골재"}</definedName>
    <definedName name="ㅎㄻㅇㅎㅁㅇㅎㅁㅇㅎ" localSheetId="3" hidden="1">{#N/A,#N/A,FALSE,"골재소요량";#N/A,#N/A,FALSE,"골재소요량"}</definedName>
    <definedName name="ㅎㄻㅇㅎㅁㅇㅎㅁㅇㅎ" hidden="1">{#N/A,#N/A,FALSE,"골재소요량";#N/A,#N/A,FALSE,"골재소요량"}</definedName>
    <definedName name="ㅎㅁㅇㅀㅁㅇ" localSheetId="3" hidden="1">{#N/A,#N/A,FALSE,"단가표지"}</definedName>
    <definedName name="ㅎㅁㅇㅀㅁㅇ" hidden="1">{#N/A,#N/A,FALSE,"단가표지"}</definedName>
    <definedName name="ㅎㅁㅇㅀㅁㅇㅎㅁ" localSheetId="3" hidden="1">{#N/A,#N/A,FALSE,"단가표지"}</definedName>
    <definedName name="ㅎㅁㅇㅀㅁㅇㅎㅁ" hidden="1">{#N/A,#N/A,FALSE,"단가표지"}</definedName>
    <definedName name="ㅎㅁㅎㄻㄴㅇ" localSheetId="3" hidden="1">{#N/A,#N/A,FALSE,"단가표지"}</definedName>
    <definedName name="ㅎㅁㅎㄻㄴㅇ" hidden="1">{#N/A,#N/A,FALSE,"단가표지"}</definedName>
    <definedName name="ㅎㅇㄴ" localSheetId="3" hidden="1">{#N/A,#N/A,FALSE,"단가표지"}</definedName>
    <definedName name="ㅎㅇㄴ" hidden="1">{#N/A,#N/A,FALSE,"단가표지"}</definedName>
    <definedName name="ㅎㅇㄹ홍ㄴ로" localSheetId="3" hidden="1">{#N/A,#N/A,FALSE,"단가표지"}</definedName>
    <definedName name="ㅎㅇㄹ홍ㄴ로" hidden="1">{#N/A,#N/A,FALSE,"단가표지"}</definedName>
    <definedName name="ㅎㅇㄻㅎㅁㅇ" localSheetId="3" hidden="1">{#N/A,#N/A,FALSE,"혼합골재"}</definedName>
    <definedName name="ㅎㅇㄻㅎㅁㅇ" hidden="1">{#N/A,#N/A,FALSE,"혼합골재"}</definedName>
    <definedName name="ㅎㅇㄻㅎㅁㅎㅁㅇ" localSheetId="3" hidden="1">{#N/A,#N/A,FALSE,"운반시간"}</definedName>
    <definedName name="ㅎㅇㄻㅎㅁㅎㅁㅇ" hidden="1">{#N/A,#N/A,FALSE,"운반시간"}</definedName>
    <definedName name="ㅎㅇㅀ" localSheetId="3" hidden="1">{#N/A,#N/A,FALSE,"단가표지"}</definedName>
    <definedName name="ㅎㅇㅀ" hidden="1">{#N/A,#N/A,FALSE,"단가표지"}</definedName>
    <definedName name="ㅎㅇㅀㄴ" localSheetId="3" hidden="1">{#N/A,#N/A,FALSE,"골재소요량";#N/A,#N/A,FALSE,"골재소요량"}</definedName>
    <definedName name="ㅎㅇㅀㄴ" hidden="1">{#N/A,#N/A,FALSE,"골재소요량";#N/A,#N/A,FALSE,"골재소요량"}</definedName>
    <definedName name="ㅎㅇㅀㅁㅇㅎㅁㅇ" localSheetId="3" hidden="1">{#N/A,#N/A,FALSE,"단가표지"}</definedName>
    <definedName name="ㅎㅇㅀㅁㅇㅎㅁㅇ" hidden="1">{#N/A,#N/A,FALSE,"단가표지"}</definedName>
    <definedName name="ㅎㅇㅀㅇㅀ" localSheetId="3" hidden="1">{#N/A,#N/A,FALSE,"표지목차"}</definedName>
    <definedName name="ㅎㅇㅀㅇㅀ" hidden="1">{#N/A,#N/A,FALSE,"표지목차"}</definedName>
    <definedName name="ㅎㅇㅀㅇㅀㅇ" localSheetId="3" hidden="1">{#N/A,#N/A,FALSE,"표지목차"}</definedName>
    <definedName name="ㅎㅇㅀㅇㅀㅇ" hidden="1">{#N/A,#N/A,FALSE,"표지목차"}</definedName>
    <definedName name="ㅎㅇㅁㄴㄹ" localSheetId="3" hidden="1">{#N/A,#N/A,FALSE,"운반시간"}</definedName>
    <definedName name="ㅎㅇㅁㄴㄹ" hidden="1">{#N/A,#N/A,FALSE,"운반시간"}</definedName>
    <definedName name="ㅎㅇㅁㅀㅁㅇ" localSheetId="3" hidden="1">{#N/A,#N/A,FALSE,"단가표지"}</definedName>
    <definedName name="ㅎㅇㅁㅀㅁㅇ" hidden="1">{#N/A,#N/A,FALSE,"단가표지"}</definedName>
    <definedName name="ㅎㅎ">#N/A</definedName>
    <definedName name="하" hidden="1">{#N/A,#N/A,FALSE,"지침";#N/A,#N/A,FALSE,"환경분석";#N/A,#N/A,FALSE,"Sheet16"}</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드1" localSheetId="3">#REF!</definedName>
    <definedName name="하드1">#REF!</definedName>
    <definedName name="하드2" localSheetId="3">#REF!</definedName>
    <definedName name="하드2">#REF!</definedName>
    <definedName name="하수도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localSheetId="3" hidden="1">{#N/A,#N/A,FALSE,"이태원철근"}</definedName>
    <definedName name="하이얀" hidden="1">{#N/A,#N/A,FALSE,"이태원철근"}</definedName>
    <definedName name="하자" localSheetId="3">#REF!</definedName>
    <definedName name="하자">#REF!</definedName>
    <definedName name="하하" hidden="1">{"LKD",#N/A,FALSE,"표지"}</definedName>
    <definedName name="한" localSheetId="3" hidden="1">#REF!</definedName>
    <definedName name="한" hidden="1">#REF!</definedName>
    <definedName name="한강진">#N/A</definedName>
    <definedName name="한국Site출발항공료">'[109]계약고별 차등단가'!#REF!</definedName>
    <definedName name="한국호텔비">'[109]계약고별 차등단가'!#REF!</definedName>
    <definedName name="할" hidden="1">{"LKD",#N/A,FALSE,"표지"}</definedName>
    <definedName name="할인율" localSheetId="3">#REF!</definedName>
    <definedName name="할인율">#REF!</definedName>
    <definedName name="함종근" localSheetId="3" hidden="1">{#N/A,#N/A,FALSE,"변경관리예산";#N/A,#N/A,FALSE,"변경장비예산";#N/A,#N/A,FALSE,"변경준설예산";#N/A,#N/A,FALSE,"변경철구예산"}</definedName>
    <definedName name="함종근" hidden="1">{#N/A,#N/A,FALSE,"변경관리예산";#N/A,#N/A,FALSE,"변경장비예산";#N/A,#N/A,FALSE,"변경준설예산";#N/A,#N/A,FALSE,"변경철구예산"}</definedName>
    <definedName name="合____計">#N/A</definedName>
    <definedName name="합계" localSheetId="3">#REF!</definedName>
    <definedName name="합계">#REF!</definedName>
    <definedName name="합판거푸집" localSheetId="3">#REF!</definedName>
    <definedName name="합판거푸집">#REF!</definedName>
    <definedName name="해외인원추이" localSheetId="17">[58]요약배부!#REF!</definedName>
    <definedName name="해외인원추이" localSheetId="15">[58]요약배부!#REF!</definedName>
    <definedName name="해외인원추이">[58]요약배부!#REF!</definedName>
    <definedName name="행" hidden="1">{#N/A,#N/A,FALSE,"이태원철근"}</definedName>
    <definedName name="行見出し" localSheetId="3">#REF!</definedName>
    <definedName name="行見出し">#REF!</definedName>
    <definedName name="행선안내게시기설비" localSheetId="3">#REF!</definedName>
    <definedName name="행선안내게시기설비">#REF!</definedName>
    <definedName name="현" localSheetId="3" hidden="1">{#N/A,#N/A,FALSE,"이태원철근"}</definedName>
    <definedName name="현" hidden="1">{#N/A,#N/A,FALSE,"이태원철근"}</definedName>
    <definedName name="現代綜合商事經由分" localSheetId="17">[24]수입!#REF!</definedName>
    <definedName name="現代綜合商事經由分" localSheetId="15">[24]수입!#REF!</definedName>
    <definedName name="現代綜合商事經由分">[24]수입!#REF!</definedName>
    <definedName name="현대코아공통비" localSheetId="3" hidden="1">#REF!</definedName>
    <definedName name="현대코아공통비" hidden="1">#REF!</definedName>
    <definedName name="현장공기">'[197]계약고&amp;환율'!$B$11</definedName>
    <definedName name="현장재해율"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재해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재해율_5" localSheetId="3" hidden="1">{#N/A,#N/A,FALSE,"사업총괄";#N/A,#N/A,FALSE,"장비사업";#N/A,#N/A,FALSE,"철구사업";#N/A,#N/A,FALSE,"준설사업"}</definedName>
    <definedName name="현장재해율_5" hidden="1">{#N/A,#N/A,FALSE,"사업총괄";#N/A,#N/A,FALSE,"장비사업";#N/A,#N/A,FALSE,"철구사업";#N/A,#N/A,FALSE,"준설사업"}</definedName>
    <definedName name="현장조직1" hidden="1">{"LKD",#N/A,FALSE,"표지"}</definedName>
    <definedName name="현장주변사진" localSheetId="3" hidden="1">{#N/A,#N/A,FALSE,"이태원철근"}</definedName>
    <definedName name="현장주변사진" hidden="1">{#N/A,#N/A,FALSE,"이태원철근"}</definedName>
    <definedName name="현장투입기간">[109]입찰내역서!$T$63</definedName>
    <definedName name="현조" hidden="1">#REF!</definedName>
    <definedName name="현지화">[109]입찰내역서!$R$14</definedName>
    <definedName name="협조전" localSheetId="3" hidden="1">#REF!</definedName>
    <definedName name="협조전" hidden="1">#REF!</definedName>
    <definedName name="혜진" localSheetId="3" hidden="1">{#N/A,#N/A,FALSE,"이태원철근"}</definedName>
    <definedName name="혜진" hidden="1">{#N/A,#N/A,FALSE,"이태원철근"}</definedName>
    <definedName name="호가" hidden="1">{"LKD",#N/A,FALSE,"표지"}</definedName>
    <definedName name="호우" localSheetId="3" hidden="1">{#N/A,#N/A,FALSE,"표지목차"}</definedName>
    <definedName name="호우" hidden="1">{#N/A,#N/A,FALSE,"표지목차"}</definedName>
    <definedName name="호우ㅗ" localSheetId="3" hidden="1">{#N/A,#N/A,FALSE,"단가표지"}</definedName>
    <definedName name="호우ㅗ" hidden="1">{#N/A,#N/A,FALSE,"단가표지"}</definedName>
    <definedName name="호표" localSheetId="3">#REF!</definedName>
    <definedName name="호표">#REF!</definedName>
    <definedName name="호표1" localSheetId="3">#REF!</definedName>
    <definedName name="호표1">#REF!</definedName>
    <definedName name="호ㅓ" localSheetId="3" hidden="1">#REF!</definedName>
    <definedName name="호ㅓ" hidden="1">#REF!</definedName>
    <definedName name="호ㅓㅎ" localSheetId="3" hidden="1">{#N/A,#N/A,FALSE,"표지목차"}</definedName>
    <definedName name="호ㅓㅎ" hidden="1">{#N/A,#N/A,FALSE,"표지목차"}</definedName>
    <definedName name="혼ㄹ" localSheetId="3" hidden="1">{#N/A,#N/A,FALSE,"운반시간"}</definedName>
    <definedName name="혼ㄹ" hidden="1">{#N/A,#N/A,FALSE,"운반시간"}</definedName>
    <definedName name="홀ㄴㄺㅅ" localSheetId="3" hidden="1">{#N/A,#N/A,FALSE,"단가표지"}</definedName>
    <definedName name="홀ㄴㄺㅅ" hidden="1">{#N/A,#N/A,FALSE,"단가표지"}</definedName>
    <definedName name="홍범표" hidden="1">{#N/A,#N/A,FALSE,"이태원철근"}</definedName>
    <definedName name="홓렁호ㅓ호" localSheetId="3" hidden="1">{#N/A,#N/A,FALSE,"단가표지"}</definedName>
    <definedName name="홓렁호ㅓ호" hidden="1">{#N/A,#N/A,FALSE,"단가표지"}</definedName>
    <definedName name="홓로" localSheetId="3" hidden="1">{#N/A,#N/A,FALSE,"단가표지"}</definedName>
    <definedName name="홓로" hidden="1">{#N/A,#N/A,FALSE,"단가표지"}</definedName>
    <definedName name="화허호ㅓ" localSheetId="3" hidden="1">{#N/A,#N/A,FALSE,"조골재"}</definedName>
    <definedName name="화허호ㅓ" hidden="1">{#N/A,#N/A,FALSE,"조골재"}</definedName>
    <definedName name="화ㅓㅗ허ㅏㅎ" hidden="1">{#N/A,#N/A,FALSE,"이태원철근"}</definedName>
    <definedName name="환룰" localSheetId="3">#REF!</definedName>
    <definedName name="환룰">#REF!</definedName>
    <definedName name="환률" localSheetId="3">#REF!</definedName>
    <definedName name="환률">#REF!</definedName>
    <definedName name="환율" localSheetId="3" hidden="1">{#N/A,#N/A,FALSE,"이태원철근"}</definedName>
    <definedName name="환율" hidden="1">{#N/A,#N/A,FALSE,"이태원철근"}</definedName>
    <definedName name="환전" localSheetId="3">BlankMacro1</definedName>
    <definedName name="환전">BlankMacro1</definedName>
    <definedName name="활동성" localSheetId="3" hidden="1">{#N/A,#N/A,FALSE,"사업총괄";#N/A,#N/A,FALSE,"장비사업";#N/A,#N/A,FALSE,"철구사업";#N/A,#N/A,FALSE,"준설사업"}</definedName>
    <definedName name="활동성" hidden="1">{#N/A,#N/A,FALSE,"사업총괄";#N/A,#N/A,FALSE,"장비사업";#N/A,#N/A,FALSE,"철구사업";#N/A,#N/A,FALSE,"준설사업"}</definedName>
    <definedName name="횡배수_날개벽" localSheetId="3">#REF!</definedName>
    <definedName name="횡배수_날개벽">#REF!</definedName>
    <definedName name="횡배수관_부설" localSheetId="3">#REF!</definedName>
    <definedName name="횡배수관_부설">#REF!</definedName>
    <definedName name="횡배수관부설" localSheetId="3">#REF!</definedName>
    <definedName name="횡배수관부설">#REF!</definedName>
    <definedName name="횡배수날개벽" localSheetId="3">#REF!</definedName>
    <definedName name="횡배수날개벽">#REF!</definedName>
    <definedName name="효" localSheetId="3" hidden="1">{#N/A,#N/A,FALSE,"이태원철근"}</definedName>
    <definedName name="효" hidden="1">{#N/A,#N/A,FALSE,"이태원철근"}</definedName>
    <definedName name="후_담당간사에게_제출한다." localSheetId="3">#REF!</definedName>
    <definedName name="후_담당간사에게_제출한다.">#REF!</definedName>
    <definedName name="휴일추가" localSheetId="3">[161]Sheet2!$F$2:$F$11</definedName>
    <definedName name="휴일추가">[162]Sheet2!$F$2:$F$11</definedName>
    <definedName name="휻" hidden="1">{#N/A,#N/A,FALSE,"이태원철근"}</definedName>
    <definedName name="흙깍기" localSheetId="3">#REF!</definedName>
    <definedName name="흙깍기">#REF!</definedName>
    <definedName name="흙쌓기" localSheetId="3">#REF!</definedName>
    <definedName name="흙쌓기">#REF!</definedName>
    <definedName name="ㅏ" localSheetId="3" hidden="1">{#N/A,#N/A,FALSE,"이태원철근"}</definedName>
    <definedName name="ㅏ" hidden="1">{#N/A,#N/A,FALSE,"이태원철근"}</definedName>
    <definedName name="ㅏ허화" localSheetId="3" hidden="1">{#N/A,#N/A,FALSE,"골재소요량";#N/A,#N/A,FALSE,"골재소요량"}</definedName>
    <definedName name="ㅏ허화" hidden="1">{#N/A,#N/A,FALSE,"골재소요량";#N/A,#N/A,FALSE,"골재소요량"}</definedName>
    <definedName name="ㅏㅏ" localSheetId="3">#REF!</definedName>
    <definedName name="ㅏㅏ">#REF!</definedName>
    <definedName name="ㅏㅏㅏㅏㅏ">#N/A</definedName>
    <definedName name="ㅏㅓㅎ라" localSheetId="3" hidden="1">{#N/A,#N/A,FALSE,"표지목차"}</definedName>
    <definedName name="ㅏㅓㅎ라" hidden="1">{#N/A,#N/A,FALSE,"표지목차"}</definedName>
    <definedName name="ㅏㅓ화호" localSheetId="3" hidden="1">{#N/A,#N/A,FALSE,"단가표지"}</definedName>
    <definedName name="ㅏㅓ화호" hidden="1">{#N/A,#N/A,FALSE,"단가표지"}</definedName>
    <definedName name="ㅏㅓㅏㅓㅣ" hidden="1">{#N/A,#N/A,FALSE,"이태원철근"}</definedName>
    <definedName name="ㅏㅓㅗ라" localSheetId="3" hidden="1">{#N/A,#N/A,FALSE,"골재소요량";#N/A,#N/A,FALSE,"골재소요량"}</definedName>
    <definedName name="ㅏㅓㅗ라" hidden="1">{#N/A,#N/A,FALSE,"골재소요량";#N/A,#N/A,FALSE,"골재소요량"}</definedName>
    <definedName name="ㅏㅓㅗㅎ" localSheetId="3" hidden="1">{#N/A,#N/A,FALSE,"운반시간"}</definedName>
    <definedName name="ㅏㅓㅗㅎ" hidden="1">{#N/A,#N/A,FALSE,"운반시간"}</definedName>
    <definedName name="ㅏㅓㅗㅓ" localSheetId="3" hidden="1">{#N/A,#N/A,FALSE,"운반시간"}</definedName>
    <definedName name="ㅏㅓㅗㅓ" hidden="1">{#N/A,#N/A,FALSE,"운반시간"}</definedName>
    <definedName name="ㅏㅓㅘ허호" localSheetId="3" hidden="1">{#N/A,#N/A,FALSE,"단가표지"}</definedName>
    <definedName name="ㅏㅓㅘ허호" hidden="1">{#N/A,#N/A,FALSE,"단가표지"}</definedName>
    <definedName name="ㅏㅓㅣㅏㅓㅣㅏㅓㅣ" hidden="1">{#N/A,#N/A,FALSE,"이태원철근"}</definedName>
    <definedName name="ㅏㅓㅣㅏㅓㅣㅏㅓㅣㅓ" hidden="1">{#N/A,#N/A,FALSE,"이태원철근"}</definedName>
    <definedName name="ㅏㅗㅓㅏ화호" localSheetId="3" hidden="1">{#N/A,#N/A,FALSE,"표지목차"}</definedName>
    <definedName name="ㅏㅗㅓㅏ화호" hidden="1">{#N/A,#N/A,FALSE,"표지목차"}</definedName>
    <definedName name="ㅏㅣ" localSheetId="3" hidden="1">{#N/A,#N/A,FALSE,"단가표지"}</definedName>
    <definedName name="ㅏㅣ" hidden="1">{#N/A,#N/A,FALSE,"단가표지"}</definedName>
    <definedName name="ㅏㅣㅓㅏㅣㅓㅏㅣ" localSheetId="3">#REF!</definedName>
    <definedName name="ㅏㅣㅓㅏㅣㅓㅏㅣ">#REF!</definedName>
    <definedName name="ㅐ" localSheetId="3" hidden="1">{#N/A,#N/A,FALSE,"이태원철근"}</definedName>
    <definedName name="ㅐ" hidden="1">{#N/A,#N/A,FALSE,"이태원철근"}</definedName>
    <definedName name="ㅐ1236" localSheetId="3">#REF!</definedName>
    <definedName name="ㅐ1236">#REF!</definedName>
    <definedName name="ㅐ15" localSheetId="3">#REF!</definedName>
    <definedName name="ㅐ15">#REF!</definedName>
    <definedName name="ㅐㅐㅐ"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ㅑㅐㅓㅕㅑ" localSheetId="3">#REF!,#REF!</definedName>
    <definedName name="ㅐㅑㅑㅐㅓㅕㅑ">#REF!,#REF!</definedName>
    <definedName name="ㅐㅑㅛ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 localSheetId="3">#REF!</definedName>
    <definedName name="ㅐㅗㅅ">#REF!</definedName>
    <definedName name="ㅑ" localSheetId="3">#REF!,#REF!,#REF!</definedName>
    <definedName name="ㅑ" hidden="1">{#N/A,#N/A,FALSE,"이태원철근"}</definedName>
    <definedName name="ㅑ3081" localSheetId="3">#REF!</definedName>
    <definedName name="ㅑ3081">#REF!</definedName>
    <definedName name="ㅑ722" localSheetId="3">#REF!</definedName>
    <definedName name="ㅑ722">#REF!</definedName>
    <definedName name="ㅑㅐㅕㅑㅐㅕㅑㅑ" localSheetId="3">#REF!</definedName>
    <definedName name="ㅑㅐㅕㅑㅐㅕㅑㅑ">#REF!</definedName>
    <definedName name="ㅓ" localSheetId="3" hidden="1">{#N/A,#N/A,FALSE,"이태원철근"}</definedName>
    <definedName name="ㅓ" hidden="1">{#N/A,#N/A,FALSE,"이태원철근"}</definedName>
    <definedName name="ㅓ롤" localSheetId="3" hidden="1">{#N/A,#N/A,FALSE,"골재소요량";#N/A,#N/A,FALSE,"골재소요량"}</definedName>
    <definedName name="ㅓ롤" hidden="1">{#N/A,#N/A,FALSE,"골재소요량";#N/A,#N/A,FALSE,"골재소요량"}</definedName>
    <definedName name="ㅓㅇㄴ" localSheetId="3" hidden="1">{#N/A,#N/A,FALSE,"단가표지"}</definedName>
    <definedName name="ㅓㅇㄴ" hidden="1">{#N/A,#N/A,FALSE,"단가표지"}</definedName>
    <definedName name="ㅓㅇ호ㅓㅇ호ㅓㅇ허" localSheetId="3" hidden="1">{#N/A,#N/A,FALSE,"표지목차"}</definedName>
    <definedName name="ㅓㅇ호ㅓㅇ호ㅓㅇ허" hidden="1">{#N/A,#N/A,FALSE,"표지목차"}</definedName>
    <definedName name="ㅓㅎ렁홍" localSheetId="3" hidden="1">{#N/A,#N/A,FALSE,"혼합골재"}</definedName>
    <definedName name="ㅓㅎ렁홍" hidden="1">{#N/A,#N/A,FALSE,"혼합골재"}</definedName>
    <definedName name="ㅓㅎ로ㅗㄴ" localSheetId="3" hidden="1">{#N/A,#N/A,FALSE,"단가표지"}</definedName>
    <definedName name="ㅓㅎ로ㅗㄴ" hidden="1">{#N/A,#N/A,FALSE,"단가표지"}</definedName>
    <definedName name="ㅓㅎㅇㅎ" localSheetId="3" hidden="1">{#N/A,#N/A,FALSE,"운반시간"}</definedName>
    <definedName name="ㅓㅎㅇㅎ" hidden="1">{#N/A,#N/A,FALSE,"운반시간"}</definedName>
    <definedName name="ㅓ호ㅓ" localSheetId="3" hidden="1">{#N/A,#N/A,FALSE,"표지목차"}</definedName>
    <definedName name="ㅓ호ㅓ" hidden="1">{#N/A,#N/A,FALSE,"표지목차"}</definedName>
    <definedName name="ㅓ호ㅓㅗㄹ" localSheetId="3" hidden="1">{#N/A,#N/A,FALSE,"단가표지"}</definedName>
    <definedName name="ㅓ호ㅓㅗㄹ" hidden="1">{#N/A,#N/A,FALSE,"단가표지"}</definedName>
    <definedName name="ㅓㅏ호" localSheetId="3" hidden="1">{#N/A,#N/A,FALSE,"단가표지"}</definedName>
    <definedName name="ㅓㅏ호" hidden="1">{#N/A,#N/A,FALSE,"단가표지"}</definedName>
    <definedName name="ㅓㅏ호ㅓ" localSheetId="3" hidden="1">{#N/A,#N/A,FALSE,"단가표지"}</definedName>
    <definedName name="ㅓㅏ호ㅓ" hidden="1">{#N/A,#N/A,FALSE,"단가표지"}</definedName>
    <definedName name="ㅓㅏㅗ하ㅗㅓㅎ" localSheetId="3" hidden="1">{#N/A,#N/A,FALSE,"혼합골재"}</definedName>
    <definedName name="ㅓㅏㅗ하ㅗㅓㅎ" hidden="1">{#N/A,#N/A,FALSE,"혼합골재"}</definedName>
    <definedName name="ㅓㅏㅗㅓ" localSheetId="3">#REF!</definedName>
    <definedName name="ㅓㅏㅗㅓ">#REF!</definedName>
    <definedName name="ㅓㅏㅗㅓㅏㅗㅓ" localSheetId="3">#REF!</definedName>
    <definedName name="ㅓㅏㅗㅓㅏㅗㅓ">#REF!</definedName>
    <definedName name="ㅓㅏㅗㅓㅗ" localSheetId="3">#REF!</definedName>
    <definedName name="ㅓㅏㅗㅓㅗ">#REF!</definedName>
    <definedName name="ㅓㅏㅣㅓㅣㅓㅣㅓㅏ" hidden="1">{#N/A,#N/A,FALSE,"이태원철근"}</definedName>
    <definedName name="ㅓㅓㅓ" hidden="1">{#N/A,#N/A,FALSE,"이태원철근"}</definedName>
    <definedName name="ㅓㅓㅓㅓㅓ">#N/A</definedName>
    <definedName name="ㅓㅓㅗ라ㅓㄴ오라ㅓㅁㄴ오라넘오람ㄴ엄ㄴㅇㅇㄴㅁㅁㄴㅇㅇㄴㄴㅇㅁ">#N/A</definedName>
    <definedName name="ㅓㅗ" localSheetId="3" hidden="1">{#N/A,#N/A,FALSE,"운반시간"}</definedName>
    <definedName name="ㅓㅗ" hidden="1">{#N/A,#N/A,FALSE,"운반시간"}</definedName>
    <definedName name="ㅓㅗㅎㄹ" localSheetId="3" hidden="1">{#N/A,#N/A,FALSE,"조골재"}</definedName>
    <definedName name="ㅓㅗㅎㄹ" hidden="1">{#N/A,#N/A,FALSE,"조골재"}</definedName>
    <definedName name="ㅓㅗㅎ러ㅗㅎ러" localSheetId="3" hidden="1">{#N/A,#N/A,FALSE,"혼합골재"}</definedName>
    <definedName name="ㅓㅗㅎ러ㅗㅎ러" hidden="1">{#N/A,#N/A,FALSE,"혼합골재"}</definedName>
    <definedName name="ㅓㅗㅎ러ㅗ호ㅓ" localSheetId="3" hidden="1">{#N/A,#N/A,FALSE,"단가표지"}</definedName>
    <definedName name="ㅓㅗㅎ러ㅗ호ㅓ" hidden="1">{#N/A,#N/A,FALSE,"단가표지"}</definedName>
    <definedName name="ㅓㅗ허" localSheetId="3" hidden="1">{#N/A,#N/A,FALSE,"조골재"}</definedName>
    <definedName name="ㅓㅗ허" hidden="1">{#N/A,#N/A,FALSE,"조골재"}</definedName>
    <definedName name="ㅓㅗ허ㅗㄹ" localSheetId="3" hidden="1">{#N/A,#N/A,FALSE,"운반시간"}</definedName>
    <definedName name="ㅓㅗ허ㅗㄹ" hidden="1">{#N/A,#N/A,FALSE,"운반시간"}</definedName>
    <definedName name="ㅓㅗ허ㅗㅎㄹ" localSheetId="3" hidden="1">{#N/A,#N/A,FALSE,"골재소요량";#N/A,#N/A,FALSE,"골재소요량"}</definedName>
    <definedName name="ㅓㅗ허ㅗㅎㄹ" hidden="1">{#N/A,#N/A,FALSE,"골재소요량";#N/A,#N/A,FALSE,"골재소요량"}</definedName>
    <definedName name="ㅓㅗ허ㅗㅎ러" localSheetId="3" hidden="1">{#N/A,#N/A,FALSE,"운반시간"}</definedName>
    <definedName name="ㅓㅗ허ㅗㅎ러" hidden="1">{#N/A,#N/A,FALSE,"운반시간"}</definedName>
    <definedName name="ㅓㅗ헝홍허" localSheetId="3" hidden="1">{#N/A,#N/A,FALSE,"골재소요량";#N/A,#N/A,FALSE,"골재소요량"}</definedName>
    <definedName name="ㅓㅗ헝홍허" hidden="1">{#N/A,#N/A,FALSE,"골재소요량";#N/A,#N/A,FALSE,"골재소요량"}</definedName>
    <definedName name="ㅓㅗ헣ㄹ" localSheetId="3" hidden="1">{#N/A,#N/A,FALSE,"단가표지"}</definedName>
    <definedName name="ㅓㅗ헣ㄹ" hidden="1">{#N/A,#N/A,FALSE,"단가표지"}</definedName>
    <definedName name="ㅓㅗ헣러" localSheetId="3" hidden="1">{#N/A,#N/A,FALSE,"단가표지"}</definedName>
    <definedName name="ㅓㅗ헣러" hidden="1">{#N/A,#N/A,FALSE,"단가표지"}</definedName>
    <definedName name="ㅓㅗ헣로ㅓ" localSheetId="3" hidden="1">{#N/A,#N/A,FALSE,"조골재"}</definedName>
    <definedName name="ㅓㅗ헣로ㅓ" hidden="1">{#N/A,#N/A,FALSE,"조골재"}</definedName>
    <definedName name="ㅓㅗ헣호ㅓ" localSheetId="3" hidden="1">{#N/A,#N/A,FALSE,"조골재"}</definedName>
    <definedName name="ㅓㅗ헣호ㅓ" hidden="1">{#N/A,#N/A,FALSE,"조골재"}</definedName>
    <definedName name="ㅓㅗ호" localSheetId="3" hidden="1">{#N/A,#N/A,FALSE,"단가표지"}</definedName>
    <definedName name="ㅓㅗ호" hidden="1">{#N/A,#N/A,FALSE,"단가표지"}</definedName>
    <definedName name="ㅓㅗ호ㅓ" localSheetId="3">#REF!</definedName>
    <definedName name="ㅓㅗ호ㅓ">#REF!</definedName>
    <definedName name="ㅓㅗ호ㅓㅗ" localSheetId="3" hidden="1">{#N/A,#N/A,FALSE,"2~8번"}</definedName>
    <definedName name="ㅓㅗ호ㅓㅗ" hidden="1">{#N/A,#N/A,FALSE,"2~8번"}</definedName>
    <definedName name="ㅓㅗㅓㅏㅗㅓㅏㅗㅓ" localSheetId="3">#REF!</definedName>
    <definedName name="ㅓㅗㅓㅏㅗㅓㅏㅗㅓ">#REF!</definedName>
    <definedName name="ㅓㅗㅓㅗㅓㅗ" hidden="1">[150]현금흐름표!$F$45</definedName>
    <definedName name="ㅓㅗㅗ" localSheetId="3" hidden="1">{#N/A,#N/A,FALSE,"단가표지"}</definedName>
    <definedName name="ㅓㅗㅗ" hidden="1">{#N/A,#N/A,FALSE,"단가표지"}</definedName>
    <definedName name="ㅓㅗㅗㅗ" localSheetId="3" hidden="1">{#N/A,#N/A,FALSE,"골재소요량";#N/A,#N/A,FALSE,"골재소요량"}</definedName>
    <definedName name="ㅓㅗㅗㅗ" hidden="1">{#N/A,#N/A,FALSE,"골재소요량";#N/A,#N/A,FALSE,"골재소요량"}</definedName>
    <definedName name="ㅓㅛㅅㄱ" hidden="1">{#N/A,#N/A,FALSE,"이태원철근"}</definedName>
    <definedName name="ㅓㅛ서ㅛ서ㅑ쇼ㅕ" hidden="1">{#N/A,#N/A,FALSE,"이태원철근"}</definedName>
    <definedName name="ㅓㅜㅗ" localSheetId="3">#REF!</definedName>
    <definedName name="ㅓㅜㅗ">#REF!</definedName>
    <definedName name="ㅓㅣㅘㅣ" localSheetId="3">#REF!,#REF!</definedName>
    <definedName name="ㅓㅣㅘㅣ">#REF!,#REF!</definedName>
    <definedName name="ㅔ" localSheetId="3" hidden="1">{#N/A,#N/A,FALSE,"이태원철근"}</definedName>
    <definedName name="ㅔ" hidden="1">{#N/A,#N/A,FALSE,"이태원철근"}</definedName>
    <definedName name="ㅔㅔㅔㅔㅔㅔㅔㅔㅔㅔㅔㅔㅔㅔ" hidden="1">{#N/A,#N/A,FALSE,"이태원철근"}</definedName>
    <definedName name="ㅕ" hidden="1">{#N/A,#N/A,FALSE,"이태원철근"}</definedName>
    <definedName name="ㅕ겨겨"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{#N/A,#N/A,FALSE,"이태원철근"}</definedName>
    <definedName name="ㅕㅑㅐㅕㅑ" hidden="1">{#N/A,#N/A,FALSE,"이태원철근"}</definedName>
    <definedName name="ㅕㅑㅐㅕㅑㅐ" hidden="1">{#N/A,#N/A,FALSE,"이태원철근"}</definedName>
    <definedName name="ㅕㅑㅑㅐㅓㅕㅑ" localSheetId="3">#REF!,#REF!</definedName>
    <definedName name="ㅕㅑㅑㅐㅓㅕㅑ">#REF!,#REF!</definedName>
    <definedName name="ㅕㅑㅕㅑㅐㅑㅕㅐ" localSheetId="3">#REF!,#REF!</definedName>
    <definedName name="ㅕㅑㅕㅑㅐㅑㅕㅐ">#REF!,#REF!</definedName>
    <definedName name="ㅕㅑㅜㅐㅑ" hidden="1">{#N/A,#N/A,FALSE,"이태원철근"}</definedName>
    <definedName name="ㅗ" localSheetId="3" hidden="1">{#N/A,#N/A,FALSE,"이태원철근"}</definedName>
    <definedName name="ㅗ" hidden="1">{#N/A,#N/A,FALSE,"이태원철근"}</definedName>
    <definedName name="ㅗ1019" localSheetId="3">#REF!</definedName>
    <definedName name="ㅗ1019">#REF!</definedName>
    <definedName name="ㅗ18">#REF!</definedName>
    <definedName name="ㅗㄱ" hidden="1">{#N/A,#N/A,FALSE,"이태원철근"}</definedName>
    <definedName name="ㅗㄳ" hidden="1">{#N/A,#N/A,FALSE,"이태원철근"}</definedName>
    <definedName name="ㅗㄹㄶ" localSheetId="3" hidden="1">{#N/A,#N/A,FALSE,"조골재"}</definedName>
    <definedName name="ㅗㄹㄶ" hidden="1">{#N/A,#N/A,FALSE,"조골재"}</definedName>
    <definedName name="ㅗㅎ" localSheetId="3" hidden="1">{#N/A,#N/A,FALSE,"운반시간"}</definedName>
    <definedName name="ㅗㅎ" hidden="1">{#N/A,#N/A,FALSE,"운반시간"}</definedName>
    <definedName name="ㅗㅎㄴ" localSheetId="3" hidden="1">{#N/A,#N/A,FALSE,"골재소요량";#N/A,#N/A,FALSE,"골재소요량"}</definedName>
    <definedName name="ㅗㅎㄴ" hidden="1">{#N/A,#N/A,FALSE,"골재소요량";#N/A,#N/A,FALSE,"골재소요량"}</definedName>
    <definedName name="ㅗㅎㄴㄹ" localSheetId="3" hidden="1">{#N/A,#N/A,FALSE,"단가표지"}</definedName>
    <definedName name="ㅗㅎㄴㄹ" hidden="1">{#N/A,#N/A,FALSE,"단가표지"}</definedName>
    <definedName name="ㅗㅎ러ㅗㅎ럴호" hidden="1">{#N/A,#N/A,FALSE,"이태원철근"}</definedName>
    <definedName name="ㅗㅎ로ㅜ" localSheetId="3" hidden="1">{#N/A,#N/A,FALSE,"운반시간"}</definedName>
    <definedName name="ㅗㅎ로ㅜ" hidden="1">{#N/A,#N/A,FALSE,"운반시간"}</definedName>
    <definedName name="ㅗㅎ론ㄹ" localSheetId="3" hidden="1">{#N/A,#N/A,FALSE,"표지목차"}</definedName>
    <definedName name="ㅗㅎ론ㄹ" hidden="1">{#N/A,#N/A,FALSE,"표지목차"}</definedName>
    <definedName name="ㅗㅎ롯홋ㄱ" localSheetId="3" hidden="1">{#N/A,#N/A,FALSE,"혼합골재"}</definedName>
    <definedName name="ㅗㅎ롯홋ㄱ" hidden="1">{#N/A,#N/A,FALSE,"혼합골재"}</definedName>
    <definedName name="ㅗㅎㅈㅈㅈㅈㅈㅈㅈㅈ" hidden="1">{#N/A,#N/A,FALSE,"이태원철근"}</definedName>
    <definedName name="ㅗ허ㅗ" localSheetId="3" hidden="1">{#N/A,#N/A,FALSE,"단가표지"}</definedName>
    <definedName name="ㅗ허ㅗ" hidden="1">{#N/A,#N/A,FALSE,"단가표지"}</definedName>
    <definedName name="ㅗ호" localSheetId="3" hidden="1">{#N/A,#N/A,FALSE,"단가표지"}</definedName>
    <definedName name="ㅗ호" hidden="1">{#N/A,#N/A,FALSE,"단가표지"}</definedName>
    <definedName name="ㅗㅓ쇼ㅓㅕㄷ쇼ㅓㅕㄷㅅ" localSheetId="3" hidden="1">{#N/A,#N/A,FALSE,"단가표지"}</definedName>
    <definedName name="ㅗㅓ쇼ㅓㅕㄷ쇼ㅓㅕㄷㅅ" hidden="1">{#N/A,#N/A,FALSE,"단가표지"}</definedName>
    <definedName name="ㅗㅓㅎ로ㅓㅎㄹ" localSheetId="3" hidden="1">{#N/A,#N/A,FALSE,"표지목차"}</definedName>
    <definedName name="ㅗㅓㅎ로ㅓㅎㄹ" hidden="1">{#N/A,#N/A,FALSE,"표지목차"}</definedName>
    <definedName name="ㅗㅓㅏㅣㅗㅓㅏㅣ" hidden="1">{#N/A,#N/A,FALSE,"이태원철근"}</definedName>
    <definedName name="ㅗㅓㅣㅗ" localSheetId="3">#REF!,#REF!</definedName>
    <definedName name="ㅗㅓㅣㅗ">#REF!,#REF!</definedName>
    <definedName name="ㅗㅗ" hidden="1">{#N/A,#N/A,TRUE,"토적및재료집계";#N/A,#N/A,TRUE,"토적및재료집계";#N/A,#N/A,TRUE,"단위량"}</definedName>
    <definedName name="ㅗㅗㅓ" localSheetId="3">#REF!</definedName>
    <definedName name="ㅗㅗㅓ">#REF!</definedName>
    <definedName name="ㅗㅗㅓㅓㅏㅣ" localSheetId="3">#REF!</definedName>
    <definedName name="ㅗㅗㅓㅓㅏㅣ">#REF!</definedName>
    <definedName name="ㅗㅗㅗ"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#N/A</definedName>
    <definedName name="ㅗㅗㅗㅗㅗㅗㅗㅗ" hidden="1">{#N/A,#N/A,FALSE,"이태원철근"}</definedName>
    <definedName name="ㅗㅠㄱㅈ" hidden="1">{#N/A,#N/A,FALSE,"이태원철근"}</definedName>
    <definedName name="ㅗㅠㅍ" localSheetId="3" hidden="1">{#N/A,#N/A,FALSE,"혼합골재"}</definedName>
    <definedName name="ㅗㅠㅍ" hidden="1">{#N/A,#N/A,FALSE,"혼합골재"}</definedName>
    <definedName name="ㅛ" localSheetId="3" hidden="1">{#N/A,#N/A,FALSE,"이태원철근"}</definedName>
    <definedName name="ㅛ" hidden="1">{#N/A,#N/A,FALSE,"이태원철근"}</definedName>
    <definedName name="ㅛ셔쇼려ㅛ셔" hidden="1">{#N/A,#N/A,FALSE,"이태원철근"}</definedName>
    <definedName name="ㅛ셔ㅛ셔ㅛ쇼ㅕ" hidden="1">{#N/A,#N/A,FALSE,"이태원철근"}</definedName>
    <definedName name="ㅛㅕㅕㅕ">#N/A</definedName>
    <definedName name="ㅛㅗㄹ호ㅓㅎㅅㄹ" localSheetId="3" hidden="1">{#N/A,#N/A,FALSE,"이태원철근"}</definedName>
    <definedName name="ㅛㅗㄹ호ㅓㅎㅅㄹ" hidden="1">{#N/A,#N/A,FALSE,"이태원철근"}</definedName>
    <definedName name="ㅛㅛㅛ"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7">'[50]9-1차이내역'!#REF!</definedName>
    <definedName name="ㅜ" localSheetId="15">'[50]9-1차이내역'!#REF!</definedName>
    <definedName name="ㅜ" localSheetId="4" hidden="1">{#N/A,#N/A,FALSE,"이태원철근"}</definedName>
    <definedName name="ㅜ">'[50]9-1차이내역'!#REF!</definedName>
    <definedName name="ㅜㄴㄱ" localSheetId="3" hidden="1">{#N/A,#N/A,FALSE,"운반시간"}</definedName>
    <definedName name="ㅜㄴㄱ" hidden="1">{#N/A,#N/A,FALSE,"운반시간"}</definedName>
    <definedName name="ㅜㄹ윤" localSheetId="3" hidden="1">{#N/A,#N/A,FALSE,"단가표지"}</definedName>
    <definedName name="ㅜㄹ윤" hidden="1">{#N/A,#N/A,FALSE,"단가표지"}</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ㅊㅍ" localSheetId="3" hidden="1">{#N/A,#N/A,FALSE,"표지목차"}</definedName>
    <definedName name="ㅜㅊㅍ" hidden="1">{#N/A,#N/A,FALSE,"표지목차"}</definedName>
    <definedName name="ㅜㅋㅊㅍ" localSheetId="3" hidden="1">{#N/A,#N/A,FALSE,"조골재"}</definedName>
    <definedName name="ㅜㅋㅊㅍ" hidden="1">{#N/A,#N/A,FALSE,"조골재"}</definedName>
    <definedName name="ㅜㅍ추ㅠ" localSheetId="3" hidden="1">{#N/A,#N/A,FALSE,"혼합골재"}</definedName>
    <definedName name="ㅜㅍ추ㅠ" hidden="1">{#N/A,#N/A,FALSE,"혼합골재"}</definedName>
    <definedName name="ㅜㅍ츄ㅜㅠㅍ춫ㅍ" hidden="1">{#N/A,#N/A,FALSE,"이태원철근"}</definedName>
    <definedName name="ㅜㅎㄴ" localSheetId="3" hidden="1">{#N/A,#N/A,FALSE,"골재소요량";#N/A,#N/A,FALSE,"골재소요량"}</definedName>
    <definedName name="ㅜㅎㄴ" hidden="1">{#N/A,#N/A,FALSE,"골재소요량";#N/A,#N/A,FALSE,"골재소요량"}</definedName>
    <definedName name="ㅜㅎㅅㄱㄴ" localSheetId="3" hidden="1">{#N/A,#N/A,FALSE,"단가표지"}</definedName>
    <definedName name="ㅜㅎㅅㄱㄴ" hidden="1">{#N/A,#N/A,FALSE,"단가표지"}</definedName>
    <definedName name="ㅜㅗㅇㅎㅌ" localSheetId="3" hidden="1">{#N/A,#N/A,FALSE,"단가표지"}</definedName>
    <definedName name="ㅜㅗㅇㅎㅌ" hidden="1">{#N/A,#N/A,FALSE,"단가표지"}</definedName>
    <definedName name="ㅜㅗㅇ훟" localSheetId="3" hidden="1">{#N/A,#N/A,FALSE,"단가표지"}</definedName>
    <definedName name="ㅜㅗㅇ훟" hidden="1">{#N/A,#N/A,FALSE,"단가표지"}</definedName>
    <definedName name="ㅜㅗㅗㅗㅇㅎ" localSheetId="3" hidden="1">{#N/A,#N/A,FALSE,"운반시간"}</definedName>
    <definedName name="ㅜㅗㅗㅗㅇㅎ" hidden="1">{#N/A,#N/A,FALSE,"운반시간"}</definedName>
    <definedName name="ㅜㅜㅜ">#N/A</definedName>
    <definedName name="ㅜㅠ푸" localSheetId="3" hidden="1">{#N/A,#N/A,FALSE,"운반시간"}</definedName>
    <definedName name="ㅜㅠ푸" hidden="1">{#N/A,#N/A,FALSE,"운반시간"}</definedName>
    <definedName name="ㅜㅠㅠ" localSheetId="3" hidden="1">{#N/A,#N/A,FALSE,"골재소요량";#N/A,#N/A,FALSE,"골재소요량"}</definedName>
    <definedName name="ㅜㅠㅠ" hidden="1">{#N/A,#N/A,FALSE,"골재소요량";#N/A,#N/A,FALSE,"골재소요량"}</definedName>
    <definedName name="ㅝㅎㄹ" localSheetId="3" hidden="1">{#N/A,#N/A,FALSE,"단가표지"}</definedName>
    <definedName name="ㅝㅎㄹ" hidden="1">{#N/A,#N/A,FALSE,"단가표지"}</definedName>
    <definedName name="ㅠ" localSheetId="3" hidden="1">{#N/A,#N/A,FALSE,"이태원철근"}</definedName>
    <definedName name="ㅠ" hidden="1">{#N/A,#N/A,FALSE,"이태원철근"}</definedName>
    <definedName name="ㅠㄴ" localSheetId="3" hidden="1">{#N/A,#N/A,FALSE,"조골재"}</definedName>
    <definedName name="ㅠㄴ" hidden="1">{#N/A,#N/A,FALSE,"조골재"}</definedName>
    <definedName name="ㅠㄷ" hidden="1">{#N/A,#N/A,FALSE,"이태원철근"}</definedName>
    <definedName name="ㅠㄹㄴ" hidden="1">{#N/A,#N/A,FALSE,"이태원철근"}</definedName>
    <definedName name="ㅠㄹㅇㄴㄴㄹㅇ" localSheetId="3" hidden="1">{#N/A,#N/A,FALSE,"단가표지"}</definedName>
    <definedName name="ㅠㄹㅇㄴㄴㄹㅇ" hidden="1">{#N/A,#N/A,FALSE,"단가표지"}</definedName>
    <definedName name="ㅠㄹㅈㅈ" hidden="1">{#N/A,#N/A,FALSE,"이태원철근"}</definedName>
    <definedName name="ㅠㅂㄷ" hidden="1">{#N/A,#N/A,FALSE,"이태원철근"}</definedName>
    <definedName name="ㅠㅇㄹㅈ" hidden="1">{#N/A,#N/A,FALSE,"이태원철근"}</definedName>
    <definedName name="ㅠㅊㅌ퓿ㅌ" localSheetId="3" hidden="1">{#N/A,#N/A,FALSE,"2~8번"}</definedName>
    <definedName name="ㅠㅊㅌ퓿ㅌ" hidden="1">{#N/A,#N/A,FALSE,"2~8번"}</definedName>
    <definedName name="ㅠㅊㅍㅌ" localSheetId="3" hidden="1">{#N/A,#N/A,FALSE,"단가표지"}</definedName>
    <definedName name="ㅠㅊㅍㅌ" hidden="1">{#N/A,#N/A,FALSE,"단가표지"}</definedName>
    <definedName name="ㅠㅊㅍ튜" localSheetId="3" hidden="1">{#N/A,#N/A,FALSE,"단가표지"}</definedName>
    <definedName name="ㅠㅊㅍ튜" hidden="1">{#N/A,#N/A,FALSE,"단가표지"}</definedName>
    <definedName name="ㅠㅊㅍ튵ㅊ" localSheetId="3" hidden="1">{#N/A,#N/A,FALSE,"운반시간"}</definedName>
    <definedName name="ㅠㅊㅍ튵ㅊ" hidden="1">{#N/A,#N/A,FALSE,"운반시간"}</definedName>
    <definedName name="ㅠㅊ픁츄" localSheetId="3" hidden="1">{#N/A,#N/A,FALSE,"단가표지"}</definedName>
    <definedName name="ㅠㅊ픁츄" hidden="1">{#N/A,#N/A,FALSE,"단가표지"}</definedName>
    <definedName name="ㅠㅍ" localSheetId="3" hidden="1">{#N/A,#N/A,FALSE,"조골재"}</definedName>
    <definedName name="ㅠㅍ" hidden="1">{#N/A,#N/A,FALSE,"조골재"}</definedName>
    <definedName name="ㅠㅍㅊ" localSheetId="3" hidden="1">{#N/A,#N/A,FALSE,"단가표지"}</definedName>
    <definedName name="ㅠㅍㅊ" hidden="1">{#N/A,#N/A,FALSE,"단가표지"}</definedName>
    <definedName name="ㅠㅍㅊ튳" localSheetId="3" hidden="1">{#N/A,#N/A,FALSE,"표지목차"}</definedName>
    <definedName name="ㅠㅍㅊ튳" hidden="1">{#N/A,#N/A,FALSE,"표지목차"}</definedName>
    <definedName name="ㅠㅍㅊ튳ㅌㅍ" localSheetId="3" hidden="1">{#N/A,#N/A,FALSE,"조골재"}</definedName>
    <definedName name="ㅠㅍㅊ튳ㅌㅍ" hidden="1">{#N/A,#N/A,FALSE,"조골재"}</definedName>
    <definedName name="ㅠㅍㅊ튵" localSheetId="3" hidden="1">{#N/A,#N/A,FALSE,"골재소요량";#N/A,#N/A,FALSE,"골재소요량"}</definedName>
    <definedName name="ㅠㅍㅊ튵" hidden="1">{#N/A,#N/A,FALSE,"골재소요량";#N/A,#N/A,FALSE,"골재소요량"}</definedName>
    <definedName name="ㅠㅍㅊ튵ㅊ" localSheetId="3" hidden="1">{#N/A,#N/A,FALSE,"단가표지"}</definedName>
    <definedName name="ㅠㅍㅊ튵ㅊ" hidden="1">{#N/A,#N/A,FALSE,"단가표지"}</definedName>
    <definedName name="ㅠㅍ츄ㅜ" localSheetId="3" hidden="1">{#N/A,#N/A,FALSE,"단가표지"}</definedName>
    <definedName name="ㅠㅍ츄ㅜ" hidden="1">{#N/A,#N/A,FALSE,"단가표지"}</definedName>
    <definedName name="ㅠㅍ츛ㅍ" localSheetId="3" hidden="1">{#N/A,#N/A,FALSE,"혼합골재"}</definedName>
    <definedName name="ㅠㅍ츛ㅍ" hidden="1">{#N/A,#N/A,FALSE,"혼합골재"}</definedName>
    <definedName name="ㅠㅍ츜ㅊ" localSheetId="3" hidden="1">{#N/A,#N/A,FALSE,"2~8번"}</definedName>
    <definedName name="ㅠㅍ츜ㅊ" hidden="1">{#N/A,#N/A,FALSE,"2~8번"}</definedName>
    <definedName name="ㅠㅍ츜ㅍ" localSheetId="3" hidden="1">{#N/A,#N/A,FALSE,"조골재"}</definedName>
    <definedName name="ㅠㅍ츜ㅍ" hidden="1">{#N/A,#N/A,FALSE,"조골재"}</definedName>
    <definedName name="ㅠㅍ츝" localSheetId="3" hidden="1">{#N/A,#N/A,FALSE,"운반시간"}</definedName>
    <definedName name="ㅠㅍ츝" hidden="1">{#N/A,#N/A,FALSE,"운반시간"}</definedName>
    <definedName name="ㅠㅍ츝ㅊ" localSheetId="3" hidden="1">{#N/A,#N/A,FALSE,"단가표지"}</definedName>
    <definedName name="ㅠㅍ츝ㅊ" hidden="1">{#N/A,#N/A,FALSE,"단가표지"}</definedName>
    <definedName name="ㅠㅍㅋㅊㅍㅍ" localSheetId="3" hidden="1">{#N/A,#N/A,FALSE,"단가표지"}</definedName>
    <definedName name="ㅠㅍㅋㅊㅍㅍ" hidden="1">{#N/A,#N/A,FALSE,"단가표지"}</definedName>
    <definedName name="ㅠ퓿큨ㅊ" localSheetId="3" hidden="1">{#N/A,#N/A,FALSE,"단가표지"}</definedName>
    <definedName name="ㅠ퓿큨ㅊ" hidden="1">{#N/A,#N/A,FALSE,"단가표지"}</definedName>
    <definedName name="ㅠ픀ㅊ" localSheetId="3" hidden="1">{#N/A,#N/A,FALSE,"단가표지"}</definedName>
    <definedName name="ㅠ픀ㅊ" hidden="1">{#N/A,#N/A,FALSE,"단가표지"}</definedName>
    <definedName name="ㅠ픀ㅊㅍ" localSheetId="3" hidden="1">{#N/A,#N/A,FALSE,"표지목차"}</definedName>
    <definedName name="ㅠ픀ㅊㅍ" hidden="1">{#N/A,#N/A,FALSE,"표지목차"}</definedName>
    <definedName name="ㅠ픀ㅋㅊㅍ" localSheetId="3" hidden="1">{#N/A,#N/A,FALSE,"운반시간"}</definedName>
    <definedName name="ㅠ픀ㅋㅊㅍ" hidden="1">{#N/A,#N/A,FALSE,"운반시간"}</definedName>
    <definedName name="ㅠㅗㄱㅈ" hidden="1">{#N/A,#N/A,FALSE,"이태원철근"}</definedName>
    <definedName name="ㅠㅗㄱㅈㅈㅈ" hidden="1">{#N/A,#N/A,FALSE,"이태원철근"}</definedName>
    <definedName name="ㅠㅗㅅㄱ" hidden="1">{#N/A,#N/A,FALSE,"이태원철근"}</definedName>
    <definedName name="ㅠㅜㅠㅜㅜㅜ">#N/A</definedName>
    <definedName name="ㅠㅠ" localSheetId="3" hidden="1">{#N/A,#N/A,FALSE,"TABLE"}</definedName>
    <definedName name="ㅠㅠ" hidden="1">{#N/A,#N/A,FALSE,"TABLE"}</definedName>
    <definedName name="ㅡ" localSheetId="3" hidden="1">{#N/A,#N/A,FALSE,"이태원철근"}</definedName>
    <definedName name="ㅡ" hidden="1">{#N/A,#N/A,FALSE,"이태원철근"}</definedName>
    <definedName name="ㅡㄴㅇ마ㅣㅡㄹㅇㄴㅀ호홓" localSheetId="3">#REF!</definedName>
    <definedName name="ㅡㄴㅇ마ㅣㅡㄹㅇㄴㅀ호홓">#REF!</definedName>
    <definedName name="ㅡㅡ" localSheetId="3">BlankMacro1</definedName>
    <definedName name="ㅡㅡ">BlankMacro1</definedName>
    <definedName name="ㅡㅡㅡ" localSheetId="3" hidden="1">#REF!</definedName>
    <definedName name="ㅡㅡㅡ" hidden="1">#REF!</definedName>
    <definedName name="ㅣ" hidden="1">{#N/A,#N/A,FALSE,"이태원철근"}</definedName>
    <definedName name="ㅣ1191" localSheetId="3">#REF!</definedName>
    <definedName name="ㅣ1191">#REF!</definedName>
    <definedName name="ㅣ너럊ㄷ로" localSheetId="3" hidden="1">{#N/A,#N/A,FALSE,"TABLE"}</definedName>
    <definedName name="ㅣ너럊ㄷ로" hidden="1">{#N/A,#N/A,FALSE,"TABLE"}</definedName>
    <definedName name="ㅣ허ㅏㅣ하" localSheetId="3" hidden="1">{#N/A,#N/A,FALSE,"혼합골재"}</definedName>
    <definedName name="ㅣ허ㅏㅣ하" hidden="1">{#N/A,#N/A,FALSE,"혼합골재"}</definedName>
    <definedName name="ㅣ허ㅣ호ㅓㅏ" localSheetId="3" hidden="1">{#N/A,#N/A,FALSE,"조골재"}</definedName>
    <definedName name="ㅣ허ㅣ호ㅓㅏ" hidden="1">{#N/A,#N/A,FALSE,"조골재"}</definedName>
    <definedName name="ㅣㅏ허ㅏ허ㅏ허ㅏ" localSheetId="3" hidden="1">{#N/A,#N/A,FALSE,"단가표지"}</definedName>
    <definedName name="ㅣㅏ허ㅏ허ㅏ허ㅏ" hidden="1">{#N/A,#N/A,FALSE,"단가표지"}</definedName>
    <definedName name="ㅣㅏㅓㅎ" localSheetId="3" hidden="1">{#N/A,#N/A,FALSE,"단가표지"}</definedName>
    <definedName name="ㅣㅏㅓㅎ" hidden="1">{#N/A,#N/A,FALSE,"단가표지"}</definedName>
    <definedName name="ㅣㅏㅓ허ㅏㅓㅎ" localSheetId="3" hidden="1">{#N/A,#N/A,FALSE,"표지목차"}</definedName>
    <definedName name="ㅣㅏㅓ허ㅏㅓㅎ" hidden="1">{#N/A,#N/A,FALSE,"표지목차"}</definedName>
    <definedName name="ㅣㅏㅓㅏㅣㅓ" localSheetId="3">#REF!</definedName>
    <definedName name="ㅣㅏㅓㅏㅣㅓ">#REF!</definedName>
    <definedName name="ㅣㅏㅓㅣ허ㅏㅎ" localSheetId="3" hidden="1">{#N/A,#N/A,FALSE,"골재소요량";#N/A,#N/A,FALSE,"골재소요량"}</definedName>
    <definedName name="ㅣㅏㅓㅣ허ㅏㅎ" hidden="1">{#N/A,#N/A,FALSE,"골재소요량";#N/A,#N/A,FALSE,"골재소요량"}</definedName>
    <definedName name="ㅣㅏㅓㅣ허ㅏㅏ허" localSheetId="3" hidden="1">{#N/A,#N/A,FALSE,"조골재"}</definedName>
    <definedName name="ㅣㅏㅓㅣ허ㅏㅏ허" hidden="1">{#N/A,#N/A,FALSE,"조골재"}</definedName>
    <definedName name="ㅣㅏㅣㅗㅓㅏㅣㅓㅏ" localSheetId="3">#REF!,#REF!</definedName>
    <definedName name="ㅣㅏㅣㅗㅓㅏㅣㅓㅏ">#REF!,#REF!</definedName>
    <definedName name="ㅣㅓㅏ허" localSheetId="3" hidden="1">{#N/A,#N/A,FALSE,"운반시간"}</definedName>
    <definedName name="ㅣㅓㅏ허" hidden="1">{#N/A,#N/A,FALSE,"운반시간"}</definedName>
    <definedName name="ㅣㅓㅏ허ㅏㅣ허ㅏㅓ" localSheetId="3" hidden="1">{#N/A,#N/A,FALSE,"운반시간"}</definedName>
    <definedName name="ㅣㅓㅏ허ㅏㅣ허ㅏㅓ" hidden="1">{#N/A,#N/A,FALSE,"운반시간"}</definedName>
    <definedName name="ㅣㅚㅓㅏ" localSheetId="3" hidden="1">{#N/A,#N/A,FALSE,"단가표지"}</definedName>
    <definedName name="ㅣㅚㅓㅏ" hidden="1">{#N/A,#N/A,FALSE,"단가표지"}</definedName>
    <definedName name="ㅣㅣ" localSheetId="3">#REF!</definedName>
    <definedName name="ㅣㅣ" hidden="1">{"LKD",#N/A,FALSE,"표지"}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Q58" i="139" l="1"/>
  <c r="BQ91" i="139"/>
  <c r="BQ67" i="139"/>
  <c r="E3739" i="140"/>
  <c r="E3738" i="140"/>
  <c r="BQ79" i="139"/>
  <c r="BQ148" i="139"/>
  <c r="E2" i="181"/>
  <c r="X32" i="156"/>
  <c r="X31" i="156"/>
  <c r="P21" i="180" l="1"/>
  <c r="P20" i="180"/>
  <c r="P19" i="180"/>
  <c r="P18" i="180"/>
  <c r="P17" i="180"/>
  <c r="P16" i="180"/>
  <c r="P15" i="180"/>
  <c r="P14" i="180"/>
  <c r="P13" i="180"/>
  <c r="M21" i="180"/>
  <c r="N21" i="180" s="1"/>
  <c r="M20" i="180"/>
  <c r="N20" i="180" s="1"/>
  <c r="M19" i="180"/>
  <c r="N19" i="180" s="1"/>
  <c r="M18" i="180"/>
  <c r="N18" i="180" s="1"/>
  <c r="M17" i="180"/>
  <c r="N17" i="180" s="1"/>
  <c r="M16" i="180"/>
  <c r="N16" i="180" s="1"/>
  <c r="M15" i="180"/>
  <c r="N15" i="180" s="1"/>
  <c r="M14" i="180"/>
  <c r="N14" i="180" s="1"/>
  <c r="M13" i="180"/>
  <c r="N13" i="180" s="1"/>
  <c r="K21" i="180"/>
  <c r="K20" i="180"/>
  <c r="K19" i="180"/>
  <c r="K18" i="180"/>
  <c r="K17" i="180"/>
  <c r="K16" i="180"/>
  <c r="K15" i="180"/>
  <c r="K14" i="180"/>
  <c r="K13" i="180"/>
  <c r="BQ73" i="139" l="1"/>
  <c r="E3745" i="140"/>
  <c r="E3749" i="140"/>
  <c r="BQ110" i="139"/>
  <c r="E3753" i="140"/>
  <c r="BQ112" i="139"/>
  <c r="E3737" i="140"/>
  <c r="BQ65" i="139"/>
  <c r="BQ107" i="139"/>
  <c r="BQ144" i="139"/>
  <c r="BQ26" i="139"/>
  <c r="BQ86" i="139"/>
  <c r="BQ88" i="139"/>
  <c r="BQ94" i="139"/>
  <c r="E3733" i="140"/>
  <c r="E3732" i="140"/>
  <c r="E3740" i="140"/>
  <c r="E3792" i="140" s="1"/>
  <c r="BQ76" i="139"/>
  <c r="D160" i="139"/>
  <c r="D159" i="139"/>
  <c r="E3712" i="140"/>
  <c r="E3687" i="140"/>
  <c r="BP73" i="139"/>
  <c r="BP144" i="139"/>
  <c r="BP86" i="139"/>
  <c r="E3665" i="140"/>
  <c r="BP67" i="139"/>
  <c r="BP58" i="139"/>
  <c r="BP79" i="139"/>
  <c r="E3666" i="140"/>
  <c r="E3677" i="140"/>
  <c r="BP91" i="139"/>
  <c r="E3667" i="140"/>
  <c r="BP77" i="139"/>
  <c r="BP130" i="139"/>
  <c r="E3626" i="140"/>
  <c r="BP27" i="139"/>
  <c r="E3672" i="140"/>
  <c r="E3661" i="140"/>
  <c r="BP65" i="139"/>
  <c r="BP19" i="139"/>
  <c r="E3648" i="140"/>
  <c r="E3664" i="140"/>
  <c r="BP30" i="139"/>
  <c r="E3627" i="140"/>
  <c r="BL155" i="139"/>
  <c r="BL154" i="139"/>
  <c r="BL153" i="139"/>
  <c r="BL152" i="139"/>
  <c r="BL151" i="139"/>
  <c r="BL150" i="139"/>
  <c r="BL149" i="139"/>
  <c r="BL147" i="139" s="1"/>
  <c r="BL148" i="139"/>
  <c r="BL146" i="139"/>
  <c r="BL145" i="139"/>
  <c r="BL144" i="139"/>
  <c r="BL143" i="139"/>
  <c r="BL142" i="139"/>
  <c r="BL138" i="139" s="1"/>
  <c r="BL141" i="139"/>
  <c r="BL140" i="139"/>
  <c r="BL139" i="139"/>
  <c r="BL137" i="139"/>
  <c r="BL136" i="139"/>
  <c r="BL135" i="139"/>
  <c r="BL134" i="139"/>
  <c r="BL133" i="139"/>
  <c r="BL132" i="139"/>
  <c r="BL131" i="139"/>
  <c r="BL130" i="139"/>
  <c r="BL129" i="139"/>
  <c r="BL128" i="139"/>
  <c r="BL127" i="139"/>
  <c r="BL126" i="139"/>
  <c r="BL125" i="139"/>
  <c r="BL124" i="139"/>
  <c r="BL123" i="139" s="1"/>
  <c r="BL122" i="139"/>
  <c r="BL121" i="139"/>
  <c r="BL120" i="139"/>
  <c r="BL119" i="139"/>
  <c r="BL118" i="139"/>
  <c r="BL117" i="139"/>
  <c r="BL116" i="139"/>
  <c r="BL115" i="139"/>
  <c r="BL114" i="139"/>
  <c r="BL113" i="139" s="1"/>
  <c r="BL112" i="139"/>
  <c r="BL111" i="139"/>
  <c r="BL110" i="139"/>
  <c r="BL109" i="139"/>
  <c r="BL108" i="139"/>
  <c r="BL107" i="139"/>
  <c r="BL106" i="139"/>
  <c r="BL105" i="139"/>
  <c r="BL104" i="139"/>
  <c r="BL103" i="139"/>
  <c r="BL102" i="139"/>
  <c r="BL101" i="139"/>
  <c r="BL100" i="139"/>
  <c r="BL97" i="139" s="1"/>
  <c r="BL99" i="139"/>
  <c r="BL98" i="139"/>
  <c r="BL96" i="139"/>
  <c r="BL95" i="139" s="1"/>
  <c r="BL94" i="139"/>
  <c r="BL93" i="139"/>
  <c r="BL92" i="139" s="1"/>
  <c r="BL91" i="139"/>
  <c r="BL90" i="139"/>
  <c r="BL89" i="139"/>
  <c r="BL88" i="139"/>
  <c r="BL87" i="139"/>
  <c r="BL86" i="139"/>
  <c r="BL80" i="139" s="1"/>
  <c r="BL85" i="139"/>
  <c r="BL84" i="139"/>
  <c r="BL83" i="139"/>
  <c r="BL82" i="139"/>
  <c r="BL81" i="139"/>
  <c r="BL79" i="139"/>
  <c r="BL78" i="139"/>
  <c r="BL77" i="139"/>
  <c r="BL76" i="139"/>
  <c r="BL75" i="139"/>
  <c r="BL74" i="139"/>
  <c r="BL73" i="139"/>
  <c r="BL72" i="139"/>
  <c r="BL71" i="139"/>
  <c r="BL70" i="139"/>
  <c r="BL69" i="139"/>
  <c r="BL68" i="139"/>
  <c r="BL67" i="139"/>
  <c r="BL66" i="139"/>
  <c r="BL65" i="139"/>
  <c r="BL63" i="139" s="1"/>
  <c r="BL64" i="139"/>
  <c r="BL62" i="139"/>
  <c r="BL61" i="139"/>
  <c r="BL60" i="139"/>
  <c r="BL59" i="139"/>
  <c r="BL58" i="139"/>
  <c r="BL57" i="139" s="1"/>
  <c r="BL56" i="139"/>
  <c r="BL55" i="139"/>
  <c r="BL54" i="139"/>
  <c r="BL53" i="139"/>
  <c r="BL52" i="139"/>
  <c r="BL51" i="139"/>
  <c r="BL50" i="139" s="1"/>
  <c r="BL49" i="139"/>
  <c r="BL48" i="139"/>
  <c r="BL47" i="139"/>
  <c r="BL46" i="139"/>
  <c r="BL45" i="139"/>
  <c r="BL44" i="139"/>
  <c r="BL41" i="139" s="1"/>
  <c r="BL43" i="139"/>
  <c r="BL42" i="139"/>
  <c r="BL40" i="139"/>
  <c r="BL39" i="139"/>
  <c r="BL38" i="139"/>
  <c r="BL37" i="139"/>
  <c r="BL36" i="139"/>
  <c r="BL35" i="139"/>
  <c r="BL34" i="139"/>
  <c r="BL33" i="139"/>
  <c r="BL32" i="139"/>
  <c r="BL31" i="139"/>
  <c r="BL30" i="139"/>
  <c r="BL29" i="139" s="1"/>
  <c r="BL28" i="139"/>
  <c r="BL27" i="139"/>
  <c r="BL26" i="139"/>
  <c r="BL25" i="139"/>
  <c r="BL24" i="139"/>
  <c r="BL23" i="139"/>
  <c r="BL22" i="139"/>
  <c r="BL21" i="139"/>
  <c r="BL20" i="139"/>
  <c r="BL19" i="139"/>
  <c r="BL18" i="139"/>
  <c r="BL17" i="139"/>
  <c r="BL16" i="139"/>
  <c r="BL4" i="139" s="1"/>
  <c r="BL15" i="139"/>
  <c r="BL14" i="139"/>
  <c r="BL13" i="139"/>
  <c r="BL12" i="139"/>
  <c r="BL11" i="139"/>
  <c r="BL10" i="139"/>
  <c r="BL9" i="139"/>
  <c r="BL8" i="139"/>
  <c r="BL7" i="139"/>
  <c r="BL6" i="139"/>
  <c r="BL5" i="139"/>
  <c r="AX155" i="139"/>
  <c r="AX154" i="139"/>
  <c r="AX153" i="139"/>
  <c r="AX152" i="139"/>
  <c r="AX151" i="139"/>
  <c r="AX150" i="139" s="1"/>
  <c r="AX149" i="139"/>
  <c r="AX148" i="139"/>
  <c r="AX147" i="139"/>
  <c r="AX146" i="139"/>
  <c r="AX145" i="139" s="1"/>
  <c r="AX144" i="139"/>
  <c r="AX143" i="139"/>
  <c r="AX142" i="139"/>
  <c r="AX141" i="139"/>
  <c r="AX140" i="139"/>
  <c r="AX138" i="139" s="1"/>
  <c r="AX139" i="139"/>
  <c r="AX137" i="139"/>
  <c r="AX136" i="139"/>
  <c r="AX135" i="139" s="1"/>
  <c r="AX134" i="139"/>
  <c r="AX133" i="139"/>
  <c r="AX132" i="139"/>
  <c r="AX131" i="139"/>
  <c r="AX130" i="139"/>
  <c r="AX129" i="139"/>
  <c r="AX128" i="139"/>
  <c r="AX127" i="139"/>
  <c r="AX126" i="139"/>
  <c r="AX125" i="139"/>
  <c r="AX124" i="139"/>
  <c r="AX123" i="139" s="1"/>
  <c r="AX122" i="139"/>
  <c r="AX121" i="139"/>
  <c r="AX120" i="139"/>
  <c r="AX119" i="139"/>
  <c r="AX118" i="139"/>
  <c r="AX115" i="139" s="1"/>
  <c r="AX117" i="139"/>
  <c r="AX116" i="139"/>
  <c r="AX114" i="139"/>
  <c r="AX113" i="139" s="1"/>
  <c r="AX112" i="139"/>
  <c r="AX111" i="139"/>
  <c r="AX110" i="139"/>
  <c r="AX109" i="139"/>
  <c r="AX108" i="139" s="1"/>
  <c r="AX107" i="139"/>
  <c r="AX106" i="139"/>
  <c r="AX105" i="139"/>
  <c r="AX104" i="139"/>
  <c r="AX103" i="139"/>
  <c r="AX102" i="139"/>
  <c r="AX101" i="139"/>
  <c r="AX100" i="139"/>
  <c r="AX99" i="139"/>
  <c r="AX98" i="139"/>
  <c r="AX97" i="139" s="1"/>
  <c r="AX96" i="139"/>
  <c r="AX95" i="139" s="1"/>
  <c r="AX94" i="139"/>
  <c r="AX93" i="139"/>
  <c r="AX92" i="139"/>
  <c r="AX91" i="139"/>
  <c r="AX90" i="139"/>
  <c r="AX89" i="139" s="1"/>
  <c r="AX88" i="139"/>
  <c r="AX87" i="139"/>
  <c r="AX86" i="139"/>
  <c r="AX85" i="139"/>
  <c r="AX84" i="139"/>
  <c r="AX83" i="139"/>
  <c r="AX82" i="139"/>
  <c r="AX81" i="139"/>
  <c r="AX80" i="139" s="1"/>
  <c r="AX79" i="139"/>
  <c r="AX78" i="139"/>
  <c r="AX77" i="139"/>
  <c r="AX76" i="139"/>
  <c r="AX75" i="139" s="1"/>
  <c r="AX74" i="139"/>
  <c r="AX73" i="139"/>
  <c r="AX72" i="139"/>
  <c r="AX63" i="139" s="1"/>
  <c r="AX71" i="139"/>
  <c r="AX70" i="139"/>
  <c r="AX69" i="139"/>
  <c r="AX68" i="139"/>
  <c r="AX67" i="139"/>
  <c r="AX66" i="139"/>
  <c r="AX65" i="139"/>
  <c r="AX64" i="139"/>
  <c r="AX62" i="139"/>
  <c r="AX61" i="139"/>
  <c r="AX60" i="139"/>
  <c r="AX59" i="139"/>
  <c r="AX58" i="139"/>
  <c r="AX57" i="139" s="1"/>
  <c r="AX56" i="139"/>
  <c r="AX55" i="139"/>
  <c r="AX54" i="139"/>
  <c r="AX53" i="139"/>
  <c r="AX52" i="139"/>
  <c r="AX51" i="139"/>
  <c r="AX50" i="139"/>
  <c r="AX49" i="139"/>
  <c r="AX48" i="139"/>
  <c r="AX47" i="139"/>
  <c r="AX46" i="139"/>
  <c r="AX45" i="139"/>
  <c r="AX44" i="139"/>
  <c r="AX43" i="139"/>
  <c r="AX42" i="139"/>
  <c r="AX41" i="139" s="1"/>
  <c r="AX40" i="139"/>
  <c r="AX39" i="139"/>
  <c r="AX38" i="139"/>
  <c r="AX37" i="139"/>
  <c r="AX36" i="139"/>
  <c r="AX35" i="139"/>
  <c r="AX34" i="139"/>
  <c r="AX33" i="139"/>
  <c r="AX32" i="139" s="1"/>
  <c r="AX31" i="139"/>
  <c r="AX30" i="139"/>
  <c r="AX29" i="139" s="1"/>
  <c r="AX28" i="139"/>
  <c r="AX27" i="139"/>
  <c r="AX26" i="139"/>
  <c r="AX25" i="139"/>
  <c r="AX24" i="139"/>
  <c r="AX23" i="139"/>
  <c r="AX22" i="139"/>
  <c r="AX21" i="139"/>
  <c r="AX20" i="139"/>
  <c r="AX19" i="139"/>
  <c r="AX18" i="139"/>
  <c r="AX17" i="139"/>
  <c r="AX16" i="139"/>
  <c r="AX15" i="139"/>
  <c r="AX14" i="139"/>
  <c r="AX13" i="139"/>
  <c r="AX12" i="139"/>
  <c r="AX11" i="139"/>
  <c r="AX10" i="139"/>
  <c r="AX9" i="139"/>
  <c r="AX8" i="139"/>
  <c r="AX7" i="139"/>
  <c r="AX6" i="139"/>
  <c r="AX5" i="139"/>
  <c r="AX4" i="139" s="1"/>
  <c r="AJ155" i="139"/>
  <c r="AJ154" i="139"/>
  <c r="AJ153" i="139"/>
  <c r="AJ152" i="139"/>
  <c r="AJ151" i="139"/>
  <c r="AJ150" i="139" s="1"/>
  <c r="AJ149" i="139"/>
  <c r="AJ148" i="139"/>
  <c r="AJ147" i="139"/>
  <c r="AJ146" i="139"/>
  <c r="AJ145" i="139" s="1"/>
  <c r="AJ144" i="139"/>
  <c r="AJ143" i="139"/>
  <c r="AJ142" i="139"/>
  <c r="AJ141" i="139"/>
  <c r="AJ140" i="139"/>
  <c r="AJ139" i="139"/>
  <c r="AJ138" i="139" s="1"/>
  <c r="AJ137" i="139"/>
  <c r="AJ136" i="139"/>
  <c r="AJ135" i="139"/>
  <c r="AJ134" i="139"/>
  <c r="AJ133" i="139"/>
  <c r="AJ132" i="139"/>
  <c r="AJ131" i="139"/>
  <c r="AJ129" i="139" s="1"/>
  <c r="AJ130" i="139"/>
  <c r="AJ128" i="139"/>
  <c r="AJ123" i="139" s="1"/>
  <c r="AJ127" i="139"/>
  <c r="AJ126" i="139"/>
  <c r="AJ125" i="139"/>
  <c r="AJ124" i="139"/>
  <c r="AJ122" i="139"/>
  <c r="AJ121" i="139"/>
  <c r="AJ120" i="139"/>
  <c r="AJ119" i="139"/>
  <c r="AJ118" i="139"/>
  <c r="AJ117" i="139"/>
  <c r="AJ115" i="139" s="1"/>
  <c r="AJ116" i="139"/>
  <c r="AJ114" i="139"/>
  <c r="AJ113" i="139" s="1"/>
  <c r="AJ112" i="139"/>
  <c r="AJ111" i="139"/>
  <c r="AJ110" i="139"/>
  <c r="AJ109" i="139"/>
  <c r="AJ108" i="139" s="1"/>
  <c r="AJ107" i="139"/>
  <c r="AJ106" i="139"/>
  <c r="AJ105" i="139"/>
  <c r="AJ104" i="139"/>
  <c r="AJ103" i="139"/>
  <c r="AJ102" i="139"/>
  <c r="AJ101" i="139"/>
  <c r="AJ100" i="139"/>
  <c r="AJ99" i="139"/>
  <c r="AJ97" i="139" s="1"/>
  <c r="AJ98" i="139"/>
  <c r="AJ96" i="139"/>
  <c r="AJ95" i="139"/>
  <c r="AJ94" i="139"/>
  <c r="AJ93" i="139"/>
  <c r="AJ92" i="139" s="1"/>
  <c r="AJ91" i="139"/>
  <c r="AJ90" i="139"/>
  <c r="AJ89" i="139" s="1"/>
  <c r="AJ88" i="139"/>
  <c r="AJ87" i="139"/>
  <c r="AJ86" i="139"/>
  <c r="AJ85" i="139"/>
  <c r="AJ84" i="139"/>
  <c r="AJ83" i="139"/>
  <c r="AJ82" i="139"/>
  <c r="AJ81" i="139"/>
  <c r="AJ80" i="139" s="1"/>
  <c r="AJ79" i="139"/>
  <c r="AJ78" i="139"/>
  <c r="AJ77" i="139"/>
  <c r="AJ76" i="139"/>
  <c r="AJ75" i="139" s="1"/>
  <c r="AJ74" i="139"/>
  <c r="AJ73" i="139"/>
  <c r="AJ72" i="139"/>
  <c r="AJ71" i="139"/>
  <c r="AJ70" i="139"/>
  <c r="AJ69" i="139"/>
  <c r="AJ68" i="139"/>
  <c r="AJ67" i="139"/>
  <c r="AJ66" i="139"/>
  <c r="AJ65" i="139"/>
  <c r="AJ64" i="139"/>
  <c r="AJ63" i="139"/>
  <c r="AJ62" i="139"/>
  <c r="AJ61" i="139"/>
  <c r="AJ60" i="139"/>
  <c r="AJ59" i="139"/>
  <c r="AJ58" i="139"/>
  <c r="AJ57" i="139" s="1"/>
  <c r="AJ56" i="139"/>
  <c r="AJ55" i="139"/>
  <c r="AJ54" i="139"/>
  <c r="AJ53" i="139"/>
  <c r="AJ52" i="139"/>
  <c r="AJ51" i="139"/>
  <c r="AJ50" i="139"/>
  <c r="AJ49" i="139"/>
  <c r="AJ48" i="139"/>
  <c r="AJ47" i="139"/>
  <c r="AJ46" i="139"/>
  <c r="AJ45" i="139"/>
  <c r="AJ44" i="139"/>
  <c r="AJ41" i="139" s="1"/>
  <c r="AJ43" i="139"/>
  <c r="AJ42" i="139"/>
  <c r="AJ40" i="139"/>
  <c r="AJ39" i="139"/>
  <c r="AJ38" i="139"/>
  <c r="AJ37" i="139"/>
  <c r="AJ36" i="139"/>
  <c r="AJ35" i="139"/>
  <c r="AJ34" i="139"/>
  <c r="AJ33" i="139"/>
  <c r="AJ32" i="139" s="1"/>
  <c r="AJ31" i="139"/>
  <c r="AJ30" i="139"/>
  <c r="AJ29" i="139" s="1"/>
  <c r="AJ28" i="139"/>
  <c r="AJ27" i="139"/>
  <c r="AJ26" i="139" s="1"/>
  <c r="AJ25" i="139"/>
  <c r="AJ24" i="139"/>
  <c r="AJ23" i="139"/>
  <c r="AJ22" i="139"/>
  <c r="AJ21" i="139"/>
  <c r="AJ20" i="139"/>
  <c r="AJ19" i="139"/>
  <c r="AJ18" i="139"/>
  <c r="AJ17" i="139"/>
  <c r="AJ16" i="139"/>
  <c r="AJ15" i="139"/>
  <c r="AJ14" i="139"/>
  <c r="AJ13" i="139"/>
  <c r="AJ12" i="139"/>
  <c r="AJ11" i="139"/>
  <c r="AJ10" i="139"/>
  <c r="AJ9" i="139"/>
  <c r="AJ8" i="139"/>
  <c r="AJ7" i="139"/>
  <c r="AJ6" i="139"/>
  <c r="AJ5" i="139"/>
  <c r="AJ4" i="139" s="1"/>
  <c r="V155" i="139"/>
  <c r="V154" i="139"/>
  <c r="V153" i="139"/>
  <c r="V152" i="139"/>
  <c r="V151" i="139"/>
  <c r="V150" i="139"/>
  <c r="V149" i="139"/>
  <c r="V148" i="139"/>
  <c r="V147" i="139"/>
  <c r="V146" i="139"/>
  <c r="V145" i="139" s="1"/>
  <c r="V144" i="139"/>
  <c r="V143" i="139"/>
  <c r="V142" i="139"/>
  <c r="V138" i="139" s="1"/>
  <c r="V141" i="139"/>
  <c r="V140" i="139"/>
  <c r="V139" i="139"/>
  <c r="V137" i="139"/>
  <c r="V136" i="139"/>
  <c r="V135" i="139"/>
  <c r="V134" i="139"/>
  <c r="V133" i="139"/>
  <c r="V132" i="139"/>
  <c r="V131" i="139"/>
  <c r="V130" i="139"/>
  <c r="V129" i="139"/>
  <c r="V128" i="139"/>
  <c r="V123" i="139" s="1"/>
  <c r="V127" i="139"/>
  <c r="V126" i="139"/>
  <c r="V125" i="139"/>
  <c r="V124" i="139"/>
  <c r="V122" i="139"/>
  <c r="V121" i="139"/>
  <c r="V120" i="139"/>
  <c r="V119" i="139"/>
  <c r="V118" i="139"/>
  <c r="V115" i="139" s="1"/>
  <c r="V117" i="139"/>
  <c r="V116" i="139"/>
  <c r="V114" i="139"/>
  <c r="V113" i="139" s="1"/>
  <c r="V112" i="139"/>
  <c r="V111" i="139"/>
  <c r="V110" i="139"/>
  <c r="V109" i="139"/>
  <c r="V108" i="139"/>
  <c r="V107" i="139"/>
  <c r="V106" i="139"/>
  <c r="V105" i="139"/>
  <c r="V104" i="139"/>
  <c r="V103" i="139"/>
  <c r="V102" i="139"/>
  <c r="V101" i="139"/>
  <c r="V100" i="139"/>
  <c r="V97" i="139" s="1"/>
  <c r="V99" i="139"/>
  <c r="V98" i="139"/>
  <c r="V96" i="139"/>
  <c r="V95" i="139"/>
  <c r="V94" i="139"/>
  <c r="V93" i="139"/>
  <c r="V92" i="139"/>
  <c r="V91" i="139"/>
  <c r="V90" i="139"/>
  <c r="V89" i="139" s="1"/>
  <c r="V88" i="139"/>
  <c r="V87" i="139"/>
  <c r="V86" i="139"/>
  <c r="V80" i="139" s="1"/>
  <c r="V85" i="139"/>
  <c r="V84" i="139"/>
  <c r="V83" i="139"/>
  <c r="V82" i="139"/>
  <c r="V81" i="139"/>
  <c r="V79" i="139"/>
  <c r="V78" i="139"/>
  <c r="V77" i="139"/>
  <c r="V76" i="139"/>
  <c r="V75" i="139" s="1"/>
  <c r="V74" i="139"/>
  <c r="V73" i="139"/>
  <c r="V72" i="139"/>
  <c r="V71" i="139"/>
  <c r="V70" i="139"/>
  <c r="V69" i="139"/>
  <c r="V68" i="139"/>
  <c r="V67" i="139"/>
  <c r="V66" i="139"/>
  <c r="V65" i="139"/>
  <c r="V64" i="139"/>
  <c r="V63" i="139"/>
  <c r="V62" i="139"/>
  <c r="V61" i="139"/>
  <c r="V60" i="139"/>
  <c r="V59" i="139"/>
  <c r="V58" i="139"/>
  <c r="V57" i="139" s="1"/>
  <c r="V56" i="139"/>
  <c r="V55" i="139"/>
  <c r="V54" i="139"/>
  <c r="V53" i="139"/>
  <c r="V52" i="139"/>
  <c r="V51" i="139"/>
  <c r="V50" i="139"/>
  <c r="V49" i="139"/>
  <c r="V48" i="139"/>
  <c r="V47" i="139"/>
  <c r="V46" i="139"/>
  <c r="V45" i="139"/>
  <c r="V44" i="139"/>
  <c r="V41" i="139" s="1"/>
  <c r="V43" i="139"/>
  <c r="V42" i="139"/>
  <c r="V40" i="139"/>
  <c r="V39" i="139"/>
  <c r="V38" i="139"/>
  <c r="V37" i="139"/>
  <c r="V36" i="139"/>
  <c r="V35" i="139"/>
  <c r="V34" i="139"/>
  <c r="V32" i="139" s="1"/>
  <c r="V33" i="139"/>
  <c r="V31" i="139"/>
  <c r="V30" i="139"/>
  <c r="V29" i="139" s="1"/>
  <c r="V28" i="139"/>
  <c r="V27" i="139"/>
  <c r="V26" i="139"/>
  <c r="V25" i="139"/>
  <c r="V24" i="139"/>
  <c r="V23" i="139"/>
  <c r="V22" i="139"/>
  <c r="V21" i="139"/>
  <c r="V20" i="139"/>
  <c r="V19" i="139"/>
  <c r="V18" i="139"/>
  <c r="V17" i="139"/>
  <c r="V16" i="139"/>
  <c r="V15" i="139"/>
  <c r="V14" i="139"/>
  <c r="V13" i="139"/>
  <c r="V12" i="139"/>
  <c r="V11" i="139"/>
  <c r="V10" i="139"/>
  <c r="V9" i="139"/>
  <c r="V8" i="139"/>
  <c r="V7" i="139"/>
  <c r="V6" i="139"/>
  <c r="V4" i="139" s="1"/>
  <c r="V5" i="139"/>
  <c r="H155" i="139"/>
  <c r="H154" i="139"/>
  <c r="H153" i="139"/>
  <c r="H152" i="139"/>
  <c r="H151" i="139"/>
  <c r="H149" i="139"/>
  <c r="H148" i="139"/>
  <c r="H146" i="139"/>
  <c r="H144" i="139"/>
  <c r="H143" i="139"/>
  <c r="H142" i="139"/>
  <c r="H141" i="139"/>
  <c r="H140" i="139"/>
  <c r="H139" i="139"/>
  <c r="H137" i="139"/>
  <c r="H136" i="139"/>
  <c r="H134" i="139"/>
  <c r="H133" i="139"/>
  <c r="H131" i="139"/>
  <c r="H130" i="139"/>
  <c r="H128" i="139"/>
  <c r="H127" i="139"/>
  <c r="H126" i="139"/>
  <c r="H125" i="139"/>
  <c r="H124" i="139"/>
  <c r="H122" i="139"/>
  <c r="H121" i="139"/>
  <c r="H120" i="139"/>
  <c r="H119" i="139"/>
  <c r="H118" i="139"/>
  <c r="H117" i="139"/>
  <c r="H116" i="139"/>
  <c r="H114" i="139"/>
  <c r="H112" i="139"/>
  <c r="H111" i="139"/>
  <c r="H110" i="139"/>
  <c r="H109" i="139"/>
  <c r="H107" i="139"/>
  <c r="H106" i="139"/>
  <c r="H105" i="139"/>
  <c r="H104" i="139"/>
  <c r="H103" i="139"/>
  <c r="H102" i="139"/>
  <c r="H101" i="139"/>
  <c r="H100" i="139"/>
  <c r="H99" i="139"/>
  <c r="H98" i="139"/>
  <c r="H96" i="139"/>
  <c r="H94" i="139"/>
  <c r="H93" i="139"/>
  <c r="H91" i="139"/>
  <c r="H90" i="139"/>
  <c r="H88" i="139"/>
  <c r="H86" i="139"/>
  <c r="H85" i="139"/>
  <c r="H84" i="139"/>
  <c r="H83" i="139"/>
  <c r="H82" i="139"/>
  <c r="H81" i="139"/>
  <c r="H79" i="139"/>
  <c r="H78" i="139"/>
  <c r="H77" i="139"/>
  <c r="H76" i="139"/>
  <c r="H74" i="139"/>
  <c r="H73" i="139"/>
  <c r="H72" i="139"/>
  <c r="H71" i="139"/>
  <c r="H70" i="139"/>
  <c r="H69" i="139"/>
  <c r="H68" i="139"/>
  <c r="H67" i="139"/>
  <c r="H66" i="139"/>
  <c r="H65" i="139"/>
  <c r="H64" i="139"/>
  <c r="H62" i="139"/>
  <c r="H61" i="139"/>
  <c r="H60" i="139"/>
  <c r="H59" i="139"/>
  <c r="H58" i="139"/>
  <c r="H56" i="139"/>
  <c r="H55" i="139"/>
  <c r="H54" i="139"/>
  <c r="H53" i="139"/>
  <c r="H52" i="139"/>
  <c r="H51" i="139"/>
  <c r="H49" i="139"/>
  <c r="H47" i="139"/>
  <c r="H46" i="139"/>
  <c r="H45" i="139"/>
  <c r="H44" i="139"/>
  <c r="H43" i="139"/>
  <c r="H42" i="139"/>
  <c r="H40" i="139"/>
  <c r="H39" i="139"/>
  <c r="H38" i="139"/>
  <c r="H37" i="139"/>
  <c r="H36" i="139"/>
  <c r="H35" i="139"/>
  <c r="H34" i="139"/>
  <c r="H33" i="139"/>
  <c r="H31" i="139"/>
  <c r="H30" i="139"/>
  <c r="H28" i="139"/>
  <c r="H25" i="139"/>
  <c r="H27" i="139"/>
  <c r="DZ6" i="139"/>
  <c r="DM6" i="139"/>
  <c r="CZ6" i="139"/>
  <c r="CM6" i="139"/>
  <c r="BY6" i="139"/>
  <c r="BK6" i="139"/>
  <c r="AW6" i="139"/>
  <c r="AI6" i="139"/>
  <c r="U6" i="139"/>
  <c r="G6" i="139"/>
  <c r="DY146" i="139"/>
  <c r="DX146" i="139"/>
  <c r="DW146" i="139"/>
  <c r="DV146" i="139"/>
  <c r="DU146" i="139"/>
  <c r="DT146" i="139"/>
  <c r="DS146" i="139"/>
  <c r="DR146" i="139"/>
  <c r="DQ146" i="139"/>
  <c r="DP146" i="139"/>
  <c r="DO146" i="139"/>
  <c r="DN146" i="139"/>
  <c r="DL146" i="139"/>
  <c r="DK146" i="139"/>
  <c r="DJ146" i="139"/>
  <c r="DI146" i="139"/>
  <c r="DH146" i="139"/>
  <c r="DG146" i="139"/>
  <c r="DF146" i="139"/>
  <c r="DE146" i="139"/>
  <c r="DD146" i="139"/>
  <c r="DM146" i="139" s="1"/>
  <c r="DC146" i="139"/>
  <c r="DB146" i="139"/>
  <c r="DA146" i="139"/>
  <c r="CY146" i="139"/>
  <c r="CX146" i="139"/>
  <c r="CW146" i="139"/>
  <c r="CV146" i="139"/>
  <c r="CU146" i="139"/>
  <c r="CT146" i="139"/>
  <c r="CS146" i="139"/>
  <c r="CR146" i="139"/>
  <c r="CQ146" i="139"/>
  <c r="CP146" i="139"/>
  <c r="CO146" i="139"/>
  <c r="CN146" i="139"/>
  <c r="CL146" i="139"/>
  <c r="CK146" i="139"/>
  <c r="CJ146" i="139"/>
  <c r="CI146" i="139"/>
  <c r="CH146" i="139"/>
  <c r="CG146" i="139"/>
  <c r="CF146" i="139"/>
  <c r="CE146" i="139"/>
  <c r="CD146" i="139"/>
  <c r="CC146" i="139"/>
  <c r="CB146" i="139"/>
  <c r="CA146" i="139"/>
  <c r="BX146" i="139"/>
  <c r="BW146" i="139"/>
  <c r="BV146" i="139"/>
  <c r="BU146" i="139"/>
  <c r="BT146" i="139"/>
  <c r="BS146" i="139"/>
  <c r="BR146" i="139"/>
  <c r="BQ146" i="139"/>
  <c r="BP146" i="139"/>
  <c r="BP44" i="139"/>
  <c r="BP35" i="139"/>
  <c r="BP94" i="139"/>
  <c r="E3670" i="140"/>
  <c r="E3669" i="140"/>
  <c r="BP87" i="139"/>
  <c r="E3639" i="140"/>
  <c r="E3586" i="140"/>
  <c r="E3590" i="140"/>
  <c r="E3592" i="140"/>
  <c r="BO79" i="139"/>
  <c r="BO76" i="139"/>
  <c r="BO67" i="139"/>
  <c r="BO58" i="139"/>
  <c r="E3602" i="140"/>
  <c r="BO91" i="139"/>
  <c r="E3591" i="140"/>
  <c r="BO114" i="139"/>
  <c r="E3613" i="140"/>
  <c r="BO71" i="139"/>
  <c r="BO86" i="139"/>
  <c r="W126" i="58"/>
  <c r="V126" i="58"/>
  <c r="AC124" i="58"/>
  <c r="BB126" i="58"/>
  <c r="D3792" i="140" l="1"/>
  <c r="D3692" i="140"/>
  <c r="E3692" i="140"/>
  <c r="CZ146" i="139"/>
  <c r="DZ146" i="139"/>
  <c r="BO128" i="139"/>
  <c r="E3596" i="140"/>
  <c r="E3573" i="140"/>
  <c r="BO133" i="139"/>
  <c r="BO74" i="139"/>
  <c r="E3589" i="140"/>
  <c r="BO65" i="139"/>
  <c r="L2" i="180"/>
  <c r="K2" i="180"/>
  <c r="E3564" i="140"/>
  <c r="E3568" i="140"/>
  <c r="BN91" i="139"/>
  <c r="BN67" i="139"/>
  <c r="E3518" i="140"/>
  <c r="E3517" i="140"/>
  <c r="BN90" i="139"/>
  <c r="BN79" i="139"/>
  <c r="BN31" i="139"/>
  <c r="E3536" i="140"/>
  <c r="BN73" i="139"/>
  <c r="E3519" i="140"/>
  <c r="BN77" i="139"/>
  <c r="BN76" i="139"/>
  <c r="E3521" i="140"/>
  <c r="E3523" i="140"/>
  <c r="BN59" i="139"/>
  <c r="BN71" i="139"/>
  <c r="BN22" i="139"/>
  <c r="D3535" i="140"/>
  <c r="E3513" i="140"/>
  <c r="BN58" i="139"/>
  <c r="E3500" i="140"/>
  <c r="BN65" i="139"/>
  <c r="BN94" i="139"/>
  <c r="E3512" i="140"/>
  <c r="E3511" i="140"/>
  <c r="BN88" i="139"/>
  <c r="BN86" i="139"/>
  <c r="E3509" i="140"/>
  <c r="BN110" i="139"/>
  <c r="E3522" i="140"/>
  <c r="BN39" i="139"/>
  <c r="E3491" i="140"/>
  <c r="E3486" i="140"/>
  <c r="A155" i="139"/>
  <c r="BM90" i="139"/>
  <c r="E3495" i="140"/>
  <c r="AG288" i="58"/>
  <c r="AG274" i="58"/>
  <c r="AG260" i="58"/>
  <c r="AG246" i="58"/>
  <c r="AG231" i="58"/>
  <c r="AG216" i="58"/>
  <c r="AG202" i="58"/>
  <c r="AG188" i="58"/>
  <c r="AG174" i="58"/>
  <c r="AG160" i="58"/>
  <c r="AG145" i="58"/>
  <c r="AG130" i="58"/>
  <c r="AG116" i="58"/>
  <c r="AG102" i="58"/>
  <c r="AG88" i="58"/>
  <c r="AG74" i="58"/>
  <c r="AG60" i="58"/>
  <c r="AG46" i="58"/>
  <c r="AG32" i="58"/>
  <c r="AG18" i="58"/>
  <c r="AG4" i="58"/>
  <c r="BM58" i="139"/>
  <c r="BM77" i="139"/>
  <c r="BM79" i="139"/>
  <c r="BM67" i="139"/>
  <c r="E3426" i="140"/>
  <c r="E3428" i="140"/>
  <c r="Z58" i="139"/>
  <c r="AF58" i="139"/>
  <c r="A152" i="139"/>
  <c r="M6" i="159"/>
  <c r="L6" i="159"/>
  <c r="K6" i="159"/>
  <c r="M5" i="159"/>
  <c r="L5" i="159"/>
  <c r="K5" i="159"/>
  <c r="BM76" i="139"/>
  <c r="BM110" i="139"/>
  <c r="E3430" i="140"/>
  <c r="E3431" i="140"/>
  <c r="E3422" i="140"/>
  <c r="BM73" i="139"/>
  <c r="BM130" i="139"/>
  <c r="E3452" i="140"/>
  <c r="BM114" i="139"/>
  <c r="BM94" i="139"/>
  <c r="T65" i="168"/>
  <c r="P75" i="168"/>
  <c r="B34" i="168"/>
  <c r="E3437" i="140"/>
  <c r="BM88" i="139"/>
  <c r="E3433" i="140"/>
  <c r="E3440" i="140"/>
  <c r="BM71" i="139"/>
  <c r="E3445" i="140"/>
  <c r="E3441" i="140"/>
  <c r="BM74" i="139"/>
  <c r="BM96" i="139"/>
  <c r="BM133" i="139"/>
  <c r="BM86" i="139"/>
  <c r="Y288" i="58"/>
  <c r="Y274" i="58"/>
  <c r="Y260" i="58"/>
  <c r="Y246" i="58"/>
  <c r="Y231" i="58"/>
  <c r="Y216" i="58"/>
  <c r="Y202" i="58"/>
  <c r="Y188" i="58"/>
  <c r="Y174" i="58"/>
  <c r="Y160" i="58"/>
  <c r="Y145" i="58"/>
  <c r="Y130" i="58"/>
  <c r="Y116" i="58"/>
  <c r="Y102" i="58"/>
  <c r="Y88" i="58"/>
  <c r="Y74" i="58"/>
  <c r="Y60" i="58"/>
  <c r="Y46" i="58"/>
  <c r="Y32" i="58"/>
  <c r="Y18" i="58"/>
  <c r="Y4" i="58"/>
  <c r="A3" i="182"/>
  <c r="F3" i="182"/>
  <c r="A4" i="182"/>
  <c r="F4" i="182"/>
  <c r="A5" i="182"/>
  <c r="F5" i="182"/>
  <c r="A6" i="182"/>
  <c r="F6" i="182"/>
  <c r="A7" i="182"/>
  <c r="F7" i="182"/>
  <c r="A8" i="182"/>
  <c r="F8" i="182"/>
  <c r="A9" i="182"/>
  <c r="F9" i="182"/>
  <c r="F10" i="182" s="1"/>
  <c r="F11" i="182" s="1"/>
  <c r="F12" i="182" s="1"/>
  <c r="F13" i="182" s="1"/>
  <c r="F14" i="182" s="1"/>
  <c r="F15" i="182" s="1"/>
  <c r="F16" i="182" s="1"/>
  <c r="F17" i="182" s="1"/>
  <c r="F18" i="182" s="1"/>
  <c r="F19" i="182" s="1"/>
  <c r="F20" i="182" s="1"/>
  <c r="F21" i="182" s="1"/>
  <c r="F22" i="182" s="1"/>
  <c r="F23" i="182" s="1"/>
  <c r="F24" i="182" s="1"/>
  <c r="F25" i="182" s="1"/>
  <c r="F26" i="182" s="1"/>
  <c r="F27" i="182" s="1"/>
  <c r="F28" i="182" s="1"/>
  <c r="F29" i="182" s="1"/>
  <c r="F30" i="182" s="1"/>
  <c r="F31" i="182" s="1"/>
  <c r="F32" i="182" s="1"/>
  <c r="F33" i="182" s="1"/>
  <c r="F34" i="182" s="1"/>
  <c r="F35" i="182" s="1"/>
  <c r="F36" i="182" s="1"/>
  <c r="F37" i="182" s="1"/>
  <c r="F38" i="182" s="1"/>
  <c r="F39" i="182" s="1"/>
  <c r="F40" i="182" s="1"/>
  <c r="F41" i="182" s="1"/>
  <c r="F42" i="182" s="1"/>
  <c r="F43" i="182" s="1"/>
  <c r="F44" i="182" s="1"/>
  <c r="F45" i="182" s="1"/>
  <c r="F46" i="182" s="1"/>
  <c r="F47" i="182" s="1"/>
  <c r="F48" i="182" s="1"/>
  <c r="F49" i="182" s="1"/>
  <c r="F50" i="182" s="1"/>
  <c r="F51" i="182" s="1"/>
  <c r="F52" i="182" s="1"/>
  <c r="F53" i="182" s="1"/>
  <c r="A10" i="182"/>
  <c r="A11" i="182"/>
  <c r="A12" i="182"/>
  <c r="A13" i="182"/>
  <c r="A14" i="182"/>
  <c r="A15" i="182"/>
  <c r="A16" i="182"/>
  <c r="A17" i="182"/>
  <c r="A18" i="182"/>
  <c r="A19" i="182"/>
  <c r="A20" i="182"/>
  <c r="A21" i="182"/>
  <c r="A22" i="182"/>
  <c r="A23" i="182"/>
  <c r="A24" i="182"/>
  <c r="A25" i="182"/>
  <c r="A26" i="182"/>
  <c r="A27" i="182"/>
  <c r="A28" i="182"/>
  <c r="A29" i="182"/>
  <c r="A30" i="182"/>
  <c r="A31" i="182"/>
  <c r="A32" i="182"/>
  <c r="A33" i="182"/>
  <c r="A34" i="182"/>
  <c r="A35" i="182"/>
  <c r="A36" i="182"/>
  <c r="A37" i="182"/>
  <c r="A38" i="182"/>
  <c r="A39" i="182"/>
  <c r="A40" i="182"/>
  <c r="A41" i="182"/>
  <c r="A42" i="182"/>
  <c r="A43" i="182"/>
  <c r="A44" i="182"/>
  <c r="A45" i="182"/>
  <c r="A46" i="182"/>
  <c r="A47" i="182"/>
  <c r="A48" i="182"/>
  <c r="A49" i="182"/>
  <c r="A50" i="182"/>
  <c r="A51" i="182"/>
  <c r="A52" i="182"/>
  <c r="A53" i="182"/>
  <c r="E3619" i="140" l="1"/>
  <c r="D3619" i="140"/>
  <c r="E3545" i="140"/>
  <c r="D3545" i="140"/>
  <c r="AG3" i="58"/>
  <c r="Y3" i="58"/>
  <c r="AD56" i="58"/>
  <c r="AC55" i="58"/>
  <c r="I20" i="156"/>
  <c r="H20" i="156"/>
  <c r="I1" i="156"/>
  <c r="J1" i="156" s="1"/>
  <c r="J2" i="156" s="1"/>
  <c r="D20" i="156"/>
  <c r="C20" i="156"/>
  <c r="BM27" i="139"/>
  <c r="BM30" i="139"/>
  <c r="BM35" i="139"/>
  <c r="BM31" i="139"/>
  <c r="W68" i="58"/>
  <c r="V68" i="58"/>
  <c r="W67" i="58"/>
  <c r="V67" i="58"/>
  <c r="W66" i="58"/>
  <c r="V66" i="58"/>
  <c r="W65" i="58"/>
  <c r="V65" i="58"/>
  <c r="W64" i="58"/>
  <c r="V64" i="58"/>
  <c r="W63" i="58"/>
  <c r="V63" i="58"/>
  <c r="W62" i="58"/>
  <c r="V62" i="58"/>
  <c r="W61" i="58"/>
  <c r="V61" i="58"/>
  <c r="W69" i="58"/>
  <c r="V69" i="58"/>
  <c r="I19" i="156"/>
  <c r="H19" i="156"/>
  <c r="W72" i="58"/>
  <c r="V72" i="58"/>
  <c r="W71" i="58"/>
  <c r="V71" i="58"/>
  <c r="W73" i="58"/>
  <c r="V73" i="58"/>
  <c r="D19" i="156"/>
  <c r="C19" i="156"/>
  <c r="W82" i="58"/>
  <c r="V82" i="58"/>
  <c r="W81" i="58"/>
  <c r="V81" i="58"/>
  <c r="W80" i="58"/>
  <c r="V80" i="58"/>
  <c r="W79" i="58"/>
  <c r="V79" i="58"/>
  <c r="W78" i="58"/>
  <c r="V78" i="58"/>
  <c r="W77" i="58"/>
  <c r="V77" i="58"/>
  <c r="W76" i="58"/>
  <c r="V76" i="58"/>
  <c r="W75" i="58"/>
  <c r="V75" i="58"/>
  <c r="W83" i="58"/>
  <c r="V83" i="58"/>
  <c r="H18" i="156"/>
  <c r="W86" i="58"/>
  <c r="V86" i="58"/>
  <c r="W85" i="58"/>
  <c r="V85" i="58"/>
  <c r="AD84" i="58" s="1"/>
  <c r="W87" i="58"/>
  <c r="V87" i="58"/>
  <c r="I18" i="156"/>
  <c r="I17" i="156"/>
  <c r="H17" i="156"/>
  <c r="BM146" i="139"/>
  <c r="E3404" i="140"/>
  <c r="E3472" i="140" s="1"/>
  <c r="BJ73" i="139"/>
  <c r="BJ79" i="139"/>
  <c r="E1" i="156"/>
  <c r="D2" i="156" s="1"/>
  <c r="E2" i="156" s="1"/>
  <c r="V96" i="58"/>
  <c r="V95" i="58"/>
  <c r="V94" i="58"/>
  <c r="V93" i="58"/>
  <c r="V92" i="58"/>
  <c r="V91" i="58"/>
  <c r="V90" i="58"/>
  <c r="V89" i="58"/>
  <c r="Z288" i="58"/>
  <c r="Z274" i="58"/>
  <c r="Z260" i="58"/>
  <c r="Z246" i="58"/>
  <c r="Z231" i="58"/>
  <c r="Z216" i="58"/>
  <c r="Z202" i="58"/>
  <c r="Z188" i="58"/>
  <c r="Z174" i="58"/>
  <c r="Z160" i="58"/>
  <c r="Z145" i="58"/>
  <c r="Z130" i="58"/>
  <c r="Z116" i="58"/>
  <c r="Z102" i="58"/>
  <c r="Z88" i="58"/>
  <c r="Z74" i="58"/>
  <c r="Z60" i="58"/>
  <c r="Z46" i="58"/>
  <c r="Z32" i="58"/>
  <c r="Z18" i="58"/>
  <c r="Z4" i="58"/>
  <c r="AA288" i="58"/>
  <c r="AA274" i="58"/>
  <c r="AA260" i="58"/>
  <c r="AA246" i="58"/>
  <c r="AA231" i="58"/>
  <c r="AA216" i="58"/>
  <c r="AA202" i="58"/>
  <c r="AA188" i="58"/>
  <c r="AA174" i="58"/>
  <c r="AA160" i="58"/>
  <c r="AA145" i="58"/>
  <c r="AA130" i="58"/>
  <c r="AA116" i="58"/>
  <c r="AA102" i="58"/>
  <c r="AA88" i="58"/>
  <c r="AA74" i="58"/>
  <c r="AA60" i="58"/>
  <c r="AA46" i="58"/>
  <c r="AA32" i="58"/>
  <c r="AA18" i="58"/>
  <c r="AA4" i="58"/>
  <c r="AB288" i="58"/>
  <c r="AB274" i="58"/>
  <c r="AB260" i="58"/>
  <c r="AB246" i="58"/>
  <c r="AB231" i="58"/>
  <c r="AB216" i="58"/>
  <c r="AB202" i="58"/>
  <c r="AB188" i="58"/>
  <c r="AB174" i="58"/>
  <c r="AB160" i="58"/>
  <c r="AB145" i="58"/>
  <c r="AB130" i="58"/>
  <c r="AB116" i="58"/>
  <c r="AB102" i="58"/>
  <c r="AB88" i="58"/>
  <c r="AB74" i="58"/>
  <c r="AB60" i="58"/>
  <c r="AB46" i="58"/>
  <c r="AB32" i="58"/>
  <c r="AB18" i="58"/>
  <c r="AB4" i="58"/>
  <c r="BJ71" i="139"/>
  <c r="E3307" i="140"/>
  <c r="BJ148" i="139"/>
  <c r="BJ67" i="139"/>
  <c r="E3327" i="140"/>
  <c r="E3310" i="140"/>
  <c r="BJ58" i="139"/>
  <c r="E3365" i="140"/>
  <c r="BJ88" i="139"/>
  <c r="BJ86" i="139"/>
  <c r="BJ130" i="139"/>
  <c r="E3329" i="140"/>
  <c r="BJ76" i="139"/>
  <c r="AD70" i="58" l="1"/>
  <c r="D3472" i="140"/>
  <c r="Z3" i="58"/>
  <c r="AA3" i="58"/>
  <c r="AB3" i="58"/>
  <c r="E11" i="156"/>
  <c r="E3334" i="140"/>
  <c r="T147" i="139" l="1"/>
  <c r="S147" i="139"/>
  <c r="R147" i="139"/>
  <c r="Q147" i="139"/>
  <c r="P147" i="139"/>
  <c r="O147" i="139"/>
  <c r="N147" i="139"/>
  <c r="M147" i="139"/>
  <c r="L147" i="139"/>
  <c r="K147" i="139"/>
  <c r="J147" i="139"/>
  <c r="BJ74" i="139"/>
  <c r="E3343" i="140"/>
  <c r="BJ91" i="139"/>
  <c r="BJ54" i="139"/>
  <c r="BJ51" i="139"/>
  <c r="BJ144" i="139"/>
  <c r="BJ31" i="139"/>
  <c r="BJ96" i="139"/>
  <c r="BJ77" i="139"/>
  <c r="BJ94" i="139"/>
  <c r="BJ40" i="139"/>
  <c r="BJ90" i="139"/>
  <c r="BJ107" i="139"/>
  <c r="BJ114" i="139"/>
  <c r="E3346" i="140"/>
  <c r="E3344" i="140"/>
  <c r="E3338" i="140"/>
  <c r="BJ112" i="139"/>
  <c r="E3337" i="140"/>
  <c r="E3305" i="140" l="1"/>
  <c r="E3381" i="140" s="1"/>
  <c r="E3243" i="140"/>
  <c r="BI67" i="139"/>
  <c r="BI30" i="139"/>
  <c r="E3205" i="140"/>
  <c r="E3245" i="140"/>
  <c r="BI79" i="139"/>
  <c r="BI76" i="139"/>
  <c r="E3252" i="140"/>
  <c r="BI110" i="139"/>
  <c r="BI118" i="139"/>
  <c r="BI12" i="139"/>
  <c r="BI88" i="139"/>
  <c r="BI144" i="139"/>
  <c r="E3275" i="140"/>
  <c r="BI58" i="139"/>
  <c r="E3239" i="140"/>
  <c r="BI133" i="139"/>
  <c r="BI114" i="139"/>
  <c r="E3226" i="140"/>
  <c r="BI31" i="139"/>
  <c r="BI90" i="139"/>
  <c r="E3244" i="140"/>
  <c r="BI91" i="139"/>
  <c r="E3264" i="140"/>
  <c r="BI112" i="139"/>
  <c r="BI111" i="139"/>
  <c r="E3253" i="140"/>
  <c r="AF4" i="177"/>
  <c r="AE4" i="177" s="1"/>
  <c r="AF5" i="177"/>
  <c r="AE5" i="177" s="1"/>
  <c r="BI86" i="139"/>
  <c r="BI130" i="139"/>
  <c r="BI65" i="139"/>
  <c r="E3242" i="140"/>
  <c r="V97" i="58"/>
  <c r="W101" i="58"/>
  <c r="V101" i="58"/>
  <c r="W100" i="58"/>
  <c r="V100" i="58"/>
  <c r="W99" i="58"/>
  <c r="V99" i="58"/>
  <c r="AD98" i="58" s="1"/>
  <c r="D3381" i="140" l="1"/>
  <c r="AD112" i="58"/>
  <c r="W128" i="58" l="1"/>
  <c r="V128" i="58"/>
  <c r="W127" i="58"/>
  <c r="V127" i="58"/>
  <c r="W129" i="58"/>
  <c r="V129" i="58"/>
  <c r="U126" i="58" s="1"/>
  <c r="T126" i="58" s="1"/>
  <c r="BI136" i="139" l="1"/>
  <c r="E3221" i="140"/>
  <c r="D3282" i="140" s="1"/>
  <c r="BH86" i="139"/>
  <c r="BH79" i="139"/>
  <c r="BH58" i="139"/>
  <c r="E3152" i="140"/>
  <c r="BH85" i="139"/>
  <c r="E3168" i="140"/>
  <c r="BH67" i="139"/>
  <c r="BH130" i="139"/>
  <c r="BH94" i="139"/>
  <c r="E3180" i="140"/>
  <c r="E3163" i="140"/>
  <c r="E3162" i="140"/>
  <c r="BH110" i="139"/>
  <c r="E3177" i="140"/>
  <c r="E3170" i="140"/>
  <c r="BH76" i="139"/>
  <c r="E3185" i="140"/>
  <c r="BG130" i="139"/>
  <c r="BH77" i="139"/>
  <c r="E3160" i="140"/>
  <c r="BH88" i="139"/>
  <c r="BH137" i="139"/>
  <c r="BH144" i="139"/>
  <c r="E3179" i="140"/>
  <c r="E3167" i="140"/>
  <c r="BH65" i="139"/>
  <c r="DY155" i="139"/>
  <c r="DX155" i="139"/>
  <c r="DW155" i="139"/>
  <c r="DV155" i="139"/>
  <c r="DU155" i="139"/>
  <c r="DT155" i="139"/>
  <c r="DS155" i="139"/>
  <c r="DR155" i="139"/>
  <c r="DQ155" i="139"/>
  <c r="DP155" i="139"/>
  <c r="DO155" i="139"/>
  <c r="DN155" i="139"/>
  <c r="DZ155" i="139" s="1"/>
  <c r="DL155" i="139"/>
  <c r="DK155" i="139"/>
  <c r="DJ155" i="139"/>
  <c r="DI155" i="139"/>
  <c r="DH155" i="139"/>
  <c r="DG155" i="139"/>
  <c r="DF155" i="139"/>
  <c r="DE155" i="139"/>
  <c r="DD155" i="139"/>
  <c r="DC155" i="139"/>
  <c r="DB155" i="139"/>
  <c r="DA155" i="139"/>
  <c r="CY155" i="139"/>
  <c r="CX155" i="139"/>
  <c r="CW155" i="139"/>
  <c r="CV155" i="139"/>
  <c r="CU155" i="139"/>
  <c r="CT155" i="139"/>
  <c r="CS155" i="139"/>
  <c r="CR155" i="139"/>
  <c r="CQ155" i="139"/>
  <c r="CP155" i="139"/>
  <c r="CO155" i="139"/>
  <c r="CN155" i="139"/>
  <c r="CL155" i="139"/>
  <c r="CK155" i="139"/>
  <c r="CJ155" i="139"/>
  <c r="CI155" i="139"/>
  <c r="CH155" i="139"/>
  <c r="CG155" i="139"/>
  <c r="CF155" i="139"/>
  <c r="CE155" i="139"/>
  <c r="CD155" i="139"/>
  <c r="CC155" i="139"/>
  <c r="CB155" i="139"/>
  <c r="CA155" i="139"/>
  <c r="BX155" i="139"/>
  <c r="BW155" i="139"/>
  <c r="BV155" i="139"/>
  <c r="BU155" i="139"/>
  <c r="BT155" i="139"/>
  <c r="BS155" i="139"/>
  <c r="BR155" i="139"/>
  <c r="BG155" i="139"/>
  <c r="BF155" i="139"/>
  <c r="BE155" i="139"/>
  <c r="BD155" i="139"/>
  <c r="BC155" i="139"/>
  <c r="BB155" i="139"/>
  <c r="BA155" i="139"/>
  <c r="AZ155" i="139"/>
  <c r="AY155" i="139"/>
  <c r="AV155" i="139"/>
  <c r="AU155" i="139"/>
  <c r="AT155" i="139"/>
  <c r="AS155" i="139"/>
  <c r="AR155" i="139"/>
  <c r="AQ155" i="139"/>
  <c r="AP155" i="139"/>
  <c r="AO155" i="139"/>
  <c r="AN155" i="139"/>
  <c r="AM155" i="139"/>
  <c r="AL155" i="139"/>
  <c r="AK155" i="139"/>
  <c r="AH155" i="139"/>
  <c r="AG155" i="139"/>
  <c r="AF155" i="139"/>
  <c r="AE155" i="139"/>
  <c r="AD155" i="139"/>
  <c r="AC155" i="139"/>
  <c r="AB155" i="139"/>
  <c r="AA155" i="139"/>
  <c r="Z155" i="139"/>
  <c r="Y155" i="139"/>
  <c r="X155" i="139"/>
  <c r="W155" i="139"/>
  <c r="T155" i="139"/>
  <c r="S155" i="139"/>
  <c r="R155" i="139"/>
  <c r="Q155" i="139"/>
  <c r="P155" i="139"/>
  <c r="O155" i="139"/>
  <c r="N155" i="139"/>
  <c r="M155" i="139"/>
  <c r="L155" i="139"/>
  <c r="K155" i="139"/>
  <c r="J155" i="139"/>
  <c r="I155" i="139"/>
  <c r="F155" i="139"/>
  <c r="G155" i="139" s="1"/>
  <c r="DZ16" i="139"/>
  <c r="DM16" i="139"/>
  <c r="CZ16" i="139"/>
  <c r="CM16" i="139"/>
  <c r="AW16" i="139"/>
  <c r="AI16" i="139"/>
  <c r="U16" i="139"/>
  <c r="G16" i="139"/>
  <c r="BH73" i="139"/>
  <c r="E3175" i="140"/>
  <c r="E3169" i="140"/>
  <c r="BH91" i="139"/>
  <c r="E3164" i="140"/>
  <c r="BH68" i="139"/>
  <c r="BH74" i="139"/>
  <c r="BH90" i="139"/>
  <c r="L6" i="180"/>
  <c r="K6" i="180"/>
  <c r="H6" i="180"/>
  <c r="H5" i="180"/>
  <c r="H7" i="180"/>
  <c r="E3130" i="140"/>
  <c r="BH27" i="139"/>
  <c r="BH146" i="139"/>
  <c r="E3147" i="140"/>
  <c r="H21" i="180"/>
  <c r="H4" i="180"/>
  <c r="H8" i="180"/>
  <c r="DM155" i="139" l="1"/>
  <c r="K7" i="180"/>
  <c r="CZ155" i="139"/>
  <c r="U155" i="139"/>
  <c r="AI155" i="139"/>
  <c r="CM155" i="139"/>
  <c r="AW155" i="139"/>
  <c r="E3282" i="140"/>
  <c r="D3198" i="140"/>
  <c r="BG42" i="139"/>
  <c r="E3058" i="140"/>
  <c r="E3113" i="140"/>
  <c r="BG288" i="58"/>
  <c r="BG274" i="58"/>
  <c r="BG260" i="58"/>
  <c r="BG246" i="58"/>
  <c r="BG231" i="58"/>
  <c r="BG216" i="58"/>
  <c r="BG202" i="58"/>
  <c r="BG188" i="58"/>
  <c r="BG174" i="58"/>
  <c r="BG160" i="58"/>
  <c r="BG145" i="58"/>
  <c r="BG130" i="58"/>
  <c r="BG116" i="58"/>
  <c r="BG102" i="58"/>
  <c r="BG88" i="58"/>
  <c r="BG74" i="58"/>
  <c r="BG60" i="58"/>
  <c r="BG46" i="58"/>
  <c r="BG32" i="58"/>
  <c r="BG18" i="58"/>
  <c r="BG4" i="58"/>
  <c r="BE288" i="58"/>
  <c r="BE274" i="58"/>
  <c r="BE260" i="58"/>
  <c r="BE246" i="58"/>
  <c r="BE231" i="58"/>
  <c r="BE216" i="58"/>
  <c r="BE202" i="58"/>
  <c r="BE188" i="58"/>
  <c r="BE174" i="58"/>
  <c r="BE160" i="58"/>
  <c r="BE145" i="58"/>
  <c r="BE130" i="58"/>
  <c r="BE116" i="58"/>
  <c r="BE102" i="58"/>
  <c r="BE88" i="58"/>
  <c r="BE74" i="58"/>
  <c r="BE60" i="58"/>
  <c r="BE46" i="58"/>
  <c r="BE32" i="58"/>
  <c r="BE18" i="58"/>
  <c r="BE4" i="58"/>
  <c r="BW288" i="58"/>
  <c r="BW274" i="58"/>
  <c r="BW260" i="58"/>
  <c r="BW246" i="58"/>
  <c r="BW231" i="58"/>
  <c r="BW216" i="58"/>
  <c r="BW202" i="58"/>
  <c r="BW188" i="58"/>
  <c r="BW174" i="58"/>
  <c r="BW160" i="58"/>
  <c r="BW145" i="58"/>
  <c r="BW130" i="58"/>
  <c r="BW116" i="58"/>
  <c r="BW102" i="58"/>
  <c r="BW88" i="58"/>
  <c r="BW74" i="58"/>
  <c r="BW60" i="58"/>
  <c r="BW46" i="58"/>
  <c r="BW32" i="58"/>
  <c r="BW18" i="58"/>
  <c r="BW4" i="58"/>
  <c r="AY288" i="58"/>
  <c r="AY274" i="58"/>
  <c r="AY260" i="58"/>
  <c r="AY246" i="58"/>
  <c r="AY231" i="58"/>
  <c r="AY216" i="58"/>
  <c r="AY202" i="58"/>
  <c r="AY188" i="58"/>
  <c r="AY174" i="58"/>
  <c r="AY160" i="58"/>
  <c r="AY145" i="58"/>
  <c r="AY130" i="58"/>
  <c r="AY116" i="58"/>
  <c r="AY102" i="58"/>
  <c r="AY88" i="58"/>
  <c r="AY74" i="58"/>
  <c r="AY60" i="58"/>
  <c r="AY46" i="58"/>
  <c r="AY32" i="58"/>
  <c r="AY18" i="58"/>
  <c r="AY4" i="58"/>
  <c r="X288" i="58"/>
  <c r="X274" i="58"/>
  <c r="X260" i="58"/>
  <c r="X246" i="58"/>
  <c r="X231" i="58"/>
  <c r="X216" i="58"/>
  <c r="X202" i="58"/>
  <c r="X188" i="58"/>
  <c r="X174" i="58"/>
  <c r="X160" i="58"/>
  <c r="X145" i="58"/>
  <c r="X130" i="58"/>
  <c r="X116" i="58"/>
  <c r="X102" i="58"/>
  <c r="X88" i="58"/>
  <c r="X74" i="58"/>
  <c r="X60" i="58"/>
  <c r="X46" i="58"/>
  <c r="X32" i="58"/>
  <c r="X18" i="58"/>
  <c r="X4" i="58"/>
  <c r="E3082" i="140"/>
  <c r="BG86" i="139"/>
  <c r="BG94" i="139"/>
  <c r="BG67" i="139"/>
  <c r="E3198" i="140" l="1"/>
  <c r="BG3" i="58"/>
  <c r="BE3" i="58"/>
  <c r="BW3" i="58"/>
  <c r="AY3" i="58"/>
  <c r="X3" i="58"/>
  <c r="D23" i="180"/>
  <c r="F23" i="180"/>
  <c r="H22" i="180"/>
  <c r="H20" i="180"/>
  <c r="H19" i="180"/>
  <c r="H18" i="180"/>
  <c r="H17" i="180"/>
  <c r="H16" i="180"/>
  <c r="H15" i="180"/>
  <c r="H14" i="180"/>
  <c r="H13" i="180"/>
  <c r="H12" i="180"/>
  <c r="H11" i="180"/>
  <c r="H10" i="180"/>
  <c r="H9" i="180"/>
  <c r="BG58" i="139"/>
  <c r="E3078" i="140"/>
  <c r="BG73" i="139"/>
  <c r="E3084" i="140"/>
  <c r="BG76" i="139"/>
  <c r="BG79" i="139"/>
  <c r="BG144" i="139"/>
  <c r="E3107" i="140"/>
  <c r="BG77" i="139"/>
  <c r="E3106" i="140"/>
  <c r="BG110" i="139"/>
  <c r="BF110" i="139"/>
  <c r="BG91" i="139"/>
  <c r="E3083" i="140"/>
  <c r="H3" i="180" l="1"/>
  <c r="H23" i="180"/>
  <c r="D156" i="139"/>
  <c r="DY147" i="139"/>
  <c r="DX147" i="139"/>
  <c r="DW147" i="139"/>
  <c r="DV147" i="139"/>
  <c r="DU147" i="139"/>
  <c r="DT147" i="139"/>
  <c r="DS147" i="139"/>
  <c r="DR147" i="139"/>
  <c r="DQ147" i="139"/>
  <c r="DP147" i="139"/>
  <c r="DO147" i="139"/>
  <c r="DN147" i="139"/>
  <c r="DL147" i="139"/>
  <c r="DK147" i="139"/>
  <c r="DJ147" i="139"/>
  <c r="DI147" i="139"/>
  <c r="DH147" i="139"/>
  <c r="DG147" i="139"/>
  <c r="DF147" i="139"/>
  <c r="DE147" i="139"/>
  <c r="DD147" i="139"/>
  <c r="DC147" i="139"/>
  <c r="DB147" i="139"/>
  <c r="DA147" i="139"/>
  <c r="DM147" i="139" s="1"/>
  <c r="CY147" i="139"/>
  <c r="CX147" i="139"/>
  <c r="CW147" i="139"/>
  <c r="CV147" i="139"/>
  <c r="CU147" i="139"/>
  <c r="CT147" i="139"/>
  <c r="CS147" i="139"/>
  <c r="CR147" i="139"/>
  <c r="CQ147" i="139"/>
  <c r="CP147" i="139"/>
  <c r="CO147" i="139"/>
  <c r="CN147" i="139"/>
  <c r="CL147" i="139"/>
  <c r="CK147" i="139"/>
  <c r="CJ147" i="139"/>
  <c r="CI147" i="139"/>
  <c r="CH147" i="139"/>
  <c r="CG147" i="139"/>
  <c r="CF147" i="139"/>
  <c r="CE147" i="139"/>
  <c r="CD147" i="139"/>
  <c r="CC147" i="139"/>
  <c r="CB147" i="139"/>
  <c r="CA147" i="139"/>
  <c r="BX147" i="139"/>
  <c r="BW147" i="139"/>
  <c r="BV147" i="139"/>
  <c r="BU147" i="139"/>
  <c r="BT147" i="139"/>
  <c r="BS147" i="139"/>
  <c r="BR147" i="139"/>
  <c r="BQ147" i="139"/>
  <c r="BP147" i="139"/>
  <c r="BO147" i="139"/>
  <c r="BN147" i="139"/>
  <c r="BM147" i="139"/>
  <c r="BJ147" i="139"/>
  <c r="BI147" i="139"/>
  <c r="BH147" i="139"/>
  <c r="BG147" i="139"/>
  <c r="BF147" i="139"/>
  <c r="BE147" i="139"/>
  <c r="BD147" i="139"/>
  <c r="BC147" i="139"/>
  <c r="BB147" i="139"/>
  <c r="BA147" i="139"/>
  <c r="AZ147" i="139"/>
  <c r="AY147" i="139"/>
  <c r="AV147" i="139"/>
  <c r="AU147" i="139"/>
  <c r="AT147" i="139"/>
  <c r="AS147" i="139"/>
  <c r="AR147" i="139"/>
  <c r="AQ147" i="139"/>
  <c r="AP147" i="139"/>
  <c r="AO147" i="139"/>
  <c r="AN147" i="139"/>
  <c r="AM147" i="139"/>
  <c r="AL147" i="139"/>
  <c r="AK147" i="139"/>
  <c r="AH147" i="139"/>
  <c r="AG147" i="139"/>
  <c r="AF147" i="139"/>
  <c r="AE147" i="139"/>
  <c r="AD147" i="139"/>
  <c r="AC147" i="139"/>
  <c r="AB147" i="139"/>
  <c r="AA147" i="139"/>
  <c r="Z147" i="139"/>
  <c r="Y147" i="139"/>
  <c r="X147" i="139"/>
  <c r="W147" i="139"/>
  <c r="F147" i="139"/>
  <c r="I147" i="139"/>
  <c r="DZ148" i="139"/>
  <c r="DM148" i="139"/>
  <c r="CZ148" i="139"/>
  <c r="CM148" i="139"/>
  <c r="BY148" i="139"/>
  <c r="BK148" i="139"/>
  <c r="AW148" i="139"/>
  <c r="AI148" i="139"/>
  <c r="U148" i="139"/>
  <c r="G148" i="139"/>
  <c r="CM147" i="139" l="1"/>
  <c r="CZ147" i="139"/>
  <c r="DZ147" i="139"/>
  <c r="N55" i="179"/>
  <c r="N54" i="179"/>
  <c r="N53" i="179"/>
  <c r="N52" i="179"/>
  <c r="N51" i="179"/>
  <c r="N50" i="179"/>
  <c r="N49" i="179"/>
  <c r="N48" i="179"/>
  <c r="N47" i="179"/>
  <c r="N46" i="179"/>
  <c r="N45" i="179"/>
  <c r="N44" i="179"/>
  <c r="N43" i="179"/>
  <c r="N42" i="179"/>
  <c r="N41" i="179"/>
  <c r="N40" i="179"/>
  <c r="N39" i="179"/>
  <c r="N38" i="179"/>
  <c r="N37" i="179"/>
  <c r="N36" i="179"/>
  <c r="N35" i="179"/>
  <c r="N34" i="179"/>
  <c r="N33" i="179"/>
  <c r="N32" i="179"/>
  <c r="N31" i="179"/>
  <c r="N30" i="179"/>
  <c r="N29" i="179"/>
  <c r="N28" i="179"/>
  <c r="N27" i="179"/>
  <c r="N26" i="179"/>
  <c r="N25" i="179"/>
  <c r="N24" i="179"/>
  <c r="N23" i="179"/>
  <c r="N22" i="179"/>
  <c r="N21" i="179"/>
  <c r="N20" i="179"/>
  <c r="N19" i="179"/>
  <c r="N18" i="179"/>
  <c r="N17" i="179"/>
  <c r="N16" i="179"/>
  <c r="N15" i="179"/>
  <c r="N14" i="179"/>
  <c r="N13" i="179"/>
  <c r="N12" i="179"/>
  <c r="N11" i="179"/>
  <c r="N10" i="179"/>
  <c r="N9" i="179"/>
  <c r="N8" i="179"/>
  <c r="N7" i="179"/>
  <c r="N6" i="179"/>
  <c r="N5" i="179"/>
  <c r="N4" i="179"/>
  <c r="N3" i="179"/>
  <c r="K55" i="179"/>
  <c r="L55" i="179" s="1"/>
  <c r="K54" i="179"/>
  <c r="L54" i="179" s="1"/>
  <c r="K53" i="179"/>
  <c r="L53" i="179" s="1"/>
  <c r="K52" i="179"/>
  <c r="L52" i="179" s="1"/>
  <c r="K51" i="179"/>
  <c r="L51" i="179" s="1"/>
  <c r="K50" i="179"/>
  <c r="L50" i="179" s="1"/>
  <c r="K49" i="179"/>
  <c r="L49" i="179" s="1"/>
  <c r="K48" i="179"/>
  <c r="L48" i="179" s="1"/>
  <c r="K47" i="179"/>
  <c r="L47" i="179" s="1"/>
  <c r="K46" i="179"/>
  <c r="L46" i="179" s="1"/>
  <c r="K45" i="179"/>
  <c r="L45" i="179" s="1"/>
  <c r="K44" i="179"/>
  <c r="L44" i="179" s="1"/>
  <c r="K43" i="179"/>
  <c r="L43" i="179" s="1"/>
  <c r="K42" i="179"/>
  <c r="L42" i="179" s="1"/>
  <c r="K41" i="179"/>
  <c r="L41" i="179" s="1"/>
  <c r="K40" i="179"/>
  <c r="L40" i="179" s="1"/>
  <c r="K39" i="179"/>
  <c r="L39" i="179" s="1"/>
  <c r="K38" i="179"/>
  <c r="L38" i="179" s="1"/>
  <c r="K37" i="179"/>
  <c r="L37" i="179" s="1"/>
  <c r="K36" i="179"/>
  <c r="L36" i="179" s="1"/>
  <c r="K35" i="179"/>
  <c r="L35" i="179" s="1"/>
  <c r="K34" i="179"/>
  <c r="L34" i="179" s="1"/>
  <c r="K33" i="179"/>
  <c r="L33" i="179" s="1"/>
  <c r="K32" i="179"/>
  <c r="L32" i="179" s="1"/>
  <c r="K31" i="179"/>
  <c r="L31" i="179" s="1"/>
  <c r="K30" i="179"/>
  <c r="L30" i="179" s="1"/>
  <c r="K29" i="179"/>
  <c r="L29" i="179" s="1"/>
  <c r="K28" i="179"/>
  <c r="L28" i="179" s="1"/>
  <c r="K27" i="179"/>
  <c r="L27" i="179" s="1"/>
  <c r="K26" i="179"/>
  <c r="L26" i="179" s="1"/>
  <c r="K25" i="179"/>
  <c r="L25" i="179" s="1"/>
  <c r="K24" i="179"/>
  <c r="L24" i="179" s="1"/>
  <c r="K23" i="179"/>
  <c r="L23" i="179" s="1"/>
  <c r="K22" i="179"/>
  <c r="L22" i="179" s="1"/>
  <c r="K21" i="179"/>
  <c r="L21" i="179" s="1"/>
  <c r="K20" i="179"/>
  <c r="L20" i="179" s="1"/>
  <c r="K19" i="179"/>
  <c r="L19" i="179" s="1"/>
  <c r="K18" i="179"/>
  <c r="L18" i="179" s="1"/>
  <c r="K17" i="179"/>
  <c r="L17" i="179" s="1"/>
  <c r="K16" i="179"/>
  <c r="L16" i="179" s="1"/>
  <c r="K15" i="179"/>
  <c r="L15" i="179" s="1"/>
  <c r="K14" i="179"/>
  <c r="L14" i="179" s="1"/>
  <c r="K13" i="179"/>
  <c r="L13" i="179" s="1"/>
  <c r="K12" i="179"/>
  <c r="L12" i="179" s="1"/>
  <c r="K11" i="179"/>
  <c r="L11" i="179" s="1"/>
  <c r="K10" i="179"/>
  <c r="L10" i="179" s="1"/>
  <c r="K9" i="179"/>
  <c r="L9" i="179" s="1"/>
  <c r="K8" i="179"/>
  <c r="L8" i="179" s="1"/>
  <c r="K7" i="179"/>
  <c r="L7" i="179" s="1"/>
  <c r="K6" i="179"/>
  <c r="L6" i="179" s="1"/>
  <c r="K5" i="179"/>
  <c r="L5" i="179" s="1"/>
  <c r="K4" i="179"/>
  <c r="L4" i="179" s="1"/>
  <c r="K3" i="179"/>
  <c r="L3" i="179" s="1"/>
  <c r="A22" i="179"/>
  <c r="A21" i="179"/>
  <c r="A20" i="179"/>
  <c r="A19" i="179"/>
  <c r="A18" i="179"/>
  <c r="A32" i="179"/>
  <c r="A31" i="179"/>
  <c r="A30" i="179"/>
  <c r="A29" i="179"/>
  <c r="A28" i="179"/>
  <c r="A27" i="179"/>
  <c r="A26" i="179"/>
  <c r="A25" i="179"/>
  <c r="A24" i="179"/>
  <c r="A23" i="179"/>
  <c r="A45" i="179"/>
  <c r="A44" i="179"/>
  <c r="A43" i="179"/>
  <c r="A42" i="179"/>
  <c r="A17" i="179"/>
  <c r="A16" i="179"/>
  <c r="A15" i="179"/>
  <c r="A14" i="179"/>
  <c r="A13" i="179"/>
  <c r="A55" i="179"/>
  <c r="A54" i="179"/>
  <c r="A53" i="179"/>
  <c r="A52" i="179"/>
  <c r="A51" i="179"/>
  <c r="A50" i="179"/>
  <c r="A49" i="179"/>
  <c r="A48" i="179"/>
  <c r="A47" i="179"/>
  <c r="A46" i="179"/>
  <c r="A41" i="179"/>
  <c r="A40" i="179"/>
  <c r="A39" i="179"/>
  <c r="A38" i="179"/>
  <c r="A37" i="179"/>
  <c r="A36" i="179"/>
  <c r="A35" i="179"/>
  <c r="A34" i="179"/>
  <c r="A33" i="179"/>
  <c r="A12" i="179"/>
  <c r="A11" i="179"/>
  <c r="A10" i="179"/>
  <c r="A9" i="179"/>
  <c r="A8" i="179"/>
  <c r="A7" i="179"/>
  <c r="A6" i="179"/>
  <c r="A5" i="179"/>
  <c r="A4" i="179"/>
  <c r="A3" i="179"/>
  <c r="E3090" i="140" l="1"/>
  <c r="BB134" i="58"/>
  <c r="U134" i="58"/>
  <c r="T134" i="58" l="1"/>
  <c r="E3087" i="140"/>
  <c r="BG71" i="139"/>
  <c r="BG88" i="139"/>
  <c r="BG74" i="139"/>
  <c r="BO146" i="139"/>
  <c r="BN146" i="139"/>
  <c r="BJ146" i="139"/>
  <c r="BI146" i="139"/>
  <c r="BG146" i="139"/>
  <c r="BF67" i="139"/>
  <c r="E3013" i="140"/>
  <c r="E2997" i="140"/>
  <c r="E3015" i="140"/>
  <c r="BF76" i="139"/>
  <c r="BF58" i="139"/>
  <c r="E3038" i="140"/>
  <c r="BF73" i="139"/>
  <c r="BF79" i="139"/>
  <c r="E3023" i="140"/>
  <c r="E3035" i="140"/>
  <c r="E3034" i="140"/>
  <c r="AF3" i="177"/>
  <c r="AE3" i="177" s="1"/>
  <c r="AF2" i="177"/>
  <c r="AE2" i="177" s="1"/>
  <c r="AC111" i="58"/>
  <c r="CM146" i="139" l="1"/>
  <c r="J11" i="156"/>
  <c r="J8" i="156"/>
  <c r="J10" i="156"/>
  <c r="J9" i="156"/>
  <c r="BF27" i="139"/>
  <c r="E2976" i="140"/>
  <c r="BF86" i="139"/>
  <c r="E3019" i="140"/>
  <c r="BF77" i="139"/>
  <c r="BF35" i="139"/>
  <c r="E2985" i="140"/>
  <c r="BF141" i="139"/>
  <c r="BF94" i="139"/>
  <c r="BF71" i="139"/>
  <c r="BF74" i="139"/>
  <c r="E3009" i="140"/>
  <c r="BC107" i="139"/>
  <c r="BF66" i="139"/>
  <c r="E3001" i="140"/>
  <c r="E3008" i="140"/>
  <c r="E3007" i="140"/>
  <c r="BF130" i="139"/>
  <c r="BF53" i="139"/>
  <c r="E3017" i="140"/>
  <c r="E2969" i="140"/>
  <c r="BE73" i="139"/>
  <c r="BE94" i="139"/>
  <c r="BE79" i="139"/>
  <c r="E2954" i="140"/>
  <c r="BE76" i="139"/>
  <c r="BE58" i="139"/>
  <c r="E2950" i="140"/>
  <c r="E2944" i="140"/>
  <c r="E2941" i="140"/>
  <c r="BE88" i="139"/>
  <c r="BE40" i="139"/>
  <c r="E2953" i="140"/>
  <c r="BE130" i="139"/>
  <c r="BE67" i="139"/>
  <c r="E2948" i="140"/>
  <c r="E2962" i="140"/>
  <c r="BE114" i="139"/>
  <c r="E2932" i="140"/>
  <c r="BE121" i="139"/>
  <c r="D2955" i="140"/>
  <c r="BE10" i="139"/>
  <c r="BE107" i="139"/>
  <c r="BE86" i="139"/>
  <c r="A157" i="139"/>
  <c r="A158" i="139"/>
  <c r="BD107" i="139"/>
  <c r="E2904" i="140"/>
  <c r="E2886" i="140"/>
  <c r="BD73" i="139"/>
  <c r="BD76" i="139"/>
  <c r="E2875" i="140"/>
  <c r="BD58" i="139"/>
  <c r="E2887" i="140"/>
  <c r="DZ9" i="139"/>
  <c r="DM9" i="139"/>
  <c r="CZ9" i="139"/>
  <c r="CM9" i="139"/>
  <c r="BY9" i="139"/>
  <c r="BK9" i="139"/>
  <c r="AW9" i="139"/>
  <c r="AI9" i="139"/>
  <c r="U9" i="139"/>
  <c r="G9" i="139"/>
  <c r="E2903" i="140"/>
  <c r="BD110" i="139"/>
  <c r="E2900" i="140"/>
  <c r="BD112" i="139"/>
  <c r="BD130" i="139"/>
  <c r="BD77" i="139"/>
  <c r="BD88" i="139"/>
  <c r="E2865" i="140"/>
  <c r="E2879" i="140"/>
  <c r="E2844" i="140"/>
  <c r="BD34" i="139"/>
  <c r="BK34" i="139" s="1"/>
  <c r="BD91" i="139"/>
  <c r="E2874" i="140"/>
  <c r="E2878" i="140"/>
  <c r="BD79" i="139"/>
  <c r="BD122" i="139"/>
  <c r="DZ121" i="139"/>
  <c r="DM121" i="139"/>
  <c r="CZ121" i="139"/>
  <c r="CM121" i="139"/>
  <c r="BY121" i="139"/>
  <c r="BC121" i="139"/>
  <c r="AW121" i="139"/>
  <c r="AI121" i="139"/>
  <c r="U121" i="139"/>
  <c r="G121" i="139"/>
  <c r="BC86" i="139"/>
  <c r="BD37" i="139"/>
  <c r="E2847" i="140"/>
  <c r="E2869" i="140"/>
  <c r="BD51" i="139"/>
  <c r="BC27" i="139"/>
  <c r="BC94" i="139"/>
  <c r="E2758" i="140"/>
  <c r="BD94" i="139"/>
  <c r="E2868" i="140"/>
  <c r="E2867" i="140"/>
  <c r="BD67" i="139"/>
  <c r="E2873" i="140"/>
  <c r="E2857" i="140"/>
  <c r="BD72" i="139"/>
  <c r="BD10" i="139"/>
  <c r="BD86" i="139"/>
  <c r="BD142" i="139"/>
  <c r="BD39" i="139"/>
  <c r="BD35" i="139"/>
  <c r="DZ35" i="139"/>
  <c r="DM35" i="139"/>
  <c r="CZ35" i="139"/>
  <c r="CM35" i="139"/>
  <c r="BY35" i="139"/>
  <c r="AW35" i="139"/>
  <c r="AI35" i="139"/>
  <c r="U35" i="139"/>
  <c r="G35" i="139"/>
  <c r="DZ34" i="139"/>
  <c r="DM34" i="139"/>
  <c r="CZ34" i="139"/>
  <c r="CM34" i="139"/>
  <c r="BY34" i="139"/>
  <c r="AW34" i="139"/>
  <c r="AI34" i="139"/>
  <c r="U34" i="139"/>
  <c r="G34" i="139"/>
  <c r="E2845" i="140"/>
  <c r="E2849" i="140"/>
  <c r="BK35" i="139" l="1"/>
  <c r="BK121" i="139"/>
  <c r="E3039" i="140"/>
  <c r="E3125" i="140"/>
  <c r="E2971" i="140"/>
  <c r="D3125" i="140"/>
  <c r="D3039" i="140"/>
  <c r="D2971" i="140"/>
  <c r="BC67" i="139"/>
  <c r="E2794" i="140"/>
  <c r="E2790" i="140"/>
  <c r="BC58" i="139"/>
  <c r="BC73" i="139"/>
  <c r="E2801" i="140"/>
  <c r="BC144" i="139"/>
  <c r="BC142" i="139"/>
  <c r="E2778" i="140"/>
  <c r="BC110" i="139"/>
  <c r="E2821" i="140"/>
  <c r="BC74" i="139"/>
  <c r="BC88" i="139"/>
  <c r="E2786" i="140"/>
  <c r="BC54" i="139"/>
  <c r="BC56" i="139"/>
  <c r="BC76" i="139"/>
  <c r="E2796" i="140"/>
  <c r="E2798" i="140"/>
  <c r="BC79" i="139"/>
  <c r="E2800" i="140"/>
  <c r="BC90" i="139"/>
  <c r="E2811" i="140"/>
  <c r="E2795" i="140"/>
  <c r="BC91" i="139"/>
  <c r="E2809" i="140"/>
  <c r="E2789" i="140"/>
  <c r="E2788" i="140"/>
  <c r="BC130" i="139"/>
  <c r="E2802" i="140"/>
  <c r="BC77" i="139"/>
  <c r="BC80" i="139" l="1"/>
  <c r="E2748" i="140"/>
  <c r="BB79" i="139"/>
  <c r="BB88" i="139"/>
  <c r="BB67" i="139"/>
  <c r="BB144" i="139"/>
  <c r="E2712" i="140"/>
  <c r="E2731" i="140"/>
  <c r="BB58" i="139"/>
  <c r="BB141" i="139"/>
  <c r="BB73" i="139"/>
  <c r="BB139" i="58"/>
  <c r="U139" i="58"/>
  <c r="BB130" i="139"/>
  <c r="BB91" i="139"/>
  <c r="E2713" i="140"/>
  <c r="BB86" i="139"/>
  <c r="E2696" i="140"/>
  <c r="BB96" i="139"/>
  <c r="DZ19" i="139"/>
  <c r="DM19" i="139"/>
  <c r="CZ19" i="139"/>
  <c r="CM19" i="139"/>
  <c r="BY19" i="139"/>
  <c r="BK19" i="139"/>
  <c r="AW19" i="139"/>
  <c r="AI19" i="139"/>
  <c r="U19" i="139"/>
  <c r="G19" i="139"/>
  <c r="BB106" i="139"/>
  <c r="DZ106" i="139"/>
  <c r="DM106" i="139"/>
  <c r="CZ106" i="139"/>
  <c r="CM106" i="139"/>
  <c r="BY106" i="139"/>
  <c r="BK106" i="139"/>
  <c r="AW106" i="139"/>
  <c r="AI106" i="139"/>
  <c r="U106" i="139"/>
  <c r="G106" i="139"/>
  <c r="E2727" i="140"/>
  <c r="BB69" i="139"/>
  <c r="BB74" i="139"/>
  <c r="BB77" i="139"/>
  <c r="E2714" i="140"/>
  <c r="L36" i="177"/>
  <c r="L35" i="177"/>
  <c r="L34" i="177"/>
  <c r="L33" i="177"/>
  <c r="L32" i="177"/>
  <c r="L26" i="177"/>
  <c r="L15" i="177"/>
  <c r="L14" i="177"/>
  <c r="L13" i="177"/>
  <c r="L10" i="177"/>
  <c r="L8" i="177"/>
  <c r="BB146" i="139"/>
  <c r="BB133" i="139"/>
  <c r="BB90" i="139"/>
  <c r="R3" i="174"/>
  <c r="R2" i="174"/>
  <c r="N72" i="174"/>
  <c r="M72" i="174"/>
  <c r="L72" i="174"/>
  <c r="K72" i="174"/>
  <c r="J72" i="174"/>
  <c r="I72" i="174"/>
  <c r="H72" i="174"/>
  <c r="G72" i="174"/>
  <c r="F72" i="174"/>
  <c r="E72" i="174"/>
  <c r="N69" i="174"/>
  <c r="M69" i="174"/>
  <c r="L69" i="174"/>
  <c r="K69" i="174"/>
  <c r="J69" i="174"/>
  <c r="I69" i="174"/>
  <c r="H69" i="174"/>
  <c r="G69" i="174"/>
  <c r="F69" i="174"/>
  <c r="E69" i="174"/>
  <c r="N66" i="174"/>
  <c r="M66" i="174"/>
  <c r="L66" i="174"/>
  <c r="K66" i="174"/>
  <c r="J66" i="174"/>
  <c r="I66" i="174"/>
  <c r="H66" i="174"/>
  <c r="G66" i="174"/>
  <c r="F66" i="174"/>
  <c r="E66" i="174"/>
  <c r="N63" i="174"/>
  <c r="M63" i="174"/>
  <c r="L63" i="174"/>
  <c r="K63" i="174"/>
  <c r="J63" i="174"/>
  <c r="I63" i="174"/>
  <c r="H63" i="174"/>
  <c r="G63" i="174"/>
  <c r="F63" i="174"/>
  <c r="E63" i="174"/>
  <c r="N60" i="174"/>
  <c r="M60" i="174"/>
  <c r="L60" i="174"/>
  <c r="K60" i="174"/>
  <c r="J60" i="174"/>
  <c r="I60" i="174"/>
  <c r="H60" i="174"/>
  <c r="G60" i="174"/>
  <c r="F60" i="174"/>
  <c r="E60" i="174"/>
  <c r="N57" i="174"/>
  <c r="M57" i="174"/>
  <c r="L57" i="174"/>
  <c r="K57" i="174"/>
  <c r="J57" i="174"/>
  <c r="I57" i="174"/>
  <c r="H57" i="174"/>
  <c r="G57" i="174"/>
  <c r="F57" i="174"/>
  <c r="E57" i="174"/>
  <c r="N54" i="174"/>
  <c r="M54" i="174"/>
  <c r="L54" i="174"/>
  <c r="K54" i="174"/>
  <c r="J54" i="174"/>
  <c r="I54" i="174"/>
  <c r="H54" i="174"/>
  <c r="G54" i="174"/>
  <c r="F54" i="174"/>
  <c r="E54" i="174"/>
  <c r="N51" i="174"/>
  <c r="M51" i="174"/>
  <c r="L51" i="174"/>
  <c r="K51" i="174"/>
  <c r="J51" i="174"/>
  <c r="I51" i="174"/>
  <c r="H51" i="174"/>
  <c r="G51" i="174"/>
  <c r="F51" i="174"/>
  <c r="E51" i="174"/>
  <c r="N48" i="174"/>
  <c r="M48" i="174"/>
  <c r="L48" i="174"/>
  <c r="K48" i="174"/>
  <c r="J48" i="174"/>
  <c r="I48" i="174"/>
  <c r="H48" i="174"/>
  <c r="G48" i="174"/>
  <c r="F48" i="174"/>
  <c r="E48" i="174"/>
  <c r="N33" i="174"/>
  <c r="M33" i="174"/>
  <c r="L33" i="174"/>
  <c r="K33" i="174"/>
  <c r="J33" i="174"/>
  <c r="I33" i="174"/>
  <c r="H33" i="174"/>
  <c r="G33" i="174"/>
  <c r="F33" i="174"/>
  <c r="E33" i="174"/>
  <c r="N21" i="174"/>
  <c r="F21" i="174"/>
  <c r="N20" i="174"/>
  <c r="M20" i="174"/>
  <c r="L20" i="174"/>
  <c r="K20" i="174"/>
  <c r="J20" i="174"/>
  <c r="I20" i="174"/>
  <c r="H20" i="174"/>
  <c r="G20" i="174"/>
  <c r="F20" i="174"/>
  <c r="E20" i="174"/>
  <c r="H7" i="174"/>
  <c r="H22" i="174" s="1"/>
  <c r="N6" i="174"/>
  <c r="N7" i="174" s="1"/>
  <c r="M6" i="174"/>
  <c r="M7" i="174" s="1"/>
  <c r="L6" i="174"/>
  <c r="L21" i="174" s="1"/>
  <c r="K6" i="174"/>
  <c r="K21" i="174" s="1"/>
  <c r="J6" i="174"/>
  <c r="J34" i="174" s="1"/>
  <c r="I6" i="174"/>
  <c r="I21" i="174" s="1"/>
  <c r="H6" i="174"/>
  <c r="H34" i="174" s="1"/>
  <c r="G6" i="174"/>
  <c r="G34" i="174" s="1"/>
  <c r="F6" i="174"/>
  <c r="F7" i="174" s="1"/>
  <c r="E6" i="174"/>
  <c r="E7" i="174" s="1"/>
  <c r="T139" i="58" l="1"/>
  <c r="E35" i="174"/>
  <c r="E22" i="174"/>
  <c r="E8" i="174"/>
  <c r="M35" i="174"/>
  <c r="M22" i="174"/>
  <c r="M8" i="174"/>
  <c r="F35" i="174"/>
  <c r="F22" i="174"/>
  <c r="F8" i="174"/>
  <c r="N35" i="174"/>
  <c r="N8" i="174"/>
  <c r="N22" i="174"/>
  <c r="G7" i="174"/>
  <c r="E21" i="174"/>
  <c r="M21" i="174"/>
  <c r="I34" i="174"/>
  <c r="I7" i="174"/>
  <c r="G21" i="174"/>
  <c r="K34" i="174"/>
  <c r="H35" i="174"/>
  <c r="J7" i="174"/>
  <c r="H8" i="174"/>
  <c r="H21" i="174"/>
  <c r="L34" i="174"/>
  <c r="K7" i="174"/>
  <c r="E34" i="174"/>
  <c r="M34" i="174"/>
  <c r="L7" i="174"/>
  <c r="J21" i="174"/>
  <c r="F34" i="174"/>
  <c r="N34" i="174"/>
  <c r="H23" i="174" l="1"/>
  <c r="H9" i="174"/>
  <c r="H36" i="174"/>
  <c r="M23" i="174"/>
  <c r="M9" i="174"/>
  <c r="M36" i="174"/>
  <c r="J22" i="174"/>
  <c r="J8" i="174"/>
  <c r="J35" i="174"/>
  <c r="G22" i="174"/>
  <c r="G8" i="174"/>
  <c r="G35" i="174"/>
  <c r="L8" i="174"/>
  <c r="L35" i="174"/>
  <c r="L22" i="174"/>
  <c r="N23" i="174"/>
  <c r="N36" i="174"/>
  <c r="N9" i="174"/>
  <c r="E23" i="174"/>
  <c r="E9" i="174"/>
  <c r="E36" i="174"/>
  <c r="K8" i="174"/>
  <c r="K35" i="174"/>
  <c r="K22" i="174"/>
  <c r="I22" i="174"/>
  <c r="I8" i="174"/>
  <c r="I35" i="174"/>
  <c r="F23" i="174"/>
  <c r="F9" i="174"/>
  <c r="F36" i="174"/>
  <c r="F24" i="174" l="1"/>
  <c r="F10" i="174"/>
  <c r="F37" i="174"/>
  <c r="L36" i="174"/>
  <c r="L23" i="174"/>
  <c r="L9" i="174"/>
  <c r="M24" i="174"/>
  <c r="M10" i="174"/>
  <c r="M37" i="174"/>
  <c r="E24" i="174"/>
  <c r="E10" i="174"/>
  <c r="E37" i="174"/>
  <c r="J9" i="174"/>
  <c r="J23" i="174"/>
  <c r="J36" i="174"/>
  <c r="K36" i="174"/>
  <c r="K23" i="174"/>
  <c r="K9" i="174"/>
  <c r="G23" i="174"/>
  <c r="G9" i="174"/>
  <c r="G36" i="174"/>
  <c r="I9" i="174"/>
  <c r="I36" i="174"/>
  <c r="I23" i="174"/>
  <c r="N24" i="174"/>
  <c r="N10" i="174"/>
  <c r="N37" i="174"/>
  <c r="H10" i="174"/>
  <c r="H37" i="174"/>
  <c r="H24" i="174"/>
  <c r="I37" i="174" l="1"/>
  <c r="I24" i="174"/>
  <c r="I10" i="174"/>
  <c r="H38" i="174"/>
  <c r="H11" i="174"/>
  <c r="H25" i="174"/>
  <c r="L24" i="174"/>
  <c r="L10" i="174"/>
  <c r="L37" i="174"/>
  <c r="M11" i="174"/>
  <c r="M38" i="174"/>
  <c r="M25" i="174"/>
  <c r="G10" i="174"/>
  <c r="G37" i="174"/>
  <c r="G24" i="174"/>
  <c r="N11" i="174"/>
  <c r="N38" i="174"/>
  <c r="N25" i="174"/>
  <c r="K24" i="174"/>
  <c r="K10" i="174"/>
  <c r="K37" i="174"/>
  <c r="F11" i="174"/>
  <c r="F25" i="174"/>
  <c r="F38" i="174"/>
  <c r="J37" i="174"/>
  <c r="J24" i="174"/>
  <c r="J10" i="174"/>
  <c r="E11" i="174"/>
  <c r="E38" i="174"/>
  <c r="E25" i="174"/>
  <c r="N39" i="174" l="1"/>
  <c r="N26" i="174"/>
  <c r="N12" i="174"/>
  <c r="L25" i="174"/>
  <c r="L11" i="174"/>
  <c r="L38" i="174"/>
  <c r="F39" i="174"/>
  <c r="F12" i="174"/>
  <c r="F26" i="174"/>
  <c r="G38" i="174"/>
  <c r="G25" i="174"/>
  <c r="G11" i="174"/>
  <c r="H39" i="174"/>
  <c r="H26" i="174"/>
  <c r="H12" i="174"/>
  <c r="E39" i="174"/>
  <c r="E26" i="174"/>
  <c r="E12" i="174"/>
  <c r="K25" i="174"/>
  <c r="K11" i="174"/>
  <c r="K38" i="174"/>
  <c r="J25" i="174"/>
  <c r="J38" i="174"/>
  <c r="J11" i="174"/>
  <c r="I25" i="174"/>
  <c r="I11" i="174"/>
  <c r="I38" i="174"/>
  <c r="M39" i="174"/>
  <c r="M26" i="174"/>
  <c r="M12" i="174"/>
  <c r="J26" i="174" l="1"/>
  <c r="J12" i="174"/>
  <c r="J39" i="174"/>
  <c r="F40" i="174"/>
  <c r="F27" i="174"/>
  <c r="F13" i="174"/>
  <c r="H27" i="174"/>
  <c r="H13" i="174"/>
  <c r="H40" i="174"/>
  <c r="M27" i="174"/>
  <c r="M13" i="174"/>
  <c r="M40" i="174"/>
  <c r="L12" i="174"/>
  <c r="L39" i="174"/>
  <c r="L26" i="174"/>
  <c r="K12" i="174"/>
  <c r="K39" i="174"/>
  <c r="K26" i="174"/>
  <c r="G26" i="174"/>
  <c r="G12" i="174"/>
  <c r="G39" i="174"/>
  <c r="N27" i="174"/>
  <c r="N40" i="174"/>
  <c r="N13" i="174"/>
  <c r="I26" i="174"/>
  <c r="I12" i="174"/>
  <c r="I39" i="174"/>
  <c r="E27" i="174"/>
  <c r="E13" i="174"/>
  <c r="E40" i="174"/>
  <c r="N28" i="174" l="1"/>
  <c r="N14" i="174"/>
  <c r="N41" i="174"/>
  <c r="K40" i="174"/>
  <c r="K27" i="174"/>
  <c r="K13" i="174"/>
  <c r="H14" i="174"/>
  <c r="H28" i="174"/>
  <c r="H41" i="174"/>
  <c r="F28" i="174"/>
  <c r="F14" i="174"/>
  <c r="F41" i="174"/>
  <c r="E28" i="174"/>
  <c r="E14" i="174"/>
  <c r="E41" i="174"/>
  <c r="L40" i="174"/>
  <c r="L27" i="174"/>
  <c r="L13" i="174"/>
  <c r="G27" i="174"/>
  <c r="G13" i="174"/>
  <c r="G40" i="174"/>
  <c r="M28" i="174"/>
  <c r="M14" i="174"/>
  <c r="M41" i="174"/>
  <c r="I13" i="174"/>
  <c r="I40" i="174"/>
  <c r="I27" i="174"/>
  <c r="J13" i="174"/>
  <c r="J40" i="174"/>
  <c r="J27" i="174"/>
  <c r="K28" i="174" l="1"/>
  <c r="K14" i="174"/>
  <c r="K41" i="174"/>
  <c r="H42" i="174"/>
  <c r="H29" i="174"/>
  <c r="E42" i="174"/>
  <c r="E29" i="174"/>
  <c r="J41" i="174"/>
  <c r="J14" i="174"/>
  <c r="J28" i="174"/>
  <c r="M42" i="174"/>
  <c r="M29" i="174"/>
  <c r="F42" i="174"/>
  <c r="F29" i="174"/>
  <c r="L41" i="174"/>
  <c r="L28" i="174"/>
  <c r="L14" i="174"/>
  <c r="N29" i="174"/>
  <c r="N42" i="174"/>
  <c r="G14" i="174"/>
  <c r="G41" i="174"/>
  <c r="G28" i="174"/>
  <c r="I41" i="174"/>
  <c r="I28" i="174"/>
  <c r="I14" i="174"/>
  <c r="G42" i="174" l="1"/>
  <c r="G29" i="174"/>
  <c r="K29" i="174"/>
  <c r="K42" i="174"/>
  <c r="I29" i="174"/>
  <c r="I42" i="174"/>
  <c r="L29" i="174"/>
  <c r="L42" i="174"/>
  <c r="J29" i="174"/>
  <c r="J42" i="174"/>
  <c r="BA67" i="139" l="1"/>
  <c r="E2646" i="140"/>
  <c r="E2906" i="140"/>
  <c r="E2773" i="140"/>
  <c r="E2831" i="140" s="1"/>
  <c r="E2692" i="140"/>
  <c r="D2754" i="140" s="1"/>
  <c r="BB141" i="58"/>
  <c r="BA79" i="139"/>
  <c r="BA58" i="139"/>
  <c r="BA88" i="139"/>
  <c r="BA110" i="139"/>
  <c r="BA73" i="139"/>
  <c r="E2648" i="140"/>
  <c r="BA76" i="139"/>
  <c r="BA90" i="139"/>
  <c r="D2666" i="140"/>
  <c r="BA86" i="139"/>
  <c r="BA107" i="139"/>
  <c r="BA91" i="139"/>
  <c r="E2649" i="140"/>
  <c r="BA71" i="139"/>
  <c r="E2661" i="140"/>
  <c r="E2645" i="140"/>
  <c r="BA65" i="139"/>
  <c r="E2653" i="140"/>
  <c r="BA72" i="139"/>
  <c r="BA146" i="139"/>
  <c r="E2651" i="140"/>
  <c r="D2831" i="140" l="1"/>
  <c r="D2906" i="140"/>
  <c r="E2754" i="140"/>
  <c r="U141" i="58"/>
  <c r="T141" i="58" s="1"/>
  <c r="BA70" i="139"/>
  <c r="E2640" i="140"/>
  <c r="E2641" i="140"/>
  <c r="BA94" i="139"/>
  <c r="E2629" i="140"/>
  <c r="E2609" i="140"/>
  <c r="AM288" i="58"/>
  <c r="AM274" i="58"/>
  <c r="AM260" i="58"/>
  <c r="AM246" i="58"/>
  <c r="AM231" i="58"/>
  <c r="AM216" i="58"/>
  <c r="AM202" i="58"/>
  <c r="AM188" i="58"/>
  <c r="AM174" i="58"/>
  <c r="AM160" i="58"/>
  <c r="AM145" i="58"/>
  <c r="AM130" i="58"/>
  <c r="AM116" i="58"/>
  <c r="AM102" i="58"/>
  <c r="AM88" i="58"/>
  <c r="AM74" i="58"/>
  <c r="AM60" i="58"/>
  <c r="AM46" i="58"/>
  <c r="AM32" i="58"/>
  <c r="AM18" i="58"/>
  <c r="AM4" i="58"/>
  <c r="E2601" i="140"/>
  <c r="AZ79" i="139"/>
  <c r="AZ88" i="139"/>
  <c r="E2553" i="140"/>
  <c r="AZ58" i="139"/>
  <c r="E2599" i="140"/>
  <c r="AZ86" i="139"/>
  <c r="AZ76" i="139"/>
  <c r="E2558" i="140"/>
  <c r="DZ11" i="139"/>
  <c r="DM11" i="139"/>
  <c r="CZ11" i="139"/>
  <c r="CM11" i="139"/>
  <c r="BY11" i="139"/>
  <c r="BK11" i="139"/>
  <c r="AW11" i="139"/>
  <c r="AI11" i="139"/>
  <c r="U11" i="139"/>
  <c r="G11" i="139"/>
  <c r="G18" i="139"/>
  <c r="U18" i="139"/>
  <c r="AI18" i="139"/>
  <c r="AW18" i="139"/>
  <c r="BK18" i="139"/>
  <c r="BY18" i="139"/>
  <c r="CM18" i="139"/>
  <c r="CZ18" i="139"/>
  <c r="DM18" i="139"/>
  <c r="DZ18" i="139"/>
  <c r="AZ130" i="139"/>
  <c r="AZ94" i="139"/>
  <c r="AZ77" i="139"/>
  <c r="AM3" i="58" l="1"/>
  <c r="AZ67" i="139"/>
  <c r="E2556" i="140"/>
  <c r="AZ107" i="139"/>
  <c r="AZ153" i="139" l="1"/>
  <c r="E2540" i="140"/>
  <c r="E2574" i="140"/>
  <c r="DZ14" i="139"/>
  <c r="DM14" i="139"/>
  <c r="CZ14" i="139"/>
  <c r="CM14" i="139"/>
  <c r="BY14" i="139"/>
  <c r="AW14" i="139"/>
  <c r="AI14" i="139"/>
  <c r="U14" i="139"/>
  <c r="G14" i="139"/>
  <c r="AZ59" i="139"/>
  <c r="E2581" i="140"/>
  <c r="E2572" i="140"/>
  <c r="AZ42" i="139"/>
  <c r="E2531" i="140"/>
  <c r="E2580" i="140"/>
  <c r="AZ73" i="139"/>
  <c r="E2577" i="140"/>
  <c r="E2559" i="140"/>
  <c r="BA3" i="58"/>
  <c r="AY15" i="139"/>
  <c r="AZ39" i="139"/>
  <c r="E2530" i="140"/>
  <c r="AY153" i="139"/>
  <c r="E2625" i="140"/>
  <c r="E2673" i="140" s="1"/>
  <c r="E2534" i="140"/>
  <c r="AY79" i="139"/>
  <c r="E2501" i="140"/>
  <c r="AY73" i="139"/>
  <c r="AY90" i="139"/>
  <c r="D2673" i="140" l="1"/>
  <c r="D2605" i="140"/>
  <c r="E2605" i="140"/>
  <c r="AY91" i="139"/>
  <c r="E2493" i="140"/>
  <c r="AY88" i="139"/>
  <c r="AY58" i="139"/>
  <c r="E2475" i="140"/>
  <c r="AY67" i="139"/>
  <c r="E2478" i="140"/>
  <c r="E2462" i="140"/>
  <c r="E2480" i="140"/>
  <c r="AY76" i="139"/>
  <c r="DZ151" i="139" l="1"/>
  <c r="DM151" i="139"/>
  <c r="CZ151" i="139"/>
  <c r="CM151" i="139"/>
  <c r="BY151" i="139"/>
  <c r="AY130" i="139"/>
  <c r="AY40" i="139"/>
  <c r="DZ149" i="139"/>
  <c r="DM149" i="139"/>
  <c r="CZ149" i="139"/>
  <c r="AY70" i="139"/>
  <c r="E2482" i="140"/>
  <c r="AY44" i="139"/>
  <c r="E2483" i="140"/>
  <c r="E2458" i="140"/>
  <c r="AV144" i="139"/>
  <c r="AV79" i="139"/>
  <c r="E2373" i="140"/>
  <c r="AV130" i="139"/>
  <c r="AV146" i="139"/>
  <c r="AV151" i="139"/>
  <c r="E2392" i="140"/>
  <c r="AV67" i="139"/>
  <c r="AV58" i="139"/>
  <c r="E2376" i="140"/>
  <c r="AV13" i="139"/>
  <c r="AV43" i="139"/>
  <c r="E2370" i="140"/>
  <c r="E2513" i="140" l="1"/>
  <c r="D2513" i="140"/>
  <c r="AV94" i="139" l="1"/>
  <c r="AV83" i="139" l="1"/>
  <c r="E2421" i="140"/>
  <c r="E2394" i="140"/>
  <c r="AV77" i="139"/>
  <c r="AV86" i="139"/>
  <c r="AV73" i="139"/>
  <c r="E2372" i="140"/>
  <c r="E2357" i="140"/>
  <c r="AV30" i="139"/>
  <c r="AV7" i="139"/>
  <c r="AW83" i="139" l="1"/>
  <c r="DZ83" i="139"/>
  <c r="DM83" i="139"/>
  <c r="CZ83" i="139"/>
  <c r="CM83" i="139"/>
  <c r="BY83" i="139"/>
  <c r="BK83" i="139"/>
  <c r="AI83" i="139"/>
  <c r="U83" i="139"/>
  <c r="G83" i="139"/>
  <c r="A160" i="139"/>
  <c r="A159" i="139"/>
  <c r="A156" i="139"/>
  <c r="A154" i="139"/>
  <c r="A153" i="139"/>
  <c r="AV107" i="139"/>
  <c r="AV74" i="139"/>
  <c r="AV88" i="139"/>
  <c r="AV56" i="139"/>
  <c r="AV54" i="139"/>
  <c r="AV76" i="139"/>
  <c r="AU58" i="139" l="1"/>
  <c r="E2296" i="140"/>
  <c r="AU79" i="139"/>
  <c r="AU141" i="139"/>
  <c r="AU86" i="139"/>
  <c r="AU136" i="139"/>
  <c r="E2325" i="140"/>
  <c r="AU144" i="139" l="1"/>
  <c r="AU130" i="139"/>
  <c r="AU110" i="139"/>
  <c r="E2344" i="140"/>
  <c r="AU67" i="139"/>
  <c r="E2312" i="140"/>
  <c r="E2341" i="140"/>
  <c r="AU76" i="139"/>
  <c r="E2320" i="140"/>
  <c r="E2338" i="140"/>
  <c r="E2336" i="140"/>
  <c r="AU88" i="139"/>
  <c r="AU85" i="139"/>
  <c r="E2334" i="140"/>
  <c r="AU90" i="139" l="1"/>
  <c r="AU74" i="139"/>
  <c r="AU13" i="139"/>
  <c r="AU151" i="139"/>
  <c r="AU22" i="139"/>
  <c r="AU94" i="139"/>
  <c r="AU114" i="139"/>
  <c r="AU71" i="139" l="1"/>
  <c r="E2438" i="140" l="1"/>
  <c r="D2438" i="140"/>
  <c r="E2352" i="140"/>
  <c r="E2196" i="140"/>
  <c r="AT27" i="139"/>
  <c r="AT79" i="139"/>
  <c r="AT105" i="139"/>
  <c r="AT58" i="139"/>
  <c r="AT67" i="139"/>
  <c r="E2232" i="140"/>
  <c r="AT94" i="139"/>
  <c r="AV153" i="139"/>
  <c r="AU153" i="139"/>
  <c r="AT153" i="139"/>
  <c r="AS153" i="139"/>
  <c r="AR153" i="139"/>
  <c r="AQ153" i="139"/>
  <c r="AP153" i="139"/>
  <c r="AO153" i="139"/>
  <c r="AN153" i="139"/>
  <c r="AM153" i="139"/>
  <c r="AL153" i="139"/>
  <c r="AK153" i="139"/>
  <c r="AH153" i="139"/>
  <c r="AG153" i="139"/>
  <c r="AF153" i="139"/>
  <c r="AE153" i="139"/>
  <c r="AD153" i="139"/>
  <c r="AC153" i="139"/>
  <c r="AB153" i="139"/>
  <c r="AA153" i="139"/>
  <c r="Z153" i="139"/>
  <c r="Y153" i="139"/>
  <c r="X153" i="139"/>
  <c r="W153" i="139"/>
  <c r="T153" i="139"/>
  <c r="S153" i="139"/>
  <c r="R153" i="139"/>
  <c r="Q153" i="139"/>
  <c r="P153" i="139"/>
  <c r="O153" i="139"/>
  <c r="N153" i="139"/>
  <c r="M153" i="139"/>
  <c r="L153" i="139"/>
  <c r="K153" i="139"/>
  <c r="J153" i="139"/>
  <c r="I153" i="139"/>
  <c r="F153" i="139"/>
  <c r="G153" i="139" s="1"/>
  <c r="DZ13" i="139"/>
  <c r="DM13" i="139"/>
  <c r="CZ13" i="139"/>
  <c r="CM13" i="139"/>
  <c r="BY13" i="139"/>
  <c r="BK13" i="139"/>
  <c r="AW13" i="139"/>
  <c r="AI13" i="139"/>
  <c r="U13" i="139"/>
  <c r="G13" i="139"/>
  <c r="DY150" i="139"/>
  <c r="DX153" i="139"/>
  <c r="DW153" i="139"/>
  <c r="DV153" i="139"/>
  <c r="DU153" i="139"/>
  <c r="DT153" i="139"/>
  <c r="DS150" i="139"/>
  <c r="DR150" i="139"/>
  <c r="DQ150" i="139"/>
  <c r="DP153" i="139"/>
  <c r="DO153" i="139"/>
  <c r="DN153" i="139"/>
  <c r="DL153" i="139"/>
  <c r="DK153" i="139"/>
  <c r="DJ150" i="139"/>
  <c r="DI150" i="139"/>
  <c r="DH150" i="139"/>
  <c r="DG153" i="139"/>
  <c r="DF153" i="139"/>
  <c r="DE153" i="139"/>
  <c r="DD153" i="139"/>
  <c r="DC153" i="139"/>
  <c r="DB150" i="139"/>
  <c r="DA153" i="139"/>
  <c r="CY153" i="139"/>
  <c r="CX153" i="139"/>
  <c r="CW153" i="139"/>
  <c r="CV153" i="139"/>
  <c r="CU150" i="139"/>
  <c r="CT150" i="139"/>
  <c r="CS150" i="139"/>
  <c r="CR153" i="139"/>
  <c r="CQ153" i="139"/>
  <c r="CP153" i="139"/>
  <c r="CO153" i="139"/>
  <c r="CN153" i="139"/>
  <c r="CL153" i="139"/>
  <c r="CK150" i="139"/>
  <c r="CJ153" i="139"/>
  <c r="CI153" i="139"/>
  <c r="CH153" i="139"/>
  <c r="CG153" i="139"/>
  <c r="CF153" i="139"/>
  <c r="CE153" i="139"/>
  <c r="CD150" i="139"/>
  <c r="CC150" i="139"/>
  <c r="CB153" i="139"/>
  <c r="BX153" i="139"/>
  <c r="BW153" i="139"/>
  <c r="BV153" i="139"/>
  <c r="BU153" i="139"/>
  <c r="BT150" i="139"/>
  <c r="BS150" i="139"/>
  <c r="BR153" i="139"/>
  <c r="BQ153" i="139"/>
  <c r="BP153" i="139"/>
  <c r="BO153" i="139"/>
  <c r="BN153" i="139"/>
  <c r="BM153" i="139"/>
  <c r="BJ153" i="139"/>
  <c r="BI150" i="139"/>
  <c r="BH153" i="139"/>
  <c r="BG150" i="139"/>
  <c r="BF150" i="139"/>
  <c r="BE153" i="139"/>
  <c r="BD153" i="139"/>
  <c r="BC153" i="139"/>
  <c r="BB153" i="139"/>
  <c r="BA150" i="139"/>
  <c r="AZ150" i="139"/>
  <c r="AW151" i="139"/>
  <c r="AI151" i="139"/>
  <c r="U151" i="139"/>
  <c r="G151" i="139"/>
  <c r="DL150" i="139"/>
  <c r="CB150" i="139"/>
  <c r="AV150" i="139"/>
  <c r="AU150" i="139"/>
  <c r="AT150" i="139"/>
  <c r="AS150" i="139"/>
  <c r="AR150" i="139"/>
  <c r="AQ150" i="139"/>
  <c r="AP150" i="139"/>
  <c r="AO150" i="139"/>
  <c r="AN150" i="139"/>
  <c r="AM150" i="139"/>
  <c r="AL150" i="139"/>
  <c r="AK150" i="139"/>
  <c r="AH150" i="139"/>
  <c r="AG150" i="139"/>
  <c r="AF150" i="139"/>
  <c r="AE150" i="139"/>
  <c r="AD150" i="139"/>
  <c r="AC150" i="139"/>
  <c r="AB150" i="139"/>
  <c r="AA150" i="139"/>
  <c r="Z150" i="139"/>
  <c r="Y150" i="139"/>
  <c r="X150" i="139"/>
  <c r="W150" i="139"/>
  <c r="T150" i="139"/>
  <c r="S150" i="139"/>
  <c r="R150" i="139"/>
  <c r="Q150" i="139"/>
  <c r="P150" i="139"/>
  <c r="O150" i="139"/>
  <c r="N150" i="139"/>
  <c r="M150" i="139"/>
  <c r="L150" i="139"/>
  <c r="K150" i="139"/>
  <c r="J150" i="139"/>
  <c r="I150" i="139"/>
  <c r="F150" i="139"/>
  <c r="G150" i="139" s="1"/>
  <c r="U153" i="139" l="1"/>
  <c r="AW153" i="139"/>
  <c r="AI153" i="139"/>
  <c r="DA150" i="139"/>
  <c r="CF150" i="139"/>
  <c r="CO150" i="139"/>
  <c r="BM150" i="139"/>
  <c r="DO150" i="139"/>
  <c r="BD150" i="139"/>
  <c r="CJ150" i="139"/>
  <c r="DW150" i="139"/>
  <c r="BH150" i="139"/>
  <c r="CL150" i="139"/>
  <c r="BN150" i="139"/>
  <c r="BR150" i="139"/>
  <c r="CW150" i="139"/>
  <c r="BV150" i="139"/>
  <c r="DF150" i="139"/>
  <c r="CQ150" i="139"/>
  <c r="BW150" i="139"/>
  <c r="D2352" i="140"/>
  <c r="DP150" i="139"/>
  <c r="CG150" i="139"/>
  <c r="CX150" i="139"/>
  <c r="DU150" i="139"/>
  <c r="DX150" i="139"/>
  <c r="DG150" i="139"/>
  <c r="BO150" i="139"/>
  <c r="BB150" i="139"/>
  <c r="CP150" i="139"/>
  <c r="DK150" i="139"/>
  <c r="BE150" i="139"/>
  <c r="CR150" i="139"/>
  <c r="CV150" i="139"/>
  <c r="DN150" i="139"/>
  <c r="CN150" i="139"/>
  <c r="DE150" i="139"/>
  <c r="DI153" i="139"/>
  <c r="CE150" i="139"/>
  <c r="CT153" i="139"/>
  <c r="BC150" i="139"/>
  <c r="BU150" i="139"/>
  <c r="BT153" i="139"/>
  <c r="CC153" i="139"/>
  <c r="DB153" i="139"/>
  <c r="DC150" i="139"/>
  <c r="DT150" i="139"/>
  <c r="DJ153" i="139"/>
  <c r="CK153" i="139"/>
  <c r="DV150" i="139"/>
  <c r="CS153" i="139"/>
  <c r="BQ150" i="139"/>
  <c r="AY150" i="139"/>
  <c r="BJ150" i="139"/>
  <c r="CY150" i="139"/>
  <c r="BS153" i="139"/>
  <c r="DH153" i="139"/>
  <c r="DQ153" i="139"/>
  <c r="CH150" i="139"/>
  <c r="DR153" i="139"/>
  <c r="BX150" i="139"/>
  <c r="CI150" i="139"/>
  <c r="DD150" i="139"/>
  <c r="CU153" i="139"/>
  <c r="DS153" i="139"/>
  <c r="DY153" i="139"/>
  <c r="CD153" i="139"/>
  <c r="BP150" i="139"/>
  <c r="CA150" i="139"/>
  <c r="BF153" i="139"/>
  <c r="BG153" i="139"/>
  <c r="BA153" i="139"/>
  <c r="BI153" i="139"/>
  <c r="CA153" i="139"/>
  <c r="U150" i="139"/>
  <c r="AW150" i="139"/>
  <c r="AI150" i="139"/>
  <c r="BK151" i="139"/>
  <c r="AT103" i="139"/>
  <c r="AT73" i="139"/>
  <c r="E2261" i="140"/>
  <c r="BY153" i="139" l="1"/>
  <c r="DM153" i="139"/>
  <c r="BK150" i="139"/>
  <c r="CZ153" i="139"/>
  <c r="DZ153" i="139"/>
  <c r="CM153" i="139"/>
  <c r="BK153" i="139"/>
  <c r="BY150" i="139"/>
  <c r="DZ150" i="139"/>
  <c r="CZ150" i="139"/>
  <c r="CM150" i="139"/>
  <c r="DM150" i="139"/>
  <c r="AT88" i="139"/>
  <c r="E2229" i="140"/>
  <c r="AT90" i="139"/>
  <c r="E2216" i="140"/>
  <c r="AT154" i="139"/>
  <c r="AS154" i="139"/>
  <c r="AR154" i="139"/>
  <c r="AQ154" i="139"/>
  <c r="AP154" i="139"/>
  <c r="AO154" i="139"/>
  <c r="AN154" i="139"/>
  <c r="AM154" i="139"/>
  <c r="AL154" i="139"/>
  <c r="AK154" i="139"/>
  <c r="AH154" i="139"/>
  <c r="AG154" i="139"/>
  <c r="AF154" i="139"/>
  <c r="AE154" i="139"/>
  <c r="AD154" i="139"/>
  <c r="AC154" i="139"/>
  <c r="AB154" i="139"/>
  <c r="AA154" i="139"/>
  <c r="Z154" i="139"/>
  <c r="Y154" i="139"/>
  <c r="X154" i="139"/>
  <c r="W154" i="139"/>
  <c r="T154" i="139"/>
  <c r="S154" i="139"/>
  <c r="R154" i="139"/>
  <c r="Q154" i="139"/>
  <c r="P154" i="139"/>
  <c r="O154" i="139"/>
  <c r="N154" i="139"/>
  <c r="M154" i="139"/>
  <c r="L154" i="139"/>
  <c r="K154" i="139"/>
  <c r="J154" i="139"/>
  <c r="I154" i="139"/>
  <c r="F154" i="139"/>
  <c r="G154" i="139" s="1"/>
  <c r="DZ15" i="139"/>
  <c r="DM15" i="139"/>
  <c r="CZ15" i="139"/>
  <c r="CM15" i="139"/>
  <c r="BY15" i="139"/>
  <c r="AI15" i="139"/>
  <c r="U15" i="139"/>
  <c r="G15" i="139"/>
  <c r="U154" i="139" l="1"/>
  <c r="AI154" i="139"/>
  <c r="DY154" i="139"/>
  <c r="DX154" i="139"/>
  <c r="DW154" i="139"/>
  <c r="DV154" i="139"/>
  <c r="DU154" i="139"/>
  <c r="DT154" i="139"/>
  <c r="DS154" i="139"/>
  <c r="DR154" i="139"/>
  <c r="DQ154" i="139"/>
  <c r="DP154" i="139"/>
  <c r="DO154" i="139"/>
  <c r="DN154" i="139"/>
  <c r="DL154" i="139"/>
  <c r="DK154" i="139"/>
  <c r="DJ154" i="139"/>
  <c r="DI154" i="139"/>
  <c r="DH154" i="139"/>
  <c r="DG154" i="139"/>
  <c r="DF154" i="139"/>
  <c r="DE154" i="139"/>
  <c r="DD154" i="139"/>
  <c r="DC154" i="139"/>
  <c r="DB154" i="139"/>
  <c r="DA154" i="139"/>
  <c r="CY154" i="139"/>
  <c r="CX154" i="139"/>
  <c r="CW154" i="139"/>
  <c r="CV154" i="139"/>
  <c r="CU154" i="139"/>
  <c r="CT154" i="139"/>
  <c r="CS154" i="139"/>
  <c r="CR154" i="139"/>
  <c r="CQ154" i="139"/>
  <c r="CP154" i="139"/>
  <c r="CO154" i="139"/>
  <c r="CN154" i="139"/>
  <c r="CL154" i="139"/>
  <c r="CK154" i="139"/>
  <c r="CJ154" i="139"/>
  <c r="CI154" i="139"/>
  <c r="CH154" i="139"/>
  <c r="CG154" i="139"/>
  <c r="CF154" i="139"/>
  <c r="CE154" i="139"/>
  <c r="CD154" i="139"/>
  <c r="CC154" i="139"/>
  <c r="CB154" i="139"/>
  <c r="CA154" i="139"/>
  <c r="BX154" i="139"/>
  <c r="BW154" i="139"/>
  <c r="BV154" i="139"/>
  <c r="BU154" i="139"/>
  <c r="BT154" i="139"/>
  <c r="BS154" i="139"/>
  <c r="BR154" i="139"/>
  <c r="BQ154" i="139"/>
  <c r="BP154" i="139"/>
  <c r="BO154" i="139"/>
  <c r="BN154" i="139"/>
  <c r="BM154" i="139"/>
  <c r="BJ154" i="139"/>
  <c r="U149" i="139"/>
  <c r="G149" i="139"/>
  <c r="BY154" i="139" l="1"/>
  <c r="CZ154" i="139"/>
  <c r="DZ154" i="139"/>
  <c r="CM154" i="139"/>
  <c r="DM154" i="139"/>
  <c r="G147" i="139"/>
  <c r="BY149" i="139"/>
  <c r="BK149" i="139"/>
  <c r="U147" i="139"/>
  <c r="AW147" i="139"/>
  <c r="AW149" i="139"/>
  <c r="CM149" i="139"/>
  <c r="BY147" i="139" l="1"/>
  <c r="BK147" i="139"/>
  <c r="AT86" i="139"/>
  <c r="AT91" i="139"/>
  <c r="AT76" i="139"/>
  <c r="AT22" i="139" l="1"/>
  <c r="AS67" i="139" l="1"/>
  <c r="E2146" i="140"/>
  <c r="AS73" i="139"/>
  <c r="AS79" i="139"/>
  <c r="AS86" i="139"/>
  <c r="AS43" i="139"/>
  <c r="E2127" i="140"/>
  <c r="AS58" i="139" l="1"/>
  <c r="E2143" i="140"/>
  <c r="DZ120" i="139" l="1"/>
  <c r="DM120" i="139"/>
  <c r="CZ120" i="139"/>
  <c r="CM120" i="139"/>
  <c r="BY120" i="139"/>
  <c r="BK120" i="139"/>
  <c r="AW120" i="139"/>
  <c r="AI120" i="139"/>
  <c r="U120" i="139"/>
  <c r="G120" i="139"/>
  <c r="AS88" i="139"/>
  <c r="E2155" i="140"/>
  <c r="E2154" i="140"/>
  <c r="E2169" i="140"/>
  <c r="E2167" i="140"/>
  <c r="AS94" i="139"/>
  <c r="AS74" i="139"/>
  <c r="AS144" i="139"/>
  <c r="AS91" i="139"/>
  <c r="E2152" i="140" l="1"/>
  <c r="BV288" i="58"/>
  <c r="BV274" i="58"/>
  <c r="BV260" i="58"/>
  <c r="BV246" i="58"/>
  <c r="BV231" i="58"/>
  <c r="BV216" i="58"/>
  <c r="BV202" i="58"/>
  <c r="BV188" i="58"/>
  <c r="BV174" i="58"/>
  <c r="BV160" i="58"/>
  <c r="BV145" i="58"/>
  <c r="BV130" i="58"/>
  <c r="BV116" i="58"/>
  <c r="BV102" i="58"/>
  <c r="BV88" i="58"/>
  <c r="BV74" i="58"/>
  <c r="BV60" i="58"/>
  <c r="BV46" i="58"/>
  <c r="BV32" i="58"/>
  <c r="BV18" i="58"/>
  <c r="BV4" i="58"/>
  <c r="E2050" i="140"/>
  <c r="AR67" i="139"/>
  <c r="AR86" i="139"/>
  <c r="AR73" i="139"/>
  <c r="AR58" i="139"/>
  <c r="AR79" i="139"/>
  <c r="E2093" i="140"/>
  <c r="AR105" i="139"/>
  <c r="E2106" i="140"/>
  <c r="AR130" i="139"/>
  <c r="AR110" i="139"/>
  <c r="E2059" i="140"/>
  <c r="E2073" i="140"/>
  <c r="AR76" i="139"/>
  <c r="E2087" i="140"/>
  <c r="AR42" i="139"/>
  <c r="E2030" i="140"/>
  <c r="E2080" i="140"/>
  <c r="AO77" i="139"/>
  <c r="AO79" i="139"/>
  <c r="AR133" i="139"/>
  <c r="BV3" i="58" l="1"/>
  <c r="E2081" i="140"/>
  <c r="AR74" i="139"/>
  <c r="E2035" i="140"/>
  <c r="E2062" i="140"/>
  <c r="E2063" i="140"/>
  <c r="AR107" i="139"/>
  <c r="E2070" i="140"/>
  <c r="E2272" i="140" l="1"/>
  <c r="D2272" i="140"/>
  <c r="E2192" i="140"/>
  <c r="D2192" i="140"/>
  <c r="I26" i="156" l="1"/>
  <c r="H26" i="156"/>
  <c r="BB150" i="58"/>
  <c r="U150" i="58"/>
  <c r="E2109" i="140"/>
  <c r="AQ79" i="139"/>
  <c r="AQ58" i="139"/>
  <c r="E1956" i="140"/>
  <c r="E1968" i="140"/>
  <c r="AQ74" i="139"/>
  <c r="AQ107" i="139"/>
  <c r="DZ105" i="139"/>
  <c r="DM105" i="139"/>
  <c r="CZ105" i="139"/>
  <c r="CM105" i="139"/>
  <c r="BY105" i="139"/>
  <c r="BK105" i="139"/>
  <c r="AW105" i="139"/>
  <c r="AI105" i="139"/>
  <c r="U105" i="139"/>
  <c r="G105" i="139"/>
  <c r="AQ67" i="139"/>
  <c r="E1971" i="140"/>
  <c r="AQ130" i="139"/>
  <c r="AQ73" i="139"/>
  <c r="AQ88" i="139"/>
  <c r="E1997" i="140"/>
  <c r="AQ144" i="139"/>
  <c r="F14" i="168"/>
  <c r="B27" i="168"/>
  <c r="T64" i="168"/>
  <c r="T67" i="168" s="1"/>
  <c r="P67" i="168"/>
  <c r="P70" i="168"/>
  <c r="P76" i="168"/>
  <c r="B33" i="168"/>
  <c r="B32" i="168"/>
  <c r="B31" i="168"/>
  <c r="AQ86" i="139"/>
  <c r="U67" i="168"/>
  <c r="B35" i="168"/>
  <c r="F30" i="168"/>
  <c r="B30" i="168"/>
  <c r="B29" i="168"/>
  <c r="B28" i="168"/>
  <c r="B26" i="168"/>
  <c r="B25" i="168"/>
  <c r="B24" i="168"/>
  <c r="B23" i="168"/>
  <c r="B22" i="168"/>
  <c r="B21" i="168"/>
  <c r="B20" i="168"/>
  <c r="B19" i="168"/>
  <c r="B18" i="168"/>
  <c r="B17" i="168"/>
  <c r="B16" i="168"/>
  <c r="B15" i="168"/>
  <c r="B14" i="168"/>
  <c r="B13" i="168"/>
  <c r="B12" i="168"/>
  <c r="B11" i="168"/>
  <c r="B10" i="168"/>
  <c r="B9" i="168"/>
  <c r="B8" i="168"/>
  <c r="B7" i="168"/>
  <c r="B6" i="168"/>
  <c r="B5" i="168"/>
  <c r="B4" i="168"/>
  <c r="AP79" i="139"/>
  <c r="D2109" i="140" l="1"/>
  <c r="E2013" i="140"/>
  <c r="P77" i="168"/>
  <c r="D2013" i="140"/>
  <c r="I146" i="165"/>
  <c r="I145" i="165"/>
  <c r="I144" i="165"/>
  <c r="I143" i="165"/>
  <c r="I141" i="165"/>
  <c r="I140" i="165"/>
  <c r="I139" i="165"/>
  <c r="I138" i="165"/>
  <c r="I136" i="165"/>
  <c r="I135" i="165"/>
  <c r="I134" i="165"/>
  <c r="I133" i="165"/>
  <c r="I131" i="165"/>
  <c r="I130" i="165"/>
  <c r="I129" i="165"/>
  <c r="I128" i="165"/>
  <c r="I126" i="165"/>
  <c r="I125" i="165"/>
  <c r="I124" i="165"/>
  <c r="I123" i="165"/>
  <c r="I121" i="165"/>
  <c r="I120" i="165"/>
  <c r="I119" i="165"/>
  <c r="I118" i="165"/>
  <c r="I116" i="165"/>
  <c r="I115" i="165"/>
  <c r="I114" i="165"/>
  <c r="I113" i="165"/>
  <c r="I111" i="165"/>
  <c r="I110" i="165"/>
  <c r="I109" i="165"/>
  <c r="I108" i="165"/>
  <c r="I106" i="165"/>
  <c r="I105" i="165"/>
  <c r="I104" i="165"/>
  <c r="I103" i="165"/>
  <c r="I101" i="165"/>
  <c r="I100" i="165"/>
  <c r="I99" i="165"/>
  <c r="I98" i="165"/>
  <c r="I96" i="165"/>
  <c r="I95" i="165"/>
  <c r="I94" i="165"/>
  <c r="I93" i="165"/>
  <c r="I91" i="165"/>
  <c r="I90" i="165"/>
  <c r="I89" i="165"/>
  <c r="I88" i="165"/>
  <c r="I86" i="165"/>
  <c r="I85" i="165"/>
  <c r="I84" i="165"/>
  <c r="I83" i="165"/>
  <c r="I81" i="165"/>
  <c r="I80" i="165"/>
  <c r="I79" i="165"/>
  <c r="I78" i="165"/>
  <c r="I76" i="165"/>
  <c r="I75" i="165"/>
  <c r="I74" i="165"/>
  <c r="I73" i="165"/>
  <c r="I71" i="165"/>
  <c r="I70" i="165"/>
  <c r="I69" i="165"/>
  <c r="I68" i="165"/>
  <c r="I66" i="165"/>
  <c r="I65" i="165"/>
  <c r="I64" i="165"/>
  <c r="I63" i="165"/>
  <c r="I61" i="165"/>
  <c r="I60" i="165"/>
  <c r="I59" i="165"/>
  <c r="I58" i="165"/>
  <c r="I56" i="165"/>
  <c r="I55" i="165"/>
  <c r="I54" i="165"/>
  <c r="I53" i="165"/>
  <c r="I51" i="165"/>
  <c r="I50" i="165"/>
  <c r="I49" i="165"/>
  <c r="I48" i="165"/>
  <c r="I46" i="165"/>
  <c r="I45" i="165"/>
  <c r="I44" i="165"/>
  <c r="I43" i="165"/>
  <c r="I41" i="165"/>
  <c r="I40" i="165"/>
  <c r="I39" i="165"/>
  <c r="I38" i="165"/>
  <c r="I36" i="165"/>
  <c r="I35" i="165"/>
  <c r="I34" i="165"/>
  <c r="I33" i="165"/>
  <c r="I31" i="165"/>
  <c r="I30" i="165"/>
  <c r="I29" i="165"/>
  <c r="I28" i="165"/>
  <c r="I26" i="165"/>
  <c r="I25" i="165"/>
  <c r="I24" i="165"/>
  <c r="I23" i="165"/>
  <c r="I21" i="165"/>
  <c r="I20" i="165"/>
  <c r="I19" i="165"/>
  <c r="I18" i="165"/>
  <c r="I16" i="165"/>
  <c r="I15" i="165"/>
  <c r="I14" i="165"/>
  <c r="I13" i="165"/>
  <c r="I11" i="165"/>
  <c r="I10" i="165"/>
  <c r="I9" i="165"/>
  <c r="I8" i="165"/>
  <c r="I6" i="165"/>
  <c r="I5" i="165"/>
  <c r="I4" i="165"/>
  <c r="I3" i="165"/>
  <c r="AP40" i="139" l="1"/>
  <c r="DZ73" i="139"/>
  <c r="DM73" i="139"/>
  <c r="CZ73" i="139"/>
  <c r="CM73" i="139"/>
  <c r="BY73" i="139"/>
  <c r="BK73" i="139"/>
  <c r="AO73" i="139"/>
  <c r="AM73" i="139"/>
  <c r="AK73" i="139"/>
  <c r="AE73" i="139"/>
  <c r="AC73" i="139"/>
  <c r="U73" i="139"/>
  <c r="G73" i="139"/>
  <c r="E1895" i="140"/>
  <c r="AP67" i="139"/>
  <c r="AP110" i="139"/>
  <c r="E1920" i="140"/>
  <c r="AP58" i="139"/>
  <c r="AP130" i="139"/>
  <c r="AP90" i="139"/>
  <c r="AI73" i="139" l="1"/>
  <c r="AW73" i="139"/>
  <c r="AP94" i="139"/>
  <c r="K1836" i="140"/>
  <c r="AP88" i="139"/>
  <c r="AP144" i="139"/>
  <c r="E1892" i="140"/>
  <c r="E1934" i="140"/>
  <c r="AO58" i="139"/>
  <c r="E1798" i="140"/>
  <c r="E1812" i="140"/>
  <c r="AO67" i="139"/>
  <c r="AO88" i="139"/>
  <c r="AO93" i="139"/>
  <c r="AO59" i="139"/>
  <c r="AO110" i="139"/>
  <c r="D1934" i="140" l="1"/>
  <c r="E1820" i="140"/>
  <c r="AO107" i="139"/>
  <c r="AO65" i="139"/>
  <c r="E1823" i="140"/>
  <c r="AO94" i="139"/>
  <c r="AO114" i="139" l="1"/>
  <c r="AO54" i="139"/>
  <c r="AO130" i="139"/>
  <c r="AO91" i="139"/>
  <c r="AO133" i="139"/>
  <c r="A27" i="159"/>
  <c r="H191" i="106"/>
  <c r="H192" i="106"/>
  <c r="H193" i="106"/>
  <c r="H194" i="106"/>
  <c r="H195" i="106"/>
  <c r="I196" i="106"/>
  <c r="J196" i="106"/>
  <c r="K196" i="106"/>
  <c r="L196" i="106"/>
  <c r="M196" i="106"/>
  <c r="N196" i="106"/>
  <c r="O196" i="106"/>
  <c r="P196" i="106"/>
  <c r="Q196" i="106"/>
  <c r="R196" i="106"/>
  <c r="S196" i="106"/>
  <c r="T196" i="106"/>
  <c r="U196" i="106"/>
  <c r="V196" i="106"/>
  <c r="W196" i="106"/>
  <c r="X196" i="106"/>
  <c r="Y196" i="106"/>
  <c r="Z196" i="106"/>
  <c r="H197" i="106"/>
  <c r="D1858" i="140"/>
  <c r="E1858" i="140"/>
  <c r="E1763" i="140"/>
  <c r="E1739" i="140"/>
  <c r="E1759" i="140"/>
  <c r="D1763" i="140"/>
  <c r="AN94" i="139"/>
  <c r="AN58" i="139"/>
  <c r="AN110" i="139"/>
  <c r="AN22" i="139"/>
  <c r="E1762" i="140"/>
  <c r="H196" i="106" l="1"/>
  <c r="AN67" i="139"/>
  <c r="E1742" i="140"/>
  <c r="DZ82" i="139"/>
  <c r="DM82" i="139"/>
  <c r="CZ82" i="139"/>
  <c r="CM82" i="139"/>
  <c r="BY82" i="139"/>
  <c r="BK82" i="139"/>
  <c r="AW82" i="139"/>
  <c r="AI82" i="139"/>
  <c r="U82" i="139"/>
  <c r="G82" i="139"/>
  <c r="AN79" i="139"/>
  <c r="K3" i="159" l="1"/>
  <c r="K2" i="159"/>
  <c r="K4" i="159"/>
  <c r="E1752" i="140" l="1"/>
  <c r="AN111" i="139"/>
  <c r="AN130" i="139"/>
  <c r="AN66" i="139"/>
  <c r="AN112" i="139"/>
  <c r="AN77" i="139"/>
  <c r="DZ127" i="139"/>
  <c r="DM127" i="139"/>
  <c r="CZ127" i="139"/>
  <c r="CM127" i="139"/>
  <c r="BY127" i="139"/>
  <c r="BK127" i="139"/>
  <c r="AW127" i="139"/>
  <c r="AI127" i="139"/>
  <c r="U127" i="139"/>
  <c r="G127" i="139"/>
  <c r="E1744" i="140"/>
  <c r="AN114" i="139" l="1"/>
  <c r="E1672" i="140" l="1"/>
  <c r="AM77" i="139"/>
  <c r="BB156" i="58"/>
  <c r="U156" i="58"/>
  <c r="E1776" i="140"/>
  <c r="E1670" i="140"/>
  <c r="AM58" i="139"/>
  <c r="AM130" i="139"/>
  <c r="AM91" i="139"/>
  <c r="AM67" i="139"/>
  <c r="T156" i="58" l="1"/>
  <c r="D1776" i="140"/>
  <c r="E1668" i="140"/>
  <c r="AM107" i="139" l="1"/>
  <c r="AM79" i="139"/>
  <c r="AM133" i="139"/>
  <c r="DZ119" i="139"/>
  <c r="DM119" i="139"/>
  <c r="CZ119" i="139"/>
  <c r="CM119" i="139"/>
  <c r="BY119" i="139"/>
  <c r="BK119" i="139"/>
  <c r="AW119" i="139"/>
  <c r="AI119" i="139"/>
  <c r="U119" i="139"/>
  <c r="G119" i="139"/>
  <c r="AM94" i="139"/>
  <c r="DZ122" i="139" l="1"/>
  <c r="DM122" i="139"/>
  <c r="CZ122" i="139"/>
  <c r="CM122" i="139"/>
  <c r="BY122" i="139"/>
  <c r="BK122" i="139"/>
  <c r="AW122" i="139"/>
  <c r="AI122" i="139"/>
  <c r="U122" i="139"/>
  <c r="G122" i="139"/>
  <c r="DZ118" i="139"/>
  <c r="DM118" i="139"/>
  <c r="CZ118" i="139"/>
  <c r="CM118" i="139"/>
  <c r="BY118" i="139"/>
  <c r="BK118" i="139"/>
  <c r="AW118" i="139"/>
  <c r="AI118" i="139"/>
  <c r="U118" i="139"/>
  <c r="G118" i="139"/>
  <c r="DZ117" i="139"/>
  <c r="DM117" i="139"/>
  <c r="CZ117" i="139"/>
  <c r="CM117" i="139"/>
  <c r="BY117" i="139"/>
  <c r="BK117" i="139"/>
  <c r="AW117" i="139"/>
  <c r="AG117" i="139"/>
  <c r="AG115" i="139" s="1"/>
  <c r="AE117" i="139"/>
  <c r="U117" i="139"/>
  <c r="G117" i="139"/>
  <c r="DZ116" i="139"/>
  <c r="DM116" i="139"/>
  <c r="CZ116" i="139"/>
  <c r="CM116" i="139"/>
  <c r="BY116" i="139"/>
  <c r="BK116" i="139"/>
  <c r="AW116" i="139"/>
  <c r="AI116" i="139"/>
  <c r="U116" i="139"/>
  <c r="G116" i="139"/>
  <c r="DY115" i="139"/>
  <c r="DX115" i="139"/>
  <c r="DW115" i="139"/>
  <c r="DV115" i="139"/>
  <c r="DU115" i="139"/>
  <c r="DT115" i="139"/>
  <c r="DS115" i="139"/>
  <c r="DR115" i="139"/>
  <c r="DQ115" i="139"/>
  <c r="DP115" i="139"/>
  <c r="DO115" i="139"/>
  <c r="DN115" i="139"/>
  <c r="DL115" i="139"/>
  <c r="DK115" i="139"/>
  <c r="DJ115" i="139"/>
  <c r="DI115" i="139"/>
  <c r="DH115" i="139"/>
  <c r="DG115" i="139"/>
  <c r="DF115" i="139"/>
  <c r="DE115" i="139"/>
  <c r="DD115" i="139"/>
  <c r="DC115" i="139"/>
  <c r="DB115" i="139"/>
  <c r="DA115" i="139"/>
  <c r="CY115" i="139"/>
  <c r="CX115" i="139"/>
  <c r="CW115" i="139"/>
  <c r="CV115" i="139"/>
  <c r="CU115" i="139"/>
  <c r="CT115" i="139"/>
  <c r="CS115" i="139"/>
  <c r="CR115" i="139"/>
  <c r="CQ115" i="139"/>
  <c r="CP115" i="139"/>
  <c r="CO115" i="139"/>
  <c r="CN115" i="139"/>
  <c r="CL115" i="139"/>
  <c r="CK115" i="139"/>
  <c r="CJ115" i="139"/>
  <c r="CI115" i="139"/>
  <c r="CH115" i="139"/>
  <c r="CG115" i="139"/>
  <c r="CF115" i="139"/>
  <c r="CE115" i="139"/>
  <c r="CD115" i="139"/>
  <c r="CC115" i="139"/>
  <c r="CB115" i="139"/>
  <c r="CA115" i="139"/>
  <c r="BX115" i="139"/>
  <c r="BW115" i="139"/>
  <c r="BV115" i="139"/>
  <c r="BU115" i="139"/>
  <c r="BT115" i="139"/>
  <c r="BS115" i="139"/>
  <c r="BR115" i="139"/>
  <c r="BQ115" i="139"/>
  <c r="BP115" i="139"/>
  <c r="BO115" i="139"/>
  <c r="BN115" i="139"/>
  <c r="BM115" i="139"/>
  <c r="BJ115" i="139"/>
  <c r="BI115" i="139"/>
  <c r="BH115" i="139"/>
  <c r="BG115" i="139"/>
  <c r="BF115" i="139"/>
  <c r="BE115" i="139"/>
  <c r="BD115" i="139"/>
  <c r="BC115" i="139"/>
  <c r="BB115" i="139"/>
  <c r="BA115" i="139"/>
  <c r="AZ115" i="139"/>
  <c r="AY115" i="139"/>
  <c r="AV115" i="139"/>
  <c r="AU115" i="139"/>
  <c r="AT115" i="139"/>
  <c r="AS115" i="139"/>
  <c r="AR115" i="139"/>
  <c r="AQ115" i="139"/>
  <c r="AP115" i="139"/>
  <c r="AO115" i="139"/>
  <c r="AN115" i="139"/>
  <c r="AM115" i="139"/>
  <c r="AL115" i="139"/>
  <c r="AK115" i="139"/>
  <c r="AH115" i="139"/>
  <c r="AF115" i="139"/>
  <c r="AE115" i="139"/>
  <c r="AD115" i="139"/>
  <c r="AC115" i="139"/>
  <c r="AB115" i="139"/>
  <c r="AA115" i="139"/>
  <c r="Z115" i="139"/>
  <c r="Y115" i="139"/>
  <c r="X115" i="139"/>
  <c r="W115" i="139"/>
  <c r="T115" i="139"/>
  <c r="S115" i="139"/>
  <c r="R115" i="139"/>
  <c r="Q115" i="139"/>
  <c r="P115" i="139"/>
  <c r="O115" i="139"/>
  <c r="N115" i="139"/>
  <c r="M115" i="139"/>
  <c r="L115" i="139"/>
  <c r="K115" i="139"/>
  <c r="J115" i="139"/>
  <c r="I115" i="139"/>
  <c r="F115" i="139"/>
  <c r="G115" i="139" s="1"/>
  <c r="AI117" i="139" l="1"/>
  <c r="U115" i="139"/>
  <c r="CM115" i="139"/>
  <c r="CZ115" i="139"/>
  <c r="DZ115" i="139"/>
  <c r="DM115" i="139"/>
  <c r="AI115" i="139"/>
  <c r="AW115" i="139"/>
  <c r="BK115" i="139"/>
  <c r="BY115" i="139"/>
  <c r="AM88" i="139"/>
  <c r="E1657" i="140"/>
  <c r="AM39" i="139"/>
  <c r="E1673" i="140"/>
  <c r="AM146" i="139"/>
  <c r="AL67" i="139"/>
  <c r="E1599" i="140"/>
  <c r="AL58" i="139"/>
  <c r="AL79" i="139"/>
  <c r="E1587" i="140"/>
  <c r="AL59" i="139"/>
  <c r="E1618" i="140"/>
  <c r="AL130" i="139"/>
  <c r="M4" i="159"/>
  <c r="L4" i="159"/>
  <c r="M3" i="159"/>
  <c r="L3" i="159"/>
  <c r="M2" i="159"/>
  <c r="L2" i="159"/>
  <c r="A89" i="159"/>
  <c r="A88" i="159"/>
  <c r="A87" i="159"/>
  <c r="A86" i="159"/>
  <c r="A85" i="159"/>
  <c r="A84" i="159"/>
  <c r="A83" i="159"/>
  <c r="A82" i="159"/>
  <c r="A81" i="159"/>
  <c r="A80" i="159"/>
  <c r="A79" i="159"/>
  <c r="A78" i="159"/>
  <c r="A77" i="159"/>
  <c r="A76" i="159"/>
  <c r="A75" i="159"/>
  <c r="A74" i="159"/>
  <c r="A73" i="159"/>
  <c r="A72" i="159"/>
  <c r="A71" i="159"/>
  <c r="A70" i="159"/>
  <c r="A69" i="159"/>
  <c r="A68" i="159"/>
  <c r="A67" i="159"/>
  <c r="A66" i="159"/>
  <c r="A65" i="159"/>
  <c r="A64" i="159"/>
  <c r="A63" i="159"/>
  <c r="A62" i="159"/>
  <c r="A61" i="159"/>
  <c r="A60" i="159"/>
  <c r="A59" i="159"/>
  <c r="A58" i="159"/>
  <c r="A57" i="159"/>
  <c r="A56" i="159"/>
  <c r="A55" i="159"/>
  <c r="A54" i="159"/>
  <c r="A53" i="159"/>
  <c r="A52" i="159"/>
  <c r="A51" i="159"/>
  <c r="A50" i="159"/>
  <c r="A49" i="159"/>
  <c r="A48" i="159"/>
  <c r="A47" i="159"/>
  <c r="A46" i="159"/>
  <c r="A45" i="159"/>
  <c r="A44" i="159"/>
  <c r="A43" i="159"/>
  <c r="A42" i="159"/>
  <c r="A41" i="159"/>
  <c r="A40" i="159"/>
  <c r="A39" i="159"/>
  <c r="A38" i="159"/>
  <c r="A37" i="159"/>
  <c r="A36" i="159"/>
  <c r="A35" i="159"/>
  <c r="A34" i="159"/>
  <c r="A33" i="159"/>
  <c r="A32" i="159"/>
  <c r="A31" i="159"/>
  <c r="A30" i="159"/>
  <c r="A29" i="159"/>
  <c r="A28" i="159"/>
  <c r="A26" i="159"/>
  <c r="A25" i="159"/>
  <c r="A24" i="159"/>
  <c r="A23" i="159"/>
  <c r="A22" i="159"/>
  <c r="A21" i="159"/>
  <c r="A20" i="159"/>
  <c r="A19" i="159"/>
  <c r="A18" i="159"/>
  <c r="A17" i="159"/>
  <c r="A16" i="159"/>
  <c r="A15" i="159"/>
  <c r="A14" i="159"/>
  <c r="A13" i="159"/>
  <c r="A12" i="159"/>
  <c r="A11" i="159"/>
  <c r="A10" i="159"/>
  <c r="A9" i="159"/>
  <c r="A8" i="159"/>
  <c r="A7" i="159"/>
  <c r="A6" i="159"/>
  <c r="A5" i="159"/>
  <c r="A4" i="159"/>
  <c r="A3" i="159"/>
  <c r="A2" i="159"/>
  <c r="E1597" i="140"/>
  <c r="AL86" i="139"/>
  <c r="AL94" i="139"/>
  <c r="E1705" i="140" l="1"/>
  <c r="D1705" i="140"/>
  <c r="AL39" i="139"/>
  <c r="E1615" i="140"/>
  <c r="AL65" i="139"/>
  <c r="AL88" i="139"/>
  <c r="AL77" i="139"/>
  <c r="E1601" i="140"/>
  <c r="DZ125" i="139" l="1"/>
  <c r="DM125" i="139"/>
  <c r="CZ125" i="139"/>
  <c r="CM125" i="139"/>
  <c r="BY125" i="139"/>
  <c r="BK125" i="139"/>
  <c r="AW125" i="139"/>
  <c r="AI125" i="139"/>
  <c r="U125" i="139"/>
  <c r="G125" i="139"/>
  <c r="AL146" i="139" l="1"/>
  <c r="E1634" i="140"/>
  <c r="E1530" i="140"/>
  <c r="AK58" i="139"/>
  <c r="AK85" i="139"/>
  <c r="E1559" i="140"/>
  <c r="E1519" i="140"/>
  <c r="AK136" i="139"/>
  <c r="AK79" i="139"/>
  <c r="AK130" i="139"/>
  <c r="AK94" i="139"/>
  <c r="AK86" i="139"/>
  <c r="AK146" i="139"/>
  <c r="E1532" i="140"/>
  <c r="AK67" i="139"/>
  <c r="AK91" i="139"/>
  <c r="AK144" i="139"/>
  <c r="E1547" i="140"/>
  <c r="E1546" i="140"/>
  <c r="AK39" i="139"/>
  <c r="E1545" i="140"/>
  <c r="D1634" i="140" l="1"/>
  <c r="J23" i="156"/>
  <c r="J22" i="156"/>
  <c r="J21" i="156"/>
  <c r="J20" i="156"/>
  <c r="J19" i="156"/>
  <c r="J18" i="156"/>
  <c r="J17" i="156"/>
  <c r="J16" i="156"/>
  <c r="J15" i="156"/>
  <c r="J14" i="156"/>
  <c r="L4" i="156" s="1"/>
  <c r="J13" i="156"/>
  <c r="J12" i="156"/>
  <c r="U17" i="58"/>
  <c r="U16" i="58"/>
  <c r="U15" i="58"/>
  <c r="U14" i="58"/>
  <c r="AC4" i="58"/>
  <c r="U12" i="58"/>
  <c r="U11" i="58"/>
  <c r="U10" i="58"/>
  <c r="U9" i="58"/>
  <c r="U8" i="58"/>
  <c r="U7" i="58"/>
  <c r="U6" i="58"/>
  <c r="U5" i="58"/>
  <c r="U29" i="58"/>
  <c r="U26" i="58"/>
  <c r="U25" i="58"/>
  <c r="U24" i="58"/>
  <c r="U23" i="58"/>
  <c r="U22" i="58"/>
  <c r="U21" i="58"/>
  <c r="U20" i="58"/>
  <c r="U19" i="58"/>
  <c r="U45" i="58"/>
  <c r="U44" i="58"/>
  <c r="U43" i="58"/>
  <c r="U42" i="58"/>
  <c r="AC32" i="58"/>
  <c r="U40" i="58"/>
  <c r="U39" i="58"/>
  <c r="U38" i="58"/>
  <c r="U37" i="58"/>
  <c r="U36" i="58"/>
  <c r="U35" i="58"/>
  <c r="U34" i="58"/>
  <c r="U33" i="58"/>
  <c r="E22" i="156"/>
  <c r="U59" i="58"/>
  <c r="U58" i="58"/>
  <c r="U57" i="58"/>
  <c r="U54" i="58"/>
  <c r="U53" i="58"/>
  <c r="U52" i="58"/>
  <c r="U51" i="58"/>
  <c r="U50" i="58"/>
  <c r="U49" i="58"/>
  <c r="U48" i="58"/>
  <c r="U47" i="58"/>
  <c r="AK88" i="139"/>
  <c r="E1537" i="140"/>
  <c r="U70" i="58"/>
  <c r="AC69" i="58"/>
  <c r="U69" i="58" s="1"/>
  <c r="U87" i="58"/>
  <c r="U86" i="58"/>
  <c r="U85" i="58"/>
  <c r="U82" i="58"/>
  <c r="U81" i="58"/>
  <c r="U80" i="58"/>
  <c r="U79" i="58"/>
  <c r="U78" i="58"/>
  <c r="U77" i="58"/>
  <c r="U76" i="58"/>
  <c r="U75" i="58"/>
  <c r="AC83" i="58"/>
  <c r="U83" i="58" s="1"/>
  <c r="E21" i="156"/>
  <c r="E19" i="156"/>
  <c r="E18" i="156"/>
  <c r="E17" i="156"/>
  <c r="E16" i="156"/>
  <c r="E15" i="156"/>
  <c r="E14" i="156"/>
  <c r="E13" i="156"/>
  <c r="E12" i="156"/>
  <c r="E10" i="156"/>
  <c r="E9" i="156"/>
  <c r="E8" i="156"/>
  <c r="D5" i="156"/>
  <c r="E4" i="156"/>
  <c r="BB31" i="58"/>
  <c r="BB30" i="58"/>
  <c r="BB29" i="58"/>
  <c r="BB28" i="58"/>
  <c r="BB27" i="58"/>
  <c r="BB26" i="58"/>
  <c r="BB25" i="58"/>
  <c r="BB24" i="58"/>
  <c r="L24" i="58"/>
  <c r="M24" i="58" s="1"/>
  <c r="O24" i="58" s="1"/>
  <c r="BB23" i="58"/>
  <c r="L23" i="58"/>
  <c r="M23" i="58" s="1"/>
  <c r="O23" i="58" s="1"/>
  <c r="BB22" i="58"/>
  <c r="L22" i="58"/>
  <c r="M22" i="58" s="1"/>
  <c r="O22" i="58" s="1"/>
  <c r="BB21" i="58"/>
  <c r="L21" i="58"/>
  <c r="M21" i="58" s="1"/>
  <c r="O21" i="58" s="1"/>
  <c r="BB20" i="58"/>
  <c r="L20" i="58"/>
  <c r="M20" i="58" s="1"/>
  <c r="O20" i="58" s="1"/>
  <c r="BB19" i="58"/>
  <c r="L19" i="58"/>
  <c r="M19" i="58" s="1"/>
  <c r="O19" i="58" s="1"/>
  <c r="BU18" i="58"/>
  <c r="BT18" i="58"/>
  <c r="BS18" i="58"/>
  <c r="BR18" i="58"/>
  <c r="BQ18" i="58"/>
  <c r="BP18" i="58"/>
  <c r="BO18" i="58"/>
  <c r="BN18" i="58"/>
  <c r="BM18" i="58"/>
  <c r="BL18" i="58"/>
  <c r="BK18" i="58"/>
  <c r="BJ18" i="58"/>
  <c r="BI18" i="58"/>
  <c r="BH18" i="58"/>
  <c r="BF18" i="58"/>
  <c r="BD18" i="58"/>
  <c r="BC18" i="58"/>
  <c r="AZ18" i="58"/>
  <c r="AX18" i="58"/>
  <c r="AW18" i="58"/>
  <c r="AV18" i="58"/>
  <c r="AU18" i="58"/>
  <c r="AT18" i="58"/>
  <c r="AS18" i="58"/>
  <c r="AR18" i="58"/>
  <c r="AQ18" i="58"/>
  <c r="AP18" i="58"/>
  <c r="AO18" i="58"/>
  <c r="AN18" i="58"/>
  <c r="AL18" i="58"/>
  <c r="AK18" i="58"/>
  <c r="AJ18" i="58"/>
  <c r="AI18" i="58"/>
  <c r="AH18" i="58"/>
  <c r="AF18" i="58"/>
  <c r="AE18" i="58"/>
  <c r="BB17" i="58"/>
  <c r="BB16" i="58"/>
  <c r="BB15" i="58"/>
  <c r="BB14" i="58"/>
  <c r="BB13" i="58"/>
  <c r="BB12" i="58"/>
  <c r="BB11" i="58"/>
  <c r="BB10" i="58"/>
  <c r="L10" i="58"/>
  <c r="M10" i="58" s="1"/>
  <c r="O10" i="58" s="1"/>
  <c r="BB9" i="58"/>
  <c r="L9" i="58"/>
  <c r="M9" i="58" s="1"/>
  <c r="O9" i="58" s="1"/>
  <c r="BB8" i="58"/>
  <c r="L8" i="58"/>
  <c r="M8" i="58" s="1"/>
  <c r="O8" i="58" s="1"/>
  <c r="BB7" i="58"/>
  <c r="L7" i="58"/>
  <c r="M7" i="58" s="1"/>
  <c r="O7" i="58" s="1"/>
  <c r="BB6" i="58"/>
  <c r="L6" i="58"/>
  <c r="M6" i="58" s="1"/>
  <c r="O6" i="58" s="1"/>
  <c r="BB5" i="58"/>
  <c r="L5" i="58"/>
  <c r="M5" i="58" s="1"/>
  <c r="O5" i="58" s="1"/>
  <c r="BU4" i="58"/>
  <c r="BT4" i="58"/>
  <c r="BS4" i="58"/>
  <c r="BR4" i="58"/>
  <c r="BQ4" i="58"/>
  <c r="BP4" i="58"/>
  <c r="BO4" i="58"/>
  <c r="BN4" i="58"/>
  <c r="BM4" i="58"/>
  <c r="BL4" i="58"/>
  <c r="BK4" i="58"/>
  <c r="BJ4" i="58"/>
  <c r="BI4" i="58"/>
  <c r="BH4" i="58"/>
  <c r="BF4" i="58"/>
  <c r="BD4" i="58"/>
  <c r="BC4" i="58"/>
  <c r="AZ4" i="58"/>
  <c r="AX4" i="58"/>
  <c r="AW4" i="58"/>
  <c r="AV4" i="58"/>
  <c r="AU4" i="58"/>
  <c r="AT4" i="58"/>
  <c r="AS4" i="58"/>
  <c r="AR4" i="58"/>
  <c r="AQ4" i="58"/>
  <c r="AP4" i="58"/>
  <c r="AO4" i="58"/>
  <c r="AN4" i="58"/>
  <c r="AL4" i="58"/>
  <c r="AK4" i="58"/>
  <c r="AJ4" i="58"/>
  <c r="AI4" i="58"/>
  <c r="AH4" i="58"/>
  <c r="AF4" i="58"/>
  <c r="AE4" i="58"/>
  <c r="W4" i="58"/>
  <c r="V4" i="58"/>
  <c r="BB59" i="58"/>
  <c r="BB58" i="58"/>
  <c r="BB57" i="58"/>
  <c r="BB56" i="58"/>
  <c r="BB55" i="58"/>
  <c r="BB54" i="58"/>
  <c r="BB53" i="58"/>
  <c r="BB52" i="58"/>
  <c r="L52" i="58"/>
  <c r="M52" i="58" s="1"/>
  <c r="O52" i="58" s="1"/>
  <c r="BB51" i="58"/>
  <c r="L51" i="58"/>
  <c r="M51" i="58" s="1"/>
  <c r="O51" i="58" s="1"/>
  <c r="BB50" i="58"/>
  <c r="L50" i="58"/>
  <c r="M50" i="58" s="1"/>
  <c r="O50" i="58" s="1"/>
  <c r="BB49" i="58"/>
  <c r="L49" i="58"/>
  <c r="M49" i="58" s="1"/>
  <c r="O49" i="58" s="1"/>
  <c r="BB48" i="58"/>
  <c r="L48" i="58"/>
  <c r="M48" i="58" s="1"/>
  <c r="O48" i="58" s="1"/>
  <c r="BB47" i="58"/>
  <c r="L47" i="58"/>
  <c r="M47" i="58" s="1"/>
  <c r="O47" i="58" s="1"/>
  <c r="BU46" i="58"/>
  <c r="BT46" i="58"/>
  <c r="BS46" i="58"/>
  <c r="BR46" i="58"/>
  <c r="BQ46" i="58"/>
  <c r="BP46" i="58"/>
  <c r="BO46" i="58"/>
  <c r="BN46" i="58"/>
  <c r="BM46" i="58"/>
  <c r="BL46" i="58"/>
  <c r="BK46" i="58"/>
  <c r="BJ46" i="58"/>
  <c r="BI46" i="58"/>
  <c r="BH46" i="58"/>
  <c r="BF46" i="58"/>
  <c r="BD46" i="58"/>
  <c r="BC46" i="58"/>
  <c r="AZ46" i="58"/>
  <c r="AX46" i="58"/>
  <c r="AW46" i="58"/>
  <c r="AV46" i="58"/>
  <c r="AU46" i="58"/>
  <c r="AT46" i="58"/>
  <c r="AS46" i="58"/>
  <c r="AR46" i="58"/>
  <c r="AQ46" i="58"/>
  <c r="AP46" i="58"/>
  <c r="AO46" i="58"/>
  <c r="AN46" i="58"/>
  <c r="AL46" i="58"/>
  <c r="AK46" i="58"/>
  <c r="AJ46" i="58"/>
  <c r="AI46" i="58"/>
  <c r="AH46" i="58"/>
  <c r="AF46" i="58"/>
  <c r="AE46" i="58"/>
  <c r="BB45" i="58"/>
  <c r="BB44" i="58"/>
  <c r="BB43" i="58"/>
  <c r="BB42" i="58"/>
  <c r="BB41" i="58"/>
  <c r="BB40" i="58"/>
  <c r="BB39" i="58"/>
  <c r="BB38" i="58"/>
  <c r="L38" i="58"/>
  <c r="M38" i="58" s="1"/>
  <c r="O38" i="58" s="1"/>
  <c r="BB37" i="58"/>
  <c r="L37" i="58"/>
  <c r="M37" i="58" s="1"/>
  <c r="O37" i="58" s="1"/>
  <c r="BB36" i="58"/>
  <c r="L36" i="58"/>
  <c r="M36" i="58" s="1"/>
  <c r="O36" i="58" s="1"/>
  <c r="BB35" i="58"/>
  <c r="L35" i="58"/>
  <c r="M35" i="58" s="1"/>
  <c r="O35" i="58" s="1"/>
  <c r="BB34" i="58"/>
  <c r="L34" i="58"/>
  <c r="M34" i="58" s="1"/>
  <c r="O34" i="58" s="1"/>
  <c r="BB33" i="58"/>
  <c r="L33" i="58"/>
  <c r="M33" i="58" s="1"/>
  <c r="O33" i="58" s="1"/>
  <c r="BU32" i="58"/>
  <c r="BT32" i="58"/>
  <c r="BS32" i="58"/>
  <c r="BR32" i="58"/>
  <c r="BQ32" i="58"/>
  <c r="BP32" i="58"/>
  <c r="BO32" i="58"/>
  <c r="BN32" i="58"/>
  <c r="BM32" i="58"/>
  <c r="BL32" i="58"/>
  <c r="BK32" i="58"/>
  <c r="BJ32" i="58"/>
  <c r="BI32" i="58"/>
  <c r="BH32" i="58"/>
  <c r="BF32" i="58"/>
  <c r="BD32" i="58"/>
  <c r="BC32" i="58"/>
  <c r="AZ32" i="58"/>
  <c r="AX32" i="58"/>
  <c r="AW32" i="58"/>
  <c r="AV32" i="58"/>
  <c r="AU32" i="58"/>
  <c r="AT32" i="58"/>
  <c r="AS32" i="58"/>
  <c r="AR32" i="58"/>
  <c r="AQ32" i="58"/>
  <c r="AP32" i="58"/>
  <c r="AO32" i="58"/>
  <c r="AN32" i="58"/>
  <c r="AL32" i="58"/>
  <c r="AK32" i="58"/>
  <c r="AJ32" i="58"/>
  <c r="AI32" i="58"/>
  <c r="AH32" i="58"/>
  <c r="AF32" i="58"/>
  <c r="AE32" i="58"/>
  <c r="W32" i="58"/>
  <c r="V32" i="58"/>
  <c r="BB73" i="58"/>
  <c r="U73" i="58"/>
  <c r="BB72" i="58"/>
  <c r="U72" i="58"/>
  <c r="BB71" i="58"/>
  <c r="U71" i="58"/>
  <c r="BB70" i="58"/>
  <c r="BB69" i="58"/>
  <c r="BB68" i="58"/>
  <c r="U68" i="58"/>
  <c r="BB67" i="58"/>
  <c r="U67" i="58"/>
  <c r="BB66" i="58"/>
  <c r="U66" i="58"/>
  <c r="L66" i="58"/>
  <c r="M66" i="58" s="1"/>
  <c r="O66" i="58" s="1"/>
  <c r="BB65" i="58"/>
  <c r="U65" i="58"/>
  <c r="L65" i="58"/>
  <c r="M65" i="58" s="1"/>
  <c r="O65" i="58" s="1"/>
  <c r="BB64" i="58"/>
  <c r="U64" i="58"/>
  <c r="L64" i="58"/>
  <c r="M64" i="58" s="1"/>
  <c r="O64" i="58" s="1"/>
  <c r="BB63" i="58"/>
  <c r="U63" i="58"/>
  <c r="L63" i="58"/>
  <c r="M63" i="58" s="1"/>
  <c r="O63" i="58" s="1"/>
  <c r="BB62" i="58"/>
  <c r="U62" i="58"/>
  <c r="L62" i="58"/>
  <c r="M62" i="58" s="1"/>
  <c r="O62" i="58" s="1"/>
  <c r="BB61" i="58"/>
  <c r="U61" i="58"/>
  <c r="L61" i="58"/>
  <c r="M61" i="58" s="1"/>
  <c r="O61" i="58" s="1"/>
  <c r="BU60" i="58"/>
  <c r="BT60" i="58"/>
  <c r="BS60" i="58"/>
  <c r="BR60" i="58"/>
  <c r="BQ60" i="58"/>
  <c r="BP60" i="58"/>
  <c r="BO60" i="58"/>
  <c r="BN60" i="58"/>
  <c r="BM60" i="58"/>
  <c r="BL60" i="58"/>
  <c r="BK60" i="58"/>
  <c r="BJ60" i="58"/>
  <c r="BI60" i="58"/>
  <c r="BH60" i="58"/>
  <c r="BF60" i="58"/>
  <c r="BD60" i="58"/>
  <c r="BC60" i="58"/>
  <c r="AZ60" i="58"/>
  <c r="AX60" i="58"/>
  <c r="AW60" i="58"/>
  <c r="AV60" i="58"/>
  <c r="AU60" i="58"/>
  <c r="AT60" i="58"/>
  <c r="AS60" i="58"/>
  <c r="AR60" i="58"/>
  <c r="AQ60" i="58"/>
  <c r="AP60" i="58"/>
  <c r="AO60" i="58"/>
  <c r="AN60" i="58"/>
  <c r="AL60" i="58"/>
  <c r="AK60" i="58"/>
  <c r="AJ60" i="58"/>
  <c r="AI60" i="58"/>
  <c r="AH60" i="58"/>
  <c r="AF60" i="58"/>
  <c r="AE60" i="58"/>
  <c r="W60" i="58"/>
  <c r="V60" i="58"/>
  <c r="BB87" i="58"/>
  <c r="BB86" i="58"/>
  <c r="BB85" i="58"/>
  <c r="BB84" i="58"/>
  <c r="BB83" i="58"/>
  <c r="BB82" i="58"/>
  <c r="BB81" i="58"/>
  <c r="BB80" i="58"/>
  <c r="L80" i="58"/>
  <c r="M80" i="58" s="1"/>
  <c r="O80" i="58" s="1"/>
  <c r="BB79" i="58"/>
  <c r="L79" i="58"/>
  <c r="M79" i="58" s="1"/>
  <c r="O79" i="58" s="1"/>
  <c r="BB78" i="58"/>
  <c r="L78" i="58"/>
  <c r="M78" i="58" s="1"/>
  <c r="O78" i="58" s="1"/>
  <c r="BB77" i="58"/>
  <c r="L77" i="58"/>
  <c r="M77" i="58" s="1"/>
  <c r="O77" i="58" s="1"/>
  <c r="BB76" i="58"/>
  <c r="L76" i="58"/>
  <c r="M76" i="58" s="1"/>
  <c r="O76" i="58" s="1"/>
  <c r="BB75" i="58"/>
  <c r="L75" i="58"/>
  <c r="M75" i="58" s="1"/>
  <c r="O75" i="58" s="1"/>
  <c r="BU74" i="58"/>
  <c r="BT74" i="58"/>
  <c r="BS74" i="58"/>
  <c r="BR74" i="58"/>
  <c r="BQ74" i="58"/>
  <c r="BP74" i="58"/>
  <c r="BO74" i="58"/>
  <c r="BN74" i="58"/>
  <c r="BM74" i="58"/>
  <c r="BL74" i="58"/>
  <c r="BK74" i="58"/>
  <c r="BJ74" i="58"/>
  <c r="BI74" i="58"/>
  <c r="BH74" i="58"/>
  <c r="BF74" i="58"/>
  <c r="BD74" i="58"/>
  <c r="BC74" i="58"/>
  <c r="AZ74" i="58"/>
  <c r="AX74" i="58"/>
  <c r="AW74" i="58"/>
  <c r="AV74" i="58"/>
  <c r="AU74" i="58"/>
  <c r="AT74" i="58"/>
  <c r="AS74" i="58"/>
  <c r="AR74" i="58"/>
  <c r="AQ74" i="58"/>
  <c r="AP74" i="58"/>
  <c r="AO74" i="58"/>
  <c r="AN74" i="58"/>
  <c r="AL74" i="58"/>
  <c r="AK74" i="58"/>
  <c r="AJ74" i="58"/>
  <c r="AI74" i="58"/>
  <c r="AH74" i="58"/>
  <c r="AF74" i="58"/>
  <c r="AE74" i="58"/>
  <c r="AC97" i="58"/>
  <c r="AD32" i="58" l="1"/>
  <c r="T20" i="58"/>
  <c r="AC74" i="58"/>
  <c r="T61" i="58"/>
  <c r="T66" i="58"/>
  <c r="T70" i="58"/>
  <c r="T63" i="58"/>
  <c r="T78" i="58"/>
  <c r="T47" i="58"/>
  <c r="T57" i="58"/>
  <c r="T10" i="58"/>
  <c r="T58" i="58"/>
  <c r="T19" i="58"/>
  <c r="T29" i="58"/>
  <c r="T51" i="58"/>
  <c r="T48" i="58"/>
  <c r="T49" i="58"/>
  <c r="T59" i="58"/>
  <c r="T50" i="58"/>
  <c r="T52" i="58"/>
  <c r="T53" i="58"/>
  <c r="T54" i="58"/>
  <c r="T37" i="58"/>
  <c r="T45" i="58"/>
  <c r="T38" i="58"/>
  <c r="T39" i="58"/>
  <c r="T40" i="58"/>
  <c r="T33" i="58"/>
  <c r="T34" i="58"/>
  <c r="T42" i="58"/>
  <c r="T35" i="58"/>
  <c r="T43" i="58"/>
  <c r="T36" i="58"/>
  <c r="T44" i="58"/>
  <c r="T25" i="58"/>
  <c r="T26" i="58"/>
  <c r="T21" i="58"/>
  <c r="T22" i="58"/>
  <c r="T23" i="58"/>
  <c r="T24" i="58"/>
  <c r="T11" i="58"/>
  <c r="T12" i="58"/>
  <c r="T5" i="58"/>
  <c r="T6" i="58"/>
  <c r="T14" i="58"/>
  <c r="T7" i="58"/>
  <c r="T15" i="58"/>
  <c r="T8" i="58"/>
  <c r="T16" i="58"/>
  <c r="T9" i="58"/>
  <c r="T17" i="58"/>
  <c r="T64" i="58"/>
  <c r="T67" i="58"/>
  <c r="T71" i="58"/>
  <c r="T62" i="58"/>
  <c r="T68" i="58"/>
  <c r="T72" i="58"/>
  <c r="T65" i="58"/>
  <c r="T69" i="58"/>
  <c r="T73" i="58"/>
  <c r="T79" i="58"/>
  <c r="T80" i="58"/>
  <c r="T81" i="58"/>
  <c r="T83" i="58"/>
  <c r="T82" i="58"/>
  <c r="T75" i="58"/>
  <c r="T85" i="58"/>
  <c r="T76" i="58"/>
  <c r="T86" i="58"/>
  <c r="T77" i="58"/>
  <c r="T87" i="58"/>
  <c r="AD4" i="58"/>
  <c r="U13" i="58"/>
  <c r="T13" i="58" s="1"/>
  <c r="E23" i="156"/>
  <c r="W18" i="58"/>
  <c r="U41" i="58"/>
  <c r="T41" i="58" s="1"/>
  <c r="W46" i="58"/>
  <c r="E20" i="156"/>
  <c r="V74" i="58"/>
  <c r="W74" i="58"/>
  <c r="U84" i="58"/>
  <c r="T84" i="58" s="1"/>
  <c r="BB4" i="58"/>
  <c r="BB32" i="58"/>
  <c r="BB18" i="58"/>
  <c r="BB46" i="58"/>
  <c r="AC60" i="58"/>
  <c r="AD60" i="58"/>
  <c r="U32" i="58" l="1"/>
  <c r="U4" i="58"/>
  <c r="AD46" i="58"/>
  <c r="U56" i="58"/>
  <c r="T56" i="58" s="1"/>
  <c r="AD74" i="58"/>
  <c r="AC46" i="58"/>
  <c r="U55" i="58"/>
  <c r="T55" i="58" s="1"/>
  <c r="U28" i="58"/>
  <c r="T28" i="58" s="1"/>
  <c r="AD18" i="58"/>
  <c r="U27" i="58"/>
  <c r="T27" i="58" s="1"/>
  <c r="AC18" i="58"/>
  <c r="U31" i="58"/>
  <c r="T31" i="58" s="1"/>
  <c r="V18" i="58"/>
  <c r="U30" i="58"/>
  <c r="T30" i="58" s="1"/>
  <c r="V46" i="58"/>
  <c r="T4" i="58"/>
  <c r="T32" i="58"/>
  <c r="U46" i="58" l="1"/>
  <c r="T46" i="58"/>
  <c r="U18" i="58"/>
  <c r="T18" i="58"/>
  <c r="D1564" i="140"/>
  <c r="E1564" i="140"/>
  <c r="BU288" i="58"/>
  <c r="BU274" i="58"/>
  <c r="BU260" i="58"/>
  <c r="BU246" i="58"/>
  <c r="BU231" i="58"/>
  <c r="BU216" i="58"/>
  <c r="BU202" i="58"/>
  <c r="BU188" i="58"/>
  <c r="BU174" i="58"/>
  <c r="BU160" i="58"/>
  <c r="BU145" i="58"/>
  <c r="BU130" i="58"/>
  <c r="BU116" i="58"/>
  <c r="BU102" i="58"/>
  <c r="BU88" i="58"/>
  <c r="AX288" i="58"/>
  <c r="AX274" i="58"/>
  <c r="AX260" i="58"/>
  <c r="AX246" i="58"/>
  <c r="AX231" i="58"/>
  <c r="AX216" i="58"/>
  <c r="AX202" i="58"/>
  <c r="AX188" i="58"/>
  <c r="AX174" i="58"/>
  <c r="AX160" i="58"/>
  <c r="AX145" i="58"/>
  <c r="AX130" i="58"/>
  <c r="AX116" i="58"/>
  <c r="AX102" i="58"/>
  <c r="AX88" i="58"/>
  <c r="AW288" i="58"/>
  <c r="AW274" i="58"/>
  <c r="AW260" i="58"/>
  <c r="AW246" i="58"/>
  <c r="AW231" i="58"/>
  <c r="AW216" i="58"/>
  <c r="AW202" i="58"/>
  <c r="AW188" i="58"/>
  <c r="AW174" i="58"/>
  <c r="AW160" i="58"/>
  <c r="AW145" i="58"/>
  <c r="AW130" i="58"/>
  <c r="AW116" i="58"/>
  <c r="AW102" i="58"/>
  <c r="AW88" i="58"/>
  <c r="AV288" i="58"/>
  <c r="AV274" i="58"/>
  <c r="AV260" i="58"/>
  <c r="AV246" i="58"/>
  <c r="AV231" i="58"/>
  <c r="AV216" i="58"/>
  <c r="AV202" i="58"/>
  <c r="AV188" i="58"/>
  <c r="AV174" i="58"/>
  <c r="AV160" i="58"/>
  <c r="AV145" i="58"/>
  <c r="AV130" i="58"/>
  <c r="AV116" i="58"/>
  <c r="AV102" i="58"/>
  <c r="AV88" i="58"/>
  <c r="AH144" i="139"/>
  <c r="AH130" i="139"/>
  <c r="AH79" i="139"/>
  <c r="Y30" i="156"/>
  <c r="X30" i="156" s="1"/>
  <c r="Y29" i="156"/>
  <c r="X29" i="156" s="1"/>
  <c r="Y28" i="156"/>
  <c r="X28" i="156" s="1"/>
  <c r="Y27" i="156"/>
  <c r="X27" i="156" s="1"/>
  <c r="Y26" i="156"/>
  <c r="X26" i="156" s="1"/>
  <c r="Y25" i="156"/>
  <c r="X25" i="156" s="1"/>
  <c r="Y24" i="156"/>
  <c r="X24" i="156" s="1"/>
  <c r="AH58" i="139"/>
  <c r="AH94" i="139"/>
  <c r="AH110" i="139"/>
  <c r="E1458" i="140"/>
  <c r="H239" i="106"/>
  <c r="Z238" i="106"/>
  <c r="Y238" i="106"/>
  <c r="X238" i="106"/>
  <c r="W238" i="106"/>
  <c r="V238" i="106"/>
  <c r="U238" i="106"/>
  <c r="T238" i="106"/>
  <c r="S238" i="106"/>
  <c r="R238" i="106"/>
  <c r="Q238" i="106"/>
  <c r="P238" i="106"/>
  <c r="O238" i="106"/>
  <c r="N238" i="106"/>
  <c r="M238" i="106"/>
  <c r="L238" i="106"/>
  <c r="K238" i="106"/>
  <c r="J238" i="106"/>
  <c r="I238" i="106"/>
  <c r="H237" i="106"/>
  <c r="H236" i="106"/>
  <c r="H235" i="106"/>
  <c r="H234" i="106"/>
  <c r="H233" i="106"/>
  <c r="H253" i="106"/>
  <c r="Z252" i="106"/>
  <c r="Y252" i="106"/>
  <c r="X252" i="106"/>
  <c r="W252" i="106"/>
  <c r="V252" i="106"/>
  <c r="U252" i="106"/>
  <c r="T252" i="106"/>
  <c r="S252" i="106"/>
  <c r="R252" i="106"/>
  <c r="Q252" i="106"/>
  <c r="P252" i="106"/>
  <c r="O252" i="106"/>
  <c r="N252" i="106"/>
  <c r="M252" i="106"/>
  <c r="L252" i="106"/>
  <c r="K252" i="106"/>
  <c r="J252" i="106"/>
  <c r="I252" i="106"/>
  <c r="H251" i="106"/>
  <c r="H250" i="106"/>
  <c r="H249" i="106"/>
  <c r="H248" i="106"/>
  <c r="H247" i="106"/>
  <c r="H246" i="106"/>
  <c r="Z245" i="106"/>
  <c r="Y245" i="106"/>
  <c r="X245" i="106"/>
  <c r="W245" i="106"/>
  <c r="V245" i="106"/>
  <c r="U245" i="106"/>
  <c r="T245" i="106"/>
  <c r="S245" i="106"/>
  <c r="R245" i="106"/>
  <c r="Q245" i="106"/>
  <c r="P245" i="106"/>
  <c r="O245" i="106"/>
  <c r="N245" i="106"/>
  <c r="M245" i="106"/>
  <c r="L245" i="106"/>
  <c r="K245" i="106"/>
  <c r="J245" i="106"/>
  <c r="I245" i="106"/>
  <c r="H244" i="106"/>
  <c r="H243" i="106"/>
  <c r="H242" i="106"/>
  <c r="H241" i="106"/>
  <c r="H240" i="106"/>
  <c r="H267" i="106"/>
  <c r="Z266" i="106"/>
  <c r="Y266" i="106"/>
  <c r="X266" i="106"/>
  <c r="W266" i="106"/>
  <c r="V266" i="106"/>
  <c r="U266" i="106"/>
  <c r="T266" i="106"/>
  <c r="S266" i="106"/>
  <c r="R266" i="106"/>
  <c r="Q266" i="106"/>
  <c r="P266" i="106"/>
  <c r="O266" i="106"/>
  <c r="N266" i="106"/>
  <c r="M266" i="106"/>
  <c r="L266" i="106"/>
  <c r="K266" i="106"/>
  <c r="J266" i="106"/>
  <c r="I266" i="106"/>
  <c r="H265" i="106"/>
  <c r="H264" i="106"/>
  <c r="H263" i="106"/>
  <c r="H262" i="106"/>
  <c r="H261" i="106"/>
  <c r="H260" i="106"/>
  <c r="Z259" i="106"/>
  <c r="Y259" i="106"/>
  <c r="X259" i="106"/>
  <c r="W259" i="106"/>
  <c r="V259" i="106"/>
  <c r="U259" i="106"/>
  <c r="T259" i="106"/>
  <c r="S259" i="106"/>
  <c r="R259" i="106"/>
  <c r="Q259" i="106"/>
  <c r="P259" i="106"/>
  <c r="O259" i="106"/>
  <c r="N259" i="106"/>
  <c r="M259" i="106"/>
  <c r="L259" i="106"/>
  <c r="K259" i="106"/>
  <c r="J259" i="106"/>
  <c r="I259" i="106"/>
  <c r="H258" i="106"/>
  <c r="H257" i="106"/>
  <c r="H256" i="106"/>
  <c r="H255" i="106"/>
  <c r="H254" i="106"/>
  <c r="H274" i="106"/>
  <c r="Z273" i="106"/>
  <c r="Y273" i="106"/>
  <c r="X273" i="106"/>
  <c r="W273" i="106"/>
  <c r="V273" i="106"/>
  <c r="U273" i="106"/>
  <c r="T273" i="106"/>
  <c r="S273" i="106"/>
  <c r="R273" i="106"/>
  <c r="Q273" i="106"/>
  <c r="P273" i="106"/>
  <c r="O273" i="106"/>
  <c r="N273" i="106"/>
  <c r="M273" i="106"/>
  <c r="L273" i="106"/>
  <c r="K273" i="106"/>
  <c r="J273" i="106"/>
  <c r="I273" i="106"/>
  <c r="H272" i="106"/>
  <c r="H271" i="106"/>
  <c r="H270" i="106"/>
  <c r="H269" i="106"/>
  <c r="H268" i="106"/>
  <c r="H190" i="106"/>
  <c r="Z189" i="106"/>
  <c r="Y189" i="106"/>
  <c r="X189" i="106"/>
  <c r="W189" i="106"/>
  <c r="V189" i="106"/>
  <c r="U189" i="106"/>
  <c r="T189" i="106"/>
  <c r="S189" i="106"/>
  <c r="R189" i="106"/>
  <c r="Q189" i="106"/>
  <c r="P189" i="106"/>
  <c r="O189" i="106"/>
  <c r="N189" i="106"/>
  <c r="M189" i="106"/>
  <c r="L189" i="106"/>
  <c r="K189" i="106"/>
  <c r="J189" i="106"/>
  <c r="I189" i="106"/>
  <c r="H188" i="106"/>
  <c r="H187" i="106"/>
  <c r="H186" i="106"/>
  <c r="H185" i="106"/>
  <c r="H184" i="106"/>
  <c r="H183" i="106"/>
  <c r="Z182" i="106"/>
  <c r="Y182" i="106"/>
  <c r="X182" i="106"/>
  <c r="W182" i="106"/>
  <c r="V182" i="106"/>
  <c r="U182" i="106"/>
  <c r="T182" i="106"/>
  <c r="S182" i="106"/>
  <c r="R182" i="106"/>
  <c r="Q182" i="106"/>
  <c r="P182" i="106"/>
  <c r="O182" i="106"/>
  <c r="N182" i="106"/>
  <c r="M182" i="106"/>
  <c r="L182" i="106"/>
  <c r="K182" i="106"/>
  <c r="J182" i="106"/>
  <c r="I182" i="106"/>
  <c r="H181" i="106"/>
  <c r="H180" i="106"/>
  <c r="H179" i="106"/>
  <c r="H178" i="106"/>
  <c r="H177" i="106"/>
  <c r="H204" i="106"/>
  <c r="Z203" i="106"/>
  <c r="Y203" i="106"/>
  <c r="X203" i="106"/>
  <c r="W203" i="106"/>
  <c r="V203" i="106"/>
  <c r="U203" i="106"/>
  <c r="T203" i="106"/>
  <c r="S203" i="106"/>
  <c r="R203" i="106"/>
  <c r="Q203" i="106"/>
  <c r="P203" i="106"/>
  <c r="O203" i="106"/>
  <c r="N203" i="106"/>
  <c r="M203" i="106"/>
  <c r="L203" i="106"/>
  <c r="K203" i="106"/>
  <c r="J203" i="106"/>
  <c r="I203" i="106"/>
  <c r="H202" i="106"/>
  <c r="H201" i="106"/>
  <c r="H200" i="106"/>
  <c r="H199" i="106"/>
  <c r="H198" i="106"/>
  <c r="BU3" i="58" l="1"/>
  <c r="AX3" i="58"/>
  <c r="AV3" i="58"/>
  <c r="AW3" i="58"/>
  <c r="H238" i="106"/>
  <c r="H245" i="106"/>
  <c r="H252" i="106"/>
  <c r="H266" i="106"/>
  <c r="H259" i="106"/>
  <c r="H273" i="106"/>
  <c r="H182" i="106"/>
  <c r="H189" i="106"/>
  <c r="H203" i="106"/>
  <c r="AF38" i="156" l="1"/>
  <c r="AF37" i="156"/>
  <c r="AF36" i="156"/>
  <c r="AF35" i="156"/>
  <c r="AF34" i="156"/>
  <c r="AF33" i="156"/>
  <c r="AF32" i="156"/>
  <c r="AF31" i="156"/>
  <c r="AF30" i="156"/>
  <c r="AF29" i="156"/>
  <c r="AF28" i="156"/>
  <c r="AF27" i="156"/>
  <c r="AF26" i="156"/>
  <c r="AF25" i="156"/>
  <c r="AF24" i="156"/>
  <c r="AF23" i="156"/>
  <c r="AF22" i="156"/>
  <c r="AF21" i="156"/>
  <c r="AF20" i="156"/>
  <c r="AF19" i="156"/>
  <c r="AF18" i="156"/>
  <c r="AF17" i="156"/>
  <c r="AF16" i="156"/>
  <c r="AF15" i="156"/>
  <c r="AF14" i="156"/>
  <c r="AF13" i="156"/>
  <c r="AF12" i="156"/>
  <c r="AF11" i="156"/>
  <c r="AF10" i="156"/>
  <c r="AF9" i="156"/>
  <c r="AF8" i="156"/>
  <c r="AF7" i="156"/>
  <c r="AF6" i="156"/>
  <c r="AF5" i="156"/>
  <c r="AF4" i="156"/>
  <c r="AF3" i="156"/>
  <c r="AC38" i="156"/>
  <c r="AC37" i="156"/>
  <c r="AC36" i="156"/>
  <c r="AC35" i="156"/>
  <c r="AC34" i="156"/>
  <c r="AC33" i="156"/>
  <c r="AC32" i="156"/>
  <c r="AC31" i="156"/>
  <c r="AC30" i="156"/>
  <c r="AC29" i="156"/>
  <c r="AC28" i="156"/>
  <c r="AC27" i="156"/>
  <c r="AC26" i="156"/>
  <c r="AC25" i="156"/>
  <c r="AC24" i="156"/>
  <c r="AC23" i="156"/>
  <c r="AC22" i="156"/>
  <c r="AC21" i="156"/>
  <c r="AC20" i="156"/>
  <c r="AC19" i="156"/>
  <c r="AC18" i="156"/>
  <c r="AC17" i="156"/>
  <c r="AC16" i="156"/>
  <c r="AC15" i="156"/>
  <c r="AC14" i="156"/>
  <c r="AC13" i="156"/>
  <c r="AC12" i="156"/>
  <c r="AC11" i="156"/>
  <c r="AC10" i="156"/>
  <c r="AC9" i="156"/>
  <c r="AC8" i="156"/>
  <c r="AC7" i="156"/>
  <c r="AC6" i="156"/>
  <c r="AC5" i="156"/>
  <c r="AC4" i="156"/>
  <c r="AC3" i="156"/>
  <c r="Y23" i="156"/>
  <c r="Y22" i="156"/>
  <c r="Y21" i="156"/>
  <c r="G143" i="139"/>
  <c r="AI143" i="139"/>
  <c r="E1450" i="140"/>
  <c r="E1497" i="140" s="1"/>
  <c r="F36" i="134"/>
  <c r="F35" i="134"/>
  <c r="F34" i="134"/>
  <c r="F33" i="134"/>
  <c r="F32" i="134"/>
  <c r="F31" i="134"/>
  <c r="F30" i="134"/>
  <c r="F29" i="134"/>
  <c r="F28" i="134"/>
  <c r="F27" i="134"/>
  <c r="F26" i="134"/>
  <c r="F25" i="134"/>
  <c r="F24" i="134"/>
  <c r="F23" i="134"/>
  <c r="F22" i="134"/>
  <c r="F21" i="134"/>
  <c r="F20" i="134"/>
  <c r="F19" i="134"/>
  <c r="F18" i="134"/>
  <c r="F17" i="134"/>
  <c r="F16" i="134"/>
  <c r="F15" i="134"/>
  <c r="F14" i="134"/>
  <c r="AH96" i="139"/>
  <c r="DZ143" i="139"/>
  <c r="DM143" i="139"/>
  <c r="CZ143" i="139"/>
  <c r="CM143" i="139"/>
  <c r="BY143" i="139"/>
  <c r="BK143" i="139"/>
  <c r="AW143" i="139"/>
  <c r="U143" i="139"/>
  <c r="AH107" i="139"/>
  <c r="AI52" i="139"/>
  <c r="AH91" i="139"/>
  <c r="DZ52" i="139"/>
  <c r="DM52" i="139"/>
  <c r="CZ52" i="139"/>
  <c r="CM52" i="139"/>
  <c r="BY52" i="139"/>
  <c r="BK52" i="139"/>
  <c r="AW52" i="139"/>
  <c r="U52" i="139"/>
  <c r="G52" i="139"/>
  <c r="E1392" i="140"/>
  <c r="AG58" i="139"/>
  <c r="AG86" i="139"/>
  <c r="AG67" i="139"/>
  <c r="E1394" i="140"/>
  <c r="AG79" i="139"/>
  <c r="E1382" i="140"/>
  <c r="D1497" i="140" l="1"/>
  <c r="W21" i="156"/>
  <c r="X21" i="156"/>
  <c r="W22" i="156"/>
  <c r="X22" i="156"/>
  <c r="W23" i="156"/>
  <c r="X23" i="156"/>
  <c r="AC288" i="58" l="1"/>
  <c r="AC274" i="58"/>
  <c r="AC260" i="58"/>
  <c r="AC246" i="58"/>
  <c r="AC231" i="58"/>
  <c r="AC216" i="58"/>
  <c r="AC202" i="58"/>
  <c r="AC188" i="58"/>
  <c r="AC174" i="58"/>
  <c r="AC160" i="58"/>
  <c r="AC130" i="58"/>
  <c r="AC116" i="58"/>
  <c r="AC102" i="58"/>
  <c r="AC88" i="58"/>
  <c r="AG130" i="139"/>
  <c r="AG114" i="139"/>
  <c r="E1397" i="140"/>
  <c r="E1416" i="140" l="1"/>
  <c r="AF86" i="139"/>
  <c r="D1416" i="140" l="1"/>
  <c r="AF79" i="139"/>
  <c r="AF88" i="139"/>
  <c r="AF67" i="139"/>
  <c r="E1338" i="140"/>
  <c r="E1336" i="140"/>
  <c r="AF59" i="139"/>
  <c r="AF77" i="139"/>
  <c r="E1340" i="140"/>
  <c r="AF42" i="139"/>
  <c r="AF65" i="139"/>
  <c r="AF146" i="139"/>
  <c r="E1361" i="140" l="1"/>
  <c r="D1361" i="140"/>
  <c r="E1298" i="140" l="1"/>
  <c r="AE59" i="139"/>
  <c r="AE79" i="139"/>
  <c r="AE58" i="139"/>
  <c r="E1265" i="140"/>
  <c r="E1255" i="140"/>
  <c r="AE110" i="139"/>
  <c r="AE37" i="139"/>
  <c r="AE77" i="139"/>
  <c r="AE86" i="139" l="1"/>
  <c r="E1287" i="140"/>
  <c r="AE94" i="139"/>
  <c r="AE130" i="139"/>
  <c r="DZ84" i="139"/>
  <c r="DM84" i="139"/>
  <c r="CZ84" i="139"/>
  <c r="CM84" i="139"/>
  <c r="BY84" i="139"/>
  <c r="BK84" i="139"/>
  <c r="AW84" i="139"/>
  <c r="AI84" i="139"/>
  <c r="U84" i="139"/>
  <c r="G84" i="139"/>
  <c r="E1251" i="140"/>
  <c r="AE42" i="139"/>
  <c r="U161" i="58"/>
  <c r="AD58" i="139"/>
  <c r="AD88" i="139"/>
  <c r="AD130" i="139"/>
  <c r="E1206" i="140"/>
  <c r="AD77" i="139"/>
  <c r="E1203" i="140"/>
  <c r="AD67" i="139"/>
  <c r="E1204" i="140"/>
  <c r="AD114" i="139"/>
  <c r="E1212" i="140"/>
  <c r="E1200" i="140"/>
  <c r="E1215" i="140"/>
  <c r="E1207" i="140"/>
  <c r="AD42" i="139"/>
  <c r="E1196" i="140"/>
  <c r="DZ126" i="139"/>
  <c r="DM126" i="139"/>
  <c r="CZ126" i="139"/>
  <c r="CM126" i="139"/>
  <c r="BY126" i="139"/>
  <c r="BK126" i="139"/>
  <c r="AW126" i="139"/>
  <c r="AI126" i="139"/>
  <c r="U126" i="139"/>
  <c r="G126" i="139"/>
  <c r="AC79" i="139"/>
  <c r="D1234" i="140" l="1"/>
  <c r="E1305" i="140"/>
  <c r="D1305" i="140"/>
  <c r="E1234" i="140"/>
  <c r="E1174" i="140"/>
  <c r="AC58" i="139"/>
  <c r="E1166" i="140"/>
  <c r="E1147" i="140"/>
  <c r="E1158" i="140"/>
  <c r="AC130" i="139"/>
  <c r="E1142" i="140"/>
  <c r="E1171" i="140"/>
  <c r="AC77" i="139"/>
  <c r="AC110" i="139"/>
  <c r="E1169" i="140"/>
  <c r="AC111" i="139"/>
  <c r="AI111" i="139" s="1"/>
  <c r="AC146" i="139"/>
  <c r="DZ104" i="139"/>
  <c r="DM104" i="139"/>
  <c r="CZ104" i="139"/>
  <c r="CM104" i="139"/>
  <c r="BY104" i="139"/>
  <c r="BK104" i="139"/>
  <c r="AW104" i="139"/>
  <c r="AI104" i="139"/>
  <c r="U104" i="139"/>
  <c r="G104" i="139"/>
  <c r="DY29" i="139"/>
  <c r="DX29" i="139"/>
  <c r="DW29" i="139"/>
  <c r="DV29" i="139"/>
  <c r="DU29" i="139"/>
  <c r="DT29" i="139"/>
  <c r="DS29" i="139"/>
  <c r="DR29" i="139"/>
  <c r="DQ29" i="139"/>
  <c r="DP29" i="139"/>
  <c r="DO29" i="139"/>
  <c r="DN29" i="139"/>
  <c r="DL29" i="139"/>
  <c r="DK29" i="139"/>
  <c r="DJ29" i="139"/>
  <c r="DI29" i="139"/>
  <c r="DH29" i="139"/>
  <c r="DG29" i="139"/>
  <c r="DF29" i="139"/>
  <c r="DE29" i="139"/>
  <c r="DD29" i="139"/>
  <c r="DC29" i="139"/>
  <c r="DB29" i="139"/>
  <c r="DA29" i="139"/>
  <c r="CY29" i="139"/>
  <c r="CX29" i="139"/>
  <c r="CW29" i="139"/>
  <c r="CV29" i="139"/>
  <c r="CU29" i="139"/>
  <c r="CT29" i="139"/>
  <c r="CS29" i="139"/>
  <c r="CR29" i="139"/>
  <c r="CQ29" i="139"/>
  <c r="CP29" i="139"/>
  <c r="CO29" i="139"/>
  <c r="CN29" i="139"/>
  <c r="CL29" i="139"/>
  <c r="CK29" i="139"/>
  <c r="CJ29" i="139"/>
  <c r="CI29" i="139"/>
  <c r="CH29" i="139"/>
  <c r="CG29" i="139"/>
  <c r="CF29" i="139"/>
  <c r="CE29" i="139"/>
  <c r="CD29" i="139"/>
  <c r="CC29" i="139"/>
  <c r="CB29" i="139"/>
  <c r="CA29" i="139"/>
  <c r="BX29" i="139"/>
  <c r="BW29" i="139"/>
  <c r="BV29" i="139"/>
  <c r="BU29" i="139"/>
  <c r="BT29" i="139"/>
  <c r="BS29" i="139"/>
  <c r="BR29" i="139"/>
  <c r="BQ29" i="139"/>
  <c r="BP29" i="139"/>
  <c r="BO29" i="139"/>
  <c r="BN29" i="139"/>
  <c r="BM29" i="139"/>
  <c r="BJ29" i="139"/>
  <c r="BI29" i="139"/>
  <c r="BH29" i="139"/>
  <c r="BG29" i="139"/>
  <c r="BF29" i="139"/>
  <c r="BE29" i="139"/>
  <c r="BD29" i="139"/>
  <c r="BC29" i="139"/>
  <c r="BB29" i="139"/>
  <c r="BA29" i="139"/>
  <c r="AZ29" i="139"/>
  <c r="AY29" i="139"/>
  <c r="AV29" i="139"/>
  <c r="AU29" i="139"/>
  <c r="AT29" i="139"/>
  <c r="AS29" i="139"/>
  <c r="AR29" i="139"/>
  <c r="AQ29" i="139"/>
  <c r="AP29" i="139"/>
  <c r="AO29" i="139"/>
  <c r="AN29" i="139"/>
  <c r="AM29" i="139"/>
  <c r="AL29" i="139"/>
  <c r="AK29" i="139"/>
  <c r="AH29" i="139"/>
  <c r="AG29" i="139"/>
  <c r="AF29" i="139"/>
  <c r="AE29" i="139"/>
  <c r="AD29" i="139"/>
  <c r="AC29" i="139"/>
  <c r="AB29" i="139"/>
  <c r="Z29" i="139"/>
  <c r="X29" i="139"/>
  <c r="W29" i="139"/>
  <c r="T29" i="139"/>
  <c r="S29" i="139"/>
  <c r="R29" i="139"/>
  <c r="Q29" i="139"/>
  <c r="P29" i="139"/>
  <c r="O29" i="139"/>
  <c r="N29" i="139"/>
  <c r="M29" i="139"/>
  <c r="L29" i="139"/>
  <c r="K29" i="139"/>
  <c r="J29" i="139"/>
  <c r="I29" i="139"/>
  <c r="F29" i="139"/>
  <c r="G29" i="139" s="1"/>
  <c r="DZ30" i="139"/>
  <c r="DM30" i="139"/>
  <c r="CZ30" i="139"/>
  <c r="CM30" i="139"/>
  <c r="BY30" i="139"/>
  <c r="BK30" i="139"/>
  <c r="AW30" i="139"/>
  <c r="AA30" i="139"/>
  <c r="AA29" i="139" s="1"/>
  <c r="Y30" i="139"/>
  <c r="U30" i="139"/>
  <c r="G30" i="139"/>
  <c r="DZ17" i="139"/>
  <c r="DM17" i="139"/>
  <c r="CZ17" i="139"/>
  <c r="CM17" i="139"/>
  <c r="BY17" i="139"/>
  <c r="BK17" i="139"/>
  <c r="AW17" i="139"/>
  <c r="AI17" i="139"/>
  <c r="U17" i="139"/>
  <c r="G17" i="139"/>
  <c r="E1120" i="140"/>
  <c r="E1146" i="140"/>
  <c r="E1104" i="140"/>
  <c r="AB110" i="139"/>
  <c r="F5" i="152"/>
  <c r="F4" i="152"/>
  <c r="F3" i="152"/>
  <c r="F2" i="152"/>
  <c r="A111" i="152"/>
  <c r="A110" i="152"/>
  <c r="A109" i="152"/>
  <c r="A108" i="152"/>
  <c r="A107" i="152"/>
  <c r="A106" i="152"/>
  <c r="A105" i="152"/>
  <c r="A104" i="152"/>
  <c r="A103" i="152"/>
  <c r="A102" i="152"/>
  <c r="A101" i="152"/>
  <c r="A100" i="152"/>
  <c r="A99" i="152"/>
  <c r="A98" i="152"/>
  <c r="A97" i="152"/>
  <c r="A96" i="152"/>
  <c r="A95" i="152"/>
  <c r="A94" i="152"/>
  <c r="A93" i="152"/>
  <c r="A92" i="152"/>
  <c r="A91" i="152"/>
  <c r="A90" i="152"/>
  <c r="A89" i="152"/>
  <c r="A88" i="152"/>
  <c r="A87" i="152"/>
  <c r="A86" i="152"/>
  <c r="A85" i="152"/>
  <c r="A84" i="152"/>
  <c r="A83" i="152"/>
  <c r="A82" i="152"/>
  <c r="A81" i="152"/>
  <c r="A80" i="152"/>
  <c r="A79" i="152"/>
  <c r="A78" i="152"/>
  <c r="A77" i="152"/>
  <c r="A76" i="152"/>
  <c r="A75" i="152"/>
  <c r="A74" i="152"/>
  <c r="A73" i="152"/>
  <c r="A72" i="152"/>
  <c r="A71" i="152"/>
  <c r="A70" i="152"/>
  <c r="A69" i="152"/>
  <c r="A68" i="152"/>
  <c r="A67" i="152"/>
  <c r="A66" i="152"/>
  <c r="A65" i="152"/>
  <c r="A64" i="152"/>
  <c r="A63" i="152"/>
  <c r="A62" i="152"/>
  <c r="A61" i="152"/>
  <c r="A60" i="152"/>
  <c r="A59" i="152"/>
  <c r="A58" i="152"/>
  <c r="A57" i="152"/>
  <c r="A56" i="152"/>
  <c r="A55" i="152"/>
  <c r="A54" i="152"/>
  <c r="A53" i="152"/>
  <c r="A52" i="152"/>
  <c r="A51" i="152"/>
  <c r="A50" i="152"/>
  <c r="A49" i="152"/>
  <c r="A48" i="152"/>
  <c r="A47" i="152"/>
  <c r="A46" i="152"/>
  <c r="A45" i="152"/>
  <c r="A44" i="152"/>
  <c r="A43" i="152"/>
  <c r="A42" i="152"/>
  <c r="A41" i="152"/>
  <c r="A40" i="152"/>
  <c r="A39" i="152"/>
  <c r="A38" i="152"/>
  <c r="A37" i="152"/>
  <c r="A36" i="152"/>
  <c r="A35" i="152"/>
  <c r="A34" i="152"/>
  <c r="A33" i="152"/>
  <c r="A32" i="152"/>
  <c r="A31" i="152"/>
  <c r="A30" i="152"/>
  <c r="A29" i="152"/>
  <c r="A28" i="152"/>
  <c r="A27" i="152"/>
  <c r="A26" i="152"/>
  <c r="A25" i="152"/>
  <c r="A24" i="152"/>
  <c r="A23" i="152"/>
  <c r="A22" i="152"/>
  <c r="A21" i="152"/>
  <c r="A20" i="152"/>
  <c r="A19" i="152"/>
  <c r="A18" i="152"/>
  <c r="A17" i="152"/>
  <c r="A16" i="152"/>
  <c r="A15" i="152"/>
  <c r="A14" i="152"/>
  <c r="A13" i="152"/>
  <c r="A12" i="152"/>
  <c r="A11" i="152"/>
  <c r="A10" i="152"/>
  <c r="A9" i="152"/>
  <c r="A8" i="152"/>
  <c r="A7" i="152"/>
  <c r="F7" i="152"/>
  <c r="F8" i="152" s="1"/>
  <c r="F9" i="152" s="1"/>
  <c r="F10" i="152" s="1"/>
  <c r="F11" i="152" s="1"/>
  <c r="F12" i="152" s="1"/>
  <c r="F13" i="152" s="1"/>
  <c r="F14" i="152" s="1"/>
  <c r="F15" i="152" s="1"/>
  <c r="F16" i="152" s="1"/>
  <c r="F17" i="152" s="1"/>
  <c r="F18" i="152" s="1"/>
  <c r="F19" i="152" s="1"/>
  <c r="F20" i="152" s="1"/>
  <c r="F21" i="152" s="1"/>
  <c r="F22" i="152" s="1"/>
  <c r="F23" i="152" s="1"/>
  <c r="F24" i="152" s="1"/>
  <c r="F25" i="152" s="1"/>
  <c r="F26" i="152" s="1"/>
  <c r="F27" i="152" s="1"/>
  <c r="F28" i="152" s="1"/>
  <c r="F29" i="152" s="1"/>
  <c r="F30" i="152" s="1"/>
  <c r="F31" i="152" s="1"/>
  <c r="F32" i="152" s="1"/>
  <c r="F33" i="152" s="1"/>
  <c r="F34" i="152" s="1"/>
  <c r="F35" i="152" s="1"/>
  <c r="F36" i="152" s="1"/>
  <c r="F37" i="152" s="1"/>
  <c r="F38" i="152" s="1"/>
  <c r="F39" i="152" s="1"/>
  <c r="F40" i="152" s="1"/>
  <c r="F41" i="152" s="1"/>
  <c r="F42" i="152" s="1"/>
  <c r="F43" i="152" s="1"/>
  <c r="F44" i="152" s="1"/>
  <c r="F45" i="152" s="1"/>
  <c r="F46" i="152" s="1"/>
  <c r="F47" i="152" s="1"/>
  <c r="F48" i="152" s="1"/>
  <c r="F49" i="152" s="1"/>
  <c r="F50" i="152" s="1"/>
  <c r="F51" i="152" s="1"/>
  <c r="F52" i="152" s="1"/>
  <c r="F53" i="152" s="1"/>
  <c r="F54" i="152" s="1"/>
  <c r="F55" i="152" s="1"/>
  <c r="F56" i="152" s="1"/>
  <c r="F57" i="152" s="1"/>
  <c r="F58" i="152" s="1"/>
  <c r="F59" i="152" s="1"/>
  <c r="F60" i="152" s="1"/>
  <c r="F61" i="152" s="1"/>
  <c r="F62" i="152" s="1"/>
  <c r="F63" i="152" s="1"/>
  <c r="F64" i="152" s="1"/>
  <c r="F65" i="152" s="1"/>
  <c r="F66" i="152" s="1"/>
  <c r="F67" i="152" s="1"/>
  <c r="F68" i="152" s="1"/>
  <c r="F69" i="152" s="1"/>
  <c r="F70" i="152" s="1"/>
  <c r="F71" i="152" s="1"/>
  <c r="F72" i="152" s="1"/>
  <c r="F73" i="152" s="1"/>
  <c r="F74" i="152" s="1"/>
  <c r="F75" i="152" s="1"/>
  <c r="F76" i="152" s="1"/>
  <c r="F77" i="152" s="1"/>
  <c r="F78" i="152" s="1"/>
  <c r="F79" i="152" s="1"/>
  <c r="F80" i="152" s="1"/>
  <c r="F81" i="152" s="1"/>
  <c r="F82" i="152" s="1"/>
  <c r="F83" i="152" s="1"/>
  <c r="F84" i="152" s="1"/>
  <c r="F85" i="152" s="1"/>
  <c r="F86" i="152" s="1"/>
  <c r="F87" i="152" s="1"/>
  <c r="F88" i="152" s="1"/>
  <c r="F89" i="152" s="1"/>
  <c r="F90" i="152" s="1"/>
  <c r="F91" i="152" s="1"/>
  <c r="F92" i="152" s="1"/>
  <c r="F93" i="152" s="1"/>
  <c r="F94" i="152" s="1"/>
  <c r="F95" i="152" s="1"/>
  <c r="F96" i="152" s="1"/>
  <c r="F97" i="152" s="1"/>
  <c r="F98" i="152" s="1"/>
  <c r="F99" i="152" s="1"/>
  <c r="F100" i="152" s="1"/>
  <c r="F101" i="152" s="1"/>
  <c r="F102" i="152" s="1"/>
  <c r="F103" i="152" s="1"/>
  <c r="F104" i="152" s="1"/>
  <c r="F105" i="152" s="1"/>
  <c r="F106" i="152" s="1"/>
  <c r="F107" i="152" s="1"/>
  <c r="F108" i="152" s="1"/>
  <c r="F109" i="152" s="1"/>
  <c r="F110" i="152" s="1"/>
  <c r="F111" i="152" s="1"/>
  <c r="DZ111" i="139"/>
  <c r="DM111" i="139"/>
  <c r="CZ111" i="139"/>
  <c r="CM111" i="139"/>
  <c r="BY111" i="139"/>
  <c r="BK111" i="139"/>
  <c r="AW111" i="139"/>
  <c r="U111" i="139"/>
  <c r="G111" i="139"/>
  <c r="DZ110" i="139"/>
  <c r="DM110" i="139"/>
  <c r="CZ110" i="139"/>
  <c r="CM110" i="139"/>
  <c r="BY110" i="139"/>
  <c r="BK110" i="139"/>
  <c r="AW110" i="139"/>
  <c r="S110" i="139"/>
  <c r="U110" i="139" s="1"/>
  <c r="G110" i="139"/>
  <c r="E1108" i="140"/>
  <c r="AB76" i="139"/>
  <c r="AB130" i="139"/>
  <c r="E1102" i="140"/>
  <c r="AB94" i="139"/>
  <c r="AB58" i="139"/>
  <c r="E1098" i="140"/>
  <c r="AB67" i="139"/>
  <c r="E1073" i="140"/>
  <c r="E1086" i="140"/>
  <c r="AB86" i="139"/>
  <c r="AB65" i="139"/>
  <c r="DZ23" i="139"/>
  <c r="DM23" i="139"/>
  <c r="CZ23" i="139"/>
  <c r="CM23" i="139"/>
  <c r="BY23" i="139"/>
  <c r="BK23" i="139"/>
  <c r="AW23" i="139"/>
  <c r="AI23" i="139"/>
  <c r="U23" i="139"/>
  <c r="G23" i="139"/>
  <c r="AB37" i="139"/>
  <c r="AB79" i="139"/>
  <c r="AB46" i="139"/>
  <c r="AB45" i="139"/>
  <c r="E1070" i="140"/>
  <c r="E1069" i="140"/>
  <c r="AW29" i="139" l="1"/>
  <c r="CZ29" i="139"/>
  <c r="DZ29" i="139"/>
  <c r="BY29" i="139"/>
  <c r="BK29" i="139"/>
  <c r="CM29" i="139"/>
  <c r="AI30" i="139"/>
  <c r="Y29" i="139"/>
  <c r="AI29" i="139" s="1"/>
  <c r="U29" i="139"/>
  <c r="DM29" i="139"/>
  <c r="AI110" i="139"/>
  <c r="E1180" i="140"/>
  <c r="D1180" i="140"/>
  <c r="CL145" i="139"/>
  <c r="CK145" i="139"/>
  <c r="CJ145" i="139"/>
  <c r="CI145" i="139"/>
  <c r="CH145" i="139"/>
  <c r="CG145" i="139"/>
  <c r="CF145" i="139"/>
  <c r="CE145" i="139"/>
  <c r="CD145" i="139"/>
  <c r="CC145" i="139"/>
  <c r="CA145" i="139"/>
  <c r="CM144" i="139"/>
  <c r="CM142" i="139"/>
  <c r="CM141" i="139"/>
  <c r="CM140" i="139"/>
  <c r="CM139" i="139"/>
  <c r="CL138" i="139"/>
  <c r="CK138" i="139"/>
  <c r="CJ138" i="139"/>
  <c r="CI138" i="139"/>
  <c r="CH138" i="139"/>
  <c r="CG138" i="139"/>
  <c r="CF138" i="139"/>
  <c r="CE138" i="139"/>
  <c r="CD138" i="139"/>
  <c r="CC138" i="139"/>
  <c r="CB138" i="139"/>
  <c r="CA138" i="139"/>
  <c r="CM137" i="139"/>
  <c r="CM136" i="139"/>
  <c r="CL135" i="139"/>
  <c r="CK135" i="139"/>
  <c r="CJ135" i="139"/>
  <c r="CI135" i="139"/>
  <c r="CH135" i="139"/>
  <c r="CG135" i="139"/>
  <c r="CF135" i="139"/>
  <c r="CE135" i="139"/>
  <c r="CD135" i="139"/>
  <c r="CC135" i="139"/>
  <c r="CB135" i="139"/>
  <c r="CA135" i="139"/>
  <c r="CM134" i="139"/>
  <c r="CM133" i="139"/>
  <c r="CL132" i="139"/>
  <c r="CK132" i="139"/>
  <c r="CJ132" i="139"/>
  <c r="CI132" i="139"/>
  <c r="CH132" i="139"/>
  <c r="CG132" i="139"/>
  <c r="CF132" i="139"/>
  <c r="CE132" i="139"/>
  <c r="CD132" i="139"/>
  <c r="CC132" i="139"/>
  <c r="CB132" i="139"/>
  <c r="CA132" i="139"/>
  <c r="CM131" i="139"/>
  <c r="CM130" i="139"/>
  <c r="CL129" i="139"/>
  <c r="CK129" i="139"/>
  <c r="CJ129" i="139"/>
  <c r="CI129" i="139"/>
  <c r="CH129" i="139"/>
  <c r="CG129" i="139"/>
  <c r="CF129" i="139"/>
  <c r="CE129" i="139"/>
  <c r="CD129" i="139"/>
  <c r="CC129" i="139"/>
  <c r="CB129" i="139"/>
  <c r="CA129" i="139"/>
  <c r="CM128" i="139"/>
  <c r="CM124" i="139"/>
  <c r="CL123" i="139"/>
  <c r="CK123" i="139"/>
  <c r="CJ123" i="139"/>
  <c r="CI123" i="139"/>
  <c r="CH123" i="139"/>
  <c r="CG123" i="139"/>
  <c r="CF123" i="139"/>
  <c r="CE123" i="139"/>
  <c r="CD123" i="139"/>
  <c r="CC123" i="139"/>
  <c r="CB123" i="139"/>
  <c r="CA123" i="139"/>
  <c r="CM114" i="139"/>
  <c r="CL113" i="139"/>
  <c r="CK113" i="139"/>
  <c r="CJ113" i="139"/>
  <c r="CI113" i="139"/>
  <c r="CH113" i="139"/>
  <c r="CG113" i="139"/>
  <c r="CF113" i="139"/>
  <c r="CE113" i="139"/>
  <c r="CD113" i="139"/>
  <c r="CC113" i="139"/>
  <c r="CB113" i="139"/>
  <c r="CA113" i="139"/>
  <c r="CM112" i="139"/>
  <c r="CM109" i="139"/>
  <c r="CL108" i="139"/>
  <c r="CK108" i="139"/>
  <c r="CJ108" i="139"/>
  <c r="CI108" i="139"/>
  <c r="CH108" i="139"/>
  <c r="CG108" i="139"/>
  <c r="CF108" i="139"/>
  <c r="CE108" i="139"/>
  <c r="CD108" i="139"/>
  <c r="CC108" i="139"/>
  <c r="CB108" i="139"/>
  <c r="CA108" i="139"/>
  <c r="CM107" i="139"/>
  <c r="CM103" i="139"/>
  <c r="CM102" i="139"/>
  <c r="CM101" i="139"/>
  <c r="CM100" i="139"/>
  <c r="CM99" i="139"/>
  <c r="CM98" i="139"/>
  <c r="CL97" i="139"/>
  <c r="CK97" i="139"/>
  <c r="CJ97" i="139"/>
  <c r="CI97" i="139"/>
  <c r="CH97" i="139"/>
  <c r="CG97" i="139"/>
  <c r="CF97" i="139"/>
  <c r="CE97" i="139"/>
  <c r="CD97" i="139"/>
  <c r="CC97" i="139"/>
  <c r="CB97" i="139"/>
  <c r="CA97" i="139"/>
  <c r="CM96" i="139"/>
  <c r="CL95" i="139"/>
  <c r="CK95" i="139"/>
  <c r="CJ95" i="139"/>
  <c r="CI95" i="139"/>
  <c r="CH95" i="139"/>
  <c r="CG95" i="139"/>
  <c r="CF95" i="139"/>
  <c r="CE95" i="139"/>
  <c r="CD95" i="139"/>
  <c r="CC95" i="139"/>
  <c r="CB95" i="139"/>
  <c r="CA95" i="139"/>
  <c r="CM94" i="139"/>
  <c r="CM93" i="139"/>
  <c r="CL92" i="139"/>
  <c r="CK92" i="139"/>
  <c r="CJ92" i="139"/>
  <c r="CI92" i="139"/>
  <c r="CH92" i="139"/>
  <c r="CG92" i="139"/>
  <c r="CF92" i="139"/>
  <c r="CE92" i="139"/>
  <c r="CD92" i="139"/>
  <c r="CC92" i="139"/>
  <c r="CB92" i="139"/>
  <c r="CA92" i="139"/>
  <c r="CM91" i="139"/>
  <c r="CM90" i="139"/>
  <c r="CL89" i="139"/>
  <c r="CK89" i="139"/>
  <c r="CJ89" i="139"/>
  <c r="CI89" i="139"/>
  <c r="CH89" i="139"/>
  <c r="CG89" i="139"/>
  <c r="CF89" i="139"/>
  <c r="CE89" i="139"/>
  <c r="CD89" i="139"/>
  <c r="CC89" i="139"/>
  <c r="CB89" i="139"/>
  <c r="CA89" i="139"/>
  <c r="CM88" i="139"/>
  <c r="CL87" i="139"/>
  <c r="CK87" i="139"/>
  <c r="CJ87" i="139"/>
  <c r="CI87" i="139"/>
  <c r="CH87" i="139"/>
  <c r="CG87" i="139"/>
  <c r="CF87" i="139"/>
  <c r="CE87" i="139"/>
  <c r="CD87" i="139"/>
  <c r="CC87" i="139"/>
  <c r="CB87" i="139"/>
  <c r="CA87" i="139"/>
  <c r="CM86" i="139"/>
  <c r="CM85" i="139"/>
  <c r="CM81" i="139"/>
  <c r="CL80" i="139"/>
  <c r="CK80" i="139"/>
  <c r="CJ80" i="139"/>
  <c r="CI80" i="139"/>
  <c r="CH80" i="139"/>
  <c r="CG80" i="139"/>
  <c r="CF80" i="139"/>
  <c r="CE80" i="139"/>
  <c r="CD80" i="139"/>
  <c r="CC80" i="139"/>
  <c r="CB80" i="139"/>
  <c r="CA80" i="139"/>
  <c r="CM79" i="139"/>
  <c r="CM78" i="139"/>
  <c r="CM77" i="139"/>
  <c r="CM76" i="139"/>
  <c r="CL75" i="139"/>
  <c r="CK75" i="139"/>
  <c r="CJ75" i="139"/>
  <c r="CI75" i="139"/>
  <c r="CH75" i="139"/>
  <c r="CG75" i="139"/>
  <c r="CF75" i="139"/>
  <c r="CE75" i="139"/>
  <c r="CD75" i="139"/>
  <c r="CC75" i="139"/>
  <c r="CB75" i="139"/>
  <c r="CA75" i="139"/>
  <c r="CM74" i="139"/>
  <c r="CM72" i="139"/>
  <c r="CM71" i="139"/>
  <c r="CM70" i="139"/>
  <c r="CM69" i="139"/>
  <c r="CM68" i="139"/>
  <c r="CM67" i="139"/>
  <c r="CM66" i="139"/>
  <c r="CM65" i="139"/>
  <c r="CM64" i="139"/>
  <c r="CL63" i="139"/>
  <c r="CK63" i="139"/>
  <c r="CJ63" i="139"/>
  <c r="CI63" i="139"/>
  <c r="CH63" i="139"/>
  <c r="CG63" i="139"/>
  <c r="CF63" i="139"/>
  <c r="CE63" i="139"/>
  <c r="CD63" i="139"/>
  <c r="CC63" i="139"/>
  <c r="CB63" i="139"/>
  <c r="CA63" i="139"/>
  <c r="CM62" i="139"/>
  <c r="CM61" i="139"/>
  <c r="CM60" i="139"/>
  <c r="CM59" i="139"/>
  <c r="CM58" i="139"/>
  <c r="CL57" i="139"/>
  <c r="CK57" i="139"/>
  <c r="CJ57" i="139"/>
  <c r="CI57" i="139"/>
  <c r="CH57" i="139"/>
  <c r="CG57" i="139"/>
  <c r="CF57" i="139"/>
  <c r="CE57" i="139"/>
  <c r="CD57" i="139"/>
  <c r="CC57" i="139"/>
  <c r="CB57" i="139"/>
  <c r="CA57" i="139"/>
  <c r="CM56" i="139"/>
  <c r="CM55" i="139"/>
  <c r="CM54" i="139"/>
  <c r="CM53" i="139"/>
  <c r="CM51" i="139"/>
  <c r="CL50" i="139"/>
  <c r="CK50" i="139"/>
  <c r="CJ50" i="139"/>
  <c r="CI50" i="139"/>
  <c r="CH50" i="139"/>
  <c r="CG50" i="139"/>
  <c r="CF50" i="139"/>
  <c r="CE50" i="139"/>
  <c r="CD50" i="139"/>
  <c r="CC50" i="139"/>
  <c r="CB50" i="139"/>
  <c r="CA50" i="139"/>
  <c r="CM49" i="139"/>
  <c r="CL48" i="139"/>
  <c r="CK48" i="139"/>
  <c r="CJ48" i="139"/>
  <c r="CI48" i="139"/>
  <c r="CH48" i="139"/>
  <c r="CG48" i="139"/>
  <c r="CF48" i="139"/>
  <c r="CE48" i="139"/>
  <c r="CD48" i="139"/>
  <c r="CC48" i="139"/>
  <c r="CB48" i="139"/>
  <c r="CA48" i="139"/>
  <c r="CM47" i="139"/>
  <c r="CM46" i="139"/>
  <c r="CM45" i="139"/>
  <c r="CM44" i="139"/>
  <c r="CM43" i="139"/>
  <c r="CM42" i="139"/>
  <c r="CL41" i="139"/>
  <c r="CK41" i="139"/>
  <c r="CJ41" i="139"/>
  <c r="CI41" i="139"/>
  <c r="CH41" i="139"/>
  <c r="CG41" i="139"/>
  <c r="CF41" i="139"/>
  <c r="CE41" i="139"/>
  <c r="CD41" i="139"/>
  <c r="CC41" i="139"/>
  <c r="CB41" i="139"/>
  <c r="CA41" i="139"/>
  <c r="CM40" i="139"/>
  <c r="CM39" i="139"/>
  <c r="CM38" i="139"/>
  <c r="CM37" i="139"/>
  <c r="CM36" i="139"/>
  <c r="CM33" i="139"/>
  <c r="CL32" i="139"/>
  <c r="CK32" i="139"/>
  <c r="CJ32" i="139"/>
  <c r="CI32" i="139"/>
  <c r="CH32" i="139"/>
  <c r="CG32" i="139"/>
  <c r="CF32" i="139"/>
  <c r="CE32" i="139"/>
  <c r="CD32" i="139"/>
  <c r="CC32" i="139"/>
  <c r="CB32" i="139"/>
  <c r="CA32" i="139"/>
  <c r="CM31" i="139"/>
  <c r="CM28" i="139"/>
  <c r="CM27" i="139"/>
  <c r="CL26" i="139"/>
  <c r="CK26" i="139"/>
  <c r="CJ26" i="139"/>
  <c r="CI26" i="139"/>
  <c r="CH26" i="139"/>
  <c r="CG26" i="139"/>
  <c r="CF26" i="139"/>
  <c r="CE26" i="139"/>
  <c r="CD26" i="139"/>
  <c r="CC26" i="139"/>
  <c r="CB26" i="139"/>
  <c r="CA26" i="139"/>
  <c r="CM24" i="139"/>
  <c r="CM22" i="139"/>
  <c r="CM21" i="139"/>
  <c r="CM20" i="139"/>
  <c r="CM12" i="139"/>
  <c r="CM10" i="139"/>
  <c r="CM8" i="139"/>
  <c r="CM7" i="139"/>
  <c r="CM5" i="139"/>
  <c r="CL4" i="139"/>
  <c r="CK4" i="139"/>
  <c r="CJ4" i="139"/>
  <c r="CI4" i="139"/>
  <c r="CH4" i="139"/>
  <c r="CG4" i="139"/>
  <c r="CF4" i="139"/>
  <c r="CE4" i="139"/>
  <c r="CD4" i="139"/>
  <c r="CC4" i="139"/>
  <c r="CB4" i="139"/>
  <c r="CA4" i="139"/>
  <c r="CY145" i="139"/>
  <c r="CX145" i="139"/>
  <c r="CW145" i="139"/>
  <c r="CV145" i="139"/>
  <c r="CU145" i="139"/>
  <c r="CT145" i="139"/>
  <c r="CS145" i="139"/>
  <c r="CR145" i="139"/>
  <c r="CQ145" i="139"/>
  <c r="CP145" i="139"/>
  <c r="CO145" i="139"/>
  <c r="CN145" i="139"/>
  <c r="CZ144" i="139"/>
  <c r="CZ142" i="139"/>
  <c r="CZ141" i="139"/>
  <c r="CZ140" i="139"/>
  <c r="CZ139" i="139"/>
  <c r="CY138" i="139"/>
  <c r="CX138" i="139"/>
  <c r="CW138" i="139"/>
  <c r="CV138" i="139"/>
  <c r="CU138" i="139"/>
  <c r="CT138" i="139"/>
  <c r="CS138" i="139"/>
  <c r="CR138" i="139"/>
  <c r="CQ138" i="139"/>
  <c r="CP138" i="139"/>
  <c r="CO138" i="139"/>
  <c r="CN138" i="139"/>
  <c r="CZ137" i="139"/>
  <c r="CZ136" i="139"/>
  <c r="CY135" i="139"/>
  <c r="CX135" i="139"/>
  <c r="CW135" i="139"/>
  <c r="CV135" i="139"/>
  <c r="CU135" i="139"/>
  <c r="CT135" i="139"/>
  <c r="CS135" i="139"/>
  <c r="CR135" i="139"/>
  <c r="CQ135" i="139"/>
  <c r="CP135" i="139"/>
  <c r="CO135" i="139"/>
  <c r="CN135" i="139"/>
  <c r="CZ134" i="139"/>
  <c r="CZ133" i="139"/>
  <c r="CY132" i="139"/>
  <c r="CX132" i="139"/>
  <c r="CW132" i="139"/>
  <c r="CV132" i="139"/>
  <c r="CU132" i="139"/>
  <c r="CT132" i="139"/>
  <c r="CS132" i="139"/>
  <c r="CR132" i="139"/>
  <c r="CQ132" i="139"/>
  <c r="CP132" i="139"/>
  <c r="CO132" i="139"/>
  <c r="CN132" i="139"/>
  <c r="CZ131" i="139"/>
  <c r="CZ130" i="139"/>
  <c r="CY129" i="139"/>
  <c r="CX129" i="139"/>
  <c r="CW129" i="139"/>
  <c r="CV129" i="139"/>
  <c r="CU129" i="139"/>
  <c r="CT129" i="139"/>
  <c r="CS129" i="139"/>
  <c r="CR129" i="139"/>
  <c r="CQ129" i="139"/>
  <c r="CP129" i="139"/>
  <c r="CO129" i="139"/>
  <c r="CN129" i="139"/>
  <c r="CZ128" i="139"/>
  <c r="CZ124" i="139"/>
  <c r="CY123" i="139"/>
  <c r="CX123" i="139"/>
  <c r="CW123" i="139"/>
  <c r="CV123" i="139"/>
  <c r="CU123" i="139"/>
  <c r="CT123" i="139"/>
  <c r="CS123" i="139"/>
  <c r="CR123" i="139"/>
  <c r="CQ123" i="139"/>
  <c r="CP123" i="139"/>
  <c r="CO123" i="139"/>
  <c r="CN123" i="139"/>
  <c r="CZ114" i="139"/>
  <c r="CY113" i="139"/>
  <c r="CX113" i="139"/>
  <c r="CW113" i="139"/>
  <c r="CV113" i="139"/>
  <c r="CU113" i="139"/>
  <c r="CT113" i="139"/>
  <c r="CS113" i="139"/>
  <c r="CR113" i="139"/>
  <c r="CQ113" i="139"/>
  <c r="CP113" i="139"/>
  <c r="CO113" i="139"/>
  <c r="CN113" i="139"/>
  <c r="CZ112" i="139"/>
  <c r="CZ109" i="139"/>
  <c r="CY108" i="139"/>
  <c r="CX108" i="139"/>
  <c r="CW108" i="139"/>
  <c r="CV108" i="139"/>
  <c r="CU108" i="139"/>
  <c r="CT108" i="139"/>
  <c r="CS108" i="139"/>
  <c r="CR108" i="139"/>
  <c r="CQ108" i="139"/>
  <c r="CP108" i="139"/>
  <c r="CO108" i="139"/>
  <c r="CN108" i="139"/>
  <c r="CZ107" i="139"/>
  <c r="CZ103" i="139"/>
  <c r="CZ102" i="139"/>
  <c r="CZ101" i="139"/>
  <c r="CZ100" i="139"/>
  <c r="CZ99" i="139"/>
  <c r="CZ98" i="139"/>
  <c r="CY97" i="139"/>
  <c r="CX97" i="139"/>
  <c r="CW97" i="139"/>
  <c r="CV97" i="139"/>
  <c r="CU97" i="139"/>
  <c r="CT97" i="139"/>
  <c r="CS97" i="139"/>
  <c r="CR97" i="139"/>
  <c r="CQ97" i="139"/>
  <c r="CP97" i="139"/>
  <c r="CO97" i="139"/>
  <c r="CN97" i="139"/>
  <c r="CZ96" i="139"/>
  <c r="CY95" i="139"/>
  <c r="CX95" i="139"/>
  <c r="CW95" i="139"/>
  <c r="CV95" i="139"/>
  <c r="CU95" i="139"/>
  <c r="CT95" i="139"/>
  <c r="CS95" i="139"/>
  <c r="CR95" i="139"/>
  <c r="CQ95" i="139"/>
  <c r="CP95" i="139"/>
  <c r="CO95" i="139"/>
  <c r="CN95" i="139"/>
  <c r="CZ94" i="139"/>
  <c r="CZ93" i="139"/>
  <c r="CY92" i="139"/>
  <c r="CX92" i="139"/>
  <c r="CW92" i="139"/>
  <c r="CV92" i="139"/>
  <c r="CU92" i="139"/>
  <c r="CT92" i="139"/>
  <c r="CS92" i="139"/>
  <c r="CR92" i="139"/>
  <c r="CQ92" i="139"/>
  <c r="CP92" i="139"/>
  <c r="CO92" i="139"/>
  <c r="CN92" i="139"/>
  <c r="CZ91" i="139"/>
  <c r="CZ90" i="139"/>
  <c r="CY89" i="139"/>
  <c r="CX89" i="139"/>
  <c r="CW89" i="139"/>
  <c r="CV89" i="139"/>
  <c r="CU89" i="139"/>
  <c r="CT89" i="139"/>
  <c r="CS89" i="139"/>
  <c r="CR89" i="139"/>
  <c r="CQ89" i="139"/>
  <c r="CP89" i="139"/>
  <c r="CO89" i="139"/>
  <c r="CN89" i="139"/>
  <c r="CZ88" i="139"/>
  <c r="CY87" i="139"/>
  <c r="CX87" i="139"/>
  <c r="CW87" i="139"/>
  <c r="CV87" i="139"/>
  <c r="CU87" i="139"/>
  <c r="CT87" i="139"/>
  <c r="CS87" i="139"/>
  <c r="CR87" i="139"/>
  <c r="CQ87" i="139"/>
  <c r="CP87" i="139"/>
  <c r="CO87" i="139"/>
  <c r="CN87" i="139"/>
  <c r="CZ86" i="139"/>
  <c r="CZ85" i="139"/>
  <c r="CZ81" i="139"/>
  <c r="CY80" i="139"/>
  <c r="CX80" i="139"/>
  <c r="CW80" i="139"/>
  <c r="CV80" i="139"/>
  <c r="CU80" i="139"/>
  <c r="CT80" i="139"/>
  <c r="CS80" i="139"/>
  <c r="CR80" i="139"/>
  <c r="CQ80" i="139"/>
  <c r="CP80" i="139"/>
  <c r="CO80" i="139"/>
  <c r="CN80" i="139"/>
  <c r="CZ79" i="139"/>
  <c r="CZ78" i="139"/>
  <c r="CZ77" i="139"/>
  <c r="CZ76" i="139"/>
  <c r="CY75" i="139"/>
  <c r="CX75" i="139"/>
  <c r="CW75" i="139"/>
  <c r="CV75" i="139"/>
  <c r="CU75" i="139"/>
  <c r="CT75" i="139"/>
  <c r="CS75" i="139"/>
  <c r="CR75" i="139"/>
  <c r="CQ75" i="139"/>
  <c r="CP75" i="139"/>
  <c r="CO75" i="139"/>
  <c r="CN75" i="139"/>
  <c r="CZ74" i="139"/>
  <c r="CZ72" i="139"/>
  <c r="CZ71" i="139"/>
  <c r="CZ70" i="139"/>
  <c r="CZ69" i="139"/>
  <c r="CZ68" i="139"/>
  <c r="CZ67" i="139"/>
  <c r="CZ66" i="139"/>
  <c r="CZ65" i="139"/>
  <c r="CZ64" i="139"/>
  <c r="CY63" i="139"/>
  <c r="CX63" i="139"/>
  <c r="CW63" i="139"/>
  <c r="CV63" i="139"/>
  <c r="CU63" i="139"/>
  <c r="CT63" i="139"/>
  <c r="CS63" i="139"/>
  <c r="CR63" i="139"/>
  <c r="CQ63" i="139"/>
  <c r="CP63" i="139"/>
  <c r="CO63" i="139"/>
  <c r="CN63" i="139"/>
  <c r="CZ62" i="139"/>
  <c r="CZ61" i="139"/>
  <c r="CZ60" i="139"/>
  <c r="CZ59" i="139"/>
  <c r="CZ58" i="139"/>
  <c r="CY57" i="139"/>
  <c r="CX57" i="139"/>
  <c r="CW57" i="139"/>
  <c r="CV57" i="139"/>
  <c r="CU57" i="139"/>
  <c r="CT57" i="139"/>
  <c r="CS57" i="139"/>
  <c r="CR57" i="139"/>
  <c r="CQ57" i="139"/>
  <c r="CP57" i="139"/>
  <c r="CO57" i="139"/>
  <c r="CN57" i="139"/>
  <c r="CZ56" i="139"/>
  <c r="CZ55" i="139"/>
  <c r="CZ54" i="139"/>
  <c r="CZ53" i="139"/>
  <c r="CZ51" i="139"/>
  <c r="CY50" i="139"/>
  <c r="CX50" i="139"/>
  <c r="CW50" i="139"/>
  <c r="CV50" i="139"/>
  <c r="CU50" i="139"/>
  <c r="CT50" i="139"/>
  <c r="CS50" i="139"/>
  <c r="CR50" i="139"/>
  <c r="CQ50" i="139"/>
  <c r="CP50" i="139"/>
  <c r="CO50" i="139"/>
  <c r="CN50" i="139"/>
  <c r="CZ49" i="139"/>
  <c r="CY48" i="139"/>
  <c r="CX48" i="139"/>
  <c r="CW48" i="139"/>
  <c r="CV48" i="139"/>
  <c r="CU48" i="139"/>
  <c r="CT48" i="139"/>
  <c r="CS48" i="139"/>
  <c r="CR48" i="139"/>
  <c r="CQ48" i="139"/>
  <c r="CP48" i="139"/>
  <c r="CO48" i="139"/>
  <c r="CN48" i="139"/>
  <c r="CZ47" i="139"/>
  <c r="CZ46" i="139"/>
  <c r="CZ45" i="139"/>
  <c r="CZ44" i="139"/>
  <c r="CZ43" i="139"/>
  <c r="CZ42" i="139"/>
  <c r="CY41" i="139"/>
  <c r="CX41" i="139"/>
  <c r="CW41" i="139"/>
  <c r="CV41" i="139"/>
  <c r="CU41" i="139"/>
  <c r="CT41" i="139"/>
  <c r="CS41" i="139"/>
  <c r="CR41" i="139"/>
  <c r="CQ41" i="139"/>
  <c r="CP41" i="139"/>
  <c r="CO41" i="139"/>
  <c r="CN41" i="139"/>
  <c r="CZ40" i="139"/>
  <c r="CZ39" i="139"/>
  <c r="CZ38" i="139"/>
  <c r="CZ37" i="139"/>
  <c r="CZ36" i="139"/>
  <c r="CZ33" i="139"/>
  <c r="CY32" i="139"/>
  <c r="CX32" i="139"/>
  <c r="CW32" i="139"/>
  <c r="CV32" i="139"/>
  <c r="CU32" i="139"/>
  <c r="CT32" i="139"/>
  <c r="CS32" i="139"/>
  <c r="CR32" i="139"/>
  <c r="CQ32" i="139"/>
  <c r="CP32" i="139"/>
  <c r="CO32" i="139"/>
  <c r="CN32" i="139"/>
  <c r="CZ31" i="139"/>
  <c r="CZ28" i="139"/>
  <c r="CZ27" i="139"/>
  <c r="CY26" i="139"/>
  <c r="CX26" i="139"/>
  <c r="CW26" i="139"/>
  <c r="CV26" i="139"/>
  <c r="CU26" i="139"/>
  <c r="CT26" i="139"/>
  <c r="CS26" i="139"/>
  <c r="CR26" i="139"/>
  <c r="CQ26" i="139"/>
  <c r="CP26" i="139"/>
  <c r="CO26" i="139"/>
  <c r="CN26" i="139"/>
  <c r="CZ24" i="139"/>
  <c r="CZ22" i="139"/>
  <c r="CZ21" i="139"/>
  <c r="CZ20" i="139"/>
  <c r="CZ12" i="139"/>
  <c r="CZ10" i="139"/>
  <c r="CZ8" i="139"/>
  <c r="CZ7" i="139"/>
  <c r="CZ5" i="139"/>
  <c r="CY4" i="139"/>
  <c r="CX4" i="139"/>
  <c r="CW4" i="139"/>
  <c r="CV4" i="139"/>
  <c r="CU4" i="139"/>
  <c r="CT4" i="139"/>
  <c r="CS4" i="139"/>
  <c r="CR4" i="139"/>
  <c r="CQ4" i="139"/>
  <c r="CP4" i="139"/>
  <c r="CO4" i="139"/>
  <c r="CN4" i="139"/>
  <c r="DL145" i="139"/>
  <c r="DK145" i="139"/>
  <c r="DJ145" i="139"/>
  <c r="DI145" i="139"/>
  <c r="DH145" i="139"/>
  <c r="DG145" i="139"/>
  <c r="DF145" i="139"/>
  <c r="DE145" i="139"/>
  <c r="DD145" i="139"/>
  <c r="DC145" i="139"/>
  <c r="DB145" i="139"/>
  <c r="DA145" i="139"/>
  <c r="DM144" i="139"/>
  <c r="DM142" i="139"/>
  <c r="DM141" i="139"/>
  <c r="DM140" i="139"/>
  <c r="DM139" i="139"/>
  <c r="DL138" i="139"/>
  <c r="DK138" i="139"/>
  <c r="DJ138" i="139"/>
  <c r="DI138" i="139"/>
  <c r="DH138" i="139"/>
  <c r="DG138" i="139"/>
  <c r="DF138" i="139"/>
  <c r="DE138" i="139"/>
  <c r="DD138" i="139"/>
  <c r="DC138" i="139"/>
  <c r="DB138" i="139"/>
  <c r="DA138" i="139"/>
  <c r="DM137" i="139"/>
  <c r="DM136" i="139"/>
  <c r="DL135" i="139"/>
  <c r="DK135" i="139"/>
  <c r="DJ135" i="139"/>
  <c r="DI135" i="139"/>
  <c r="DH135" i="139"/>
  <c r="DG135" i="139"/>
  <c r="DF135" i="139"/>
  <c r="DE135" i="139"/>
  <c r="DD135" i="139"/>
  <c r="DC135" i="139"/>
  <c r="DB135" i="139"/>
  <c r="DA135" i="139"/>
  <c r="DM134" i="139"/>
  <c r="DM133" i="139"/>
  <c r="DL132" i="139"/>
  <c r="DK132" i="139"/>
  <c r="DJ132" i="139"/>
  <c r="DI132" i="139"/>
  <c r="DH132" i="139"/>
  <c r="DG132" i="139"/>
  <c r="DF132" i="139"/>
  <c r="DE132" i="139"/>
  <c r="DD132" i="139"/>
  <c r="DC132" i="139"/>
  <c r="DB132" i="139"/>
  <c r="DA132" i="139"/>
  <c r="DM131" i="139"/>
  <c r="DM130" i="139"/>
  <c r="DL129" i="139"/>
  <c r="DK129" i="139"/>
  <c r="DJ129" i="139"/>
  <c r="DI129" i="139"/>
  <c r="DH129" i="139"/>
  <c r="DG129" i="139"/>
  <c r="DF129" i="139"/>
  <c r="DE129" i="139"/>
  <c r="DD129" i="139"/>
  <c r="DC129" i="139"/>
  <c r="DB129" i="139"/>
  <c r="DA129" i="139"/>
  <c r="DM128" i="139"/>
  <c r="DM124" i="139"/>
  <c r="DL123" i="139"/>
  <c r="DK123" i="139"/>
  <c r="DJ123" i="139"/>
  <c r="DI123" i="139"/>
  <c r="DH123" i="139"/>
  <c r="DG123" i="139"/>
  <c r="DF123" i="139"/>
  <c r="DE123" i="139"/>
  <c r="DD123" i="139"/>
  <c r="DC123" i="139"/>
  <c r="DB123" i="139"/>
  <c r="DA123" i="139"/>
  <c r="DM114" i="139"/>
  <c r="DL113" i="139"/>
  <c r="DK113" i="139"/>
  <c r="DJ113" i="139"/>
  <c r="DI113" i="139"/>
  <c r="DH113" i="139"/>
  <c r="DG113" i="139"/>
  <c r="DF113" i="139"/>
  <c r="DE113" i="139"/>
  <c r="DD113" i="139"/>
  <c r="DC113" i="139"/>
  <c r="DB113" i="139"/>
  <c r="DA113" i="139"/>
  <c r="DM112" i="139"/>
  <c r="DM109" i="139"/>
  <c r="DL108" i="139"/>
  <c r="DK108" i="139"/>
  <c r="DJ108" i="139"/>
  <c r="DI108" i="139"/>
  <c r="DH108" i="139"/>
  <c r="DG108" i="139"/>
  <c r="DF108" i="139"/>
  <c r="DE108" i="139"/>
  <c r="DD108" i="139"/>
  <c r="DC108" i="139"/>
  <c r="DB108" i="139"/>
  <c r="DA108" i="139"/>
  <c r="DM107" i="139"/>
  <c r="DM103" i="139"/>
  <c r="DM102" i="139"/>
  <c r="DM101" i="139"/>
  <c r="DM100" i="139"/>
  <c r="DM99" i="139"/>
  <c r="DM98" i="139"/>
  <c r="DL97" i="139"/>
  <c r="DK97" i="139"/>
  <c r="DJ97" i="139"/>
  <c r="DI97" i="139"/>
  <c r="DH97" i="139"/>
  <c r="DG97" i="139"/>
  <c r="DF97" i="139"/>
  <c r="DE97" i="139"/>
  <c r="DD97" i="139"/>
  <c r="DC97" i="139"/>
  <c r="DB97" i="139"/>
  <c r="DA97" i="139"/>
  <c r="DM96" i="139"/>
  <c r="DL95" i="139"/>
  <c r="DK95" i="139"/>
  <c r="DJ95" i="139"/>
  <c r="DI95" i="139"/>
  <c r="DH95" i="139"/>
  <c r="DG95" i="139"/>
  <c r="DF95" i="139"/>
  <c r="DE95" i="139"/>
  <c r="DD95" i="139"/>
  <c r="DC95" i="139"/>
  <c r="DB95" i="139"/>
  <c r="DA95" i="139"/>
  <c r="DM94" i="139"/>
  <c r="DM93" i="139"/>
  <c r="DL92" i="139"/>
  <c r="DK92" i="139"/>
  <c r="DJ92" i="139"/>
  <c r="DI92" i="139"/>
  <c r="DH92" i="139"/>
  <c r="DG92" i="139"/>
  <c r="DF92" i="139"/>
  <c r="DE92" i="139"/>
  <c r="DD92" i="139"/>
  <c r="DC92" i="139"/>
  <c r="DB92" i="139"/>
  <c r="DA92" i="139"/>
  <c r="DM91" i="139"/>
  <c r="DM90" i="139"/>
  <c r="DL89" i="139"/>
  <c r="DK89" i="139"/>
  <c r="DJ89" i="139"/>
  <c r="DI89" i="139"/>
  <c r="DH89" i="139"/>
  <c r="DG89" i="139"/>
  <c r="DF89" i="139"/>
  <c r="DE89" i="139"/>
  <c r="DD89" i="139"/>
  <c r="DC89" i="139"/>
  <c r="DB89" i="139"/>
  <c r="DA89" i="139"/>
  <c r="DM88" i="139"/>
  <c r="DL87" i="139"/>
  <c r="DK87" i="139"/>
  <c r="DJ87" i="139"/>
  <c r="DI87" i="139"/>
  <c r="DH87" i="139"/>
  <c r="DG87" i="139"/>
  <c r="DF87" i="139"/>
  <c r="DE87" i="139"/>
  <c r="DD87" i="139"/>
  <c r="DC87" i="139"/>
  <c r="DB87" i="139"/>
  <c r="DA87" i="139"/>
  <c r="DM86" i="139"/>
  <c r="DM85" i="139"/>
  <c r="DM81" i="139"/>
  <c r="DL80" i="139"/>
  <c r="DK80" i="139"/>
  <c r="DJ80" i="139"/>
  <c r="DI80" i="139"/>
  <c r="DH80" i="139"/>
  <c r="DG80" i="139"/>
  <c r="DF80" i="139"/>
  <c r="DE80" i="139"/>
  <c r="DD80" i="139"/>
  <c r="DC80" i="139"/>
  <c r="DB80" i="139"/>
  <c r="DA80" i="139"/>
  <c r="DM79" i="139"/>
  <c r="DM78" i="139"/>
  <c r="DM77" i="139"/>
  <c r="DM76" i="139"/>
  <c r="DL75" i="139"/>
  <c r="DK75" i="139"/>
  <c r="DJ75" i="139"/>
  <c r="DI75" i="139"/>
  <c r="DH75" i="139"/>
  <c r="DG75" i="139"/>
  <c r="DF75" i="139"/>
  <c r="DE75" i="139"/>
  <c r="DD75" i="139"/>
  <c r="DC75" i="139"/>
  <c r="DB75" i="139"/>
  <c r="DA75" i="139"/>
  <c r="DM74" i="139"/>
  <c r="DM72" i="139"/>
  <c r="DM71" i="139"/>
  <c r="DM70" i="139"/>
  <c r="DM69" i="139"/>
  <c r="DM68" i="139"/>
  <c r="DM67" i="139"/>
  <c r="DM66" i="139"/>
  <c r="DM65" i="139"/>
  <c r="DM64" i="139"/>
  <c r="DL63" i="139"/>
  <c r="DK63" i="139"/>
  <c r="DJ63" i="139"/>
  <c r="DI63" i="139"/>
  <c r="DH63" i="139"/>
  <c r="DG63" i="139"/>
  <c r="DF63" i="139"/>
  <c r="DE63" i="139"/>
  <c r="DD63" i="139"/>
  <c r="DC63" i="139"/>
  <c r="DB63" i="139"/>
  <c r="DA63" i="139"/>
  <c r="DM62" i="139"/>
  <c r="DM61" i="139"/>
  <c r="DM60" i="139"/>
  <c r="DM59" i="139"/>
  <c r="DM58" i="139"/>
  <c r="DL57" i="139"/>
  <c r="DK57" i="139"/>
  <c r="DJ57" i="139"/>
  <c r="DI57" i="139"/>
  <c r="DH57" i="139"/>
  <c r="DG57" i="139"/>
  <c r="DF57" i="139"/>
  <c r="DE57" i="139"/>
  <c r="DD57" i="139"/>
  <c r="DC57" i="139"/>
  <c r="DB57" i="139"/>
  <c r="DA57" i="139"/>
  <c r="DM56" i="139"/>
  <c r="DM55" i="139"/>
  <c r="DM54" i="139"/>
  <c r="DM53" i="139"/>
  <c r="DM51" i="139"/>
  <c r="DL50" i="139"/>
  <c r="DK50" i="139"/>
  <c r="DJ50" i="139"/>
  <c r="DI50" i="139"/>
  <c r="DH50" i="139"/>
  <c r="DG50" i="139"/>
  <c r="DF50" i="139"/>
  <c r="DE50" i="139"/>
  <c r="DD50" i="139"/>
  <c r="DC50" i="139"/>
  <c r="DB50" i="139"/>
  <c r="DA50" i="139"/>
  <c r="DM49" i="139"/>
  <c r="DL48" i="139"/>
  <c r="DK48" i="139"/>
  <c r="DJ48" i="139"/>
  <c r="DI48" i="139"/>
  <c r="DH48" i="139"/>
  <c r="DG48" i="139"/>
  <c r="DF48" i="139"/>
  <c r="DE48" i="139"/>
  <c r="DD48" i="139"/>
  <c r="DC48" i="139"/>
  <c r="DB48" i="139"/>
  <c r="DA48" i="139"/>
  <c r="DM47" i="139"/>
  <c r="DM46" i="139"/>
  <c r="DM45" i="139"/>
  <c r="DM44" i="139"/>
  <c r="DM43" i="139"/>
  <c r="DM42" i="139"/>
  <c r="DL41" i="139"/>
  <c r="DK41" i="139"/>
  <c r="DJ41" i="139"/>
  <c r="DI41" i="139"/>
  <c r="DH41" i="139"/>
  <c r="DG41" i="139"/>
  <c r="DF41" i="139"/>
  <c r="DE41" i="139"/>
  <c r="DD41" i="139"/>
  <c r="DC41" i="139"/>
  <c r="DB41" i="139"/>
  <c r="DA41" i="139"/>
  <c r="DM40" i="139"/>
  <c r="DM39" i="139"/>
  <c r="DM38" i="139"/>
  <c r="DM37" i="139"/>
  <c r="DM36" i="139"/>
  <c r="DM33" i="139"/>
  <c r="DL32" i="139"/>
  <c r="DK32" i="139"/>
  <c r="DJ32" i="139"/>
  <c r="DI32" i="139"/>
  <c r="DH32" i="139"/>
  <c r="DG32" i="139"/>
  <c r="DF32" i="139"/>
  <c r="DE32" i="139"/>
  <c r="DD32" i="139"/>
  <c r="DC32" i="139"/>
  <c r="DB32" i="139"/>
  <c r="DA32" i="139"/>
  <c r="DM31" i="139"/>
  <c r="DM28" i="139"/>
  <c r="DM27" i="139"/>
  <c r="DL26" i="139"/>
  <c r="DK26" i="139"/>
  <c r="DJ26" i="139"/>
  <c r="DI26" i="139"/>
  <c r="DH26" i="139"/>
  <c r="DG26" i="139"/>
  <c r="DF26" i="139"/>
  <c r="DE26" i="139"/>
  <c r="DD26" i="139"/>
  <c r="DC26" i="139"/>
  <c r="DB26" i="139"/>
  <c r="DA26" i="139"/>
  <c r="DM24" i="139"/>
  <c r="DM22" i="139"/>
  <c r="DM21" i="139"/>
  <c r="DM20" i="139"/>
  <c r="DM12" i="139"/>
  <c r="DM10" i="139"/>
  <c r="DM8" i="139"/>
  <c r="DM7" i="139"/>
  <c r="DM5" i="139"/>
  <c r="DL4" i="139"/>
  <c r="DK4" i="139"/>
  <c r="DJ4" i="139"/>
  <c r="DI4" i="139"/>
  <c r="DH4" i="139"/>
  <c r="DG4" i="139"/>
  <c r="DF4" i="139"/>
  <c r="DE4" i="139"/>
  <c r="DD4" i="139"/>
  <c r="DC4" i="139"/>
  <c r="DB4" i="139"/>
  <c r="DA4" i="139"/>
  <c r="BJ145" i="139"/>
  <c r="BI145" i="139"/>
  <c r="BH145" i="139"/>
  <c r="BG145" i="139"/>
  <c r="BF145" i="139"/>
  <c r="BE145" i="139"/>
  <c r="BD145" i="139"/>
  <c r="BC146" i="139"/>
  <c r="BC145" i="139" s="1"/>
  <c r="BB145" i="139"/>
  <c r="BA145" i="139"/>
  <c r="AZ146" i="139"/>
  <c r="AZ145" i="139" s="1"/>
  <c r="AY146" i="139"/>
  <c r="AY145" i="139" s="1"/>
  <c r="AV145" i="139"/>
  <c r="AU146" i="139"/>
  <c r="AU145" i="139" s="1"/>
  <c r="AT146" i="139"/>
  <c r="AT145" i="139" s="1"/>
  <c r="AS146" i="139"/>
  <c r="AS145" i="139" s="1"/>
  <c r="AR146" i="139"/>
  <c r="AR145" i="139" s="1"/>
  <c r="AQ146" i="139"/>
  <c r="AQ145" i="139" s="1"/>
  <c r="AP146" i="139"/>
  <c r="AP145" i="139" s="1"/>
  <c r="AO146" i="139"/>
  <c r="AO145" i="139" s="1"/>
  <c r="AN146" i="139"/>
  <c r="AN145" i="139" s="1"/>
  <c r="AM145" i="139"/>
  <c r="AL145" i="139"/>
  <c r="AK145" i="139"/>
  <c r="BK144" i="139"/>
  <c r="AW144" i="139"/>
  <c r="BK142" i="139"/>
  <c r="AW142" i="139"/>
  <c r="BK141" i="139"/>
  <c r="AW141" i="139"/>
  <c r="BK140" i="139"/>
  <c r="AW140" i="139"/>
  <c r="BK139" i="139"/>
  <c r="AW139" i="139"/>
  <c r="BJ138" i="139"/>
  <c r="BI138" i="139"/>
  <c r="BH138" i="139"/>
  <c r="BG138" i="139"/>
  <c r="BF138" i="139"/>
  <c r="BE138" i="139"/>
  <c r="BD138" i="139"/>
  <c r="BC138" i="139"/>
  <c r="BB138" i="139"/>
  <c r="BA138" i="139"/>
  <c r="AZ138" i="139"/>
  <c r="AY138" i="139"/>
  <c r="AV138" i="139"/>
  <c r="AU138" i="139"/>
  <c r="AT138" i="139"/>
  <c r="AS138" i="139"/>
  <c r="AR138" i="139"/>
  <c r="AQ138" i="139"/>
  <c r="AP138" i="139"/>
  <c r="AO138" i="139"/>
  <c r="AN138" i="139"/>
  <c r="AM138" i="139"/>
  <c r="AL138" i="139"/>
  <c r="AK138" i="139"/>
  <c r="BK137" i="139"/>
  <c r="AW137" i="139"/>
  <c r="BK136" i="139"/>
  <c r="AW136" i="139"/>
  <c r="BJ135" i="139"/>
  <c r="BI135" i="139"/>
  <c r="BH135" i="139"/>
  <c r="BG135" i="139"/>
  <c r="BF135" i="139"/>
  <c r="BE135" i="139"/>
  <c r="BD135" i="139"/>
  <c r="BC135" i="139"/>
  <c r="BB135" i="139"/>
  <c r="BA135" i="139"/>
  <c r="AZ135" i="139"/>
  <c r="AY135" i="139"/>
  <c r="AV135" i="139"/>
  <c r="AU135" i="139"/>
  <c r="AT135" i="139"/>
  <c r="AS135" i="139"/>
  <c r="AR135" i="139"/>
  <c r="AQ135" i="139"/>
  <c r="AP135" i="139"/>
  <c r="AO135" i="139"/>
  <c r="AN135" i="139"/>
  <c r="AM135" i="139"/>
  <c r="AL135" i="139"/>
  <c r="AK135" i="139"/>
  <c r="BK134" i="139"/>
  <c r="AW134" i="139"/>
  <c r="BK133" i="139"/>
  <c r="AW133" i="139"/>
  <c r="BJ132" i="139"/>
  <c r="BI132" i="139"/>
  <c r="BH132" i="139"/>
  <c r="BG132" i="139"/>
  <c r="BF132" i="139"/>
  <c r="BE132" i="139"/>
  <c r="BD132" i="139"/>
  <c r="BC132" i="139"/>
  <c r="BB132" i="139"/>
  <c r="BA132" i="139"/>
  <c r="AZ132" i="139"/>
  <c r="AY132" i="139"/>
  <c r="AV132" i="139"/>
  <c r="AU132" i="139"/>
  <c r="AT132" i="139"/>
  <c r="AS132" i="139"/>
  <c r="AR132" i="139"/>
  <c r="AQ132" i="139"/>
  <c r="AP132" i="139"/>
  <c r="AO132" i="139"/>
  <c r="AN132" i="139"/>
  <c r="AM132" i="139"/>
  <c r="AL132" i="139"/>
  <c r="AK132" i="139"/>
  <c r="BK131" i="139"/>
  <c r="AW131" i="139"/>
  <c r="BK130" i="139"/>
  <c r="AW130" i="139"/>
  <c r="BJ129" i="139"/>
  <c r="BI129" i="139"/>
  <c r="BH129" i="139"/>
  <c r="BG129" i="139"/>
  <c r="BF129" i="139"/>
  <c r="BE129" i="139"/>
  <c r="BD129" i="139"/>
  <c r="BC129" i="139"/>
  <c r="BB129" i="139"/>
  <c r="BA129" i="139"/>
  <c r="AZ129" i="139"/>
  <c r="AY129" i="139"/>
  <c r="AV129" i="139"/>
  <c r="AU129" i="139"/>
  <c r="AT129" i="139"/>
  <c r="AS129" i="139"/>
  <c r="AR129" i="139"/>
  <c r="AQ129" i="139"/>
  <c r="AP129" i="139"/>
  <c r="AO129" i="139"/>
  <c r="AN129" i="139"/>
  <c r="AM129" i="139"/>
  <c r="AL129" i="139"/>
  <c r="AK129" i="139"/>
  <c r="BK128" i="139"/>
  <c r="AW128" i="139"/>
  <c r="BK124" i="139"/>
  <c r="AW124" i="139"/>
  <c r="BJ123" i="139"/>
  <c r="BI123" i="139"/>
  <c r="BH123" i="139"/>
  <c r="BG123" i="139"/>
  <c r="BF123" i="139"/>
  <c r="BE123" i="139"/>
  <c r="BD123" i="139"/>
  <c r="BC123" i="139"/>
  <c r="BB123" i="139"/>
  <c r="BA123" i="139"/>
  <c r="AZ123" i="139"/>
  <c r="AY123" i="139"/>
  <c r="AV123" i="139"/>
  <c r="AU123" i="139"/>
  <c r="AT123" i="139"/>
  <c r="AS123" i="139"/>
  <c r="AR123" i="139"/>
  <c r="AQ123" i="139"/>
  <c r="AP123" i="139"/>
  <c r="AO123" i="139"/>
  <c r="AN123" i="139"/>
  <c r="AM123" i="139"/>
  <c r="AL123" i="139"/>
  <c r="AK123" i="139"/>
  <c r="BK114" i="139"/>
  <c r="AW114" i="139"/>
  <c r="BJ113" i="139"/>
  <c r="BI113" i="139"/>
  <c r="BH113" i="139"/>
  <c r="BG113" i="139"/>
  <c r="BF113" i="139"/>
  <c r="BE113" i="139"/>
  <c r="BD113" i="139"/>
  <c r="BC113" i="139"/>
  <c r="BB113" i="139"/>
  <c r="BA113" i="139"/>
  <c r="AZ113" i="139"/>
  <c r="AY113" i="139"/>
  <c r="AV113" i="139"/>
  <c r="AU113" i="139"/>
  <c r="AT113" i="139"/>
  <c r="AS113" i="139"/>
  <c r="AR113" i="139"/>
  <c r="AQ113" i="139"/>
  <c r="AP113" i="139"/>
  <c r="AO113" i="139"/>
  <c r="AN113" i="139"/>
  <c r="AM113" i="139"/>
  <c r="AL113" i="139"/>
  <c r="AK113" i="139"/>
  <c r="BK112" i="139"/>
  <c r="AW112" i="139"/>
  <c r="BK109" i="139"/>
  <c r="AW109" i="139"/>
  <c r="BJ108" i="139"/>
  <c r="BI108" i="139"/>
  <c r="BH108" i="139"/>
  <c r="BG108" i="139"/>
  <c r="BF108" i="139"/>
  <c r="BE108" i="139"/>
  <c r="BD108" i="139"/>
  <c r="BC108" i="139"/>
  <c r="BB108" i="139"/>
  <c r="BA108" i="139"/>
  <c r="AZ108" i="139"/>
  <c r="AY108" i="139"/>
  <c r="AV108" i="139"/>
  <c r="AU108" i="139"/>
  <c r="AT108" i="139"/>
  <c r="AS108" i="139"/>
  <c r="AR108" i="139"/>
  <c r="AQ108" i="139"/>
  <c r="AP108" i="139"/>
  <c r="AO108" i="139"/>
  <c r="AN108" i="139"/>
  <c r="AM108" i="139"/>
  <c r="AL108" i="139"/>
  <c r="AK108" i="139"/>
  <c r="BK107" i="139"/>
  <c r="AW107" i="139"/>
  <c r="BK103" i="139"/>
  <c r="AW103" i="139"/>
  <c r="BK102" i="139"/>
  <c r="AW102" i="139"/>
  <c r="BK101" i="139"/>
  <c r="AW101" i="139"/>
  <c r="BK100" i="139"/>
  <c r="AW100" i="139"/>
  <c r="BK99" i="139"/>
  <c r="AW99" i="139"/>
  <c r="BK98" i="139"/>
  <c r="AW98" i="139"/>
  <c r="BJ97" i="139"/>
  <c r="BI97" i="139"/>
  <c r="BH97" i="139"/>
  <c r="BH96" i="139" s="1"/>
  <c r="BK96" i="139" s="1"/>
  <c r="BG97" i="139"/>
  <c r="BF97" i="139"/>
  <c r="BE97" i="139"/>
  <c r="BD97" i="139"/>
  <c r="BC97" i="139"/>
  <c r="BB97" i="139"/>
  <c r="BA97" i="139"/>
  <c r="AZ97" i="139"/>
  <c r="AY97" i="139"/>
  <c r="AV97" i="139"/>
  <c r="AU97" i="139"/>
  <c r="AT97" i="139"/>
  <c r="AS97" i="139"/>
  <c r="AR97" i="139"/>
  <c r="AQ97" i="139"/>
  <c r="AP97" i="139"/>
  <c r="AO97" i="139"/>
  <c r="AN97" i="139"/>
  <c r="AM97" i="139"/>
  <c r="AL97" i="139"/>
  <c r="AK97" i="139"/>
  <c r="AW96" i="139"/>
  <c r="BJ95" i="139"/>
  <c r="BI95" i="139"/>
  <c r="BG95" i="139"/>
  <c r="BF95" i="139"/>
  <c r="BE95" i="139"/>
  <c r="BD95" i="139"/>
  <c r="BC95" i="139"/>
  <c r="BB95" i="139"/>
  <c r="BA95" i="139"/>
  <c r="AZ95" i="139"/>
  <c r="AY95" i="139"/>
  <c r="AV95" i="139"/>
  <c r="AU95" i="139"/>
  <c r="AT95" i="139"/>
  <c r="AS95" i="139"/>
  <c r="AR95" i="139"/>
  <c r="AQ95" i="139"/>
  <c r="AP95" i="139"/>
  <c r="AO95" i="139"/>
  <c r="AN95" i="139"/>
  <c r="AM95" i="139"/>
  <c r="AL95" i="139"/>
  <c r="AK95" i="139"/>
  <c r="BK94" i="139"/>
  <c r="AW94" i="139"/>
  <c r="BK93" i="139"/>
  <c r="AW93" i="139"/>
  <c r="BJ92" i="139"/>
  <c r="BI92" i="139"/>
  <c r="BH92" i="139"/>
  <c r="BG92" i="139"/>
  <c r="BF92" i="139"/>
  <c r="BE92" i="139"/>
  <c r="BD92" i="139"/>
  <c r="BC92" i="139"/>
  <c r="BB92" i="139"/>
  <c r="BA92" i="139"/>
  <c r="AZ92" i="139"/>
  <c r="AY92" i="139"/>
  <c r="AV92" i="139"/>
  <c r="AU92" i="139"/>
  <c r="AT92" i="139"/>
  <c r="AS92" i="139"/>
  <c r="AR92" i="139"/>
  <c r="AQ92" i="139"/>
  <c r="AP92" i="139"/>
  <c r="AO92" i="139"/>
  <c r="AN92" i="139"/>
  <c r="AM92" i="139"/>
  <c r="AL92" i="139"/>
  <c r="AK92" i="139"/>
  <c r="BK91" i="139"/>
  <c r="AW91" i="139"/>
  <c r="BK90" i="139"/>
  <c r="AW90" i="139"/>
  <c r="BJ89" i="139"/>
  <c r="BI89" i="139"/>
  <c r="BH89" i="139"/>
  <c r="BG89" i="139"/>
  <c r="BF89" i="139"/>
  <c r="BE89" i="139"/>
  <c r="BD89" i="139"/>
  <c r="BC89" i="139"/>
  <c r="BB89" i="139"/>
  <c r="BA89" i="139"/>
  <c r="AZ89" i="139"/>
  <c r="AY89" i="139"/>
  <c r="AV89" i="139"/>
  <c r="AU89" i="139"/>
  <c r="AT89" i="139"/>
  <c r="AS89" i="139"/>
  <c r="AR89" i="139"/>
  <c r="AQ89" i="139"/>
  <c r="AP89" i="139"/>
  <c r="AO89" i="139"/>
  <c r="AN89" i="139"/>
  <c r="AM89" i="139"/>
  <c r="AL89" i="139"/>
  <c r="AK89" i="139"/>
  <c r="BK88" i="139"/>
  <c r="AW88" i="139"/>
  <c r="BJ87" i="139"/>
  <c r="BI87" i="139"/>
  <c r="BH87" i="139"/>
  <c r="BG87" i="139"/>
  <c r="BF87" i="139"/>
  <c r="BE87" i="139"/>
  <c r="BD87" i="139"/>
  <c r="BC87" i="139"/>
  <c r="BB87" i="139"/>
  <c r="BA87" i="139"/>
  <c r="AZ87" i="139"/>
  <c r="AY87" i="139"/>
  <c r="AV87" i="139"/>
  <c r="AU87" i="139"/>
  <c r="AT87" i="139"/>
  <c r="AS87" i="139"/>
  <c r="AR87" i="139"/>
  <c r="AQ87" i="139"/>
  <c r="AP87" i="139"/>
  <c r="AO87" i="139"/>
  <c r="AN87" i="139"/>
  <c r="AM87" i="139"/>
  <c r="AL87" i="139"/>
  <c r="AK87" i="139"/>
  <c r="BK86" i="139"/>
  <c r="AW86" i="139"/>
  <c r="BK85" i="139"/>
  <c r="AW85" i="139"/>
  <c r="BK81" i="139"/>
  <c r="AW81" i="139"/>
  <c r="BJ80" i="139"/>
  <c r="BI80" i="139"/>
  <c r="BH80" i="139"/>
  <c r="BG80" i="139"/>
  <c r="BF80" i="139"/>
  <c r="BE80" i="139"/>
  <c r="BD80" i="139"/>
  <c r="BB80" i="139"/>
  <c r="BA80" i="139"/>
  <c r="AZ80" i="139"/>
  <c r="AY80" i="139"/>
  <c r="AV80" i="139"/>
  <c r="AU80" i="139"/>
  <c r="AT80" i="139"/>
  <c r="AS80" i="139"/>
  <c r="AR80" i="139"/>
  <c r="AQ80" i="139"/>
  <c r="AP80" i="139"/>
  <c r="AO80" i="139"/>
  <c r="AN80" i="139"/>
  <c r="AM80" i="139"/>
  <c r="AL80" i="139"/>
  <c r="AK80" i="139"/>
  <c r="BK79" i="139"/>
  <c r="AW79" i="139"/>
  <c r="BK78" i="139"/>
  <c r="AW78" i="139"/>
  <c r="BK77" i="139"/>
  <c r="AW77" i="139"/>
  <c r="BK76" i="139"/>
  <c r="AW76" i="139"/>
  <c r="BJ75" i="139"/>
  <c r="BI75" i="139"/>
  <c r="BH75" i="139"/>
  <c r="BG75" i="139"/>
  <c r="BF75" i="139"/>
  <c r="BE75" i="139"/>
  <c r="BD75" i="139"/>
  <c r="BC75" i="139"/>
  <c r="BB75" i="139"/>
  <c r="BA75" i="139"/>
  <c r="AZ75" i="139"/>
  <c r="AY75" i="139"/>
  <c r="AV75" i="139"/>
  <c r="AU75" i="139"/>
  <c r="AT75" i="139"/>
  <c r="AS75" i="139"/>
  <c r="AR75" i="139"/>
  <c r="AQ75" i="139"/>
  <c r="AP75" i="139"/>
  <c r="AO75" i="139"/>
  <c r="AN75" i="139"/>
  <c r="AM75" i="139"/>
  <c r="AL75" i="139"/>
  <c r="AK75" i="139"/>
  <c r="BK74" i="139"/>
  <c r="AW74" i="139"/>
  <c r="BK72" i="139"/>
  <c r="AW72" i="139"/>
  <c r="BK71" i="139"/>
  <c r="AW71" i="139"/>
  <c r="BK70" i="139"/>
  <c r="AW70" i="139"/>
  <c r="BK69" i="139"/>
  <c r="AW69" i="139"/>
  <c r="BK68" i="139"/>
  <c r="AW68" i="139"/>
  <c r="BK67" i="139"/>
  <c r="AW67" i="139"/>
  <c r="BK66" i="139"/>
  <c r="AW66" i="139"/>
  <c r="BK65" i="139"/>
  <c r="AW65" i="139"/>
  <c r="BK64" i="139"/>
  <c r="AW64" i="139"/>
  <c r="BJ63" i="139"/>
  <c r="BI63" i="139"/>
  <c r="BH63" i="139"/>
  <c r="BG63" i="139"/>
  <c r="BF63" i="139"/>
  <c r="BE63" i="139"/>
  <c r="BD63" i="139"/>
  <c r="BC63" i="139"/>
  <c r="BB63" i="139"/>
  <c r="BA63" i="139"/>
  <c r="AZ63" i="139"/>
  <c r="AY63" i="139"/>
  <c r="AV63" i="139"/>
  <c r="AU63" i="139"/>
  <c r="AT63" i="139"/>
  <c r="AS63" i="139"/>
  <c r="AR63" i="139"/>
  <c r="AQ63" i="139"/>
  <c r="AP63" i="139"/>
  <c r="AO63" i="139"/>
  <c r="AN63" i="139"/>
  <c r="AM63" i="139"/>
  <c r="AL63" i="139"/>
  <c r="AK63" i="139"/>
  <c r="BK62" i="139"/>
  <c r="AW62" i="139"/>
  <c r="BK61" i="139"/>
  <c r="AW61" i="139"/>
  <c r="BK60" i="139"/>
  <c r="AW60" i="139"/>
  <c r="BK59" i="139"/>
  <c r="AW59" i="139"/>
  <c r="BK58" i="139"/>
  <c r="AW58" i="139"/>
  <c r="BJ57" i="139"/>
  <c r="BI57" i="139"/>
  <c r="BH57" i="139"/>
  <c r="BG57" i="139"/>
  <c r="BF57" i="139"/>
  <c r="BE57" i="139"/>
  <c r="BD57" i="139"/>
  <c r="BC57" i="139"/>
  <c r="BB57" i="139"/>
  <c r="BA57" i="139"/>
  <c r="AZ57" i="139"/>
  <c r="AY57" i="139"/>
  <c r="AV57" i="139"/>
  <c r="AU57" i="139"/>
  <c r="AT57" i="139"/>
  <c r="AS57" i="139"/>
  <c r="AR57" i="139"/>
  <c r="AQ57" i="139"/>
  <c r="AP57" i="139"/>
  <c r="AO57" i="139"/>
  <c r="AN57" i="139"/>
  <c r="AM57" i="139"/>
  <c r="AL57" i="139"/>
  <c r="AK57" i="139"/>
  <c r="BK56" i="139"/>
  <c r="AW56" i="139"/>
  <c r="BK55" i="139"/>
  <c r="AW55" i="139"/>
  <c r="BK54" i="139"/>
  <c r="AW54" i="139"/>
  <c r="BK53" i="139"/>
  <c r="AW53" i="139"/>
  <c r="BK51" i="139"/>
  <c r="AW51" i="139"/>
  <c r="BJ50" i="139"/>
  <c r="BI50" i="139"/>
  <c r="BH50" i="139"/>
  <c r="BG50" i="139"/>
  <c r="BF50" i="139"/>
  <c r="BE50" i="139"/>
  <c r="BD50" i="139"/>
  <c r="BC50" i="139"/>
  <c r="BB50" i="139"/>
  <c r="BA50" i="139"/>
  <c r="AZ50" i="139"/>
  <c r="AY50" i="139"/>
  <c r="AV50" i="139"/>
  <c r="AU50" i="139"/>
  <c r="AT50" i="139"/>
  <c r="AS50" i="139"/>
  <c r="AR50" i="139"/>
  <c r="AQ50" i="139"/>
  <c r="AP50" i="139"/>
  <c r="AO50" i="139"/>
  <c r="AN50" i="139"/>
  <c r="AM50" i="139"/>
  <c r="AL50" i="139"/>
  <c r="AK50" i="139"/>
  <c r="BK49" i="139"/>
  <c r="AW49" i="139"/>
  <c r="BJ48" i="139"/>
  <c r="BI48" i="139"/>
  <c r="BH48" i="139"/>
  <c r="BG48" i="139"/>
  <c r="BF48" i="139"/>
  <c r="BE48" i="139"/>
  <c r="BD48" i="139"/>
  <c r="BC48" i="139"/>
  <c r="BB48" i="139"/>
  <c r="BA48" i="139"/>
  <c r="AZ48" i="139"/>
  <c r="AY48" i="139"/>
  <c r="AV48" i="139"/>
  <c r="AU48" i="139"/>
  <c r="AT48" i="139"/>
  <c r="AS48" i="139"/>
  <c r="AR48" i="139"/>
  <c r="AQ48" i="139"/>
  <c r="AP48" i="139"/>
  <c r="AO48" i="139"/>
  <c r="AN48" i="139"/>
  <c r="AM48" i="139"/>
  <c r="AL48" i="139"/>
  <c r="AK48" i="139"/>
  <c r="BK47" i="139"/>
  <c r="AW47" i="139"/>
  <c r="BK46" i="139"/>
  <c r="AW46" i="139"/>
  <c r="BK45" i="139"/>
  <c r="AW45" i="139"/>
  <c r="BK44" i="139"/>
  <c r="AW44" i="139"/>
  <c r="BK43" i="139"/>
  <c r="AW43" i="139"/>
  <c r="BK42" i="139"/>
  <c r="AW42" i="139"/>
  <c r="BJ41" i="139"/>
  <c r="BI41" i="139"/>
  <c r="BH41" i="139"/>
  <c r="BG41" i="139"/>
  <c r="BF41" i="139"/>
  <c r="BE41" i="139"/>
  <c r="BD41" i="139"/>
  <c r="BC41" i="139"/>
  <c r="BB41" i="139"/>
  <c r="BA41" i="139"/>
  <c r="AZ41" i="139"/>
  <c r="AY41" i="139"/>
  <c r="AV41" i="139"/>
  <c r="AU41" i="139"/>
  <c r="AT41" i="139"/>
  <c r="AS41" i="139"/>
  <c r="AR41" i="139"/>
  <c r="AQ41" i="139"/>
  <c r="AP41" i="139"/>
  <c r="AO41" i="139"/>
  <c r="AN41" i="139"/>
  <c r="AM41" i="139"/>
  <c r="AL41" i="139"/>
  <c r="AK41" i="139"/>
  <c r="BK40" i="139"/>
  <c r="AW40" i="139"/>
  <c r="BK39" i="139"/>
  <c r="AW39" i="139"/>
  <c r="BK38" i="139"/>
  <c r="AW38" i="139"/>
  <c r="BK37" i="139"/>
  <c r="AW37" i="139"/>
  <c r="BK36" i="139"/>
  <c r="AW36" i="139"/>
  <c r="BK33" i="139"/>
  <c r="AW33" i="139"/>
  <c r="BJ32" i="139"/>
  <c r="BI32" i="139"/>
  <c r="BH32" i="139"/>
  <c r="BG32" i="139"/>
  <c r="BF32" i="139"/>
  <c r="BE32" i="139"/>
  <c r="BD32" i="139"/>
  <c r="BC32" i="139"/>
  <c r="BB32" i="139"/>
  <c r="BA32" i="139"/>
  <c r="AZ32" i="139"/>
  <c r="AY32" i="139"/>
  <c r="AV32" i="139"/>
  <c r="AU32" i="139"/>
  <c r="AT32" i="139"/>
  <c r="AS32" i="139"/>
  <c r="AR32" i="139"/>
  <c r="AQ32" i="139"/>
  <c r="AP32" i="139"/>
  <c r="AO32" i="139"/>
  <c r="AN32" i="139"/>
  <c r="AM32" i="139"/>
  <c r="AL32" i="139"/>
  <c r="AK32" i="139"/>
  <c r="BK31" i="139"/>
  <c r="AW31" i="139"/>
  <c r="BK28" i="139"/>
  <c r="AW28" i="139"/>
  <c r="BK27" i="139"/>
  <c r="AW27" i="139"/>
  <c r="BJ26" i="139"/>
  <c r="BI26" i="139"/>
  <c r="BH26" i="139"/>
  <c r="BG26" i="139"/>
  <c r="BF26" i="139"/>
  <c r="BE26" i="139"/>
  <c r="BD26" i="139"/>
  <c r="BC26" i="139"/>
  <c r="BB26" i="139"/>
  <c r="BA26" i="139"/>
  <c r="AZ26" i="139"/>
  <c r="AY26" i="139"/>
  <c r="AV26" i="139"/>
  <c r="AU26" i="139"/>
  <c r="AT26" i="139"/>
  <c r="AS26" i="139"/>
  <c r="AR26" i="139"/>
  <c r="AQ26" i="139"/>
  <c r="AP26" i="139"/>
  <c r="AO26" i="139"/>
  <c r="AN26" i="139"/>
  <c r="AM26" i="139"/>
  <c r="AL26" i="139"/>
  <c r="AK26" i="139"/>
  <c r="BK24" i="139"/>
  <c r="AW24" i="139"/>
  <c r="BK22" i="139"/>
  <c r="AW22" i="139"/>
  <c r="BK21" i="139"/>
  <c r="AW21" i="139"/>
  <c r="BK20" i="139"/>
  <c r="AW20" i="139"/>
  <c r="BK12" i="139"/>
  <c r="AW12" i="139"/>
  <c r="BK10" i="139"/>
  <c r="AW10" i="139"/>
  <c r="BK8" i="139"/>
  <c r="AW8" i="139"/>
  <c r="BK7" i="139"/>
  <c r="AW7" i="139"/>
  <c r="BK5" i="139"/>
  <c r="AW5" i="139"/>
  <c r="AT4" i="139"/>
  <c r="AS4" i="139"/>
  <c r="AR4" i="139"/>
  <c r="AQ4" i="139"/>
  <c r="AP4" i="139"/>
  <c r="AO4" i="139"/>
  <c r="AN4" i="139"/>
  <c r="AM4" i="139"/>
  <c r="AL4" i="139"/>
  <c r="AK4" i="139"/>
  <c r="BX145" i="139"/>
  <c r="BW145" i="139"/>
  <c r="BV145" i="139"/>
  <c r="BU145" i="139"/>
  <c r="BT145" i="139"/>
  <c r="BS145" i="139"/>
  <c r="BR145" i="139"/>
  <c r="BQ145" i="139"/>
  <c r="BP145" i="139"/>
  <c r="BO145" i="139"/>
  <c r="BN145" i="139"/>
  <c r="BM145" i="139"/>
  <c r="BY144" i="139"/>
  <c r="BY142" i="139"/>
  <c r="BY141" i="139"/>
  <c r="BY140" i="139"/>
  <c r="BY139" i="139"/>
  <c r="BX138" i="139"/>
  <c r="BW138" i="139"/>
  <c r="BV138" i="139"/>
  <c r="BU138" i="139"/>
  <c r="BT138" i="139"/>
  <c r="BS138" i="139"/>
  <c r="BR138" i="139"/>
  <c r="BQ138" i="139"/>
  <c r="BP138" i="139"/>
  <c r="BO138" i="139"/>
  <c r="BN138" i="139"/>
  <c r="BM138" i="139"/>
  <c r="BY137" i="139"/>
  <c r="BY136" i="139"/>
  <c r="BX135" i="139"/>
  <c r="BW135" i="139"/>
  <c r="BV135" i="139"/>
  <c r="BU135" i="139"/>
  <c r="BT135" i="139"/>
  <c r="BS135" i="139"/>
  <c r="BR135" i="139"/>
  <c r="BQ135" i="139"/>
  <c r="BP135" i="139"/>
  <c r="BO135" i="139"/>
  <c r="BN135" i="139"/>
  <c r="BM135" i="139"/>
  <c r="BY134" i="139"/>
  <c r="BY133" i="139"/>
  <c r="BX132" i="139"/>
  <c r="BW132" i="139"/>
  <c r="BV132" i="139"/>
  <c r="BU132" i="139"/>
  <c r="BT132" i="139"/>
  <c r="BS132" i="139"/>
  <c r="BR132" i="139"/>
  <c r="BQ132" i="139"/>
  <c r="BP132" i="139"/>
  <c r="BO132" i="139"/>
  <c r="BN132" i="139"/>
  <c r="BM132" i="139"/>
  <c r="BY131" i="139"/>
  <c r="BY130" i="139"/>
  <c r="BX129" i="139"/>
  <c r="BW129" i="139"/>
  <c r="BV129" i="139"/>
  <c r="BU129" i="139"/>
  <c r="BT129" i="139"/>
  <c r="BS129" i="139"/>
  <c r="BR129" i="139"/>
  <c r="BQ129" i="139"/>
  <c r="BP129" i="139"/>
  <c r="BO129" i="139"/>
  <c r="BN129" i="139"/>
  <c r="BM129" i="139"/>
  <c r="BY128" i="139"/>
  <c r="BY124" i="139"/>
  <c r="BX123" i="139"/>
  <c r="BW123" i="139"/>
  <c r="BV123" i="139"/>
  <c r="BU123" i="139"/>
  <c r="BT123" i="139"/>
  <c r="BS123" i="139"/>
  <c r="BR123" i="139"/>
  <c r="BQ123" i="139"/>
  <c r="BP123" i="139"/>
  <c r="BO123" i="139"/>
  <c r="BN123" i="139"/>
  <c r="BM123" i="139"/>
  <c r="BY114" i="139"/>
  <c r="BX113" i="139"/>
  <c r="BW113" i="139"/>
  <c r="BV113" i="139"/>
  <c r="BU113" i="139"/>
  <c r="BT113" i="139"/>
  <c r="BS113" i="139"/>
  <c r="BR113" i="139"/>
  <c r="BQ113" i="139"/>
  <c r="BP113" i="139"/>
  <c r="BO113" i="139"/>
  <c r="BN113" i="139"/>
  <c r="BM113" i="139"/>
  <c r="BY112" i="139"/>
  <c r="BY109" i="139"/>
  <c r="BX108" i="139"/>
  <c r="BW108" i="139"/>
  <c r="BV108" i="139"/>
  <c r="BU108" i="139"/>
  <c r="BT108" i="139"/>
  <c r="BS108" i="139"/>
  <c r="BR108" i="139"/>
  <c r="BQ108" i="139"/>
  <c r="BP108" i="139"/>
  <c r="BO108" i="139"/>
  <c r="BN108" i="139"/>
  <c r="BM108" i="139"/>
  <c r="BY107" i="139"/>
  <c r="BY103" i="139"/>
  <c r="BY102" i="139"/>
  <c r="BY101" i="139"/>
  <c r="BY100" i="139"/>
  <c r="BY99" i="139"/>
  <c r="BY98" i="139"/>
  <c r="BX97" i="139"/>
  <c r="BW97" i="139"/>
  <c r="BV97" i="139"/>
  <c r="BU97" i="139"/>
  <c r="BT97" i="139"/>
  <c r="BS97" i="139"/>
  <c r="BR97" i="139"/>
  <c r="BQ97" i="139"/>
  <c r="BP97" i="139"/>
  <c r="BO97" i="139"/>
  <c r="BN97" i="139"/>
  <c r="BM97" i="139"/>
  <c r="BY96" i="139"/>
  <c r="BX95" i="139"/>
  <c r="BW95" i="139"/>
  <c r="BV95" i="139"/>
  <c r="BU95" i="139"/>
  <c r="BT95" i="139"/>
  <c r="BS95" i="139"/>
  <c r="BR95" i="139"/>
  <c r="BQ95" i="139"/>
  <c r="BP95" i="139"/>
  <c r="BO95" i="139"/>
  <c r="BN95" i="139"/>
  <c r="BM95" i="139"/>
  <c r="BY94" i="139"/>
  <c r="BY93" i="139"/>
  <c r="BX92" i="139"/>
  <c r="BW92" i="139"/>
  <c r="BV92" i="139"/>
  <c r="BU92" i="139"/>
  <c r="BT92" i="139"/>
  <c r="BS92" i="139"/>
  <c r="BR92" i="139"/>
  <c r="BQ92" i="139"/>
  <c r="BP92" i="139"/>
  <c r="BO92" i="139"/>
  <c r="BN92" i="139"/>
  <c r="BM92" i="139"/>
  <c r="BY91" i="139"/>
  <c r="BY90" i="139"/>
  <c r="BX89" i="139"/>
  <c r="BW89" i="139"/>
  <c r="BV89" i="139"/>
  <c r="BU89" i="139"/>
  <c r="BT89" i="139"/>
  <c r="BS89" i="139"/>
  <c r="BR89" i="139"/>
  <c r="BQ89" i="139"/>
  <c r="BP89" i="139"/>
  <c r="BO89" i="139"/>
  <c r="BN89" i="139"/>
  <c r="BM89" i="139"/>
  <c r="BY88" i="139"/>
  <c r="BX87" i="139"/>
  <c r="BW87" i="139"/>
  <c r="BV87" i="139"/>
  <c r="BU87" i="139"/>
  <c r="BT87" i="139"/>
  <c r="BS87" i="139"/>
  <c r="BR87" i="139"/>
  <c r="BQ87" i="139"/>
  <c r="BO87" i="139"/>
  <c r="BN87" i="139"/>
  <c r="BM87" i="139"/>
  <c r="BY86" i="139"/>
  <c r="BY85" i="139"/>
  <c r="BY81" i="139"/>
  <c r="BX80" i="139"/>
  <c r="BW80" i="139"/>
  <c r="BV80" i="139"/>
  <c r="BU80" i="139"/>
  <c r="BT80" i="139"/>
  <c r="BS80" i="139"/>
  <c r="BR80" i="139"/>
  <c r="BQ80" i="139"/>
  <c r="BP80" i="139"/>
  <c r="BO80" i="139"/>
  <c r="BN80" i="139"/>
  <c r="BM80" i="139"/>
  <c r="BY79" i="139"/>
  <c r="BY78" i="139"/>
  <c r="BY77" i="139"/>
  <c r="BY76" i="139"/>
  <c r="BX75" i="139"/>
  <c r="BW75" i="139"/>
  <c r="BV75" i="139"/>
  <c r="BU75" i="139"/>
  <c r="BT75" i="139"/>
  <c r="BS75" i="139"/>
  <c r="BR75" i="139"/>
  <c r="BQ75" i="139"/>
  <c r="BP75" i="139"/>
  <c r="BO75" i="139"/>
  <c r="BN75" i="139"/>
  <c r="BM75" i="139"/>
  <c r="BY74" i="139"/>
  <c r="BY72" i="139"/>
  <c r="BY71" i="139"/>
  <c r="BY70" i="139"/>
  <c r="BY69" i="139"/>
  <c r="BY68" i="139"/>
  <c r="BY67" i="139"/>
  <c r="BY66" i="139"/>
  <c r="BY65" i="139"/>
  <c r="BY64" i="139"/>
  <c r="BX63" i="139"/>
  <c r="BW63" i="139"/>
  <c r="BV63" i="139"/>
  <c r="BU63" i="139"/>
  <c r="BT63" i="139"/>
  <c r="BS63" i="139"/>
  <c r="BR63" i="139"/>
  <c r="BQ63" i="139"/>
  <c r="BP63" i="139"/>
  <c r="BO63" i="139"/>
  <c r="BN63" i="139"/>
  <c r="BM63" i="139"/>
  <c r="BY62" i="139"/>
  <c r="BY61" i="139"/>
  <c r="BY60" i="139"/>
  <c r="BY59" i="139"/>
  <c r="BY58" i="139"/>
  <c r="BX57" i="139"/>
  <c r="BW57" i="139"/>
  <c r="BV57" i="139"/>
  <c r="BU57" i="139"/>
  <c r="BT57" i="139"/>
  <c r="BS57" i="139"/>
  <c r="BR57" i="139"/>
  <c r="BQ57" i="139"/>
  <c r="BP57" i="139"/>
  <c r="BO57" i="139"/>
  <c r="BN57" i="139"/>
  <c r="BM57" i="139"/>
  <c r="BY56" i="139"/>
  <c r="BY55" i="139"/>
  <c r="BY54" i="139"/>
  <c r="BY53" i="139"/>
  <c r="BY51" i="139"/>
  <c r="BX50" i="139"/>
  <c r="BW50" i="139"/>
  <c r="BV50" i="139"/>
  <c r="BU50" i="139"/>
  <c r="BT50" i="139"/>
  <c r="BS50" i="139"/>
  <c r="BR50" i="139"/>
  <c r="BQ50" i="139"/>
  <c r="BP50" i="139"/>
  <c r="BO50" i="139"/>
  <c r="BN50" i="139"/>
  <c r="BM50" i="139"/>
  <c r="BY49" i="139"/>
  <c r="BX48" i="139"/>
  <c r="BW48" i="139"/>
  <c r="BV48" i="139"/>
  <c r="BU48" i="139"/>
  <c r="BT48" i="139"/>
  <c r="BS48" i="139"/>
  <c r="BR48" i="139"/>
  <c r="BQ48" i="139"/>
  <c r="BP48" i="139"/>
  <c r="BO48" i="139"/>
  <c r="BN48" i="139"/>
  <c r="BM48" i="139"/>
  <c r="BY47" i="139"/>
  <c r="BY46" i="139"/>
  <c r="BY45" i="139"/>
  <c r="BY44" i="139"/>
  <c r="BY43" i="139"/>
  <c r="BY42" i="139"/>
  <c r="BX41" i="139"/>
  <c r="BW41" i="139"/>
  <c r="BV41" i="139"/>
  <c r="BU41" i="139"/>
  <c r="BT41" i="139"/>
  <c r="BS41" i="139"/>
  <c r="BR41" i="139"/>
  <c r="BQ41" i="139"/>
  <c r="BP41" i="139"/>
  <c r="BO41" i="139"/>
  <c r="BN41" i="139"/>
  <c r="BM41" i="139"/>
  <c r="BY40" i="139"/>
  <c r="BY39" i="139"/>
  <c r="BY38" i="139"/>
  <c r="BY37" i="139"/>
  <c r="BY36" i="139"/>
  <c r="BY33" i="139"/>
  <c r="BX32" i="139"/>
  <c r="BW32" i="139"/>
  <c r="BV32" i="139"/>
  <c r="BU32" i="139"/>
  <c r="BT32" i="139"/>
  <c r="BS32" i="139"/>
  <c r="BR32" i="139"/>
  <c r="BQ32" i="139"/>
  <c r="BP32" i="139"/>
  <c r="BO32" i="139"/>
  <c r="BN32" i="139"/>
  <c r="BM32" i="139"/>
  <c r="BY31" i="139"/>
  <c r="BY28" i="139"/>
  <c r="BY27" i="139"/>
  <c r="BX26" i="139"/>
  <c r="BW26" i="139"/>
  <c r="BV26" i="139"/>
  <c r="BU26" i="139"/>
  <c r="BT26" i="139"/>
  <c r="BS26" i="139"/>
  <c r="BR26" i="139"/>
  <c r="BP26" i="139"/>
  <c r="BO26" i="139"/>
  <c r="BN26" i="139"/>
  <c r="BM26" i="139"/>
  <c r="BY24" i="139"/>
  <c r="BY22" i="139"/>
  <c r="BY21" i="139"/>
  <c r="BY20" i="139"/>
  <c r="BY12" i="139"/>
  <c r="BY10" i="139"/>
  <c r="BY8" i="139"/>
  <c r="BY7" i="139"/>
  <c r="BY5" i="139"/>
  <c r="BX4" i="139"/>
  <c r="BW4" i="139"/>
  <c r="BV4" i="139"/>
  <c r="BU4" i="139"/>
  <c r="BT4" i="139"/>
  <c r="BS4" i="139"/>
  <c r="BR4" i="139"/>
  <c r="DZ144" i="139"/>
  <c r="DZ142" i="139"/>
  <c r="DZ141" i="139"/>
  <c r="DZ140" i="139"/>
  <c r="DZ139" i="139"/>
  <c r="DZ137" i="139"/>
  <c r="DZ136" i="139"/>
  <c r="DZ134" i="139"/>
  <c r="DZ133" i="139"/>
  <c r="DZ131" i="139"/>
  <c r="DZ130" i="139"/>
  <c r="DZ128" i="139"/>
  <c r="DZ124" i="139"/>
  <c r="DZ114" i="139"/>
  <c r="DZ112" i="139"/>
  <c r="DZ109" i="139"/>
  <c r="DZ107" i="139"/>
  <c r="DZ103" i="139"/>
  <c r="DZ102" i="139"/>
  <c r="DZ101" i="139"/>
  <c r="DZ100" i="139"/>
  <c r="DZ99" i="139"/>
  <c r="DZ98" i="139"/>
  <c r="DZ96" i="139"/>
  <c r="DZ94" i="139"/>
  <c r="DZ93" i="139"/>
  <c r="DZ91" i="139"/>
  <c r="DZ90" i="139"/>
  <c r="DZ88" i="139"/>
  <c r="DZ86" i="139"/>
  <c r="DZ85" i="139"/>
  <c r="DZ81" i="139"/>
  <c r="DZ79" i="139"/>
  <c r="DZ78" i="139"/>
  <c r="DZ77" i="139"/>
  <c r="DZ76" i="139"/>
  <c r="DZ74" i="139"/>
  <c r="DZ72" i="139"/>
  <c r="DZ71" i="139"/>
  <c r="DZ70" i="139"/>
  <c r="DZ69" i="139"/>
  <c r="DZ68" i="139"/>
  <c r="DZ67" i="139"/>
  <c r="DZ66" i="139"/>
  <c r="DZ65" i="139"/>
  <c r="DZ64" i="139"/>
  <c r="DZ62" i="139"/>
  <c r="DZ61" i="139"/>
  <c r="DZ60" i="139"/>
  <c r="DZ59" i="139"/>
  <c r="DZ58" i="139"/>
  <c r="DZ56" i="139"/>
  <c r="DZ55" i="139"/>
  <c r="DZ54" i="139"/>
  <c r="DZ53" i="139"/>
  <c r="DZ51" i="139"/>
  <c r="DZ49" i="139"/>
  <c r="DZ47" i="139"/>
  <c r="DZ46" i="139"/>
  <c r="DZ45" i="139"/>
  <c r="DZ44" i="139"/>
  <c r="DZ43" i="139"/>
  <c r="DZ42" i="139"/>
  <c r="DZ40" i="139"/>
  <c r="DZ39" i="139"/>
  <c r="DZ38" i="139"/>
  <c r="DZ37" i="139"/>
  <c r="DZ36" i="139"/>
  <c r="DZ33" i="139"/>
  <c r="DZ31" i="139"/>
  <c r="DZ28" i="139"/>
  <c r="DZ27" i="139"/>
  <c r="DZ24" i="139"/>
  <c r="DZ22" i="139"/>
  <c r="DZ21" i="139"/>
  <c r="DZ20" i="139"/>
  <c r="DZ12" i="139"/>
  <c r="DZ10" i="139"/>
  <c r="DZ8" i="139"/>
  <c r="DZ7" i="139"/>
  <c r="DZ5" i="139"/>
  <c r="DY145" i="139"/>
  <c r="DY138" i="139"/>
  <c r="DY135" i="139"/>
  <c r="DY132" i="139"/>
  <c r="DY129" i="139"/>
  <c r="DY123" i="139"/>
  <c r="DY113" i="139"/>
  <c r="DY108" i="139"/>
  <c r="DY97" i="139"/>
  <c r="DY95" i="139"/>
  <c r="DY92" i="139"/>
  <c r="DY89" i="139"/>
  <c r="DY87" i="139"/>
  <c r="DY80" i="139"/>
  <c r="DY75" i="139"/>
  <c r="DY63" i="139"/>
  <c r="DY57" i="139"/>
  <c r="DY50" i="139"/>
  <c r="DY48" i="139"/>
  <c r="DY41" i="139"/>
  <c r="DY32" i="139"/>
  <c r="DY26" i="139"/>
  <c r="DY4" i="139"/>
  <c r="DQ145" i="139"/>
  <c r="DP145" i="139"/>
  <c r="DO145" i="139"/>
  <c r="DN145" i="139"/>
  <c r="DQ138" i="139"/>
  <c r="DP138" i="139"/>
  <c r="DO138" i="139"/>
  <c r="DN138" i="139"/>
  <c r="DQ135" i="139"/>
  <c r="DP135" i="139"/>
  <c r="DO135" i="139"/>
  <c r="DN135" i="139"/>
  <c r="DQ132" i="139"/>
  <c r="DP132" i="139"/>
  <c r="DO132" i="139"/>
  <c r="DN132" i="139"/>
  <c r="DQ129" i="139"/>
  <c r="DP129" i="139"/>
  <c r="DO129" i="139"/>
  <c r="DN129" i="139"/>
  <c r="DQ123" i="139"/>
  <c r="DP123" i="139"/>
  <c r="DO123" i="139"/>
  <c r="DN123" i="139"/>
  <c r="DQ113" i="139"/>
  <c r="DP113" i="139"/>
  <c r="DO113" i="139"/>
  <c r="DN113" i="139"/>
  <c r="DQ108" i="139"/>
  <c r="DP108" i="139"/>
  <c r="DO108" i="139"/>
  <c r="DN108" i="139"/>
  <c r="DQ97" i="139"/>
  <c r="DP97" i="139"/>
  <c r="DO97" i="139"/>
  <c r="DN97" i="139"/>
  <c r="DQ95" i="139"/>
  <c r="DP95" i="139"/>
  <c r="DO95" i="139"/>
  <c r="DN95" i="139"/>
  <c r="DQ92" i="139"/>
  <c r="DP92" i="139"/>
  <c r="DO92" i="139"/>
  <c r="DN92" i="139"/>
  <c r="DQ89" i="139"/>
  <c r="DP89" i="139"/>
  <c r="DO89" i="139"/>
  <c r="DN89" i="139"/>
  <c r="DQ87" i="139"/>
  <c r="DP87" i="139"/>
  <c r="DO87" i="139"/>
  <c r="DN87" i="139"/>
  <c r="DQ80" i="139"/>
  <c r="DP80" i="139"/>
  <c r="DO80" i="139"/>
  <c r="DN80" i="139"/>
  <c r="DQ75" i="139"/>
  <c r="DP75" i="139"/>
  <c r="DO75" i="139"/>
  <c r="DN75" i="139"/>
  <c r="DQ63" i="139"/>
  <c r="DP63" i="139"/>
  <c r="DO63" i="139"/>
  <c r="DN63" i="139"/>
  <c r="DQ57" i="139"/>
  <c r="DP57" i="139"/>
  <c r="DO57" i="139"/>
  <c r="DN57" i="139"/>
  <c r="DQ50" i="139"/>
  <c r="DP50" i="139"/>
  <c r="DO50" i="139"/>
  <c r="DN50" i="139"/>
  <c r="DQ48" i="139"/>
  <c r="DP48" i="139"/>
  <c r="DO48" i="139"/>
  <c r="DN48" i="139"/>
  <c r="DQ41" i="139"/>
  <c r="DP41" i="139"/>
  <c r="DO41" i="139"/>
  <c r="DN41" i="139"/>
  <c r="DQ32" i="139"/>
  <c r="DP32" i="139"/>
  <c r="DO32" i="139"/>
  <c r="DN32" i="139"/>
  <c r="DQ26" i="139"/>
  <c r="DP26" i="139"/>
  <c r="DO26" i="139"/>
  <c r="DN26" i="139"/>
  <c r="DQ4" i="139"/>
  <c r="DP4" i="139"/>
  <c r="DO4" i="139"/>
  <c r="DN4" i="139"/>
  <c r="DU145" i="139"/>
  <c r="DT145" i="139"/>
  <c r="DS145" i="139"/>
  <c r="DR145" i="139"/>
  <c r="DU138" i="139"/>
  <c r="DT138" i="139"/>
  <c r="DS138" i="139"/>
  <c r="DR138" i="139"/>
  <c r="DU135" i="139"/>
  <c r="DT135" i="139"/>
  <c r="DS135" i="139"/>
  <c r="DR135" i="139"/>
  <c r="DU132" i="139"/>
  <c r="DT132" i="139"/>
  <c r="DS132" i="139"/>
  <c r="DR132" i="139"/>
  <c r="DU129" i="139"/>
  <c r="DT129" i="139"/>
  <c r="DS129" i="139"/>
  <c r="DR129" i="139"/>
  <c r="DU123" i="139"/>
  <c r="DT123" i="139"/>
  <c r="DS123" i="139"/>
  <c r="DR123" i="139"/>
  <c r="DU113" i="139"/>
  <c r="DT113" i="139"/>
  <c r="DS113" i="139"/>
  <c r="DR113" i="139"/>
  <c r="DU108" i="139"/>
  <c r="DT108" i="139"/>
  <c r="DS108" i="139"/>
  <c r="DR108" i="139"/>
  <c r="DU97" i="139"/>
  <c r="DT97" i="139"/>
  <c r="DS97" i="139"/>
  <c r="DR97" i="139"/>
  <c r="DU95" i="139"/>
  <c r="DT95" i="139"/>
  <c r="DS95" i="139"/>
  <c r="DR95" i="139"/>
  <c r="DU92" i="139"/>
  <c r="DT92" i="139"/>
  <c r="DS92" i="139"/>
  <c r="DR92" i="139"/>
  <c r="DU89" i="139"/>
  <c r="DT89" i="139"/>
  <c r="DS89" i="139"/>
  <c r="DR89" i="139"/>
  <c r="DU87" i="139"/>
  <c r="DT87" i="139"/>
  <c r="DS87" i="139"/>
  <c r="DR87" i="139"/>
  <c r="DU80" i="139"/>
  <c r="DT80" i="139"/>
  <c r="DS80" i="139"/>
  <c r="DR80" i="139"/>
  <c r="DU75" i="139"/>
  <c r="DT75" i="139"/>
  <c r="DS75" i="139"/>
  <c r="DR75" i="139"/>
  <c r="DU63" i="139"/>
  <c r="DT63" i="139"/>
  <c r="DS63" i="139"/>
  <c r="DR63" i="139"/>
  <c r="DU57" i="139"/>
  <c r="DT57" i="139"/>
  <c r="DS57" i="139"/>
  <c r="DR57" i="139"/>
  <c r="DU50" i="139"/>
  <c r="DT50" i="139"/>
  <c r="DS50" i="139"/>
  <c r="DR50" i="139"/>
  <c r="DU48" i="139"/>
  <c r="DT48" i="139"/>
  <c r="DS48" i="139"/>
  <c r="DR48" i="139"/>
  <c r="DU41" i="139"/>
  <c r="DT41" i="139"/>
  <c r="DS41" i="139"/>
  <c r="DR41" i="139"/>
  <c r="DU32" i="139"/>
  <c r="DT32" i="139"/>
  <c r="DS32" i="139"/>
  <c r="DR32" i="139"/>
  <c r="DU26" i="139"/>
  <c r="DT26" i="139"/>
  <c r="DS26" i="139"/>
  <c r="DR26" i="139"/>
  <c r="DU4" i="139"/>
  <c r="DT4" i="139"/>
  <c r="DS4" i="139"/>
  <c r="DR4" i="139"/>
  <c r="DW145" i="139"/>
  <c r="DV145" i="139"/>
  <c r="DW138" i="139"/>
  <c r="DV138" i="139"/>
  <c r="DW135" i="139"/>
  <c r="DV135" i="139"/>
  <c r="DW132" i="139"/>
  <c r="DV132" i="139"/>
  <c r="DW129" i="139"/>
  <c r="DV129" i="139"/>
  <c r="DW123" i="139"/>
  <c r="DV123" i="139"/>
  <c r="DW113" i="139"/>
  <c r="DV113" i="139"/>
  <c r="DW108" i="139"/>
  <c r="DV108" i="139"/>
  <c r="DW97" i="139"/>
  <c r="DV97" i="139"/>
  <c r="DW95" i="139"/>
  <c r="DV95" i="139"/>
  <c r="DW92" i="139"/>
  <c r="DV92" i="139"/>
  <c r="DW89" i="139"/>
  <c r="DV89" i="139"/>
  <c r="DW87" i="139"/>
  <c r="DV87" i="139"/>
  <c r="DW80" i="139"/>
  <c r="DV80" i="139"/>
  <c r="DW75" i="139"/>
  <c r="DV75" i="139"/>
  <c r="DW63" i="139"/>
  <c r="DV63" i="139"/>
  <c r="DW57" i="139"/>
  <c r="DV57" i="139"/>
  <c r="DW50" i="139"/>
  <c r="DV50" i="139"/>
  <c r="DW48" i="139"/>
  <c r="DV48" i="139"/>
  <c r="DW41" i="139"/>
  <c r="DV41" i="139"/>
  <c r="DW32" i="139"/>
  <c r="DV32" i="139"/>
  <c r="DW26" i="139"/>
  <c r="DV26" i="139"/>
  <c r="DW4" i="139"/>
  <c r="DV4" i="139"/>
  <c r="AI144" i="139"/>
  <c r="AI142" i="139"/>
  <c r="AI141" i="139"/>
  <c r="AI140" i="139"/>
  <c r="AI139" i="139"/>
  <c r="AI137" i="139"/>
  <c r="AI134" i="139"/>
  <c r="AI133" i="139"/>
  <c r="AI131" i="139"/>
  <c r="AI128" i="139"/>
  <c r="AI124" i="139"/>
  <c r="AI112" i="139"/>
  <c r="AI109" i="139"/>
  <c r="AI103" i="139"/>
  <c r="AI102" i="139"/>
  <c r="AI101" i="139"/>
  <c r="AI100" i="139"/>
  <c r="AI99" i="139"/>
  <c r="AI98" i="139"/>
  <c r="AI96" i="139"/>
  <c r="AI94" i="139"/>
  <c r="AI93" i="139"/>
  <c r="AI91" i="139"/>
  <c r="AI90" i="139"/>
  <c r="AI85" i="139"/>
  <c r="AI81" i="139"/>
  <c r="AI78" i="139"/>
  <c r="AI77" i="139"/>
  <c r="AI74" i="139"/>
  <c r="AI72" i="139"/>
  <c r="AI71" i="139"/>
  <c r="AI70" i="139"/>
  <c r="AI69" i="139"/>
  <c r="AI68" i="139"/>
  <c r="AI66" i="139"/>
  <c r="AI65" i="139"/>
  <c r="AI64" i="139"/>
  <c r="AI62" i="139"/>
  <c r="AI61" i="139"/>
  <c r="AI60" i="139"/>
  <c r="AI59" i="139"/>
  <c r="AI56" i="139"/>
  <c r="AI55" i="139"/>
  <c r="AI54" i="139"/>
  <c r="AI53" i="139"/>
  <c r="AI51" i="139"/>
  <c r="AI49" i="139"/>
  <c r="AI46" i="139"/>
  <c r="AI45" i="139"/>
  <c r="AI43" i="139"/>
  <c r="AI42" i="139"/>
  <c r="AI40" i="139"/>
  <c r="AI39" i="139"/>
  <c r="AI38" i="139"/>
  <c r="AI37" i="139"/>
  <c r="AI36" i="139"/>
  <c r="AI33" i="139"/>
  <c r="AI28" i="139"/>
  <c r="AI24" i="139"/>
  <c r="AI22" i="139"/>
  <c r="AI21" i="139"/>
  <c r="AI20" i="139"/>
  <c r="AI12" i="139"/>
  <c r="AI10" i="139"/>
  <c r="AI7" i="139"/>
  <c r="U146" i="139"/>
  <c r="U144" i="139"/>
  <c r="U142" i="139"/>
  <c r="U141" i="139"/>
  <c r="U140" i="139"/>
  <c r="U139" i="139"/>
  <c r="U137" i="139"/>
  <c r="U136" i="139"/>
  <c r="U134" i="139"/>
  <c r="U131" i="139"/>
  <c r="U128" i="139"/>
  <c r="U124" i="139"/>
  <c r="U114" i="139"/>
  <c r="U109" i="139"/>
  <c r="U107" i="139"/>
  <c r="U103" i="139"/>
  <c r="U102" i="139"/>
  <c r="U101" i="139"/>
  <c r="U100" i="139"/>
  <c r="U99" i="139"/>
  <c r="U98" i="139"/>
  <c r="U94" i="139"/>
  <c r="U93" i="139"/>
  <c r="U91" i="139"/>
  <c r="U90" i="139"/>
  <c r="U88" i="139"/>
  <c r="U81" i="139"/>
  <c r="U78" i="139"/>
  <c r="U77" i="139"/>
  <c r="U74" i="139"/>
  <c r="U72" i="139"/>
  <c r="U71" i="139"/>
  <c r="U70" i="139"/>
  <c r="U69" i="139"/>
  <c r="U68" i="139"/>
  <c r="U67" i="139"/>
  <c r="U66" i="139"/>
  <c r="U64" i="139"/>
  <c r="U62" i="139"/>
  <c r="U61" i="139"/>
  <c r="U60" i="139"/>
  <c r="U59" i="139"/>
  <c r="U58" i="139"/>
  <c r="U56" i="139"/>
  <c r="U55" i="139"/>
  <c r="U54" i="139"/>
  <c r="U53" i="139"/>
  <c r="U51" i="139"/>
  <c r="U49" i="139"/>
  <c r="U47" i="139"/>
  <c r="U46" i="139"/>
  <c r="U45" i="139"/>
  <c r="U44" i="139"/>
  <c r="U43" i="139"/>
  <c r="U42" i="139"/>
  <c r="U39" i="139"/>
  <c r="U38" i="139"/>
  <c r="U37" i="139"/>
  <c r="U36" i="139"/>
  <c r="U33" i="139"/>
  <c r="U31" i="139"/>
  <c r="U28" i="139"/>
  <c r="U27" i="139"/>
  <c r="U24" i="139"/>
  <c r="U22" i="139"/>
  <c r="U21" i="139"/>
  <c r="U20" i="139"/>
  <c r="U12" i="139"/>
  <c r="U10" i="139"/>
  <c r="U8" i="139"/>
  <c r="U7" i="139"/>
  <c r="U5" i="139"/>
  <c r="G146" i="139"/>
  <c r="G144" i="139"/>
  <c r="G142" i="139"/>
  <c r="G141" i="139"/>
  <c r="G140" i="139"/>
  <c r="G139" i="139"/>
  <c r="G137" i="139"/>
  <c r="G136" i="139"/>
  <c r="G134" i="139"/>
  <c r="G133" i="139"/>
  <c r="G131" i="139"/>
  <c r="G130" i="139"/>
  <c r="G128" i="139"/>
  <c r="G124" i="139"/>
  <c r="G114" i="139"/>
  <c r="G112" i="139"/>
  <c r="G109" i="139"/>
  <c r="G107" i="139"/>
  <c r="G103" i="139"/>
  <c r="G102" i="139"/>
  <c r="G101" i="139"/>
  <c r="G100" i="139"/>
  <c r="G99" i="139"/>
  <c r="G98" i="139"/>
  <c r="G96" i="139"/>
  <c r="G94" i="139"/>
  <c r="G93" i="139"/>
  <c r="G91" i="139"/>
  <c r="G90" i="139"/>
  <c r="G88" i="139"/>
  <c r="G86" i="139"/>
  <c r="G85" i="139"/>
  <c r="G81" i="139"/>
  <c r="G78" i="139"/>
  <c r="G77" i="139"/>
  <c r="G76" i="139"/>
  <c r="G74" i="139"/>
  <c r="G72" i="139"/>
  <c r="G71" i="139"/>
  <c r="G70" i="139"/>
  <c r="G69" i="139"/>
  <c r="G68" i="139"/>
  <c r="G67" i="139"/>
  <c r="G66" i="139"/>
  <c r="G65" i="139"/>
  <c r="G64" i="139"/>
  <c r="G62" i="139"/>
  <c r="G61" i="139"/>
  <c r="G60" i="139"/>
  <c r="G59" i="139"/>
  <c r="G58" i="139"/>
  <c r="G56" i="139"/>
  <c r="G55" i="139"/>
  <c r="G54" i="139"/>
  <c r="G53" i="139"/>
  <c r="G51" i="139"/>
  <c r="G49" i="139"/>
  <c r="G47" i="139"/>
  <c r="G46" i="139"/>
  <c r="G45" i="139"/>
  <c r="G44" i="139"/>
  <c r="G43" i="139"/>
  <c r="G42" i="139"/>
  <c r="G40" i="139"/>
  <c r="G39" i="139"/>
  <c r="G38" i="139"/>
  <c r="G37" i="139"/>
  <c r="G36" i="139"/>
  <c r="G33" i="139"/>
  <c r="G31" i="139"/>
  <c r="G28" i="139"/>
  <c r="G27" i="139"/>
  <c r="G24" i="139"/>
  <c r="G22" i="139"/>
  <c r="G21" i="139"/>
  <c r="G20" i="139"/>
  <c r="G12" i="139"/>
  <c r="G10" i="139"/>
  <c r="G8" i="139"/>
  <c r="G7" i="139"/>
  <c r="AF145" i="139"/>
  <c r="AE146" i="139"/>
  <c r="AE145" i="139" s="1"/>
  <c r="AD146" i="139"/>
  <c r="AD145" i="139" s="1"/>
  <c r="AC145" i="139"/>
  <c r="AF138" i="139"/>
  <c r="AE138" i="139"/>
  <c r="AD138" i="139"/>
  <c r="AC138" i="139"/>
  <c r="AF135" i="139"/>
  <c r="AE135" i="139"/>
  <c r="AD135" i="139"/>
  <c r="AC135" i="139"/>
  <c r="AF132" i="139"/>
  <c r="AE132" i="139"/>
  <c r="AD132" i="139"/>
  <c r="AC132" i="139"/>
  <c r="AF129" i="139"/>
  <c r="AE129" i="139"/>
  <c r="AD129" i="139"/>
  <c r="AC129" i="139"/>
  <c r="AF123" i="139"/>
  <c r="AE123" i="139"/>
  <c r="AD123" i="139"/>
  <c r="AC123" i="139"/>
  <c r="AF113" i="139"/>
  <c r="AE113" i="139"/>
  <c r="AD113" i="139"/>
  <c r="AC113" i="139"/>
  <c r="AF108" i="139"/>
  <c r="AE108" i="139"/>
  <c r="AD108" i="139"/>
  <c r="AC108" i="139"/>
  <c r="AF97" i="139"/>
  <c r="AE97" i="139"/>
  <c r="AD97" i="139"/>
  <c r="AC97" i="139"/>
  <c r="AF95" i="139"/>
  <c r="AE95" i="139"/>
  <c r="AD95" i="139"/>
  <c r="AC95" i="139"/>
  <c r="AF92" i="139"/>
  <c r="AE92" i="139"/>
  <c r="AD92" i="139"/>
  <c r="AC92" i="139"/>
  <c r="AF89" i="139"/>
  <c r="AE89" i="139"/>
  <c r="AD89" i="139"/>
  <c r="AC89" i="139"/>
  <c r="AF87" i="139"/>
  <c r="AE87" i="139"/>
  <c r="AD87" i="139"/>
  <c r="AC87" i="139"/>
  <c r="AF80" i="139"/>
  <c r="AE80" i="139"/>
  <c r="AD80" i="139"/>
  <c r="AC80" i="139"/>
  <c r="AF75" i="139"/>
  <c r="AE75" i="139"/>
  <c r="AD75" i="139"/>
  <c r="AC75" i="139"/>
  <c r="AF63" i="139"/>
  <c r="AE63" i="139"/>
  <c r="AD63" i="139"/>
  <c r="AC63" i="139"/>
  <c r="AF57" i="139"/>
  <c r="AE57" i="139"/>
  <c r="AD57" i="139"/>
  <c r="AC57" i="139"/>
  <c r="AF50" i="139"/>
  <c r="AE50" i="139"/>
  <c r="AD50" i="139"/>
  <c r="AC50" i="139"/>
  <c r="AF48" i="139"/>
  <c r="AE48" i="139"/>
  <c r="AD48" i="139"/>
  <c r="AC48" i="139"/>
  <c r="AF41" i="139"/>
  <c r="AE41" i="139"/>
  <c r="AD41" i="139"/>
  <c r="AC41" i="139"/>
  <c r="AF32" i="139"/>
  <c r="AE32" i="139"/>
  <c r="AD32" i="139"/>
  <c r="AC32" i="139"/>
  <c r="AF26" i="139"/>
  <c r="AE26" i="139"/>
  <c r="AD26" i="139"/>
  <c r="AC26" i="139"/>
  <c r="AF4" i="139"/>
  <c r="AE4" i="139"/>
  <c r="AD4" i="139"/>
  <c r="AC4" i="139"/>
  <c r="E1083" i="140"/>
  <c r="AI58" i="139"/>
  <c r="AB27" i="139"/>
  <c r="AB26" i="139" s="1"/>
  <c r="DX26" i="139"/>
  <c r="AH26" i="139"/>
  <c r="AG26" i="139"/>
  <c r="AA26" i="139"/>
  <c r="Z26" i="139"/>
  <c r="X26" i="139"/>
  <c r="W26" i="139"/>
  <c r="T26" i="139"/>
  <c r="S26" i="139"/>
  <c r="R26" i="139"/>
  <c r="Q26" i="139"/>
  <c r="P26" i="139"/>
  <c r="O26" i="139"/>
  <c r="N26" i="139"/>
  <c r="M26" i="139"/>
  <c r="L26" i="139"/>
  <c r="K26" i="139"/>
  <c r="J26" i="139"/>
  <c r="I26" i="139"/>
  <c r="F26" i="139"/>
  <c r="G26" i="139" s="1"/>
  <c r="Y27" i="139"/>
  <c r="Y26" i="139" s="1"/>
  <c r="BZ154" i="139" l="1"/>
  <c r="BZ71" i="139"/>
  <c r="BZ141" i="139"/>
  <c r="BZ36" i="139"/>
  <c r="BZ98" i="139"/>
  <c r="BZ54" i="139"/>
  <c r="BZ124" i="139"/>
  <c r="BZ43" i="139"/>
  <c r="BZ126" i="139"/>
  <c r="BZ51" i="139"/>
  <c r="BZ50" i="139" s="1"/>
  <c r="BZ131" i="139"/>
  <c r="BZ69" i="139"/>
  <c r="BZ60" i="139"/>
  <c r="BZ149" i="139"/>
  <c r="BZ121" i="139"/>
  <c r="BZ33" i="139"/>
  <c r="BZ137" i="139"/>
  <c r="BZ55" i="139"/>
  <c r="BZ52" i="139"/>
  <c r="BZ96" i="139"/>
  <c r="BZ95" i="139" s="1"/>
  <c r="BZ112" i="139"/>
  <c r="BZ68" i="139"/>
  <c r="BZ56" i="139"/>
  <c r="BZ151" i="139"/>
  <c r="BZ150" i="139" s="1"/>
  <c r="BZ42" i="139"/>
  <c r="BZ136" i="139"/>
  <c r="BZ135" i="139" s="1"/>
  <c r="BZ107" i="139"/>
  <c r="BZ90" i="139"/>
  <c r="BZ46" i="139"/>
  <c r="BZ66" i="139"/>
  <c r="BZ81" i="139"/>
  <c r="BZ85" i="139"/>
  <c r="BZ74" i="139"/>
  <c r="BZ110" i="139"/>
  <c r="BZ100" i="139"/>
  <c r="BZ104" i="139"/>
  <c r="BZ117" i="139"/>
  <c r="BZ72" i="139"/>
  <c r="BZ38" i="139"/>
  <c r="BZ28" i="139"/>
  <c r="BZ47" i="139"/>
  <c r="BZ84" i="139"/>
  <c r="BZ94" i="139"/>
  <c r="BZ35" i="139"/>
  <c r="BZ109" i="139"/>
  <c r="BZ142" i="139"/>
  <c r="BZ76" i="139"/>
  <c r="BZ82" i="139"/>
  <c r="BZ116" i="139"/>
  <c r="BZ103" i="139"/>
  <c r="BZ45" i="139"/>
  <c r="BZ120" i="139"/>
  <c r="BZ61" i="139"/>
  <c r="BZ133" i="139"/>
  <c r="BZ132" i="139" s="1"/>
  <c r="BZ93" i="139"/>
  <c r="BZ92" i="139" s="1"/>
  <c r="BZ53" i="139"/>
  <c r="BZ31" i="139"/>
  <c r="BZ34" i="139"/>
  <c r="BZ114" i="139"/>
  <c r="BZ113" i="139" s="1"/>
  <c r="BZ111" i="139"/>
  <c r="BZ105" i="139"/>
  <c r="BZ125" i="139"/>
  <c r="BZ127" i="139"/>
  <c r="BZ106" i="139"/>
  <c r="BZ40" i="139"/>
  <c r="BZ62" i="139"/>
  <c r="BZ64" i="139"/>
  <c r="BZ134" i="139"/>
  <c r="BZ102" i="139"/>
  <c r="BZ59" i="139"/>
  <c r="BZ122" i="139"/>
  <c r="BZ88" i="139"/>
  <c r="BZ87" i="139" s="1"/>
  <c r="BZ128" i="139"/>
  <c r="BZ99" i="139"/>
  <c r="BZ49" i="139"/>
  <c r="BZ48" i="139" s="1"/>
  <c r="BZ39" i="139"/>
  <c r="BZ78" i="139"/>
  <c r="BZ83" i="139"/>
  <c r="BZ44" i="139"/>
  <c r="BZ101" i="139"/>
  <c r="BZ139" i="139"/>
  <c r="BZ118" i="139"/>
  <c r="BZ140" i="139"/>
  <c r="BZ119" i="139"/>
  <c r="BZ70" i="139"/>
  <c r="BZ153" i="139"/>
  <c r="BZ148" i="139"/>
  <c r="BZ73" i="139"/>
  <c r="BZ143" i="139"/>
  <c r="BZ77" i="139"/>
  <c r="BZ91" i="139"/>
  <c r="BZ58" i="139"/>
  <c r="BZ79" i="139"/>
  <c r="BZ86" i="139"/>
  <c r="BZ80" i="139" s="1"/>
  <c r="BZ130" i="139"/>
  <c r="BZ129" i="139" s="1"/>
  <c r="BZ27" i="139"/>
  <c r="BZ26" i="139" s="1"/>
  <c r="BZ65" i="139"/>
  <c r="BZ144" i="139"/>
  <c r="BZ37" i="139"/>
  <c r="BZ67" i="139"/>
  <c r="BZ30" i="139"/>
  <c r="BZ29" i="139" s="1"/>
  <c r="BH95" i="139"/>
  <c r="BK95" i="139" s="1"/>
  <c r="CF25" i="139"/>
  <c r="CF152" i="139" s="1"/>
  <c r="CS25" i="139"/>
  <c r="CS152" i="139" s="1"/>
  <c r="CI25" i="139"/>
  <c r="CI152" i="139" s="1"/>
  <c r="CM123" i="139"/>
  <c r="CM129" i="139"/>
  <c r="CC25" i="139"/>
  <c r="CC152" i="139" s="1"/>
  <c r="CK25" i="139"/>
  <c r="CK152" i="139" s="1"/>
  <c r="CM75" i="139"/>
  <c r="CU25" i="139"/>
  <c r="CU152" i="139" s="1"/>
  <c r="CO25" i="139"/>
  <c r="CO152" i="139" s="1"/>
  <c r="CW25" i="139"/>
  <c r="CW152" i="139" s="1"/>
  <c r="CZ123" i="139"/>
  <c r="CZ129" i="139"/>
  <c r="CG25" i="139"/>
  <c r="CG152" i="139" s="1"/>
  <c r="CM95" i="139"/>
  <c r="CD25" i="139"/>
  <c r="CD152" i="139" s="1"/>
  <c r="CL25" i="139"/>
  <c r="CL152" i="139" s="1"/>
  <c r="CM80" i="139"/>
  <c r="CM132" i="139"/>
  <c r="CH25" i="139"/>
  <c r="CH152" i="139" s="1"/>
  <c r="CM41" i="139"/>
  <c r="CM57" i="139"/>
  <c r="CM87" i="139"/>
  <c r="CM108" i="139"/>
  <c r="CE25" i="139"/>
  <c r="CE152" i="139" s="1"/>
  <c r="CM48" i="139"/>
  <c r="CM63" i="139"/>
  <c r="CM113" i="139"/>
  <c r="CB25" i="139"/>
  <c r="CJ25" i="139"/>
  <c r="CJ152" i="139" s="1"/>
  <c r="CM89" i="139"/>
  <c r="CM26" i="139"/>
  <c r="CM138" i="139"/>
  <c r="CM97" i="139"/>
  <c r="CM92" i="139"/>
  <c r="CM32" i="139"/>
  <c r="CM50" i="139"/>
  <c r="CM135" i="139"/>
  <c r="CB145" i="139"/>
  <c r="CM145" i="139" s="1"/>
  <c r="AS25" i="139"/>
  <c r="AS152" i="139" s="1"/>
  <c r="AM25" i="139"/>
  <c r="AM152" i="139" s="1"/>
  <c r="AU25" i="139"/>
  <c r="CQ25" i="139"/>
  <c r="CQ152" i="139" s="1"/>
  <c r="CY25" i="139"/>
  <c r="CY152" i="139" s="1"/>
  <c r="CZ80" i="139"/>
  <c r="CZ92" i="139"/>
  <c r="DF25" i="139"/>
  <c r="DF152" i="139" s="1"/>
  <c r="CZ26" i="139"/>
  <c r="CV25" i="139"/>
  <c r="CV152" i="139" s="1"/>
  <c r="CZ63" i="139"/>
  <c r="CZ75" i="139"/>
  <c r="CZ108" i="139"/>
  <c r="CM4" i="139"/>
  <c r="DM97" i="139"/>
  <c r="DM138" i="139"/>
  <c r="CZ57" i="139"/>
  <c r="CZ97" i="139"/>
  <c r="CT25" i="139"/>
  <c r="CT152" i="139" s="1"/>
  <c r="CZ113" i="139"/>
  <c r="CZ138" i="139"/>
  <c r="CA25" i="139"/>
  <c r="CA152" i="139" s="1"/>
  <c r="CZ48" i="139"/>
  <c r="CZ135" i="139"/>
  <c r="CZ50" i="139"/>
  <c r="CZ89" i="139"/>
  <c r="CZ95" i="139"/>
  <c r="CP25" i="139"/>
  <c r="CP152" i="139" s="1"/>
  <c r="CX25" i="139"/>
  <c r="CX152" i="139" s="1"/>
  <c r="CZ41" i="139"/>
  <c r="CZ87" i="139"/>
  <c r="CZ132" i="139"/>
  <c r="CZ145" i="139"/>
  <c r="DM26" i="139"/>
  <c r="DI25" i="139"/>
  <c r="DI152" i="139" s="1"/>
  <c r="DM75" i="139"/>
  <c r="DM89" i="139"/>
  <c r="DM108" i="139"/>
  <c r="CR25" i="139"/>
  <c r="CR152" i="139" s="1"/>
  <c r="DM113" i="139"/>
  <c r="DM145" i="139"/>
  <c r="CZ4" i="139"/>
  <c r="CZ32" i="139"/>
  <c r="AQ25" i="139"/>
  <c r="AQ152" i="139" s="1"/>
  <c r="AW87" i="139"/>
  <c r="BE25" i="139"/>
  <c r="AW129" i="139"/>
  <c r="BK132" i="139"/>
  <c r="AW135" i="139"/>
  <c r="BK135" i="139"/>
  <c r="BK138" i="139"/>
  <c r="DM32" i="139"/>
  <c r="DH25" i="139"/>
  <c r="DH152" i="139" s="1"/>
  <c r="DM87" i="139"/>
  <c r="DM135" i="139"/>
  <c r="DC25" i="139"/>
  <c r="DC152" i="139" s="1"/>
  <c r="DK25" i="139"/>
  <c r="DK152" i="139" s="1"/>
  <c r="AR25" i="139"/>
  <c r="AR152" i="139" s="1"/>
  <c r="BB25" i="139"/>
  <c r="BJ25" i="139"/>
  <c r="AL25" i="139"/>
  <c r="AL152" i="139" s="1"/>
  <c r="AT25" i="139"/>
  <c r="AT152" i="139" s="1"/>
  <c r="BD25" i="139"/>
  <c r="AZ25" i="139"/>
  <c r="DM50" i="139"/>
  <c r="DM80" i="139"/>
  <c r="DG25" i="139"/>
  <c r="DG152" i="139" s="1"/>
  <c r="DM95" i="139"/>
  <c r="CN25" i="139"/>
  <c r="CN152" i="139" s="1"/>
  <c r="DM41" i="139"/>
  <c r="DM57" i="139"/>
  <c r="DM132" i="139"/>
  <c r="DD25" i="139"/>
  <c r="DD152" i="139" s="1"/>
  <c r="DL25" i="139"/>
  <c r="DL152" i="139" s="1"/>
  <c r="DM63" i="139"/>
  <c r="DM92" i="139"/>
  <c r="BK48" i="139"/>
  <c r="DB25" i="139"/>
  <c r="DB152" i="139" s="1"/>
  <c r="DJ25" i="139"/>
  <c r="DJ152" i="139" s="1"/>
  <c r="DM48" i="139"/>
  <c r="DM123" i="139"/>
  <c r="DM129" i="139"/>
  <c r="AW145" i="139"/>
  <c r="BA25" i="139"/>
  <c r="BI25" i="139"/>
  <c r="AW32" i="139"/>
  <c r="BK41" i="139"/>
  <c r="AW48" i="139"/>
  <c r="DE25" i="139"/>
  <c r="DE152" i="139" s="1"/>
  <c r="AW26" i="139"/>
  <c r="AN25" i="139"/>
  <c r="AN152" i="139" s="1"/>
  <c r="AV25" i="139"/>
  <c r="DM4" i="139"/>
  <c r="AW50" i="139"/>
  <c r="BK63" i="139"/>
  <c r="AW75" i="139"/>
  <c r="AW80" i="139"/>
  <c r="AW89" i="139"/>
  <c r="BK89" i="139"/>
  <c r="BK92" i="139"/>
  <c r="AW95" i="139"/>
  <c r="AW108" i="139"/>
  <c r="BK108" i="139"/>
  <c r="BK113" i="139"/>
  <c r="BR25" i="139"/>
  <c r="BR152" i="139" s="1"/>
  <c r="BY92" i="139"/>
  <c r="BK32" i="139"/>
  <c r="BG25" i="139"/>
  <c r="AW41" i="139"/>
  <c r="DA25" i="139"/>
  <c r="DA152" i="139" s="1"/>
  <c r="BF25" i="139"/>
  <c r="AP25" i="139"/>
  <c r="AP152" i="139" s="1"/>
  <c r="AW57" i="139"/>
  <c r="BK57" i="139"/>
  <c r="BK87" i="139"/>
  <c r="AW97" i="139"/>
  <c r="BK97" i="139"/>
  <c r="AW123" i="139"/>
  <c r="BK123" i="139"/>
  <c r="BK129" i="139"/>
  <c r="AW132" i="139"/>
  <c r="AW138" i="139"/>
  <c r="AO25" i="139"/>
  <c r="AO152" i="139" s="1"/>
  <c r="BK26" i="139"/>
  <c r="AK25" i="139"/>
  <c r="AK152" i="139" s="1"/>
  <c r="BC25" i="139"/>
  <c r="BK50" i="139"/>
  <c r="AW63" i="139"/>
  <c r="BK75" i="139"/>
  <c r="BK80" i="139"/>
  <c r="AW92" i="139"/>
  <c r="AW113" i="139"/>
  <c r="BK145" i="139"/>
  <c r="BY97" i="139"/>
  <c r="BY138" i="139"/>
  <c r="BY146" i="139"/>
  <c r="BZ146" i="139" s="1"/>
  <c r="BZ145" i="139" s="1"/>
  <c r="AW146" i="139"/>
  <c r="DZ26" i="139"/>
  <c r="BY32" i="139"/>
  <c r="BY87" i="139"/>
  <c r="BY89" i="139"/>
  <c r="BY135" i="139"/>
  <c r="BW25" i="139"/>
  <c r="BW152" i="139" s="1"/>
  <c r="BT25" i="139"/>
  <c r="BT152" i="139" s="1"/>
  <c r="BY50" i="139"/>
  <c r="BY80" i="139"/>
  <c r="BS25" i="139"/>
  <c r="BS152" i="139" s="1"/>
  <c r="BY95" i="139"/>
  <c r="BO25" i="139"/>
  <c r="BY41" i="139"/>
  <c r="BY57" i="139"/>
  <c r="BY132" i="139"/>
  <c r="DQ25" i="139"/>
  <c r="DQ152" i="139" s="1"/>
  <c r="BP25" i="139"/>
  <c r="BX25" i="139"/>
  <c r="BX152" i="139" s="1"/>
  <c r="BY63" i="139"/>
  <c r="BY113" i="139"/>
  <c r="AY25" i="139"/>
  <c r="BK146" i="139"/>
  <c r="BV25" i="139"/>
  <c r="BV152" i="139" s="1"/>
  <c r="BY123" i="139"/>
  <c r="BY129" i="139"/>
  <c r="BN25" i="139"/>
  <c r="BY48" i="139"/>
  <c r="BY108" i="139"/>
  <c r="AC25" i="139"/>
  <c r="AC152" i="139" s="1"/>
  <c r="BY26" i="139"/>
  <c r="BU25" i="139"/>
  <c r="BU152" i="139" s="1"/>
  <c r="BY75" i="139"/>
  <c r="BY145" i="139"/>
  <c r="BQ25" i="139"/>
  <c r="BM25" i="139"/>
  <c r="DO25" i="139"/>
  <c r="DO152" i="139" s="1"/>
  <c r="DY25" i="139"/>
  <c r="DY152" i="139" s="1"/>
  <c r="DR25" i="139"/>
  <c r="DR152" i="139" s="1"/>
  <c r="DP25" i="139"/>
  <c r="DP152" i="139" s="1"/>
  <c r="DN25" i="139"/>
  <c r="DN152" i="139" s="1"/>
  <c r="DS25" i="139"/>
  <c r="DS152" i="139" s="1"/>
  <c r="DU25" i="139"/>
  <c r="DU152" i="139" s="1"/>
  <c r="AE25" i="139"/>
  <c r="AE152" i="139" s="1"/>
  <c r="DT25" i="139"/>
  <c r="DT152" i="139" s="1"/>
  <c r="AD25" i="139"/>
  <c r="AD152" i="139" s="1"/>
  <c r="DV25" i="139"/>
  <c r="DV152" i="139" s="1"/>
  <c r="DW25" i="139"/>
  <c r="DW152" i="139" s="1"/>
  <c r="AF25" i="139"/>
  <c r="AF152" i="139" s="1"/>
  <c r="U26" i="139"/>
  <c r="AI26" i="139"/>
  <c r="AI27" i="139"/>
  <c r="BZ63" i="139" l="1"/>
  <c r="BZ75" i="139"/>
  <c r="BZ138" i="139"/>
  <c r="BZ41" i="139"/>
  <c r="BZ57" i="139"/>
  <c r="BZ123" i="139"/>
  <c r="BZ97" i="139"/>
  <c r="BZ115" i="139"/>
  <c r="BZ147" i="139"/>
  <c r="BZ108" i="139"/>
  <c r="BZ89" i="139"/>
  <c r="BZ32" i="139"/>
  <c r="BN155" i="139"/>
  <c r="BN4" i="139"/>
  <c r="BN152" i="139" s="1"/>
  <c r="BM155" i="139"/>
  <c r="BM4" i="139"/>
  <c r="BH25" i="139"/>
  <c r="BK25" i="139" s="1"/>
  <c r="CB152" i="139"/>
  <c r="CM152" i="139" s="1"/>
  <c r="CZ152" i="139"/>
  <c r="DM152" i="139"/>
  <c r="CM25" i="139"/>
  <c r="DM25" i="139"/>
  <c r="CZ25" i="139"/>
  <c r="AW25" i="139"/>
  <c r="BY25" i="139"/>
  <c r="BZ25" i="139" s="1"/>
  <c r="AB47" i="139"/>
  <c r="AI47" i="139" s="1"/>
  <c r="Y44" i="139"/>
  <c r="AI44" i="139" s="1"/>
  <c r="E1082" i="140"/>
  <c r="E1084" i="140"/>
  <c r="AA136" i="139"/>
  <c r="AA86" i="139"/>
  <c r="H232" i="106"/>
  <c r="Z231" i="106"/>
  <c r="Y231" i="106"/>
  <c r="X231" i="106"/>
  <c r="W231" i="106"/>
  <c r="V231" i="106"/>
  <c r="U231" i="106"/>
  <c r="T231" i="106"/>
  <c r="S231" i="106"/>
  <c r="R231" i="106"/>
  <c r="Q231" i="106"/>
  <c r="P231" i="106"/>
  <c r="O231" i="106"/>
  <c r="N231" i="106"/>
  <c r="M231" i="106"/>
  <c r="L231" i="106"/>
  <c r="K231" i="106"/>
  <c r="J231" i="106"/>
  <c r="I231" i="106"/>
  <c r="H230" i="106"/>
  <c r="H229" i="106"/>
  <c r="H228" i="106"/>
  <c r="H227" i="106"/>
  <c r="H226" i="106"/>
  <c r="H155" i="106"/>
  <c r="Z154" i="106"/>
  <c r="Y154" i="106"/>
  <c r="X154" i="106"/>
  <c r="W154" i="106"/>
  <c r="V154" i="106"/>
  <c r="U154" i="106"/>
  <c r="T154" i="106"/>
  <c r="S154" i="106"/>
  <c r="R154" i="106"/>
  <c r="Q154" i="106"/>
  <c r="P154" i="106"/>
  <c r="O154" i="106"/>
  <c r="N154" i="106"/>
  <c r="M154" i="106"/>
  <c r="L154" i="106"/>
  <c r="K154" i="106"/>
  <c r="J154" i="106"/>
  <c r="I154" i="106"/>
  <c r="H153" i="106"/>
  <c r="H152" i="106"/>
  <c r="H151" i="106"/>
  <c r="H150" i="106"/>
  <c r="H149" i="106"/>
  <c r="H148" i="106"/>
  <c r="Z147" i="106"/>
  <c r="Y147" i="106"/>
  <c r="X147" i="106"/>
  <c r="W147" i="106"/>
  <c r="V147" i="106"/>
  <c r="U147" i="106"/>
  <c r="T147" i="106"/>
  <c r="S147" i="106"/>
  <c r="R147" i="106"/>
  <c r="Q147" i="106"/>
  <c r="P147" i="106"/>
  <c r="O147" i="106"/>
  <c r="N147" i="106"/>
  <c r="M147" i="106"/>
  <c r="L147" i="106"/>
  <c r="K147" i="106"/>
  <c r="J147" i="106"/>
  <c r="I147" i="106"/>
  <c r="H146" i="106"/>
  <c r="H145" i="106"/>
  <c r="H144" i="106"/>
  <c r="H143" i="106"/>
  <c r="H142" i="106"/>
  <c r="H141" i="106"/>
  <c r="Z140" i="106"/>
  <c r="Y140" i="106"/>
  <c r="X140" i="106"/>
  <c r="W140" i="106"/>
  <c r="V140" i="106"/>
  <c r="U140" i="106"/>
  <c r="T140" i="106"/>
  <c r="S140" i="106"/>
  <c r="R140" i="106"/>
  <c r="Q140" i="106"/>
  <c r="P140" i="106"/>
  <c r="O140" i="106"/>
  <c r="N140" i="106"/>
  <c r="M140" i="106"/>
  <c r="L140" i="106"/>
  <c r="K140" i="106"/>
  <c r="J140" i="106"/>
  <c r="I140" i="106"/>
  <c r="H139" i="106"/>
  <c r="H138" i="106"/>
  <c r="H137" i="106"/>
  <c r="H136" i="106"/>
  <c r="H135" i="106"/>
  <c r="H176" i="106"/>
  <c r="Z175" i="106"/>
  <c r="Y175" i="106"/>
  <c r="X175" i="106"/>
  <c r="W175" i="106"/>
  <c r="V175" i="106"/>
  <c r="U175" i="106"/>
  <c r="T175" i="106"/>
  <c r="S175" i="106"/>
  <c r="R175" i="106"/>
  <c r="Q175" i="106"/>
  <c r="P175" i="106"/>
  <c r="O175" i="106"/>
  <c r="N175" i="106"/>
  <c r="M175" i="106"/>
  <c r="L175" i="106"/>
  <c r="K175" i="106"/>
  <c r="J175" i="106"/>
  <c r="I175" i="106"/>
  <c r="H174" i="106"/>
  <c r="H173" i="106"/>
  <c r="H172" i="106"/>
  <c r="H171" i="106"/>
  <c r="H170" i="106"/>
  <c r="H169" i="106"/>
  <c r="Z168" i="106"/>
  <c r="Y168" i="106"/>
  <c r="X168" i="106"/>
  <c r="W168" i="106"/>
  <c r="V168" i="106"/>
  <c r="U168" i="106"/>
  <c r="T168" i="106"/>
  <c r="S168" i="106"/>
  <c r="R168" i="106"/>
  <c r="Q168" i="106"/>
  <c r="P168" i="106"/>
  <c r="O168" i="106"/>
  <c r="N168" i="106"/>
  <c r="M168" i="106"/>
  <c r="L168" i="106"/>
  <c r="K168" i="106"/>
  <c r="J168" i="106"/>
  <c r="I168" i="106"/>
  <c r="H167" i="106"/>
  <c r="H166" i="106"/>
  <c r="H165" i="106"/>
  <c r="H164" i="106"/>
  <c r="H163" i="106"/>
  <c r="H162" i="106"/>
  <c r="Z161" i="106"/>
  <c r="Y161" i="106"/>
  <c r="X161" i="106"/>
  <c r="W161" i="106"/>
  <c r="V161" i="106"/>
  <c r="U161" i="106"/>
  <c r="T161" i="106"/>
  <c r="S161" i="106"/>
  <c r="R161" i="106"/>
  <c r="Q161" i="106"/>
  <c r="P161" i="106"/>
  <c r="O161" i="106"/>
  <c r="N161" i="106"/>
  <c r="M161" i="106"/>
  <c r="L161" i="106"/>
  <c r="K161" i="106"/>
  <c r="J161" i="106"/>
  <c r="I161" i="106"/>
  <c r="H160" i="106"/>
  <c r="H159" i="106"/>
  <c r="H158" i="106"/>
  <c r="H157" i="106"/>
  <c r="H156" i="106"/>
  <c r="H211" i="106"/>
  <c r="Z210" i="106"/>
  <c r="Y210" i="106"/>
  <c r="X210" i="106"/>
  <c r="W210" i="106"/>
  <c r="V210" i="106"/>
  <c r="U210" i="106"/>
  <c r="T210" i="106"/>
  <c r="S210" i="106"/>
  <c r="R210" i="106"/>
  <c r="Q210" i="106"/>
  <c r="P210" i="106"/>
  <c r="O210" i="106"/>
  <c r="N210" i="106"/>
  <c r="M210" i="106"/>
  <c r="L210" i="106"/>
  <c r="K210" i="106"/>
  <c r="J210" i="106"/>
  <c r="I210" i="106"/>
  <c r="H209" i="106"/>
  <c r="H208" i="106"/>
  <c r="H207" i="106"/>
  <c r="H206" i="106"/>
  <c r="H205" i="106"/>
  <c r="H134" i="106"/>
  <c r="Z133" i="106"/>
  <c r="Y133" i="106"/>
  <c r="X133" i="106"/>
  <c r="W133" i="106"/>
  <c r="V133" i="106"/>
  <c r="U133" i="106"/>
  <c r="T133" i="106"/>
  <c r="S133" i="106"/>
  <c r="R133" i="106"/>
  <c r="Q133" i="106"/>
  <c r="P133" i="106"/>
  <c r="O133" i="106"/>
  <c r="N133" i="106"/>
  <c r="M133" i="106"/>
  <c r="L133" i="106"/>
  <c r="K133" i="106"/>
  <c r="J133" i="106"/>
  <c r="I133" i="106"/>
  <c r="H132" i="106"/>
  <c r="H131" i="106"/>
  <c r="H130" i="106"/>
  <c r="H129" i="106"/>
  <c r="H128" i="106"/>
  <c r="E1026" i="140"/>
  <c r="AA107" i="139"/>
  <c r="AI107" i="139" s="1"/>
  <c r="AA79" i="139"/>
  <c r="E1057" i="140"/>
  <c r="D1062" i="140"/>
  <c r="DX135" i="139"/>
  <c r="DZ135" i="139" s="1"/>
  <c r="AH135" i="139"/>
  <c r="AG135" i="139"/>
  <c r="AB135" i="139"/>
  <c r="Z135" i="139"/>
  <c r="Y135" i="139"/>
  <c r="X135" i="139"/>
  <c r="W135" i="139"/>
  <c r="T135" i="139"/>
  <c r="S135" i="139"/>
  <c r="R135" i="139"/>
  <c r="Q135" i="139"/>
  <c r="P135" i="139"/>
  <c r="O135" i="139"/>
  <c r="N135" i="139"/>
  <c r="M135" i="139"/>
  <c r="L135" i="139"/>
  <c r="K135" i="139"/>
  <c r="J135" i="139"/>
  <c r="I135" i="139"/>
  <c r="F135" i="139"/>
  <c r="G135" i="139" s="1"/>
  <c r="AA8" i="139"/>
  <c r="AA114" i="139"/>
  <c r="AI114" i="139" s="1"/>
  <c r="E1049" i="140"/>
  <c r="E1030" i="140"/>
  <c r="E1037" i="140"/>
  <c r="E1027" i="140"/>
  <c r="AA130" i="139"/>
  <c r="E1025" i="140"/>
  <c r="AA146" i="139"/>
  <c r="BT288" i="58"/>
  <c r="BT274" i="58"/>
  <c r="BT260" i="58"/>
  <c r="BT246" i="58"/>
  <c r="BT231" i="58"/>
  <c r="BT216" i="58"/>
  <c r="BT202" i="58"/>
  <c r="BT188" i="58"/>
  <c r="BT174" i="58"/>
  <c r="BT160" i="58"/>
  <c r="BT145" i="58"/>
  <c r="BT130" i="58"/>
  <c r="BT116" i="58"/>
  <c r="BT102" i="58"/>
  <c r="BT88" i="58"/>
  <c r="Z79" i="139"/>
  <c r="Z67" i="139"/>
  <c r="AI67" i="139" s="1"/>
  <c r="E990" i="140"/>
  <c r="BB101" i="58"/>
  <c r="U101" i="58"/>
  <c r="BB100" i="58"/>
  <c r="U100" i="58"/>
  <c r="BB99" i="58"/>
  <c r="U99" i="58"/>
  <c r="BB98" i="58"/>
  <c r="U98" i="58"/>
  <c r="BB97" i="58"/>
  <c r="U97" i="58"/>
  <c r="BB96" i="58"/>
  <c r="U96" i="58"/>
  <c r="BB95" i="58"/>
  <c r="U95" i="58"/>
  <c r="BB94" i="58"/>
  <c r="U94" i="58"/>
  <c r="L94" i="58"/>
  <c r="M94" i="58" s="1"/>
  <c r="O94" i="58" s="1"/>
  <c r="BB93" i="58"/>
  <c r="U93" i="58"/>
  <c r="L93" i="58"/>
  <c r="M93" i="58" s="1"/>
  <c r="O93" i="58" s="1"/>
  <c r="BB92" i="58"/>
  <c r="U92" i="58"/>
  <c r="L92" i="58"/>
  <c r="M92" i="58" s="1"/>
  <c r="O92" i="58" s="1"/>
  <c r="BB91" i="58"/>
  <c r="U91" i="58"/>
  <c r="L91" i="58"/>
  <c r="M91" i="58" s="1"/>
  <c r="O91" i="58" s="1"/>
  <c r="BB90" i="58"/>
  <c r="U90" i="58"/>
  <c r="L90" i="58"/>
  <c r="M90" i="58" s="1"/>
  <c r="O90" i="58" s="1"/>
  <c r="BB89" i="58"/>
  <c r="U89" i="58"/>
  <c r="L89" i="58"/>
  <c r="M89" i="58" s="1"/>
  <c r="O89" i="58" s="1"/>
  <c r="BS88" i="58"/>
  <c r="BR88" i="58"/>
  <c r="BQ88" i="58"/>
  <c r="BP88" i="58"/>
  <c r="BO88" i="58"/>
  <c r="BN88" i="58"/>
  <c r="BM88" i="58"/>
  <c r="BL88" i="58"/>
  <c r="BK88" i="58"/>
  <c r="BJ88" i="58"/>
  <c r="BI88" i="58"/>
  <c r="BH88" i="58"/>
  <c r="BF88" i="58"/>
  <c r="BD88" i="58"/>
  <c r="BC88" i="58"/>
  <c r="AZ88" i="58"/>
  <c r="AU88" i="58"/>
  <c r="AT88" i="58"/>
  <c r="AS88" i="58"/>
  <c r="AR88" i="58"/>
  <c r="AQ88" i="58"/>
  <c r="AP88" i="58"/>
  <c r="AO88" i="58"/>
  <c r="AN88" i="58"/>
  <c r="AL88" i="58"/>
  <c r="AK88" i="58"/>
  <c r="AJ88" i="58"/>
  <c r="AI88" i="58"/>
  <c r="AH88" i="58"/>
  <c r="AF88" i="58"/>
  <c r="AE88" i="58"/>
  <c r="AD88" i="58"/>
  <c r="W88" i="58"/>
  <c r="V88" i="58"/>
  <c r="BB115" i="58"/>
  <c r="U115" i="58"/>
  <c r="BB114" i="58"/>
  <c r="U114" i="58"/>
  <c r="BB113" i="58"/>
  <c r="U113" i="58"/>
  <c r="BB112" i="58"/>
  <c r="U112" i="58"/>
  <c r="BB111" i="58"/>
  <c r="U111" i="58"/>
  <c r="BB110" i="58"/>
  <c r="U110" i="58"/>
  <c r="BB109" i="58"/>
  <c r="U109" i="58"/>
  <c r="BB108" i="58"/>
  <c r="U108" i="58"/>
  <c r="L108" i="58"/>
  <c r="M108" i="58" s="1"/>
  <c r="O108" i="58" s="1"/>
  <c r="BB107" i="58"/>
  <c r="U107" i="58"/>
  <c r="L107" i="58"/>
  <c r="M107" i="58" s="1"/>
  <c r="O107" i="58" s="1"/>
  <c r="BB106" i="58"/>
  <c r="U106" i="58"/>
  <c r="L106" i="58"/>
  <c r="M106" i="58" s="1"/>
  <c r="O106" i="58" s="1"/>
  <c r="BB105" i="58"/>
  <c r="U105" i="58"/>
  <c r="L105" i="58"/>
  <c r="M105" i="58" s="1"/>
  <c r="O105" i="58" s="1"/>
  <c r="BB104" i="58"/>
  <c r="U104" i="58"/>
  <c r="L104" i="58"/>
  <c r="M104" i="58" s="1"/>
  <c r="O104" i="58" s="1"/>
  <c r="BB103" i="58"/>
  <c r="U103" i="58"/>
  <c r="L103" i="58"/>
  <c r="M103" i="58" s="1"/>
  <c r="O103" i="58" s="1"/>
  <c r="BS102" i="58"/>
  <c r="BR102" i="58"/>
  <c r="BQ102" i="58"/>
  <c r="BP102" i="58"/>
  <c r="BO102" i="58"/>
  <c r="BN102" i="58"/>
  <c r="BM102" i="58"/>
  <c r="BL102" i="58"/>
  <c r="BK102" i="58"/>
  <c r="BJ102" i="58"/>
  <c r="BI102" i="58"/>
  <c r="BH102" i="58"/>
  <c r="BF102" i="58"/>
  <c r="BD102" i="58"/>
  <c r="BC102" i="58"/>
  <c r="AZ102" i="58"/>
  <c r="AU102" i="58"/>
  <c r="AT102" i="58"/>
  <c r="AS102" i="58"/>
  <c r="AR102" i="58"/>
  <c r="AQ102" i="58"/>
  <c r="AP102" i="58"/>
  <c r="AO102" i="58"/>
  <c r="AN102" i="58"/>
  <c r="AL102" i="58"/>
  <c r="AK102" i="58"/>
  <c r="AJ102" i="58"/>
  <c r="AI102" i="58"/>
  <c r="AH102" i="58"/>
  <c r="AF102" i="58"/>
  <c r="AE102" i="58"/>
  <c r="AD102" i="58"/>
  <c r="W102" i="58"/>
  <c r="V102" i="58"/>
  <c r="BB129" i="58"/>
  <c r="U129" i="58"/>
  <c r="BB128" i="58"/>
  <c r="U128" i="58"/>
  <c r="BB127" i="58"/>
  <c r="U127" i="58"/>
  <c r="BB125" i="58"/>
  <c r="U125" i="58"/>
  <c r="BB124" i="58"/>
  <c r="U124" i="58"/>
  <c r="BB123" i="58"/>
  <c r="U123" i="58"/>
  <c r="BB122" i="58"/>
  <c r="U122" i="58"/>
  <c r="L122" i="58"/>
  <c r="M122" i="58" s="1"/>
  <c r="O122" i="58" s="1"/>
  <c r="BB121" i="58"/>
  <c r="U121" i="58"/>
  <c r="L121" i="58"/>
  <c r="M121" i="58" s="1"/>
  <c r="O121" i="58" s="1"/>
  <c r="BB120" i="58"/>
  <c r="U120" i="58"/>
  <c r="L120" i="58"/>
  <c r="M120" i="58" s="1"/>
  <c r="O120" i="58" s="1"/>
  <c r="BB119" i="58"/>
  <c r="U119" i="58"/>
  <c r="L119" i="58"/>
  <c r="M119" i="58" s="1"/>
  <c r="O119" i="58" s="1"/>
  <c r="BB118" i="58"/>
  <c r="U118" i="58"/>
  <c r="L118" i="58"/>
  <c r="M118" i="58" s="1"/>
  <c r="O118" i="58" s="1"/>
  <c r="BB117" i="58"/>
  <c r="U117" i="58"/>
  <c r="L117" i="58"/>
  <c r="M117" i="58" s="1"/>
  <c r="O117" i="58" s="1"/>
  <c r="BS116" i="58"/>
  <c r="BR116" i="58"/>
  <c r="BQ116" i="58"/>
  <c r="BP116" i="58"/>
  <c r="BO116" i="58"/>
  <c r="BN116" i="58"/>
  <c r="BM116" i="58"/>
  <c r="BL116" i="58"/>
  <c r="BK116" i="58"/>
  <c r="BJ116" i="58"/>
  <c r="BI116" i="58"/>
  <c r="BH116" i="58"/>
  <c r="BF116" i="58"/>
  <c r="BD116" i="58"/>
  <c r="BC116" i="58"/>
  <c r="AZ116" i="58"/>
  <c r="AU116" i="58"/>
  <c r="AT116" i="58"/>
  <c r="AS116" i="58"/>
  <c r="AR116" i="58"/>
  <c r="AQ116" i="58"/>
  <c r="AP116" i="58"/>
  <c r="AO116" i="58"/>
  <c r="AN116" i="58"/>
  <c r="AL116" i="58"/>
  <c r="AK116" i="58"/>
  <c r="AJ116" i="58"/>
  <c r="AI116" i="58"/>
  <c r="AH116" i="58"/>
  <c r="AF116" i="58"/>
  <c r="AE116" i="58"/>
  <c r="AD116" i="58"/>
  <c r="W116" i="58"/>
  <c r="V116" i="58"/>
  <c r="E997" i="140"/>
  <c r="E999" i="140"/>
  <c r="Z76" i="139"/>
  <c r="AI76" i="139" s="1"/>
  <c r="E986" i="140"/>
  <c r="Z146" i="139"/>
  <c r="BO155" i="139" l="1"/>
  <c r="BO4" i="139"/>
  <c r="BO152" i="139" s="1"/>
  <c r="BM152" i="139"/>
  <c r="BF154" i="139"/>
  <c r="BF4" i="139"/>
  <c r="BF152" i="139" s="1"/>
  <c r="BE154" i="139"/>
  <c r="BE4" i="139"/>
  <c r="BE152" i="139" s="1"/>
  <c r="BT3" i="58"/>
  <c r="AI8" i="139"/>
  <c r="T90" i="58"/>
  <c r="T96" i="58"/>
  <c r="T97" i="58"/>
  <c r="T106" i="58"/>
  <c r="T109" i="58"/>
  <c r="T113" i="58"/>
  <c r="T120" i="58"/>
  <c r="T123" i="58"/>
  <c r="T127" i="58"/>
  <c r="T101" i="58"/>
  <c r="T94" i="58"/>
  <c r="T107" i="58"/>
  <c r="T92" i="58"/>
  <c r="T95" i="58"/>
  <c r="T99" i="58"/>
  <c r="T105" i="58"/>
  <c r="T108" i="58"/>
  <c r="T112" i="58"/>
  <c r="T93" i="58"/>
  <c r="T129" i="58"/>
  <c r="T98" i="58"/>
  <c r="T89" i="58"/>
  <c r="T100" i="58"/>
  <c r="T91" i="58"/>
  <c r="T104" i="58"/>
  <c r="T110" i="58"/>
  <c r="T114" i="58"/>
  <c r="T111" i="58"/>
  <c r="T115" i="58"/>
  <c r="T103" i="58"/>
  <c r="T119" i="58"/>
  <c r="T122" i="58"/>
  <c r="T125" i="58"/>
  <c r="T117" i="58"/>
  <c r="T118" i="58"/>
  <c r="T124" i="58"/>
  <c r="T128" i="58"/>
  <c r="T121" i="58"/>
  <c r="U60" i="58"/>
  <c r="BB60" i="58"/>
  <c r="U74" i="58"/>
  <c r="BB74" i="58"/>
  <c r="H231" i="106"/>
  <c r="H147" i="106"/>
  <c r="AI136" i="139"/>
  <c r="U135" i="139"/>
  <c r="E1113" i="140"/>
  <c r="D1113" i="140"/>
  <c r="AA135" i="139"/>
  <c r="AI135" i="139" s="1"/>
  <c r="H140" i="106"/>
  <c r="H154" i="106"/>
  <c r="H175" i="106"/>
  <c r="H168" i="106"/>
  <c r="H161" i="106"/>
  <c r="H210" i="106"/>
  <c r="H133" i="106"/>
  <c r="E1063" i="140"/>
  <c r="D1063" i="140"/>
  <c r="AH146" i="139"/>
  <c r="AG146" i="139"/>
  <c r="AB146" i="139"/>
  <c r="E972" i="140"/>
  <c r="D1008" i="140" s="1"/>
  <c r="E929" i="140"/>
  <c r="Y79" i="139"/>
  <c r="E947" i="140"/>
  <c r="Y88" i="139"/>
  <c r="AI88" i="139" s="1"/>
  <c r="E955" i="140"/>
  <c r="AI149" i="139" l="1"/>
  <c r="T74" i="58"/>
  <c r="T60" i="58"/>
  <c r="E1008" i="140"/>
  <c r="AC145" i="58"/>
  <c r="AC3" i="58" s="1"/>
  <c r="AI147" i="139" l="1"/>
  <c r="E943" i="140"/>
  <c r="H101" i="106"/>
  <c r="H281" i="106"/>
  <c r="H279" i="106"/>
  <c r="H278" i="106"/>
  <c r="H277" i="106"/>
  <c r="H276" i="106"/>
  <c r="H275" i="106"/>
  <c r="H225" i="106"/>
  <c r="H223" i="106"/>
  <c r="H222" i="106"/>
  <c r="H221" i="106"/>
  <c r="H220" i="106"/>
  <c r="H219" i="106"/>
  <c r="H218" i="106"/>
  <c r="H216" i="106"/>
  <c r="H215" i="106"/>
  <c r="H214" i="106"/>
  <c r="H213" i="106"/>
  <c r="H212" i="106"/>
  <c r="H127" i="106"/>
  <c r="H125" i="106"/>
  <c r="H124" i="106"/>
  <c r="H123" i="106"/>
  <c r="H122" i="106"/>
  <c r="H121" i="106"/>
  <c r="H120" i="106"/>
  <c r="H118" i="106"/>
  <c r="H117" i="106"/>
  <c r="H116" i="106"/>
  <c r="H115" i="106"/>
  <c r="H114" i="106"/>
  <c r="H113" i="106"/>
  <c r="H111" i="106"/>
  <c r="H110" i="106"/>
  <c r="H109" i="106"/>
  <c r="H108" i="106"/>
  <c r="H107" i="106"/>
  <c r="H106" i="106"/>
  <c r="H104" i="106"/>
  <c r="H103" i="106"/>
  <c r="H102" i="106"/>
  <c r="H100" i="106"/>
  <c r="H92" i="106"/>
  <c r="H90" i="106"/>
  <c r="H89" i="106"/>
  <c r="H88" i="106"/>
  <c r="H87" i="106"/>
  <c r="H86" i="106"/>
  <c r="H85" i="106"/>
  <c r="H83" i="106"/>
  <c r="H82" i="106"/>
  <c r="H81" i="106"/>
  <c r="H80" i="106"/>
  <c r="H79" i="106"/>
  <c r="H78" i="106"/>
  <c r="H76" i="106"/>
  <c r="H75" i="106"/>
  <c r="H74" i="106"/>
  <c r="H73" i="106"/>
  <c r="H72" i="106"/>
  <c r="H71" i="106"/>
  <c r="H69" i="106"/>
  <c r="H68" i="106"/>
  <c r="H67" i="106"/>
  <c r="H66" i="106"/>
  <c r="H65" i="106"/>
  <c r="H64" i="106"/>
  <c r="H62" i="106"/>
  <c r="H61" i="106"/>
  <c r="H60" i="106"/>
  <c r="H59" i="106"/>
  <c r="H58" i="106"/>
  <c r="H57" i="106"/>
  <c r="H55" i="106"/>
  <c r="H54" i="106"/>
  <c r="H53" i="106"/>
  <c r="H52" i="106"/>
  <c r="H51" i="106"/>
  <c r="H50" i="106"/>
  <c r="H48" i="106"/>
  <c r="H47" i="106"/>
  <c r="H46" i="106"/>
  <c r="H45" i="106"/>
  <c r="H44" i="106"/>
  <c r="H43" i="106"/>
  <c r="H41" i="106"/>
  <c r="H40" i="106"/>
  <c r="H39" i="106"/>
  <c r="H38" i="106"/>
  <c r="H37" i="106"/>
  <c r="H36" i="106"/>
  <c r="H34" i="106"/>
  <c r="H33" i="106"/>
  <c r="H32" i="106"/>
  <c r="H31" i="106"/>
  <c r="H30" i="106"/>
  <c r="H29" i="106"/>
  <c r="H27" i="106"/>
  <c r="H26" i="106"/>
  <c r="H25" i="106"/>
  <c r="H24" i="106"/>
  <c r="H23" i="106"/>
  <c r="H22" i="106"/>
  <c r="H20" i="106"/>
  <c r="H19" i="106"/>
  <c r="H18" i="106"/>
  <c r="H17" i="106"/>
  <c r="H16" i="106"/>
  <c r="H15" i="106"/>
  <c r="H13" i="106"/>
  <c r="H12" i="106"/>
  <c r="H11" i="106"/>
  <c r="H10" i="106"/>
  <c r="H9" i="106"/>
  <c r="H8" i="106"/>
  <c r="H6" i="106"/>
  <c r="H5" i="106"/>
  <c r="H4" i="106"/>
  <c r="H3" i="106"/>
  <c r="H2" i="106"/>
  <c r="H96" i="106"/>
  <c r="H99" i="106"/>
  <c r="H97" i="106"/>
  <c r="H95" i="106"/>
  <c r="H94" i="106"/>
  <c r="H93" i="106"/>
  <c r="Z280" i="106"/>
  <c r="Y280" i="106"/>
  <c r="X280" i="106"/>
  <c r="W280" i="106"/>
  <c r="V280" i="106"/>
  <c r="U280" i="106"/>
  <c r="T280" i="106"/>
  <c r="S280" i="106"/>
  <c r="R280" i="106"/>
  <c r="Q280" i="106"/>
  <c r="P280" i="106"/>
  <c r="O280" i="106"/>
  <c r="N280" i="106"/>
  <c r="M280" i="106"/>
  <c r="L280" i="106"/>
  <c r="K280" i="106"/>
  <c r="J280" i="106"/>
  <c r="I280" i="106"/>
  <c r="Z224" i="106"/>
  <c r="Y224" i="106"/>
  <c r="X224" i="106"/>
  <c r="W224" i="106"/>
  <c r="V224" i="106"/>
  <c r="U224" i="106"/>
  <c r="T224" i="106"/>
  <c r="S224" i="106"/>
  <c r="R224" i="106"/>
  <c r="Q224" i="106"/>
  <c r="P224" i="106"/>
  <c r="O224" i="106"/>
  <c r="N224" i="106"/>
  <c r="M224" i="106"/>
  <c r="L224" i="106"/>
  <c r="K224" i="106"/>
  <c r="J224" i="106"/>
  <c r="I224" i="106"/>
  <c r="Z217" i="106"/>
  <c r="Y217" i="106"/>
  <c r="X217" i="106"/>
  <c r="W217" i="106"/>
  <c r="V217" i="106"/>
  <c r="U217" i="106"/>
  <c r="T217" i="106"/>
  <c r="S217" i="106"/>
  <c r="R217" i="106"/>
  <c r="Q217" i="106"/>
  <c r="P217" i="106"/>
  <c r="O217" i="106"/>
  <c r="N217" i="106"/>
  <c r="M217" i="106"/>
  <c r="L217" i="106"/>
  <c r="K217" i="106"/>
  <c r="J217" i="106"/>
  <c r="I217" i="106"/>
  <c r="Z126" i="106"/>
  <c r="Y126" i="106"/>
  <c r="X126" i="106"/>
  <c r="W126" i="106"/>
  <c r="V126" i="106"/>
  <c r="U126" i="106"/>
  <c r="T126" i="106"/>
  <c r="S126" i="106"/>
  <c r="R126" i="106"/>
  <c r="Q126" i="106"/>
  <c r="P126" i="106"/>
  <c r="O126" i="106"/>
  <c r="N126" i="106"/>
  <c r="M126" i="106"/>
  <c r="L126" i="106"/>
  <c r="K126" i="106"/>
  <c r="J126" i="106"/>
  <c r="I126" i="106"/>
  <c r="Z119" i="106"/>
  <c r="Y119" i="106"/>
  <c r="X119" i="106"/>
  <c r="W119" i="106"/>
  <c r="V119" i="106"/>
  <c r="U119" i="106"/>
  <c r="T119" i="106"/>
  <c r="S119" i="106"/>
  <c r="R119" i="106"/>
  <c r="Q119" i="106"/>
  <c r="P119" i="106"/>
  <c r="O119" i="106"/>
  <c r="N119" i="106"/>
  <c r="M119" i="106"/>
  <c r="L119" i="106"/>
  <c r="K119" i="106"/>
  <c r="J119" i="106"/>
  <c r="I119" i="106"/>
  <c r="Z112" i="106"/>
  <c r="Y112" i="106"/>
  <c r="X112" i="106"/>
  <c r="W112" i="106"/>
  <c r="V112" i="106"/>
  <c r="U112" i="106"/>
  <c r="T112" i="106"/>
  <c r="S112" i="106"/>
  <c r="R112" i="106"/>
  <c r="Q112" i="106"/>
  <c r="P112" i="106"/>
  <c r="O112" i="106"/>
  <c r="N112" i="106"/>
  <c r="M112" i="106"/>
  <c r="L112" i="106"/>
  <c r="K112" i="106"/>
  <c r="J112" i="106"/>
  <c r="I112" i="106"/>
  <c r="Z98" i="106"/>
  <c r="Y98" i="106"/>
  <c r="X98" i="106"/>
  <c r="W98" i="106"/>
  <c r="V98" i="106"/>
  <c r="U98" i="106"/>
  <c r="T98" i="106"/>
  <c r="S98" i="106"/>
  <c r="R98" i="106"/>
  <c r="Q98" i="106"/>
  <c r="P98" i="106"/>
  <c r="O98" i="106"/>
  <c r="N98" i="106"/>
  <c r="M98" i="106"/>
  <c r="L98" i="106"/>
  <c r="K98" i="106"/>
  <c r="J98" i="106"/>
  <c r="I98" i="106"/>
  <c r="Z91" i="106"/>
  <c r="Y91" i="106"/>
  <c r="X91" i="106"/>
  <c r="W91" i="106"/>
  <c r="V91" i="106"/>
  <c r="U91" i="106"/>
  <c r="T91" i="106"/>
  <c r="S91" i="106"/>
  <c r="R91" i="106"/>
  <c r="Q91" i="106"/>
  <c r="P91" i="106"/>
  <c r="O91" i="106"/>
  <c r="N91" i="106"/>
  <c r="M91" i="106"/>
  <c r="L91" i="106"/>
  <c r="K91" i="106"/>
  <c r="J91" i="106"/>
  <c r="I91" i="106"/>
  <c r="Z84" i="106"/>
  <c r="Y84" i="106"/>
  <c r="X84" i="106"/>
  <c r="W84" i="106"/>
  <c r="V84" i="106"/>
  <c r="U84" i="106"/>
  <c r="T84" i="106"/>
  <c r="S84" i="106"/>
  <c r="R84" i="106"/>
  <c r="Q84" i="106"/>
  <c r="P84" i="106"/>
  <c r="O84" i="106"/>
  <c r="N84" i="106"/>
  <c r="M84" i="106"/>
  <c r="L84" i="106"/>
  <c r="K84" i="106"/>
  <c r="J84" i="106"/>
  <c r="I84" i="106"/>
  <c r="Z77" i="106"/>
  <c r="Y77" i="106"/>
  <c r="X77" i="106"/>
  <c r="W77" i="106"/>
  <c r="V77" i="106"/>
  <c r="U77" i="106"/>
  <c r="T77" i="106"/>
  <c r="S77" i="106"/>
  <c r="R77" i="106"/>
  <c r="Q77" i="106"/>
  <c r="P77" i="106"/>
  <c r="O77" i="106"/>
  <c r="N77" i="106"/>
  <c r="M77" i="106"/>
  <c r="L77" i="106"/>
  <c r="K77" i="106"/>
  <c r="J77" i="106"/>
  <c r="I77" i="106"/>
  <c r="Z70" i="106"/>
  <c r="Y70" i="106"/>
  <c r="X70" i="106"/>
  <c r="W70" i="106"/>
  <c r="V70" i="106"/>
  <c r="U70" i="106"/>
  <c r="T70" i="106"/>
  <c r="S70" i="106"/>
  <c r="R70" i="106"/>
  <c r="Q70" i="106"/>
  <c r="P70" i="106"/>
  <c r="O70" i="106"/>
  <c r="N70" i="106"/>
  <c r="M70" i="106"/>
  <c r="L70" i="106"/>
  <c r="K70" i="106"/>
  <c r="J70" i="106"/>
  <c r="I70" i="106"/>
  <c r="Z63" i="106"/>
  <c r="Y63" i="106"/>
  <c r="X63" i="106"/>
  <c r="W63" i="106"/>
  <c r="V63" i="106"/>
  <c r="U63" i="106"/>
  <c r="T63" i="106"/>
  <c r="S63" i="106"/>
  <c r="R63" i="106"/>
  <c r="Q63" i="106"/>
  <c r="P63" i="106"/>
  <c r="O63" i="106"/>
  <c r="N63" i="106"/>
  <c r="M63" i="106"/>
  <c r="L63" i="106"/>
  <c r="K63" i="106"/>
  <c r="J63" i="106"/>
  <c r="I63" i="106"/>
  <c r="Z56" i="106"/>
  <c r="Y56" i="106"/>
  <c r="X56" i="106"/>
  <c r="W56" i="106"/>
  <c r="V56" i="106"/>
  <c r="U56" i="106"/>
  <c r="T56" i="106"/>
  <c r="S56" i="106"/>
  <c r="R56" i="106"/>
  <c r="Q56" i="106"/>
  <c r="P56" i="106"/>
  <c r="O56" i="106"/>
  <c r="N56" i="106"/>
  <c r="M56" i="106"/>
  <c r="L56" i="106"/>
  <c r="K56" i="106"/>
  <c r="J56" i="106"/>
  <c r="I56" i="106"/>
  <c r="Z49" i="106"/>
  <c r="Y49" i="106"/>
  <c r="X49" i="106"/>
  <c r="W49" i="106"/>
  <c r="V49" i="106"/>
  <c r="U49" i="106"/>
  <c r="T49" i="106"/>
  <c r="S49" i="106"/>
  <c r="R49" i="106"/>
  <c r="Q49" i="106"/>
  <c r="P49" i="106"/>
  <c r="O49" i="106"/>
  <c r="N49" i="106"/>
  <c r="M49" i="106"/>
  <c r="L49" i="106"/>
  <c r="K49" i="106"/>
  <c r="J49" i="106"/>
  <c r="I49" i="106"/>
  <c r="Z42" i="106"/>
  <c r="Y42" i="106"/>
  <c r="X42" i="106"/>
  <c r="W42" i="106"/>
  <c r="V42" i="106"/>
  <c r="U42" i="106"/>
  <c r="T42" i="106"/>
  <c r="S42" i="106"/>
  <c r="R42" i="106"/>
  <c r="Q42" i="106"/>
  <c r="P42" i="106"/>
  <c r="O42" i="106"/>
  <c r="N42" i="106"/>
  <c r="M42" i="106"/>
  <c r="L42" i="106"/>
  <c r="K42" i="106"/>
  <c r="J42" i="106"/>
  <c r="I42" i="106"/>
  <c r="Z35" i="106"/>
  <c r="Y35" i="106"/>
  <c r="X35" i="106"/>
  <c r="W35" i="106"/>
  <c r="V35" i="106"/>
  <c r="U35" i="106"/>
  <c r="T35" i="106"/>
  <c r="S35" i="106"/>
  <c r="R35" i="106"/>
  <c r="Q35" i="106"/>
  <c r="P35" i="106"/>
  <c r="O35" i="106"/>
  <c r="N35" i="106"/>
  <c r="M35" i="106"/>
  <c r="L35" i="106"/>
  <c r="K35" i="106"/>
  <c r="J35" i="106"/>
  <c r="I35" i="106"/>
  <c r="Z28" i="106"/>
  <c r="Y28" i="106"/>
  <c r="X28" i="106"/>
  <c r="W28" i="106"/>
  <c r="V28" i="106"/>
  <c r="U28" i="106"/>
  <c r="T28" i="106"/>
  <c r="S28" i="106"/>
  <c r="R28" i="106"/>
  <c r="Q28" i="106"/>
  <c r="P28" i="106"/>
  <c r="O28" i="106"/>
  <c r="N28" i="106"/>
  <c r="M28" i="106"/>
  <c r="L28" i="106"/>
  <c r="K28" i="106"/>
  <c r="J28" i="106"/>
  <c r="I28" i="106"/>
  <c r="Z21" i="106"/>
  <c r="Y21" i="106"/>
  <c r="X21" i="106"/>
  <c r="W21" i="106"/>
  <c r="V21" i="106"/>
  <c r="U21" i="106"/>
  <c r="T21" i="106"/>
  <c r="S21" i="106"/>
  <c r="R21" i="106"/>
  <c r="Q21" i="106"/>
  <c r="P21" i="106"/>
  <c r="O21" i="106"/>
  <c r="N21" i="106"/>
  <c r="M21" i="106"/>
  <c r="L21" i="106"/>
  <c r="K21" i="106"/>
  <c r="J21" i="106"/>
  <c r="I21" i="106"/>
  <c r="Z14" i="106"/>
  <c r="Y14" i="106"/>
  <c r="X14" i="106"/>
  <c r="W14" i="106"/>
  <c r="V14" i="106"/>
  <c r="U14" i="106"/>
  <c r="T14" i="106"/>
  <c r="S14" i="106"/>
  <c r="R14" i="106"/>
  <c r="Q14" i="106"/>
  <c r="P14" i="106"/>
  <c r="O14" i="106"/>
  <c r="N14" i="106"/>
  <c r="M14" i="106"/>
  <c r="L14" i="106"/>
  <c r="K14" i="106"/>
  <c r="J14" i="106"/>
  <c r="I14" i="106"/>
  <c r="Z7" i="106"/>
  <c r="Y7" i="106"/>
  <c r="X7" i="106"/>
  <c r="W7" i="106"/>
  <c r="V7" i="106"/>
  <c r="U7" i="106"/>
  <c r="T7" i="106"/>
  <c r="S7" i="106"/>
  <c r="R7" i="106"/>
  <c r="Q7" i="106"/>
  <c r="P7" i="106"/>
  <c r="O7" i="106"/>
  <c r="N7" i="106"/>
  <c r="M7" i="106"/>
  <c r="L7" i="106"/>
  <c r="K7" i="106"/>
  <c r="J7" i="106"/>
  <c r="I7" i="106"/>
  <c r="Z105" i="106"/>
  <c r="Y105" i="106"/>
  <c r="X105" i="106"/>
  <c r="W105" i="106"/>
  <c r="V105" i="106"/>
  <c r="U105" i="106"/>
  <c r="T105" i="106"/>
  <c r="S105" i="106"/>
  <c r="R105" i="106"/>
  <c r="Q105" i="106"/>
  <c r="P105" i="106"/>
  <c r="O105" i="106"/>
  <c r="N105" i="106"/>
  <c r="M105" i="106"/>
  <c r="L105" i="106"/>
  <c r="K105" i="106"/>
  <c r="J105" i="106"/>
  <c r="I105" i="106"/>
  <c r="U170" i="58"/>
  <c r="H7" i="106" l="1"/>
  <c r="H35" i="106"/>
  <c r="H63" i="106"/>
  <c r="H91" i="106"/>
  <c r="H224" i="106"/>
  <c r="H70" i="106"/>
  <c r="H98" i="106"/>
  <c r="H21" i="106"/>
  <c r="H49" i="106"/>
  <c r="H77" i="106"/>
  <c r="H42" i="106"/>
  <c r="H280" i="106"/>
  <c r="H14" i="106"/>
  <c r="H28" i="106"/>
  <c r="H56" i="106"/>
  <c r="H84" i="106"/>
  <c r="H217" i="106"/>
  <c r="H126" i="106"/>
  <c r="H112" i="106"/>
  <c r="H119" i="106"/>
  <c r="H105" i="106"/>
  <c r="Y130" i="139"/>
  <c r="Y146" i="139"/>
  <c r="AI146" i="139" s="1"/>
  <c r="AI31" i="139"/>
  <c r="A36" i="134" l="1"/>
  <c r="A10" i="151" l="1"/>
  <c r="A9" i="151"/>
  <c r="A8" i="151"/>
  <c r="A7" i="151"/>
  <c r="A6" i="151"/>
  <c r="A5" i="151"/>
  <c r="A4" i="151"/>
  <c r="E3" i="151"/>
  <c r="E4" i="151" s="1"/>
  <c r="E5" i="151" s="1"/>
  <c r="E6" i="151" s="1"/>
  <c r="E7" i="151" s="1"/>
  <c r="E8" i="151" s="1"/>
  <c r="E9" i="151" s="1"/>
  <c r="E10" i="151" s="1"/>
  <c r="A3" i="151"/>
  <c r="K23" i="150"/>
  <c r="I23" i="150"/>
  <c r="E23" i="150"/>
  <c r="D23" i="150"/>
  <c r="J20" i="150"/>
  <c r="J23" i="150" s="1"/>
  <c r="A19" i="150"/>
  <c r="A17" i="150"/>
  <c r="A15" i="150"/>
  <c r="A12" i="150"/>
  <c r="J9" i="150"/>
  <c r="J3" i="150"/>
  <c r="J2" i="150"/>
  <c r="A54" i="149"/>
  <c r="A53" i="149"/>
  <c r="A52" i="149"/>
  <c r="A51" i="149"/>
  <c r="A50" i="149"/>
  <c r="A49" i="149"/>
  <c r="A48" i="149"/>
  <c r="A47" i="149"/>
  <c r="A46" i="149"/>
  <c r="A45" i="149"/>
  <c r="A44" i="149"/>
  <c r="A43" i="149"/>
  <c r="A42" i="149"/>
  <c r="A41" i="149"/>
  <c r="A40" i="149"/>
  <c r="A39" i="149"/>
  <c r="A38" i="149"/>
  <c r="A37" i="149"/>
  <c r="A36" i="149"/>
  <c r="A35" i="149"/>
  <c r="A34" i="149"/>
  <c r="A33" i="149"/>
  <c r="A32" i="149"/>
  <c r="A31" i="149"/>
  <c r="A30" i="149"/>
  <c r="A29" i="149"/>
  <c r="A28" i="149"/>
  <c r="A27" i="149"/>
  <c r="A26" i="149"/>
  <c r="A25" i="149"/>
  <c r="A24" i="149"/>
  <c r="A23" i="149"/>
  <c r="A22" i="149"/>
  <c r="A21" i="149"/>
  <c r="A20" i="149"/>
  <c r="A19" i="149"/>
  <c r="A18" i="149"/>
  <c r="A17" i="149"/>
  <c r="A16" i="149"/>
  <c r="A15" i="149"/>
  <c r="A14" i="149"/>
  <c r="A13" i="149"/>
  <c r="A12" i="149"/>
  <c r="A11" i="149"/>
  <c r="A10" i="149"/>
  <c r="A9" i="149"/>
  <c r="A8" i="149"/>
  <c r="A7" i="149"/>
  <c r="A6" i="149"/>
  <c r="A5" i="149"/>
  <c r="A4" i="149"/>
  <c r="A3" i="149"/>
  <c r="A108" i="148"/>
  <c r="A107" i="148"/>
  <c r="A106" i="148"/>
  <c r="A105" i="148"/>
  <c r="A104" i="148"/>
  <c r="A103" i="148"/>
  <c r="A102" i="148"/>
  <c r="A101" i="148"/>
  <c r="A100" i="148"/>
  <c r="A99" i="148"/>
  <c r="A98" i="148"/>
  <c r="A97" i="148"/>
  <c r="A96" i="148"/>
  <c r="A95" i="148"/>
  <c r="A94" i="148"/>
  <c r="A93" i="148"/>
  <c r="A92" i="148"/>
  <c r="A91" i="148"/>
  <c r="A90" i="148"/>
  <c r="A89" i="148"/>
  <c r="A88" i="148"/>
  <c r="A87" i="148"/>
  <c r="A86" i="148"/>
  <c r="A85" i="148"/>
  <c r="A84" i="148"/>
  <c r="A83" i="148"/>
  <c r="A82" i="148"/>
  <c r="A81" i="148"/>
  <c r="A80" i="148"/>
  <c r="A79" i="148"/>
  <c r="A78" i="148"/>
  <c r="A77" i="148"/>
  <c r="A76" i="148"/>
  <c r="A75" i="148"/>
  <c r="A74" i="148"/>
  <c r="A73" i="148"/>
  <c r="A72" i="148"/>
  <c r="A71" i="148"/>
  <c r="A70" i="148"/>
  <c r="A69" i="148"/>
  <c r="A68" i="148"/>
  <c r="A67" i="148"/>
  <c r="A66" i="148"/>
  <c r="A65" i="148"/>
  <c r="A64" i="148"/>
  <c r="A63" i="148"/>
  <c r="A62" i="148"/>
  <c r="A61" i="148"/>
  <c r="A60" i="148"/>
  <c r="A59" i="148"/>
  <c r="A58" i="148"/>
  <c r="A57" i="148"/>
  <c r="A56" i="148"/>
  <c r="A55" i="148"/>
  <c r="A54" i="148"/>
  <c r="A53" i="148"/>
  <c r="A52" i="148"/>
  <c r="A51" i="148"/>
  <c r="A50" i="148"/>
  <c r="A49" i="148"/>
  <c r="A48" i="148"/>
  <c r="A47" i="148"/>
  <c r="A46" i="148"/>
  <c r="A45" i="148"/>
  <c r="A44" i="148"/>
  <c r="A43" i="148"/>
  <c r="A42" i="148"/>
  <c r="A41" i="148"/>
  <c r="A40" i="148"/>
  <c r="A39" i="148"/>
  <c r="A38" i="148"/>
  <c r="A37" i="148"/>
  <c r="A36" i="148"/>
  <c r="A35" i="148"/>
  <c r="A34" i="148"/>
  <c r="A33" i="148"/>
  <c r="A32" i="148"/>
  <c r="A31" i="148"/>
  <c r="A30" i="148"/>
  <c r="A29" i="148"/>
  <c r="A28" i="148"/>
  <c r="A27" i="148"/>
  <c r="A26" i="148"/>
  <c r="A25" i="148"/>
  <c r="A24" i="148"/>
  <c r="A23" i="148"/>
  <c r="A22" i="148"/>
  <c r="A21" i="148"/>
  <c r="A20" i="148"/>
  <c r="A19" i="148"/>
  <c r="A18" i="148"/>
  <c r="A17" i="148"/>
  <c r="A16" i="148"/>
  <c r="A15" i="148"/>
  <c r="A14" i="148"/>
  <c r="A13" i="148"/>
  <c r="A12" i="148"/>
  <c r="A11" i="148"/>
  <c r="A10" i="148"/>
  <c r="A9" i="148"/>
  <c r="A8" i="148"/>
  <c r="A7" i="148"/>
  <c r="A6" i="148"/>
  <c r="A5" i="148"/>
  <c r="A4" i="148"/>
  <c r="A3" i="148"/>
  <c r="Q44" i="147"/>
  <c r="N44" i="147"/>
  <c r="M44" i="147"/>
  <c r="K44" i="147"/>
  <c r="J44" i="147"/>
  <c r="G44" i="147"/>
  <c r="E44" i="147"/>
  <c r="O43" i="147"/>
  <c r="L43" i="147"/>
  <c r="I43" i="147"/>
  <c r="D43" i="147"/>
  <c r="A43" i="147"/>
  <c r="O42" i="147"/>
  <c r="L42" i="147"/>
  <c r="I42" i="147"/>
  <c r="D42" i="147"/>
  <c r="A42" i="147"/>
  <c r="O41" i="147"/>
  <c r="L41" i="147"/>
  <c r="I41" i="147"/>
  <c r="D41" i="147"/>
  <c r="A41" i="147"/>
  <c r="O40" i="147"/>
  <c r="L40" i="147"/>
  <c r="I40" i="147"/>
  <c r="D40" i="147"/>
  <c r="A40" i="147"/>
  <c r="O39" i="147"/>
  <c r="L39" i="147"/>
  <c r="I39" i="147"/>
  <c r="D39" i="147"/>
  <c r="A39" i="147"/>
  <c r="P38" i="147"/>
  <c r="O38" i="147" s="1"/>
  <c r="L38" i="147"/>
  <c r="I38" i="147"/>
  <c r="D38" i="147"/>
  <c r="A38" i="147"/>
  <c r="O37" i="147"/>
  <c r="L37" i="147"/>
  <c r="I37" i="147"/>
  <c r="D37" i="147"/>
  <c r="A37" i="147"/>
  <c r="O36" i="147"/>
  <c r="L36" i="147"/>
  <c r="I36" i="147"/>
  <c r="D36" i="147"/>
  <c r="A36" i="147"/>
  <c r="L35" i="147"/>
  <c r="D35" i="147"/>
  <c r="A35" i="147"/>
  <c r="O34" i="147"/>
  <c r="L34" i="147"/>
  <c r="I34" i="147"/>
  <c r="D34" i="147"/>
  <c r="A34" i="147"/>
  <c r="L33" i="147"/>
  <c r="D33" i="147"/>
  <c r="A33" i="147"/>
  <c r="O32" i="147"/>
  <c r="L32" i="147"/>
  <c r="I32" i="147"/>
  <c r="D32" i="147"/>
  <c r="A32" i="147"/>
  <c r="O31" i="147"/>
  <c r="L31" i="147"/>
  <c r="I31" i="147"/>
  <c r="D31" i="147"/>
  <c r="A31" i="147"/>
  <c r="O30" i="147"/>
  <c r="L30" i="147"/>
  <c r="I30" i="147"/>
  <c r="D30" i="147"/>
  <c r="A30" i="147"/>
  <c r="L29" i="147"/>
  <c r="D29" i="147"/>
  <c r="A29" i="147"/>
  <c r="O28" i="147"/>
  <c r="L28" i="147"/>
  <c r="I28" i="147"/>
  <c r="D28" i="147"/>
  <c r="A28" i="147"/>
  <c r="L27" i="147"/>
  <c r="D27" i="147"/>
  <c r="A27" i="147"/>
  <c r="O26" i="147"/>
  <c r="L26" i="147"/>
  <c r="I26" i="147"/>
  <c r="A26" i="147"/>
  <c r="O25" i="147"/>
  <c r="L25" i="147"/>
  <c r="I25" i="147"/>
  <c r="A25" i="147"/>
  <c r="O24" i="147"/>
  <c r="L24" i="147"/>
  <c r="I24" i="147"/>
  <c r="D24" i="147"/>
  <c r="A24" i="147"/>
  <c r="O23" i="147"/>
  <c r="L23" i="147"/>
  <c r="I23" i="147"/>
  <c r="D23" i="147"/>
  <c r="A23" i="147"/>
  <c r="O22" i="147"/>
  <c r="L22" i="147"/>
  <c r="I22" i="147"/>
  <c r="D22" i="147"/>
  <c r="A22" i="147"/>
  <c r="O21" i="147"/>
  <c r="L21" i="147"/>
  <c r="I21" i="147"/>
  <c r="D21" i="147"/>
  <c r="A21" i="147"/>
  <c r="L20" i="147"/>
  <c r="A20" i="147"/>
  <c r="O19" i="147"/>
  <c r="L19" i="147"/>
  <c r="I19" i="147"/>
  <c r="D19" i="147"/>
  <c r="A19" i="147"/>
  <c r="O18" i="147"/>
  <c r="L18" i="147"/>
  <c r="I18" i="147"/>
  <c r="D18" i="147"/>
  <c r="A18" i="147"/>
  <c r="O17" i="147"/>
  <c r="L17" i="147"/>
  <c r="I17" i="147"/>
  <c r="A17" i="147"/>
  <c r="O16" i="147"/>
  <c r="L16" i="147"/>
  <c r="I16" i="147"/>
  <c r="D16" i="147"/>
  <c r="A16" i="147"/>
  <c r="O15" i="147"/>
  <c r="L15" i="147"/>
  <c r="I15" i="147"/>
  <c r="D15" i="147"/>
  <c r="A15" i="147"/>
  <c r="O14" i="147"/>
  <c r="L14" i="147"/>
  <c r="I14" i="147"/>
  <c r="D14" i="147"/>
  <c r="A14" i="147"/>
  <c r="O13" i="147"/>
  <c r="L13" i="147"/>
  <c r="I13" i="147"/>
  <c r="D13" i="147"/>
  <c r="A13" i="147"/>
  <c r="O12" i="147"/>
  <c r="L12" i="147"/>
  <c r="I12" i="147"/>
  <c r="D12" i="147"/>
  <c r="A12" i="147"/>
  <c r="O11" i="147"/>
  <c r="L11" i="147"/>
  <c r="I11" i="147"/>
  <c r="D11" i="147"/>
  <c r="A11" i="147"/>
  <c r="O10" i="147"/>
  <c r="L10" i="147"/>
  <c r="I10" i="147"/>
  <c r="A10" i="147"/>
  <c r="O9" i="147"/>
  <c r="L9" i="147"/>
  <c r="I9" i="147"/>
  <c r="D9" i="147"/>
  <c r="A9" i="147"/>
  <c r="O8" i="147"/>
  <c r="L8" i="147"/>
  <c r="I8" i="147"/>
  <c r="D8" i="147"/>
  <c r="A8" i="147"/>
  <c r="O7" i="147"/>
  <c r="L7" i="147"/>
  <c r="I7" i="147"/>
  <c r="D7" i="147"/>
  <c r="A7" i="147"/>
  <c r="O6" i="147"/>
  <c r="L6" i="147"/>
  <c r="I6" i="147"/>
  <c r="D6" i="147"/>
  <c r="A6" i="147"/>
  <c r="O5" i="147"/>
  <c r="L5" i="147"/>
  <c r="I5" i="147"/>
  <c r="D5" i="147"/>
  <c r="A5" i="147"/>
  <c r="O4" i="147"/>
  <c r="L4" i="147"/>
  <c r="L44" i="147" s="1"/>
  <c r="I4" i="147"/>
  <c r="D4" i="147"/>
  <c r="A4" i="147"/>
  <c r="Q37" i="146"/>
  <c r="P37" i="146"/>
  <c r="N37" i="146"/>
  <c r="M37" i="146"/>
  <c r="K37" i="146"/>
  <c r="G37" i="146"/>
  <c r="E37" i="146"/>
  <c r="O36" i="146"/>
  <c r="L36" i="146"/>
  <c r="I36" i="146"/>
  <c r="D36" i="146"/>
  <c r="A36" i="146"/>
  <c r="O35" i="146"/>
  <c r="L35" i="146"/>
  <c r="I35" i="146"/>
  <c r="D35" i="146"/>
  <c r="A35" i="146"/>
  <c r="L34" i="146"/>
  <c r="D34" i="146"/>
  <c r="A34" i="146"/>
  <c r="O33" i="146"/>
  <c r="L33" i="146"/>
  <c r="I33" i="146"/>
  <c r="D33" i="146"/>
  <c r="A33" i="146"/>
  <c r="L32" i="146"/>
  <c r="D32" i="146"/>
  <c r="A32" i="146"/>
  <c r="O31" i="146"/>
  <c r="L31" i="146"/>
  <c r="I31" i="146"/>
  <c r="D31" i="146"/>
  <c r="A31" i="146"/>
  <c r="O30" i="146"/>
  <c r="L30" i="146"/>
  <c r="I30" i="146"/>
  <c r="D30" i="146"/>
  <c r="A30" i="146"/>
  <c r="O29" i="146"/>
  <c r="L29" i="146"/>
  <c r="I29" i="146"/>
  <c r="D29" i="146"/>
  <c r="A29" i="146"/>
  <c r="L28" i="146"/>
  <c r="D28" i="146"/>
  <c r="A28" i="146"/>
  <c r="O27" i="146"/>
  <c r="L27" i="146"/>
  <c r="I27" i="146"/>
  <c r="D27" i="146"/>
  <c r="A27" i="146"/>
  <c r="L26" i="146"/>
  <c r="D26" i="146"/>
  <c r="A26" i="146"/>
  <c r="O25" i="146"/>
  <c r="L25" i="146"/>
  <c r="I25" i="146"/>
  <c r="A25" i="146"/>
  <c r="O24" i="146"/>
  <c r="L24" i="146"/>
  <c r="I24" i="146"/>
  <c r="A24" i="146"/>
  <c r="O23" i="146"/>
  <c r="L23" i="146"/>
  <c r="I23" i="146"/>
  <c r="D23" i="146"/>
  <c r="A23" i="146"/>
  <c r="O22" i="146"/>
  <c r="L22" i="146"/>
  <c r="I22" i="146"/>
  <c r="D22" i="146"/>
  <c r="A22" i="146"/>
  <c r="O21" i="146"/>
  <c r="L21" i="146"/>
  <c r="I21" i="146"/>
  <c r="D21" i="146"/>
  <c r="A21" i="146"/>
  <c r="O20" i="146"/>
  <c r="L20" i="146"/>
  <c r="I20" i="146"/>
  <c r="D20" i="146"/>
  <c r="A20" i="146"/>
  <c r="O19" i="146"/>
  <c r="L19" i="146"/>
  <c r="I19" i="146"/>
  <c r="D19" i="146"/>
  <c r="A19" i="146"/>
  <c r="O18" i="146"/>
  <c r="L18" i="146"/>
  <c r="I18" i="146"/>
  <c r="D18" i="146"/>
  <c r="A18" i="146"/>
  <c r="O17" i="146"/>
  <c r="L17" i="146"/>
  <c r="I17" i="146"/>
  <c r="A17" i="146"/>
  <c r="O16" i="146"/>
  <c r="L16" i="146"/>
  <c r="I16" i="146"/>
  <c r="D16" i="146"/>
  <c r="A16" i="146"/>
  <c r="O15" i="146"/>
  <c r="L15" i="146"/>
  <c r="I15" i="146"/>
  <c r="D15" i="146"/>
  <c r="A15" i="146"/>
  <c r="O14" i="146"/>
  <c r="L14" i="146"/>
  <c r="I14" i="146"/>
  <c r="D14" i="146"/>
  <c r="A14" i="146"/>
  <c r="O13" i="146"/>
  <c r="L13" i="146"/>
  <c r="I13" i="146"/>
  <c r="D13" i="146"/>
  <c r="A13" i="146"/>
  <c r="O12" i="146"/>
  <c r="L12" i="146"/>
  <c r="I12" i="146"/>
  <c r="D12" i="146"/>
  <c r="A12" i="146"/>
  <c r="O11" i="146"/>
  <c r="L11" i="146"/>
  <c r="I11" i="146"/>
  <c r="D11" i="146"/>
  <c r="A11" i="146"/>
  <c r="O10" i="146"/>
  <c r="L10" i="146"/>
  <c r="I10" i="146"/>
  <c r="A10" i="146"/>
  <c r="O9" i="146"/>
  <c r="L9" i="146"/>
  <c r="I9" i="146"/>
  <c r="D9" i="146"/>
  <c r="A9" i="146"/>
  <c r="O8" i="146"/>
  <c r="L8" i="146"/>
  <c r="I8" i="146"/>
  <c r="D8" i="146"/>
  <c r="A8" i="146"/>
  <c r="O7" i="146"/>
  <c r="L7" i="146"/>
  <c r="I7" i="146"/>
  <c r="D7" i="146"/>
  <c r="A7" i="146"/>
  <c r="O6" i="146"/>
  <c r="L6" i="146"/>
  <c r="I6" i="146"/>
  <c r="D6" i="146"/>
  <c r="A6" i="146"/>
  <c r="O5" i="146"/>
  <c r="L5" i="146"/>
  <c r="I5" i="146"/>
  <c r="D5" i="146"/>
  <c r="A5" i="146"/>
  <c r="O4" i="146"/>
  <c r="L4" i="146"/>
  <c r="J4" i="146"/>
  <c r="I4" i="146" s="1"/>
  <c r="D4" i="146"/>
  <c r="A4" i="146"/>
  <c r="O37" i="146" l="1"/>
  <c r="O44" i="147"/>
  <c r="D37" i="146"/>
  <c r="D44" i="147"/>
  <c r="L37" i="146"/>
  <c r="I37" i="146"/>
  <c r="I44" i="147"/>
  <c r="P44" i="147"/>
  <c r="J37" i="146"/>
  <c r="BA95" i="142" l="1"/>
  <c r="BA94" i="142"/>
  <c r="BA93" i="142"/>
  <c r="BA92" i="142"/>
  <c r="BA91" i="142"/>
  <c r="BA90" i="142"/>
  <c r="BA89" i="142"/>
  <c r="BA88" i="142"/>
  <c r="BA87" i="142"/>
  <c r="BA86" i="142"/>
  <c r="BA85" i="142"/>
  <c r="BA84" i="142"/>
  <c r="BA83" i="142"/>
  <c r="BA82" i="142"/>
  <c r="BA81" i="142"/>
  <c r="BA80" i="142"/>
  <c r="BA79" i="142"/>
  <c r="BA78" i="142"/>
  <c r="BA77" i="142"/>
  <c r="BA70" i="142"/>
  <c r="BA69" i="142"/>
  <c r="BA68" i="142"/>
  <c r="BA67" i="142"/>
  <c r="BA66" i="142"/>
  <c r="BA65" i="142"/>
  <c r="BA64" i="142"/>
  <c r="BA63" i="142"/>
  <c r="BA56" i="142"/>
  <c r="BJ55" i="142"/>
  <c r="BA55" i="142"/>
  <c r="BJ54" i="142"/>
  <c r="BA54" i="142"/>
  <c r="BJ53" i="142"/>
  <c r="BA53" i="142"/>
  <c r="BJ52" i="142"/>
  <c r="BA52" i="142"/>
  <c r="BJ51" i="142"/>
  <c r="BA51" i="142"/>
  <c r="BJ50" i="142"/>
  <c r="BA50" i="142"/>
  <c r="BJ49" i="142"/>
  <c r="BA49" i="142"/>
  <c r="BJ47" i="142"/>
  <c r="BA47" i="142"/>
  <c r="BJ46" i="142"/>
  <c r="BA46" i="142"/>
  <c r="BJ45" i="142"/>
  <c r="BA45" i="142"/>
  <c r="BJ44" i="142"/>
  <c r="BA44" i="142"/>
  <c r="BJ43" i="142"/>
  <c r="BA43" i="142"/>
  <c r="N19" i="134"/>
  <c r="N8" i="134"/>
  <c r="N11" i="134" s="1"/>
  <c r="N18" i="134" s="1"/>
  <c r="F13" i="134"/>
  <c r="F12" i="134"/>
  <c r="F11" i="134"/>
  <c r="F10" i="134"/>
  <c r="F9" i="134"/>
  <c r="F8" i="134"/>
  <c r="F7" i="134"/>
  <c r="F6" i="134"/>
  <c r="BA57" i="142" l="1"/>
  <c r="BJ56" i="142"/>
  <c r="BA71" i="142"/>
  <c r="BA96" i="142"/>
  <c r="A303" i="143" l="1"/>
  <c r="A302" i="143"/>
  <c r="A301" i="143"/>
  <c r="A300" i="143"/>
  <c r="A299" i="143"/>
  <c r="A298" i="143"/>
  <c r="A297" i="143"/>
  <c r="A296" i="143"/>
  <c r="A295" i="143"/>
  <c r="A294" i="143"/>
  <c r="A293" i="143"/>
  <c r="A292" i="143"/>
  <c r="A291" i="143"/>
  <c r="A290" i="143"/>
  <c r="A289" i="143"/>
  <c r="A288" i="143"/>
  <c r="A287" i="143"/>
  <c r="A286" i="143"/>
  <c r="A285" i="143"/>
  <c r="A284" i="143"/>
  <c r="A283" i="143"/>
  <c r="A282" i="143"/>
  <c r="A281" i="143"/>
  <c r="A280" i="143"/>
  <c r="B279" i="143"/>
  <c r="A279" i="143"/>
  <c r="B278" i="143"/>
  <c r="A278" i="143"/>
  <c r="B277" i="143"/>
  <c r="A277" i="143"/>
  <c r="B276" i="143"/>
  <c r="A276" i="143"/>
  <c r="B275" i="143"/>
  <c r="A275" i="143"/>
  <c r="B274" i="143"/>
  <c r="A274" i="143"/>
  <c r="B273" i="143"/>
  <c r="A273" i="143"/>
  <c r="B272" i="143"/>
  <c r="A272" i="143"/>
  <c r="B271" i="143"/>
  <c r="A271" i="143"/>
  <c r="B270" i="143"/>
  <c r="A270" i="143"/>
  <c r="B269" i="143"/>
  <c r="A269" i="143"/>
  <c r="B268" i="143"/>
  <c r="A268" i="143"/>
  <c r="A267" i="143"/>
  <c r="B266" i="143"/>
  <c r="A266" i="143"/>
  <c r="B265" i="143"/>
  <c r="A265" i="143"/>
  <c r="B264" i="143"/>
  <c r="A264" i="143"/>
  <c r="B263" i="143"/>
  <c r="A263" i="143"/>
  <c r="B262" i="143"/>
  <c r="A262" i="143"/>
  <c r="B261" i="143"/>
  <c r="A261" i="143"/>
  <c r="B260" i="143"/>
  <c r="A260" i="143"/>
  <c r="B259" i="143"/>
  <c r="A259" i="143"/>
  <c r="B258" i="143"/>
  <c r="A258" i="143"/>
  <c r="B257" i="143"/>
  <c r="A257" i="143"/>
  <c r="B256" i="143"/>
  <c r="A256" i="143"/>
  <c r="B255" i="143"/>
  <c r="A255" i="143"/>
  <c r="B254" i="143"/>
  <c r="A254" i="143"/>
  <c r="B253" i="143"/>
  <c r="A253" i="143"/>
  <c r="B252" i="143"/>
  <c r="A252" i="143"/>
  <c r="B251" i="143"/>
  <c r="A251" i="143"/>
  <c r="B250" i="143"/>
  <c r="A250" i="143"/>
  <c r="B249" i="143"/>
  <c r="A249" i="143"/>
  <c r="B248" i="143"/>
  <c r="A248" i="143"/>
  <c r="B247" i="143"/>
  <c r="A247" i="143"/>
  <c r="B246" i="143"/>
  <c r="A246" i="143"/>
  <c r="B245" i="143"/>
  <c r="A245" i="143"/>
  <c r="B244" i="143"/>
  <c r="A244" i="143"/>
  <c r="B243" i="143"/>
  <c r="A243" i="143"/>
  <c r="B242" i="143"/>
  <c r="A242" i="143"/>
  <c r="B241" i="143"/>
  <c r="A241" i="143"/>
  <c r="B240" i="143"/>
  <c r="A240" i="143"/>
  <c r="B239" i="143"/>
  <c r="A239" i="143"/>
  <c r="B238" i="143"/>
  <c r="A238" i="143"/>
  <c r="B237" i="143"/>
  <c r="A237" i="143"/>
  <c r="B236" i="143"/>
  <c r="A236" i="143"/>
  <c r="B235" i="143"/>
  <c r="A235" i="143"/>
  <c r="B234" i="143"/>
  <c r="A234" i="143"/>
  <c r="B233" i="143"/>
  <c r="A233" i="143"/>
  <c r="B232" i="143"/>
  <c r="A232" i="143"/>
  <c r="B231" i="143"/>
  <c r="A231" i="143"/>
  <c r="B230" i="143"/>
  <c r="A230" i="143"/>
  <c r="B229" i="143"/>
  <c r="A229" i="143"/>
  <c r="B228" i="143"/>
  <c r="A228" i="143"/>
  <c r="B227" i="143"/>
  <c r="A227" i="143"/>
  <c r="B226" i="143"/>
  <c r="A226" i="143"/>
  <c r="B225" i="143"/>
  <c r="A225" i="143"/>
  <c r="B224" i="143"/>
  <c r="A224" i="143"/>
  <c r="B223" i="143"/>
  <c r="A223" i="143"/>
  <c r="B222" i="143"/>
  <c r="A222" i="143"/>
  <c r="B221" i="143"/>
  <c r="A221" i="143"/>
  <c r="B220" i="143"/>
  <c r="A220" i="143"/>
  <c r="B219" i="143"/>
  <c r="A219" i="143"/>
  <c r="B218" i="143"/>
  <c r="A218" i="143"/>
  <c r="B217" i="143"/>
  <c r="A217" i="143"/>
  <c r="B216" i="143"/>
  <c r="A216" i="143"/>
  <c r="B215" i="143"/>
  <c r="A215" i="143"/>
  <c r="B214" i="143"/>
  <c r="A214" i="143"/>
  <c r="B213" i="143"/>
  <c r="A213" i="143"/>
  <c r="B212" i="143"/>
  <c r="A212" i="143"/>
  <c r="B211" i="143"/>
  <c r="A211" i="143"/>
  <c r="B210" i="143"/>
  <c r="A210" i="143"/>
  <c r="B209" i="143"/>
  <c r="A209" i="143"/>
  <c r="B208" i="143"/>
  <c r="A208" i="143"/>
  <c r="B207" i="143"/>
  <c r="A207" i="143"/>
  <c r="B206" i="143"/>
  <c r="A206" i="143"/>
  <c r="B205" i="143"/>
  <c r="A205" i="143"/>
  <c r="B204" i="143"/>
  <c r="A204" i="143"/>
  <c r="B203" i="143"/>
  <c r="A203" i="143"/>
  <c r="B202" i="143"/>
  <c r="A202" i="143"/>
  <c r="B201" i="143"/>
  <c r="A201" i="143"/>
  <c r="B200" i="143"/>
  <c r="A200" i="143"/>
  <c r="B199" i="143"/>
  <c r="A199" i="143"/>
  <c r="B198" i="143"/>
  <c r="A198" i="143"/>
  <c r="B197" i="143"/>
  <c r="A197" i="143"/>
  <c r="B196" i="143"/>
  <c r="A196" i="143"/>
  <c r="B195" i="143"/>
  <c r="A195" i="143"/>
  <c r="B194" i="143"/>
  <c r="A194" i="143"/>
  <c r="B193" i="143"/>
  <c r="A193" i="143"/>
  <c r="B192" i="143"/>
  <c r="A192" i="143"/>
  <c r="B191" i="143"/>
  <c r="A191" i="143"/>
  <c r="B190" i="143"/>
  <c r="A190" i="143"/>
  <c r="B189" i="143"/>
  <c r="A189" i="143"/>
  <c r="B188" i="143"/>
  <c r="A188" i="143"/>
  <c r="B187" i="143"/>
  <c r="A187" i="143"/>
  <c r="B186" i="143"/>
  <c r="A186" i="143"/>
  <c r="B185" i="143"/>
  <c r="A185" i="143"/>
  <c r="B184" i="143"/>
  <c r="A184" i="143"/>
  <c r="B183" i="143"/>
  <c r="A183" i="143"/>
  <c r="B182" i="143"/>
  <c r="A182" i="143"/>
  <c r="B181" i="143"/>
  <c r="A181" i="143"/>
  <c r="B180" i="143"/>
  <c r="A180" i="143"/>
  <c r="B179" i="143"/>
  <c r="A179" i="143"/>
  <c r="B178" i="143"/>
  <c r="A178" i="143"/>
  <c r="B177" i="143"/>
  <c r="A177" i="143"/>
  <c r="B176" i="143"/>
  <c r="A176" i="143"/>
  <c r="B175" i="143"/>
  <c r="A175" i="143"/>
  <c r="B174" i="143"/>
  <c r="A174" i="143"/>
  <c r="B173" i="143"/>
  <c r="A173" i="143"/>
  <c r="B172" i="143"/>
  <c r="A172" i="143"/>
  <c r="B171" i="143"/>
  <c r="A171" i="143"/>
  <c r="B170" i="143"/>
  <c r="A170" i="143"/>
  <c r="B169" i="143"/>
  <c r="A169" i="143"/>
  <c r="B168" i="143"/>
  <c r="A168" i="143"/>
  <c r="B167" i="143"/>
  <c r="A167" i="143"/>
  <c r="B166" i="143"/>
  <c r="A166" i="143"/>
  <c r="B165" i="143"/>
  <c r="A165" i="143"/>
  <c r="B164" i="143"/>
  <c r="A164" i="143"/>
  <c r="B163" i="143"/>
  <c r="A163" i="143"/>
  <c r="B162" i="143"/>
  <c r="A162" i="143"/>
  <c r="B161" i="143"/>
  <c r="A161" i="143"/>
  <c r="B160" i="143"/>
  <c r="A160" i="143"/>
  <c r="B159" i="143"/>
  <c r="A159" i="143"/>
  <c r="B158" i="143"/>
  <c r="A158" i="143"/>
  <c r="B157" i="143"/>
  <c r="A157" i="143"/>
  <c r="B156" i="143"/>
  <c r="A156" i="143"/>
  <c r="B155" i="143"/>
  <c r="A155" i="143"/>
  <c r="B154" i="143"/>
  <c r="A154" i="143"/>
  <c r="B153" i="143"/>
  <c r="A153" i="143"/>
  <c r="B152" i="143"/>
  <c r="A152" i="143"/>
  <c r="B151" i="143"/>
  <c r="A151" i="143"/>
  <c r="B150" i="143"/>
  <c r="A150" i="143"/>
  <c r="B149" i="143"/>
  <c r="A149" i="143"/>
  <c r="B148" i="143"/>
  <c r="A148" i="143"/>
  <c r="B147" i="143"/>
  <c r="A147" i="143"/>
  <c r="B146" i="143"/>
  <c r="A146" i="143"/>
  <c r="B145" i="143"/>
  <c r="A145" i="143"/>
  <c r="B144" i="143"/>
  <c r="A144" i="143"/>
  <c r="B143" i="143"/>
  <c r="A143" i="143"/>
  <c r="B142" i="143"/>
  <c r="A142" i="143"/>
  <c r="B141" i="143"/>
  <c r="A141" i="143"/>
  <c r="B140" i="143"/>
  <c r="A140" i="143"/>
  <c r="B139" i="143"/>
  <c r="A139" i="143"/>
  <c r="B138" i="143"/>
  <c r="A138" i="143"/>
  <c r="B137" i="143"/>
  <c r="A137" i="143"/>
  <c r="B136" i="143"/>
  <c r="A136" i="143"/>
  <c r="B135" i="143"/>
  <c r="A135" i="143"/>
  <c r="B134" i="143"/>
  <c r="A134" i="143"/>
  <c r="B133" i="143"/>
  <c r="A133" i="143"/>
  <c r="B132" i="143"/>
  <c r="A132" i="143"/>
  <c r="B131" i="143"/>
  <c r="A131" i="143"/>
  <c r="B130" i="143"/>
  <c r="A130" i="143"/>
  <c r="B129" i="143"/>
  <c r="A129" i="143"/>
  <c r="B128" i="143"/>
  <c r="A128" i="143"/>
  <c r="B127" i="143"/>
  <c r="A127" i="143"/>
  <c r="B126" i="143"/>
  <c r="A126" i="143"/>
  <c r="B125" i="143"/>
  <c r="A125" i="143"/>
  <c r="B124" i="143"/>
  <c r="A124" i="143"/>
  <c r="B123" i="143"/>
  <c r="A123" i="143"/>
  <c r="B122" i="143"/>
  <c r="A122" i="143"/>
  <c r="B121" i="143"/>
  <c r="A121" i="143"/>
  <c r="B120" i="143"/>
  <c r="A120" i="143"/>
  <c r="B119" i="143"/>
  <c r="A119" i="143"/>
  <c r="B118" i="143"/>
  <c r="A118" i="143"/>
  <c r="B117" i="143"/>
  <c r="A117" i="143"/>
  <c r="B116" i="143"/>
  <c r="A116" i="143"/>
  <c r="B115" i="143"/>
  <c r="A115" i="143"/>
  <c r="B114" i="143"/>
  <c r="A114" i="143"/>
  <c r="B113" i="143"/>
  <c r="A113" i="143"/>
  <c r="B112" i="143"/>
  <c r="A112" i="143"/>
  <c r="B111" i="143"/>
  <c r="A111" i="143"/>
  <c r="B110" i="143"/>
  <c r="A110" i="143"/>
  <c r="B109" i="143"/>
  <c r="A109" i="143"/>
  <c r="B108" i="143"/>
  <c r="A108" i="143"/>
  <c r="B107" i="143"/>
  <c r="A107" i="143"/>
  <c r="B106" i="143"/>
  <c r="A106" i="143"/>
  <c r="B105" i="143"/>
  <c r="A105" i="143"/>
  <c r="B104" i="143"/>
  <c r="A104" i="143"/>
  <c r="B103" i="143"/>
  <c r="A103" i="143"/>
  <c r="B102" i="143"/>
  <c r="A102" i="143"/>
  <c r="B101" i="143"/>
  <c r="A101" i="143"/>
  <c r="B100" i="143"/>
  <c r="A100" i="143"/>
  <c r="B99" i="143"/>
  <c r="A99" i="143"/>
  <c r="B98" i="143"/>
  <c r="A98" i="143"/>
  <c r="B97" i="143"/>
  <c r="A97" i="143"/>
  <c r="B96" i="143"/>
  <c r="A96" i="143"/>
  <c r="B95" i="143"/>
  <c r="A95" i="143"/>
  <c r="B94" i="143"/>
  <c r="A94" i="143"/>
  <c r="B93" i="143"/>
  <c r="A93" i="143"/>
  <c r="B92" i="143"/>
  <c r="A92" i="143"/>
  <c r="B91" i="143"/>
  <c r="A91" i="143"/>
  <c r="B90" i="143"/>
  <c r="A90" i="143"/>
  <c r="B89" i="143"/>
  <c r="A89" i="143"/>
  <c r="B88" i="143"/>
  <c r="A88" i="143"/>
  <c r="B87" i="143"/>
  <c r="A87" i="143"/>
  <c r="B86" i="143"/>
  <c r="A86" i="143"/>
  <c r="B85" i="143"/>
  <c r="A85" i="143"/>
  <c r="B84" i="143"/>
  <c r="A84" i="143"/>
  <c r="B83" i="143"/>
  <c r="A83" i="143"/>
  <c r="B82" i="143"/>
  <c r="A82" i="143"/>
  <c r="B81" i="143"/>
  <c r="A81" i="143"/>
  <c r="B80" i="143"/>
  <c r="A80" i="143"/>
  <c r="B79" i="143"/>
  <c r="A79" i="143"/>
  <c r="B78" i="143"/>
  <c r="A78" i="143"/>
  <c r="B77" i="143"/>
  <c r="A77" i="143"/>
  <c r="B76" i="143"/>
  <c r="A76" i="143"/>
  <c r="B75" i="143"/>
  <c r="A75" i="143"/>
  <c r="B74" i="143"/>
  <c r="A74" i="143"/>
  <c r="B73" i="143"/>
  <c r="A73" i="143"/>
  <c r="B72" i="143"/>
  <c r="A72" i="143"/>
  <c r="B71" i="143"/>
  <c r="A71" i="143"/>
  <c r="B70" i="143"/>
  <c r="A70" i="143"/>
  <c r="B69" i="143"/>
  <c r="A69" i="143"/>
  <c r="B68" i="143"/>
  <c r="A68" i="143"/>
  <c r="B67" i="143"/>
  <c r="A67" i="143"/>
  <c r="B66" i="143"/>
  <c r="A66" i="143"/>
  <c r="B65" i="143"/>
  <c r="A65" i="143"/>
  <c r="B64" i="143"/>
  <c r="A64" i="143"/>
  <c r="B63" i="143"/>
  <c r="A63" i="143"/>
  <c r="B62" i="143"/>
  <c r="A62" i="143"/>
  <c r="B61" i="143"/>
  <c r="A61" i="143"/>
  <c r="B60" i="143"/>
  <c r="A60" i="143"/>
  <c r="B59" i="143"/>
  <c r="A59" i="143"/>
  <c r="B58" i="143"/>
  <c r="A58" i="143"/>
  <c r="B57" i="143"/>
  <c r="A57" i="143"/>
  <c r="B56" i="143"/>
  <c r="A56" i="143"/>
  <c r="B55" i="143"/>
  <c r="A55" i="143"/>
  <c r="B54" i="143"/>
  <c r="A54" i="143"/>
  <c r="B53" i="143"/>
  <c r="A53" i="143"/>
  <c r="B52" i="143"/>
  <c r="A52" i="143"/>
  <c r="B51" i="143"/>
  <c r="A51" i="143"/>
  <c r="B50" i="143"/>
  <c r="A50" i="143"/>
  <c r="B49" i="143"/>
  <c r="A49" i="143"/>
  <c r="B48" i="143"/>
  <c r="A48" i="143"/>
  <c r="B47" i="143"/>
  <c r="A47" i="143"/>
  <c r="B46" i="143"/>
  <c r="A46" i="143"/>
  <c r="B45" i="143"/>
  <c r="A45" i="143"/>
  <c r="B44" i="143"/>
  <c r="A44" i="143"/>
  <c r="B43" i="143"/>
  <c r="A43" i="143"/>
  <c r="B42" i="143"/>
  <c r="A42" i="143"/>
  <c r="B41" i="143"/>
  <c r="A41" i="143"/>
  <c r="B40" i="143"/>
  <c r="A40" i="143"/>
  <c r="B39" i="143"/>
  <c r="A39" i="143"/>
  <c r="B38" i="143"/>
  <c r="A38" i="143"/>
  <c r="B37" i="143"/>
  <c r="A37" i="143"/>
  <c r="B36" i="143"/>
  <c r="A36" i="143"/>
  <c r="B35" i="143"/>
  <c r="A35" i="143"/>
  <c r="B34" i="143"/>
  <c r="A34" i="143"/>
  <c r="B33" i="143"/>
  <c r="A33" i="143"/>
  <c r="B32" i="143"/>
  <c r="A32" i="143"/>
  <c r="B31" i="143"/>
  <c r="A31" i="143"/>
  <c r="B30" i="143"/>
  <c r="A30" i="143"/>
  <c r="B29" i="143"/>
  <c r="A29" i="143"/>
  <c r="B28" i="143"/>
  <c r="A28" i="143"/>
  <c r="B27" i="143"/>
  <c r="A27" i="143"/>
  <c r="B26" i="143"/>
  <c r="A26" i="143"/>
  <c r="B25" i="143"/>
  <c r="A25" i="143"/>
  <c r="B24" i="143"/>
  <c r="A24" i="143"/>
  <c r="A23" i="143"/>
  <c r="A22" i="143"/>
  <c r="A21" i="143"/>
  <c r="A20" i="143"/>
  <c r="A19" i="143"/>
  <c r="A18" i="143"/>
  <c r="A17" i="143"/>
  <c r="A16" i="143"/>
  <c r="A15" i="143"/>
  <c r="A14" i="143"/>
  <c r="A13" i="143"/>
  <c r="A12" i="143"/>
  <c r="A11" i="143"/>
  <c r="A10" i="143"/>
  <c r="A9" i="143"/>
  <c r="A8" i="143"/>
  <c r="A7" i="143"/>
  <c r="A6" i="143"/>
  <c r="A5" i="143"/>
  <c r="A4" i="143"/>
  <c r="G3" i="143"/>
  <c r="G4" i="143" s="1"/>
  <c r="G5" i="143" s="1"/>
  <c r="G6" i="143" s="1"/>
  <c r="G7" i="143" s="1"/>
  <c r="G8" i="143" s="1"/>
  <c r="G9" i="143" s="1"/>
  <c r="G10" i="143" s="1"/>
  <c r="G11" i="143" s="1"/>
  <c r="G12" i="143" s="1"/>
  <c r="G13" i="143" s="1"/>
  <c r="G14" i="143" s="1"/>
  <c r="G15" i="143" s="1"/>
  <c r="G16" i="143" s="1"/>
  <c r="G17" i="143" s="1"/>
  <c r="G18" i="143" s="1"/>
  <c r="G19" i="143" s="1"/>
  <c r="G20" i="143" s="1"/>
  <c r="G21" i="143" s="1"/>
  <c r="G22" i="143" s="1"/>
  <c r="G23" i="143" s="1"/>
  <c r="G24" i="143" s="1"/>
  <c r="G25" i="143" s="1"/>
  <c r="G26" i="143" s="1"/>
  <c r="G27" i="143" s="1"/>
  <c r="G28" i="143" s="1"/>
  <c r="G29" i="143" s="1"/>
  <c r="G30" i="143" s="1"/>
  <c r="G31" i="143" s="1"/>
  <c r="G32" i="143" s="1"/>
  <c r="G33" i="143" s="1"/>
  <c r="G34" i="143" s="1"/>
  <c r="G35" i="143" s="1"/>
  <c r="G36" i="143" s="1"/>
  <c r="G37" i="143" s="1"/>
  <c r="G38" i="143" s="1"/>
  <c r="G39" i="143" s="1"/>
  <c r="G40" i="143" s="1"/>
  <c r="G41" i="143" s="1"/>
  <c r="G42" i="143" s="1"/>
  <c r="G43" i="143" s="1"/>
  <c r="G44" i="143" s="1"/>
  <c r="G45" i="143" s="1"/>
  <c r="G46" i="143" s="1"/>
  <c r="G47" i="143" s="1"/>
  <c r="G48" i="143" s="1"/>
  <c r="G49" i="143" s="1"/>
  <c r="G50" i="143" s="1"/>
  <c r="G51" i="143" s="1"/>
  <c r="G52" i="143" s="1"/>
  <c r="G53" i="143" s="1"/>
  <c r="G54" i="143" s="1"/>
  <c r="G55" i="143" s="1"/>
  <c r="G56" i="143" s="1"/>
  <c r="G57" i="143" s="1"/>
  <c r="G58" i="143" s="1"/>
  <c r="G59" i="143" s="1"/>
  <c r="G60" i="143" s="1"/>
  <c r="G61" i="143" s="1"/>
  <c r="G62" i="143" s="1"/>
  <c r="G63" i="143" s="1"/>
  <c r="G64" i="143" s="1"/>
  <c r="G65" i="143" s="1"/>
  <c r="G66" i="143" s="1"/>
  <c r="G67" i="143" s="1"/>
  <c r="G68" i="143" s="1"/>
  <c r="G69" i="143" s="1"/>
  <c r="G70" i="143" s="1"/>
  <c r="G71" i="143" s="1"/>
  <c r="G72" i="143" s="1"/>
  <c r="G73" i="143" s="1"/>
  <c r="G74" i="143" s="1"/>
  <c r="G75" i="143" s="1"/>
  <c r="G76" i="143" s="1"/>
  <c r="G77" i="143" s="1"/>
  <c r="G78" i="143" s="1"/>
  <c r="G79" i="143" s="1"/>
  <c r="G80" i="143" s="1"/>
  <c r="G81" i="143" s="1"/>
  <c r="G82" i="143" s="1"/>
  <c r="G83" i="143" s="1"/>
  <c r="G84" i="143" s="1"/>
  <c r="G85" i="143" s="1"/>
  <c r="G86" i="143" s="1"/>
  <c r="G87" i="143" s="1"/>
  <c r="G88" i="143" s="1"/>
  <c r="G89" i="143" s="1"/>
  <c r="G90" i="143" s="1"/>
  <c r="G91" i="143" s="1"/>
  <c r="G92" i="143" s="1"/>
  <c r="G93" i="143" s="1"/>
  <c r="G94" i="143" s="1"/>
  <c r="G95" i="143" s="1"/>
  <c r="G96" i="143" s="1"/>
  <c r="G97" i="143" s="1"/>
  <c r="G98" i="143" s="1"/>
  <c r="G99" i="143" s="1"/>
  <c r="G100" i="143" s="1"/>
  <c r="G101" i="143" s="1"/>
  <c r="G102" i="143" s="1"/>
  <c r="G103" i="143" s="1"/>
  <c r="G104" i="143" s="1"/>
  <c r="G105" i="143" s="1"/>
  <c r="G106" i="143" s="1"/>
  <c r="G107" i="143" s="1"/>
  <c r="G108" i="143" s="1"/>
  <c r="G109" i="143" s="1"/>
  <c r="G110" i="143" s="1"/>
  <c r="G111" i="143" s="1"/>
  <c r="G112" i="143" s="1"/>
  <c r="G113" i="143" s="1"/>
  <c r="G114" i="143" s="1"/>
  <c r="G115" i="143" s="1"/>
  <c r="G116" i="143" s="1"/>
  <c r="G117" i="143" s="1"/>
  <c r="G118" i="143" s="1"/>
  <c r="G119" i="143" s="1"/>
  <c r="G120" i="143" s="1"/>
  <c r="G121" i="143" s="1"/>
  <c r="G122" i="143" s="1"/>
  <c r="G123" i="143" s="1"/>
  <c r="G124" i="143" s="1"/>
  <c r="G125" i="143" s="1"/>
  <c r="G126" i="143" s="1"/>
  <c r="G127" i="143" s="1"/>
  <c r="G128" i="143" s="1"/>
  <c r="G129" i="143" s="1"/>
  <c r="G130" i="143" s="1"/>
  <c r="G131" i="143" s="1"/>
  <c r="G132" i="143" s="1"/>
  <c r="G133" i="143" s="1"/>
  <c r="G134" i="143" s="1"/>
  <c r="G135" i="143" s="1"/>
  <c r="G136" i="143" s="1"/>
  <c r="G137" i="143" s="1"/>
  <c r="G138" i="143" s="1"/>
  <c r="G139" i="143" s="1"/>
  <c r="G140" i="143" s="1"/>
  <c r="G141" i="143" s="1"/>
  <c r="G142" i="143" s="1"/>
  <c r="G143" i="143" s="1"/>
  <c r="G144" i="143" s="1"/>
  <c r="G145" i="143" s="1"/>
  <c r="G146" i="143" s="1"/>
  <c r="G147" i="143" s="1"/>
  <c r="G148" i="143" s="1"/>
  <c r="G149" i="143" s="1"/>
  <c r="G150" i="143" s="1"/>
  <c r="G151" i="143" s="1"/>
  <c r="G152" i="143" s="1"/>
  <c r="G153" i="143" s="1"/>
  <c r="G154" i="143" s="1"/>
  <c r="G155" i="143" s="1"/>
  <c r="G156" i="143" s="1"/>
  <c r="G157" i="143" s="1"/>
  <c r="G158" i="143" s="1"/>
  <c r="G159" i="143" s="1"/>
  <c r="G160" i="143" s="1"/>
  <c r="G161" i="143" s="1"/>
  <c r="G162" i="143" s="1"/>
  <c r="G163" i="143" s="1"/>
  <c r="G164" i="143" s="1"/>
  <c r="G165" i="143" s="1"/>
  <c r="G166" i="143" s="1"/>
  <c r="G167" i="143" s="1"/>
  <c r="G168" i="143" s="1"/>
  <c r="G169" i="143" s="1"/>
  <c r="G170" i="143" s="1"/>
  <c r="G171" i="143" s="1"/>
  <c r="G172" i="143" s="1"/>
  <c r="G173" i="143" s="1"/>
  <c r="G174" i="143" s="1"/>
  <c r="G175" i="143" s="1"/>
  <c r="G176" i="143" s="1"/>
  <c r="G177" i="143" s="1"/>
  <c r="G178" i="143" s="1"/>
  <c r="G179" i="143" s="1"/>
  <c r="G180" i="143" s="1"/>
  <c r="G181" i="143" s="1"/>
  <c r="G182" i="143" s="1"/>
  <c r="G183" i="143" s="1"/>
  <c r="G184" i="143" s="1"/>
  <c r="G185" i="143" s="1"/>
  <c r="G186" i="143" s="1"/>
  <c r="G187" i="143" s="1"/>
  <c r="G188" i="143" s="1"/>
  <c r="G189" i="143" s="1"/>
  <c r="G190" i="143" s="1"/>
  <c r="G191" i="143" s="1"/>
  <c r="G192" i="143" s="1"/>
  <c r="G193" i="143" s="1"/>
  <c r="G194" i="143" s="1"/>
  <c r="G195" i="143" s="1"/>
  <c r="G196" i="143" s="1"/>
  <c r="G197" i="143" s="1"/>
  <c r="G198" i="143" s="1"/>
  <c r="G199" i="143" s="1"/>
  <c r="G200" i="143" s="1"/>
  <c r="G201" i="143" s="1"/>
  <c r="G202" i="143" s="1"/>
  <c r="G203" i="143" s="1"/>
  <c r="G204" i="143" s="1"/>
  <c r="G205" i="143" s="1"/>
  <c r="G206" i="143" s="1"/>
  <c r="G207" i="143" s="1"/>
  <c r="G208" i="143" s="1"/>
  <c r="G209" i="143" s="1"/>
  <c r="G210" i="143" s="1"/>
  <c r="G211" i="143" s="1"/>
  <c r="G212" i="143" s="1"/>
  <c r="G213" i="143" s="1"/>
  <c r="G214" i="143" s="1"/>
  <c r="G215" i="143" s="1"/>
  <c r="G216" i="143" s="1"/>
  <c r="G217" i="143" s="1"/>
  <c r="G218" i="143" s="1"/>
  <c r="G219" i="143" s="1"/>
  <c r="G220" i="143" s="1"/>
  <c r="G221" i="143" s="1"/>
  <c r="G222" i="143" s="1"/>
  <c r="G223" i="143" s="1"/>
  <c r="G224" i="143" s="1"/>
  <c r="G225" i="143" s="1"/>
  <c r="G226" i="143" s="1"/>
  <c r="G227" i="143" s="1"/>
  <c r="G228" i="143" s="1"/>
  <c r="G229" i="143" s="1"/>
  <c r="G230" i="143" s="1"/>
  <c r="G231" i="143" s="1"/>
  <c r="G232" i="143" s="1"/>
  <c r="G233" i="143" s="1"/>
  <c r="G234" i="143" s="1"/>
  <c r="G235" i="143" s="1"/>
  <c r="G236" i="143" s="1"/>
  <c r="G237" i="143" s="1"/>
  <c r="G238" i="143" s="1"/>
  <c r="G239" i="143" s="1"/>
  <c r="G240" i="143" s="1"/>
  <c r="G241" i="143" s="1"/>
  <c r="G242" i="143" s="1"/>
  <c r="G243" i="143" s="1"/>
  <c r="G244" i="143" s="1"/>
  <c r="G245" i="143" s="1"/>
  <c r="G246" i="143" s="1"/>
  <c r="G247" i="143" s="1"/>
  <c r="G248" i="143" s="1"/>
  <c r="G249" i="143" s="1"/>
  <c r="G250" i="143" s="1"/>
  <c r="G251" i="143" s="1"/>
  <c r="G252" i="143" s="1"/>
  <c r="G253" i="143" s="1"/>
  <c r="G254" i="143" s="1"/>
  <c r="G255" i="143" s="1"/>
  <c r="G256" i="143" s="1"/>
  <c r="G257" i="143" s="1"/>
  <c r="G258" i="143" s="1"/>
  <c r="G259" i="143" s="1"/>
  <c r="G260" i="143" s="1"/>
  <c r="G261" i="143" s="1"/>
  <c r="G262" i="143" s="1"/>
  <c r="G263" i="143" s="1"/>
  <c r="G264" i="143" s="1"/>
  <c r="G265" i="143" s="1"/>
  <c r="G266" i="143" s="1"/>
  <c r="G267" i="143" s="1"/>
  <c r="G268" i="143" s="1"/>
  <c r="G269" i="143" s="1"/>
  <c r="G270" i="143" s="1"/>
  <c r="G271" i="143" s="1"/>
  <c r="G272" i="143" s="1"/>
  <c r="G273" i="143" s="1"/>
  <c r="G274" i="143" s="1"/>
  <c r="G275" i="143" s="1"/>
  <c r="G276" i="143" s="1"/>
  <c r="G277" i="143" s="1"/>
  <c r="G278" i="143" s="1"/>
  <c r="G279" i="143" s="1"/>
  <c r="G280" i="143" s="1"/>
  <c r="G281" i="143" s="1"/>
  <c r="G282" i="143" s="1"/>
  <c r="G283" i="143" s="1"/>
  <c r="G284" i="143" s="1"/>
  <c r="G285" i="143" s="1"/>
  <c r="G286" i="143" s="1"/>
  <c r="G287" i="143" s="1"/>
  <c r="G288" i="143" s="1"/>
  <c r="G289" i="143" s="1"/>
  <c r="G290" i="143" s="1"/>
  <c r="G291" i="143" s="1"/>
  <c r="G292" i="143" s="1"/>
  <c r="G293" i="143" s="1"/>
  <c r="G294" i="143" s="1"/>
  <c r="G295" i="143" s="1"/>
  <c r="G296" i="143" s="1"/>
  <c r="G297" i="143" s="1"/>
  <c r="G298" i="143" s="1"/>
  <c r="G299" i="143" s="1"/>
  <c r="G300" i="143" s="1"/>
  <c r="G301" i="143" s="1"/>
  <c r="G302" i="143" s="1"/>
  <c r="G303" i="143" s="1"/>
  <c r="A3" i="143"/>
  <c r="E944" i="140" l="1"/>
  <c r="E966" i="140" s="1"/>
  <c r="E896" i="140"/>
  <c r="E925" i="140" s="1"/>
  <c r="E885" i="140"/>
  <c r="E864" i="140"/>
  <c r="E861" i="140"/>
  <c r="E859" i="140"/>
  <c r="E857" i="140"/>
  <c r="E839" i="140"/>
  <c r="E816" i="140"/>
  <c r="E811" i="140"/>
  <c r="E803" i="140"/>
  <c r="E801" i="140"/>
  <c r="E800" i="140"/>
  <c r="E788" i="140"/>
  <c r="E754" i="140"/>
  <c r="E733" i="140"/>
  <c r="E731" i="140"/>
  <c r="E730" i="140"/>
  <c r="E716" i="140"/>
  <c r="E704" i="140"/>
  <c r="E691" i="140"/>
  <c r="E689" i="140"/>
  <c r="E688" i="140"/>
  <c r="E674" i="140"/>
  <c r="E632" i="140"/>
  <c r="E630" i="140"/>
  <c r="E629" i="140"/>
  <c r="E581" i="140"/>
  <c r="E580" i="140"/>
  <c r="E579" i="140"/>
  <c r="E553" i="140"/>
  <c r="E552" i="140"/>
  <c r="E551" i="140"/>
  <c r="E538" i="140"/>
  <c r="E537" i="140"/>
  <c r="E536" i="140"/>
  <c r="E532" i="140"/>
  <c r="E531" i="140"/>
  <c r="E491" i="140"/>
  <c r="E488" i="140"/>
  <c r="E487" i="140"/>
  <c r="E486" i="140"/>
  <c r="E474" i="140"/>
  <c r="E455" i="140"/>
  <c r="E444" i="140"/>
  <c r="E443" i="140"/>
  <c r="E439" i="140"/>
  <c r="E427" i="140"/>
  <c r="E390" i="140"/>
  <c r="E388" i="140"/>
  <c r="E360" i="140"/>
  <c r="E351" i="140"/>
  <c r="E343" i="140"/>
  <c r="E317" i="140"/>
  <c r="E314" i="140"/>
  <c r="E312" i="140"/>
  <c r="E310" i="140"/>
  <c r="D297" i="140"/>
  <c r="E280" i="140"/>
  <c r="E274" i="140"/>
  <c r="E267" i="140"/>
  <c r="E236" i="140"/>
  <c r="E230" i="140"/>
  <c r="E228" i="140"/>
  <c r="E227" i="140"/>
  <c r="E225" i="140"/>
  <c r="E223" i="140"/>
  <c r="E222" i="140"/>
  <c r="E219" i="140"/>
  <c r="E193" i="140"/>
  <c r="E192" i="140"/>
  <c r="E190" i="140"/>
  <c r="E186" i="140"/>
  <c r="E179" i="140"/>
  <c r="E178" i="140"/>
  <c r="E146" i="140"/>
  <c r="E144" i="140"/>
  <c r="E142" i="140"/>
  <c r="E141" i="140"/>
  <c r="E140" i="140"/>
  <c r="E138" i="140"/>
  <c r="E108" i="140"/>
  <c r="E106" i="140"/>
  <c r="E105" i="140"/>
  <c r="E104" i="140"/>
  <c r="E102" i="140"/>
  <c r="E97" i="140"/>
  <c r="E66" i="140"/>
  <c r="E55" i="140"/>
  <c r="E53" i="140"/>
  <c r="E52" i="140"/>
  <c r="E19" i="140"/>
  <c r="E18" i="140"/>
  <c r="E14" i="140"/>
  <c r="E11" i="140"/>
  <c r="DX145" i="139"/>
  <c r="AH145" i="139"/>
  <c r="AG145" i="139"/>
  <c r="AB145" i="139"/>
  <c r="AA145" i="139"/>
  <c r="Z145" i="139"/>
  <c r="Y145" i="139"/>
  <c r="X145" i="139"/>
  <c r="W145" i="139"/>
  <c r="T145" i="139"/>
  <c r="S145" i="139"/>
  <c r="R145" i="139"/>
  <c r="Q145" i="139"/>
  <c r="P145" i="139"/>
  <c r="O145" i="139"/>
  <c r="N145" i="139"/>
  <c r="M145" i="139"/>
  <c r="L145" i="139"/>
  <c r="K145" i="139"/>
  <c r="J145" i="139"/>
  <c r="I145" i="139"/>
  <c r="F145" i="139"/>
  <c r="G145" i="139" s="1"/>
  <c r="DX138" i="139"/>
  <c r="DZ138" i="139" s="1"/>
  <c r="AH138" i="139"/>
  <c r="AG138" i="139"/>
  <c r="AB138" i="139"/>
  <c r="AA138" i="139"/>
  <c r="Z138" i="139"/>
  <c r="Y138" i="139"/>
  <c r="X138" i="139"/>
  <c r="W138" i="139"/>
  <c r="T138" i="139"/>
  <c r="S138" i="139"/>
  <c r="R138" i="139"/>
  <c r="Q138" i="139"/>
  <c r="P138" i="139"/>
  <c r="O138" i="139"/>
  <c r="N138" i="139"/>
  <c r="M138" i="139"/>
  <c r="L138" i="139"/>
  <c r="K138" i="139"/>
  <c r="J138" i="139"/>
  <c r="I138" i="139"/>
  <c r="F138" i="139"/>
  <c r="G138" i="139" s="1"/>
  <c r="T133" i="139"/>
  <c r="U133" i="139" s="1"/>
  <c r="DX132" i="139"/>
  <c r="DZ132" i="139" s="1"/>
  <c r="AH132" i="139"/>
  <c r="AG132" i="139"/>
  <c r="AB132" i="139"/>
  <c r="AA132" i="139"/>
  <c r="Z132" i="139"/>
  <c r="Y132" i="139"/>
  <c r="X132" i="139"/>
  <c r="W132" i="139"/>
  <c r="S132" i="139"/>
  <c r="R132" i="139"/>
  <c r="Q132" i="139"/>
  <c r="P132" i="139"/>
  <c r="O132" i="139"/>
  <c r="N132" i="139"/>
  <c r="M132" i="139"/>
  <c r="L132" i="139"/>
  <c r="K132" i="139"/>
  <c r="J132" i="139"/>
  <c r="I132" i="139"/>
  <c r="F132" i="139"/>
  <c r="G132" i="139" s="1"/>
  <c r="W130" i="139"/>
  <c r="T130" i="139"/>
  <c r="U130" i="139" s="1"/>
  <c r="DX129" i="139"/>
  <c r="DZ129" i="139" s="1"/>
  <c r="AH129" i="139"/>
  <c r="AG129" i="139"/>
  <c r="AB129" i="139"/>
  <c r="AA129" i="139"/>
  <c r="Z129" i="139"/>
  <c r="Y129" i="139"/>
  <c r="X129" i="139"/>
  <c r="S129" i="139"/>
  <c r="R129" i="139"/>
  <c r="Q129" i="139"/>
  <c r="P129" i="139"/>
  <c r="O129" i="139"/>
  <c r="N129" i="139"/>
  <c r="M129" i="139"/>
  <c r="L129" i="139"/>
  <c r="K129" i="139"/>
  <c r="J129" i="139"/>
  <c r="I129" i="139"/>
  <c r="F129" i="139"/>
  <c r="G129" i="139" s="1"/>
  <c r="DX123" i="139"/>
  <c r="DZ123" i="139" s="1"/>
  <c r="AH123" i="139"/>
  <c r="AG123" i="139"/>
  <c r="AB123" i="139"/>
  <c r="AA123" i="139"/>
  <c r="Z123" i="139"/>
  <c r="Y123" i="139"/>
  <c r="X123" i="139"/>
  <c r="W123" i="139"/>
  <c r="T123" i="139"/>
  <c r="S123" i="139"/>
  <c r="R123" i="139"/>
  <c r="Q123" i="139"/>
  <c r="P123" i="139"/>
  <c r="O123" i="139"/>
  <c r="N123" i="139"/>
  <c r="M123" i="139"/>
  <c r="L123" i="139"/>
  <c r="K123" i="139"/>
  <c r="J123" i="139"/>
  <c r="I123" i="139"/>
  <c r="F123" i="139"/>
  <c r="G123" i="139" s="1"/>
  <c r="DX113" i="139"/>
  <c r="DZ113" i="139" s="1"/>
  <c r="AH113" i="139"/>
  <c r="AG113" i="139"/>
  <c r="AB113" i="139"/>
  <c r="AA113" i="139"/>
  <c r="Z113" i="139"/>
  <c r="Y113" i="139"/>
  <c r="X113" i="139"/>
  <c r="W113" i="139"/>
  <c r="T113" i="139"/>
  <c r="S113" i="139"/>
  <c r="R113" i="139"/>
  <c r="Q113" i="139"/>
  <c r="P113" i="139"/>
  <c r="O113" i="139"/>
  <c r="N113" i="139"/>
  <c r="M113" i="139"/>
  <c r="L113" i="139"/>
  <c r="K113" i="139"/>
  <c r="J113" i="139"/>
  <c r="I113" i="139"/>
  <c r="F113" i="139"/>
  <c r="G113" i="139" s="1"/>
  <c r="DX108" i="139"/>
  <c r="DZ108" i="139" s="1"/>
  <c r="AH108" i="139"/>
  <c r="AG108" i="139"/>
  <c r="AB108" i="139"/>
  <c r="AA108" i="139"/>
  <c r="Z108" i="139"/>
  <c r="Y108" i="139"/>
  <c r="X108" i="139"/>
  <c r="W108" i="139"/>
  <c r="T108" i="139"/>
  <c r="R108" i="139"/>
  <c r="Q108" i="139"/>
  <c r="P108" i="139"/>
  <c r="O108" i="139"/>
  <c r="N108" i="139"/>
  <c r="M108" i="139"/>
  <c r="L108" i="139"/>
  <c r="K108" i="139"/>
  <c r="J108" i="139"/>
  <c r="I108" i="139"/>
  <c r="F108" i="139"/>
  <c r="G108" i="139" s="1"/>
  <c r="DX97" i="139"/>
  <c r="DZ97" i="139" s="1"/>
  <c r="AH97" i="139"/>
  <c r="AG97" i="139"/>
  <c r="AB97" i="139"/>
  <c r="AA97" i="139"/>
  <c r="Z97" i="139"/>
  <c r="Y97" i="139"/>
  <c r="X97" i="139"/>
  <c r="W97" i="139"/>
  <c r="T97" i="139"/>
  <c r="S97" i="139"/>
  <c r="R97" i="139"/>
  <c r="Q97" i="139"/>
  <c r="P97" i="139"/>
  <c r="O97" i="139"/>
  <c r="N97" i="139"/>
  <c r="M97" i="139"/>
  <c r="L97" i="139"/>
  <c r="K97" i="139"/>
  <c r="J97" i="139"/>
  <c r="I97" i="139"/>
  <c r="F97" i="139"/>
  <c r="G97" i="139" s="1"/>
  <c r="L96" i="139"/>
  <c r="DX95" i="139"/>
  <c r="DZ95" i="139" s="1"/>
  <c r="AH95" i="139"/>
  <c r="AG95" i="139"/>
  <c r="AB95" i="139"/>
  <c r="AA95" i="139"/>
  <c r="Z95" i="139"/>
  <c r="Y95" i="139"/>
  <c r="X95" i="139"/>
  <c r="W95" i="139"/>
  <c r="T95" i="139"/>
  <c r="S95" i="139"/>
  <c r="R95" i="139"/>
  <c r="Q95" i="139"/>
  <c r="P95" i="139"/>
  <c r="O95" i="139"/>
  <c r="N95" i="139"/>
  <c r="M95" i="139"/>
  <c r="K95" i="139"/>
  <c r="J95" i="139"/>
  <c r="I95" i="139"/>
  <c r="F95" i="139"/>
  <c r="G95" i="139" s="1"/>
  <c r="DX92" i="139"/>
  <c r="DZ92" i="139" s="1"/>
  <c r="AH92" i="139"/>
  <c r="AG92" i="139"/>
  <c r="AB92" i="139"/>
  <c r="AA92" i="139"/>
  <c r="Z92" i="139"/>
  <c r="Y92" i="139"/>
  <c r="X92" i="139"/>
  <c r="W92" i="139"/>
  <c r="T92" i="139"/>
  <c r="S92" i="139"/>
  <c r="R92" i="139"/>
  <c r="Q92" i="139"/>
  <c r="P92" i="139"/>
  <c r="O92" i="139"/>
  <c r="N92" i="139"/>
  <c r="M92" i="139"/>
  <c r="L92" i="139"/>
  <c r="K92" i="139"/>
  <c r="J92" i="139"/>
  <c r="I92" i="139"/>
  <c r="F92" i="139"/>
  <c r="G92" i="139" s="1"/>
  <c r="DX89" i="139"/>
  <c r="DZ89" i="139" s="1"/>
  <c r="AH89" i="139"/>
  <c r="AG89" i="139"/>
  <c r="AB89" i="139"/>
  <c r="AA89" i="139"/>
  <c r="Z89" i="139"/>
  <c r="Y89" i="139"/>
  <c r="X89" i="139"/>
  <c r="W89" i="139"/>
  <c r="T89" i="139"/>
  <c r="S89" i="139"/>
  <c r="R89" i="139"/>
  <c r="Q89" i="139"/>
  <c r="P89" i="139"/>
  <c r="O89" i="139"/>
  <c r="N89" i="139"/>
  <c r="M89" i="139"/>
  <c r="L89" i="139"/>
  <c r="K89" i="139"/>
  <c r="J89" i="139"/>
  <c r="I89" i="139"/>
  <c r="F89" i="139"/>
  <c r="G89" i="139" s="1"/>
  <c r="DX87" i="139"/>
  <c r="DZ87" i="139" s="1"/>
  <c r="AH87" i="139"/>
  <c r="AG87" i="139"/>
  <c r="AB87" i="139"/>
  <c r="AA87" i="139"/>
  <c r="Z87" i="139"/>
  <c r="Y87" i="139"/>
  <c r="X87" i="139"/>
  <c r="W87" i="139"/>
  <c r="T87" i="139"/>
  <c r="S87" i="139"/>
  <c r="R87" i="139"/>
  <c r="Q87" i="139"/>
  <c r="P87" i="139"/>
  <c r="O87" i="139"/>
  <c r="N87" i="139"/>
  <c r="M87" i="139"/>
  <c r="L87" i="139"/>
  <c r="K87" i="139"/>
  <c r="J87" i="139"/>
  <c r="I87" i="139"/>
  <c r="F87" i="139"/>
  <c r="G87" i="139" s="1"/>
  <c r="W86" i="139"/>
  <c r="T86" i="139"/>
  <c r="U86" i="139" s="1"/>
  <c r="O85" i="139"/>
  <c r="DX80" i="139"/>
  <c r="DZ80" i="139" s="1"/>
  <c r="AH80" i="139"/>
  <c r="AG80" i="139"/>
  <c r="AB80" i="139"/>
  <c r="AA80" i="139"/>
  <c r="Z80" i="139"/>
  <c r="Y80" i="139"/>
  <c r="X80" i="139"/>
  <c r="S80" i="139"/>
  <c r="R80" i="139"/>
  <c r="Q80" i="139"/>
  <c r="P80" i="139"/>
  <c r="N80" i="139"/>
  <c r="M80" i="139"/>
  <c r="L80" i="139"/>
  <c r="K80" i="139"/>
  <c r="J80" i="139"/>
  <c r="I80" i="139"/>
  <c r="F80" i="139"/>
  <c r="G80" i="139" s="1"/>
  <c r="W79" i="139"/>
  <c r="T79" i="139"/>
  <c r="S79" i="139"/>
  <c r="S75" i="139" s="1"/>
  <c r="Q79" i="139"/>
  <c r="Q75" i="139" s="1"/>
  <c r="P79" i="139"/>
  <c r="P75" i="139" s="1"/>
  <c r="O79" i="139"/>
  <c r="O75" i="139" s="1"/>
  <c r="M79" i="139"/>
  <c r="M75" i="139" s="1"/>
  <c r="L79" i="139"/>
  <c r="K79" i="139"/>
  <c r="K75" i="139" s="1"/>
  <c r="I79" i="139"/>
  <c r="F79" i="139"/>
  <c r="L76" i="139"/>
  <c r="DX75" i="139"/>
  <c r="DZ75" i="139" s="1"/>
  <c r="AH75" i="139"/>
  <c r="AG75" i="139"/>
  <c r="AB75" i="139"/>
  <c r="AA75" i="139"/>
  <c r="Z75" i="139"/>
  <c r="Y75" i="139"/>
  <c r="X75" i="139"/>
  <c r="R75" i="139"/>
  <c r="N75" i="139"/>
  <c r="J75" i="139"/>
  <c r="S65" i="139"/>
  <c r="DX63" i="139"/>
  <c r="DZ63" i="139" s="1"/>
  <c r="AH63" i="139"/>
  <c r="AG63" i="139"/>
  <c r="AB63" i="139"/>
  <c r="AA63" i="139"/>
  <c r="Z63" i="139"/>
  <c r="Y63" i="139"/>
  <c r="X63" i="139"/>
  <c r="W63" i="139"/>
  <c r="T63" i="139"/>
  <c r="R63" i="139"/>
  <c r="Q63" i="139"/>
  <c r="P63" i="139"/>
  <c r="O63" i="139"/>
  <c r="N63" i="139"/>
  <c r="M63" i="139"/>
  <c r="L63" i="139"/>
  <c r="K63" i="139"/>
  <c r="J63" i="139"/>
  <c r="I63" i="139"/>
  <c r="F63" i="139"/>
  <c r="G63" i="139" s="1"/>
  <c r="W57" i="139"/>
  <c r="T57" i="139"/>
  <c r="O57" i="139"/>
  <c r="DX57" i="139"/>
  <c r="DZ57" i="139" s="1"/>
  <c r="AH57" i="139"/>
  <c r="AG57" i="139"/>
  <c r="AB57" i="139"/>
  <c r="AA57" i="139"/>
  <c r="Z57" i="139"/>
  <c r="Y57" i="139"/>
  <c r="X57" i="139"/>
  <c r="S57" i="139"/>
  <c r="R57" i="139"/>
  <c r="Q57" i="139"/>
  <c r="P57" i="139"/>
  <c r="N57" i="139"/>
  <c r="M57" i="139"/>
  <c r="K57" i="139"/>
  <c r="J57" i="139"/>
  <c r="I57" i="139"/>
  <c r="F57" i="139"/>
  <c r="G57" i="139" s="1"/>
  <c r="DX50" i="139"/>
  <c r="DZ50" i="139" s="1"/>
  <c r="AH50" i="139"/>
  <c r="AG50" i="139"/>
  <c r="AB50" i="139"/>
  <c r="AA50" i="139"/>
  <c r="Z50" i="139"/>
  <c r="Y50" i="139"/>
  <c r="X50" i="139"/>
  <c r="W50" i="139"/>
  <c r="T50" i="139"/>
  <c r="S50" i="139"/>
  <c r="R50" i="139"/>
  <c r="Q50" i="139"/>
  <c r="P50" i="139"/>
  <c r="O50" i="139"/>
  <c r="N50" i="139"/>
  <c r="M50" i="139"/>
  <c r="L50" i="139"/>
  <c r="K50" i="139"/>
  <c r="J50" i="139"/>
  <c r="I50" i="139"/>
  <c r="F50" i="139"/>
  <c r="G50" i="139" s="1"/>
  <c r="DX48" i="139"/>
  <c r="DZ48" i="139" s="1"/>
  <c r="AH48" i="139"/>
  <c r="AG48" i="139"/>
  <c r="DX41" i="139"/>
  <c r="DZ41" i="139" s="1"/>
  <c r="AH41" i="139"/>
  <c r="AG41" i="139"/>
  <c r="AB41" i="139"/>
  <c r="AA41" i="139"/>
  <c r="Z41" i="139"/>
  <c r="Y41" i="139"/>
  <c r="X41" i="139"/>
  <c r="W41" i="139"/>
  <c r="T41" i="139"/>
  <c r="S41" i="139"/>
  <c r="R41" i="139"/>
  <c r="Q41" i="139"/>
  <c r="P41" i="139"/>
  <c r="O41" i="139"/>
  <c r="N41" i="139"/>
  <c r="M41" i="139"/>
  <c r="L41" i="139"/>
  <c r="K41" i="139"/>
  <c r="J41" i="139"/>
  <c r="I41" i="139"/>
  <c r="F41" i="139"/>
  <c r="G41" i="139" s="1"/>
  <c r="T40" i="139"/>
  <c r="U40" i="139" s="1"/>
  <c r="DX32" i="139"/>
  <c r="DZ32" i="139" s="1"/>
  <c r="AH32" i="139"/>
  <c r="AG32" i="139"/>
  <c r="AB32" i="139"/>
  <c r="AA32" i="139"/>
  <c r="Z32" i="139"/>
  <c r="Y32" i="139"/>
  <c r="X32" i="139"/>
  <c r="W32" i="139"/>
  <c r="S32" i="139"/>
  <c r="R32" i="139"/>
  <c r="Q32" i="139"/>
  <c r="P32" i="139"/>
  <c r="O32" i="139"/>
  <c r="N32" i="139"/>
  <c r="M32" i="139"/>
  <c r="L32" i="139"/>
  <c r="K32" i="139"/>
  <c r="J32" i="139"/>
  <c r="I32" i="139"/>
  <c r="F32" i="139"/>
  <c r="G32" i="139" s="1"/>
  <c r="X5" i="139"/>
  <c r="AI5" i="139" s="1"/>
  <c r="F5" i="139"/>
  <c r="DX4" i="139"/>
  <c r="AH4" i="139"/>
  <c r="AG4" i="139"/>
  <c r="AB4" i="139"/>
  <c r="AA4" i="139"/>
  <c r="Z4" i="139"/>
  <c r="Y4" i="139"/>
  <c r="W4" i="139"/>
  <c r="T4" i="139"/>
  <c r="S4" i="139"/>
  <c r="R4" i="139"/>
  <c r="Q4" i="139"/>
  <c r="P4" i="139"/>
  <c r="O4" i="139"/>
  <c r="N4" i="139"/>
  <c r="M4" i="139"/>
  <c r="L4" i="139"/>
  <c r="K4" i="139"/>
  <c r="J4" i="139"/>
  <c r="I4" i="139"/>
  <c r="DZ145" i="139" l="1"/>
  <c r="DZ4" i="139"/>
  <c r="D294" i="140"/>
  <c r="E372" i="140"/>
  <c r="T32" i="139"/>
  <c r="U32" i="139" s="1"/>
  <c r="U41" i="139"/>
  <c r="AI113" i="139"/>
  <c r="AI123" i="139"/>
  <c r="AI50" i="139"/>
  <c r="S63" i="139"/>
  <c r="U63" i="139" s="1"/>
  <c r="U65" i="139"/>
  <c r="U85" i="139"/>
  <c r="AI87" i="139"/>
  <c r="AI89" i="139"/>
  <c r="U112" i="139"/>
  <c r="AI132" i="139"/>
  <c r="U76" i="139"/>
  <c r="I75" i="139"/>
  <c r="U79" i="139"/>
  <c r="AI92" i="139"/>
  <c r="AI95" i="139"/>
  <c r="AI97" i="139"/>
  <c r="AI138" i="139"/>
  <c r="U145" i="139"/>
  <c r="AI41" i="139"/>
  <c r="W75" i="139"/>
  <c r="AI75" i="139" s="1"/>
  <c r="AI79" i="139"/>
  <c r="W80" i="139"/>
  <c r="AI80" i="139" s="1"/>
  <c r="AI86" i="139"/>
  <c r="U113" i="139"/>
  <c r="U123" i="139"/>
  <c r="W129" i="139"/>
  <c r="AI129" i="139" s="1"/>
  <c r="AI130" i="139"/>
  <c r="U4" i="139"/>
  <c r="U96" i="139"/>
  <c r="U50" i="139"/>
  <c r="AI57" i="139"/>
  <c r="U87" i="139"/>
  <c r="U89" i="139"/>
  <c r="AI32" i="139"/>
  <c r="AI63" i="139"/>
  <c r="U92" i="139"/>
  <c r="U97" i="139"/>
  <c r="AI108" i="139"/>
  <c r="U138" i="139"/>
  <c r="AI145" i="139"/>
  <c r="T129" i="139"/>
  <c r="U129" i="139" s="1"/>
  <c r="F75" i="139"/>
  <c r="G75" i="139" s="1"/>
  <c r="G79" i="139"/>
  <c r="T75" i="139"/>
  <c r="F4" i="139"/>
  <c r="G5" i="139"/>
  <c r="T80" i="139"/>
  <c r="S108" i="139"/>
  <c r="U108" i="139" s="1"/>
  <c r="D925" i="140"/>
  <c r="O80" i="139"/>
  <c r="E250" i="140"/>
  <c r="E470" i="140"/>
  <c r="AG25" i="139"/>
  <c r="AG152" i="139" s="1"/>
  <c r="DX25" i="139"/>
  <c r="DX152" i="139" s="1"/>
  <c r="DZ152" i="139" s="1"/>
  <c r="T132" i="139"/>
  <c r="U132" i="139" s="1"/>
  <c r="L75" i="139"/>
  <c r="D563" i="140"/>
  <c r="D612" i="140"/>
  <c r="AH25" i="139"/>
  <c r="AH152" i="139" s="1"/>
  <c r="D520" i="140"/>
  <c r="D204" i="140"/>
  <c r="E711" i="140"/>
  <c r="E783" i="140"/>
  <c r="E163" i="140"/>
  <c r="E612" i="140"/>
  <c r="E669" i="140"/>
  <c r="D35" i="140"/>
  <c r="E123" i="140"/>
  <c r="E327" i="140"/>
  <c r="D842" i="140"/>
  <c r="D163" i="140"/>
  <c r="D783" i="140"/>
  <c r="D123" i="140"/>
  <c r="E294" i="140"/>
  <c r="E563" i="140"/>
  <c r="E78" i="140"/>
  <c r="E204" i="140"/>
  <c r="E520" i="140"/>
  <c r="D711" i="140"/>
  <c r="E842" i="140"/>
  <c r="D78" i="140"/>
  <c r="E423" i="140"/>
  <c r="E892" i="140"/>
  <c r="D327" i="140"/>
  <c r="D470" i="140"/>
  <c r="L95" i="139"/>
  <c r="U95" i="139" s="1"/>
  <c r="D423" i="140"/>
  <c r="D892" i="140"/>
  <c r="L57" i="139"/>
  <c r="U57" i="139" s="1"/>
  <c r="X4" i="139"/>
  <c r="D669" i="140"/>
  <c r="D250" i="140"/>
  <c r="D372" i="140"/>
  <c r="D966" i="140"/>
  <c r="D96" i="139" l="1"/>
  <c r="D79" i="139"/>
  <c r="D148" i="139"/>
  <c r="BQ16" i="139" s="1"/>
  <c r="D35" i="139"/>
  <c r="D34" i="139"/>
  <c r="D121" i="139"/>
  <c r="D106" i="139"/>
  <c r="D83" i="139"/>
  <c r="D153" i="139"/>
  <c r="D151" i="139"/>
  <c r="D149" i="139"/>
  <c r="D120" i="139"/>
  <c r="D105" i="139"/>
  <c r="D73" i="139"/>
  <c r="D82" i="139"/>
  <c r="D127" i="139"/>
  <c r="D119" i="139"/>
  <c r="D122" i="139"/>
  <c r="D116" i="139"/>
  <c r="D118" i="139"/>
  <c r="D117" i="139"/>
  <c r="D125" i="139"/>
  <c r="D143" i="139"/>
  <c r="D52" i="139"/>
  <c r="D126" i="139"/>
  <c r="D84" i="139"/>
  <c r="D30" i="139"/>
  <c r="D110" i="139"/>
  <c r="D104" i="139"/>
  <c r="D111" i="139"/>
  <c r="D112" i="139"/>
  <c r="D42" i="139"/>
  <c r="D59" i="139"/>
  <c r="D107" i="139"/>
  <c r="D142" i="139"/>
  <c r="D90" i="139"/>
  <c r="D139" i="139"/>
  <c r="D133" i="139"/>
  <c r="D39" i="139"/>
  <c r="D77" i="139"/>
  <c r="D51" i="139"/>
  <c r="D101" i="139"/>
  <c r="D76" i="139"/>
  <c r="D141" i="139"/>
  <c r="D114" i="139"/>
  <c r="D124" i="139"/>
  <c r="D93" i="139"/>
  <c r="D94" i="139"/>
  <c r="D68" i="139"/>
  <c r="D100" i="139"/>
  <c r="D146" i="139"/>
  <c r="D103" i="139"/>
  <c r="D61" i="139"/>
  <c r="D71" i="139"/>
  <c r="D70" i="139"/>
  <c r="D136" i="139"/>
  <c r="D66" i="139"/>
  <c r="D88" i="139"/>
  <c r="D43" i="139"/>
  <c r="D78" i="139"/>
  <c r="D62" i="139"/>
  <c r="D31" i="139"/>
  <c r="D44" i="139"/>
  <c r="D38" i="139"/>
  <c r="D46" i="139"/>
  <c r="D128" i="139"/>
  <c r="D102" i="139"/>
  <c r="D55" i="139"/>
  <c r="D33" i="139"/>
  <c r="D56" i="139"/>
  <c r="D37" i="139"/>
  <c r="D45" i="139"/>
  <c r="D53" i="139"/>
  <c r="D72" i="139"/>
  <c r="D131" i="139"/>
  <c r="D85" i="139"/>
  <c r="D69" i="139"/>
  <c r="D47" i="139"/>
  <c r="D98" i="139"/>
  <c r="D74" i="139"/>
  <c r="D140" i="139"/>
  <c r="D65" i="139"/>
  <c r="D28" i="139"/>
  <c r="D54" i="139"/>
  <c r="D91" i="139"/>
  <c r="D99" i="139"/>
  <c r="D58" i="139"/>
  <c r="D86" i="139"/>
  <c r="D49" i="139"/>
  <c r="D60" i="139"/>
  <c r="D36" i="139"/>
  <c r="D27" i="139"/>
  <c r="D134" i="139"/>
  <c r="D40" i="139"/>
  <c r="D64" i="139"/>
  <c r="D109" i="139"/>
  <c r="D67" i="139"/>
  <c r="D137" i="139"/>
  <c r="D130" i="139"/>
  <c r="D81" i="139"/>
  <c r="D144" i="139"/>
  <c r="G4" i="139"/>
  <c r="AI4" i="139"/>
  <c r="H7" i="139"/>
  <c r="DZ25" i="139"/>
  <c r="U80" i="139"/>
  <c r="U75" i="139"/>
  <c r="BQ155" i="139" l="1"/>
  <c r="BQ4" i="139"/>
  <c r="BQ152" i="139" s="1"/>
  <c r="BP155" i="139"/>
  <c r="H16" i="139"/>
  <c r="H6" i="139"/>
  <c r="BJ155" i="139"/>
  <c r="BH155" i="139"/>
  <c r="BI155" i="139"/>
  <c r="H147" i="139"/>
  <c r="D147" i="139" s="1"/>
  <c r="BI154" i="139"/>
  <c r="BI4" i="139"/>
  <c r="BI152" i="139" s="1"/>
  <c r="BH154" i="139"/>
  <c r="BH4" i="139"/>
  <c r="BH152" i="139" s="1"/>
  <c r="BG154" i="139"/>
  <c r="BG4" i="139"/>
  <c r="BG152" i="139" s="1"/>
  <c r="H19" i="139"/>
  <c r="H9" i="139"/>
  <c r="H23" i="139"/>
  <c r="BD154" i="139"/>
  <c r="BD4" i="139"/>
  <c r="BD152" i="139" s="1"/>
  <c r="BC154" i="139"/>
  <c r="BC4" i="139"/>
  <c r="BC152" i="139" s="1"/>
  <c r="BB154" i="139"/>
  <c r="BB4" i="139"/>
  <c r="BB152" i="139" s="1"/>
  <c r="BA154" i="139"/>
  <c r="BA4" i="139"/>
  <c r="BA152" i="139" s="1"/>
  <c r="H18" i="139"/>
  <c r="H11" i="139"/>
  <c r="H150" i="139"/>
  <c r="D150" i="139" s="1"/>
  <c r="H17" i="139"/>
  <c r="H14" i="139"/>
  <c r="AZ154" i="139"/>
  <c r="H95" i="139"/>
  <c r="D95" i="139" s="1"/>
  <c r="H21" i="139"/>
  <c r="H22" i="139"/>
  <c r="H5" i="139"/>
  <c r="H8" i="139"/>
  <c r="H20" i="139"/>
  <c r="H10" i="139"/>
  <c r="H24" i="139"/>
  <c r="H12" i="139"/>
  <c r="AV4" i="139"/>
  <c r="AV152" i="139" s="1"/>
  <c r="AV154" i="139"/>
  <c r="AW15" i="139"/>
  <c r="AU154" i="139"/>
  <c r="AU4" i="139"/>
  <c r="AU152" i="139" s="1"/>
  <c r="H129" i="139"/>
  <c r="D129" i="139" s="1"/>
  <c r="H15" i="139"/>
  <c r="H13" i="139"/>
  <c r="H29" i="139"/>
  <c r="D29" i="139" s="1"/>
  <c r="H115" i="139"/>
  <c r="D115" i="139" s="1"/>
  <c r="H87" i="139"/>
  <c r="D87" i="139" s="1"/>
  <c r="H113" i="139"/>
  <c r="D113" i="139" s="1"/>
  <c r="H80" i="139"/>
  <c r="D80" i="139" s="1"/>
  <c r="H92" i="139"/>
  <c r="D92" i="139" s="1"/>
  <c r="H132" i="139"/>
  <c r="D132" i="139" s="1"/>
  <c r="H26" i="139"/>
  <c r="D26" i="139" s="1"/>
  <c r="H48" i="139"/>
  <c r="H145" i="139"/>
  <c r="D145" i="139" s="1"/>
  <c r="H57" i="139"/>
  <c r="D57" i="139" s="1"/>
  <c r="H50" i="139"/>
  <c r="D50" i="139" s="1"/>
  <c r="H108" i="139"/>
  <c r="D108" i="139" s="1"/>
  <c r="H41" i="139"/>
  <c r="D41" i="139" s="1"/>
  <c r="H63" i="139"/>
  <c r="D63" i="139" s="1"/>
  <c r="H138" i="139"/>
  <c r="D138" i="139" s="1"/>
  <c r="H32" i="139"/>
  <c r="D32" i="139" s="1"/>
  <c r="H135" i="139"/>
  <c r="D135" i="139" s="1"/>
  <c r="H89" i="139"/>
  <c r="D89" i="139" s="1"/>
  <c r="H123" i="139"/>
  <c r="D123" i="139" s="1"/>
  <c r="H97" i="139"/>
  <c r="D97" i="139" s="1"/>
  <c r="H75" i="139"/>
  <c r="D75" i="139" s="1"/>
  <c r="BY155" i="139" l="1"/>
  <c r="BZ155" i="139" s="1"/>
  <c r="BY16" i="139"/>
  <c r="BP4" i="139"/>
  <c r="BP152" i="139" s="1"/>
  <c r="BY152" i="139" s="1"/>
  <c r="BZ152" i="139" s="1"/>
  <c r="BK155" i="139"/>
  <c r="D155" i="139" s="1"/>
  <c r="BK16" i="139"/>
  <c r="BJ4" i="139"/>
  <c r="BJ152" i="139" s="1"/>
  <c r="AW4" i="139"/>
  <c r="AW154" i="139"/>
  <c r="BK14" i="139"/>
  <c r="AZ4" i="139"/>
  <c r="AZ152" i="139" s="1"/>
  <c r="BK15" i="139"/>
  <c r="AY154" i="139"/>
  <c r="BK154" i="139" s="1"/>
  <c r="AY4" i="139"/>
  <c r="AY152" i="139" s="1"/>
  <c r="H4" i="139"/>
  <c r="AW152" i="139"/>
  <c r="AU288" i="58"/>
  <c r="AU274" i="58"/>
  <c r="AU260" i="58"/>
  <c r="AU246" i="58"/>
  <c r="AU231" i="58"/>
  <c r="AU216" i="58"/>
  <c r="AU202" i="58"/>
  <c r="AU188" i="58"/>
  <c r="AU174" i="58"/>
  <c r="AU160" i="58"/>
  <c r="AU145" i="58"/>
  <c r="AU130" i="58"/>
  <c r="BY4" i="139" l="1"/>
  <c r="D154" i="139"/>
  <c r="AU3" i="58"/>
  <c r="BK4" i="139"/>
  <c r="BK152" i="139"/>
  <c r="BZ15" i="139" l="1"/>
  <c r="BZ13" i="139"/>
  <c r="D13" i="139" s="1"/>
  <c r="BZ12" i="139"/>
  <c r="BZ11" i="139"/>
  <c r="D11" i="139" s="1"/>
  <c r="BZ10" i="139"/>
  <c r="D10" i="139" s="1"/>
  <c r="BZ24" i="139"/>
  <c r="D24" i="139" s="1"/>
  <c r="BZ23" i="139"/>
  <c r="BZ9" i="139"/>
  <c r="D9" i="139" s="1"/>
  <c r="BZ21" i="139"/>
  <c r="D21" i="139" s="1"/>
  <c r="BZ19" i="139"/>
  <c r="D19" i="139" s="1"/>
  <c r="BZ5" i="139"/>
  <c r="BZ18" i="139"/>
  <c r="D18" i="139" s="1"/>
  <c r="BZ20" i="139"/>
  <c r="D20" i="139" s="1"/>
  <c r="BZ14" i="139"/>
  <c r="D14" i="139" s="1"/>
  <c r="BZ22" i="139"/>
  <c r="BZ17" i="139"/>
  <c r="D17" i="139" s="1"/>
  <c r="BZ8" i="139"/>
  <c r="D8" i="139" s="1"/>
  <c r="BZ7" i="139"/>
  <c r="D7" i="139" s="1"/>
  <c r="BZ6" i="139"/>
  <c r="D6" i="139" s="1"/>
  <c r="BZ16" i="139"/>
  <c r="D16" i="139" s="1"/>
  <c r="D12" i="139"/>
  <c r="D23" i="139"/>
  <c r="D22" i="139"/>
  <c r="D15" i="139"/>
  <c r="Y23" i="99"/>
  <c r="Y22" i="99"/>
  <c r="Y21" i="99"/>
  <c r="Y20" i="99"/>
  <c r="Y19" i="99"/>
  <c r="Y18" i="99"/>
  <c r="Y17" i="99"/>
  <c r="Y16" i="99"/>
  <c r="Y15" i="99"/>
  <c r="Y14" i="99"/>
  <c r="Y13" i="99"/>
  <c r="Y11" i="99"/>
  <c r="Y10" i="99"/>
  <c r="Y9" i="99"/>
  <c r="Y8" i="99"/>
  <c r="Y7" i="99"/>
  <c r="Y6" i="99"/>
  <c r="Y5" i="99"/>
  <c r="Y4" i="99"/>
  <c r="Y3" i="99"/>
  <c r="Y12" i="99"/>
  <c r="BZ4" i="139" l="1"/>
  <c r="D5" i="139"/>
  <c r="E134" i="139" s="1"/>
  <c r="E99" i="139"/>
  <c r="D4" i="139"/>
  <c r="E6" i="139" s="1"/>
  <c r="E78" i="139" l="1"/>
  <c r="E72" i="139"/>
  <c r="E47" i="139"/>
  <c r="E66" i="139"/>
  <c r="E155" i="139"/>
  <c r="E28" i="139"/>
  <c r="E130" i="139"/>
  <c r="E44" i="139"/>
  <c r="E46" i="139"/>
  <c r="E107" i="139"/>
  <c r="E42" i="139"/>
  <c r="E149" i="139"/>
  <c r="E53" i="139"/>
  <c r="E133" i="139"/>
  <c r="E60" i="139"/>
  <c r="E142" i="139"/>
  <c r="E148" i="139"/>
  <c r="E126" i="139"/>
  <c r="E105" i="139"/>
  <c r="E68" i="139"/>
  <c r="E102" i="139"/>
  <c r="E45" i="139"/>
  <c r="E120" i="139"/>
  <c r="E137" i="139"/>
  <c r="E34" i="139"/>
  <c r="E73" i="139"/>
  <c r="E71" i="139"/>
  <c r="E31" i="139"/>
  <c r="E58" i="139"/>
  <c r="E117" i="139"/>
  <c r="E93" i="139"/>
  <c r="E70" i="139"/>
  <c r="E39" i="139"/>
  <c r="E64" i="139"/>
  <c r="E103" i="139"/>
  <c r="E56" i="139"/>
  <c r="E91" i="139"/>
  <c r="E37" i="139"/>
  <c r="E122" i="139"/>
  <c r="E27" i="139"/>
  <c r="E88" i="139"/>
  <c r="E139" i="139"/>
  <c r="E49" i="139"/>
  <c r="E85" i="139"/>
  <c r="E74" i="139"/>
  <c r="E67" i="139"/>
  <c r="E119" i="139"/>
  <c r="E81" i="139"/>
  <c r="E98" i="139"/>
  <c r="E40" i="139"/>
  <c r="E112" i="139"/>
  <c r="E76" i="139"/>
  <c r="E33" i="139"/>
  <c r="E94" i="139"/>
  <c r="E136" i="139"/>
  <c r="E38" i="139"/>
  <c r="E61" i="139"/>
  <c r="E30" i="139"/>
  <c r="E36" i="139"/>
  <c r="E125" i="139"/>
  <c r="E124" i="139"/>
  <c r="E127" i="139"/>
  <c r="E62" i="139"/>
  <c r="E65" i="139"/>
  <c r="E59" i="139"/>
  <c r="E84" i="139"/>
  <c r="E144" i="139"/>
  <c r="E143" i="139"/>
  <c r="E86" i="139"/>
  <c r="E106" i="139"/>
  <c r="E111" i="139"/>
  <c r="E52" i="139"/>
  <c r="E96" i="139"/>
  <c r="E116" i="139"/>
  <c r="E54" i="139"/>
  <c r="E118" i="139"/>
  <c r="E146" i="139"/>
  <c r="E43" i="139"/>
  <c r="E154" i="139"/>
  <c r="E151" i="139"/>
  <c r="E150" i="139" s="1"/>
  <c r="E153" i="139"/>
  <c r="E101" i="139"/>
  <c r="E110" i="139"/>
  <c r="E114" i="139"/>
  <c r="E82" i="139"/>
  <c r="E79" i="139"/>
  <c r="E128" i="139"/>
  <c r="E77" i="139"/>
  <c r="E131" i="139"/>
  <c r="E69" i="139"/>
  <c r="E104" i="139"/>
  <c r="E109" i="139"/>
  <c r="E35" i="139"/>
  <c r="E121" i="139"/>
  <c r="E51" i="139"/>
  <c r="E83" i="139"/>
  <c r="E90" i="139"/>
  <c r="E141" i="139"/>
  <c r="E100" i="139"/>
  <c r="E140" i="139"/>
  <c r="E55" i="139"/>
  <c r="E147" i="139" l="1"/>
  <c r="E115" i="139"/>
  <c r="B1" i="134" l="1"/>
  <c r="A35" i="134"/>
  <c r="A34" i="134"/>
  <c r="A33" i="134"/>
  <c r="A32" i="134"/>
  <c r="A31" i="134"/>
  <c r="A30" i="134"/>
  <c r="A29" i="134"/>
  <c r="A28" i="134"/>
  <c r="A27" i="134"/>
  <c r="A26" i="134"/>
  <c r="A25" i="134"/>
  <c r="A24" i="134"/>
  <c r="A23" i="134"/>
  <c r="A22" i="134"/>
  <c r="A21" i="134"/>
  <c r="A20" i="134"/>
  <c r="A19" i="134"/>
  <c r="A18" i="134"/>
  <c r="A17" i="134"/>
  <c r="A16" i="134"/>
  <c r="A15" i="134"/>
  <c r="A14" i="134"/>
  <c r="A13" i="134"/>
  <c r="A12" i="134"/>
  <c r="A11" i="134"/>
  <c r="A10" i="134"/>
  <c r="A9" i="134"/>
  <c r="A8" i="134"/>
  <c r="A7" i="134"/>
  <c r="A6" i="134"/>
  <c r="A75" i="134" l="1"/>
  <c r="A74" i="134"/>
  <c r="A73" i="134"/>
  <c r="A72" i="134"/>
  <c r="A71" i="134"/>
  <c r="A70" i="134"/>
  <c r="A69" i="134"/>
  <c r="A68" i="134"/>
  <c r="A67" i="134"/>
  <c r="A66" i="134"/>
  <c r="A65" i="134"/>
  <c r="A64" i="134"/>
  <c r="A63" i="134"/>
  <c r="A62" i="134"/>
  <c r="A61" i="134"/>
  <c r="A60" i="134"/>
  <c r="A59" i="134"/>
  <c r="A58" i="134"/>
  <c r="A57" i="134"/>
  <c r="A56" i="134"/>
  <c r="A55" i="134"/>
  <c r="A54" i="134"/>
  <c r="A53" i="134"/>
  <c r="A52" i="134"/>
  <c r="A51" i="134"/>
  <c r="A50" i="134"/>
  <c r="A49" i="134"/>
  <c r="A48" i="134"/>
  <c r="A47" i="134"/>
  <c r="A46" i="134"/>
  <c r="A45" i="134"/>
  <c r="A44" i="134"/>
  <c r="A43" i="134"/>
  <c r="A42" i="134"/>
  <c r="A41" i="134"/>
  <c r="A40" i="134"/>
  <c r="A39" i="134"/>
  <c r="A38" i="134"/>
  <c r="A37" i="134"/>
  <c r="C3" i="134"/>
  <c r="C4" i="134" s="1"/>
  <c r="C2" i="134"/>
  <c r="AT288" i="58" l="1"/>
  <c r="AT274" i="58"/>
  <c r="AT260" i="58"/>
  <c r="AT246" i="58"/>
  <c r="AT231" i="58"/>
  <c r="AT216" i="58"/>
  <c r="AT202" i="58"/>
  <c r="AT188" i="58"/>
  <c r="AT174" i="58"/>
  <c r="AT160" i="58"/>
  <c r="AT145" i="58"/>
  <c r="AT130" i="58"/>
  <c r="AT3" i="58" l="1"/>
  <c r="BB144" i="58"/>
  <c r="U144" i="58"/>
  <c r="BB143" i="58"/>
  <c r="U143" i="58"/>
  <c r="BB142" i="58"/>
  <c r="U142" i="58"/>
  <c r="BB140" i="58"/>
  <c r="U140" i="58"/>
  <c r="BB138" i="58"/>
  <c r="U138" i="58"/>
  <c r="BB137" i="58"/>
  <c r="U137" i="58"/>
  <c r="L137" i="58"/>
  <c r="M137" i="58" s="1"/>
  <c r="O137" i="58" s="1"/>
  <c r="BB136" i="58"/>
  <c r="U136" i="58"/>
  <c r="L136" i="58"/>
  <c r="M136" i="58" s="1"/>
  <c r="O136" i="58" s="1"/>
  <c r="BB135" i="58"/>
  <c r="U135" i="58"/>
  <c r="L135" i="58"/>
  <c r="M135" i="58" s="1"/>
  <c r="O135" i="58" s="1"/>
  <c r="BB133" i="58"/>
  <c r="U133" i="58"/>
  <c r="L133" i="58"/>
  <c r="M133" i="58" s="1"/>
  <c r="O133" i="58" s="1"/>
  <c r="BB132" i="58"/>
  <c r="U132" i="58"/>
  <c r="L132" i="58"/>
  <c r="M132" i="58" s="1"/>
  <c r="O132" i="58" s="1"/>
  <c r="BB131" i="58"/>
  <c r="U131" i="58"/>
  <c r="L131" i="58"/>
  <c r="M131" i="58" s="1"/>
  <c r="O131" i="58" s="1"/>
  <c r="BS130" i="58"/>
  <c r="BR130" i="58"/>
  <c r="BQ130" i="58"/>
  <c r="BP130" i="58"/>
  <c r="BO130" i="58"/>
  <c r="BN130" i="58"/>
  <c r="BM130" i="58"/>
  <c r="BL130" i="58"/>
  <c r="BK130" i="58"/>
  <c r="BJ130" i="58"/>
  <c r="BI130" i="58"/>
  <c r="BH130" i="58"/>
  <c r="BF130" i="58"/>
  <c r="BD130" i="58"/>
  <c r="BC130" i="58"/>
  <c r="AZ130" i="58"/>
  <c r="AS130" i="58"/>
  <c r="AR130" i="58"/>
  <c r="AQ130" i="58"/>
  <c r="AP130" i="58"/>
  <c r="AO130" i="58"/>
  <c r="AN130" i="58"/>
  <c r="AL130" i="58"/>
  <c r="AK130" i="58"/>
  <c r="AJ130" i="58"/>
  <c r="AI130" i="58"/>
  <c r="AH130" i="58"/>
  <c r="AF130" i="58"/>
  <c r="AE130" i="58"/>
  <c r="AD130" i="58"/>
  <c r="W130" i="58"/>
  <c r="V130" i="58"/>
  <c r="BB159" i="58"/>
  <c r="BB158" i="58"/>
  <c r="BB157" i="58"/>
  <c r="BB155" i="58"/>
  <c r="BB154" i="58"/>
  <c r="BB153" i="58"/>
  <c r="BB152" i="58"/>
  <c r="BB151" i="58"/>
  <c r="BB149" i="58"/>
  <c r="BB148" i="58"/>
  <c r="BB147" i="58"/>
  <c r="BB146" i="58"/>
  <c r="T132" i="58" l="1"/>
  <c r="T140" i="58"/>
  <c r="T135" i="58"/>
  <c r="T138" i="58"/>
  <c r="T142" i="58"/>
  <c r="T143" i="58"/>
  <c r="T144" i="58"/>
  <c r="T131" i="58"/>
  <c r="T137" i="58"/>
  <c r="T136" i="58"/>
  <c r="T133" i="58"/>
  <c r="U102" i="58"/>
  <c r="U88" i="58"/>
  <c r="BB102" i="58"/>
  <c r="BB88" i="58"/>
  <c r="BB116" i="58"/>
  <c r="U116" i="58"/>
  <c r="U130" i="58"/>
  <c r="BB130" i="58"/>
  <c r="T88" i="58" l="1"/>
  <c r="T116" i="58"/>
  <c r="T102" i="58"/>
  <c r="T130" i="58"/>
  <c r="U172" i="58" l="1"/>
  <c r="U171" i="58"/>
  <c r="U169" i="58"/>
  <c r="U168" i="58"/>
  <c r="U167" i="58"/>
  <c r="U166" i="58"/>
  <c r="U165" i="58"/>
  <c r="U164" i="58"/>
  <c r="U163" i="58"/>
  <c r="U162" i="58"/>
  <c r="BB173" i="58" l="1"/>
  <c r="U173" i="58"/>
  <c r="BB172" i="58"/>
  <c r="T172" i="58" s="1"/>
  <c r="BB171" i="58"/>
  <c r="T171" i="58" s="1"/>
  <c r="BB170" i="58"/>
  <c r="T170" i="58" s="1"/>
  <c r="BB169" i="58"/>
  <c r="T169" i="58" s="1"/>
  <c r="BB168" i="58"/>
  <c r="T168" i="58" s="1"/>
  <c r="BB167" i="58"/>
  <c r="T167" i="58" s="1"/>
  <c r="BB166" i="58"/>
  <c r="T166" i="58" s="1"/>
  <c r="L166" i="58"/>
  <c r="M166" i="58" s="1"/>
  <c r="O166" i="58" s="1"/>
  <c r="BB165" i="58"/>
  <c r="T165" i="58" s="1"/>
  <c r="L165" i="58"/>
  <c r="M165" i="58" s="1"/>
  <c r="O165" i="58" s="1"/>
  <c r="BB164" i="58"/>
  <c r="T164" i="58" s="1"/>
  <c r="L164" i="58"/>
  <c r="M164" i="58" s="1"/>
  <c r="O164" i="58" s="1"/>
  <c r="BB163" i="58"/>
  <c r="T163" i="58" s="1"/>
  <c r="L163" i="58"/>
  <c r="M163" i="58" s="1"/>
  <c r="O163" i="58" s="1"/>
  <c r="BB162" i="58"/>
  <c r="T162" i="58" s="1"/>
  <c r="L162" i="58"/>
  <c r="M162" i="58" s="1"/>
  <c r="O162" i="58" s="1"/>
  <c r="BB161" i="58"/>
  <c r="T161" i="58" s="1"/>
  <c r="L161" i="58"/>
  <c r="M161" i="58" s="1"/>
  <c r="O161" i="58" s="1"/>
  <c r="BS160" i="58"/>
  <c r="BR160" i="58"/>
  <c r="BQ160" i="58"/>
  <c r="BP160" i="58"/>
  <c r="BO160" i="58"/>
  <c r="BN160" i="58"/>
  <c r="BM160" i="58"/>
  <c r="BL160" i="58"/>
  <c r="BK160" i="58"/>
  <c r="BJ160" i="58"/>
  <c r="BI160" i="58"/>
  <c r="BH160" i="58"/>
  <c r="BF160" i="58"/>
  <c r="BD160" i="58"/>
  <c r="BC160" i="58"/>
  <c r="AZ160" i="58"/>
  <c r="AS160" i="58"/>
  <c r="AR160" i="58"/>
  <c r="AQ160" i="58"/>
  <c r="AP160" i="58"/>
  <c r="AO160" i="58"/>
  <c r="AN160" i="58"/>
  <c r="AL160" i="58"/>
  <c r="AK160" i="58"/>
  <c r="AJ160" i="58"/>
  <c r="AI160" i="58"/>
  <c r="AH160" i="58"/>
  <c r="AF160" i="58"/>
  <c r="AE160" i="58"/>
  <c r="AD160" i="58"/>
  <c r="W160" i="58"/>
  <c r="V160" i="58"/>
  <c r="BB187" i="58"/>
  <c r="U187" i="58"/>
  <c r="BB186" i="58"/>
  <c r="U186" i="58"/>
  <c r="BB185" i="58"/>
  <c r="U185" i="58"/>
  <c r="BB184" i="58"/>
  <c r="U184" i="58"/>
  <c r="BB183" i="58"/>
  <c r="U183" i="58"/>
  <c r="BB182" i="58"/>
  <c r="U182" i="58"/>
  <c r="BB181" i="58"/>
  <c r="U181" i="58"/>
  <c r="BB180" i="58"/>
  <c r="U180" i="58"/>
  <c r="L180" i="58"/>
  <c r="M180" i="58" s="1"/>
  <c r="O180" i="58" s="1"/>
  <c r="BB179" i="58"/>
  <c r="U179" i="58"/>
  <c r="L179" i="58"/>
  <c r="M179" i="58" s="1"/>
  <c r="O179" i="58" s="1"/>
  <c r="BB178" i="58"/>
  <c r="U178" i="58"/>
  <c r="L178" i="58"/>
  <c r="M178" i="58" s="1"/>
  <c r="O178" i="58" s="1"/>
  <c r="BB177" i="58"/>
  <c r="U177" i="58"/>
  <c r="L177" i="58"/>
  <c r="M177" i="58" s="1"/>
  <c r="O177" i="58" s="1"/>
  <c r="BB176" i="58"/>
  <c r="U176" i="58"/>
  <c r="L176" i="58"/>
  <c r="M176" i="58" s="1"/>
  <c r="O176" i="58" s="1"/>
  <c r="BB175" i="58"/>
  <c r="U175" i="58"/>
  <c r="L175" i="58"/>
  <c r="M175" i="58" s="1"/>
  <c r="O175" i="58" s="1"/>
  <c r="BS174" i="58"/>
  <c r="BR174" i="58"/>
  <c r="BQ174" i="58"/>
  <c r="BP174" i="58"/>
  <c r="BO174" i="58"/>
  <c r="BN174" i="58"/>
  <c r="BM174" i="58"/>
  <c r="BL174" i="58"/>
  <c r="BK174" i="58"/>
  <c r="BJ174" i="58"/>
  <c r="BI174" i="58"/>
  <c r="BH174" i="58"/>
  <c r="BF174" i="58"/>
  <c r="BD174" i="58"/>
  <c r="BC174" i="58"/>
  <c r="AZ174" i="58"/>
  <c r="AS174" i="58"/>
  <c r="AR174" i="58"/>
  <c r="AQ174" i="58"/>
  <c r="AP174" i="58"/>
  <c r="AO174" i="58"/>
  <c r="AN174" i="58"/>
  <c r="AL174" i="58"/>
  <c r="AK174" i="58"/>
  <c r="AJ174" i="58"/>
  <c r="AI174" i="58"/>
  <c r="AH174" i="58"/>
  <c r="AF174" i="58"/>
  <c r="AE174" i="58"/>
  <c r="AD174" i="58"/>
  <c r="W174" i="58"/>
  <c r="V174" i="58"/>
  <c r="T180" i="58" l="1"/>
  <c r="T184" i="58"/>
  <c r="T178" i="58"/>
  <c r="T181" i="58"/>
  <c r="T185" i="58"/>
  <c r="T176" i="58"/>
  <c r="T182" i="58"/>
  <c r="T186" i="58"/>
  <c r="T179" i="58"/>
  <c r="T173" i="58"/>
  <c r="T183" i="58"/>
  <c r="T187" i="58"/>
  <c r="T177" i="58"/>
  <c r="T175" i="58"/>
  <c r="U147" i="58"/>
  <c r="T147" i="58" s="1"/>
  <c r="U146" i="58"/>
  <c r="T146" i="58" s="1"/>
  <c r="U148" i="58" l="1"/>
  <c r="T148" i="58" s="1"/>
  <c r="U155" i="58" l="1"/>
  <c r="T155" i="58" s="1"/>
  <c r="BS288" i="58" l="1"/>
  <c r="BR288" i="58"/>
  <c r="BQ288" i="58"/>
  <c r="BP288" i="58"/>
  <c r="BO288" i="58"/>
  <c r="BN288" i="58"/>
  <c r="BM288" i="58"/>
  <c r="BL288" i="58"/>
  <c r="BK288" i="58"/>
  <c r="BJ288" i="58"/>
  <c r="BI288" i="58"/>
  <c r="BH288" i="58"/>
  <c r="BF288" i="58"/>
  <c r="BD288" i="58"/>
  <c r="BC288" i="58"/>
  <c r="AZ288" i="58"/>
  <c r="AS288" i="58"/>
  <c r="AR288" i="58"/>
  <c r="AQ288" i="58"/>
  <c r="AP288" i="58"/>
  <c r="AO288" i="58"/>
  <c r="AN288" i="58"/>
  <c r="AL288" i="58"/>
  <c r="AK288" i="58"/>
  <c r="AJ288" i="58"/>
  <c r="AI288" i="58"/>
  <c r="AH288" i="58"/>
  <c r="AF288" i="58"/>
  <c r="AE288" i="58"/>
  <c r="AD288" i="58"/>
  <c r="W288" i="58"/>
  <c r="V288" i="58"/>
  <c r="V188" i="58"/>
  <c r="W188" i="58"/>
  <c r="AD188" i="58"/>
  <c r="AE188" i="58"/>
  <c r="AF188" i="58"/>
  <c r="AH188" i="58"/>
  <c r="AI188" i="58"/>
  <c r="AJ188" i="58"/>
  <c r="AK188" i="58"/>
  <c r="AL188" i="58"/>
  <c r="AN188" i="58"/>
  <c r="AO188" i="58"/>
  <c r="AP188" i="58"/>
  <c r="AQ188" i="58"/>
  <c r="AR188" i="58"/>
  <c r="AS188" i="58"/>
  <c r="AZ188" i="58"/>
  <c r="BC188" i="58"/>
  <c r="BD188" i="58"/>
  <c r="BF188" i="58"/>
  <c r="BH188" i="58"/>
  <c r="BI188" i="58"/>
  <c r="BJ188" i="58"/>
  <c r="BK188" i="58"/>
  <c r="BL188" i="58"/>
  <c r="BM188" i="58"/>
  <c r="BN188" i="58"/>
  <c r="BO188" i="58"/>
  <c r="BP188" i="58"/>
  <c r="BQ188" i="58"/>
  <c r="BR188" i="58"/>
  <c r="BS188" i="58"/>
  <c r="L189" i="58"/>
  <c r="M189" i="58" s="1"/>
  <c r="O189" i="58" s="1"/>
  <c r="U189" i="58"/>
  <c r="BB189" i="58"/>
  <c r="L190" i="58"/>
  <c r="M190" i="58" s="1"/>
  <c r="O190" i="58" s="1"/>
  <c r="U190" i="58"/>
  <c r="BB190" i="58"/>
  <c r="L191" i="58"/>
  <c r="M191" i="58" s="1"/>
  <c r="O191" i="58" s="1"/>
  <c r="U191" i="58"/>
  <c r="BB191" i="58"/>
  <c r="L192" i="58"/>
  <c r="M192" i="58" s="1"/>
  <c r="O192" i="58" s="1"/>
  <c r="U192" i="58"/>
  <c r="BB192" i="58"/>
  <c r="L193" i="58"/>
  <c r="M193" i="58" s="1"/>
  <c r="O193" i="58" s="1"/>
  <c r="U193" i="58"/>
  <c r="BB193" i="58"/>
  <c r="L194" i="58"/>
  <c r="M194" i="58" s="1"/>
  <c r="O194" i="58" s="1"/>
  <c r="U194" i="58"/>
  <c r="BB194" i="58"/>
  <c r="U195" i="58"/>
  <c r="BB195" i="58"/>
  <c r="U196" i="58"/>
  <c r="BB196" i="58"/>
  <c r="U197" i="58"/>
  <c r="BB197" i="58"/>
  <c r="U198" i="58"/>
  <c r="BB198" i="58"/>
  <c r="U199" i="58"/>
  <c r="BB199" i="58"/>
  <c r="U200" i="58"/>
  <c r="BB200" i="58"/>
  <c r="U201" i="58"/>
  <c r="BB201" i="58"/>
  <c r="V202" i="58"/>
  <c r="W202" i="58"/>
  <c r="AD202" i="58"/>
  <c r="AE202" i="58"/>
  <c r="AF202" i="58"/>
  <c r="AH202" i="58"/>
  <c r="AI202" i="58"/>
  <c r="AJ202" i="58"/>
  <c r="AK202" i="58"/>
  <c r="AL202" i="58"/>
  <c r="AN202" i="58"/>
  <c r="AO202" i="58"/>
  <c r="AP202" i="58"/>
  <c r="AQ202" i="58"/>
  <c r="AR202" i="58"/>
  <c r="AS202" i="58"/>
  <c r="AZ202" i="58"/>
  <c r="BC202" i="58"/>
  <c r="BD202" i="58"/>
  <c r="BF202" i="58"/>
  <c r="BH202" i="58"/>
  <c r="BI202" i="58"/>
  <c r="BJ202" i="58"/>
  <c r="BK202" i="58"/>
  <c r="BL202" i="58"/>
  <c r="BM202" i="58"/>
  <c r="BN202" i="58"/>
  <c r="BO202" i="58"/>
  <c r="BP202" i="58"/>
  <c r="BQ202" i="58"/>
  <c r="BR202" i="58"/>
  <c r="BS202" i="58"/>
  <c r="L203" i="58"/>
  <c r="M203" i="58" s="1"/>
  <c r="O203" i="58" s="1"/>
  <c r="U203" i="58"/>
  <c r="BB203" i="58"/>
  <c r="L204" i="58"/>
  <c r="M204" i="58" s="1"/>
  <c r="O204" i="58" s="1"/>
  <c r="U204" i="58"/>
  <c r="BB204" i="58"/>
  <c r="L205" i="58"/>
  <c r="M205" i="58" s="1"/>
  <c r="O205" i="58" s="1"/>
  <c r="U205" i="58"/>
  <c r="BB205" i="58"/>
  <c r="L206" i="58"/>
  <c r="M206" i="58" s="1"/>
  <c r="O206" i="58" s="1"/>
  <c r="U206" i="58"/>
  <c r="BB206" i="58"/>
  <c r="L207" i="58"/>
  <c r="M207" i="58" s="1"/>
  <c r="O207" i="58" s="1"/>
  <c r="U207" i="58"/>
  <c r="BB207" i="58"/>
  <c r="L208" i="58"/>
  <c r="M208" i="58" s="1"/>
  <c r="O208" i="58" s="1"/>
  <c r="U208" i="58"/>
  <c r="BB208" i="58"/>
  <c r="U209" i="58"/>
  <c r="BB209" i="58"/>
  <c r="U210" i="58"/>
  <c r="BB210" i="58"/>
  <c r="U211" i="58"/>
  <c r="BB211" i="58"/>
  <c r="U212" i="58"/>
  <c r="BB212" i="58"/>
  <c r="U213" i="58"/>
  <c r="BB213" i="58"/>
  <c r="U214" i="58"/>
  <c r="BB214" i="58"/>
  <c r="U215" i="58"/>
  <c r="BB215" i="58"/>
  <c r="V216" i="58"/>
  <c r="W216" i="58"/>
  <c r="AD216" i="58"/>
  <c r="AE216" i="58"/>
  <c r="AF216" i="58"/>
  <c r="AH216" i="58"/>
  <c r="AI216" i="58"/>
  <c r="AJ216" i="58"/>
  <c r="AK216" i="58"/>
  <c r="AL216" i="58"/>
  <c r="AN216" i="58"/>
  <c r="AO216" i="58"/>
  <c r="AP216" i="58"/>
  <c r="AQ216" i="58"/>
  <c r="AR216" i="58"/>
  <c r="AS216" i="58"/>
  <c r="AZ216" i="58"/>
  <c r="BC216" i="58"/>
  <c r="BD216" i="58"/>
  <c r="BF216" i="58"/>
  <c r="BH216" i="58"/>
  <c r="BI216" i="58"/>
  <c r="BJ216" i="58"/>
  <c r="BK216" i="58"/>
  <c r="BL216" i="58"/>
  <c r="BM216" i="58"/>
  <c r="BN216" i="58"/>
  <c r="BO216" i="58"/>
  <c r="BP216" i="58"/>
  <c r="BQ216" i="58"/>
  <c r="BR216" i="58"/>
  <c r="BS216" i="58"/>
  <c r="U217" i="58"/>
  <c r="BB217" i="58"/>
  <c r="U218" i="58"/>
  <c r="BB218" i="58"/>
  <c r="U219" i="58"/>
  <c r="BB219" i="58"/>
  <c r="U220" i="58"/>
  <c r="BB220" i="58"/>
  <c r="U221" i="58"/>
  <c r="BB221" i="58"/>
  <c r="U222" i="58"/>
  <c r="BB222" i="58"/>
  <c r="U223" i="58"/>
  <c r="BB223" i="58"/>
  <c r="U224" i="58"/>
  <c r="BB224" i="58"/>
  <c r="U225" i="58"/>
  <c r="BB225" i="58"/>
  <c r="U226" i="58"/>
  <c r="BB226" i="58"/>
  <c r="U227" i="58"/>
  <c r="BB227" i="58"/>
  <c r="U228" i="58"/>
  <c r="BB228" i="58"/>
  <c r="U229" i="58"/>
  <c r="BB229" i="58"/>
  <c r="U230" i="58"/>
  <c r="BB230" i="58"/>
  <c r="V231" i="58"/>
  <c r="W231" i="58"/>
  <c r="AD231" i="58"/>
  <c r="AE231" i="58"/>
  <c r="AF231" i="58"/>
  <c r="AH231" i="58"/>
  <c r="AI231" i="58"/>
  <c r="AJ231" i="58"/>
  <c r="AK231" i="58"/>
  <c r="AL231" i="58"/>
  <c r="AN231" i="58"/>
  <c r="AO231" i="58"/>
  <c r="AP231" i="58"/>
  <c r="AQ231" i="58"/>
  <c r="AR231" i="58"/>
  <c r="AS231" i="58"/>
  <c r="AZ231" i="58"/>
  <c r="BC231" i="58"/>
  <c r="BD231" i="58"/>
  <c r="BF231" i="58"/>
  <c r="BH231" i="58"/>
  <c r="BI231" i="58"/>
  <c r="BJ231" i="58"/>
  <c r="BK231" i="58"/>
  <c r="BL231" i="58"/>
  <c r="BM231" i="58"/>
  <c r="BN231" i="58"/>
  <c r="BO231" i="58"/>
  <c r="BP231" i="58"/>
  <c r="BQ231" i="58"/>
  <c r="BR231" i="58"/>
  <c r="BS231" i="58"/>
  <c r="U232" i="58"/>
  <c r="BB232" i="58"/>
  <c r="U233" i="58"/>
  <c r="BB233" i="58"/>
  <c r="U234" i="58"/>
  <c r="BB234" i="58"/>
  <c r="U235" i="58"/>
  <c r="BB235" i="58"/>
  <c r="U236" i="58"/>
  <c r="BB236" i="58"/>
  <c r="U237" i="58"/>
  <c r="BB237" i="58"/>
  <c r="U238" i="58"/>
  <c r="BB238" i="58"/>
  <c r="U239" i="58"/>
  <c r="BB239" i="58"/>
  <c r="U240" i="58"/>
  <c r="BB240" i="58"/>
  <c r="U241" i="58"/>
  <c r="BB241" i="58"/>
  <c r="U242" i="58"/>
  <c r="BB242" i="58"/>
  <c r="U243" i="58"/>
  <c r="BB243" i="58"/>
  <c r="U244" i="58"/>
  <c r="BB244" i="58"/>
  <c r="U245" i="58"/>
  <c r="BB245" i="58"/>
  <c r="V246" i="58"/>
  <c r="W246" i="58"/>
  <c r="AD246" i="58"/>
  <c r="AE246" i="58"/>
  <c r="AF246" i="58"/>
  <c r="AH246" i="58"/>
  <c r="AI246" i="58"/>
  <c r="AJ246" i="58"/>
  <c r="AK246" i="58"/>
  <c r="AL246" i="58"/>
  <c r="AN246" i="58"/>
  <c r="AO246" i="58"/>
  <c r="AP246" i="58"/>
  <c r="AQ246" i="58"/>
  <c r="AR246" i="58"/>
  <c r="AS246" i="58"/>
  <c r="AZ246" i="58"/>
  <c r="BC246" i="58"/>
  <c r="BD246" i="58"/>
  <c r="BF246" i="58"/>
  <c r="BH246" i="58"/>
  <c r="BI246" i="58"/>
  <c r="BJ246" i="58"/>
  <c r="BK246" i="58"/>
  <c r="BL246" i="58"/>
  <c r="BM246" i="58"/>
  <c r="BN246" i="58"/>
  <c r="BO246" i="58"/>
  <c r="BP246" i="58"/>
  <c r="BQ246" i="58"/>
  <c r="BR246" i="58"/>
  <c r="BS246" i="58"/>
  <c r="U247" i="58"/>
  <c r="BB247" i="58"/>
  <c r="U248" i="58"/>
  <c r="BB248" i="58"/>
  <c r="U249" i="58"/>
  <c r="BB249" i="58"/>
  <c r="U250" i="58"/>
  <c r="BB250" i="58"/>
  <c r="U251" i="58"/>
  <c r="BB251" i="58"/>
  <c r="U252" i="58"/>
  <c r="BB252" i="58"/>
  <c r="U253" i="58"/>
  <c r="BB253" i="58"/>
  <c r="U254" i="58"/>
  <c r="BB254" i="58"/>
  <c r="U255" i="58"/>
  <c r="BB255" i="58"/>
  <c r="U256" i="58"/>
  <c r="BB256" i="58"/>
  <c r="U257" i="58"/>
  <c r="BB257" i="58"/>
  <c r="U258" i="58"/>
  <c r="BB258" i="58"/>
  <c r="U259" i="58"/>
  <c r="BB259" i="58"/>
  <c r="V260" i="58"/>
  <c r="W260" i="58"/>
  <c r="AD260" i="58"/>
  <c r="AE260" i="58"/>
  <c r="AF260" i="58"/>
  <c r="AH260" i="58"/>
  <c r="AI260" i="58"/>
  <c r="AJ260" i="58"/>
  <c r="AK260" i="58"/>
  <c r="AL260" i="58"/>
  <c r="AN260" i="58"/>
  <c r="AO260" i="58"/>
  <c r="AP260" i="58"/>
  <c r="AQ260" i="58"/>
  <c r="AR260" i="58"/>
  <c r="AS260" i="58"/>
  <c r="AZ260" i="58"/>
  <c r="BC260" i="58"/>
  <c r="BD260" i="58"/>
  <c r="BF260" i="58"/>
  <c r="BH260" i="58"/>
  <c r="BI260" i="58"/>
  <c r="BJ260" i="58"/>
  <c r="BK260" i="58"/>
  <c r="BL260" i="58"/>
  <c r="BM260" i="58"/>
  <c r="BN260" i="58"/>
  <c r="BO260" i="58"/>
  <c r="BP260" i="58"/>
  <c r="BQ260" i="58"/>
  <c r="BR260" i="58"/>
  <c r="BS260" i="58"/>
  <c r="U261" i="58"/>
  <c r="BB261" i="58"/>
  <c r="U262" i="58"/>
  <c r="BB262" i="58"/>
  <c r="U263" i="58"/>
  <c r="BB263" i="58"/>
  <c r="U264" i="58"/>
  <c r="BB264" i="58"/>
  <c r="U265" i="58"/>
  <c r="BB265" i="58"/>
  <c r="U266" i="58"/>
  <c r="BB266" i="58"/>
  <c r="U267" i="58"/>
  <c r="BB267" i="58"/>
  <c r="U268" i="58"/>
  <c r="BB268" i="58"/>
  <c r="U269" i="58"/>
  <c r="BB269" i="58"/>
  <c r="U270" i="58"/>
  <c r="BB270" i="58"/>
  <c r="U271" i="58"/>
  <c r="BB271" i="58"/>
  <c r="U272" i="58"/>
  <c r="BB272" i="58"/>
  <c r="U273" i="58"/>
  <c r="BB273" i="58"/>
  <c r="V274" i="58"/>
  <c r="W274" i="58"/>
  <c r="AD274" i="58"/>
  <c r="AE274" i="58"/>
  <c r="AF274" i="58"/>
  <c r="AH274" i="58"/>
  <c r="AI274" i="58"/>
  <c r="AJ274" i="58"/>
  <c r="AK274" i="58"/>
  <c r="AL274" i="58"/>
  <c r="AN274" i="58"/>
  <c r="AO274" i="58"/>
  <c r="AP274" i="58"/>
  <c r="AQ274" i="58"/>
  <c r="AR274" i="58"/>
  <c r="AS274" i="58"/>
  <c r="AZ274" i="58"/>
  <c r="BC274" i="58"/>
  <c r="BD274" i="58"/>
  <c r="BF274" i="58"/>
  <c r="BH274" i="58"/>
  <c r="BI274" i="58"/>
  <c r="BJ274" i="58"/>
  <c r="BK274" i="58"/>
  <c r="BL274" i="58"/>
  <c r="BM274" i="58"/>
  <c r="BN274" i="58"/>
  <c r="BO274" i="58"/>
  <c r="BP274" i="58"/>
  <c r="BQ274" i="58"/>
  <c r="BR274" i="58"/>
  <c r="BS274" i="58"/>
  <c r="U275" i="58"/>
  <c r="BB275" i="58"/>
  <c r="U276" i="58"/>
  <c r="BB276" i="58"/>
  <c r="U277" i="58"/>
  <c r="BB277" i="58"/>
  <c r="U278" i="58"/>
  <c r="BB278" i="58"/>
  <c r="U279" i="58"/>
  <c r="BB279" i="58"/>
  <c r="U280" i="58"/>
  <c r="BB280" i="58"/>
  <c r="U281" i="58"/>
  <c r="BB281" i="58"/>
  <c r="U282" i="58"/>
  <c r="BB282" i="58"/>
  <c r="U283" i="58"/>
  <c r="BB283" i="58"/>
  <c r="U284" i="58"/>
  <c r="BB284" i="58"/>
  <c r="U285" i="58"/>
  <c r="BB285" i="58"/>
  <c r="U286" i="58"/>
  <c r="BB286" i="58"/>
  <c r="U287" i="58"/>
  <c r="BB287" i="58"/>
  <c r="BB300" i="58"/>
  <c r="U300" i="58"/>
  <c r="BB299" i="58"/>
  <c r="U299" i="58"/>
  <c r="BB298" i="58"/>
  <c r="U298" i="58"/>
  <c r="BB297" i="58"/>
  <c r="U297" i="58"/>
  <c r="BB296" i="58"/>
  <c r="U296" i="58"/>
  <c r="BB295" i="58"/>
  <c r="U295" i="58"/>
  <c r="BB294" i="58"/>
  <c r="U294" i="58"/>
  <c r="BB293" i="58"/>
  <c r="U293" i="58"/>
  <c r="BB292" i="58"/>
  <c r="U292" i="58"/>
  <c r="BB291" i="58"/>
  <c r="U291" i="58"/>
  <c r="BB290" i="58"/>
  <c r="U290" i="58"/>
  <c r="BB289" i="58"/>
  <c r="U289" i="58"/>
  <c r="T289" i="58" l="1"/>
  <c r="T293" i="58"/>
  <c r="T297" i="58"/>
  <c r="T191" i="58"/>
  <c r="T273" i="58"/>
  <c r="T269" i="58"/>
  <c r="T265" i="58"/>
  <c r="T261" i="58"/>
  <c r="T257" i="58"/>
  <c r="T253" i="58"/>
  <c r="T249" i="58"/>
  <c r="T213" i="58"/>
  <c r="T209" i="58"/>
  <c r="T206" i="58"/>
  <c r="T200" i="58"/>
  <c r="T196" i="58"/>
  <c r="T190" i="58"/>
  <c r="T284" i="58"/>
  <c r="T280" i="58"/>
  <c r="T276" i="58"/>
  <c r="T272" i="58"/>
  <c r="T268" i="58"/>
  <c r="T264" i="58"/>
  <c r="T256" i="58"/>
  <c r="T252" i="58"/>
  <c r="T248" i="58"/>
  <c r="T212" i="58"/>
  <c r="T208" i="58"/>
  <c r="T199" i="58"/>
  <c r="T195" i="58"/>
  <c r="T192" i="58"/>
  <c r="T290" i="58"/>
  <c r="T294" i="58"/>
  <c r="T298" i="58"/>
  <c r="T207" i="58"/>
  <c r="T291" i="58"/>
  <c r="T295" i="58"/>
  <c r="T299" i="58"/>
  <c r="T193" i="58"/>
  <c r="T244" i="58"/>
  <c r="T236" i="58"/>
  <c r="T232" i="58"/>
  <c r="T240" i="58"/>
  <c r="T245" i="58"/>
  <c r="T241" i="58"/>
  <c r="T237" i="58"/>
  <c r="T233" i="58"/>
  <c r="T228" i="58"/>
  <c r="T224" i="58"/>
  <c r="T220" i="58"/>
  <c r="T229" i="58"/>
  <c r="T225" i="58"/>
  <c r="T221" i="58"/>
  <c r="T217" i="58"/>
  <c r="T292" i="58"/>
  <c r="T296" i="58"/>
  <c r="T300" i="58"/>
  <c r="T203" i="58"/>
  <c r="T205" i="58"/>
  <c r="T189" i="58"/>
  <c r="T271" i="58"/>
  <c r="T267" i="58"/>
  <c r="T263" i="58"/>
  <c r="T259" i="58"/>
  <c r="T255" i="58"/>
  <c r="T251" i="58"/>
  <c r="T247" i="58"/>
  <c r="T243" i="58"/>
  <c r="T239" i="58"/>
  <c r="T235" i="58"/>
  <c r="T227" i="58"/>
  <c r="T223" i="58"/>
  <c r="T219" i="58"/>
  <c r="T215" i="58"/>
  <c r="T211" i="58"/>
  <c r="T198" i="58"/>
  <c r="T194" i="58"/>
  <c r="T287" i="58"/>
  <c r="T279" i="58"/>
  <c r="T286" i="58"/>
  <c r="T282" i="58"/>
  <c r="T278" i="58"/>
  <c r="T270" i="58"/>
  <c r="T266" i="58"/>
  <c r="T262" i="58"/>
  <c r="T258" i="58"/>
  <c r="T254" i="58"/>
  <c r="T250" i="58"/>
  <c r="T242" i="58"/>
  <c r="T238" i="58"/>
  <c r="T234" i="58"/>
  <c r="T230" i="58"/>
  <c r="T226" i="58"/>
  <c r="T222" i="58"/>
  <c r="T218" i="58"/>
  <c r="T214" i="58"/>
  <c r="T210" i="58"/>
  <c r="T204" i="58"/>
  <c r="T201" i="58"/>
  <c r="T197" i="58"/>
  <c r="T283" i="58"/>
  <c r="T275" i="58"/>
  <c r="T285" i="58"/>
  <c r="T281" i="58"/>
  <c r="T277" i="58"/>
  <c r="BB288" i="58"/>
  <c r="U288" i="58"/>
  <c r="BB274" i="58"/>
  <c r="U260" i="58"/>
  <c r="BB202" i="58"/>
  <c r="BB231" i="58"/>
  <c r="U231" i="58"/>
  <c r="BB246" i="58"/>
  <c r="U274" i="58"/>
  <c r="BB260" i="58"/>
  <c r="U246" i="58"/>
  <c r="BB216" i="58"/>
  <c r="U202" i="58"/>
  <c r="U216" i="58"/>
  <c r="T288" i="58" l="1"/>
  <c r="T231" i="58"/>
  <c r="T216" i="58"/>
  <c r="T274" i="58"/>
  <c r="T260" i="58"/>
  <c r="T202" i="58"/>
  <c r="T246" i="58"/>
  <c r="U159" i="58" l="1"/>
  <c r="T159" i="58" s="1"/>
  <c r="U158" i="58"/>
  <c r="T158" i="58" s="1"/>
  <c r="U157" i="58"/>
  <c r="T157" i="58" s="1"/>
  <c r="U154" i="58"/>
  <c r="U153" i="58"/>
  <c r="T153" i="58" s="1"/>
  <c r="U152" i="58"/>
  <c r="T152" i="58" s="1"/>
  <c r="L152" i="58"/>
  <c r="M152" i="58" s="1"/>
  <c r="O152" i="58" s="1"/>
  <c r="U151" i="58"/>
  <c r="T151" i="58" s="1"/>
  <c r="L151" i="58"/>
  <c r="M151" i="58" s="1"/>
  <c r="O151" i="58" s="1"/>
  <c r="U149" i="58"/>
  <c r="T149" i="58" s="1"/>
  <c r="L149" i="58"/>
  <c r="M149" i="58" s="1"/>
  <c r="O149" i="58" s="1"/>
  <c r="L148" i="58"/>
  <c r="M148" i="58" s="1"/>
  <c r="O148" i="58" s="1"/>
  <c r="L147" i="58"/>
  <c r="M147" i="58" s="1"/>
  <c r="O147" i="58" s="1"/>
  <c r="L146" i="58"/>
  <c r="M146" i="58" s="1"/>
  <c r="O146" i="58" s="1"/>
  <c r="BS145" i="58"/>
  <c r="BS3" i="58" s="1"/>
  <c r="BR145" i="58"/>
  <c r="BR3" i="58" s="1"/>
  <c r="BQ145" i="58"/>
  <c r="BQ3" i="58" s="1"/>
  <c r="BP145" i="58"/>
  <c r="BP3" i="58" s="1"/>
  <c r="BO145" i="58"/>
  <c r="BO3" i="58" s="1"/>
  <c r="BN145" i="58"/>
  <c r="BN3" i="58" s="1"/>
  <c r="BM145" i="58"/>
  <c r="BM3" i="58" s="1"/>
  <c r="BL145" i="58"/>
  <c r="BL3" i="58" s="1"/>
  <c r="BK145" i="58"/>
  <c r="BK3" i="58" s="1"/>
  <c r="BJ145" i="58"/>
  <c r="BJ3" i="58" s="1"/>
  <c r="BI145" i="58"/>
  <c r="BI3" i="58" s="1"/>
  <c r="BH145" i="58"/>
  <c r="BH3" i="58" s="1"/>
  <c r="BF145" i="58"/>
  <c r="BF3" i="58" s="1"/>
  <c r="BD145" i="58"/>
  <c r="BD3" i="58" s="1"/>
  <c r="BC145" i="58"/>
  <c r="BC3" i="58" s="1"/>
  <c r="AZ145" i="58"/>
  <c r="AZ3" i="58" s="1"/>
  <c r="AS145" i="58"/>
  <c r="AS3" i="58" s="1"/>
  <c r="AR145" i="58"/>
  <c r="AR3" i="58" s="1"/>
  <c r="AQ145" i="58"/>
  <c r="AQ3" i="58" s="1"/>
  <c r="AP145" i="58"/>
  <c r="AP3" i="58" s="1"/>
  <c r="AO145" i="58"/>
  <c r="AO3" i="58" s="1"/>
  <c r="AN145" i="58"/>
  <c r="AN3" i="58" s="1"/>
  <c r="AL145" i="58"/>
  <c r="AL3" i="58" s="1"/>
  <c r="AK145" i="58"/>
  <c r="AK3" i="58" s="1"/>
  <c r="AJ145" i="58"/>
  <c r="AJ3" i="58" s="1"/>
  <c r="AI145" i="58"/>
  <c r="AI3" i="58" s="1"/>
  <c r="AH145" i="58"/>
  <c r="AH3" i="58" s="1"/>
  <c r="AF145" i="58"/>
  <c r="AF3" i="58" s="1"/>
  <c r="AE145" i="58"/>
  <c r="AE3" i="58" s="1"/>
  <c r="AD145" i="58"/>
  <c r="AD3" i="58" s="1"/>
  <c r="W145" i="58"/>
  <c r="W3" i="58" s="1"/>
  <c r="V145" i="58"/>
  <c r="V3" i="58" s="1"/>
  <c r="L2" i="58"/>
  <c r="M2" i="58" s="1"/>
  <c r="O2" i="58" s="1"/>
  <c r="L1" i="58"/>
  <c r="M1" i="58" s="1"/>
  <c r="O1" i="58" s="1"/>
  <c r="T154" i="58" l="1"/>
  <c r="U145" i="58"/>
  <c r="BB174" i="58"/>
  <c r="BB160" i="58"/>
  <c r="U174" i="58"/>
  <c r="U160" i="58"/>
  <c r="BB145" i="58"/>
  <c r="BB188" i="58"/>
  <c r="U188" i="58"/>
  <c r="T188" i="58"/>
  <c r="BB3" i="58" l="1"/>
  <c r="U3" i="58"/>
  <c r="T160" i="58"/>
  <c r="T174" i="58"/>
  <c r="T145" i="58"/>
  <c r="T3" i="58" l="1"/>
  <c r="F48" i="139"/>
  <c r="G48" i="139" s="1"/>
  <c r="F25" i="139"/>
  <c r="F152" i="139" s="1"/>
  <c r="X48" i="139"/>
  <c r="X25" i="139" s="1"/>
  <c r="X152" i="139" s="1"/>
  <c r="S48" i="139"/>
  <c r="S25" i="139" s="1"/>
  <c r="S152" i="139" s="1"/>
  <c r="Y48" i="139"/>
  <c r="Y25" i="139" s="1"/>
  <c r="Y152" i="139" s="1"/>
  <c r="K48" i="139"/>
  <c r="K25" i="139" s="1"/>
  <c r="K152" i="139" s="1"/>
  <c r="T48" i="139"/>
  <c r="N48" i="139"/>
  <c r="N25" i="139" s="1"/>
  <c r="N152" i="139" s="1"/>
  <c r="P48" i="139"/>
  <c r="P25" i="139" s="1"/>
  <c r="P152" i="139" s="1"/>
  <c r="Z48" i="139"/>
  <c r="Z25" i="139" s="1"/>
  <c r="Z152" i="139" s="1"/>
  <c r="M48" i="139"/>
  <c r="M25" i="139" s="1"/>
  <c r="M152" i="139" s="1"/>
  <c r="O48" i="139"/>
  <c r="O25" i="139" s="1"/>
  <c r="O152" i="139" s="1"/>
  <c r="I48" i="139"/>
  <c r="Q48" i="139"/>
  <c r="Q25" i="139" s="1"/>
  <c r="Q152" i="139" s="1"/>
  <c r="AA48" i="139"/>
  <c r="AA25" i="139" s="1"/>
  <c r="AA152" i="139" s="1"/>
  <c r="L48" i="139"/>
  <c r="L25" i="139" s="1"/>
  <c r="L152" i="139" s="1"/>
  <c r="W48" i="139"/>
  <c r="J48" i="139"/>
  <c r="J25" i="139" s="1"/>
  <c r="J152" i="139" s="1"/>
  <c r="R48" i="139"/>
  <c r="R25" i="139" s="1"/>
  <c r="R152" i="139" s="1"/>
  <c r="AB48" i="139"/>
  <c r="AB25" i="139" s="1"/>
  <c r="AB152" i="139" s="1"/>
  <c r="W25" i="139" l="1"/>
  <c r="W152" i="139" s="1"/>
  <c r="AI48" i="139"/>
  <c r="I25" i="139"/>
  <c r="I152" i="139" s="1"/>
  <c r="U48" i="139"/>
  <c r="D48" i="139" s="1"/>
  <c r="G25" i="139"/>
  <c r="T25" i="139"/>
  <c r="T152" i="139" s="1"/>
  <c r="G152" i="139" l="1"/>
  <c r="AI152" i="139"/>
  <c r="U152" i="139"/>
  <c r="U25" i="139"/>
  <c r="AI25" i="139"/>
  <c r="D25" i="139" l="1"/>
  <c r="E25" i="139" s="1"/>
  <c r="D152" i="139"/>
  <c r="E152" i="139" s="1"/>
  <c r="E87" i="139"/>
  <c r="E29" i="139"/>
  <c r="E95" i="139"/>
  <c r="E48" i="139"/>
  <c r="E145" i="139"/>
  <c r="E113" i="139"/>
  <c r="E16" i="139"/>
  <c r="E19" i="139" l="1"/>
  <c r="E9" i="139"/>
  <c r="E18" i="139"/>
  <c r="E11" i="139"/>
  <c r="E14" i="139"/>
  <c r="E135" i="139"/>
  <c r="E15" i="139"/>
  <c r="E13" i="139"/>
  <c r="E23" i="139"/>
  <c r="E17" i="139"/>
  <c r="E108" i="139"/>
  <c r="E92" i="139"/>
  <c r="E63" i="139"/>
  <c r="E132" i="139"/>
  <c r="E123" i="139"/>
  <c r="E26" i="139"/>
  <c r="E75" i="139"/>
  <c r="E97" i="139"/>
  <c r="E32" i="139"/>
  <c r="E129" i="139"/>
  <c r="E50" i="139"/>
  <c r="E5" i="139"/>
  <c r="E24" i="139"/>
  <c r="E22" i="139"/>
  <c r="E10" i="139"/>
  <c r="E12" i="139"/>
  <c r="E21" i="139"/>
  <c r="E8" i="139"/>
  <c r="E20" i="139"/>
  <c r="E80" i="139"/>
  <c r="E41" i="139"/>
  <c r="E57" i="139"/>
  <c r="E89" i="139"/>
  <c r="E138" i="139"/>
  <c r="E7" i="139"/>
  <c r="E4" i="139" l="1"/>
</calcChain>
</file>

<file path=xl/sharedStrings.xml><?xml version="1.0" encoding="utf-8"?>
<sst xmlns="http://schemas.openxmlformats.org/spreadsheetml/2006/main" count="16656" uniqueCount="3649">
  <si>
    <t>Date</t>
    <phoneticPr fontId="5" type="noConversion"/>
  </si>
  <si>
    <t>S/N</t>
    <phoneticPr fontId="5" type="noConversion"/>
  </si>
  <si>
    <t>-</t>
    <phoneticPr fontId="5" type="noConversion"/>
  </si>
  <si>
    <t>N/A</t>
    <phoneticPr fontId="5" type="noConversion"/>
  </si>
  <si>
    <t>A1</t>
    <phoneticPr fontId="5" type="noConversion"/>
  </si>
  <si>
    <t>N/A</t>
    <phoneticPr fontId="5" type="noConversion"/>
  </si>
  <si>
    <t>P</t>
    <phoneticPr fontId="5" type="noConversion"/>
  </si>
  <si>
    <t>-</t>
    <phoneticPr fontId="5" type="noConversion"/>
  </si>
  <si>
    <t/>
  </si>
  <si>
    <t>TBA</t>
    <phoneticPr fontId="5" type="noConversion"/>
  </si>
  <si>
    <t>R</t>
    <phoneticPr fontId="5" type="noConversion"/>
  </si>
  <si>
    <t>G1</t>
    <phoneticPr fontId="5" type="noConversion"/>
  </si>
  <si>
    <t>G2</t>
    <phoneticPr fontId="5" type="noConversion"/>
  </si>
  <si>
    <t>G3</t>
    <phoneticPr fontId="5" type="noConversion"/>
  </si>
  <si>
    <t>From</t>
    <phoneticPr fontId="5" type="noConversion"/>
  </si>
  <si>
    <t>To</t>
    <phoneticPr fontId="5" type="noConversion"/>
  </si>
  <si>
    <t>-</t>
    <phoneticPr fontId="5" type="noConversion"/>
  </si>
  <si>
    <t>1 (SS, SA, AS)</t>
    <phoneticPr fontId="5" type="noConversion"/>
  </si>
  <si>
    <t>3 (SC, AB, BA, CS)</t>
    <phoneticPr fontId="5" type="noConversion"/>
  </si>
  <si>
    <t>G2</t>
    <phoneticPr fontId="5" type="noConversion"/>
  </si>
  <si>
    <t>G2</t>
    <phoneticPr fontId="5" type="noConversion"/>
  </si>
  <si>
    <t>G4</t>
    <phoneticPr fontId="5" type="noConversion"/>
  </si>
  <si>
    <t>G</t>
    <phoneticPr fontId="5" type="noConversion"/>
  </si>
  <si>
    <r>
      <rPr>
        <sz val="10"/>
        <color theme="1"/>
        <rFont val="맑은 고딕"/>
        <family val="3"/>
        <charset val="129"/>
      </rPr>
      <t>구분</t>
    </r>
    <phoneticPr fontId="5" type="noConversion"/>
  </si>
  <si>
    <r>
      <rPr>
        <sz val="10"/>
        <color theme="1"/>
        <rFont val="맑은 고딕"/>
        <family val="3"/>
        <charset val="129"/>
      </rPr>
      <t>실수령액</t>
    </r>
    <phoneticPr fontId="5" type="noConversion"/>
  </si>
  <si>
    <r>
      <rPr>
        <sz val="10"/>
        <color theme="1"/>
        <rFont val="맑은 고딕"/>
        <family val="3"/>
        <charset val="129"/>
      </rPr>
      <t>지급총액</t>
    </r>
    <phoneticPr fontId="5" type="noConversion"/>
  </si>
  <si>
    <r>
      <rPr>
        <sz val="10"/>
        <color theme="1"/>
        <rFont val="맑은 고딕"/>
        <family val="3"/>
        <charset val="129"/>
      </rPr>
      <t>기본급</t>
    </r>
    <phoneticPr fontId="5" type="noConversion"/>
  </si>
  <si>
    <r>
      <rPr>
        <sz val="10"/>
        <color theme="1"/>
        <rFont val="맑은 고딕"/>
        <family val="3"/>
        <charset val="129"/>
      </rPr>
      <t>시간외수당</t>
    </r>
    <phoneticPr fontId="5" type="noConversion"/>
  </si>
  <si>
    <r>
      <rPr>
        <sz val="10"/>
        <color theme="1"/>
        <rFont val="맑은 고딕"/>
        <family val="3"/>
        <charset val="129"/>
      </rPr>
      <t>성과급</t>
    </r>
    <phoneticPr fontId="5" type="noConversion"/>
  </si>
  <si>
    <r>
      <rPr>
        <sz val="10"/>
        <color theme="1"/>
        <rFont val="맑은 고딕"/>
        <family val="3"/>
        <charset val="129"/>
      </rPr>
      <t>격려금</t>
    </r>
    <phoneticPr fontId="5" type="noConversion"/>
  </si>
  <si>
    <r>
      <rPr>
        <sz val="10"/>
        <color theme="1"/>
        <rFont val="맑은 고딕"/>
        <family val="3"/>
        <charset val="129"/>
      </rPr>
      <t>기본</t>
    </r>
    <r>
      <rPr>
        <sz val="10"/>
        <color theme="1"/>
        <rFont val="Arial"/>
        <family val="2"/>
      </rPr>
      <t>-</t>
    </r>
    <r>
      <rPr>
        <sz val="10"/>
        <color theme="1"/>
        <rFont val="맑은 고딕"/>
        <family val="3"/>
        <charset val="129"/>
      </rPr>
      <t>자격면허</t>
    </r>
    <phoneticPr fontId="5" type="noConversion"/>
  </si>
  <si>
    <r>
      <rPr>
        <sz val="10"/>
        <color theme="1"/>
        <rFont val="맑은 고딕"/>
        <family val="3"/>
        <charset val="129"/>
      </rPr>
      <t>영유아보육수당</t>
    </r>
    <phoneticPr fontId="5" type="noConversion"/>
  </si>
  <si>
    <r>
      <rPr>
        <sz val="10"/>
        <color theme="1"/>
        <rFont val="맑은 고딕"/>
        <family val="3"/>
        <charset val="129"/>
      </rPr>
      <t>본사중식대</t>
    </r>
    <phoneticPr fontId="5" type="noConversion"/>
  </si>
  <si>
    <r>
      <rPr>
        <sz val="10"/>
        <color theme="1"/>
        <rFont val="맑은 고딕"/>
        <family val="3"/>
        <charset val="129"/>
      </rPr>
      <t>선물지급금</t>
    </r>
    <phoneticPr fontId="5" type="noConversion"/>
  </si>
  <si>
    <r>
      <rPr>
        <sz val="10"/>
        <color theme="1"/>
        <rFont val="맑은 고딕"/>
        <family val="3"/>
        <charset val="129"/>
      </rPr>
      <t>하계휴가비</t>
    </r>
    <phoneticPr fontId="5" type="noConversion"/>
  </si>
  <si>
    <r>
      <rPr>
        <sz val="10"/>
        <color theme="1"/>
        <rFont val="맑은 고딕"/>
        <family val="3"/>
        <charset val="129"/>
      </rPr>
      <t>교통비</t>
    </r>
    <phoneticPr fontId="5" type="noConversion"/>
  </si>
  <si>
    <r>
      <rPr>
        <sz val="10"/>
        <color theme="1"/>
        <rFont val="맑은 고딕"/>
        <family val="3"/>
        <charset val="129"/>
      </rPr>
      <t>공조금</t>
    </r>
    <r>
      <rPr>
        <sz val="10"/>
        <color theme="1"/>
        <rFont val="Arial"/>
        <family val="2"/>
      </rPr>
      <t>(</t>
    </r>
    <r>
      <rPr>
        <sz val="10"/>
        <color theme="1"/>
        <rFont val="맑은 고딕"/>
        <family val="3"/>
        <charset val="129"/>
      </rPr>
      <t>회사</t>
    </r>
    <r>
      <rPr>
        <sz val="10"/>
        <color theme="1"/>
        <rFont val="Arial"/>
        <family val="2"/>
      </rPr>
      <t>)</t>
    </r>
    <phoneticPr fontId="5" type="noConversion"/>
  </si>
  <si>
    <r>
      <rPr>
        <sz val="10"/>
        <color theme="1"/>
        <rFont val="맑은 고딕"/>
        <family val="3"/>
        <charset val="129"/>
      </rPr>
      <t>공조금</t>
    </r>
    <r>
      <rPr>
        <sz val="10"/>
        <color theme="1"/>
        <rFont val="Arial"/>
        <family val="2"/>
      </rPr>
      <t>(</t>
    </r>
    <r>
      <rPr>
        <sz val="10"/>
        <color theme="1"/>
        <rFont val="맑은 고딕"/>
        <family val="3"/>
        <charset val="129"/>
      </rPr>
      <t>공조회</t>
    </r>
    <r>
      <rPr>
        <sz val="10"/>
        <color theme="1"/>
        <rFont val="Arial"/>
        <family val="2"/>
      </rPr>
      <t>)</t>
    </r>
    <phoneticPr fontId="5" type="noConversion"/>
  </si>
  <si>
    <r>
      <rPr>
        <sz val="10"/>
        <color theme="1"/>
        <rFont val="맑은 고딕"/>
        <family val="3"/>
        <charset val="129"/>
      </rPr>
      <t>교육비</t>
    </r>
    <phoneticPr fontId="5" type="noConversion"/>
  </si>
  <si>
    <r>
      <rPr>
        <sz val="10"/>
        <color theme="1"/>
        <rFont val="맑은 고딕"/>
        <family val="3"/>
        <charset val="129"/>
      </rPr>
      <t>포상금</t>
    </r>
    <phoneticPr fontId="5" type="noConversion"/>
  </si>
  <si>
    <r>
      <rPr>
        <sz val="10"/>
        <color theme="1"/>
        <rFont val="맑은 고딕"/>
        <family val="3"/>
        <charset val="129"/>
      </rPr>
      <t>급여소급</t>
    </r>
    <phoneticPr fontId="5" type="noConversion"/>
  </si>
  <si>
    <r>
      <rPr>
        <sz val="10"/>
        <color theme="1"/>
        <rFont val="맑은 고딕"/>
        <family val="3"/>
        <charset val="129"/>
      </rPr>
      <t>공제총액</t>
    </r>
    <phoneticPr fontId="5" type="noConversion"/>
  </si>
  <si>
    <r>
      <rPr>
        <sz val="10"/>
        <color theme="1"/>
        <rFont val="맑은 고딕"/>
        <family val="3"/>
        <charset val="129"/>
      </rPr>
      <t>연말정산세액</t>
    </r>
    <phoneticPr fontId="5" type="noConversion"/>
  </si>
  <si>
    <r>
      <rPr>
        <sz val="10"/>
        <color theme="1"/>
        <rFont val="맑은 고딕"/>
        <family val="3"/>
        <charset val="129"/>
      </rPr>
      <t>갑근세</t>
    </r>
    <phoneticPr fontId="5" type="noConversion"/>
  </si>
  <si>
    <r>
      <rPr>
        <sz val="10"/>
        <color theme="1"/>
        <rFont val="맑은 고딕"/>
        <family val="3"/>
        <charset val="129"/>
      </rPr>
      <t>주민세</t>
    </r>
    <phoneticPr fontId="5" type="noConversion"/>
  </si>
  <si>
    <r>
      <rPr>
        <sz val="10"/>
        <color theme="1"/>
        <rFont val="맑은 고딕"/>
        <family val="3"/>
        <charset val="129"/>
      </rPr>
      <t>건강보험료</t>
    </r>
    <phoneticPr fontId="5" type="noConversion"/>
  </si>
  <si>
    <r>
      <rPr>
        <sz val="10"/>
        <color theme="1"/>
        <rFont val="맑은 고딕"/>
        <family val="3"/>
        <charset val="129"/>
      </rPr>
      <t>국민연금</t>
    </r>
    <phoneticPr fontId="5" type="noConversion"/>
  </si>
  <si>
    <r>
      <rPr>
        <sz val="10"/>
        <color theme="1"/>
        <rFont val="맑은 고딕"/>
        <family val="3"/>
        <charset val="129"/>
      </rPr>
      <t>고용보험료</t>
    </r>
    <phoneticPr fontId="5" type="noConversion"/>
  </si>
  <si>
    <r>
      <rPr>
        <sz val="10"/>
        <color theme="1"/>
        <rFont val="맑은 고딕"/>
        <family val="3"/>
        <charset val="129"/>
      </rPr>
      <t>공조회비</t>
    </r>
    <phoneticPr fontId="5" type="noConversion"/>
  </si>
  <si>
    <r>
      <rPr>
        <sz val="10"/>
        <color theme="1"/>
        <rFont val="맑은 고딕"/>
        <family val="3"/>
        <charset val="129"/>
      </rPr>
      <t>선물지급금공제</t>
    </r>
    <phoneticPr fontId="5" type="noConversion"/>
  </si>
  <si>
    <r>
      <rPr>
        <sz val="10"/>
        <color theme="1"/>
        <rFont val="맑은 고딕"/>
        <family val="3"/>
        <charset val="129"/>
      </rPr>
      <t>식당중식대공제</t>
    </r>
    <phoneticPr fontId="5" type="noConversion"/>
  </si>
  <si>
    <r>
      <rPr>
        <sz val="10"/>
        <color theme="1"/>
        <rFont val="맑은 고딕"/>
        <family val="3"/>
        <charset val="129"/>
      </rPr>
      <t>건강보험정산</t>
    </r>
    <r>
      <rPr>
        <sz val="10"/>
        <color theme="1"/>
        <rFont val="Arial"/>
        <family val="2"/>
      </rPr>
      <t>(</t>
    </r>
    <r>
      <rPr>
        <sz val="10"/>
        <color theme="1"/>
        <rFont val="맑은 고딕"/>
        <family val="3"/>
        <charset val="129"/>
      </rPr>
      <t>연말</t>
    </r>
    <r>
      <rPr>
        <sz val="10"/>
        <color theme="1"/>
        <rFont val="Arial"/>
        <family val="2"/>
      </rPr>
      <t>)</t>
    </r>
    <phoneticPr fontId="5" type="noConversion"/>
  </si>
  <si>
    <r>
      <rPr>
        <sz val="10"/>
        <color theme="1"/>
        <rFont val="맑은 고딕"/>
        <family val="3"/>
        <charset val="129"/>
      </rPr>
      <t>신원보증보험료</t>
    </r>
    <phoneticPr fontId="5" type="noConversion"/>
  </si>
  <si>
    <r>
      <rPr>
        <sz val="10"/>
        <color theme="1"/>
        <rFont val="맑은 고딕"/>
        <family val="3"/>
        <charset val="129"/>
      </rPr>
      <t>성금</t>
    </r>
    <phoneticPr fontId="5" type="noConversion"/>
  </si>
  <si>
    <r>
      <rPr>
        <sz val="10"/>
        <color theme="1"/>
        <rFont val="맑은 고딕"/>
        <family val="3"/>
        <charset val="129"/>
      </rPr>
      <t>급여</t>
    </r>
    <phoneticPr fontId="5" type="noConversion"/>
  </si>
  <si>
    <r>
      <rPr>
        <sz val="10"/>
        <color theme="1"/>
        <rFont val="맑은 고딕"/>
        <family val="3"/>
        <charset val="129"/>
      </rPr>
      <t>급여</t>
    </r>
    <phoneticPr fontId="5" type="noConversion"/>
  </si>
  <si>
    <r>
      <rPr>
        <sz val="10"/>
        <color theme="1"/>
        <rFont val="맑은 고딕"/>
        <family val="3"/>
        <charset val="129"/>
      </rPr>
      <t>급여</t>
    </r>
  </si>
  <si>
    <t>기타공제</t>
    <phoneticPr fontId="5" type="noConversion"/>
  </si>
  <si>
    <t>연차수당</t>
    <phoneticPr fontId="5" type="noConversion"/>
  </si>
  <si>
    <t>고용보험추가공제</t>
    <phoneticPr fontId="5" type="noConversion"/>
  </si>
  <si>
    <t>GRAND TOTAL</t>
    <phoneticPr fontId="5" type="noConversion"/>
  </si>
  <si>
    <t>2020 TOTAL</t>
    <phoneticPr fontId="5" type="noConversion"/>
  </si>
  <si>
    <t>2016 TOTAL</t>
    <phoneticPr fontId="5" type="noConversion"/>
  </si>
  <si>
    <t>2015 TOTAL</t>
    <phoneticPr fontId="5" type="noConversion"/>
  </si>
  <si>
    <t>교육비공제</t>
    <phoneticPr fontId="5" type="noConversion"/>
  </si>
  <si>
    <t>기타가감</t>
    <phoneticPr fontId="5" type="noConversion"/>
  </si>
  <si>
    <t>2021 TOTAL</t>
    <phoneticPr fontId="5" type="noConversion"/>
  </si>
  <si>
    <t>Total</t>
    <phoneticPr fontId="5" type="noConversion"/>
  </si>
  <si>
    <t>개인연금수당</t>
    <phoneticPr fontId="5" type="noConversion"/>
  </si>
  <si>
    <t>저축계</t>
    <phoneticPr fontId="5" type="noConversion"/>
  </si>
  <si>
    <t>X</t>
    <phoneticPr fontId="5" type="noConversion"/>
  </si>
  <si>
    <t>Wedge</t>
    <phoneticPr fontId="5" type="noConversion"/>
  </si>
  <si>
    <t>Club</t>
    <phoneticPr fontId="5" type="noConversion"/>
  </si>
  <si>
    <t>No.</t>
    <phoneticPr fontId="5" type="noConversion"/>
  </si>
  <si>
    <t>Release Year</t>
    <phoneticPr fontId="5" type="noConversion"/>
  </si>
  <si>
    <t>Head</t>
    <phoneticPr fontId="5" type="noConversion"/>
  </si>
  <si>
    <t>Loft</t>
    <phoneticPr fontId="5" type="noConversion"/>
  </si>
  <si>
    <t>Lie</t>
    <phoneticPr fontId="5" type="noConversion"/>
  </si>
  <si>
    <t>Bounce</t>
    <phoneticPr fontId="5" type="noConversion"/>
  </si>
  <si>
    <t>Groove</t>
    <phoneticPr fontId="5" type="noConversion"/>
  </si>
  <si>
    <t>Shaft</t>
    <phoneticPr fontId="5" type="noConversion"/>
  </si>
  <si>
    <t>Model</t>
    <phoneticPr fontId="5" type="noConversion"/>
  </si>
  <si>
    <t>Stiffness</t>
    <phoneticPr fontId="5" type="noConversion"/>
  </si>
  <si>
    <t>Weight</t>
    <phoneticPr fontId="5" type="noConversion"/>
  </si>
  <si>
    <t>Balance</t>
    <phoneticPr fontId="5" type="noConversion"/>
  </si>
  <si>
    <t>Torque</t>
    <phoneticPr fontId="5" type="noConversion"/>
  </si>
  <si>
    <t>Maker</t>
    <phoneticPr fontId="5" type="noConversion"/>
  </si>
  <si>
    <t>Model</t>
    <phoneticPr fontId="5" type="noConversion"/>
  </si>
  <si>
    <t>Club Length</t>
    <phoneticPr fontId="5" type="noConversion"/>
  </si>
  <si>
    <t>Driver</t>
    <phoneticPr fontId="5" type="noConversion"/>
  </si>
  <si>
    <t>Fairway Wood</t>
    <phoneticPr fontId="5" type="noConversion"/>
  </si>
  <si>
    <t>Hybrid</t>
    <phoneticPr fontId="5" type="noConversion"/>
  </si>
  <si>
    <t>Driving Iron</t>
    <phoneticPr fontId="5" type="noConversion"/>
  </si>
  <si>
    <t>Iron</t>
    <phoneticPr fontId="5" type="noConversion"/>
  </si>
  <si>
    <t>#4</t>
    <phoneticPr fontId="5" type="noConversion"/>
  </si>
  <si>
    <t>#5</t>
  </si>
  <si>
    <t>#6</t>
  </si>
  <si>
    <t>#7</t>
  </si>
  <si>
    <t>#8</t>
  </si>
  <si>
    <t>#9</t>
  </si>
  <si>
    <t>S</t>
    <phoneticPr fontId="5" type="noConversion"/>
  </si>
  <si>
    <t>Putter</t>
    <phoneticPr fontId="5" type="noConversion"/>
  </si>
  <si>
    <t>#3</t>
    <phoneticPr fontId="5" type="noConversion"/>
  </si>
  <si>
    <t>#5</t>
    <phoneticPr fontId="5" type="noConversion"/>
  </si>
  <si>
    <t>Callaway</t>
    <phoneticPr fontId="5" type="noConversion"/>
  </si>
  <si>
    <t>Jaws Forged</t>
    <phoneticPr fontId="5" type="noConversion"/>
  </si>
  <si>
    <t>P790</t>
    <phoneticPr fontId="5" type="noConversion"/>
  </si>
  <si>
    <t>Bettinardi</t>
    <phoneticPr fontId="5" type="noConversion"/>
  </si>
  <si>
    <t>BB1</t>
    <phoneticPr fontId="5" type="noConversion"/>
  </si>
  <si>
    <t>Mid</t>
    <phoneticPr fontId="5" type="noConversion"/>
  </si>
  <si>
    <t>20V</t>
    <phoneticPr fontId="5" type="noConversion"/>
  </si>
  <si>
    <t>37V</t>
    <phoneticPr fontId="5" type="noConversion"/>
  </si>
  <si>
    <t>DYNAMIC GOLD</t>
    <phoneticPr fontId="5" type="noConversion"/>
  </si>
  <si>
    <t>S200</t>
    <phoneticPr fontId="5" type="noConversion"/>
  </si>
  <si>
    <t>D2</t>
    <phoneticPr fontId="5" type="noConversion"/>
  </si>
  <si>
    <t>D3</t>
    <phoneticPr fontId="5" type="noConversion"/>
  </si>
  <si>
    <t>D4</t>
    <phoneticPr fontId="5" type="noConversion"/>
  </si>
  <si>
    <t>Toe Hang</t>
    <phoneticPr fontId="5" type="noConversion"/>
  </si>
  <si>
    <t>1/2</t>
    <phoneticPr fontId="5" type="noConversion"/>
  </si>
  <si>
    <t>Titleist</t>
    <phoneticPr fontId="5" type="noConversion"/>
  </si>
  <si>
    <t>TOUR AD HYB BLACK 75</t>
    <phoneticPr fontId="5" type="noConversion"/>
  </si>
  <si>
    <t>NS PRO MODUS 3 105</t>
    <phoneticPr fontId="5" type="noConversion"/>
  </si>
  <si>
    <t>Launch</t>
    <phoneticPr fontId="5" type="noConversion"/>
  </si>
  <si>
    <t>Low</t>
    <phoneticPr fontId="5" type="noConversion"/>
  </si>
  <si>
    <t>TENSEI AV RAW BLUE 65</t>
    <phoneticPr fontId="5" type="noConversion"/>
  </si>
  <si>
    <t>2022 TOTAL</t>
    <phoneticPr fontId="5" type="noConversion"/>
  </si>
  <si>
    <t>2019 TOTAL</t>
    <phoneticPr fontId="5" type="noConversion"/>
  </si>
  <si>
    <t>2018 TOTAL</t>
    <phoneticPr fontId="5" type="noConversion"/>
  </si>
  <si>
    <t>2017 TOTAL</t>
    <phoneticPr fontId="5" type="noConversion"/>
  </si>
  <si>
    <t>2014 TOTAL</t>
    <phoneticPr fontId="5" type="noConversion"/>
  </si>
  <si>
    <t>TSi2 Fairway</t>
    <phoneticPr fontId="5" type="noConversion"/>
  </si>
  <si>
    <t>TSi2 Hybrid</t>
    <phoneticPr fontId="5" type="noConversion"/>
  </si>
  <si>
    <t>Date</t>
    <phoneticPr fontId="5" type="noConversion"/>
  </si>
  <si>
    <t>S/N</t>
    <phoneticPr fontId="5" type="noConversion"/>
  </si>
  <si>
    <t>Club</t>
    <phoneticPr fontId="5" type="noConversion"/>
  </si>
  <si>
    <t>Member</t>
    <phoneticPr fontId="5" type="noConversion"/>
  </si>
  <si>
    <t>Course</t>
    <phoneticPr fontId="5" type="noConversion"/>
  </si>
  <si>
    <t>Par</t>
    <phoneticPr fontId="5" type="noConversion"/>
  </si>
  <si>
    <t>Fairway</t>
    <phoneticPr fontId="5" type="noConversion"/>
  </si>
  <si>
    <t>Putt</t>
    <phoneticPr fontId="5" type="noConversion"/>
  </si>
  <si>
    <t>Hole</t>
    <phoneticPr fontId="5" type="noConversion"/>
  </si>
  <si>
    <t>Tee Time</t>
    <phoneticPr fontId="5" type="noConversion"/>
  </si>
  <si>
    <t>N/A</t>
    <phoneticPr fontId="5" type="noConversion"/>
  </si>
  <si>
    <t>Score</t>
    <phoneticPr fontId="5" type="noConversion"/>
  </si>
  <si>
    <t>-</t>
    <phoneticPr fontId="5" type="noConversion"/>
  </si>
  <si>
    <t>GIR</t>
    <phoneticPr fontId="5" type="noConversion"/>
  </si>
  <si>
    <t>VENTUS BLUE 5S</t>
    <phoneticPr fontId="5" type="noConversion"/>
  </si>
  <si>
    <t>VENTUS BLUE 6S</t>
    <phoneticPr fontId="5" type="noConversion"/>
  </si>
  <si>
    <t>사우스스프링스</t>
    <phoneticPr fontId="5" type="noConversion"/>
  </si>
  <si>
    <t>Studio Stock 17</t>
    <phoneticPr fontId="5" type="noConversion"/>
  </si>
  <si>
    <t>남여주</t>
    <phoneticPr fontId="5" type="noConversion"/>
  </si>
  <si>
    <t>베어즈베스트청라</t>
    <phoneticPr fontId="5" type="noConversion"/>
  </si>
  <si>
    <t>아리지</t>
    <phoneticPr fontId="5" type="noConversion"/>
  </si>
  <si>
    <t>비고</t>
    <phoneticPr fontId="5" type="noConversion"/>
  </si>
  <si>
    <t>구분</t>
    <phoneticPr fontId="5" type="noConversion"/>
  </si>
  <si>
    <t>안성</t>
    <phoneticPr fontId="5" type="noConversion"/>
  </si>
  <si>
    <t>소피아그린</t>
    <phoneticPr fontId="5" type="noConversion"/>
  </si>
  <si>
    <t>푸른솔포천</t>
    <phoneticPr fontId="5" type="noConversion"/>
  </si>
  <si>
    <t>금강</t>
    <phoneticPr fontId="5" type="noConversion"/>
  </si>
  <si>
    <t>실크밸리</t>
    <phoneticPr fontId="5" type="noConversion"/>
  </si>
  <si>
    <t>Distance</t>
    <phoneticPr fontId="5" type="noConversion"/>
  </si>
  <si>
    <t>USA - AUS</t>
    <phoneticPr fontId="5" type="noConversion"/>
  </si>
  <si>
    <t>Srixon</t>
    <phoneticPr fontId="5" type="noConversion"/>
  </si>
  <si>
    <t>ZX7</t>
    <phoneticPr fontId="5" type="noConversion"/>
  </si>
  <si>
    <t>TaylorMade</t>
    <phoneticPr fontId="5" type="noConversion"/>
  </si>
  <si>
    <t>Size</t>
    <phoneticPr fontId="5" type="noConversion"/>
  </si>
  <si>
    <t>윤희수</t>
    <phoneticPr fontId="5" type="noConversion"/>
  </si>
  <si>
    <t>Grip</t>
    <phoneticPr fontId="5" type="noConversion"/>
  </si>
  <si>
    <t>Golf Pride</t>
    <phoneticPr fontId="5" type="noConversion"/>
  </si>
  <si>
    <t>Iomic</t>
    <phoneticPr fontId="5" type="noConversion"/>
  </si>
  <si>
    <t>STICKY OPUS BLACK</t>
    <phoneticPr fontId="5" type="noConversion"/>
  </si>
  <si>
    <t>TOUR VELVET</t>
    <phoneticPr fontId="5" type="noConversion"/>
  </si>
  <si>
    <t>TOUR VELVET 360</t>
    <phoneticPr fontId="5" type="noConversion"/>
  </si>
  <si>
    <t>도정호</t>
    <phoneticPr fontId="5" type="noConversion"/>
  </si>
  <si>
    <t>Challenge - Victory</t>
    <phoneticPr fontId="5" type="noConversion"/>
  </si>
  <si>
    <t>남춘천</t>
    <phoneticPr fontId="5" type="noConversion"/>
  </si>
  <si>
    <t>2023 TOTAL</t>
    <phoneticPr fontId="5" type="noConversion"/>
  </si>
  <si>
    <t>2024 TOTAL</t>
    <phoneticPr fontId="5" type="noConversion"/>
  </si>
  <si>
    <t>포천힐마루</t>
    <phoneticPr fontId="5" type="noConversion"/>
  </si>
  <si>
    <r>
      <rPr>
        <sz val="10"/>
        <color theme="1"/>
        <rFont val="맑은 고딕"/>
        <family val="3"/>
        <charset val="129"/>
      </rPr>
      <t>탁송료</t>
    </r>
    <phoneticPr fontId="5" type="noConversion"/>
  </si>
  <si>
    <r>
      <rPr>
        <sz val="10"/>
        <color theme="1"/>
        <rFont val="맑은 고딕"/>
        <family val="3"/>
        <charset val="129"/>
      </rPr>
      <t>회사지원금액</t>
    </r>
    <r>
      <rPr>
        <sz val="10"/>
        <color theme="1"/>
        <rFont val="Arial"/>
        <family val="2"/>
      </rPr>
      <t>(-10%)</t>
    </r>
    <phoneticPr fontId="5" type="noConversion"/>
  </si>
  <si>
    <r>
      <rPr>
        <sz val="10"/>
        <color theme="1"/>
        <rFont val="맑은 고딕"/>
        <family val="3"/>
        <charset val="129"/>
      </rPr>
      <t>계열사할인</t>
    </r>
    <r>
      <rPr>
        <sz val="10"/>
        <color theme="1"/>
        <rFont val="Arial"/>
        <family val="2"/>
      </rPr>
      <t>(-5%)</t>
    </r>
    <phoneticPr fontId="5" type="noConversion"/>
  </si>
  <si>
    <r>
      <rPr>
        <sz val="10"/>
        <color theme="1"/>
        <rFont val="맑은 고딕"/>
        <family val="3"/>
        <charset val="129"/>
      </rPr>
      <t>차량가격</t>
    </r>
    <phoneticPr fontId="5" type="noConversion"/>
  </si>
  <si>
    <r>
      <rPr>
        <sz val="10"/>
        <color theme="1"/>
        <rFont val="맑은 고딕"/>
        <family val="3"/>
        <charset val="129"/>
      </rPr>
      <t>포인트</t>
    </r>
    <phoneticPr fontId="5" type="noConversion"/>
  </si>
  <si>
    <r>
      <rPr>
        <sz val="10"/>
        <color theme="1"/>
        <rFont val="맑은 고딕"/>
        <family val="3"/>
        <charset val="129"/>
      </rPr>
      <t>세금증감</t>
    </r>
    <phoneticPr fontId="5" type="noConversion"/>
  </si>
  <si>
    <r>
      <rPr>
        <sz val="10"/>
        <color theme="1"/>
        <rFont val="맑은 고딕"/>
        <family val="3"/>
        <charset val="129"/>
      </rPr>
      <t>의무보험료</t>
    </r>
    <phoneticPr fontId="5" type="noConversion"/>
  </si>
  <si>
    <r>
      <rPr>
        <sz val="10"/>
        <color theme="1"/>
        <rFont val="맑은 고딕"/>
        <family val="3"/>
        <charset val="129"/>
      </rPr>
      <t>취득세</t>
    </r>
    <phoneticPr fontId="5" type="noConversion"/>
  </si>
  <si>
    <r>
      <rPr>
        <sz val="10"/>
        <color theme="1"/>
        <rFont val="맑은 고딕"/>
        <family val="3"/>
        <charset val="129"/>
      </rPr>
      <t>차량번호판</t>
    </r>
    <phoneticPr fontId="5" type="noConversion"/>
  </si>
  <si>
    <r>
      <rPr>
        <sz val="10"/>
        <color theme="1"/>
        <rFont val="맑은 고딕"/>
        <family val="3"/>
        <charset val="129"/>
      </rPr>
      <t>등록대행수수료</t>
    </r>
    <phoneticPr fontId="5" type="noConversion"/>
  </si>
  <si>
    <r>
      <rPr>
        <sz val="10"/>
        <color theme="1"/>
        <rFont val="맑은 고딕"/>
        <family val="3"/>
        <charset val="129"/>
      </rPr>
      <t>분류</t>
    </r>
    <phoneticPr fontId="5" type="noConversion"/>
  </si>
  <si>
    <r>
      <t xml:space="preserve">(1) </t>
    </r>
    <r>
      <rPr>
        <sz val="10"/>
        <color theme="1"/>
        <rFont val="맑은 고딕"/>
        <family val="3"/>
        <charset val="129"/>
      </rPr>
      <t>가격</t>
    </r>
    <phoneticPr fontId="5" type="noConversion"/>
  </si>
  <si>
    <r>
      <t xml:space="preserve">(2) </t>
    </r>
    <r>
      <rPr>
        <sz val="10"/>
        <color theme="1"/>
        <rFont val="맑은 고딕"/>
        <family val="3"/>
        <charset val="129"/>
      </rPr>
      <t>출고</t>
    </r>
    <phoneticPr fontId="5" type="noConversion"/>
  </si>
  <si>
    <r>
      <t xml:space="preserve">(3) </t>
    </r>
    <r>
      <rPr>
        <sz val="10"/>
        <color theme="1"/>
        <rFont val="맑은 고딕"/>
        <family val="3"/>
        <charset val="129"/>
      </rPr>
      <t>등록</t>
    </r>
    <phoneticPr fontId="5" type="noConversion"/>
  </si>
  <si>
    <r>
      <rPr>
        <sz val="10"/>
        <color theme="1"/>
        <rFont val="맑은 고딕"/>
        <family val="3"/>
        <charset val="129"/>
      </rPr>
      <t>최종구입가격</t>
    </r>
    <phoneticPr fontId="5" type="noConversion"/>
  </si>
  <si>
    <r>
      <rPr>
        <sz val="10"/>
        <color theme="1"/>
        <rFont val="맑은 고딕"/>
        <family val="3"/>
        <charset val="129"/>
      </rPr>
      <t>캘리그래피</t>
    </r>
    <r>
      <rPr>
        <sz val="10"/>
        <color theme="1"/>
        <rFont val="Arial"/>
        <family val="2"/>
      </rPr>
      <t xml:space="preserve"> (</t>
    </r>
    <r>
      <rPr>
        <sz val="10"/>
        <color theme="1"/>
        <rFont val="맑은 고딕"/>
        <family val="3"/>
        <charset val="129"/>
      </rPr>
      <t>옵션</t>
    </r>
    <r>
      <rPr>
        <sz val="10"/>
        <color theme="1"/>
        <rFont val="Arial"/>
        <family val="2"/>
      </rPr>
      <t xml:space="preserve">: </t>
    </r>
    <r>
      <rPr>
        <sz val="10"/>
        <color theme="1"/>
        <rFont val="맑은 고딕"/>
        <family val="3"/>
        <charset val="129"/>
      </rPr>
      <t>하이테크</t>
    </r>
    <r>
      <rPr>
        <sz val="10"/>
        <color theme="1"/>
        <rFont val="Arial"/>
        <family val="2"/>
      </rPr>
      <t>)</t>
    </r>
    <phoneticPr fontId="5" type="noConversion"/>
  </si>
  <si>
    <r>
      <rPr>
        <sz val="10"/>
        <color theme="1"/>
        <rFont val="맑은 고딕"/>
        <family val="3"/>
        <charset val="129"/>
      </rPr>
      <t>기본</t>
    </r>
    <r>
      <rPr>
        <sz val="10"/>
        <color theme="1"/>
        <rFont val="Arial"/>
        <family val="2"/>
      </rPr>
      <t xml:space="preserve"> (</t>
    </r>
    <r>
      <rPr>
        <sz val="10"/>
        <color theme="1"/>
        <rFont val="맑은 고딕"/>
        <family val="3"/>
        <charset val="129"/>
      </rPr>
      <t>개소세</t>
    </r>
    <r>
      <rPr>
        <sz val="10"/>
        <color theme="1"/>
        <rFont val="Arial"/>
        <family val="2"/>
      </rPr>
      <t xml:space="preserve"> 5.0%)</t>
    </r>
    <phoneticPr fontId="5" type="noConversion"/>
  </si>
  <si>
    <r>
      <rPr>
        <sz val="10"/>
        <color theme="1"/>
        <rFont val="맑은 고딕"/>
        <family val="3"/>
        <charset val="129"/>
      </rPr>
      <t>기본</t>
    </r>
    <r>
      <rPr>
        <sz val="10"/>
        <color theme="1"/>
        <rFont val="Arial"/>
        <family val="2"/>
      </rPr>
      <t xml:space="preserve"> (</t>
    </r>
    <r>
      <rPr>
        <sz val="10"/>
        <color theme="1"/>
        <rFont val="맑은 고딕"/>
        <family val="3"/>
        <charset val="129"/>
      </rPr>
      <t>개소세</t>
    </r>
    <r>
      <rPr>
        <sz val="10"/>
        <color theme="1"/>
        <rFont val="Arial"/>
        <family val="2"/>
      </rPr>
      <t xml:space="preserve"> 3.5%)</t>
    </r>
    <phoneticPr fontId="5" type="noConversion"/>
  </si>
  <si>
    <r>
      <rPr>
        <sz val="10"/>
        <color theme="1"/>
        <rFont val="맑은 고딕"/>
        <family val="3"/>
        <charset val="129"/>
      </rPr>
      <t>총</t>
    </r>
    <r>
      <rPr>
        <sz val="10"/>
        <color theme="1"/>
        <rFont val="Arial"/>
        <family val="2"/>
      </rPr>
      <t xml:space="preserve"> </t>
    </r>
    <r>
      <rPr>
        <sz val="10"/>
        <color theme="1"/>
        <rFont val="맑은 고딕"/>
        <family val="3"/>
        <charset val="129"/>
      </rPr>
      <t>판매금액</t>
    </r>
    <phoneticPr fontId="5" type="noConversion"/>
  </si>
  <si>
    <r>
      <rPr>
        <sz val="10"/>
        <color theme="1"/>
        <rFont val="맑은 고딕"/>
        <family val="3"/>
        <charset val="129"/>
      </rPr>
      <t>공채</t>
    </r>
    <r>
      <rPr>
        <sz val="10"/>
        <color theme="1"/>
        <rFont val="Arial"/>
        <family val="2"/>
      </rPr>
      <t>(</t>
    </r>
    <r>
      <rPr>
        <sz val="10"/>
        <color theme="1"/>
        <rFont val="맑은 고딕"/>
        <family val="3"/>
        <charset val="129"/>
      </rPr>
      <t>할인</t>
    </r>
    <r>
      <rPr>
        <sz val="10"/>
        <color theme="1"/>
        <rFont val="Arial"/>
        <family val="2"/>
      </rPr>
      <t>)</t>
    </r>
    <phoneticPr fontId="5" type="noConversion"/>
  </si>
  <si>
    <r>
      <rPr>
        <sz val="10"/>
        <color theme="1"/>
        <rFont val="맑은 고딕"/>
        <family val="3"/>
        <charset val="129"/>
      </rPr>
      <t>증지대</t>
    </r>
    <r>
      <rPr>
        <sz val="10"/>
        <color theme="1"/>
        <rFont val="Arial"/>
        <family val="2"/>
      </rPr>
      <t>(</t>
    </r>
    <r>
      <rPr>
        <sz val="10"/>
        <color theme="1"/>
        <rFont val="맑은 고딕"/>
        <family val="3"/>
        <charset val="129"/>
      </rPr>
      <t>수입인지</t>
    </r>
    <r>
      <rPr>
        <sz val="10"/>
        <color theme="1"/>
        <rFont val="Arial"/>
        <family val="2"/>
      </rPr>
      <t>)</t>
    </r>
    <phoneticPr fontId="5" type="noConversion"/>
  </si>
  <si>
    <t>친환경차감면</t>
    <phoneticPr fontId="5" type="noConversion"/>
  </si>
  <si>
    <t>2025 TOTAL</t>
    <phoneticPr fontId="5" type="noConversion"/>
  </si>
  <si>
    <t>안재현</t>
    <phoneticPr fontId="5" type="noConversion"/>
  </si>
  <si>
    <t>건강검진비</t>
    <phoneticPr fontId="5" type="noConversion"/>
  </si>
  <si>
    <r>
      <rPr>
        <sz val="10"/>
        <color theme="1"/>
        <rFont val="맑은 고딕"/>
        <family val="3"/>
        <charset val="129"/>
      </rPr>
      <t>잔금</t>
    </r>
    <r>
      <rPr>
        <sz val="10"/>
        <color theme="1"/>
        <rFont val="Arial"/>
        <family val="2"/>
      </rPr>
      <t xml:space="preserve"> </t>
    </r>
    <r>
      <rPr>
        <sz val="10"/>
        <color theme="1"/>
        <rFont val="맑은 고딕"/>
        <family val="3"/>
        <charset val="129"/>
      </rPr>
      <t>합계</t>
    </r>
    <phoneticPr fontId="5" type="noConversion"/>
  </si>
  <si>
    <t>계약금</t>
    <phoneticPr fontId="5" type="noConversion"/>
  </si>
  <si>
    <t>인도금</t>
    <phoneticPr fontId="5" type="noConversion"/>
  </si>
  <si>
    <t>신한(통장)-마이너스</t>
    <phoneticPr fontId="5" type="noConversion"/>
  </si>
  <si>
    <t>신한(통장)-마이너스 (현대카드)</t>
    <phoneticPr fontId="5" type="noConversion"/>
  </si>
  <si>
    <t>의무보험료</t>
    <phoneticPr fontId="5" type="noConversion"/>
  </si>
  <si>
    <t>등록비용</t>
    <phoneticPr fontId="5" type="noConversion"/>
  </si>
  <si>
    <t>신한(통장)-급여</t>
    <phoneticPr fontId="5" type="noConversion"/>
  </si>
  <si>
    <t>신한(통장)-마이너스 (현대캐피탈)</t>
    <phoneticPr fontId="5" type="noConversion"/>
  </si>
  <si>
    <t>신차할부</t>
    <phoneticPr fontId="5" type="noConversion"/>
  </si>
  <si>
    <t>대금 합계</t>
    <phoneticPr fontId="5" type="noConversion"/>
  </si>
  <si>
    <r>
      <t>납입</t>
    </r>
    <r>
      <rPr>
        <sz val="10"/>
        <color theme="1"/>
        <rFont val="Arial"/>
        <family val="2"/>
      </rPr>
      <t xml:space="preserve"> </t>
    </r>
    <r>
      <rPr>
        <sz val="10"/>
        <color theme="1"/>
        <rFont val="맑은 고딕"/>
        <family val="3"/>
        <charset val="129"/>
      </rPr>
      <t>합계</t>
    </r>
    <phoneticPr fontId="5" type="noConversion"/>
  </si>
  <si>
    <t>납입일</t>
    <phoneticPr fontId="5" type="noConversion"/>
  </si>
  <si>
    <t>납입금액</t>
    <phoneticPr fontId="5" type="noConversion"/>
  </si>
  <si>
    <t>납입항목</t>
    <phoneticPr fontId="5" type="noConversion"/>
  </si>
  <si>
    <t>납입수단</t>
    <phoneticPr fontId="5" type="noConversion"/>
  </si>
  <si>
    <t>납입여부</t>
    <phoneticPr fontId="5" type="noConversion"/>
  </si>
  <si>
    <t>신차패키지(카보드)</t>
    <phoneticPr fontId="5" type="noConversion"/>
  </si>
  <si>
    <t>신한(통장)-마이너스 (회사 할인 10%)</t>
    <phoneticPr fontId="5" type="noConversion"/>
  </si>
  <si>
    <r>
      <rPr>
        <sz val="10"/>
        <color theme="1"/>
        <rFont val="맑은 고딕"/>
        <family val="3"/>
        <charset val="129"/>
      </rPr>
      <t>기준일</t>
    </r>
    <r>
      <rPr>
        <sz val="10"/>
        <color theme="1"/>
        <rFont val="Arial"/>
        <family val="2"/>
      </rPr>
      <t xml:space="preserve"> :</t>
    </r>
    <phoneticPr fontId="5" type="noConversion"/>
  </si>
  <si>
    <t>#1</t>
    <phoneticPr fontId="5" type="noConversion"/>
  </si>
  <si>
    <t>TSR3</t>
    <phoneticPr fontId="5" type="noConversion"/>
  </si>
  <si>
    <t>D2</t>
    <phoneticPr fontId="5" type="noConversion"/>
  </si>
  <si>
    <t>D2.5</t>
    <phoneticPr fontId="5" type="noConversion"/>
  </si>
  <si>
    <t>TOUR VELVET</t>
    <phoneticPr fontId="5" type="noConversion"/>
  </si>
  <si>
    <t>SPEEDER NX GREEN 6S</t>
    <phoneticPr fontId="5" type="noConversion"/>
  </si>
  <si>
    <t>S</t>
    <phoneticPr fontId="5" type="noConversion"/>
  </si>
  <si>
    <t>MCC</t>
    <phoneticPr fontId="5" type="noConversion"/>
  </si>
  <si>
    <t>D5.5</t>
    <phoneticPr fontId="5" type="noConversion"/>
  </si>
  <si>
    <t>Hosel</t>
    <phoneticPr fontId="5" type="noConversion"/>
  </si>
  <si>
    <t>강태준</t>
    <phoneticPr fontId="5" type="noConversion"/>
  </si>
  <si>
    <t>Weight
(Shaft+Grip)</t>
    <phoneticPr fontId="5" type="noConversion"/>
  </si>
  <si>
    <t>T100S</t>
    <phoneticPr fontId="5" type="noConversion"/>
  </si>
  <si>
    <t>T100</t>
    <phoneticPr fontId="5" type="noConversion"/>
  </si>
  <si>
    <t>Option 1</t>
    <phoneticPr fontId="5" type="noConversion"/>
  </si>
  <si>
    <t>Option 2</t>
    <phoneticPr fontId="5" type="noConversion"/>
  </si>
  <si>
    <t>SM9</t>
    <phoneticPr fontId="5" type="noConversion"/>
  </si>
  <si>
    <t>46/48</t>
    <phoneticPr fontId="5" type="noConversion"/>
  </si>
  <si>
    <t>50/52</t>
    <phoneticPr fontId="5" type="noConversion"/>
  </si>
  <si>
    <t>L</t>
    <phoneticPr fontId="5" type="noConversion"/>
  </si>
  <si>
    <t>54/56</t>
    <phoneticPr fontId="5" type="noConversion"/>
  </si>
  <si>
    <t>58/60/62</t>
    <phoneticPr fontId="5" type="noConversion"/>
  </si>
  <si>
    <t>8/12</t>
    <phoneticPr fontId="5" type="noConversion"/>
  </si>
  <si>
    <t>10/10</t>
    <phoneticPr fontId="5" type="noConversion"/>
  </si>
  <si>
    <t>8/10/12/14</t>
    <phoneticPr fontId="5" type="noConversion"/>
  </si>
  <si>
    <t>4/8/10/12/14</t>
    <phoneticPr fontId="5" type="noConversion"/>
  </si>
  <si>
    <t>Period of Use</t>
    <phoneticPr fontId="5" type="noConversion"/>
  </si>
  <si>
    <t>Day</t>
    <phoneticPr fontId="5" type="noConversion"/>
  </si>
  <si>
    <t>Start</t>
    <phoneticPr fontId="5" type="noConversion"/>
  </si>
  <si>
    <t>End</t>
    <phoneticPr fontId="5" type="noConversion"/>
  </si>
  <si>
    <t>T200</t>
    <phoneticPr fontId="5" type="noConversion"/>
  </si>
  <si>
    <t>D#4</t>
    <phoneticPr fontId="5" type="noConversion"/>
  </si>
  <si>
    <t>D#3</t>
    <phoneticPr fontId="5" type="noConversion"/>
  </si>
  <si>
    <t>U505</t>
    <phoneticPr fontId="5" type="noConversion"/>
  </si>
  <si>
    <t>HZRDUS SMOKE BLACK RDX HYB 80</t>
    <phoneticPr fontId="5" type="noConversion"/>
  </si>
  <si>
    <t>PROJECT X LZ</t>
    <phoneticPr fontId="5" type="noConversion"/>
  </si>
  <si>
    <t>1.7-2.0</t>
    <phoneticPr fontId="5" type="noConversion"/>
  </si>
  <si>
    <t>PROJECT X HZRDUS SMOKE BLACK RDX HYB 80</t>
    <phoneticPr fontId="5" type="noConversion"/>
  </si>
  <si>
    <t>DYNAMIC GOLD 120</t>
    <phoneticPr fontId="5" type="noConversion"/>
  </si>
  <si>
    <t>TOUR VELVET 360 GREY FLAT CAP</t>
    <phoneticPr fontId="5" type="noConversion"/>
  </si>
  <si>
    <t>50.08F</t>
    <phoneticPr fontId="5" type="noConversion"/>
  </si>
  <si>
    <t>54.12D</t>
    <phoneticPr fontId="5" type="noConversion"/>
  </si>
  <si>
    <t>46.10F</t>
    <phoneticPr fontId="5" type="noConversion"/>
  </si>
  <si>
    <t>60.10S</t>
    <phoneticPr fontId="5" type="noConversion"/>
  </si>
  <si>
    <t>58.10S</t>
    <phoneticPr fontId="5" type="noConversion"/>
  </si>
  <si>
    <t>50-52</t>
    <phoneticPr fontId="5" type="noConversion"/>
  </si>
  <si>
    <t>50/52</t>
    <phoneticPr fontId="5" type="noConversion"/>
  </si>
  <si>
    <t>52.12F</t>
    <phoneticPr fontId="5" type="noConversion"/>
  </si>
  <si>
    <t>60.08M</t>
    <phoneticPr fontId="5" type="noConversion"/>
  </si>
  <si>
    <t>차량구입지원금</t>
    <phoneticPr fontId="5" type="noConversion"/>
  </si>
  <si>
    <t>46.10F / T100</t>
    <phoneticPr fontId="5" type="noConversion"/>
  </si>
  <si>
    <t>50.12F</t>
    <phoneticPr fontId="5" type="noConversion"/>
  </si>
  <si>
    <t>Dirab</t>
    <phoneticPr fontId="5" type="noConversion"/>
  </si>
  <si>
    <t>In - Out</t>
    <phoneticPr fontId="5" type="noConversion"/>
  </si>
  <si>
    <t>Riyadh Golf Club</t>
    <phoneticPr fontId="5" type="noConversion"/>
  </si>
  <si>
    <r>
      <rPr>
        <sz val="10"/>
        <color theme="1"/>
        <rFont val="맑은 고딕"/>
        <family val="3"/>
        <charset val="129"/>
      </rPr>
      <t>대분류</t>
    </r>
    <phoneticPr fontId="5" type="noConversion"/>
  </si>
  <si>
    <r>
      <rPr>
        <sz val="10"/>
        <color theme="1"/>
        <rFont val="맑은 고딕"/>
        <family val="3"/>
        <charset val="129"/>
      </rPr>
      <t>중분류</t>
    </r>
    <phoneticPr fontId="5" type="noConversion"/>
  </si>
  <si>
    <r>
      <rPr>
        <sz val="10"/>
        <color theme="1"/>
        <rFont val="맑은 고딕"/>
        <family val="3"/>
        <charset val="129"/>
      </rPr>
      <t>소분류</t>
    </r>
    <phoneticPr fontId="5" type="noConversion"/>
  </si>
  <si>
    <r>
      <rPr>
        <sz val="10"/>
        <color theme="1"/>
        <rFont val="맑은 고딕"/>
        <family val="3"/>
        <charset val="129"/>
      </rPr>
      <t>합계</t>
    </r>
    <phoneticPr fontId="5" type="noConversion"/>
  </si>
  <si>
    <t>%</t>
    <phoneticPr fontId="5" type="noConversion"/>
  </si>
  <si>
    <r>
      <t>'21</t>
    </r>
    <r>
      <rPr>
        <sz val="10"/>
        <color theme="1"/>
        <rFont val="맑은 고딕"/>
        <family val="3"/>
        <charset val="129"/>
      </rPr>
      <t>년</t>
    </r>
    <r>
      <rPr>
        <sz val="10"/>
        <color theme="1"/>
        <rFont val="Arial"/>
        <family val="2"/>
      </rPr>
      <t xml:space="preserve"> 12</t>
    </r>
    <r>
      <rPr>
        <sz val="10"/>
        <color theme="1"/>
        <rFont val="맑은 고딕"/>
        <family val="3"/>
        <charset val="129"/>
      </rPr>
      <t>월</t>
    </r>
    <phoneticPr fontId="5" type="noConversion"/>
  </si>
  <si>
    <r>
      <t>'22</t>
    </r>
    <r>
      <rPr>
        <sz val="10"/>
        <color theme="1"/>
        <rFont val="맑은 고딕"/>
        <family val="3"/>
        <charset val="129"/>
      </rPr>
      <t>년</t>
    </r>
    <r>
      <rPr>
        <sz val="10"/>
        <color theme="1"/>
        <rFont val="Arial"/>
        <family val="2"/>
      </rPr>
      <t xml:space="preserve"> 1</t>
    </r>
    <r>
      <rPr>
        <sz val="10"/>
        <color theme="1"/>
        <rFont val="맑은 고딕"/>
        <family val="3"/>
        <charset val="129"/>
      </rPr>
      <t>월</t>
    </r>
    <phoneticPr fontId="5" type="noConversion"/>
  </si>
  <si>
    <r>
      <t>'22</t>
    </r>
    <r>
      <rPr>
        <sz val="10"/>
        <color theme="1"/>
        <rFont val="맑은 고딕"/>
        <family val="3"/>
        <charset val="129"/>
      </rPr>
      <t>년</t>
    </r>
    <r>
      <rPr>
        <sz val="10"/>
        <color theme="1"/>
        <rFont val="Arial"/>
        <family val="2"/>
      </rPr>
      <t xml:space="preserve"> 2</t>
    </r>
    <r>
      <rPr>
        <sz val="10"/>
        <color theme="1"/>
        <rFont val="맑은 고딕"/>
        <family val="3"/>
        <charset val="129"/>
      </rPr>
      <t>월</t>
    </r>
  </si>
  <si>
    <r>
      <t>'22</t>
    </r>
    <r>
      <rPr>
        <sz val="10"/>
        <color theme="1"/>
        <rFont val="맑은 고딕"/>
        <family val="3"/>
        <charset val="129"/>
      </rPr>
      <t>년</t>
    </r>
    <r>
      <rPr>
        <sz val="10"/>
        <color theme="1"/>
        <rFont val="Arial"/>
        <family val="2"/>
      </rPr>
      <t xml:space="preserve"> 3</t>
    </r>
    <r>
      <rPr>
        <sz val="10"/>
        <color theme="1"/>
        <rFont val="맑은 고딕"/>
        <family val="3"/>
        <charset val="129"/>
      </rPr>
      <t>월</t>
    </r>
  </si>
  <si>
    <r>
      <t>'22</t>
    </r>
    <r>
      <rPr>
        <sz val="10"/>
        <color theme="1"/>
        <rFont val="맑은 고딕"/>
        <family val="3"/>
        <charset val="129"/>
      </rPr>
      <t>년</t>
    </r>
    <r>
      <rPr>
        <sz val="10"/>
        <color theme="1"/>
        <rFont val="Arial"/>
        <family val="2"/>
      </rPr>
      <t xml:space="preserve"> 4</t>
    </r>
    <r>
      <rPr>
        <sz val="10"/>
        <color theme="1"/>
        <rFont val="맑은 고딕"/>
        <family val="3"/>
        <charset val="129"/>
      </rPr>
      <t>월</t>
    </r>
  </si>
  <si>
    <r>
      <t>'22</t>
    </r>
    <r>
      <rPr>
        <sz val="10"/>
        <color theme="1"/>
        <rFont val="맑은 고딕"/>
        <family val="3"/>
        <charset val="129"/>
      </rPr>
      <t>년</t>
    </r>
    <r>
      <rPr>
        <sz val="10"/>
        <color theme="1"/>
        <rFont val="Arial"/>
        <family val="2"/>
      </rPr>
      <t xml:space="preserve"> 5</t>
    </r>
    <r>
      <rPr>
        <sz val="10"/>
        <color theme="1"/>
        <rFont val="맑은 고딕"/>
        <family val="3"/>
        <charset val="129"/>
      </rPr>
      <t>월</t>
    </r>
  </si>
  <si>
    <r>
      <t>'22</t>
    </r>
    <r>
      <rPr>
        <sz val="10"/>
        <color theme="1"/>
        <rFont val="맑은 고딕"/>
        <family val="3"/>
        <charset val="129"/>
      </rPr>
      <t>년</t>
    </r>
    <r>
      <rPr>
        <sz val="10"/>
        <color theme="1"/>
        <rFont val="Arial"/>
        <family val="2"/>
      </rPr>
      <t xml:space="preserve"> 6</t>
    </r>
    <r>
      <rPr>
        <sz val="10"/>
        <color theme="1"/>
        <rFont val="맑은 고딕"/>
        <family val="3"/>
        <charset val="129"/>
      </rPr>
      <t>월</t>
    </r>
  </si>
  <si>
    <r>
      <t>'22</t>
    </r>
    <r>
      <rPr>
        <sz val="10"/>
        <color theme="1"/>
        <rFont val="맑은 고딕"/>
        <family val="3"/>
        <charset val="129"/>
      </rPr>
      <t>년</t>
    </r>
    <r>
      <rPr>
        <sz val="10"/>
        <color theme="1"/>
        <rFont val="Arial"/>
        <family val="2"/>
      </rPr>
      <t xml:space="preserve"> 7</t>
    </r>
    <r>
      <rPr>
        <sz val="10"/>
        <color theme="1"/>
        <rFont val="맑은 고딕"/>
        <family val="3"/>
        <charset val="129"/>
      </rPr>
      <t>월</t>
    </r>
  </si>
  <si>
    <r>
      <t>'22</t>
    </r>
    <r>
      <rPr>
        <sz val="10"/>
        <color theme="1"/>
        <rFont val="맑은 고딕"/>
        <family val="3"/>
        <charset val="129"/>
      </rPr>
      <t>년</t>
    </r>
    <r>
      <rPr>
        <sz val="10"/>
        <color theme="1"/>
        <rFont val="Arial"/>
        <family val="2"/>
      </rPr>
      <t xml:space="preserve"> 8</t>
    </r>
    <r>
      <rPr>
        <sz val="10"/>
        <color theme="1"/>
        <rFont val="맑은 고딕"/>
        <family val="3"/>
        <charset val="129"/>
      </rPr>
      <t>월</t>
    </r>
  </si>
  <si>
    <r>
      <t>'22</t>
    </r>
    <r>
      <rPr>
        <sz val="10"/>
        <color theme="1"/>
        <rFont val="맑은 고딕"/>
        <family val="3"/>
        <charset val="129"/>
      </rPr>
      <t>년</t>
    </r>
    <r>
      <rPr>
        <sz val="10"/>
        <color theme="1"/>
        <rFont val="Arial"/>
        <family val="2"/>
      </rPr>
      <t xml:space="preserve"> 9</t>
    </r>
    <r>
      <rPr>
        <sz val="10"/>
        <color theme="1"/>
        <rFont val="맑은 고딕"/>
        <family val="3"/>
        <charset val="129"/>
      </rPr>
      <t>월</t>
    </r>
  </si>
  <si>
    <r>
      <t>'22</t>
    </r>
    <r>
      <rPr>
        <sz val="10"/>
        <color theme="1"/>
        <rFont val="맑은 고딕"/>
        <family val="3"/>
        <charset val="129"/>
      </rPr>
      <t>년</t>
    </r>
    <r>
      <rPr>
        <sz val="10"/>
        <color theme="1"/>
        <rFont val="Arial"/>
        <family val="2"/>
      </rPr>
      <t xml:space="preserve"> 10</t>
    </r>
    <r>
      <rPr>
        <sz val="10"/>
        <color theme="1"/>
        <rFont val="맑은 고딕"/>
        <family val="3"/>
        <charset val="129"/>
      </rPr>
      <t>월</t>
    </r>
  </si>
  <si>
    <r>
      <t>'22</t>
    </r>
    <r>
      <rPr>
        <sz val="10"/>
        <color theme="1"/>
        <rFont val="맑은 고딕"/>
        <family val="3"/>
        <charset val="129"/>
      </rPr>
      <t>년</t>
    </r>
    <r>
      <rPr>
        <sz val="10"/>
        <color theme="1"/>
        <rFont val="Arial"/>
        <family val="2"/>
      </rPr>
      <t xml:space="preserve"> 11</t>
    </r>
    <r>
      <rPr>
        <sz val="10"/>
        <color theme="1"/>
        <rFont val="맑은 고딕"/>
        <family val="3"/>
        <charset val="129"/>
      </rPr>
      <t>월</t>
    </r>
  </si>
  <si>
    <r>
      <t>'22</t>
    </r>
    <r>
      <rPr>
        <sz val="10"/>
        <color theme="1"/>
        <rFont val="맑은 고딕"/>
        <family val="3"/>
        <charset val="129"/>
      </rPr>
      <t>년</t>
    </r>
    <r>
      <rPr>
        <sz val="10"/>
        <color theme="1"/>
        <rFont val="Arial"/>
        <family val="2"/>
      </rPr>
      <t xml:space="preserve"> 12</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</si>
  <si>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01</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</si>
  <si>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02</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</si>
  <si>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03</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</si>
  <si>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04</t>
    </r>
    <r>
      <rPr>
        <sz val="10"/>
        <color theme="1"/>
        <rFont val="맑은 고딕"/>
        <family val="3"/>
        <charset val="129"/>
      </rPr>
      <t>월</t>
    </r>
    <phoneticPr fontId="5" type="noConversion"/>
  </si>
  <si>
    <r>
      <rPr>
        <b/>
        <sz val="10"/>
        <color theme="1"/>
        <rFont val="맑은 고딕"/>
        <family val="3"/>
        <charset val="129"/>
      </rPr>
      <t>수입</t>
    </r>
    <phoneticPr fontId="5" type="noConversion"/>
  </si>
  <si>
    <r>
      <rPr>
        <sz val="10"/>
        <color theme="1"/>
        <rFont val="맑은 고딕"/>
        <family val="3"/>
        <charset val="129"/>
      </rPr>
      <t>접촉사고</t>
    </r>
    <phoneticPr fontId="5" type="noConversion"/>
  </si>
  <si>
    <r>
      <rPr>
        <sz val="10"/>
        <color theme="1"/>
        <rFont val="맑은 고딕"/>
        <family val="3"/>
        <charset val="129"/>
      </rPr>
      <t>자동차취등록세</t>
    </r>
    <phoneticPr fontId="5" type="noConversion"/>
  </si>
  <si>
    <r>
      <rPr>
        <b/>
        <sz val="10"/>
        <color theme="1"/>
        <rFont val="맑은 고딕"/>
        <family val="3"/>
        <charset val="129"/>
      </rPr>
      <t>지출</t>
    </r>
    <phoneticPr fontId="5" type="noConversion"/>
  </si>
  <si>
    <r>
      <rPr>
        <b/>
        <sz val="10"/>
        <color theme="1"/>
        <rFont val="맑은 고딕"/>
        <family val="3"/>
        <charset val="129"/>
      </rPr>
      <t>지출총계</t>
    </r>
    <phoneticPr fontId="5" type="noConversion"/>
  </si>
  <si>
    <r>
      <rPr>
        <b/>
        <sz val="10"/>
        <color theme="1"/>
        <rFont val="맑은 고딕"/>
        <family val="3"/>
        <charset val="129"/>
      </rPr>
      <t>개인생활비</t>
    </r>
    <phoneticPr fontId="5" type="noConversion"/>
  </si>
  <si>
    <r>
      <rPr>
        <b/>
        <sz val="10"/>
        <color theme="1"/>
        <rFont val="맑은 고딕"/>
        <family val="3"/>
        <charset val="129"/>
      </rPr>
      <t>소계</t>
    </r>
    <phoneticPr fontId="5" type="noConversion"/>
  </si>
  <si>
    <r>
      <rPr>
        <sz val="10"/>
        <color theme="1"/>
        <rFont val="맑은 고딕"/>
        <family val="3"/>
        <charset val="129"/>
      </rPr>
      <t>개인생활비</t>
    </r>
    <phoneticPr fontId="5" type="noConversion"/>
  </si>
  <si>
    <r>
      <rPr>
        <b/>
        <sz val="10"/>
        <color theme="1"/>
        <rFont val="맑은 고딕"/>
        <family val="3"/>
        <charset val="129"/>
      </rPr>
      <t>헌금</t>
    </r>
    <phoneticPr fontId="5" type="noConversion"/>
  </si>
  <si>
    <r>
      <rPr>
        <sz val="10"/>
        <color theme="1"/>
        <rFont val="맑은 고딕"/>
        <family val="3"/>
        <charset val="129"/>
      </rPr>
      <t>십일조</t>
    </r>
    <phoneticPr fontId="5" type="noConversion"/>
  </si>
  <si>
    <r>
      <rPr>
        <b/>
        <sz val="10"/>
        <color theme="1"/>
        <rFont val="맑은 고딕"/>
        <family val="3"/>
        <charset val="129"/>
      </rPr>
      <t>보험</t>
    </r>
    <phoneticPr fontId="5" type="noConversion"/>
  </si>
  <si>
    <r>
      <rPr>
        <sz val="10"/>
        <color theme="1"/>
        <rFont val="맑은 고딕"/>
        <family val="3"/>
        <charset val="129"/>
      </rPr>
      <t>지완실비</t>
    </r>
    <phoneticPr fontId="5" type="noConversion"/>
  </si>
  <si>
    <r>
      <rPr>
        <sz val="10"/>
        <color theme="1"/>
        <rFont val="맑은 고딕"/>
        <family val="3"/>
        <charset val="129"/>
      </rPr>
      <t>태준실비</t>
    </r>
    <phoneticPr fontId="5" type="noConversion"/>
  </si>
  <si>
    <r>
      <rPr>
        <sz val="10"/>
        <color theme="1"/>
        <rFont val="맑은 고딕"/>
        <family val="3"/>
        <charset val="129"/>
      </rPr>
      <t>태준운전자</t>
    </r>
    <phoneticPr fontId="5" type="noConversion"/>
  </si>
  <si>
    <r>
      <rPr>
        <sz val="10"/>
        <color theme="1"/>
        <rFont val="맑은 고딕"/>
        <family val="3"/>
        <charset val="129"/>
      </rPr>
      <t>태준치아</t>
    </r>
    <phoneticPr fontId="5" type="noConversion"/>
  </si>
  <si>
    <r>
      <rPr>
        <sz val="10"/>
        <color theme="1"/>
        <rFont val="맑은 고딕"/>
        <family val="3"/>
        <charset val="129"/>
      </rPr>
      <t>태준암</t>
    </r>
    <phoneticPr fontId="5" type="noConversion"/>
  </si>
  <si>
    <r>
      <rPr>
        <sz val="10"/>
        <color theme="1"/>
        <rFont val="맑은 고딕"/>
        <family val="3"/>
        <charset val="129"/>
      </rPr>
      <t>자동차보험</t>
    </r>
    <phoneticPr fontId="5" type="noConversion"/>
  </si>
  <si>
    <r>
      <rPr>
        <sz val="10"/>
        <color theme="1"/>
        <rFont val="맑은 고딕"/>
        <family val="3"/>
        <charset val="129"/>
      </rPr>
      <t>관리비</t>
    </r>
    <phoneticPr fontId="5" type="noConversion"/>
  </si>
  <si>
    <r>
      <rPr>
        <sz val="10"/>
        <color theme="1"/>
        <rFont val="맑은 고딕"/>
        <family val="3"/>
        <charset val="129"/>
      </rPr>
      <t>가스비</t>
    </r>
    <phoneticPr fontId="5" type="noConversion"/>
  </si>
  <si>
    <r>
      <t>TV/</t>
    </r>
    <r>
      <rPr>
        <sz val="10"/>
        <color theme="1"/>
        <rFont val="맑은 고딕"/>
        <family val="3"/>
        <charset val="129"/>
      </rPr>
      <t>인터넷</t>
    </r>
    <phoneticPr fontId="5" type="noConversion"/>
  </si>
  <si>
    <r>
      <rPr>
        <sz val="10"/>
        <color theme="1"/>
        <rFont val="맑은 고딕"/>
        <family val="3"/>
        <charset val="129"/>
      </rPr>
      <t>신한카드</t>
    </r>
    <r>
      <rPr>
        <sz val="10"/>
        <color theme="1"/>
        <rFont val="Arial"/>
        <family val="2"/>
      </rPr>
      <t>(</t>
    </r>
    <r>
      <rPr>
        <sz val="10"/>
        <color theme="1"/>
        <rFont val="맑은 고딕"/>
        <family val="3"/>
        <charset val="129"/>
      </rPr>
      <t>신용</t>
    </r>
    <r>
      <rPr>
        <sz val="10"/>
        <color theme="1"/>
        <rFont val="Arial"/>
        <family val="2"/>
      </rPr>
      <t>)</t>
    </r>
    <phoneticPr fontId="5" type="noConversion"/>
  </si>
  <si>
    <r>
      <rPr>
        <b/>
        <sz val="10"/>
        <color theme="1"/>
        <rFont val="맑은 고딕"/>
        <family val="3"/>
        <charset val="129"/>
      </rPr>
      <t>세금</t>
    </r>
    <r>
      <rPr>
        <b/>
        <sz val="10"/>
        <color theme="1"/>
        <rFont val="Arial"/>
        <family val="2"/>
      </rPr>
      <t>/</t>
    </r>
    <r>
      <rPr>
        <b/>
        <sz val="10"/>
        <color theme="1"/>
        <rFont val="맑은 고딕"/>
        <family val="3"/>
        <charset val="129"/>
      </rPr>
      <t>과태료</t>
    </r>
    <phoneticPr fontId="5" type="noConversion"/>
  </si>
  <si>
    <r>
      <rPr>
        <sz val="10"/>
        <color theme="1"/>
        <rFont val="맑은 고딕"/>
        <family val="3"/>
        <charset val="129"/>
      </rPr>
      <t>부동산세금</t>
    </r>
    <phoneticPr fontId="5" type="noConversion"/>
  </si>
  <si>
    <r>
      <rPr>
        <sz val="10"/>
        <color theme="1"/>
        <rFont val="맑은 고딕"/>
        <family val="3"/>
        <charset val="129"/>
      </rPr>
      <t>주민세금</t>
    </r>
    <phoneticPr fontId="5" type="noConversion"/>
  </si>
  <si>
    <r>
      <rPr>
        <sz val="10"/>
        <color theme="1"/>
        <rFont val="맑은 고딕"/>
        <family val="3"/>
        <charset val="129"/>
      </rPr>
      <t>자동차세금</t>
    </r>
    <phoneticPr fontId="5" type="noConversion"/>
  </si>
  <si>
    <r>
      <rPr>
        <sz val="10"/>
        <color theme="1"/>
        <rFont val="맑은 고딕"/>
        <family val="3"/>
        <charset val="129"/>
      </rPr>
      <t>자동차과태료</t>
    </r>
    <phoneticPr fontId="5" type="noConversion"/>
  </si>
  <si>
    <r>
      <rPr>
        <b/>
        <sz val="10"/>
        <color theme="1"/>
        <rFont val="맑은 고딕"/>
        <family val="3"/>
        <charset val="129"/>
      </rPr>
      <t>자동차</t>
    </r>
    <phoneticPr fontId="5" type="noConversion"/>
  </si>
  <si>
    <r>
      <rPr>
        <sz val="10"/>
        <color theme="1"/>
        <rFont val="맑은 고딕"/>
        <family val="3"/>
        <charset val="129"/>
      </rPr>
      <t>주유</t>
    </r>
    <r>
      <rPr>
        <sz val="10"/>
        <color theme="1"/>
        <rFont val="Arial"/>
        <family val="2"/>
      </rPr>
      <t>/</t>
    </r>
    <r>
      <rPr>
        <sz val="10"/>
        <color theme="1"/>
        <rFont val="맑은 고딕"/>
        <family val="3"/>
        <charset val="129"/>
      </rPr>
      <t>세차</t>
    </r>
    <r>
      <rPr>
        <sz val="10"/>
        <color theme="1"/>
        <rFont val="Arial"/>
        <family val="2"/>
      </rPr>
      <t>/</t>
    </r>
    <r>
      <rPr>
        <sz val="10"/>
        <color theme="1"/>
        <rFont val="맑은 고딕"/>
        <family val="3"/>
        <charset val="129"/>
      </rPr>
      <t>주차</t>
    </r>
    <r>
      <rPr>
        <sz val="10"/>
        <color theme="1"/>
        <rFont val="Arial"/>
        <family val="2"/>
      </rPr>
      <t>/</t>
    </r>
    <r>
      <rPr>
        <sz val="10"/>
        <color theme="1"/>
        <rFont val="맑은 고딕"/>
        <family val="3"/>
        <charset val="129"/>
      </rPr>
      <t>통행료</t>
    </r>
    <phoneticPr fontId="5" type="noConversion"/>
  </si>
  <si>
    <r>
      <rPr>
        <sz val="10"/>
        <color theme="1"/>
        <rFont val="맑은 고딕"/>
        <family val="3"/>
        <charset val="129"/>
      </rPr>
      <t>자동차정비</t>
    </r>
    <phoneticPr fontId="5" type="noConversion"/>
  </si>
  <si>
    <r>
      <rPr>
        <sz val="10"/>
        <color theme="1"/>
        <rFont val="맑은 고딕"/>
        <family val="3"/>
        <charset val="129"/>
      </rPr>
      <t>카보드</t>
    </r>
    <r>
      <rPr>
        <sz val="10"/>
        <color theme="1"/>
        <rFont val="Arial"/>
        <family val="2"/>
      </rPr>
      <t>(</t>
    </r>
    <r>
      <rPr>
        <sz val="10"/>
        <color theme="1"/>
        <rFont val="맑은 고딕"/>
        <family val="3"/>
        <charset val="129"/>
      </rPr>
      <t>그랜저신차패키지</t>
    </r>
    <r>
      <rPr>
        <sz val="10"/>
        <color theme="1"/>
        <rFont val="Arial"/>
        <family val="2"/>
      </rPr>
      <t>)</t>
    </r>
  </si>
  <si>
    <r>
      <rPr>
        <sz val="10"/>
        <color theme="1"/>
        <rFont val="맑은 고딕"/>
        <family val="3"/>
        <charset val="129"/>
      </rPr>
      <t>자동차검사</t>
    </r>
    <phoneticPr fontId="5" type="noConversion"/>
  </si>
  <si>
    <r>
      <rPr>
        <sz val="10"/>
        <color theme="1"/>
        <rFont val="맑은 고딕"/>
        <family val="3"/>
        <charset val="129"/>
      </rPr>
      <t>쏘카</t>
    </r>
    <phoneticPr fontId="5" type="noConversion"/>
  </si>
  <si>
    <r>
      <rPr>
        <b/>
        <sz val="10"/>
        <color theme="1"/>
        <rFont val="맑은 고딕"/>
        <family val="3"/>
        <charset val="129"/>
      </rPr>
      <t>마트</t>
    </r>
    <r>
      <rPr>
        <b/>
        <sz val="10"/>
        <color theme="1"/>
        <rFont val="Arial"/>
        <family val="2"/>
      </rPr>
      <t>/</t>
    </r>
    <r>
      <rPr>
        <b/>
        <sz val="10"/>
        <color theme="1"/>
        <rFont val="맑은 고딕"/>
        <family val="3"/>
        <charset val="129"/>
      </rPr>
      <t>시장</t>
    </r>
    <r>
      <rPr>
        <b/>
        <sz val="10"/>
        <color theme="1"/>
        <rFont val="Arial"/>
        <family val="2"/>
      </rPr>
      <t>/</t>
    </r>
    <r>
      <rPr>
        <b/>
        <sz val="10"/>
        <color theme="1"/>
        <rFont val="맑은 고딕"/>
        <family val="3"/>
        <charset val="129"/>
      </rPr>
      <t>편의점</t>
    </r>
    <phoneticPr fontId="5" type="noConversion"/>
  </si>
  <si>
    <r>
      <rPr>
        <sz val="10"/>
        <color theme="1"/>
        <rFont val="맑은 고딕"/>
        <family val="3"/>
        <charset val="129"/>
      </rPr>
      <t>코스트코</t>
    </r>
    <phoneticPr fontId="5" type="noConversion"/>
  </si>
  <si>
    <r>
      <rPr>
        <sz val="10"/>
        <color theme="1"/>
        <rFont val="맑은 고딕"/>
        <family val="3"/>
        <charset val="129"/>
      </rPr>
      <t>이마트에브리데이</t>
    </r>
    <phoneticPr fontId="5" type="noConversion"/>
  </si>
  <si>
    <r>
      <rPr>
        <sz val="10"/>
        <color theme="1"/>
        <rFont val="맑은 고딕"/>
        <family val="3"/>
        <charset val="129"/>
      </rPr>
      <t>총각네정육점</t>
    </r>
    <phoneticPr fontId="5" type="noConversion"/>
  </si>
  <si>
    <r>
      <rPr>
        <sz val="10"/>
        <color theme="1"/>
        <rFont val="맑은 고딕"/>
        <family val="3"/>
        <charset val="129"/>
      </rPr>
      <t>쿠팡로켓프레시</t>
    </r>
    <phoneticPr fontId="5" type="noConversion"/>
  </si>
  <si>
    <r>
      <rPr>
        <sz val="10"/>
        <color theme="1"/>
        <rFont val="맑은 고딕"/>
        <family val="3"/>
        <charset val="129"/>
      </rPr>
      <t>농협하나로마트</t>
    </r>
    <phoneticPr fontId="5" type="noConversion"/>
  </si>
  <si>
    <r>
      <rPr>
        <sz val="10"/>
        <color theme="1"/>
        <rFont val="맑은 고딕"/>
        <family val="3"/>
        <charset val="129"/>
      </rPr>
      <t>쿠팡</t>
    </r>
    <phoneticPr fontId="5" type="noConversion"/>
  </si>
  <si>
    <r>
      <rPr>
        <sz val="10"/>
        <color theme="1"/>
        <rFont val="맑은 고딕"/>
        <family val="3"/>
        <charset val="129"/>
      </rPr>
      <t>네이버</t>
    </r>
    <phoneticPr fontId="5" type="noConversion"/>
  </si>
  <si>
    <r>
      <rPr>
        <sz val="10"/>
        <color theme="1"/>
        <rFont val="맑은 고딕"/>
        <family val="3"/>
        <charset val="129"/>
      </rPr>
      <t>편의점</t>
    </r>
    <phoneticPr fontId="5" type="noConversion"/>
  </si>
  <si>
    <r>
      <rPr>
        <b/>
        <sz val="10"/>
        <color theme="1"/>
        <rFont val="맑은 고딕"/>
        <family val="3"/>
        <charset val="129"/>
      </rPr>
      <t>외식</t>
    </r>
    <phoneticPr fontId="5" type="noConversion"/>
  </si>
  <si>
    <r>
      <rPr>
        <sz val="10"/>
        <color theme="1"/>
        <rFont val="맑은 고딕"/>
        <family val="3"/>
        <charset val="129"/>
      </rPr>
      <t>쿠팡이츠</t>
    </r>
    <phoneticPr fontId="5" type="noConversion"/>
  </si>
  <si>
    <r>
      <rPr>
        <sz val="10"/>
        <color theme="1"/>
        <rFont val="맑은 고딕"/>
        <family val="3"/>
        <charset val="129"/>
      </rPr>
      <t>배달의민족</t>
    </r>
    <phoneticPr fontId="5" type="noConversion"/>
  </si>
  <si>
    <r>
      <rPr>
        <sz val="10"/>
        <color theme="1"/>
        <rFont val="맑은 고딕"/>
        <family val="3"/>
        <charset val="129"/>
      </rPr>
      <t>외식</t>
    </r>
    <r>
      <rPr>
        <sz val="10"/>
        <color theme="1"/>
        <rFont val="Arial"/>
        <family val="2"/>
      </rPr>
      <t>(</t>
    </r>
    <r>
      <rPr>
        <sz val="10"/>
        <color theme="1"/>
        <rFont val="맑은 고딕"/>
        <family val="3"/>
        <charset val="129"/>
      </rPr>
      <t>기타</t>
    </r>
    <r>
      <rPr>
        <sz val="10"/>
        <color theme="1"/>
        <rFont val="Arial"/>
        <family val="2"/>
      </rPr>
      <t>)</t>
    </r>
    <phoneticPr fontId="5" type="noConversion"/>
  </si>
  <si>
    <r>
      <rPr>
        <b/>
        <sz val="10"/>
        <color theme="1"/>
        <rFont val="맑은 고딕"/>
        <family val="3"/>
        <charset val="129"/>
      </rPr>
      <t>생활용품</t>
    </r>
    <phoneticPr fontId="5" type="noConversion"/>
  </si>
  <si>
    <r>
      <rPr>
        <sz val="10"/>
        <color theme="1"/>
        <rFont val="맑은 고딕"/>
        <family val="3"/>
        <charset val="129"/>
      </rPr>
      <t>쿠쿠서비스센터</t>
    </r>
    <phoneticPr fontId="5" type="noConversion"/>
  </si>
  <si>
    <r>
      <rPr>
        <sz val="10"/>
        <color theme="1"/>
        <rFont val="맑은 고딕"/>
        <family val="3"/>
        <charset val="129"/>
      </rPr>
      <t>면세점</t>
    </r>
    <phoneticPr fontId="5" type="noConversion"/>
  </si>
  <si>
    <r>
      <rPr>
        <b/>
        <sz val="10"/>
        <color theme="1"/>
        <rFont val="맑은 고딕"/>
        <family val="3"/>
        <charset val="129"/>
      </rPr>
      <t>미용실</t>
    </r>
    <phoneticPr fontId="5" type="noConversion"/>
  </si>
  <si>
    <r>
      <rPr>
        <sz val="10"/>
        <color theme="1"/>
        <rFont val="맑은 고딕"/>
        <family val="3"/>
        <charset val="129"/>
      </rPr>
      <t>미용실</t>
    </r>
    <r>
      <rPr>
        <sz val="10"/>
        <color theme="1"/>
        <rFont val="Arial"/>
        <family val="2"/>
      </rPr>
      <t>(</t>
    </r>
    <r>
      <rPr>
        <sz val="10"/>
        <color theme="1"/>
        <rFont val="맑은 고딕"/>
        <family val="3"/>
        <charset val="129"/>
      </rPr>
      <t>태준</t>
    </r>
    <r>
      <rPr>
        <sz val="10"/>
        <color theme="1"/>
        <rFont val="Arial"/>
        <family val="2"/>
      </rPr>
      <t>/</t>
    </r>
    <r>
      <rPr>
        <sz val="10"/>
        <color theme="1"/>
        <rFont val="맑은 고딕"/>
        <family val="3"/>
        <charset val="129"/>
      </rPr>
      <t>지완</t>
    </r>
    <r>
      <rPr>
        <sz val="10"/>
        <color theme="1"/>
        <rFont val="Arial"/>
        <family val="2"/>
      </rPr>
      <t>)</t>
    </r>
    <phoneticPr fontId="5" type="noConversion"/>
  </si>
  <si>
    <r>
      <rPr>
        <b/>
        <sz val="10"/>
        <color theme="1"/>
        <rFont val="맑은 고딕"/>
        <family val="3"/>
        <charset val="129"/>
      </rPr>
      <t>의류</t>
    </r>
    <phoneticPr fontId="5" type="noConversion"/>
  </si>
  <si>
    <r>
      <rPr>
        <sz val="10"/>
        <color theme="1"/>
        <rFont val="맑은 고딕"/>
        <family val="3"/>
        <charset val="129"/>
      </rPr>
      <t>의류비</t>
    </r>
    <phoneticPr fontId="5" type="noConversion"/>
  </si>
  <si>
    <r>
      <rPr>
        <b/>
        <sz val="10"/>
        <color theme="1"/>
        <rFont val="맑은 고딕"/>
        <family val="3"/>
        <charset val="129"/>
      </rPr>
      <t>의료</t>
    </r>
    <phoneticPr fontId="5" type="noConversion"/>
  </si>
  <si>
    <r>
      <rPr>
        <sz val="10"/>
        <color theme="1"/>
        <rFont val="맑은 고딕"/>
        <family val="3"/>
        <charset val="129"/>
      </rPr>
      <t>한신메디피아</t>
    </r>
    <phoneticPr fontId="5" type="noConversion"/>
  </si>
  <si>
    <r>
      <rPr>
        <b/>
        <sz val="10"/>
        <color theme="1"/>
        <rFont val="맑은 고딕"/>
        <family val="3"/>
        <charset val="129"/>
      </rPr>
      <t>백화점</t>
    </r>
    <r>
      <rPr>
        <b/>
        <sz val="10"/>
        <color theme="1"/>
        <rFont val="Arial"/>
        <family val="2"/>
      </rPr>
      <t>/</t>
    </r>
    <r>
      <rPr>
        <b/>
        <sz val="10"/>
        <color theme="1"/>
        <rFont val="맑은 고딕"/>
        <family val="3"/>
        <charset val="129"/>
      </rPr>
      <t>아울렛</t>
    </r>
    <r>
      <rPr>
        <b/>
        <sz val="10"/>
        <color theme="1"/>
        <rFont val="Arial"/>
        <family val="2"/>
      </rPr>
      <t>/</t>
    </r>
    <r>
      <rPr>
        <b/>
        <sz val="10"/>
        <color theme="1"/>
        <rFont val="맑은 고딕"/>
        <family val="3"/>
        <charset val="129"/>
      </rPr>
      <t>복합쇼핑몰</t>
    </r>
    <phoneticPr fontId="5" type="noConversion"/>
  </si>
  <si>
    <r>
      <rPr>
        <sz val="10"/>
        <color theme="1"/>
        <rFont val="맑은 고딕"/>
        <family val="3"/>
        <charset val="129"/>
      </rPr>
      <t>백화점</t>
    </r>
    <r>
      <rPr>
        <sz val="10"/>
        <color theme="1"/>
        <rFont val="Arial"/>
        <family val="2"/>
      </rPr>
      <t>/</t>
    </r>
    <r>
      <rPr>
        <sz val="10"/>
        <color theme="1"/>
        <rFont val="맑은 고딕"/>
        <family val="3"/>
        <charset val="129"/>
      </rPr>
      <t>아울렛</t>
    </r>
    <r>
      <rPr>
        <sz val="10"/>
        <color theme="1"/>
        <rFont val="Arial"/>
        <family val="2"/>
      </rPr>
      <t>/</t>
    </r>
    <r>
      <rPr>
        <sz val="10"/>
        <color theme="1"/>
        <rFont val="맑은 고딕"/>
        <family val="3"/>
        <charset val="129"/>
      </rPr>
      <t>복합쇼핑몰</t>
    </r>
    <phoneticPr fontId="5" type="noConversion"/>
  </si>
  <si>
    <r>
      <rPr>
        <sz val="10"/>
        <color theme="1"/>
        <rFont val="맑은 고딕"/>
        <family val="3"/>
        <charset val="129"/>
      </rPr>
      <t>현대모터스튜디오</t>
    </r>
    <phoneticPr fontId="5" type="noConversion"/>
  </si>
  <si>
    <r>
      <rPr>
        <sz val="10"/>
        <color theme="1"/>
        <rFont val="맑은 고딕"/>
        <family val="3"/>
        <charset val="129"/>
      </rPr>
      <t>나눔농장</t>
    </r>
    <phoneticPr fontId="5" type="noConversion"/>
  </si>
  <si>
    <r>
      <rPr>
        <sz val="10"/>
        <color theme="1"/>
        <rFont val="맑은 고딕"/>
        <family val="3"/>
        <charset val="129"/>
      </rPr>
      <t>아쿠아플라넷</t>
    </r>
    <phoneticPr fontId="5" type="noConversion"/>
  </si>
  <si>
    <r>
      <rPr>
        <sz val="10"/>
        <color theme="1"/>
        <rFont val="맑은 고딕"/>
        <family val="3"/>
        <charset val="129"/>
      </rPr>
      <t>에버랜드</t>
    </r>
    <phoneticPr fontId="5" type="noConversion"/>
  </si>
  <si>
    <r>
      <rPr>
        <sz val="10"/>
        <color theme="1"/>
        <rFont val="맑은 고딕"/>
        <family val="3"/>
        <charset val="129"/>
      </rPr>
      <t>서울대공원</t>
    </r>
    <phoneticPr fontId="5" type="noConversion"/>
  </si>
  <si>
    <r>
      <rPr>
        <b/>
        <sz val="10"/>
        <color theme="1"/>
        <rFont val="맑은 고딕"/>
        <family val="3"/>
        <charset val="129"/>
      </rPr>
      <t>대중교통</t>
    </r>
    <phoneticPr fontId="5" type="noConversion"/>
  </si>
  <si>
    <r>
      <rPr>
        <sz val="10"/>
        <color theme="1"/>
        <rFont val="맑은 고딕"/>
        <family val="3"/>
        <charset val="129"/>
      </rPr>
      <t>비행기</t>
    </r>
    <phoneticPr fontId="5" type="noConversion"/>
  </si>
  <si>
    <t>KTX/ITX</t>
    <phoneticPr fontId="5" type="noConversion"/>
  </si>
  <si>
    <r>
      <rPr>
        <b/>
        <sz val="10"/>
        <color theme="1"/>
        <rFont val="맑은 고딕"/>
        <family val="3"/>
        <charset val="129"/>
      </rPr>
      <t>여행</t>
    </r>
    <phoneticPr fontId="5" type="noConversion"/>
  </si>
  <si>
    <r>
      <rPr>
        <sz val="10"/>
        <color theme="1"/>
        <rFont val="맑은 고딕"/>
        <family val="3"/>
        <charset val="129"/>
      </rPr>
      <t>트니트니</t>
    </r>
    <phoneticPr fontId="5" type="noConversion"/>
  </si>
  <si>
    <r>
      <rPr>
        <sz val="10"/>
        <color theme="1"/>
        <rFont val="맑은 고딕"/>
        <family val="3"/>
        <charset val="129"/>
      </rPr>
      <t>구몬</t>
    </r>
    <phoneticPr fontId="5" type="noConversion"/>
  </si>
  <si>
    <r>
      <t xml:space="preserve">IRCA </t>
    </r>
    <r>
      <rPr>
        <sz val="10"/>
        <color theme="1"/>
        <rFont val="맑은 고딕"/>
        <family val="3"/>
        <charset val="129"/>
      </rPr>
      <t>입회비</t>
    </r>
    <r>
      <rPr>
        <sz val="10"/>
        <color theme="1"/>
        <rFont val="Arial"/>
        <family val="2"/>
      </rPr>
      <t>/</t>
    </r>
    <r>
      <rPr>
        <sz val="10"/>
        <color theme="1"/>
        <rFont val="맑은 고딕"/>
        <family val="3"/>
        <charset val="129"/>
      </rPr>
      <t>자격등록비</t>
    </r>
  </si>
  <si>
    <r>
      <rPr>
        <sz val="10"/>
        <color theme="1"/>
        <rFont val="맑은 고딕"/>
        <family val="3"/>
        <charset val="129"/>
      </rPr>
      <t>건설기술인협회</t>
    </r>
    <r>
      <rPr>
        <sz val="10"/>
        <color theme="1"/>
        <rFont val="Arial"/>
        <family val="2"/>
      </rPr>
      <t xml:space="preserve"> </t>
    </r>
    <r>
      <rPr>
        <sz val="10"/>
        <color theme="1"/>
        <rFont val="맑은 고딕"/>
        <family val="3"/>
        <charset val="129"/>
      </rPr>
      <t>연회비</t>
    </r>
  </si>
  <si>
    <r>
      <rPr>
        <b/>
        <sz val="10"/>
        <color theme="1"/>
        <rFont val="맑은 고딕"/>
        <family val="3"/>
        <charset val="129"/>
      </rPr>
      <t>본가</t>
    </r>
    <phoneticPr fontId="5" type="noConversion"/>
  </si>
  <si>
    <r>
      <rPr>
        <sz val="10"/>
        <color theme="1"/>
        <rFont val="맑은 고딕"/>
        <family val="3"/>
        <charset val="129"/>
      </rPr>
      <t>본가용돈</t>
    </r>
    <r>
      <rPr>
        <sz val="10"/>
        <color theme="1"/>
        <rFont val="Arial"/>
        <family val="2"/>
      </rPr>
      <t>/</t>
    </r>
    <r>
      <rPr>
        <sz val="10"/>
        <color theme="1"/>
        <rFont val="맑은 고딕"/>
        <family val="3"/>
        <charset val="129"/>
      </rPr>
      <t>식사</t>
    </r>
    <r>
      <rPr>
        <sz val="10"/>
        <color theme="1"/>
        <rFont val="Arial"/>
        <family val="2"/>
      </rPr>
      <t>/</t>
    </r>
    <r>
      <rPr>
        <sz val="10"/>
        <color theme="1"/>
        <rFont val="맑은 고딕"/>
        <family val="3"/>
        <charset val="129"/>
      </rPr>
      <t>선물</t>
    </r>
    <phoneticPr fontId="5" type="noConversion"/>
  </si>
  <si>
    <r>
      <rPr>
        <sz val="10"/>
        <color theme="1"/>
        <rFont val="맑은 고딕"/>
        <family val="3"/>
        <charset val="129"/>
      </rPr>
      <t>명절음식비</t>
    </r>
    <phoneticPr fontId="5" type="noConversion"/>
  </si>
  <si>
    <r>
      <rPr>
        <b/>
        <sz val="10"/>
        <color theme="1"/>
        <rFont val="맑은 고딕"/>
        <family val="3"/>
        <charset val="129"/>
      </rPr>
      <t>경조사</t>
    </r>
    <phoneticPr fontId="5" type="noConversion"/>
  </si>
  <si>
    <r>
      <rPr>
        <sz val="10"/>
        <color theme="1"/>
        <rFont val="맑은 고딕"/>
        <family val="3"/>
        <charset val="129"/>
      </rPr>
      <t>축의금</t>
    </r>
    <r>
      <rPr>
        <sz val="10"/>
        <color theme="1"/>
        <rFont val="Arial"/>
        <family val="2"/>
      </rPr>
      <t>/</t>
    </r>
    <r>
      <rPr>
        <sz val="10"/>
        <color theme="1"/>
        <rFont val="맑은 고딕"/>
        <family val="3"/>
        <charset val="129"/>
      </rPr>
      <t>조의금</t>
    </r>
    <phoneticPr fontId="5" type="noConversion"/>
  </si>
  <si>
    <r>
      <rPr>
        <sz val="10"/>
        <color theme="1"/>
        <rFont val="맑은 고딕"/>
        <family val="3"/>
        <charset val="129"/>
      </rPr>
      <t>진급자회식</t>
    </r>
    <phoneticPr fontId="5" type="noConversion"/>
  </si>
  <si>
    <r>
      <rPr>
        <b/>
        <sz val="10"/>
        <color theme="1"/>
        <rFont val="맑은 고딕"/>
        <family val="3"/>
        <charset val="129"/>
      </rPr>
      <t>기타</t>
    </r>
    <phoneticPr fontId="5" type="noConversion"/>
  </si>
  <si>
    <r>
      <rPr>
        <sz val="10"/>
        <color theme="1"/>
        <rFont val="맑은 고딕"/>
        <family val="3"/>
        <charset val="129"/>
      </rPr>
      <t>퍼즐사랑</t>
    </r>
    <phoneticPr fontId="5" type="noConversion"/>
  </si>
  <si>
    <r>
      <rPr>
        <sz val="10"/>
        <color theme="1"/>
        <rFont val="맑은 고딕"/>
        <family val="3"/>
        <charset val="129"/>
      </rPr>
      <t>여권</t>
    </r>
    <phoneticPr fontId="5" type="noConversion"/>
  </si>
  <si>
    <r>
      <rPr>
        <sz val="10"/>
        <color theme="1"/>
        <rFont val="맑은 고딕"/>
        <family val="3"/>
        <charset val="129"/>
      </rPr>
      <t>당근마켓</t>
    </r>
    <r>
      <rPr>
        <sz val="10"/>
        <color theme="1"/>
        <rFont val="Arial"/>
        <family val="2"/>
      </rPr>
      <t>(</t>
    </r>
    <r>
      <rPr>
        <sz val="10"/>
        <color theme="1"/>
        <rFont val="맑은 고딕"/>
        <family val="3"/>
        <charset val="129"/>
      </rPr>
      <t>지완</t>
    </r>
    <r>
      <rPr>
        <sz val="10"/>
        <color theme="1"/>
        <rFont val="Arial"/>
        <family val="2"/>
      </rPr>
      <t>)</t>
    </r>
    <phoneticPr fontId="5" type="noConversion"/>
  </si>
  <si>
    <r>
      <rPr>
        <sz val="10"/>
        <color theme="1"/>
        <rFont val="맑은 고딕"/>
        <family val="3"/>
        <charset val="129"/>
      </rPr>
      <t>기타</t>
    </r>
    <phoneticPr fontId="5" type="noConversion"/>
  </si>
  <si>
    <r>
      <rPr>
        <b/>
        <sz val="10"/>
        <color theme="1"/>
        <rFont val="맑은 고딕"/>
        <family val="3"/>
        <charset val="129"/>
      </rPr>
      <t>저축</t>
    </r>
    <phoneticPr fontId="5" type="noConversion"/>
  </si>
  <si>
    <t>EX-OIL</t>
  </si>
  <si>
    <t>S-OIL</t>
  </si>
  <si>
    <t>GS25</t>
  </si>
  <si>
    <t>KFC</t>
  </si>
  <si>
    <t>KTX</t>
  </si>
  <si>
    <t>BBQ</t>
  </si>
  <si>
    <t>IRCA</t>
  </si>
  <si>
    <t>S-Oil</t>
  </si>
  <si>
    <t>1/25, 2/21</t>
  </si>
  <si>
    <t>EX-OIL</t>
    <phoneticPr fontId="5" type="noConversion"/>
  </si>
  <si>
    <t>1. 헌금</t>
    <phoneticPr fontId="23" type="noConversion"/>
  </si>
  <si>
    <t>[ 맞벌이 ]</t>
    <phoneticPr fontId="23" type="noConversion"/>
  </si>
  <si>
    <t>[ 외벌이 ]</t>
    <phoneticPr fontId="23" type="noConversion"/>
  </si>
  <si>
    <t>순번</t>
    <phoneticPr fontId="23" type="noConversion"/>
  </si>
  <si>
    <t>대분류</t>
    <phoneticPr fontId="23" type="noConversion"/>
  </si>
  <si>
    <t>소분류</t>
    <phoneticPr fontId="23" type="noConversion"/>
  </si>
  <si>
    <t>횟수</t>
    <phoneticPr fontId="23" type="noConversion"/>
  </si>
  <si>
    <t>금액</t>
    <phoneticPr fontId="23" type="noConversion"/>
  </si>
  <si>
    <t>소계</t>
    <phoneticPr fontId="23" type="noConversion"/>
  </si>
  <si>
    <t>비고</t>
    <phoneticPr fontId="23" type="noConversion"/>
  </si>
  <si>
    <t>주일헌금</t>
    <phoneticPr fontId="23" type="noConversion"/>
  </si>
  <si>
    <t>-</t>
    <phoneticPr fontId="23" type="noConversion"/>
  </si>
  <si>
    <t>십일조</t>
    <phoneticPr fontId="23" type="noConversion"/>
  </si>
  <si>
    <t>태준</t>
    <phoneticPr fontId="23" type="noConversion"/>
  </si>
  <si>
    <t>월급</t>
    <phoneticPr fontId="23" type="noConversion"/>
  </si>
  <si>
    <t>성과급</t>
    <phoneticPr fontId="23" type="noConversion"/>
  </si>
  <si>
    <t>격려금</t>
    <phoneticPr fontId="23" type="noConversion"/>
  </si>
  <si>
    <t>하계휴가비</t>
    <phoneticPr fontId="23" type="noConversion"/>
  </si>
  <si>
    <t>기타 (출장 등)</t>
    <phoneticPr fontId="23" type="noConversion"/>
  </si>
  <si>
    <t>TBA</t>
    <phoneticPr fontId="23" type="noConversion"/>
  </si>
  <si>
    <t>지현</t>
    <phoneticPr fontId="23" type="noConversion"/>
  </si>
  <si>
    <t>부활절</t>
    <phoneticPr fontId="23" type="noConversion"/>
  </si>
  <si>
    <t>2019년 4월 21일 / 2020년 4월 12일</t>
    <phoneticPr fontId="23" type="noConversion"/>
  </si>
  <si>
    <t>추수감사절</t>
    <phoneticPr fontId="23" type="noConversion"/>
  </si>
  <si>
    <t>11월 셋째 주일</t>
    <phoneticPr fontId="23" type="noConversion"/>
  </si>
  <si>
    <t>성탄절</t>
    <phoneticPr fontId="23" type="noConversion"/>
  </si>
  <si>
    <t>12월 25일</t>
    <phoneticPr fontId="23" type="noConversion"/>
  </si>
  <si>
    <t>송구영신예배</t>
    <phoneticPr fontId="23" type="noConversion"/>
  </si>
  <si>
    <t>12월 31일</t>
    <phoneticPr fontId="23" type="noConversion"/>
  </si>
  <si>
    <t>결혼기념일</t>
    <phoneticPr fontId="23" type="noConversion"/>
  </si>
  <si>
    <t>6월 2일</t>
    <phoneticPr fontId="23" type="noConversion"/>
  </si>
  <si>
    <t>태준/지현생일</t>
    <phoneticPr fontId="23" type="noConversion"/>
  </si>
  <si>
    <t>개인생활비</t>
    <phoneticPr fontId="23" type="noConversion"/>
  </si>
  <si>
    <t>선교헌금</t>
    <phoneticPr fontId="23" type="noConversion"/>
  </si>
  <si>
    <t>합계</t>
    <phoneticPr fontId="23" type="noConversion"/>
  </si>
  <si>
    <t>2. 부모님 (부대비용 제외)</t>
    <phoneticPr fontId="23" type="noConversion"/>
  </si>
  <si>
    <t>매월 용돈</t>
    <phoneticPr fontId="23" type="noConversion"/>
  </si>
  <si>
    <t>생신</t>
    <phoneticPr fontId="23" type="noConversion"/>
  </si>
  <si>
    <t>용돈</t>
    <phoneticPr fontId="23" type="noConversion"/>
  </si>
  <si>
    <t>외식비</t>
    <phoneticPr fontId="23" type="noConversion"/>
  </si>
  <si>
    <t>명절</t>
    <phoneticPr fontId="23" type="noConversion"/>
  </si>
  <si>
    <t>음식값</t>
    <phoneticPr fontId="23" type="noConversion"/>
  </si>
  <si>
    <t>어버이날</t>
    <phoneticPr fontId="23" type="noConversion"/>
  </si>
  <si>
    <t>3. 가족 생애 주요 이벤트 (부대비용 제외)</t>
    <phoneticPr fontId="23" type="noConversion"/>
  </si>
  <si>
    <t>부모님</t>
    <phoneticPr fontId="23" type="noConversion"/>
  </si>
  <si>
    <t>아버지 칠순</t>
    <phoneticPr fontId="23" type="noConversion"/>
  </si>
  <si>
    <t>어머니 환갑</t>
    <phoneticPr fontId="23" type="noConversion"/>
  </si>
  <si>
    <t>아버지 환갑 (삼형제 갹출 400/300/300)</t>
    <phoneticPr fontId="23" type="noConversion"/>
  </si>
  <si>
    <t>어머니 칠순</t>
    <phoneticPr fontId="23" type="noConversion"/>
  </si>
  <si>
    <t>아버지 환갑</t>
    <phoneticPr fontId="23" type="noConversion"/>
  </si>
  <si>
    <t>형제/자매</t>
    <phoneticPr fontId="23" type="noConversion"/>
  </si>
  <si>
    <t>둘째 조카 출산</t>
    <phoneticPr fontId="23" type="noConversion"/>
  </si>
  <si>
    <t>둘째 조카 돌</t>
    <phoneticPr fontId="23" type="noConversion"/>
  </si>
  <si>
    <t>처형 결혼</t>
    <phoneticPr fontId="23" type="noConversion"/>
  </si>
  <si>
    <t>첫째 조카 출산</t>
    <phoneticPr fontId="23" type="noConversion"/>
  </si>
  <si>
    <t>첫째 조카 돌</t>
    <phoneticPr fontId="23" type="noConversion"/>
  </si>
  <si>
    <t>처남 결혼</t>
    <phoneticPr fontId="23" type="noConversion"/>
  </si>
  <si>
    <t>분류</t>
    <phoneticPr fontId="5" type="noConversion"/>
  </si>
  <si>
    <t>날짜</t>
    <phoneticPr fontId="5" type="noConversion"/>
  </si>
  <si>
    <t>양/음</t>
    <phoneticPr fontId="5" type="noConversion"/>
  </si>
  <si>
    <t>태준이네</t>
    <phoneticPr fontId="5" type="noConversion"/>
  </si>
  <si>
    <t>할아버님</t>
    <phoneticPr fontId="5" type="noConversion"/>
  </si>
  <si>
    <t>강근성</t>
    <phoneticPr fontId="5" type="noConversion"/>
  </si>
  <si>
    <t>기일</t>
    <phoneticPr fontId="5" type="noConversion"/>
  </si>
  <si>
    <t>양력</t>
    <phoneticPr fontId="5" type="noConversion"/>
  </si>
  <si>
    <t>큰형</t>
    <phoneticPr fontId="5" type="noConversion"/>
  </si>
  <si>
    <t>강진원</t>
    <phoneticPr fontId="5" type="noConversion"/>
  </si>
  <si>
    <t>생일</t>
    <phoneticPr fontId="5" type="noConversion"/>
  </si>
  <si>
    <t>할머님</t>
    <phoneticPr fontId="5" type="noConversion"/>
  </si>
  <si>
    <t>문영임</t>
    <phoneticPr fontId="5" type="noConversion"/>
  </si>
  <si>
    <t>생신</t>
    <phoneticPr fontId="5" type="noConversion"/>
  </si>
  <si>
    <t>음력</t>
    <phoneticPr fontId="5" type="noConversion"/>
  </si>
  <si>
    <t>아버님</t>
    <phoneticPr fontId="5" type="noConversion"/>
  </si>
  <si>
    <t>강신규</t>
    <phoneticPr fontId="5" type="noConversion"/>
  </si>
  <si>
    <t>지현이네</t>
    <phoneticPr fontId="5" type="noConversion"/>
  </si>
  <si>
    <t>어머님</t>
    <phoneticPr fontId="5" type="noConversion"/>
  </si>
  <si>
    <t>김미경</t>
    <phoneticPr fontId="5" type="noConversion"/>
  </si>
  <si>
    <t>언니</t>
    <phoneticPr fontId="5" type="noConversion"/>
  </si>
  <si>
    <t>양지민</t>
    <phoneticPr fontId="5" type="noConversion"/>
  </si>
  <si>
    <t>이경순</t>
    <phoneticPr fontId="5" type="noConversion"/>
  </si>
  <si>
    <t>큰형수</t>
    <phoneticPr fontId="5" type="noConversion"/>
  </si>
  <si>
    <t>손영언</t>
    <phoneticPr fontId="5" type="noConversion"/>
  </si>
  <si>
    <t>외할아버님</t>
    <phoneticPr fontId="5" type="noConversion"/>
  </si>
  <si>
    <t>이용언</t>
    <phoneticPr fontId="5" type="noConversion"/>
  </si>
  <si>
    <t>작은형</t>
    <phoneticPr fontId="5" type="noConversion"/>
  </si>
  <si>
    <t>강태경</t>
    <phoneticPr fontId="5" type="noConversion"/>
  </si>
  <si>
    <t>작은형수</t>
    <phoneticPr fontId="5" type="noConversion"/>
  </si>
  <si>
    <t>서보경</t>
    <phoneticPr fontId="5" type="noConversion"/>
  </si>
  <si>
    <t>양망규</t>
    <phoneticPr fontId="5" type="noConversion"/>
  </si>
  <si>
    <t>조카</t>
    <phoneticPr fontId="5" type="noConversion"/>
  </si>
  <si>
    <t>강지성</t>
    <phoneticPr fontId="5" type="noConversion"/>
  </si>
  <si>
    <t>외할머님</t>
    <phoneticPr fontId="5" type="noConversion"/>
  </si>
  <si>
    <t>백봉예</t>
    <phoneticPr fontId="5" type="noConversion"/>
  </si>
  <si>
    <t>양종필</t>
    <phoneticPr fontId="5" type="noConversion"/>
  </si>
  <si>
    <t>하양금</t>
    <phoneticPr fontId="5" type="noConversion"/>
  </si>
  <si>
    <t>동생</t>
    <phoneticPr fontId="5" type="noConversion"/>
  </si>
  <si>
    <t>양지훈</t>
    <phoneticPr fontId="5" type="noConversion"/>
  </si>
  <si>
    <t>축의금 목록</t>
    <phoneticPr fontId="5" type="noConversion"/>
  </si>
  <si>
    <r>
      <rPr>
        <sz val="10"/>
        <color theme="1"/>
        <rFont val="맑은 고딕"/>
        <family val="3"/>
        <charset val="129"/>
      </rPr>
      <t>순번</t>
    </r>
    <phoneticPr fontId="5" type="noConversion"/>
  </si>
  <si>
    <t>당일 축의금 순번</t>
    <phoneticPr fontId="5" type="noConversion"/>
  </si>
  <si>
    <t>일자</t>
    <phoneticPr fontId="5" type="noConversion"/>
  </si>
  <si>
    <t>이름</t>
    <phoneticPr fontId="5" type="noConversion"/>
  </si>
  <si>
    <t>입금액</t>
    <phoneticPr fontId="5" type="noConversion"/>
  </si>
  <si>
    <t>누적 입금액</t>
    <phoneticPr fontId="5" type="noConversion"/>
  </si>
  <si>
    <t>입금계좌</t>
    <phoneticPr fontId="5" type="noConversion"/>
  </si>
  <si>
    <t>현대건설</t>
    <phoneticPr fontId="5" type="noConversion"/>
  </si>
  <si>
    <t>조준영</t>
    <phoneticPr fontId="5" type="noConversion"/>
  </si>
  <si>
    <t>현대</t>
    <phoneticPr fontId="5" type="noConversion"/>
  </si>
  <si>
    <t>창원</t>
    <phoneticPr fontId="5" type="noConversion"/>
  </si>
  <si>
    <t>박창희/이유나</t>
    <phoneticPr fontId="5" type="noConversion"/>
  </si>
  <si>
    <t>현금</t>
    <phoneticPr fontId="5" type="noConversion"/>
  </si>
  <si>
    <t>김상혁</t>
    <phoneticPr fontId="5" type="noConversion"/>
  </si>
  <si>
    <t>현대엔지니어링</t>
    <phoneticPr fontId="5" type="noConversion"/>
  </si>
  <si>
    <t>박상진</t>
    <phoneticPr fontId="5" type="noConversion"/>
  </si>
  <si>
    <t>신한</t>
    <phoneticPr fontId="5" type="noConversion"/>
  </si>
  <si>
    <t>기타</t>
    <phoneticPr fontId="5" type="noConversion"/>
  </si>
  <si>
    <t>김재한</t>
    <phoneticPr fontId="5" type="noConversion"/>
  </si>
  <si>
    <t>장인혁</t>
    <phoneticPr fontId="5" type="noConversion"/>
  </si>
  <si>
    <t>오수희</t>
    <phoneticPr fontId="5" type="noConversion"/>
  </si>
  <si>
    <t>노대진</t>
    <phoneticPr fontId="5" type="noConversion"/>
  </si>
  <si>
    <t>힐라리오</t>
    <phoneticPr fontId="5" type="noConversion"/>
  </si>
  <si>
    <t>고정훈</t>
    <phoneticPr fontId="5" type="noConversion"/>
  </si>
  <si>
    <t>김재원</t>
    <phoneticPr fontId="5" type="noConversion"/>
  </si>
  <si>
    <t>최정수</t>
    <phoneticPr fontId="5" type="noConversion"/>
  </si>
  <si>
    <t>GS건설</t>
    <phoneticPr fontId="5" type="noConversion"/>
  </si>
  <si>
    <t>이윤영</t>
    <phoneticPr fontId="5" type="noConversion"/>
  </si>
  <si>
    <t>숭실대</t>
    <phoneticPr fontId="5" type="noConversion"/>
  </si>
  <si>
    <t>이무형</t>
    <phoneticPr fontId="5" type="noConversion"/>
  </si>
  <si>
    <t>고현정</t>
    <phoneticPr fontId="5" type="noConversion"/>
  </si>
  <si>
    <t>강은주</t>
    <phoneticPr fontId="5" type="noConversion"/>
  </si>
  <si>
    <t>김용석</t>
    <phoneticPr fontId="5" type="noConversion"/>
  </si>
  <si>
    <t>박정훈</t>
    <phoneticPr fontId="5" type="noConversion"/>
  </si>
  <si>
    <t>김범윤</t>
    <phoneticPr fontId="5" type="noConversion"/>
  </si>
  <si>
    <t>김승훈</t>
    <phoneticPr fontId="5" type="noConversion"/>
  </si>
  <si>
    <t>강원경</t>
    <phoneticPr fontId="5" type="noConversion"/>
  </si>
  <si>
    <t>이채기</t>
    <phoneticPr fontId="5" type="noConversion"/>
  </si>
  <si>
    <t>정승희</t>
    <phoneticPr fontId="5" type="noConversion"/>
  </si>
  <si>
    <t>신민식</t>
    <phoneticPr fontId="5" type="noConversion"/>
  </si>
  <si>
    <t>추연백</t>
    <phoneticPr fontId="5" type="noConversion"/>
  </si>
  <si>
    <t>김기락</t>
    <phoneticPr fontId="5" type="noConversion"/>
  </si>
  <si>
    <t>하희태</t>
    <phoneticPr fontId="5" type="noConversion"/>
  </si>
  <si>
    <t>한정민</t>
    <phoneticPr fontId="5" type="noConversion"/>
  </si>
  <si>
    <t>상도중앙교회</t>
    <phoneticPr fontId="5" type="noConversion"/>
  </si>
  <si>
    <t>박헌진</t>
    <phoneticPr fontId="5" type="noConversion"/>
  </si>
  <si>
    <t>이진연</t>
    <phoneticPr fontId="5" type="noConversion"/>
  </si>
  <si>
    <t>김홍미</t>
    <phoneticPr fontId="5" type="noConversion"/>
  </si>
  <si>
    <t>김보영</t>
    <phoneticPr fontId="5" type="noConversion"/>
  </si>
  <si>
    <t>김지훈</t>
    <phoneticPr fontId="5" type="noConversion"/>
  </si>
  <si>
    <t>이경훈</t>
    <phoneticPr fontId="5" type="noConversion"/>
  </si>
  <si>
    <t>김성윤/박가은</t>
    <phoneticPr fontId="5" type="noConversion"/>
  </si>
  <si>
    <t>박경숙</t>
    <phoneticPr fontId="5" type="noConversion"/>
  </si>
  <si>
    <t>임정아</t>
    <phoneticPr fontId="5" type="noConversion"/>
  </si>
  <si>
    <t>서귀점</t>
    <phoneticPr fontId="5" type="noConversion"/>
  </si>
  <si>
    <t>최경희</t>
    <phoneticPr fontId="5" type="noConversion"/>
  </si>
  <si>
    <t>최흥주</t>
    <phoneticPr fontId="5" type="noConversion"/>
  </si>
  <si>
    <t>홍지수</t>
    <phoneticPr fontId="5" type="noConversion"/>
  </si>
  <si>
    <t>김준호</t>
    <phoneticPr fontId="5" type="noConversion"/>
  </si>
  <si>
    <t>강은비</t>
    <phoneticPr fontId="5" type="noConversion"/>
  </si>
  <si>
    <t>곽태영</t>
    <phoneticPr fontId="5" type="noConversion"/>
  </si>
  <si>
    <t>김형철</t>
    <phoneticPr fontId="5" type="noConversion"/>
  </si>
  <si>
    <t>김영창</t>
    <phoneticPr fontId="5" type="noConversion"/>
  </si>
  <si>
    <t>문지환</t>
    <phoneticPr fontId="5" type="noConversion"/>
  </si>
  <si>
    <t>정윤수</t>
    <phoneticPr fontId="5" type="noConversion"/>
  </si>
  <si>
    <t>장지훈</t>
    <phoneticPr fontId="5" type="noConversion"/>
  </si>
  <si>
    <t>정기욱</t>
    <phoneticPr fontId="5" type="noConversion"/>
  </si>
  <si>
    <t>이수형</t>
    <phoneticPr fontId="5" type="noConversion"/>
  </si>
  <si>
    <t>김형태</t>
    <phoneticPr fontId="5" type="noConversion"/>
  </si>
  <si>
    <t>김민철</t>
    <phoneticPr fontId="5" type="noConversion"/>
  </si>
  <si>
    <t>황의탁</t>
    <phoneticPr fontId="5" type="noConversion"/>
  </si>
  <si>
    <t>김경룡</t>
    <phoneticPr fontId="5" type="noConversion"/>
  </si>
  <si>
    <t>박현준</t>
    <phoneticPr fontId="5" type="noConversion"/>
  </si>
  <si>
    <t>허민아</t>
    <phoneticPr fontId="5" type="noConversion"/>
  </si>
  <si>
    <t>최혜정</t>
    <phoneticPr fontId="5" type="noConversion"/>
  </si>
  <si>
    <t>김용기</t>
    <phoneticPr fontId="5" type="noConversion"/>
  </si>
  <si>
    <t>박혜란</t>
    <phoneticPr fontId="5" type="noConversion"/>
  </si>
  <si>
    <t>김다미</t>
    <phoneticPr fontId="5" type="noConversion"/>
  </si>
  <si>
    <t>조기복</t>
    <phoneticPr fontId="5" type="noConversion"/>
  </si>
  <si>
    <t>가족/친척</t>
  </si>
  <si>
    <t>강성구</t>
    <phoneticPr fontId="5" type="noConversion"/>
  </si>
  <si>
    <t>오경택/강지혜</t>
    <phoneticPr fontId="5" type="noConversion"/>
  </si>
  <si>
    <t>이주홍</t>
    <phoneticPr fontId="5" type="noConversion"/>
  </si>
  <si>
    <t>전영구</t>
    <phoneticPr fontId="5" type="noConversion"/>
  </si>
  <si>
    <t>김준영</t>
    <phoneticPr fontId="5" type="noConversion"/>
  </si>
  <si>
    <t>이희원</t>
    <phoneticPr fontId="5" type="noConversion"/>
  </si>
  <si>
    <t>정형섭</t>
    <phoneticPr fontId="5" type="noConversion"/>
  </si>
  <si>
    <t>오정훈</t>
    <phoneticPr fontId="5" type="noConversion"/>
  </si>
  <si>
    <t>변정호</t>
    <phoneticPr fontId="5" type="noConversion"/>
  </si>
  <si>
    <t>엄마친구</t>
    <phoneticPr fontId="5" type="noConversion"/>
  </si>
  <si>
    <t>박선이</t>
    <phoneticPr fontId="5" type="noConversion"/>
  </si>
  <si>
    <t>장선미</t>
    <phoneticPr fontId="5" type="noConversion"/>
  </si>
  <si>
    <t>남유나</t>
    <phoneticPr fontId="5" type="noConversion"/>
  </si>
  <si>
    <t>장동철</t>
    <phoneticPr fontId="5" type="noConversion"/>
  </si>
  <si>
    <t>김범석</t>
    <phoneticPr fontId="5" type="noConversion"/>
  </si>
  <si>
    <t>서수빈</t>
    <phoneticPr fontId="5" type="noConversion"/>
  </si>
  <si>
    <t>아빠친구</t>
    <phoneticPr fontId="5" type="noConversion"/>
  </si>
  <si>
    <t>백순옥</t>
    <phoneticPr fontId="5" type="noConversion"/>
  </si>
  <si>
    <t>하계자</t>
    <phoneticPr fontId="5" type="noConversion"/>
  </si>
  <si>
    <t>석종한</t>
    <phoneticPr fontId="5" type="noConversion"/>
  </si>
  <si>
    <t>표숙자</t>
    <phoneticPr fontId="5" type="noConversion"/>
  </si>
  <si>
    <t>옥경순</t>
    <phoneticPr fontId="5" type="noConversion"/>
  </si>
  <si>
    <t>강진성</t>
    <phoneticPr fontId="5" type="noConversion"/>
  </si>
  <si>
    <t>강인구</t>
    <phoneticPr fontId="5" type="noConversion"/>
  </si>
  <si>
    <t>문정혜</t>
    <phoneticPr fontId="5" type="noConversion"/>
  </si>
  <si>
    <t>문영수</t>
    <phoneticPr fontId="5" type="noConversion"/>
  </si>
  <si>
    <t>장지옥</t>
    <phoneticPr fontId="5" type="noConversion"/>
  </si>
  <si>
    <t>김보현</t>
    <phoneticPr fontId="5" type="noConversion"/>
  </si>
  <si>
    <t>황진성</t>
    <phoneticPr fontId="5" type="noConversion"/>
  </si>
  <si>
    <t>송갑숙</t>
    <phoneticPr fontId="5" type="noConversion"/>
  </si>
  <si>
    <t>김봉곤</t>
    <phoneticPr fontId="5" type="noConversion"/>
  </si>
  <si>
    <t>김영자</t>
    <phoneticPr fontId="5" type="noConversion"/>
  </si>
  <si>
    <t>공영자</t>
    <phoneticPr fontId="5" type="noConversion"/>
  </si>
  <si>
    <t>정남철</t>
    <phoneticPr fontId="5" type="noConversion"/>
  </si>
  <si>
    <t>윤지훈</t>
    <phoneticPr fontId="5" type="noConversion"/>
  </si>
  <si>
    <t>김효선</t>
    <phoneticPr fontId="5" type="noConversion"/>
  </si>
  <si>
    <t>윤도영</t>
    <phoneticPr fontId="5" type="noConversion"/>
  </si>
  <si>
    <t>박지성</t>
    <phoneticPr fontId="5" type="noConversion"/>
  </si>
  <si>
    <t>팽춘화</t>
    <phoneticPr fontId="5" type="noConversion"/>
  </si>
  <si>
    <t>팽무임</t>
    <phoneticPr fontId="5" type="noConversion"/>
  </si>
  <si>
    <t>팽진호</t>
    <phoneticPr fontId="5" type="noConversion"/>
  </si>
  <si>
    <t>팽철호</t>
    <phoneticPr fontId="5" type="noConversion"/>
  </si>
  <si>
    <t>김진영</t>
    <phoneticPr fontId="5" type="noConversion"/>
  </si>
  <si>
    <t>이기호</t>
    <phoneticPr fontId="5" type="noConversion"/>
  </si>
  <si>
    <t>이덕환</t>
    <phoneticPr fontId="5" type="noConversion"/>
  </si>
  <si>
    <t>송일무</t>
    <phoneticPr fontId="5" type="noConversion"/>
  </si>
  <si>
    <t>김진수</t>
    <phoneticPr fontId="5" type="noConversion"/>
  </si>
  <si>
    <t>안홍역</t>
    <phoneticPr fontId="5" type="noConversion"/>
  </si>
  <si>
    <t>강원중</t>
    <phoneticPr fontId="5" type="noConversion"/>
  </si>
  <si>
    <t>변기봉</t>
    <phoneticPr fontId="5" type="noConversion"/>
  </si>
  <si>
    <t>김현중</t>
    <phoneticPr fontId="5" type="noConversion"/>
  </si>
  <si>
    <t>이용제</t>
    <phoneticPr fontId="5" type="noConversion"/>
  </si>
  <si>
    <t>이수남</t>
    <phoneticPr fontId="5" type="noConversion"/>
  </si>
  <si>
    <t>김생수</t>
    <phoneticPr fontId="5" type="noConversion"/>
  </si>
  <si>
    <t>최원균</t>
    <phoneticPr fontId="5" type="noConversion"/>
  </si>
  <si>
    <t>임정빈</t>
    <phoneticPr fontId="5" type="noConversion"/>
  </si>
  <si>
    <t>박찬기</t>
    <phoneticPr fontId="5" type="noConversion"/>
  </si>
  <si>
    <t>최권일</t>
    <phoneticPr fontId="5" type="noConversion"/>
  </si>
  <si>
    <t>오광택</t>
    <phoneticPr fontId="5" type="noConversion"/>
  </si>
  <si>
    <t>민재홍</t>
    <phoneticPr fontId="5" type="noConversion"/>
  </si>
  <si>
    <t>오세채</t>
    <phoneticPr fontId="5" type="noConversion"/>
  </si>
  <si>
    <t>김종규</t>
    <phoneticPr fontId="5" type="noConversion"/>
  </si>
  <si>
    <t>정단아</t>
    <phoneticPr fontId="5" type="noConversion"/>
  </si>
  <si>
    <t>지현친구</t>
    <phoneticPr fontId="5" type="noConversion"/>
  </si>
  <si>
    <t>박예슬</t>
    <phoneticPr fontId="5" type="noConversion"/>
  </si>
  <si>
    <t>인터텍코리아</t>
    <phoneticPr fontId="5" type="noConversion"/>
  </si>
  <si>
    <t>SK건설</t>
    <phoneticPr fontId="5" type="noConversion"/>
  </si>
  <si>
    <t>조남준</t>
    <phoneticPr fontId="5" type="noConversion"/>
  </si>
  <si>
    <t>범군요</t>
    <phoneticPr fontId="5" type="noConversion"/>
  </si>
  <si>
    <t>조이현</t>
    <phoneticPr fontId="5" type="noConversion"/>
  </si>
  <si>
    <t>박승진</t>
    <phoneticPr fontId="5" type="noConversion"/>
  </si>
  <si>
    <t>최우석</t>
    <phoneticPr fontId="5" type="noConversion"/>
  </si>
  <si>
    <t>김영곤</t>
    <phoneticPr fontId="5" type="noConversion"/>
  </si>
  <si>
    <t>김병호</t>
    <phoneticPr fontId="5" type="noConversion"/>
  </si>
  <si>
    <t>강택기</t>
    <phoneticPr fontId="5" type="noConversion"/>
  </si>
  <si>
    <t>이동훈</t>
    <phoneticPr fontId="5" type="noConversion"/>
  </si>
  <si>
    <t>정병율</t>
    <phoneticPr fontId="5" type="noConversion"/>
  </si>
  <si>
    <t>이대훈</t>
    <phoneticPr fontId="5" type="noConversion"/>
  </si>
  <si>
    <t>이종민</t>
    <phoneticPr fontId="5" type="noConversion"/>
  </si>
  <si>
    <t>이오영</t>
    <phoneticPr fontId="5" type="noConversion"/>
  </si>
  <si>
    <t>배대영</t>
    <phoneticPr fontId="5" type="noConversion"/>
  </si>
  <si>
    <t>이강준</t>
    <phoneticPr fontId="5" type="noConversion"/>
  </si>
  <si>
    <t>황숙자</t>
    <phoneticPr fontId="5" type="noConversion"/>
  </si>
  <si>
    <t>김해령</t>
    <phoneticPr fontId="5" type="noConversion"/>
  </si>
  <si>
    <t>원미희</t>
    <phoneticPr fontId="5" type="noConversion"/>
  </si>
  <si>
    <t>신은경</t>
    <phoneticPr fontId="5" type="noConversion"/>
  </si>
  <si>
    <t>주형우</t>
    <phoneticPr fontId="5" type="noConversion"/>
  </si>
  <si>
    <t>윤진실</t>
    <phoneticPr fontId="5" type="noConversion"/>
  </si>
  <si>
    <t>김민서</t>
    <phoneticPr fontId="5" type="noConversion"/>
  </si>
  <si>
    <t>유요석</t>
    <phoneticPr fontId="5" type="noConversion"/>
  </si>
  <si>
    <t>김창봉</t>
    <phoneticPr fontId="5" type="noConversion"/>
  </si>
  <si>
    <t>안태용</t>
    <phoneticPr fontId="5" type="noConversion"/>
  </si>
  <si>
    <t>박홍석/연응경</t>
    <phoneticPr fontId="5" type="noConversion"/>
  </si>
  <si>
    <t>표상록</t>
    <phoneticPr fontId="5" type="noConversion"/>
  </si>
  <si>
    <t>전재열</t>
    <phoneticPr fontId="5" type="noConversion"/>
  </si>
  <si>
    <t>나혜영</t>
    <phoneticPr fontId="5" type="noConversion"/>
  </si>
  <si>
    <t>채봉덕</t>
    <phoneticPr fontId="5" type="noConversion"/>
  </si>
  <si>
    <t>구혜진</t>
    <phoneticPr fontId="5" type="noConversion"/>
  </si>
  <si>
    <t>최민석</t>
    <phoneticPr fontId="5" type="noConversion"/>
  </si>
  <si>
    <t>엄영실</t>
    <phoneticPr fontId="5" type="noConversion"/>
  </si>
  <si>
    <t>이범희</t>
    <phoneticPr fontId="5" type="noConversion"/>
  </si>
  <si>
    <t>최낙준</t>
    <phoneticPr fontId="5" type="noConversion"/>
  </si>
  <si>
    <t>표수진</t>
    <phoneticPr fontId="5" type="noConversion"/>
  </si>
  <si>
    <t>한지영</t>
    <phoneticPr fontId="5" type="noConversion"/>
  </si>
  <si>
    <t>김현주</t>
    <phoneticPr fontId="5" type="noConversion"/>
  </si>
  <si>
    <t>국일준</t>
    <phoneticPr fontId="5" type="noConversion"/>
  </si>
  <si>
    <t>구자준</t>
    <phoneticPr fontId="5" type="noConversion"/>
  </si>
  <si>
    <t>노금보</t>
    <phoneticPr fontId="5" type="noConversion"/>
  </si>
  <si>
    <t>김문길</t>
    <phoneticPr fontId="5" type="noConversion"/>
  </si>
  <si>
    <t>강승현</t>
    <phoneticPr fontId="5" type="noConversion"/>
  </si>
  <si>
    <t>양선옥</t>
    <phoneticPr fontId="5" type="noConversion"/>
  </si>
  <si>
    <t>이민호</t>
    <phoneticPr fontId="5" type="noConversion"/>
  </si>
  <si>
    <t>신수하</t>
    <phoneticPr fontId="5" type="noConversion"/>
  </si>
  <si>
    <t>버스운전기사</t>
    <phoneticPr fontId="5" type="noConversion"/>
  </si>
  <si>
    <t>백기훈</t>
    <phoneticPr fontId="5" type="noConversion"/>
  </si>
  <si>
    <t>박장근</t>
    <phoneticPr fontId="5" type="noConversion"/>
  </si>
  <si>
    <t>최동석</t>
    <phoneticPr fontId="5" type="noConversion"/>
  </si>
  <si>
    <t>채장기</t>
    <phoneticPr fontId="5" type="noConversion"/>
  </si>
  <si>
    <t>김수광</t>
    <phoneticPr fontId="5" type="noConversion"/>
  </si>
  <si>
    <t>이한성</t>
    <phoneticPr fontId="5" type="noConversion"/>
  </si>
  <si>
    <t>정권창</t>
    <phoneticPr fontId="5" type="noConversion"/>
  </si>
  <si>
    <t>이윤재</t>
    <phoneticPr fontId="5" type="noConversion"/>
  </si>
  <si>
    <t>이은선</t>
    <phoneticPr fontId="5" type="noConversion"/>
  </si>
  <si>
    <t>김정순</t>
    <phoneticPr fontId="5" type="noConversion"/>
  </si>
  <si>
    <t>전의문</t>
    <phoneticPr fontId="5" type="noConversion"/>
  </si>
  <si>
    <t>이정숙</t>
    <phoneticPr fontId="5" type="noConversion"/>
  </si>
  <si>
    <t>천정숙</t>
    <phoneticPr fontId="5" type="noConversion"/>
  </si>
  <si>
    <t>김정자</t>
    <phoneticPr fontId="5" type="noConversion"/>
  </si>
  <si>
    <t>송행도</t>
    <phoneticPr fontId="5" type="noConversion"/>
  </si>
  <si>
    <t>팽무길</t>
    <phoneticPr fontId="5" type="noConversion"/>
  </si>
  <si>
    <t>백광흠</t>
    <phoneticPr fontId="5" type="noConversion"/>
  </si>
  <si>
    <t>김차순</t>
    <phoneticPr fontId="5" type="noConversion"/>
  </si>
  <si>
    <t>김종복</t>
    <phoneticPr fontId="5" type="noConversion"/>
  </si>
  <si>
    <t>백무흠</t>
    <phoneticPr fontId="5" type="noConversion"/>
  </si>
  <si>
    <t>김수임</t>
    <phoneticPr fontId="5" type="noConversion"/>
  </si>
  <si>
    <t>김선자</t>
    <phoneticPr fontId="5" type="noConversion"/>
  </si>
  <si>
    <t>전예지</t>
    <phoneticPr fontId="5" type="noConversion"/>
  </si>
  <si>
    <t>문양도</t>
    <phoneticPr fontId="5" type="noConversion"/>
  </si>
  <si>
    <t>임권택</t>
    <phoneticPr fontId="5" type="noConversion"/>
  </si>
  <si>
    <t>백정흠</t>
    <phoneticPr fontId="5" type="noConversion"/>
  </si>
  <si>
    <t>성주초 23회 일동</t>
    <phoneticPr fontId="5" type="noConversion"/>
  </si>
  <si>
    <t>김석순</t>
    <phoneticPr fontId="5" type="noConversion"/>
  </si>
  <si>
    <t>김성일</t>
    <phoneticPr fontId="5" type="noConversion"/>
  </si>
  <si>
    <t>곽재곤</t>
    <phoneticPr fontId="5" type="noConversion"/>
  </si>
  <si>
    <t>팽현출</t>
    <phoneticPr fontId="5" type="noConversion"/>
  </si>
  <si>
    <t>이경찬</t>
    <phoneticPr fontId="5" type="noConversion"/>
  </si>
  <si>
    <t>정수재</t>
    <phoneticPr fontId="5" type="noConversion"/>
  </si>
  <si>
    <t>전윤수</t>
    <phoneticPr fontId="5" type="noConversion"/>
  </si>
  <si>
    <t>윤병호</t>
    <phoneticPr fontId="5" type="noConversion"/>
  </si>
  <si>
    <t>박용호</t>
    <phoneticPr fontId="5" type="noConversion"/>
  </si>
  <si>
    <t>최남경</t>
    <phoneticPr fontId="5" type="noConversion"/>
  </si>
  <si>
    <t>최근식</t>
    <phoneticPr fontId="5" type="noConversion"/>
  </si>
  <si>
    <t>정택영</t>
    <phoneticPr fontId="5" type="noConversion"/>
  </si>
  <si>
    <t>백재학</t>
    <phoneticPr fontId="5" type="noConversion"/>
  </si>
  <si>
    <t>박준원</t>
    <phoneticPr fontId="5" type="noConversion"/>
  </si>
  <si>
    <t>김교동</t>
    <phoneticPr fontId="5" type="noConversion"/>
  </si>
  <si>
    <t>김해겸</t>
    <phoneticPr fontId="5" type="noConversion"/>
  </si>
  <si>
    <t>팽경식</t>
    <phoneticPr fontId="5" type="noConversion"/>
  </si>
  <si>
    <t>황인태</t>
    <phoneticPr fontId="5" type="noConversion"/>
  </si>
  <si>
    <t>최재성</t>
    <phoneticPr fontId="5" type="noConversion"/>
  </si>
  <si>
    <t>이성표</t>
    <phoneticPr fontId="5" type="noConversion"/>
  </si>
  <si>
    <t>정회준</t>
    <phoneticPr fontId="5" type="noConversion"/>
  </si>
  <si>
    <t>양준호</t>
    <phoneticPr fontId="5" type="noConversion"/>
  </si>
  <si>
    <t>이상기</t>
    <phoneticPr fontId="5" type="noConversion"/>
  </si>
  <si>
    <t>박금주</t>
    <phoneticPr fontId="5" type="noConversion"/>
  </si>
  <si>
    <t>279 남부 동기 일동</t>
    <phoneticPr fontId="5" type="noConversion"/>
  </si>
  <si>
    <t>권광석</t>
    <phoneticPr fontId="5" type="noConversion"/>
  </si>
  <si>
    <t>김기환</t>
    <phoneticPr fontId="5" type="noConversion"/>
  </si>
  <si>
    <t>김민건</t>
    <phoneticPr fontId="5" type="noConversion"/>
  </si>
  <si>
    <t>김호두</t>
    <phoneticPr fontId="5" type="noConversion"/>
  </si>
  <si>
    <t>임석순</t>
    <phoneticPr fontId="5" type="noConversion"/>
  </si>
  <si>
    <t>박용택</t>
    <phoneticPr fontId="5" type="noConversion"/>
  </si>
  <si>
    <t>이태수</t>
    <phoneticPr fontId="5" type="noConversion"/>
  </si>
  <si>
    <t>조인규</t>
    <phoneticPr fontId="5" type="noConversion"/>
  </si>
  <si>
    <t>이승원</t>
    <phoneticPr fontId="5" type="noConversion"/>
  </si>
  <si>
    <t>최윤배 부인</t>
    <phoneticPr fontId="5" type="noConversion"/>
  </si>
  <si>
    <t>이예진</t>
    <phoneticPr fontId="5" type="noConversion"/>
  </si>
  <si>
    <t>현기흥</t>
    <phoneticPr fontId="5" type="noConversion"/>
  </si>
  <si>
    <t>이승록</t>
    <phoneticPr fontId="5" type="noConversion"/>
  </si>
  <si>
    <t>해심회 회원 일동</t>
    <phoneticPr fontId="5" type="noConversion"/>
  </si>
  <si>
    <t>강승기</t>
    <phoneticPr fontId="5" type="noConversion"/>
  </si>
  <si>
    <t>박종근</t>
    <phoneticPr fontId="5" type="noConversion"/>
  </si>
  <si>
    <t>하광룡</t>
    <phoneticPr fontId="5" type="noConversion"/>
  </si>
  <si>
    <t>김희진</t>
    <phoneticPr fontId="5" type="noConversion"/>
  </si>
  <si>
    <t>김상민</t>
    <phoneticPr fontId="5" type="noConversion"/>
  </si>
  <si>
    <t>최세영</t>
    <phoneticPr fontId="5" type="noConversion"/>
  </si>
  <si>
    <t>김동진</t>
    <phoneticPr fontId="5" type="noConversion"/>
  </si>
  <si>
    <t>한상욱</t>
    <phoneticPr fontId="5" type="noConversion"/>
  </si>
  <si>
    <t>손연철</t>
    <phoneticPr fontId="5" type="noConversion"/>
  </si>
  <si>
    <t>현철오</t>
    <phoneticPr fontId="5" type="noConversion"/>
  </si>
  <si>
    <t>조봉기</t>
    <phoneticPr fontId="5" type="noConversion"/>
  </si>
  <si>
    <t>백만조</t>
    <phoneticPr fontId="5" type="noConversion"/>
  </si>
  <si>
    <t>김성권</t>
    <phoneticPr fontId="5" type="noConversion"/>
  </si>
  <si>
    <t>송춘섭</t>
    <phoneticPr fontId="5" type="noConversion"/>
  </si>
  <si>
    <t>박중기</t>
    <phoneticPr fontId="5" type="noConversion"/>
  </si>
  <si>
    <t>오인경</t>
    <phoneticPr fontId="5" type="noConversion"/>
  </si>
  <si>
    <t>팽성훈</t>
    <phoneticPr fontId="5" type="noConversion"/>
  </si>
  <si>
    <t>추경태</t>
    <phoneticPr fontId="5" type="noConversion"/>
  </si>
  <si>
    <t>강석임</t>
    <phoneticPr fontId="5" type="noConversion"/>
  </si>
  <si>
    <t>가족/친척</t>
    <phoneticPr fontId="5" type="noConversion"/>
  </si>
  <si>
    <t>손양희</t>
    <phoneticPr fontId="5" type="noConversion"/>
  </si>
  <si>
    <t>강진원/손영언</t>
    <phoneticPr fontId="5" type="noConversion"/>
  </si>
  <si>
    <t>지성이 외할아버지 (서기동)</t>
    <phoneticPr fontId="5" type="noConversion"/>
  </si>
  <si>
    <t>지성이 외할머니 (김민정)</t>
    <phoneticPr fontId="5" type="noConversion"/>
  </si>
  <si>
    <t>지성이 외삼촌</t>
    <phoneticPr fontId="5" type="noConversion"/>
  </si>
  <si>
    <t>정영욱</t>
    <phoneticPr fontId="5" type="noConversion"/>
  </si>
  <si>
    <t>배지환</t>
    <phoneticPr fontId="5" type="noConversion"/>
  </si>
  <si>
    <t>문삼지</t>
    <phoneticPr fontId="5" type="noConversion"/>
  </si>
  <si>
    <t>문순자</t>
    <phoneticPr fontId="5" type="noConversion"/>
  </si>
  <si>
    <t>이회용</t>
    <phoneticPr fontId="5" type="noConversion"/>
  </si>
  <si>
    <t>정규열</t>
    <phoneticPr fontId="5" type="noConversion"/>
  </si>
  <si>
    <t>해가회</t>
    <phoneticPr fontId="5" type="noConversion"/>
  </si>
  <si>
    <t>정형태</t>
    <phoneticPr fontId="5" type="noConversion"/>
  </si>
  <si>
    <t>이화득</t>
    <phoneticPr fontId="5" type="noConversion"/>
  </si>
  <si>
    <t>강성문</t>
    <phoneticPr fontId="5" type="noConversion"/>
  </si>
  <si>
    <t>이태헌</t>
    <phoneticPr fontId="5" type="noConversion"/>
  </si>
  <si>
    <t>김찬수</t>
    <phoneticPr fontId="5" type="noConversion"/>
  </si>
  <si>
    <t>이원우</t>
    <phoneticPr fontId="5" type="noConversion"/>
  </si>
  <si>
    <t>강태경/서보경</t>
    <phoneticPr fontId="5" type="noConversion"/>
  </si>
  <si>
    <t>김병준</t>
    <phoneticPr fontId="5" type="noConversion"/>
  </si>
  <si>
    <t>이병하</t>
    <phoneticPr fontId="5" type="noConversion"/>
  </si>
  <si>
    <t>강한별</t>
    <phoneticPr fontId="5" type="noConversion"/>
  </si>
  <si>
    <t>손세영</t>
    <phoneticPr fontId="5" type="noConversion"/>
  </si>
  <si>
    <t>유녕희</t>
    <phoneticPr fontId="5" type="noConversion"/>
  </si>
  <si>
    <t>심영균</t>
    <phoneticPr fontId="5" type="noConversion"/>
  </si>
  <si>
    <t>김영균</t>
    <phoneticPr fontId="5" type="noConversion"/>
  </si>
  <si>
    <t>서동엽</t>
    <phoneticPr fontId="5" type="noConversion"/>
  </si>
  <si>
    <t>박재상</t>
    <phoneticPr fontId="5" type="noConversion"/>
  </si>
  <si>
    <t>양희봉/장지영</t>
    <phoneticPr fontId="5" type="noConversion"/>
  </si>
  <si>
    <t>이상호/송미연</t>
    <phoneticPr fontId="5" type="noConversion"/>
  </si>
  <si>
    <t>이승일</t>
    <phoneticPr fontId="5" type="noConversion"/>
  </si>
  <si>
    <t>심민섭</t>
    <phoneticPr fontId="5" type="noConversion"/>
  </si>
  <si>
    <t>정대욱</t>
    <phoneticPr fontId="5" type="noConversion"/>
  </si>
  <si>
    <t>윤해든</t>
    <phoneticPr fontId="5" type="noConversion"/>
  </si>
  <si>
    <t>이중재</t>
    <phoneticPr fontId="5" type="noConversion"/>
  </si>
  <si>
    <t>이장원</t>
    <phoneticPr fontId="5" type="noConversion"/>
  </si>
  <si>
    <t>유경재</t>
    <phoneticPr fontId="5" type="noConversion"/>
  </si>
  <si>
    <t>신한 (급여)</t>
    <phoneticPr fontId="5" type="noConversion"/>
  </si>
  <si>
    <t>정주완</t>
    <phoneticPr fontId="5" type="noConversion"/>
  </si>
  <si>
    <t>신한 (개인)</t>
    <phoneticPr fontId="5" type="noConversion"/>
  </si>
  <si>
    <t>S/N</t>
    <phoneticPr fontId="23" type="noConversion"/>
  </si>
  <si>
    <r>
      <rPr>
        <sz val="10"/>
        <color theme="1"/>
        <rFont val="맑은 고딕"/>
        <family val="3"/>
        <charset val="129"/>
      </rPr>
      <t>일자</t>
    </r>
    <phoneticPr fontId="23" type="noConversion"/>
  </si>
  <si>
    <r>
      <rPr>
        <sz val="10"/>
        <color theme="1"/>
        <rFont val="맑은 고딕"/>
        <family val="3"/>
        <charset val="129"/>
      </rPr>
      <t>항목</t>
    </r>
    <phoneticPr fontId="23" type="noConversion"/>
  </si>
  <si>
    <r>
      <rPr>
        <sz val="10"/>
        <color theme="1"/>
        <rFont val="맑은 고딕"/>
        <family val="3"/>
        <charset val="129"/>
      </rPr>
      <t>세부항목</t>
    </r>
    <phoneticPr fontId="23" type="noConversion"/>
  </si>
  <si>
    <r>
      <rPr>
        <sz val="10"/>
        <color theme="1"/>
        <rFont val="맑은 고딕"/>
        <family val="3"/>
        <charset val="129"/>
      </rPr>
      <t>금액</t>
    </r>
    <phoneticPr fontId="23" type="noConversion"/>
  </si>
  <si>
    <r>
      <rPr>
        <sz val="10"/>
        <color theme="1"/>
        <rFont val="맑은 고딕"/>
        <family val="3"/>
        <charset val="129"/>
      </rPr>
      <t>비고</t>
    </r>
    <phoneticPr fontId="23" type="noConversion"/>
  </si>
  <si>
    <r>
      <rPr>
        <sz val="10"/>
        <color theme="1"/>
        <rFont val="맑은 고딕"/>
        <family val="3"/>
        <charset val="129"/>
      </rPr>
      <t>흑석동</t>
    </r>
    <r>
      <rPr>
        <sz val="10"/>
        <color theme="1"/>
        <rFont val="Arial"/>
        <family val="2"/>
      </rPr>
      <t xml:space="preserve"> 141-12</t>
    </r>
    <phoneticPr fontId="23" type="noConversion"/>
  </si>
  <si>
    <t>2015-10-XX</t>
    <phoneticPr fontId="23" type="noConversion"/>
  </si>
  <si>
    <r>
      <rPr>
        <sz val="10"/>
        <color theme="1"/>
        <rFont val="맑은 고딕"/>
        <family val="3"/>
        <charset val="129"/>
      </rPr>
      <t>등기수수료</t>
    </r>
    <r>
      <rPr>
        <sz val="10"/>
        <color theme="1"/>
        <rFont val="Arial"/>
        <family val="2"/>
      </rPr>
      <t xml:space="preserve"> (Incl. </t>
    </r>
    <r>
      <rPr>
        <sz val="10"/>
        <color theme="1"/>
        <rFont val="맑은 고딕"/>
        <family val="3"/>
        <charset val="129"/>
      </rPr>
      <t>취득세</t>
    </r>
    <r>
      <rPr>
        <sz val="10"/>
        <color theme="1"/>
        <rFont val="Arial"/>
        <family val="2"/>
      </rPr>
      <t>)</t>
    </r>
    <phoneticPr fontId="23" type="noConversion"/>
  </si>
  <si>
    <r>
      <rPr>
        <sz val="10"/>
        <color theme="1"/>
        <rFont val="맑은 고딕"/>
        <family val="3"/>
        <charset val="129"/>
      </rPr>
      <t>매매수수료</t>
    </r>
    <phoneticPr fontId="23" type="noConversion"/>
  </si>
  <si>
    <r>
      <rPr>
        <sz val="10"/>
        <color theme="1"/>
        <rFont val="맑은 고딕"/>
        <family val="3"/>
        <charset val="129"/>
      </rPr>
      <t>아크로리버하임</t>
    </r>
    <r>
      <rPr>
        <sz val="10"/>
        <color theme="1"/>
        <rFont val="Arial"/>
        <family val="2"/>
      </rPr>
      <t xml:space="preserve"> 103</t>
    </r>
    <r>
      <rPr>
        <sz val="10"/>
        <color theme="1"/>
        <rFont val="맑은 고딕"/>
        <family val="3"/>
        <charset val="129"/>
      </rPr>
      <t>동</t>
    </r>
    <r>
      <rPr>
        <sz val="10"/>
        <color theme="1"/>
        <rFont val="Arial"/>
        <family val="2"/>
      </rPr>
      <t xml:space="preserve"> 1704</t>
    </r>
    <r>
      <rPr>
        <sz val="10"/>
        <color theme="1"/>
        <rFont val="맑은 고딕"/>
        <family val="3"/>
        <charset val="129"/>
      </rPr>
      <t>호</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</si>
  <si>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계약금</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</si>
  <si>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 xml:space="preserve">) </t>
    </r>
    <r>
      <rPr>
        <sz val="10"/>
        <color theme="1"/>
        <rFont val="맑은 고딕"/>
        <family val="3"/>
        <charset val="129"/>
      </rPr>
      <t>계약금</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</si>
  <si>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1</t>
    </r>
    <r>
      <rPr>
        <sz val="10"/>
        <color theme="1"/>
        <rFont val="맑은 고딕"/>
        <family val="3"/>
        <charset val="129"/>
      </rPr>
      <t>차</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</si>
  <si>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 xml:space="preserve">) </t>
    </r>
    <r>
      <rPr>
        <sz val="10"/>
        <color theme="1"/>
        <rFont val="맑은 고딕"/>
        <family val="3"/>
        <charset val="129"/>
      </rPr>
      <t>중도금</t>
    </r>
    <r>
      <rPr>
        <sz val="10"/>
        <color theme="1"/>
        <rFont val="Arial"/>
        <family val="2"/>
      </rPr>
      <t xml:space="preserve"> 1</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</si>
  <si>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2</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</si>
  <si>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3</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</si>
  <si>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4</t>
    </r>
    <r>
      <rPr>
        <sz val="10"/>
        <color theme="1"/>
        <rFont val="맑은 고딕"/>
        <family val="3"/>
        <charset val="129"/>
      </rPr>
      <t>차</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</si>
  <si>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 xml:space="preserve">) </t>
    </r>
    <r>
      <rPr>
        <sz val="10"/>
        <color theme="1"/>
        <rFont val="맑은 고딕"/>
        <family val="3"/>
        <charset val="129"/>
      </rPr>
      <t>계약금</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</si>
  <si>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5</t>
    </r>
    <r>
      <rPr>
        <sz val="10"/>
        <color theme="1"/>
        <rFont val="맑은 고딕"/>
        <family val="3"/>
        <charset val="129"/>
      </rPr>
      <t>차</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</si>
  <si>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 xml:space="preserve">) </t>
    </r>
    <r>
      <rPr>
        <sz val="10"/>
        <color theme="1"/>
        <rFont val="맑은 고딕"/>
        <family val="3"/>
        <charset val="129"/>
      </rPr>
      <t>중도금</t>
    </r>
    <r>
      <rPr>
        <sz val="10"/>
        <color theme="1"/>
        <rFont val="Arial"/>
        <family val="2"/>
      </rPr>
      <t xml:space="preserve"> 1</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</si>
  <si>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6</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</si>
  <si>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잔금</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</si>
  <si>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 xml:space="preserve">) </t>
    </r>
    <r>
      <rPr>
        <sz val="10"/>
        <color theme="1"/>
        <rFont val="맑은 고딕"/>
        <family val="3"/>
        <charset val="129"/>
      </rPr>
      <t>잔금</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</si>
  <si>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 xml:space="preserve">) </t>
    </r>
    <r>
      <rPr>
        <sz val="10"/>
        <color theme="1"/>
        <rFont val="맑은 고딕"/>
        <family val="3"/>
        <charset val="129"/>
      </rPr>
      <t>잔금</t>
    </r>
    <phoneticPr fontId="23" type="noConversion"/>
  </si>
  <si>
    <r>
      <rPr>
        <sz val="10"/>
        <color theme="1"/>
        <rFont val="맑은 고딕"/>
        <family val="3"/>
        <charset val="129"/>
      </rPr>
      <t>취득세</t>
    </r>
    <phoneticPr fontId="23" type="noConversion"/>
  </si>
  <si>
    <r>
      <rPr>
        <sz val="10"/>
        <color theme="1"/>
        <rFont val="맑은 고딕"/>
        <family val="3"/>
        <charset val="129"/>
      </rPr>
      <t>증여세</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대출이자</t>
    </r>
    <phoneticPr fontId="23" type="noConversion"/>
  </si>
  <si>
    <r>
      <rPr>
        <sz val="10"/>
        <color theme="1"/>
        <rFont val="맑은 고딕"/>
        <family val="3"/>
        <charset val="129"/>
      </rPr>
      <t>기</t>
    </r>
    <r>
      <rPr>
        <sz val="10"/>
        <color theme="1"/>
        <rFont val="Arial"/>
        <family val="2"/>
      </rPr>
      <t xml:space="preserve"> </t>
    </r>
    <r>
      <rPr>
        <sz val="10"/>
        <color theme="1"/>
        <rFont val="맑은 고딕"/>
        <family val="3"/>
        <charset val="129"/>
      </rPr>
      <t>투입금액</t>
    </r>
    <phoneticPr fontId="23" type="noConversion"/>
  </si>
  <si>
    <r>
      <rPr>
        <sz val="10"/>
        <color theme="1"/>
        <rFont val="맑은 고딕"/>
        <family val="3"/>
        <charset val="129"/>
      </rPr>
      <t>잔금</t>
    </r>
    <phoneticPr fontId="23" type="noConversion"/>
  </si>
  <si>
    <r>
      <rPr>
        <sz val="10"/>
        <color theme="1"/>
        <rFont val="맑은 고딕"/>
        <family val="3"/>
        <charset val="129"/>
      </rPr>
      <t>매입금액</t>
    </r>
    <phoneticPr fontId="23" type="noConversion"/>
  </si>
  <si>
    <r>
      <rPr>
        <sz val="10"/>
        <color theme="1"/>
        <rFont val="맑은 고딕"/>
        <family val="3"/>
        <charset val="129"/>
      </rPr>
      <t>지불</t>
    </r>
    <r>
      <rPr>
        <sz val="10"/>
        <color theme="1"/>
        <rFont val="Arial"/>
        <family val="2"/>
      </rPr>
      <t xml:space="preserve"> </t>
    </r>
    <r>
      <rPr>
        <sz val="10"/>
        <color theme="1"/>
        <rFont val="맑은 고딕"/>
        <family val="3"/>
        <charset val="129"/>
      </rPr>
      <t>완료</t>
    </r>
    <phoneticPr fontId="23" type="noConversion"/>
  </si>
  <si>
    <r>
      <rPr>
        <sz val="10"/>
        <color theme="1"/>
        <rFont val="맑은 고딕"/>
        <family val="3"/>
        <charset val="129"/>
      </rPr>
      <t>태준</t>
    </r>
    <r>
      <rPr>
        <sz val="10"/>
        <color theme="1"/>
        <rFont val="Arial"/>
        <family val="2"/>
      </rPr>
      <t xml:space="preserve"> </t>
    </r>
    <r>
      <rPr>
        <sz val="10"/>
        <color theme="1"/>
        <rFont val="맑은 고딕"/>
        <family val="3"/>
        <charset val="129"/>
      </rPr>
      <t>부모님</t>
    </r>
    <phoneticPr fontId="23" type="noConversion"/>
  </si>
  <si>
    <r>
      <rPr>
        <sz val="10"/>
        <color theme="1"/>
        <rFont val="맑은 고딕"/>
        <family val="3"/>
        <charset val="129"/>
      </rPr>
      <t>흑석동</t>
    </r>
    <r>
      <rPr>
        <sz val="10"/>
        <color theme="1"/>
        <rFont val="Arial"/>
        <family val="2"/>
      </rPr>
      <t xml:space="preserve"> 141-12, </t>
    </r>
    <r>
      <rPr>
        <sz val="10"/>
        <color theme="1"/>
        <rFont val="맑은 고딕"/>
        <family val="3"/>
        <charset val="129"/>
      </rPr>
      <t>아크로리버하임</t>
    </r>
    <r>
      <rPr>
        <sz val="10"/>
        <color theme="1"/>
        <rFont val="Arial"/>
        <family val="2"/>
      </rPr>
      <t xml:space="preserve"> (</t>
    </r>
    <r>
      <rPr>
        <sz val="10"/>
        <color theme="1"/>
        <rFont val="맑은 고딕"/>
        <family val="3"/>
        <charset val="129"/>
      </rPr>
      <t>아파트</t>
    </r>
    <r>
      <rPr>
        <sz val="10"/>
        <color theme="1"/>
        <rFont val="Arial"/>
        <family val="2"/>
      </rPr>
      <t xml:space="preserve">), </t>
    </r>
    <r>
      <rPr>
        <sz val="10"/>
        <color theme="1"/>
        <rFont val="맑은 고딕"/>
        <family val="3"/>
        <charset val="129"/>
      </rPr>
      <t>태준</t>
    </r>
    <r>
      <rPr>
        <sz val="10"/>
        <color theme="1"/>
        <rFont val="Arial"/>
        <family val="2"/>
      </rPr>
      <t xml:space="preserve"> </t>
    </r>
    <r>
      <rPr>
        <sz val="10"/>
        <color theme="1"/>
        <rFont val="맑은 고딕"/>
        <family val="3"/>
        <charset val="129"/>
      </rPr>
      <t>혼전</t>
    </r>
    <r>
      <rPr>
        <sz val="10"/>
        <color theme="1"/>
        <rFont val="Arial"/>
        <family val="2"/>
      </rPr>
      <t xml:space="preserve"> 3,100</t>
    </r>
    <r>
      <rPr>
        <sz val="10"/>
        <color theme="1"/>
        <rFont val="맑은 고딕"/>
        <family val="3"/>
        <charset val="129"/>
      </rPr>
      <t>만원을</t>
    </r>
    <r>
      <rPr>
        <sz val="10"/>
        <color theme="1"/>
        <rFont val="Arial"/>
        <family val="2"/>
      </rPr>
      <t xml:space="preserve"> </t>
    </r>
    <r>
      <rPr>
        <sz val="10"/>
        <color theme="1"/>
        <rFont val="맑은 고딕"/>
        <family val="3"/>
        <charset val="129"/>
      </rPr>
      <t>기</t>
    </r>
    <r>
      <rPr>
        <sz val="10"/>
        <color theme="1"/>
        <rFont val="Arial"/>
        <family val="2"/>
      </rPr>
      <t xml:space="preserve"> </t>
    </r>
    <r>
      <rPr>
        <sz val="10"/>
        <color theme="1"/>
        <rFont val="맑은 고딕"/>
        <family val="3"/>
        <charset val="129"/>
      </rPr>
      <t>투입으로</t>
    </r>
    <r>
      <rPr>
        <sz val="10"/>
        <color theme="1"/>
        <rFont val="Arial"/>
        <family val="2"/>
      </rPr>
      <t xml:space="preserve"> </t>
    </r>
    <r>
      <rPr>
        <sz val="10"/>
        <color theme="1"/>
        <rFont val="맑은 고딕"/>
        <family val="3"/>
        <charset val="129"/>
      </rPr>
      <t>산정</t>
    </r>
    <phoneticPr fontId="23"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</si>
  <si>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아파트</t>
    </r>
    <r>
      <rPr>
        <sz val="10"/>
        <color theme="1"/>
        <rFont val="Arial"/>
        <family val="2"/>
      </rPr>
      <t>/</t>
    </r>
    <r>
      <rPr>
        <sz val="10"/>
        <color theme="1"/>
        <rFont val="맑은 고딕"/>
        <family val="3"/>
        <charset val="129"/>
      </rPr>
      <t>등기수수료</t>
    </r>
    <r>
      <rPr>
        <sz val="10"/>
        <color theme="1"/>
        <rFont val="Arial"/>
        <family val="2"/>
      </rPr>
      <t>/</t>
    </r>
    <r>
      <rPr>
        <sz val="10"/>
        <color theme="1"/>
        <rFont val="맑은 고딕"/>
        <family val="3"/>
        <charset val="129"/>
      </rPr>
      <t>취득세</t>
    </r>
    <r>
      <rPr>
        <sz val="10"/>
        <color theme="1"/>
        <rFont val="Arial"/>
        <family val="2"/>
      </rPr>
      <t>/</t>
    </r>
    <r>
      <rPr>
        <sz val="10"/>
        <color theme="1"/>
        <rFont val="맑은 고딕"/>
        <family val="3"/>
        <charset val="129"/>
      </rPr>
      <t>이주촉진비</t>
    </r>
    <r>
      <rPr>
        <sz val="10"/>
        <color theme="1"/>
        <rFont val="Arial"/>
        <family val="2"/>
      </rPr>
      <t>/</t>
    </r>
    <r>
      <rPr>
        <sz val="10"/>
        <color theme="1"/>
        <rFont val="맑은 고딕"/>
        <family val="3"/>
        <charset val="129"/>
      </rPr>
      <t>관리비</t>
    </r>
    <r>
      <rPr>
        <sz val="10"/>
        <color theme="1"/>
        <rFont val="Arial"/>
        <family val="2"/>
      </rPr>
      <t xml:space="preserve"> </t>
    </r>
    <r>
      <rPr>
        <sz val="10"/>
        <color theme="1"/>
        <rFont val="맑은 고딕"/>
        <family val="3"/>
        <charset val="129"/>
      </rPr>
      <t>예치금</t>
    </r>
    <r>
      <rPr>
        <sz val="10"/>
        <color theme="1"/>
        <rFont val="Arial"/>
        <family val="2"/>
      </rPr>
      <t xml:space="preserve">), </t>
    </r>
    <r>
      <rPr>
        <sz val="10"/>
        <color theme="1"/>
        <rFont val="맑은 고딕"/>
        <family val="3"/>
        <charset val="129"/>
      </rPr>
      <t>증여세</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대출이자</t>
    </r>
    <phoneticPr fontId="23" type="noConversion"/>
  </si>
  <si>
    <r>
      <rPr>
        <sz val="10"/>
        <color theme="1"/>
        <rFont val="맑은 고딕"/>
        <family val="3"/>
        <charset val="129"/>
      </rPr>
      <t>지현</t>
    </r>
    <phoneticPr fontId="23"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</si>
  <si>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별매품</t>
    </r>
    <r>
      <rPr>
        <sz val="10"/>
        <color theme="1"/>
        <rFont val="Arial"/>
        <family val="2"/>
      </rPr>
      <t>2/</t>
    </r>
    <r>
      <rPr>
        <sz val="10"/>
        <color theme="1"/>
        <rFont val="맑은 고딕"/>
        <family val="3"/>
        <charset val="129"/>
      </rPr>
      <t>별매품</t>
    </r>
    <r>
      <rPr>
        <sz val="10"/>
        <color theme="1"/>
        <rFont val="Arial"/>
        <family val="2"/>
      </rPr>
      <t>3)</t>
    </r>
    <phoneticPr fontId="23" type="noConversion"/>
  </si>
  <si>
    <r>
      <rPr>
        <sz val="10"/>
        <color theme="1"/>
        <rFont val="맑은 고딕"/>
        <family val="3"/>
        <charset val="129"/>
      </rPr>
      <t>아파트</t>
    </r>
    <phoneticPr fontId="23" type="noConversion"/>
  </si>
  <si>
    <r>
      <rPr>
        <sz val="10"/>
        <color theme="1"/>
        <rFont val="맑은 고딕"/>
        <family val="3"/>
        <charset val="129"/>
      </rPr>
      <t>합계</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</si>
  <si>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</si>
  <si>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t>
    </r>
    <phoneticPr fontId="23" type="noConversion"/>
  </si>
  <si>
    <t>2019-12-26</t>
  </si>
  <si>
    <t>09:17:56</t>
  </si>
  <si>
    <t>2019-11-26</t>
  </si>
  <si>
    <t>08:32:28</t>
  </si>
  <si>
    <t>2019-10-28</t>
  </si>
  <si>
    <t>08:52:59</t>
  </si>
  <si>
    <t>2019-09-26</t>
  </si>
  <si>
    <t>08:29:17</t>
  </si>
  <si>
    <t>2019-08-26</t>
  </si>
  <si>
    <t>09:31:48</t>
  </si>
  <si>
    <t>2019-07-26</t>
  </si>
  <si>
    <t>08:35:35</t>
  </si>
  <si>
    <t>2019-06-26</t>
  </si>
  <si>
    <t>08:38:28</t>
  </si>
  <si>
    <t>2019-05-27</t>
  </si>
  <si>
    <t>09:23:13</t>
  </si>
  <si>
    <t>2019-04-26</t>
  </si>
  <si>
    <t>08:38:44</t>
  </si>
  <si>
    <t>2019-03-26</t>
  </si>
  <si>
    <t>08:30:00</t>
  </si>
  <si>
    <t>2019-02-26</t>
  </si>
  <si>
    <t>08:32:25</t>
  </si>
  <si>
    <t>2019-01-28</t>
  </si>
  <si>
    <t>08:42:21</t>
  </si>
  <si>
    <t>2018-12-26</t>
  </si>
  <si>
    <t>07:43:40</t>
  </si>
  <si>
    <t>2018-11-30</t>
  </si>
  <si>
    <t>18:20:29</t>
  </si>
  <si>
    <t>2018-11-26</t>
  </si>
  <si>
    <t>07:44:14</t>
  </si>
  <si>
    <t>2018-11-12</t>
  </si>
  <si>
    <t>09:02:10</t>
  </si>
  <si>
    <t>2018-10-26</t>
  </si>
  <si>
    <t>07:37:46</t>
  </si>
  <si>
    <t>2018-10-10</t>
  </si>
  <si>
    <t>09:02:18</t>
  </si>
  <si>
    <t>2018-09-27</t>
  </si>
  <si>
    <t>07:52:44</t>
  </si>
  <si>
    <t>2018-09-10</t>
  </si>
  <si>
    <t>09:00:03</t>
  </si>
  <si>
    <t>2018-08-27</t>
  </si>
  <si>
    <t>07:45:27</t>
  </si>
  <si>
    <t>2018-08-10</t>
  </si>
  <si>
    <t>09:05:10</t>
  </si>
  <si>
    <t>2018-07-26</t>
  </si>
  <si>
    <t>07:36:36</t>
  </si>
  <si>
    <t>2018-07-10</t>
  </si>
  <si>
    <t>08:57:22</t>
  </si>
  <si>
    <t>2018-06-26</t>
  </si>
  <si>
    <t>07:36:45</t>
  </si>
  <si>
    <t>2018-06-11</t>
  </si>
  <si>
    <t>09:05:56</t>
  </si>
  <si>
    <t>2018-05-28</t>
  </si>
  <si>
    <t>07:38:29</t>
  </si>
  <si>
    <t>2018-05-10</t>
  </si>
  <si>
    <t>09:00:50</t>
  </si>
  <si>
    <t>2018-04-26</t>
  </si>
  <si>
    <t>07:36:41</t>
  </si>
  <si>
    <t>2018-04-10</t>
  </si>
  <si>
    <t>08:51:47</t>
  </si>
  <si>
    <t>2018-03-26</t>
  </si>
  <si>
    <t>07:45:44</t>
  </si>
  <si>
    <t>2018-03-12</t>
  </si>
  <si>
    <t>09:03:00</t>
  </si>
  <si>
    <t>2018-02-26</t>
  </si>
  <si>
    <t>07:43:56</t>
  </si>
  <si>
    <t>2018-02-12</t>
  </si>
  <si>
    <t>09:02:47</t>
  </si>
  <si>
    <t>2018-01-26</t>
  </si>
  <si>
    <t>07:36:19</t>
  </si>
  <si>
    <t>2018-01-10</t>
  </si>
  <si>
    <t>08:53:05</t>
  </si>
  <si>
    <t>2017-12-26</t>
  </si>
  <si>
    <t>07:44:04</t>
  </si>
  <si>
    <t>2017-12-11</t>
  </si>
  <si>
    <t>09:01:30</t>
  </si>
  <si>
    <t>2017-11-27</t>
  </si>
  <si>
    <t>07:43:38</t>
  </si>
  <si>
    <t>2017-11-10</t>
  </si>
  <si>
    <t>08:53:59</t>
  </si>
  <si>
    <t>2017-10-26</t>
  </si>
  <si>
    <t>07:35:29</t>
  </si>
  <si>
    <t>2017-10-10</t>
  </si>
  <si>
    <t>08:54:37</t>
  </si>
  <si>
    <t>2017-09-26</t>
  </si>
  <si>
    <t>07:35:27</t>
  </si>
  <si>
    <t>2017-09-11</t>
  </si>
  <si>
    <t>08:55:07</t>
  </si>
  <si>
    <t>2017-08-28</t>
  </si>
  <si>
    <t>07:46:15</t>
  </si>
  <si>
    <t>2017-08-10</t>
  </si>
  <si>
    <t>09:00:09</t>
  </si>
  <si>
    <t>2017-07-26</t>
  </si>
  <si>
    <t>07:46:34</t>
  </si>
  <si>
    <t>2017-07-10</t>
  </si>
  <si>
    <t>08:57:33</t>
  </si>
  <si>
    <t>2017-06-26</t>
  </si>
  <si>
    <t>08:13:05</t>
  </si>
  <si>
    <t>2017-06-12</t>
  </si>
  <si>
    <t>08:33:28</t>
  </si>
  <si>
    <t>2017-05-26</t>
  </si>
  <si>
    <t>07:51:55</t>
  </si>
  <si>
    <t>2017-05-10</t>
  </si>
  <si>
    <t>08:38:19</t>
  </si>
  <si>
    <t>2017-04-26</t>
  </si>
  <si>
    <t>07:45:41</t>
  </si>
  <si>
    <t>2017-04-10</t>
  </si>
  <si>
    <t>08:38:15</t>
  </si>
  <si>
    <t>2017-03-27</t>
  </si>
  <si>
    <t>08:20:11</t>
  </si>
  <si>
    <t>2017-03-10</t>
  </si>
  <si>
    <t>08:35:57</t>
  </si>
  <si>
    <t>2017-02-27</t>
  </si>
  <si>
    <t>08:21:06</t>
  </si>
  <si>
    <t>2017-02-10</t>
  </si>
  <si>
    <t>08:38:45</t>
  </si>
  <si>
    <t>2017-01-26</t>
  </si>
  <si>
    <t>07:54:00</t>
  </si>
  <si>
    <t>2017-01-10</t>
  </si>
  <si>
    <t>09:06:49</t>
  </si>
  <si>
    <t>2016-12-26</t>
  </si>
  <si>
    <t>08:12:14</t>
  </si>
  <si>
    <t>2016-12-12</t>
  </si>
  <si>
    <t>09:20:08</t>
  </si>
  <si>
    <t>2016-11-28</t>
  </si>
  <si>
    <t>07:54:44</t>
  </si>
  <si>
    <t>2016-11-10</t>
  </si>
  <si>
    <t>09:03:06</t>
  </si>
  <si>
    <t>2016-10-26</t>
  </si>
  <si>
    <t>07:44:47</t>
  </si>
  <si>
    <t>2016-10-10</t>
  </si>
  <si>
    <t>09:05:01</t>
  </si>
  <si>
    <t>2016-09-26</t>
  </si>
  <si>
    <t>08:32:59</t>
  </si>
  <si>
    <t>2016-09-12</t>
  </si>
  <si>
    <t>09:39:41</t>
  </si>
  <si>
    <t>2016-08-26</t>
  </si>
  <si>
    <t>07:52:27</t>
  </si>
  <si>
    <t>2016-08-10</t>
  </si>
  <si>
    <t>09:08:02</t>
  </si>
  <si>
    <t>2016-07-26</t>
  </si>
  <si>
    <t>07:48:58</t>
  </si>
  <si>
    <t>2016-07-11</t>
  </si>
  <si>
    <t>09:16:01</t>
  </si>
  <si>
    <t>2016-06-27</t>
  </si>
  <si>
    <t>08:44:06</t>
  </si>
  <si>
    <t>2016-06-10</t>
  </si>
  <si>
    <t>09:16:53</t>
  </si>
  <si>
    <t>2016-05-26</t>
  </si>
  <si>
    <t>07:55:17</t>
  </si>
  <si>
    <t>2016-05-10</t>
  </si>
  <si>
    <t>09:16:12</t>
  </si>
  <si>
    <t>2016-04-26</t>
  </si>
  <si>
    <t>07:54:13</t>
  </si>
  <si>
    <t>2016-04-11</t>
  </si>
  <si>
    <t>09:19:05</t>
  </si>
  <si>
    <t>2016-03-28</t>
  </si>
  <si>
    <t>08:47:14</t>
  </si>
  <si>
    <t>2016-03-10</t>
  </si>
  <si>
    <t>09:05:36</t>
  </si>
  <si>
    <t>2016-02-26</t>
  </si>
  <si>
    <t>07:56:43</t>
  </si>
  <si>
    <t>2016-02-11</t>
  </si>
  <si>
    <t>09:24:25</t>
  </si>
  <si>
    <t>2016-01-26</t>
  </si>
  <si>
    <t>07:48:46</t>
  </si>
  <si>
    <t>2016-01-11</t>
  </si>
  <si>
    <t>2015-12-28</t>
  </si>
  <si>
    <t>11:00:55</t>
  </si>
  <si>
    <t>2015-11-26</t>
  </si>
  <si>
    <t>07:50:27</t>
  </si>
  <si>
    <t>2015-11-19</t>
  </si>
  <si>
    <t>11:19:32</t>
  </si>
  <si>
    <t>09:03:27</t>
  </si>
  <si>
    <r>
      <rPr>
        <sz val="10"/>
        <rFont val="맑은 고딕"/>
        <family val="3"/>
        <charset val="129"/>
      </rPr>
      <t>거래일자</t>
    </r>
  </si>
  <si>
    <r>
      <rPr>
        <sz val="10"/>
        <rFont val="맑은 고딕"/>
        <family val="3"/>
        <charset val="129"/>
      </rPr>
      <t>거래시간</t>
    </r>
  </si>
  <si>
    <r>
      <rPr>
        <sz val="10"/>
        <rFont val="맑은 고딕"/>
        <family val="3"/>
        <charset val="129"/>
      </rPr>
      <t>적요</t>
    </r>
  </si>
  <si>
    <r>
      <rPr>
        <sz val="10"/>
        <rFont val="맑은 고딕"/>
        <family val="3"/>
        <charset val="129"/>
      </rPr>
      <t>출금</t>
    </r>
    <r>
      <rPr>
        <sz val="10"/>
        <rFont val="Arial"/>
        <family val="2"/>
      </rPr>
      <t>(</t>
    </r>
    <r>
      <rPr>
        <sz val="10"/>
        <rFont val="맑은 고딕"/>
        <family val="3"/>
        <charset val="129"/>
      </rPr>
      <t>원</t>
    </r>
    <r>
      <rPr>
        <sz val="10"/>
        <rFont val="Arial"/>
        <family val="2"/>
      </rPr>
      <t>)</t>
    </r>
  </si>
  <si>
    <r>
      <rPr>
        <sz val="10"/>
        <rFont val="맑은 고딕"/>
        <family val="3"/>
        <charset val="129"/>
      </rPr>
      <t>입금</t>
    </r>
    <r>
      <rPr>
        <sz val="10"/>
        <rFont val="Arial"/>
        <family val="2"/>
      </rPr>
      <t>(</t>
    </r>
    <r>
      <rPr>
        <sz val="10"/>
        <rFont val="맑은 고딕"/>
        <family val="3"/>
        <charset val="129"/>
      </rPr>
      <t>원</t>
    </r>
    <r>
      <rPr>
        <sz val="10"/>
        <rFont val="Arial"/>
        <family val="2"/>
      </rPr>
      <t>)</t>
    </r>
  </si>
  <si>
    <r>
      <rPr>
        <sz val="10"/>
        <rFont val="맑은 고딕"/>
        <family val="3"/>
        <charset val="129"/>
      </rPr>
      <t>내용</t>
    </r>
  </si>
  <si>
    <r>
      <rPr>
        <sz val="10"/>
        <rFont val="맑은 고딕"/>
        <family val="3"/>
        <charset val="129"/>
      </rPr>
      <t>잔액</t>
    </r>
    <r>
      <rPr>
        <sz val="10"/>
        <rFont val="Arial"/>
        <family val="2"/>
      </rPr>
      <t>(</t>
    </r>
    <r>
      <rPr>
        <sz val="10"/>
        <rFont val="맑은 고딕"/>
        <family val="3"/>
        <charset val="129"/>
      </rPr>
      <t>원</t>
    </r>
    <r>
      <rPr>
        <sz val="10"/>
        <rFont val="Arial"/>
        <family val="2"/>
      </rPr>
      <t>)</t>
    </r>
  </si>
  <si>
    <r>
      <rPr>
        <sz val="10"/>
        <rFont val="맑은 고딕"/>
        <family val="3"/>
        <charset val="129"/>
      </rPr>
      <t>거래점</t>
    </r>
  </si>
  <si>
    <r>
      <rPr>
        <sz val="10"/>
        <rFont val="맑은 고딕"/>
        <family val="3"/>
        <charset val="129"/>
      </rPr>
      <t>타행</t>
    </r>
    <r>
      <rPr>
        <sz val="10"/>
        <rFont val="Arial"/>
        <family val="2"/>
      </rPr>
      <t>CC</t>
    </r>
  </si>
  <si>
    <r>
      <t>011.</t>
    </r>
    <r>
      <rPr>
        <sz val="10"/>
        <rFont val="맑은 고딕"/>
        <family val="3"/>
        <charset val="129"/>
      </rPr>
      <t>원금및이자</t>
    </r>
  </si>
  <si>
    <r>
      <rPr>
        <sz val="10"/>
        <rFont val="맑은 고딕"/>
        <family val="3"/>
        <charset val="129"/>
      </rPr>
      <t>자금부</t>
    </r>
  </si>
  <si>
    <r>
      <t>011.</t>
    </r>
    <r>
      <rPr>
        <sz val="10"/>
        <rFont val="맑은 고딕"/>
        <family val="3"/>
        <charset val="129"/>
      </rPr>
      <t>차용금이자</t>
    </r>
  </si>
  <si>
    <r>
      <rPr>
        <sz val="10"/>
        <rFont val="맑은 고딕"/>
        <family val="3"/>
        <charset val="129"/>
      </rPr>
      <t>유동</t>
    </r>
    <r>
      <rPr>
        <sz val="10"/>
        <rFont val="Arial"/>
        <family val="2"/>
      </rPr>
      <t>CC</t>
    </r>
  </si>
  <si>
    <r>
      <rPr>
        <sz val="10"/>
        <rFont val="맑은 고딕"/>
        <family val="3"/>
        <charset val="129"/>
      </rPr>
      <t>부동산대금</t>
    </r>
  </si>
  <si>
    <r>
      <rPr>
        <sz val="10"/>
        <rFont val="맑은 고딕"/>
        <family val="3"/>
        <charset val="129"/>
      </rPr>
      <t>안국역</t>
    </r>
  </si>
  <si>
    <r>
      <rPr>
        <sz val="10"/>
        <rFont val="맑은 고딕"/>
        <family val="3"/>
        <charset val="129"/>
      </rPr>
      <t>타행폰</t>
    </r>
  </si>
  <si>
    <r>
      <rPr>
        <sz val="10"/>
        <rFont val="맑은 고딕"/>
        <family val="3"/>
        <charset val="129"/>
      </rPr>
      <t>김미경</t>
    </r>
  </si>
  <si>
    <r>
      <t>(</t>
    </r>
    <r>
      <rPr>
        <sz val="10"/>
        <rFont val="맑은 고딕"/>
        <family val="3"/>
        <charset val="129"/>
      </rPr>
      <t>농협</t>
    </r>
    <r>
      <rPr>
        <sz val="10"/>
        <rFont val="Arial"/>
        <family val="2"/>
      </rPr>
      <t>)</t>
    </r>
  </si>
  <si>
    <r>
      <rPr>
        <sz val="10"/>
        <rFont val="맑은 고딕"/>
        <family val="3"/>
        <charset val="129"/>
      </rPr>
      <t>타행</t>
    </r>
    <r>
      <rPr>
        <sz val="10"/>
        <rFont val="Arial"/>
        <family val="2"/>
      </rPr>
      <t>FB</t>
    </r>
  </si>
  <si>
    <r>
      <rPr>
        <sz val="10"/>
        <rFont val="맑은 고딕"/>
        <family val="3"/>
        <charset val="129"/>
      </rPr>
      <t>창원</t>
    </r>
  </si>
  <si>
    <r>
      <t>CD</t>
    </r>
    <r>
      <rPr>
        <sz val="10"/>
        <rFont val="맑은 고딕"/>
        <family val="3"/>
        <charset val="129"/>
      </rPr>
      <t>입금</t>
    </r>
  </si>
  <si>
    <t>2016-01 ~ 2019-12</t>
    <phoneticPr fontId="23" type="noConversion"/>
  </si>
  <si>
    <t>부모님</t>
    <phoneticPr fontId="5" type="noConversion"/>
  </si>
  <si>
    <t>태준</t>
    <phoneticPr fontId="5" type="noConversion"/>
  </si>
  <si>
    <t>양지현</t>
    <phoneticPr fontId="5" type="noConversion"/>
  </si>
  <si>
    <t>순번</t>
    <phoneticPr fontId="5" type="noConversion"/>
  </si>
  <si>
    <t>거래처</t>
    <phoneticPr fontId="5" type="noConversion"/>
  </si>
  <si>
    <t>예산</t>
    <phoneticPr fontId="5" type="noConversion"/>
  </si>
  <si>
    <t>태준 예산</t>
    <phoneticPr fontId="5" type="noConversion"/>
  </si>
  <si>
    <t>태준 예산 마련 주체</t>
    <phoneticPr fontId="5" type="noConversion"/>
  </si>
  <si>
    <t>지현 예산</t>
    <phoneticPr fontId="5" type="noConversion"/>
  </si>
  <si>
    <t>지현 예산 마련 주체</t>
    <phoneticPr fontId="5" type="noConversion"/>
  </si>
  <si>
    <t>실제 지출 비용</t>
    <phoneticPr fontId="5" type="noConversion"/>
  </si>
  <si>
    <t>태준 실제 지출 비용</t>
    <phoneticPr fontId="5" type="noConversion"/>
  </si>
  <si>
    <t>지현 실제 지출 비용</t>
    <phoneticPr fontId="5" type="noConversion"/>
  </si>
  <si>
    <t>기 지출 비용</t>
    <phoneticPr fontId="5" type="noConversion"/>
  </si>
  <si>
    <t>잔금</t>
    <phoneticPr fontId="5" type="noConversion"/>
  </si>
  <si>
    <t>합계</t>
    <phoneticPr fontId="5" type="noConversion"/>
  </si>
  <si>
    <t>지현</t>
    <phoneticPr fontId="5" type="noConversion"/>
  </si>
  <si>
    <t>주택</t>
    <phoneticPr fontId="5" type="noConversion"/>
  </si>
  <si>
    <t>아크로리버하임</t>
    <phoneticPr fontId="5" type="noConversion"/>
  </si>
  <si>
    <t>태준 부모님 / 태준</t>
    <phoneticPr fontId="5" type="noConversion"/>
  </si>
  <si>
    <t>혼수</t>
    <phoneticPr fontId="5" type="noConversion"/>
  </si>
  <si>
    <t>LG전자, 한샘 외 다수</t>
    <phoneticPr fontId="5" type="noConversion"/>
  </si>
  <si>
    <t>지현 부모님 / 지현</t>
    <phoneticPr fontId="5" type="noConversion"/>
  </si>
  <si>
    <t>지불 완료</t>
    <phoneticPr fontId="5" type="noConversion"/>
  </si>
  <si>
    <t>상견례</t>
    <phoneticPr fontId="5" type="noConversion"/>
  </si>
  <si>
    <t>바우고개 외 다수</t>
    <phoneticPr fontId="5" type="noConversion"/>
  </si>
  <si>
    <t>예식장 대관비</t>
    <phoneticPr fontId="5" type="noConversion"/>
  </si>
  <si>
    <t>파티오나인</t>
    <phoneticPr fontId="5" type="noConversion"/>
  </si>
  <si>
    <t>태준 부모님</t>
    <phoneticPr fontId="5" type="noConversion"/>
  </si>
  <si>
    <t>지현 부모님</t>
    <phoneticPr fontId="5" type="noConversion"/>
  </si>
  <si>
    <t>예식장 식비</t>
    <phoneticPr fontId="5" type="noConversion"/>
  </si>
  <si>
    <t>최소예산</t>
    <phoneticPr fontId="5" type="noConversion"/>
  </si>
  <si>
    <t>최종금액 기억안남…</t>
    <phoneticPr fontId="5" type="noConversion"/>
  </si>
  <si>
    <t>청첩장</t>
    <phoneticPr fontId="5" type="noConversion"/>
  </si>
  <si>
    <t>바른컴퍼니</t>
    <phoneticPr fontId="5" type="noConversion"/>
  </si>
  <si>
    <r>
      <rPr>
        <sz val="10"/>
        <color theme="1"/>
        <rFont val="돋움"/>
        <family val="3"/>
        <charset val="129"/>
      </rPr>
      <t>지불</t>
    </r>
    <r>
      <rPr>
        <sz val="10"/>
        <color theme="1"/>
        <rFont val="Arial"/>
        <family val="2"/>
      </rPr>
      <t xml:space="preserve"> </t>
    </r>
    <r>
      <rPr>
        <sz val="10"/>
        <color theme="1"/>
        <rFont val="돋움"/>
        <family val="3"/>
        <charset val="129"/>
      </rPr>
      <t>완료</t>
    </r>
    <phoneticPr fontId="5" type="noConversion"/>
  </si>
  <si>
    <t>답례장</t>
    <phoneticPr fontId="5" type="noConversion"/>
  </si>
  <si>
    <t>카드마켓</t>
    <phoneticPr fontId="5" type="noConversion"/>
  </si>
  <si>
    <t>모바일청첩장</t>
    <phoneticPr fontId="5" type="noConversion"/>
  </si>
  <si>
    <t>보자기카드</t>
    <phoneticPr fontId="5" type="noConversion"/>
  </si>
  <si>
    <t>결혼식순서지</t>
    <phoneticPr fontId="5" type="noConversion"/>
  </si>
  <si>
    <t>베델리엄</t>
    <phoneticPr fontId="5" type="noConversion"/>
  </si>
  <si>
    <t>결혼식 DVD</t>
    <phoneticPr fontId="5" type="noConversion"/>
  </si>
  <si>
    <t>연남공방</t>
    <phoneticPr fontId="5" type="noConversion"/>
  </si>
  <si>
    <t>허니문</t>
    <phoneticPr fontId="5" type="noConversion"/>
  </si>
  <si>
    <t>허니문코리아</t>
    <phoneticPr fontId="5" type="noConversion"/>
  </si>
  <si>
    <t>경비</t>
    <phoneticPr fontId="5" type="noConversion"/>
  </si>
  <si>
    <t>웨딩패키지(스드메) - 수모비 포함</t>
    <phoneticPr fontId="5" type="noConversion"/>
  </si>
  <si>
    <t>디자인웨딩</t>
    <phoneticPr fontId="5" type="noConversion"/>
  </si>
  <si>
    <t>드레스피팅</t>
    <phoneticPr fontId="5" type="noConversion"/>
  </si>
  <si>
    <t>정소연웨딩루이즈 외 다수</t>
    <phoneticPr fontId="5" type="noConversion"/>
  </si>
  <si>
    <t>신랑혼주메이크업</t>
    <phoneticPr fontId="5" type="noConversion"/>
  </si>
  <si>
    <t>김선진끌로에</t>
    <phoneticPr fontId="5" type="noConversion"/>
  </si>
  <si>
    <t>프로포즈</t>
    <phoneticPr fontId="5" type="noConversion"/>
  </si>
  <si>
    <t>새미쥬얼리 (진주목걸이)</t>
    <phoneticPr fontId="5" type="noConversion"/>
  </si>
  <si>
    <t>웨딩커플링</t>
    <phoneticPr fontId="5" type="noConversion"/>
  </si>
  <si>
    <t>백작바이피렌체</t>
    <phoneticPr fontId="5" type="noConversion"/>
  </si>
  <si>
    <t>신부예물</t>
    <phoneticPr fontId="5" type="noConversion"/>
  </si>
  <si>
    <t>백작바이피렌체 (다이아반지)</t>
    <phoneticPr fontId="5" type="noConversion"/>
  </si>
  <si>
    <t>백작바이피렌체 (목걸이 / 팔찌)</t>
    <phoneticPr fontId="5" type="noConversion"/>
  </si>
  <si>
    <t>신랑예물</t>
    <phoneticPr fontId="5" type="noConversion"/>
  </si>
  <si>
    <t>예거르쿨트르 (시계)</t>
    <phoneticPr fontId="5" type="noConversion"/>
  </si>
  <si>
    <t>신랑예복</t>
    <phoneticPr fontId="5" type="noConversion"/>
  </si>
  <si>
    <t>스플렌디노</t>
    <phoneticPr fontId="5" type="noConversion"/>
  </si>
  <si>
    <t>신부한복</t>
    <phoneticPr fontId="5" type="noConversion"/>
  </si>
  <si>
    <t>전통한복연</t>
    <phoneticPr fontId="5" type="noConversion"/>
  </si>
  <si>
    <t>신랑혼주한복</t>
    <phoneticPr fontId="5" type="noConversion"/>
  </si>
  <si>
    <t>TBD</t>
    <phoneticPr fontId="5" type="noConversion"/>
  </si>
  <si>
    <t>신랑한복</t>
    <phoneticPr fontId="5" type="noConversion"/>
  </si>
  <si>
    <t>신부혼주한복</t>
    <phoneticPr fontId="5" type="noConversion"/>
  </si>
  <si>
    <t>현금예단</t>
    <phoneticPr fontId="5" type="noConversion"/>
  </si>
  <si>
    <t>현물예단</t>
    <phoneticPr fontId="5" type="noConversion"/>
  </si>
  <si>
    <t>바디프랜드 (시아버지)</t>
    <phoneticPr fontId="5" type="noConversion"/>
  </si>
  <si>
    <t>프라다 (시어머니)</t>
    <phoneticPr fontId="5" type="noConversion"/>
  </si>
  <si>
    <t>Various Shop (침구)</t>
    <phoneticPr fontId="5" type="noConversion"/>
  </si>
  <si>
    <t>모름</t>
    <phoneticPr fontId="5" type="noConversion"/>
  </si>
  <si>
    <t>신부꾸밈비</t>
    <phoneticPr fontId="5" type="noConversion"/>
  </si>
  <si>
    <t>이바지</t>
    <phoneticPr fontId="5" type="noConversion"/>
  </si>
  <si>
    <t>함들이</t>
    <phoneticPr fontId="5" type="noConversion"/>
  </si>
  <si>
    <t>다듬나리공방 외 다수</t>
    <phoneticPr fontId="5" type="noConversion"/>
  </si>
  <si>
    <t>결혼예비학교</t>
    <phoneticPr fontId="5" type="noConversion"/>
  </si>
  <si>
    <t>두란노</t>
    <phoneticPr fontId="5" type="noConversion"/>
  </si>
  <si>
    <t>TOTAL</t>
    <phoneticPr fontId="5" type="noConversion"/>
  </si>
  <si>
    <t>웨딩패키지 (스드메)</t>
    <phoneticPr fontId="5" type="noConversion"/>
  </si>
  <si>
    <r>
      <rPr>
        <sz val="10"/>
        <color theme="1"/>
        <rFont val="돋움"/>
        <family val="3"/>
        <charset val="129"/>
      </rPr>
      <t>수모비</t>
    </r>
    <r>
      <rPr>
        <sz val="10"/>
        <color theme="1"/>
        <rFont val="Arial"/>
        <family val="2"/>
      </rPr>
      <t xml:space="preserve"> </t>
    </r>
    <r>
      <rPr>
        <sz val="10"/>
        <color theme="1"/>
        <rFont val="돋움"/>
        <family val="3"/>
        <charset val="129"/>
      </rPr>
      <t>포함</t>
    </r>
    <phoneticPr fontId="5" type="noConversion"/>
  </si>
  <si>
    <t>TBD (식당 / 블루미시티 등)</t>
    <phoneticPr fontId="5" type="noConversion"/>
  </si>
  <si>
    <t>태준 하객 섭외</t>
    <phoneticPr fontId="5" type="noConversion"/>
  </si>
  <si>
    <t>사회자 섭외</t>
    <phoneticPr fontId="5" type="noConversion"/>
  </si>
  <si>
    <t>기도자 섭외</t>
    <phoneticPr fontId="5" type="noConversion"/>
  </si>
  <si>
    <t>주례자 섭외</t>
    <phoneticPr fontId="5" type="noConversion"/>
  </si>
  <si>
    <t>웨딩카 섭외</t>
    <phoneticPr fontId="5" type="noConversion"/>
  </si>
  <si>
    <t>축가 섭외</t>
    <phoneticPr fontId="5" type="noConversion"/>
  </si>
  <si>
    <t>결혼 준비 비용 지출 대장</t>
    <phoneticPr fontId="5" type="noConversion"/>
  </si>
  <si>
    <r>
      <rPr>
        <sz val="10"/>
        <color theme="1"/>
        <rFont val="맑은 고딕"/>
        <family val="3"/>
        <charset val="129"/>
      </rPr>
      <t>일자</t>
    </r>
    <phoneticPr fontId="5" type="noConversion"/>
  </si>
  <si>
    <r>
      <rPr>
        <sz val="10"/>
        <color theme="1"/>
        <rFont val="맑은 고딕"/>
        <family val="3"/>
        <charset val="129"/>
      </rPr>
      <t>금액</t>
    </r>
    <phoneticPr fontId="5" type="noConversion"/>
  </si>
  <si>
    <r>
      <rPr>
        <sz val="10"/>
        <color theme="1"/>
        <rFont val="맑은 고딕"/>
        <family val="3"/>
        <charset val="129"/>
      </rPr>
      <t>잔금</t>
    </r>
    <phoneticPr fontId="5" type="noConversion"/>
  </si>
  <si>
    <t>결제자</t>
    <phoneticPr fontId="5" type="noConversion"/>
  </si>
  <si>
    <t>결제수단</t>
    <phoneticPr fontId="5" type="noConversion"/>
  </si>
  <si>
    <t>결혼 준비 비용 포함 여부</t>
    <phoneticPr fontId="5" type="noConversion"/>
  </si>
  <si>
    <t>영수증</t>
    <phoneticPr fontId="5" type="noConversion"/>
  </si>
  <si>
    <t>예비처가</t>
    <phoneticPr fontId="5" type="noConversion"/>
  </si>
  <si>
    <t>예비처가 인사선물 (Waterman)</t>
    <phoneticPr fontId="5" type="noConversion"/>
  </si>
  <si>
    <t>직불카드 (신한)</t>
    <phoneticPr fontId="5" type="noConversion"/>
  </si>
  <si>
    <t>O</t>
    <phoneticPr fontId="5" type="noConversion"/>
  </si>
  <si>
    <t>예비처가 인사선물 (Chanel)</t>
    <phoneticPr fontId="5" type="noConversion"/>
  </si>
  <si>
    <t>신용카드 (현대백화점)</t>
    <phoneticPr fontId="5" type="noConversion"/>
  </si>
  <si>
    <t>예비시가</t>
    <phoneticPr fontId="5" type="noConversion"/>
  </si>
  <si>
    <t>유류비 (선산휴게소)</t>
    <phoneticPr fontId="5" type="noConversion"/>
  </si>
  <si>
    <t>유류비 (문경휴게소)</t>
    <phoneticPr fontId="5" type="noConversion"/>
  </si>
  <si>
    <r>
      <t xml:space="preserve">고속도로 통행료 (서울 </t>
    </r>
    <r>
      <rPr>
        <sz val="10"/>
        <color theme="1"/>
        <rFont val="HY견명조"/>
        <family val="1"/>
        <charset val="129"/>
      </rPr>
      <t>↔</t>
    </r>
    <r>
      <rPr>
        <sz val="10"/>
        <color theme="1"/>
        <rFont val="맑은 고딕"/>
        <family val="3"/>
        <charset val="129"/>
        <scheme val="minor"/>
      </rPr>
      <t xml:space="preserve"> 창원)</t>
    </r>
    <phoneticPr fontId="5" type="noConversion"/>
  </si>
  <si>
    <t>신용카드 (신한)</t>
    <phoneticPr fontId="5" type="noConversion"/>
  </si>
  <si>
    <t>기타 경비 (가음정시장 분식집)</t>
    <phoneticPr fontId="5" type="noConversion"/>
  </si>
  <si>
    <t>간식 (문경휴게소)</t>
    <phoneticPr fontId="5" type="noConversion"/>
  </si>
  <si>
    <t>직불카드 (우리)</t>
    <phoneticPr fontId="5" type="noConversion"/>
  </si>
  <si>
    <t>호텔선샤인 (현대카드 PRIVIA)</t>
    <phoneticPr fontId="5" type="noConversion"/>
  </si>
  <si>
    <t>신용카드 (현대)</t>
    <phoneticPr fontId="5" type="noConversion"/>
  </si>
  <si>
    <t>바우고개</t>
    <phoneticPr fontId="5" type="noConversion"/>
  </si>
  <si>
    <t>던킨도너츠</t>
    <phoneticPr fontId="5" type="noConversion"/>
  </si>
  <si>
    <t>청청</t>
    <phoneticPr fontId="5" type="noConversion"/>
  </si>
  <si>
    <t>진옥화닭한마리</t>
    <phoneticPr fontId="5" type="noConversion"/>
  </si>
  <si>
    <t>지현 20만원</t>
    <phoneticPr fontId="5" type="noConversion"/>
  </si>
  <si>
    <t>예비처가 추석선물 (현대백화점)</t>
    <phoneticPr fontId="5" type="noConversion"/>
  </si>
  <si>
    <t>파티오나인 (계약금)</t>
    <phoneticPr fontId="5" type="noConversion"/>
  </si>
  <si>
    <t>지현 100만원</t>
    <phoneticPr fontId="5" type="noConversion"/>
  </si>
  <si>
    <t>디자인웨딩 (계약금)</t>
    <phoneticPr fontId="5" type="noConversion"/>
  </si>
  <si>
    <t>지현 30만 3250원</t>
    <phoneticPr fontId="5" type="noConversion"/>
  </si>
  <si>
    <t>예비처가 선물 (진영단감축제)</t>
    <phoneticPr fontId="5" type="noConversion"/>
  </si>
  <si>
    <t>드레스 피팅</t>
    <phoneticPr fontId="5" type="noConversion"/>
  </si>
  <si>
    <t>제이미브라이드 (피팅비)</t>
    <phoneticPr fontId="5" type="noConversion"/>
  </si>
  <si>
    <t>제이미브라이드 (발렛주차)</t>
    <phoneticPr fontId="5" type="noConversion"/>
  </si>
  <si>
    <t>제이브라이드 (피팅비)</t>
    <phoneticPr fontId="5" type="noConversion"/>
  </si>
  <si>
    <t>제이브라이드 (발렛주차)</t>
    <phoneticPr fontId="5" type="noConversion"/>
  </si>
  <si>
    <t>정소연웨딩루이즈 (피팅비)</t>
    <phoneticPr fontId="5" type="noConversion"/>
  </si>
  <si>
    <t>정소연웨딩루이즈 (발렛주차)</t>
    <phoneticPr fontId="5" type="noConversion"/>
  </si>
  <si>
    <t>리틀사이공</t>
    <phoneticPr fontId="5" type="noConversion"/>
  </si>
  <si>
    <t>백작바이피렌체 (발렛주차)</t>
    <phoneticPr fontId="5" type="noConversion"/>
  </si>
  <si>
    <t>스플렌디노 (알프레드브라운 / 레다)</t>
    <phoneticPr fontId="5" type="noConversion"/>
  </si>
  <si>
    <t>스플렌디노 (발렛주차)</t>
    <phoneticPr fontId="5" type="noConversion"/>
  </si>
  <si>
    <t>식사</t>
    <phoneticPr fontId="5" type="noConversion"/>
  </si>
  <si>
    <t>엘타워</t>
    <phoneticPr fontId="5" type="noConversion"/>
  </si>
  <si>
    <t>엘타워 (주차비)</t>
    <phoneticPr fontId="5" type="noConversion"/>
  </si>
  <si>
    <t>효성 쥬얼리시티 (주차비)</t>
    <phoneticPr fontId="5" type="noConversion"/>
  </si>
  <si>
    <t>다채</t>
    <phoneticPr fontId="5" type="noConversion"/>
  </si>
  <si>
    <t>닥터로빈</t>
    <phoneticPr fontId="5" type="noConversion"/>
  </si>
  <si>
    <t>이체 기록으로 영수증 대체 (지현 5만원)</t>
    <phoneticPr fontId="5" type="noConversion"/>
  </si>
  <si>
    <t>이체 기록으로 영수증 대체</t>
    <phoneticPr fontId="5" type="noConversion"/>
  </si>
  <si>
    <t>인출 기록/확인서로 영수증 대체 (지현 80만원)</t>
    <phoneticPr fontId="5" type="noConversion"/>
  </si>
  <si>
    <t>인출 기록/확인서로 영수증 대체</t>
    <phoneticPr fontId="5" type="noConversion"/>
  </si>
  <si>
    <t>디자인웨딩 (중도금)</t>
    <phoneticPr fontId="5" type="noConversion"/>
  </si>
  <si>
    <t>스튜디오홍진 (수모비)</t>
    <phoneticPr fontId="5" type="noConversion"/>
  </si>
  <si>
    <t>인출 기록으로 영수증 대체</t>
    <phoneticPr fontId="5" type="noConversion"/>
  </si>
  <si>
    <t>스튜디오홍진 (원본+수정본 CD)</t>
    <phoneticPr fontId="5" type="noConversion"/>
  </si>
  <si>
    <t>스튜디오홍진 (발렛주차)</t>
    <phoneticPr fontId="5" type="noConversion"/>
  </si>
  <si>
    <t>예비처가 인사선물 (화과자)</t>
    <phoneticPr fontId="5" type="noConversion"/>
  </si>
  <si>
    <t>취향</t>
    <phoneticPr fontId="5" type="noConversion"/>
  </si>
  <si>
    <t>스튜디오홍진 (사진추가)</t>
    <phoneticPr fontId="5" type="noConversion"/>
  </si>
  <si>
    <t>예비처형 생일선물 (Wedgwood)</t>
    <phoneticPr fontId="5" type="noConversion"/>
  </si>
  <si>
    <t>이체 기록으로 영수증 대체 (지현 13만 9천원)</t>
    <phoneticPr fontId="5" type="noConversion"/>
  </si>
  <si>
    <t>아크로리버하임 (인덕션 계약금)</t>
    <phoneticPr fontId="5" type="noConversion"/>
  </si>
  <si>
    <t>지현 8만 5천원</t>
    <phoneticPr fontId="5" type="noConversion"/>
  </si>
  <si>
    <t>이체 기록으로 영수증 대체 (1만 8백원 환급)</t>
    <phoneticPr fontId="5" type="noConversion"/>
  </si>
  <si>
    <t>병맥주할인점 (화공 리액터스)</t>
    <phoneticPr fontId="5" type="noConversion"/>
  </si>
  <si>
    <t>프라다</t>
    <phoneticPr fontId="5" type="noConversion"/>
  </si>
  <si>
    <r>
      <rPr>
        <sz val="10"/>
        <color theme="1"/>
        <rFont val="맑은 고딕"/>
        <family val="3"/>
        <charset val="129"/>
      </rPr>
      <t>뮌헨</t>
    </r>
    <r>
      <rPr>
        <sz val="10"/>
        <color theme="1"/>
        <rFont val="Arial"/>
        <family val="2"/>
      </rPr>
      <t xml:space="preserve"> </t>
    </r>
    <r>
      <rPr>
        <sz val="10"/>
        <color theme="1"/>
        <rFont val="맑은 고딕"/>
        <family val="3"/>
        <charset val="129"/>
      </rPr>
      <t>프라다</t>
    </r>
    <r>
      <rPr>
        <sz val="10"/>
        <color theme="1"/>
        <rFont val="Arial"/>
        <family val="2"/>
      </rPr>
      <t xml:space="preserve"> </t>
    </r>
    <r>
      <rPr>
        <sz val="10"/>
        <color theme="1"/>
        <rFont val="맑은 고딕"/>
        <family val="3"/>
        <charset val="129"/>
      </rPr>
      <t>매장</t>
    </r>
    <r>
      <rPr>
        <sz val="10"/>
        <color theme="1"/>
        <rFont val="Arial"/>
        <family val="2"/>
      </rPr>
      <t xml:space="preserve">: € 2,200 (Tax Refund: € 267)
</t>
    </r>
    <r>
      <rPr>
        <sz val="10"/>
        <color theme="1"/>
        <rFont val="맑은 고딕"/>
        <family val="3"/>
        <charset val="129"/>
      </rPr>
      <t>왕복</t>
    </r>
    <r>
      <rPr>
        <sz val="10"/>
        <color theme="1"/>
        <rFont val="Arial"/>
        <family val="2"/>
      </rPr>
      <t xml:space="preserve"> ICE: € 114
</t>
    </r>
    <r>
      <rPr>
        <sz val="10"/>
        <color theme="1"/>
        <rFont val="맑은 고딕"/>
        <family val="3"/>
        <charset val="129"/>
      </rPr>
      <t>상기와</t>
    </r>
    <r>
      <rPr>
        <sz val="10"/>
        <color theme="1"/>
        <rFont val="Arial"/>
        <family val="2"/>
      </rPr>
      <t xml:space="preserve"> </t>
    </r>
    <r>
      <rPr>
        <sz val="10"/>
        <color theme="1"/>
        <rFont val="맑은 고딕"/>
        <family val="3"/>
        <charset val="129"/>
      </rPr>
      <t>환전수수료를</t>
    </r>
    <r>
      <rPr>
        <sz val="10"/>
        <color theme="1"/>
        <rFont val="Arial"/>
        <family val="2"/>
      </rPr>
      <t xml:space="preserve"> </t>
    </r>
    <r>
      <rPr>
        <sz val="10"/>
        <color theme="1"/>
        <rFont val="맑은 고딕"/>
        <family val="3"/>
        <charset val="129"/>
      </rPr>
      <t>고려하여</t>
    </r>
    <r>
      <rPr>
        <sz val="10"/>
        <color theme="1"/>
        <rFont val="Arial"/>
        <family val="2"/>
      </rPr>
      <t xml:space="preserve"> 2,700,000</t>
    </r>
    <r>
      <rPr>
        <sz val="10"/>
        <color theme="1"/>
        <rFont val="맑은 고딕"/>
        <family val="3"/>
        <charset val="129"/>
      </rPr>
      <t>원으로</t>
    </r>
    <r>
      <rPr>
        <sz val="10"/>
        <color theme="1"/>
        <rFont val="Arial"/>
        <family val="2"/>
      </rPr>
      <t xml:space="preserve"> </t>
    </r>
    <r>
      <rPr>
        <sz val="10"/>
        <color theme="1"/>
        <rFont val="맑은 고딕"/>
        <family val="3"/>
        <charset val="129"/>
      </rPr>
      <t>정산</t>
    </r>
    <r>
      <rPr>
        <sz val="10"/>
        <color theme="1"/>
        <rFont val="Arial"/>
        <family val="2"/>
      </rPr>
      <t xml:space="preserve"> (2018-03-09 </t>
    </r>
    <r>
      <rPr>
        <sz val="10"/>
        <color theme="1"/>
        <rFont val="맑은 고딕"/>
        <family val="3"/>
        <charset val="129"/>
      </rPr>
      <t>신한은행</t>
    </r>
    <r>
      <rPr>
        <sz val="10"/>
        <color theme="1"/>
        <rFont val="Arial"/>
        <family val="2"/>
      </rPr>
      <t xml:space="preserve"> 40%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1,333.36 </t>
    </r>
    <r>
      <rPr>
        <sz val="10"/>
        <color theme="1"/>
        <rFont val="맑은 고딕"/>
        <family val="3"/>
        <charset val="129"/>
      </rPr>
      <t>원</t>
    </r>
    <r>
      <rPr>
        <sz val="10"/>
        <color theme="1"/>
        <rFont val="Arial"/>
        <family val="2"/>
      </rPr>
      <t>)</t>
    </r>
    <phoneticPr fontId="5" type="noConversion"/>
  </si>
  <si>
    <t>예거르쿨트르</t>
    <phoneticPr fontId="5" type="noConversion"/>
  </si>
  <si>
    <t>바른컴퍼니 (50장 추가)</t>
    <phoneticPr fontId="5" type="noConversion"/>
  </si>
  <si>
    <t>주유별장 (김홍미)</t>
    <phoneticPr fontId="5" type="noConversion"/>
  </si>
  <si>
    <t>예비장모님 생신선물 (Saint Luxure)</t>
    <phoneticPr fontId="5" type="noConversion"/>
  </si>
  <si>
    <t>태준부모님 ($ 100)</t>
    <phoneticPr fontId="5" type="noConversion"/>
  </si>
  <si>
    <t>약손명가 (웨딩케어 10회)</t>
    <phoneticPr fontId="5" type="noConversion"/>
  </si>
  <si>
    <t>만수옥 (김범석, 서동엽)</t>
    <phoneticPr fontId="5" type="noConversion"/>
  </si>
  <si>
    <t>더블린테라스 (김민철, 김희진, 신민식, 최세영, 추연백)</t>
    <phoneticPr fontId="5" type="noConversion"/>
  </si>
  <si>
    <t>예비처가 인사선물 (애플망고)</t>
    <phoneticPr fontId="5" type="noConversion"/>
  </si>
  <si>
    <t>지고트 (신부예복)</t>
    <phoneticPr fontId="5" type="noConversion"/>
  </si>
  <si>
    <t>지고트 (신부예복 수선비)</t>
    <phoneticPr fontId="5" type="noConversion"/>
  </si>
  <si>
    <t>Hmall (캐리어)</t>
    <phoneticPr fontId="5" type="noConversion"/>
  </si>
  <si>
    <t>직원쇼핑몰포인트</t>
    <phoneticPr fontId="5" type="noConversion"/>
  </si>
  <si>
    <t>의정부 부대고기 (박상진)</t>
    <phoneticPr fontId="5" type="noConversion"/>
  </si>
  <si>
    <t>취향 (한상욱)</t>
    <phoneticPr fontId="5" type="noConversion"/>
  </si>
  <si>
    <t>동방미인</t>
    <phoneticPr fontId="5" type="noConversion"/>
  </si>
  <si>
    <t>아크로리버하임 (인덕션 중도금)</t>
    <phoneticPr fontId="5" type="noConversion"/>
  </si>
  <si>
    <t>지현 17만원</t>
    <phoneticPr fontId="5" type="noConversion"/>
  </si>
  <si>
    <t>루이비통</t>
    <phoneticPr fontId="5" type="noConversion"/>
  </si>
  <si>
    <r>
      <rPr>
        <sz val="10"/>
        <color theme="1"/>
        <rFont val="맑은 고딕"/>
        <family val="3"/>
        <charset val="129"/>
      </rPr>
      <t>밀라노</t>
    </r>
    <r>
      <rPr>
        <sz val="10"/>
        <color theme="1"/>
        <rFont val="Arial"/>
        <family val="2"/>
      </rPr>
      <t xml:space="preserve"> </t>
    </r>
    <r>
      <rPr>
        <sz val="10"/>
        <color theme="1"/>
        <rFont val="맑은 고딕"/>
        <family val="3"/>
        <charset val="129"/>
      </rPr>
      <t>루이비통</t>
    </r>
    <r>
      <rPr>
        <sz val="10"/>
        <color theme="1"/>
        <rFont val="Arial"/>
        <family val="2"/>
      </rPr>
      <t xml:space="preserve"> </t>
    </r>
    <r>
      <rPr>
        <sz val="10"/>
        <color theme="1"/>
        <rFont val="맑은 고딕"/>
        <family val="3"/>
        <charset val="129"/>
      </rPr>
      <t>매장</t>
    </r>
    <r>
      <rPr>
        <sz val="10"/>
        <color theme="1"/>
        <rFont val="Arial"/>
        <family val="2"/>
      </rPr>
      <t xml:space="preserve">: € 2,350 (Tax Refund: € 323)
</t>
    </r>
    <r>
      <rPr>
        <sz val="10"/>
        <color theme="1"/>
        <rFont val="맑은 고딕"/>
        <family val="3"/>
        <charset val="129"/>
      </rPr>
      <t>정병율</t>
    </r>
    <r>
      <rPr>
        <sz val="10"/>
        <color theme="1"/>
        <rFont val="Arial"/>
        <family val="2"/>
      </rPr>
      <t xml:space="preserve"> </t>
    </r>
    <r>
      <rPr>
        <sz val="10"/>
        <color theme="1"/>
        <rFont val="맑은 고딕"/>
        <family val="3"/>
        <charset val="129"/>
      </rPr>
      <t>대리</t>
    </r>
    <r>
      <rPr>
        <sz val="10"/>
        <color theme="1"/>
        <rFont val="Arial"/>
        <family val="2"/>
      </rPr>
      <t xml:space="preserve"> </t>
    </r>
    <r>
      <rPr>
        <sz val="10"/>
        <color theme="1"/>
        <rFont val="맑은 고딕"/>
        <family val="3"/>
        <charset val="129"/>
      </rPr>
      <t>결제금액</t>
    </r>
    <r>
      <rPr>
        <sz val="10"/>
        <color theme="1"/>
        <rFont val="Arial"/>
        <family val="2"/>
      </rPr>
      <t xml:space="preserve">: € 250
</t>
    </r>
    <r>
      <rPr>
        <sz val="10"/>
        <color theme="1"/>
        <rFont val="맑은 고딕"/>
        <family val="3"/>
        <charset val="129"/>
      </rPr>
      <t>상기와</t>
    </r>
    <r>
      <rPr>
        <sz val="10"/>
        <color theme="1"/>
        <rFont val="Arial"/>
        <family val="2"/>
      </rPr>
      <t xml:space="preserve"> </t>
    </r>
    <r>
      <rPr>
        <sz val="10"/>
        <color theme="1"/>
        <rFont val="맑은 고딕"/>
        <family val="3"/>
        <charset val="129"/>
      </rPr>
      <t>환전수수료를</t>
    </r>
    <r>
      <rPr>
        <sz val="10"/>
        <color theme="1"/>
        <rFont val="Arial"/>
        <family val="2"/>
      </rPr>
      <t xml:space="preserve"> </t>
    </r>
    <r>
      <rPr>
        <sz val="10"/>
        <color theme="1"/>
        <rFont val="맑은 고딕"/>
        <family val="3"/>
        <charset val="129"/>
      </rPr>
      <t>고려하여</t>
    </r>
    <r>
      <rPr>
        <sz val="10"/>
        <color theme="1"/>
        <rFont val="Arial"/>
        <family val="2"/>
      </rPr>
      <t xml:space="preserve"> 2,700,000</t>
    </r>
    <r>
      <rPr>
        <sz val="10"/>
        <color theme="1"/>
        <rFont val="맑은 고딕"/>
        <family val="3"/>
        <charset val="129"/>
      </rPr>
      <t>원으로</t>
    </r>
    <r>
      <rPr>
        <sz val="10"/>
        <color theme="1"/>
        <rFont val="Arial"/>
        <family val="2"/>
      </rPr>
      <t xml:space="preserve"> </t>
    </r>
    <r>
      <rPr>
        <sz val="10"/>
        <color theme="1"/>
        <rFont val="맑은 고딕"/>
        <family val="3"/>
        <charset val="129"/>
      </rPr>
      <t>정산</t>
    </r>
    <r>
      <rPr>
        <sz val="10"/>
        <color theme="1"/>
        <rFont val="Arial"/>
        <family val="2"/>
      </rPr>
      <t xml:space="preserve">
-. € 820: 2018-03-09 </t>
    </r>
    <r>
      <rPr>
        <sz val="10"/>
        <color theme="1"/>
        <rFont val="맑은 고딕"/>
        <family val="3"/>
        <charset val="129"/>
      </rPr>
      <t>신한은행</t>
    </r>
    <r>
      <rPr>
        <sz val="10"/>
        <color theme="1"/>
        <rFont val="Arial"/>
        <family val="2"/>
      </rPr>
      <t xml:space="preserve"> 40%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1,333.36 </t>
    </r>
    <r>
      <rPr>
        <sz val="10"/>
        <color theme="1"/>
        <rFont val="맑은 고딕"/>
        <family val="3"/>
        <charset val="129"/>
      </rPr>
      <t>원</t>
    </r>
    <r>
      <rPr>
        <sz val="10"/>
        <color theme="1"/>
        <rFont val="Arial"/>
        <family val="2"/>
      </rPr>
      <t xml:space="preserve">
-. € 1130: 2018-04-02 </t>
    </r>
    <r>
      <rPr>
        <sz val="10"/>
        <color theme="1"/>
        <rFont val="맑은 고딕"/>
        <family val="3"/>
        <charset val="129"/>
      </rPr>
      <t>신한은행</t>
    </r>
    <r>
      <rPr>
        <sz val="10"/>
        <color theme="1"/>
        <rFont val="Arial"/>
        <family val="2"/>
      </rPr>
      <t xml:space="preserve"> 90%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1,305.96 </t>
    </r>
    <r>
      <rPr>
        <sz val="10"/>
        <color theme="1"/>
        <rFont val="맑은 고딕"/>
        <family val="3"/>
        <charset val="129"/>
      </rPr>
      <t>원</t>
    </r>
    <r>
      <rPr>
        <sz val="10"/>
        <color theme="1"/>
        <rFont val="Arial"/>
        <family val="2"/>
      </rPr>
      <t xml:space="preserve">
-. € 150: 2018-04-04 </t>
    </r>
    <r>
      <rPr>
        <sz val="10"/>
        <color theme="1"/>
        <rFont val="맑은 고딕"/>
        <family val="3"/>
        <charset val="129"/>
      </rPr>
      <t>신한은행</t>
    </r>
    <r>
      <rPr>
        <sz val="10"/>
        <color theme="1"/>
        <rFont val="Arial"/>
        <family val="2"/>
      </rPr>
      <t xml:space="preserve"> 40%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1,313.28 </t>
    </r>
    <r>
      <rPr>
        <sz val="10"/>
        <color theme="1"/>
        <rFont val="맑은 고딕"/>
        <family val="3"/>
        <charset val="129"/>
      </rPr>
      <t>원</t>
    </r>
    <phoneticPr fontId="5" type="noConversion"/>
  </si>
  <si>
    <t>신의주 찹쌀순대 (문지환)</t>
    <phoneticPr fontId="5" type="noConversion"/>
  </si>
  <si>
    <t>정병율 대리 결제</t>
    <phoneticPr fontId="5" type="noConversion"/>
  </si>
  <si>
    <t>낮달 (강승현, 김문길)</t>
    <phoneticPr fontId="5" type="noConversion"/>
  </si>
  <si>
    <t>숙박비 (엠스테이호텔창원)</t>
    <phoneticPr fontId="5" type="noConversion"/>
  </si>
  <si>
    <t>장인닭갈비 (김동진, 남유나, 장선미)</t>
    <phoneticPr fontId="5" type="noConversion"/>
  </si>
  <si>
    <t>셰막 (이주홍, 정윤수, 최낙준, 홍지수)</t>
    <phoneticPr fontId="5" type="noConversion"/>
  </si>
  <si>
    <t>르브레 (고현정)</t>
    <phoneticPr fontId="5" type="noConversion"/>
  </si>
  <si>
    <t>코치 (미니백)</t>
    <phoneticPr fontId="5" type="noConversion"/>
  </si>
  <si>
    <t>구찌 (지갑)</t>
    <phoneticPr fontId="5" type="noConversion"/>
  </si>
  <si>
    <t>다듬나리공방</t>
    <phoneticPr fontId="5" type="noConversion"/>
  </si>
  <si>
    <t>킴스클럽</t>
    <phoneticPr fontId="5" type="noConversion"/>
  </si>
  <si>
    <t>소고기</t>
    <phoneticPr fontId="5" type="noConversion"/>
  </si>
  <si>
    <t>결혼 준비 비용 수입 대장</t>
    <phoneticPr fontId="5" type="noConversion"/>
  </si>
  <si>
    <t>용도 (거래처)</t>
    <phoneticPr fontId="5" type="noConversion"/>
  </si>
  <si>
    <t>수입 잔금</t>
    <phoneticPr fontId="5" type="noConversion"/>
  </si>
  <si>
    <t>입금자</t>
    <phoneticPr fontId="5" type="noConversion"/>
  </si>
  <si>
    <t>신한 생활비</t>
    <phoneticPr fontId="5" type="noConversion"/>
  </si>
  <si>
    <t>신한 급여</t>
    <phoneticPr fontId="5" type="noConversion"/>
  </si>
  <si>
    <t>디자인웨딩 (잔금)</t>
    <phoneticPr fontId="5" type="noConversion"/>
  </si>
  <si>
    <t>허니문코리아 (항공권 차액 환급)</t>
    <phoneticPr fontId="5" type="noConversion"/>
  </si>
  <si>
    <t>모바일청첩장 비용 9,000원은 제함</t>
    <phoneticPr fontId="5" type="noConversion"/>
  </si>
  <si>
    <t>신한 흑석7구역</t>
    <phoneticPr fontId="5" type="noConversion"/>
  </si>
  <si>
    <t>혼주메이크업</t>
    <phoneticPr fontId="5" type="noConversion"/>
  </si>
  <si>
    <t>합값</t>
    <phoneticPr fontId="5" type="noConversion"/>
  </si>
  <si>
    <t>입금일자</t>
    <phoneticPr fontId="5" type="noConversion"/>
  </si>
  <si>
    <t>실제 결제 잔금</t>
    <phoneticPr fontId="5" type="noConversion"/>
  </si>
  <si>
    <t>청첩장/답례장</t>
    <phoneticPr fontId="5" type="noConversion"/>
  </si>
  <si>
    <t>바른컴퍼니/카드마켓</t>
    <phoneticPr fontId="5" type="noConversion"/>
  </si>
  <si>
    <t>모바일 청첩장</t>
    <phoneticPr fontId="5" type="noConversion"/>
  </si>
  <si>
    <t>결혼식 순서지</t>
    <phoneticPr fontId="5" type="noConversion"/>
  </si>
  <si>
    <t>허니문 기본경비</t>
    <phoneticPr fontId="5" type="noConversion"/>
  </si>
  <si>
    <t>N/A (루이비통, 코치, 구찌 등)</t>
    <phoneticPr fontId="5" type="noConversion"/>
  </si>
  <si>
    <t>꾸밈비 지출 대장</t>
    <phoneticPr fontId="5" type="noConversion"/>
  </si>
  <si>
    <t>지고트 (신부예복)</t>
  </si>
  <si>
    <t>태준</t>
  </si>
  <si>
    <t>직불카드 (신한)</t>
  </si>
  <si>
    <t>지고트 (신부예복 수선비)</t>
  </si>
  <si>
    <t>현금</t>
  </si>
  <si>
    <t>월급</t>
  </si>
  <si>
    <t>개인생활비</t>
  </si>
  <si>
    <t>십일조</t>
  </si>
  <si>
    <t>신한카드(신용)</t>
  </si>
  <si>
    <t>지완실비</t>
  </si>
  <si>
    <t>태준실비</t>
  </si>
  <si>
    <t>태준운전자</t>
  </si>
  <si>
    <t>태준치아</t>
  </si>
  <si>
    <t>관리비</t>
  </si>
  <si>
    <t>가스비</t>
  </si>
  <si>
    <t>시가용돈</t>
  </si>
  <si>
    <t>처가용돈</t>
  </si>
  <si>
    <t>현대오일뱅크</t>
  </si>
  <si>
    <t>처갓집양념치킨</t>
  </si>
  <si>
    <t>아우어베이커리</t>
  </si>
  <si>
    <t>이마트</t>
  </si>
  <si>
    <t>이마트에브리데이</t>
  </si>
  <si>
    <t>농협하나로마트</t>
  </si>
  <si>
    <t>노랑통닭</t>
  </si>
  <si>
    <t>교촌치킨</t>
  </si>
  <si>
    <t>빅마켓주차장</t>
  </si>
  <si>
    <t>버거킹</t>
  </si>
  <si>
    <t>GS칼텍스</t>
  </si>
  <si>
    <t>생신용돈(엄마)</t>
  </si>
  <si>
    <t>여주휴게소</t>
  </si>
  <si>
    <t>동작구 주민세</t>
  </si>
  <si>
    <t>금양자동차공업사</t>
  </si>
  <si>
    <t>아크로세탁소</t>
  </si>
  <si>
    <t>이민희헤어</t>
  </si>
  <si>
    <t>롯데리아</t>
  </si>
  <si>
    <t>네네치킨</t>
  </si>
  <si>
    <t>남산공원주차장</t>
  </si>
  <si>
    <t>합계</t>
  </si>
  <si>
    <t>이촌한강공원</t>
  </si>
  <si>
    <t>쿠팡이츠</t>
  </si>
  <si>
    <t>장례식(김교록)</t>
  </si>
  <si>
    <t>아리하 재산세</t>
  </si>
  <si>
    <t>코스트코</t>
  </si>
  <si>
    <t>썬주차장</t>
  </si>
  <si>
    <t>추풍령휴게소</t>
  </si>
  <si>
    <t>배스킨라빈스</t>
  </si>
  <si>
    <t>스타벅스</t>
  </si>
  <si>
    <t>선산휴게소</t>
  </si>
  <si>
    <t>문경새재주차장</t>
  </si>
  <si>
    <t>추석용돈(부모님)</t>
  </si>
  <si>
    <t>추석용돈(강지성)</t>
  </si>
  <si>
    <t>형제과일</t>
  </si>
  <si>
    <t>더볼룸</t>
  </si>
  <si>
    <t>배달의민족</t>
  </si>
  <si>
    <t>명절음식비</t>
  </si>
  <si>
    <t>낙산사주차장</t>
  </si>
  <si>
    <t>농협주유소</t>
  </si>
  <si>
    <t>양양시장주차장</t>
  </si>
  <si>
    <t>설화분식</t>
  </si>
  <si>
    <t>서오릉피자</t>
  </si>
  <si>
    <t>세븐일레븐</t>
  </si>
  <si>
    <t>자동차보험료</t>
  </si>
  <si>
    <t>총각네정육점</t>
  </si>
  <si>
    <t>현대프리미엄아울렛</t>
  </si>
  <si>
    <t>포마토김밥</t>
  </si>
  <si>
    <t>서울대공원</t>
  </si>
  <si>
    <t>지코바</t>
  </si>
  <si>
    <t>취향</t>
  </si>
  <si>
    <t>맥도날드</t>
  </si>
  <si>
    <t>SK브로드밴드</t>
  </si>
  <si>
    <t>버블스토리</t>
  </si>
  <si>
    <t>신중앙약국</t>
  </si>
  <si>
    <t>8월지출이월</t>
  </si>
  <si>
    <t>이수통닭</t>
  </si>
  <si>
    <t>CA정문약국</t>
  </si>
  <si>
    <t>신세명약국</t>
  </si>
  <si>
    <t>파리바게뜨</t>
  </si>
  <si>
    <t>신전떡볶이</t>
  </si>
  <si>
    <t>우소아과의원</t>
  </si>
  <si>
    <t>맘스터치</t>
  </si>
  <si>
    <t>버즈2</t>
  </si>
  <si>
    <t>보험지급금</t>
  </si>
  <si>
    <t>하츠필터</t>
  </si>
  <si>
    <t>헤어스토리</t>
  </si>
  <si>
    <t>환갑주유비</t>
  </si>
  <si>
    <t>오듀몽듀</t>
  </si>
  <si>
    <t>생일용돈(강지성)</t>
  </si>
  <si>
    <t>장례식(김동진)</t>
  </si>
  <si>
    <t>SK주유소</t>
  </si>
  <si>
    <t>시내대중교통</t>
  </si>
  <si>
    <t>신세계백화점</t>
  </si>
  <si>
    <t>현대백화점</t>
  </si>
  <si>
    <t>한강상사</t>
  </si>
  <si>
    <t>송지오옴므</t>
  </si>
  <si>
    <t>자동차재산세</t>
  </si>
  <si>
    <t>카카오택시</t>
  </si>
  <si>
    <t>결혼식(최낙준)</t>
  </si>
  <si>
    <t>산타복</t>
  </si>
  <si>
    <t>다이치</t>
  </si>
  <si>
    <t>포마토</t>
  </si>
  <si>
    <t>덕봉주차장</t>
  </si>
  <si>
    <t>식사(처가)</t>
  </si>
  <si>
    <t>서울역주차장</t>
  </si>
  <si>
    <t>롯데아울렛</t>
  </si>
  <si>
    <t>죠스떡볶이</t>
  </si>
  <si>
    <t>퍼즐사랑</t>
  </si>
  <si>
    <t>써브웨이</t>
  </si>
  <si>
    <t>전쟁기념관</t>
  </si>
  <si>
    <t>쿠팡</t>
  </si>
  <si>
    <t>서울역</t>
  </si>
  <si>
    <t>국내출장비</t>
  </si>
  <si>
    <t>생신용돈</t>
  </si>
  <si>
    <t>생신식사</t>
  </si>
  <si>
    <t>명절선물(시가)</t>
  </si>
  <si>
    <t>명절선물(처가)</t>
  </si>
  <si>
    <t>에어부산</t>
  </si>
  <si>
    <t>명절용돈(시가)</t>
  </si>
  <si>
    <t>명절용돈(처가)</t>
  </si>
  <si>
    <t>명절용돈(강지성)</t>
  </si>
  <si>
    <t>명절용돈(강지완)</t>
  </si>
  <si>
    <t>헤어아티스트M</t>
  </si>
  <si>
    <t>현대모터스튜디오고양</t>
  </si>
  <si>
    <t>나눔농장</t>
  </si>
  <si>
    <t>동작주차공원</t>
  </si>
  <si>
    <t>신룽푸마라탕</t>
  </si>
  <si>
    <t>쿠팡(강지완)</t>
  </si>
  <si>
    <t>연말정산세액</t>
  </si>
  <si>
    <t>로켓프레시</t>
  </si>
  <si>
    <t>커피나무</t>
  </si>
  <si>
    <t>현대모터스튜디오</t>
  </si>
  <si>
    <t>아크로명품세탁</t>
  </si>
  <si>
    <t>장례식(홍성윤)</t>
  </si>
  <si>
    <t>삼성화재교통박물관</t>
  </si>
  <si>
    <t>예금이자</t>
  </si>
  <si>
    <t>달온기</t>
  </si>
  <si>
    <t>키치키치다이닝</t>
  </si>
  <si>
    <t>마녀김밥</t>
  </si>
  <si>
    <t>예술의전당</t>
  </si>
  <si>
    <t>담</t>
  </si>
  <si>
    <t>강남연세산부인과의원</t>
  </si>
  <si>
    <t>바나프레소</t>
  </si>
  <si>
    <t>카페드빈티지</t>
  </si>
  <si>
    <t>미락</t>
  </si>
  <si>
    <t>블루스톤</t>
  </si>
  <si>
    <t>침사추이</t>
  </si>
  <si>
    <t>공영주차장</t>
  </si>
  <si>
    <t>파스타스토리</t>
  </si>
  <si>
    <t>아쿠아플라넷일산</t>
  </si>
  <si>
    <t>장례식(이지현)</t>
  </si>
  <si>
    <t>어린이대공원</t>
  </si>
  <si>
    <t>양지현 생활비</t>
  </si>
  <si>
    <t>스타필드하남</t>
  </si>
  <si>
    <t>매튜앤조엘스토이킹덤</t>
  </si>
  <si>
    <t>반포식스</t>
  </si>
  <si>
    <t>4월대중교통</t>
  </si>
  <si>
    <t>닥터로빈</t>
  </si>
  <si>
    <t>이화여자대학교</t>
  </si>
  <si>
    <t>맘스하트카페</t>
  </si>
  <si>
    <t>스쿳앤라이드</t>
  </si>
  <si>
    <t>어머니의찬장</t>
  </si>
  <si>
    <t>이대목동병원</t>
  </si>
  <si>
    <t>어버이날(시가)</t>
  </si>
  <si>
    <t>어버이날(처가)</t>
  </si>
  <si>
    <t>삼정집</t>
  </si>
  <si>
    <t>양지현 수술비</t>
  </si>
  <si>
    <t>어버이날(JMW)</t>
  </si>
  <si>
    <t>쏘카</t>
  </si>
  <si>
    <t>가야성</t>
  </si>
  <si>
    <t>푸라닭</t>
  </si>
  <si>
    <t>당근마켓(그레이트북스)</t>
  </si>
  <si>
    <t>천사온누리약국</t>
  </si>
  <si>
    <t>이삭토스트</t>
  </si>
  <si>
    <t>두찜</t>
  </si>
  <si>
    <t>에버랜드</t>
  </si>
  <si>
    <t>자라섬</t>
  </si>
  <si>
    <t>춘천닭갈비</t>
  </si>
  <si>
    <t>구포잔치국수</t>
  </si>
  <si>
    <t>철도박물관</t>
  </si>
  <si>
    <t>벨라쿠키</t>
  </si>
  <si>
    <t>한섬</t>
  </si>
  <si>
    <t>경성함바그</t>
  </si>
  <si>
    <t>나인포토</t>
  </si>
  <si>
    <t>롯데시네마</t>
  </si>
  <si>
    <t>더한강</t>
  </si>
  <si>
    <t>자동차검사</t>
  </si>
  <si>
    <t>속도위반과태료</t>
  </si>
  <si>
    <t>여권</t>
  </si>
  <si>
    <t>동키치킨</t>
  </si>
  <si>
    <t>산시브르</t>
  </si>
  <si>
    <t>마마운동화이불빨래방</t>
  </si>
  <si>
    <t>씨스페이스</t>
  </si>
  <si>
    <t>처가식사대접</t>
  </si>
  <si>
    <t>롯데프리미엄아울렛</t>
  </si>
  <si>
    <t>롯데월드</t>
  </si>
  <si>
    <t>동남자동차공업사</t>
  </si>
  <si>
    <t>이산찰누룽지닭백숙</t>
  </si>
  <si>
    <t>삼막사계곡</t>
  </si>
  <si>
    <t>알뜰주유소</t>
  </si>
  <si>
    <t>남산3호터널</t>
  </si>
  <si>
    <t>충주휴게소</t>
  </si>
  <si>
    <t>명랑쌀핫도그</t>
  </si>
  <si>
    <t>생신용돈(어머니)</t>
  </si>
  <si>
    <t>씨유</t>
  </si>
  <si>
    <t>청주휴게소</t>
  </si>
  <si>
    <t>현대면세점</t>
  </si>
  <si>
    <t>고기싸롱</t>
  </si>
  <si>
    <t>쿠쿠서비스센터</t>
  </si>
  <si>
    <t>개울테라스</t>
  </si>
  <si>
    <t>옛날통닭</t>
  </si>
  <si>
    <t>언주한의원</t>
  </si>
  <si>
    <t>롯데면세점</t>
  </si>
  <si>
    <t>부동산재산세</t>
  </si>
  <si>
    <t>주정차위반 과태료</t>
  </si>
  <si>
    <t>면세점</t>
  </si>
  <si>
    <t>서대문자연사박물관</t>
  </si>
  <si>
    <t>테르메덴</t>
  </si>
  <si>
    <t>자동차 취등록세</t>
  </si>
  <si>
    <t>여의도한강공원</t>
  </si>
  <si>
    <t>시흥프리미엄아울렛</t>
  </si>
  <si>
    <t>화서휴게소</t>
  </si>
  <si>
    <t>결혼식(장인혁)</t>
  </si>
  <si>
    <t>구몬(강지완)</t>
  </si>
  <si>
    <t>라원레스토랑</t>
  </si>
  <si>
    <t>오핸즈하우스</t>
  </si>
  <si>
    <t>문호베이커리</t>
  </si>
  <si>
    <t>명절선물</t>
  </si>
  <si>
    <t>교통사고보상금</t>
  </si>
  <si>
    <t>여수여행</t>
  </si>
  <si>
    <t>명절용돈</t>
  </si>
  <si>
    <t>빅세일마트</t>
  </si>
  <si>
    <t>이태리부대찌개</t>
  </si>
  <si>
    <t>컴포즈커피</t>
  </si>
  <si>
    <t>노량진수산시장</t>
  </si>
  <si>
    <t>당근마켓</t>
  </si>
  <si>
    <t>트니트니</t>
  </si>
  <si>
    <t>현선이네</t>
  </si>
  <si>
    <t>노들펍</t>
  </si>
  <si>
    <t>흑수돈</t>
  </si>
  <si>
    <t>더핏짜</t>
  </si>
  <si>
    <t>카페기차가있는풍경</t>
  </si>
  <si>
    <t>축의금(황성훈)</t>
  </si>
  <si>
    <t>김밥천국</t>
  </si>
  <si>
    <t>피자헛</t>
  </si>
  <si>
    <t>큰바다생선구이</t>
  </si>
  <si>
    <t>바운스</t>
  </si>
  <si>
    <t>로지사진관</t>
  </si>
  <si>
    <t>장호숯불닭갈비</t>
  </si>
  <si>
    <t>현대백화점면세점</t>
  </si>
  <si>
    <t>안동각</t>
  </si>
  <si>
    <t>온더레일</t>
  </si>
  <si>
    <t>뉴코아아울렛</t>
  </si>
  <si>
    <t>옷수선</t>
  </si>
  <si>
    <t>그레이몽키</t>
  </si>
  <si>
    <t>태준암(현대해상)</t>
  </si>
  <si>
    <t>태준암(신한)</t>
  </si>
  <si>
    <t>특별용돈(시가)</t>
  </si>
  <si>
    <t>용산역</t>
  </si>
  <si>
    <t>한신메디피아</t>
  </si>
  <si>
    <t>초월보리밥</t>
  </si>
  <si>
    <t>시래마루</t>
  </si>
  <si>
    <t>브라운돈까스</t>
  </si>
  <si>
    <t>올림픽기념국민생활관</t>
  </si>
  <si>
    <t>현대자동차공업사</t>
  </si>
  <si>
    <t>카보드(그랜저)</t>
  </si>
  <si>
    <t>행복한가족</t>
  </si>
  <si>
    <t>장례식(정진우)</t>
  </si>
  <si>
    <t>남산돈까스</t>
  </si>
  <si>
    <t>현대옥</t>
  </si>
  <si>
    <t>한국건설기술인협회</t>
  </si>
  <si>
    <t>이소키즈어학원</t>
  </si>
  <si>
    <t>아리하 종부세</t>
  </si>
  <si>
    <t>피자스쿨</t>
  </si>
  <si>
    <t>결혼식(이해석)</t>
  </si>
  <si>
    <t>아쿠아필드</t>
  </si>
  <si>
    <t>카페드아쿠아</t>
  </si>
  <si>
    <t>이마트트레이더스</t>
  </si>
  <si>
    <t>니뽕내뽕</t>
  </si>
  <si>
    <t>처갓집</t>
  </si>
  <si>
    <t>고속도로통행료</t>
  </si>
  <si>
    <t>당근마켓(강지완)</t>
  </si>
  <si>
    <t>김가네</t>
  </si>
  <si>
    <t>인피니티볼링장</t>
  </si>
  <si>
    <t>프랑제리</t>
  </si>
  <si>
    <t>네이버페이(기온쿼츠)</t>
  </si>
  <si>
    <t>여권(강지완)</t>
  </si>
  <si>
    <t>강남순환도로</t>
  </si>
  <si>
    <t>SK주유소</t>
    <phoneticPr fontId="5" type="noConversion"/>
  </si>
  <si>
    <t>구매품질팀(진급자회식)</t>
    <phoneticPr fontId="5" type="noConversion"/>
  </si>
  <si>
    <t>명절선물</t>
    <phoneticPr fontId="5" type="noConversion"/>
  </si>
  <si>
    <t>생신용돈(아버지)</t>
  </si>
  <si>
    <t>생신식사(아버지)</t>
  </si>
  <si>
    <t>창원고속버스터미널</t>
  </si>
  <si>
    <t>당항포관광지</t>
  </si>
  <si>
    <t>쉐즈롤</t>
    <phoneticPr fontId="5" type="noConversion"/>
  </si>
  <si>
    <t>검아웃</t>
  </si>
  <si>
    <t>장례식(이봉규)</t>
  </si>
  <si>
    <t>제일콩집</t>
  </si>
  <si>
    <t>결혼식(홍지수)</t>
  </si>
  <si>
    <t>서귀포공영주차장</t>
  </si>
  <si>
    <t>주민등록등본</t>
  </si>
  <si>
    <t>성심농장가든</t>
  </si>
  <si>
    <t>뚜레쥬르</t>
  </si>
  <si>
    <t>고속도로휴게소</t>
  </si>
  <si>
    <t>취등록세(그랜저)</t>
    <phoneticPr fontId="5" type="noConversion"/>
  </si>
  <si>
    <t>자동차보험(K5)</t>
    <phoneticPr fontId="5" type="noConversion"/>
  </si>
  <si>
    <t>자동차보험(그랜저)</t>
  </si>
  <si>
    <t>이마트</t>
    <phoneticPr fontId="5" type="noConversion"/>
  </si>
  <si>
    <t>VIC마켓</t>
    <phoneticPr fontId="5" type="noConversion"/>
  </si>
  <si>
    <t>ITX(서울-춘천)</t>
    <phoneticPr fontId="5" type="noConversion"/>
  </si>
  <si>
    <t>쿠팡이츠(처가)</t>
  </si>
  <si>
    <t>드래곤마운틴</t>
  </si>
  <si>
    <t>미성레스토랑</t>
  </si>
  <si>
    <t>김해공항주차장</t>
  </si>
  <si>
    <t>마이현대</t>
  </si>
  <si>
    <t>서귀피안</t>
  </si>
  <si>
    <t>네이버페이(세차용품)</t>
  </si>
  <si>
    <t>카드등록비</t>
  </si>
  <si>
    <t>현대카드연회비</t>
  </si>
  <si>
    <t>쿠팡(식비)</t>
    <phoneticPr fontId="5" type="noConversion"/>
  </si>
  <si>
    <t>쿠팡(세차용품)</t>
    <phoneticPr fontId="5" type="noConversion"/>
  </si>
  <si>
    <t>연세곰돌이소아과</t>
    <phoneticPr fontId="5" type="noConversion"/>
  </si>
  <si>
    <t>워시존</t>
    <phoneticPr fontId="5" type="noConversion"/>
  </si>
  <si>
    <t>쿠팡이츠</t>
    <phoneticPr fontId="5" type="noConversion"/>
  </si>
  <si>
    <t>제주흑돼지</t>
    <phoneticPr fontId="5" type="noConversion"/>
  </si>
  <si>
    <t>자동차재산세 (K5)</t>
    <phoneticPr fontId="5" type="noConversion"/>
  </si>
  <si>
    <t>헨리코튼</t>
    <phoneticPr fontId="5" type="noConversion"/>
  </si>
  <si>
    <t>신세계백화점(케이크/음료수)</t>
    <phoneticPr fontId="5" type="noConversion"/>
  </si>
  <si>
    <t>금계닭갈비</t>
    <phoneticPr fontId="5" type="noConversion"/>
  </si>
  <si>
    <t>가평양떼목장</t>
    <phoneticPr fontId="5" type="noConversion"/>
  </si>
  <si>
    <t>연말정산환급</t>
    <phoneticPr fontId="5" type="noConversion"/>
  </si>
  <si>
    <t>로이드밤</t>
    <phoneticPr fontId="5" type="noConversion"/>
  </si>
  <si>
    <t>배달의민족</t>
    <phoneticPr fontId="5" type="noConversion"/>
  </si>
  <si>
    <t>신세명약국</t>
    <phoneticPr fontId="5" type="noConversion"/>
  </si>
  <si>
    <t>우소아과의원</t>
    <phoneticPr fontId="5" type="noConversion"/>
  </si>
  <si>
    <t>국립중앙박물관(주차)</t>
    <phoneticPr fontId="5" type="noConversion"/>
  </si>
  <si>
    <t>옷수선</t>
    <phoneticPr fontId="5" type="noConversion"/>
  </si>
  <si>
    <t>장례식(최우석)</t>
    <phoneticPr fontId="5" type="noConversion"/>
  </si>
  <si>
    <t>결혼식(이주홍)</t>
    <phoneticPr fontId="5" type="noConversion"/>
  </si>
  <si>
    <t>장례식(최영준)</t>
    <phoneticPr fontId="5" type="noConversion"/>
  </si>
  <si>
    <t>예금이자</t>
    <phoneticPr fontId="5" type="noConversion"/>
  </si>
  <si>
    <t>결혼식(최세영)</t>
    <phoneticPr fontId="5" type="noConversion"/>
  </si>
  <si>
    <t>아이나비동작센터</t>
    <phoneticPr fontId="5" type="noConversion"/>
  </si>
  <si>
    <t>벨센트</t>
    <phoneticPr fontId="5" type="noConversion"/>
  </si>
  <si>
    <t>KFC</t>
    <phoneticPr fontId="5" type="noConversion"/>
  </si>
  <si>
    <t>이마트트레이더스</t>
    <phoneticPr fontId="5" type="noConversion"/>
  </si>
  <si>
    <t>크라이치즈버거</t>
    <phoneticPr fontId="5" type="noConversion"/>
  </si>
  <si>
    <t>처갓집</t>
    <phoneticPr fontId="5" type="noConversion"/>
  </si>
  <si>
    <t>세븐일레븐</t>
    <phoneticPr fontId="5" type="noConversion"/>
  </si>
  <si>
    <t>여의도한강공원</t>
    <phoneticPr fontId="5" type="noConversion"/>
  </si>
  <si>
    <t>스타벅스</t>
    <phoneticPr fontId="5" type="noConversion"/>
  </si>
  <si>
    <t>고속도로통행료</t>
    <phoneticPr fontId="5" type="noConversion"/>
  </si>
  <si>
    <t>조양방직</t>
    <phoneticPr fontId="5" type="noConversion"/>
  </si>
  <si>
    <t>N</t>
  </si>
  <si>
    <t>N</t>
    <phoneticPr fontId="5" type="noConversion"/>
  </si>
  <si>
    <t>Y</t>
    <phoneticPr fontId="5" type="noConversion"/>
  </si>
  <si>
    <t>이마트에브리데이</t>
    <phoneticPr fontId="5" type="noConversion"/>
  </si>
  <si>
    <t>야놀자</t>
    <phoneticPr fontId="5" type="noConversion"/>
  </si>
  <si>
    <t>여행</t>
    <phoneticPr fontId="5" type="noConversion"/>
  </si>
  <si>
    <t>화곡4동주민센터주차장</t>
    <phoneticPr fontId="5" type="noConversion"/>
  </si>
  <si>
    <t>커피나무</t>
    <phoneticPr fontId="5" type="noConversion"/>
  </si>
  <si>
    <t>비오템</t>
    <phoneticPr fontId="5" type="noConversion"/>
  </si>
  <si>
    <t>라팽블랑</t>
    <phoneticPr fontId="5" type="noConversion"/>
  </si>
  <si>
    <t>철도박물관편의점</t>
    <phoneticPr fontId="5" type="noConversion"/>
  </si>
  <si>
    <t>철도박물관</t>
    <phoneticPr fontId="5" type="noConversion"/>
  </si>
  <si>
    <t>인천공항장기주차장</t>
    <phoneticPr fontId="5" type="noConversion"/>
  </si>
  <si>
    <t>서오릉피자</t>
    <phoneticPr fontId="5" type="noConversion"/>
  </si>
  <si>
    <t>어버이날용돈</t>
    <phoneticPr fontId="5" type="noConversion"/>
  </si>
  <si>
    <t>Out - In</t>
    <phoneticPr fontId="5" type="noConversion"/>
  </si>
  <si>
    <t>보험지급금</t>
    <phoneticPr fontId="5" type="noConversion"/>
  </si>
  <si>
    <t>스타필드시티</t>
    <phoneticPr fontId="5" type="noConversion"/>
  </si>
  <si>
    <t>요기요</t>
    <phoneticPr fontId="5" type="noConversion"/>
  </si>
  <si>
    <t>2026 TOTAL</t>
    <phoneticPr fontId="5" type="noConversion"/>
  </si>
  <si>
    <t>2027 TOTAL</t>
    <phoneticPr fontId="5" type="noConversion"/>
  </si>
  <si>
    <t>2028 TOTAL</t>
    <phoneticPr fontId="5" type="noConversion"/>
  </si>
  <si>
    <t>어린이대공원 주차장</t>
    <phoneticPr fontId="5" type="noConversion"/>
  </si>
  <si>
    <t>아쿠아플라넷63</t>
    <phoneticPr fontId="5" type="noConversion"/>
  </si>
  <si>
    <t>국내출장비</t>
    <phoneticPr fontId="5" type="noConversion"/>
  </si>
  <si>
    <t>년</t>
    <phoneticPr fontId="5" type="noConversion"/>
  </si>
  <si>
    <t>월</t>
    <phoneticPr fontId="5" type="noConversion"/>
  </si>
  <si>
    <t>진천현대서비스</t>
    <phoneticPr fontId="5" type="noConversion"/>
  </si>
  <si>
    <t>베니어베이커리</t>
    <phoneticPr fontId="5" type="noConversion"/>
  </si>
  <si>
    <t>천사온누리약국</t>
    <phoneticPr fontId="5" type="noConversion"/>
  </si>
  <si>
    <t>버거킹</t>
    <phoneticPr fontId="5" type="noConversion"/>
  </si>
  <si>
    <t>포마토김밥</t>
    <phoneticPr fontId="5" type="noConversion"/>
  </si>
  <si>
    <t>GS25</t>
    <phoneticPr fontId="5" type="noConversion"/>
  </si>
  <si>
    <t>중동본가삼계탕</t>
    <phoneticPr fontId="5" type="noConversion"/>
  </si>
  <si>
    <t>인피니티볼링장</t>
    <phoneticPr fontId="5" type="noConversion"/>
  </si>
  <si>
    <t>배스킨라빈스</t>
    <phoneticPr fontId="5" type="noConversion"/>
  </si>
  <si>
    <t>KTX (창원-서울)</t>
    <phoneticPr fontId="5" type="noConversion"/>
  </si>
  <si>
    <t>아크로세탁소</t>
    <phoneticPr fontId="5" type="noConversion"/>
  </si>
  <si>
    <t>어탕골</t>
    <phoneticPr fontId="5" type="noConversion"/>
  </si>
  <si>
    <t>장례식(이지현)</t>
    <phoneticPr fontId="5" type="noConversion"/>
  </si>
  <si>
    <t>경양카츠</t>
    <phoneticPr fontId="5" type="noConversion"/>
  </si>
  <si>
    <t>리베라메인타워</t>
    <phoneticPr fontId="5" type="noConversion"/>
  </si>
  <si>
    <t>진안마이산휴게소</t>
    <phoneticPr fontId="5" type="noConversion"/>
  </si>
  <si>
    <t>꿀삐닭강정</t>
    <phoneticPr fontId="5" type="noConversion"/>
  </si>
  <si>
    <t>갱스커피</t>
    <phoneticPr fontId="5" type="noConversion"/>
  </si>
  <si>
    <t>우유창고</t>
    <phoneticPr fontId="5" type="noConversion"/>
  </si>
  <si>
    <t>모카브레드</t>
    <phoneticPr fontId="5" type="noConversion"/>
  </si>
  <si>
    <t>쿠팡(어탕골)</t>
    <phoneticPr fontId="5" type="noConversion"/>
  </si>
  <si>
    <t>삼백돈돈카츠</t>
    <phoneticPr fontId="5" type="noConversion"/>
  </si>
  <si>
    <t>까망돌도서관</t>
    <phoneticPr fontId="5" type="noConversion"/>
  </si>
  <si>
    <t>한남동공영주차장</t>
    <phoneticPr fontId="5" type="noConversion"/>
  </si>
  <si>
    <t>쿠팡(자동차용품)</t>
    <phoneticPr fontId="5" type="noConversion"/>
  </si>
  <si>
    <t>에어컨필터</t>
    <phoneticPr fontId="5" type="noConversion"/>
  </si>
  <si>
    <t>식사(처가)</t>
    <phoneticPr fontId="5" type="noConversion"/>
  </si>
  <si>
    <t>아쿠아필드</t>
    <phoneticPr fontId="5" type="noConversion"/>
  </si>
  <si>
    <t>SK매직 정수기</t>
    <phoneticPr fontId="5" type="noConversion"/>
  </si>
  <si>
    <t>네이버페이(디퓨저)</t>
    <phoneticPr fontId="5" type="noConversion"/>
  </si>
  <si>
    <t>SKT 강태준</t>
    <phoneticPr fontId="5" type="noConversion"/>
  </si>
  <si>
    <t>SKT 양지현</t>
    <phoneticPr fontId="5" type="noConversion"/>
  </si>
  <si>
    <r>
      <t>'23</t>
    </r>
    <r>
      <rPr>
        <sz val="10"/>
        <color theme="1"/>
        <rFont val="맑은 고딕"/>
        <family val="3"/>
        <charset val="129"/>
      </rPr>
      <t>년</t>
    </r>
    <r>
      <rPr>
        <sz val="10"/>
        <color theme="1"/>
        <rFont val="Arial"/>
        <family val="2"/>
      </rPr>
      <t xml:space="preserve"> 11</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</si>
  <si>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12</t>
    </r>
    <r>
      <rPr>
        <sz val="10"/>
        <color theme="1"/>
        <rFont val="맑은 고딕"/>
        <family val="3"/>
        <charset val="129"/>
      </rPr>
      <t>월</t>
    </r>
    <phoneticPr fontId="5" type="noConversion"/>
  </si>
  <si>
    <r>
      <t>'24</t>
    </r>
    <r>
      <rPr>
        <sz val="10"/>
        <color theme="1"/>
        <rFont val="맑은 고딕"/>
        <family val="3"/>
        <charset val="129"/>
      </rPr>
      <t>년</t>
    </r>
    <r>
      <rPr>
        <sz val="10"/>
        <color theme="1"/>
        <rFont val="Arial"/>
        <family val="2"/>
      </rPr>
      <t xml:space="preserve"> 01</t>
    </r>
    <r>
      <rPr>
        <sz val="10"/>
        <color theme="1"/>
        <rFont val="맑은 고딕"/>
        <family val="3"/>
        <charset val="129"/>
      </rPr>
      <t>월</t>
    </r>
    <phoneticPr fontId="5" type="noConversion"/>
  </si>
  <si>
    <r>
      <t>2022</t>
    </r>
    <r>
      <rPr>
        <sz val="10"/>
        <color theme="1"/>
        <rFont val="맑은 고딕"/>
        <family val="3"/>
        <charset val="129"/>
      </rPr>
      <t>년</t>
    </r>
    <phoneticPr fontId="5" type="noConversion"/>
  </si>
  <si>
    <r>
      <t>2023</t>
    </r>
    <r>
      <rPr>
        <sz val="10"/>
        <color theme="1"/>
        <rFont val="맑은 고딕"/>
        <family val="3"/>
        <charset val="129"/>
      </rPr>
      <t>년</t>
    </r>
    <phoneticPr fontId="5" type="noConversion"/>
  </si>
  <si>
    <r>
      <t>2024</t>
    </r>
    <r>
      <rPr>
        <sz val="10"/>
        <color theme="1"/>
        <rFont val="맑은 고딕"/>
        <family val="3"/>
        <charset val="129"/>
      </rPr>
      <t>년</t>
    </r>
    <phoneticPr fontId="5" type="noConversion"/>
  </si>
  <si>
    <t>씨유</t>
    <phoneticPr fontId="5" type="noConversion"/>
  </si>
  <si>
    <t>명동성당주차장</t>
    <phoneticPr fontId="5" type="noConversion"/>
  </si>
  <si>
    <t>명동문구</t>
    <phoneticPr fontId="5" type="noConversion"/>
  </si>
  <si>
    <t>아크로리버하임 재산세</t>
    <phoneticPr fontId="5" type="noConversion"/>
  </si>
  <si>
    <t>메리츠화재 해지환급금</t>
    <phoneticPr fontId="5" type="noConversion"/>
  </si>
  <si>
    <t>아츠</t>
    <phoneticPr fontId="5" type="noConversion"/>
  </si>
  <si>
    <t>산시브르</t>
    <phoneticPr fontId="5" type="noConversion"/>
  </si>
  <si>
    <t>동그라미패스트랙키즈</t>
    <phoneticPr fontId="5" type="noConversion"/>
  </si>
  <si>
    <t>빌리캣바버샵</t>
    <phoneticPr fontId="5" type="noConversion"/>
  </si>
  <si>
    <t>롯데마트</t>
    <phoneticPr fontId="5" type="noConversion"/>
  </si>
  <si>
    <t>K스퀘어주차장</t>
    <phoneticPr fontId="5" type="noConversion"/>
  </si>
  <si>
    <t>성산명가</t>
    <phoneticPr fontId="5" type="noConversion"/>
  </si>
  <si>
    <t>에어부산</t>
    <phoneticPr fontId="5" type="noConversion"/>
  </si>
  <si>
    <t>택시</t>
    <phoneticPr fontId="5" type="noConversion"/>
  </si>
  <si>
    <t>시외버스(대구-남지)</t>
    <phoneticPr fontId="5" type="noConversion"/>
  </si>
  <si>
    <t>조의금 목록</t>
    <phoneticPr fontId="5" type="noConversion"/>
  </si>
  <si>
    <t>카카오</t>
    <phoneticPr fontId="5" type="noConversion"/>
  </si>
  <si>
    <t>상도중앙교회 1교구</t>
    <phoneticPr fontId="5" type="noConversion"/>
  </si>
  <si>
    <t>황윤섭</t>
    <phoneticPr fontId="5" type="noConversion"/>
  </si>
  <si>
    <t>갈윤선</t>
    <phoneticPr fontId="5" type="noConversion"/>
  </si>
  <si>
    <t>류성안</t>
    <phoneticPr fontId="5" type="noConversion"/>
  </si>
  <si>
    <t>박예진</t>
    <phoneticPr fontId="5" type="noConversion"/>
  </si>
  <si>
    <t>박지애</t>
    <phoneticPr fontId="5" type="noConversion"/>
  </si>
  <si>
    <t>최영준</t>
    <phoneticPr fontId="5" type="noConversion"/>
  </si>
  <si>
    <t>이해석</t>
    <phoneticPr fontId="5" type="noConversion"/>
  </si>
  <si>
    <t>양윤성</t>
    <phoneticPr fontId="5" type="noConversion"/>
  </si>
  <si>
    <t>홍성윤</t>
    <phoneticPr fontId="5" type="noConversion"/>
  </si>
  <si>
    <t>신지수</t>
    <phoneticPr fontId="5" type="noConversion"/>
  </si>
  <si>
    <t>김지은</t>
    <phoneticPr fontId="5" type="noConversion"/>
  </si>
  <si>
    <t>정진우</t>
    <phoneticPr fontId="5" type="noConversion"/>
  </si>
  <si>
    <t>최호형</t>
    <phoneticPr fontId="5" type="noConversion"/>
  </si>
  <si>
    <t>박세진</t>
    <phoneticPr fontId="5" type="noConversion"/>
  </si>
  <si>
    <t>강동현</t>
    <phoneticPr fontId="5" type="noConversion"/>
  </si>
  <si>
    <t>이상협</t>
    <phoneticPr fontId="5" type="noConversion"/>
  </si>
  <si>
    <t>주동훈</t>
    <phoneticPr fontId="5" type="noConversion"/>
  </si>
  <si>
    <t>이송은</t>
    <phoneticPr fontId="5" type="noConversion"/>
  </si>
  <si>
    <t>남궁한신</t>
    <phoneticPr fontId="5" type="noConversion"/>
  </si>
  <si>
    <t>박창희</t>
    <phoneticPr fontId="5" type="noConversion"/>
  </si>
  <si>
    <t>양희봉</t>
    <phoneticPr fontId="5" type="noConversion"/>
  </si>
  <si>
    <t>이상호</t>
    <phoneticPr fontId="5" type="noConversion"/>
  </si>
  <si>
    <t>김광미</t>
    <phoneticPr fontId="5" type="noConversion"/>
  </si>
  <si>
    <t>처가</t>
    <phoneticPr fontId="5" type="noConversion"/>
  </si>
  <si>
    <t>편성욱</t>
    <phoneticPr fontId="5" type="noConversion"/>
  </si>
  <si>
    <t>김정희</t>
    <phoneticPr fontId="5" type="noConversion"/>
  </si>
  <si>
    <t>양지윤</t>
    <phoneticPr fontId="5" type="noConversion"/>
  </si>
  <si>
    <t>박현철</t>
    <phoneticPr fontId="5" type="noConversion"/>
  </si>
  <si>
    <t>부형규</t>
    <phoneticPr fontId="5" type="noConversion"/>
  </si>
  <si>
    <t>아스킨</t>
    <phoneticPr fontId="5" type="noConversion"/>
  </si>
  <si>
    <t>손동환</t>
    <phoneticPr fontId="5" type="noConversion"/>
  </si>
  <si>
    <t>강동헌</t>
    <phoneticPr fontId="5" type="noConversion"/>
  </si>
  <si>
    <t>서라벌</t>
    <phoneticPr fontId="5" type="noConversion"/>
  </si>
  <si>
    <t>김성준</t>
    <phoneticPr fontId="5" type="noConversion"/>
  </si>
  <si>
    <t>황성훈</t>
    <phoneticPr fontId="5" type="noConversion"/>
  </si>
  <si>
    <t>유병찬</t>
    <phoneticPr fontId="5" type="noConversion"/>
  </si>
  <si>
    <t>석우경</t>
    <phoneticPr fontId="5" type="noConversion"/>
  </si>
  <si>
    <t>김교록</t>
    <phoneticPr fontId="5" type="noConversion"/>
  </si>
  <si>
    <t>한래동</t>
    <phoneticPr fontId="5" type="noConversion"/>
  </si>
  <si>
    <t>김재은</t>
    <phoneticPr fontId="5" type="noConversion"/>
  </si>
  <si>
    <t>박종군</t>
    <phoneticPr fontId="5" type="noConversion"/>
  </si>
  <si>
    <t>박성원</t>
    <phoneticPr fontId="5" type="noConversion"/>
  </si>
  <si>
    <t>전창훈</t>
    <phoneticPr fontId="5" type="noConversion"/>
  </si>
  <si>
    <t>변동열</t>
    <phoneticPr fontId="5" type="noConversion"/>
  </si>
  <si>
    <t>이경빈</t>
    <phoneticPr fontId="5" type="noConversion"/>
  </si>
  <si>
    <t>양천영</t>
    <phoneticPr fontId="5" type="noConversion"/>
  </si>
  <si>
    <t>민윤건</t>
    <phoneticPr fontId="5" type="noConversion"/>
  </si>
  <si>
    <t>곽수환</t>
    <phoneticPr fontId="5" type="noConversion"/>
  </si>
  <si>
    <t>박인주</t>
    <phoneticPr fontId="5" type="noConversion"/>
  </si>
  <si>
    <t>김수영</t>
    <phoneticPr fontId="5" type="noConversion"/>
  </si>
  <si>
    <t>SK에코플랜트</t>
    <phoneticPr fontId="5" type="noConversion"/>
  </si>
  <si>
    <t>장진욱</t>
    <phoneticPr fontId="5" type="noConversion"/>
  </si>
  <si>
    <t>김용운</t>
    <phoneticPr fontId="5" type="noConversion"/>
  </si>
  <si>
    <t>노봉균</t>
    <phoneticPr fontId="5" type="noConversion"/>
  </si>
  <si>
    <t>최윤희</t>
    <phoneticPr fontId="5" type="noConversion"/>
  </si>
  <si>
    <t>이봉규</t>
    <phoneticPr fontId="5" type="noConversion"/>
  </si>
  <si>
    <t>한상중</t>
    <phoneticPr fontId="5" type="noConversion"/>
  </si>
  <si>
    <t>최종현</t>
    <phoneticPr fontId="5" type="noConversion"/>
  </si>
  <si>
    <t>성수진</t>
    <phoneticPr fontId="5" type="noConversion"/>
  </si>
  <si>
    <t>이지현</t>
    <phoneticPr fontId="5" type="noConversion"/>
  </si>
  <si>
    <t>KTX</t>
    <phoneticPr fontId="5" type="noConversion"/>
  </si>
  <si>
    <t>조의금</t>
    <phoneticPr fontId="5" type="noConversion"/>
  </si>
  <si>
    <t>감사헌금</t>
    <phoneticPr fontId="5" type="noConversion"/>
  </si>
  <si>
    <t>작은형수전달</t>
    <phoneticPr fontId="5" type="noConversion"/>
  </si>
  <si>
    <t>서울역 주차장</t>
    <phoneticPr fontId="5" type="noConversion"/>
  </si>
  <si>
    <t>점핑파크</t>
    <phoneticPr fontId="5" type="noConversion"/>
  </si>
  <si>
    <t>점핑파크주차장</t>
    <phoneticPr fontId="5" type="noConversion"/>
  </si>
  <si>
    <t>서울역편의점</t>
    <phoneticPr fontId="5" type="noConversion"/>
  </si>
  <si>
    <t>늘푸른꽃도매</t>
    <phoneticPr fontId="5" type="noConversion"/>
  </si>
  <si>
    <t>남해상상양떼목장편백숲</t>
    <phoneticPr fontId="5" type="noConversion"/>
  </si>
  <si>
    <t>임진각식당</t>
    <phoneticPr fontId="5" type="noConversion"/>
  </si>
  <si>
    <t>생신용돈(어머니)</t>
    <phoneticPr fontId="5" type="noConversion"/>
  </si>
  <si>
    <t>서울역주차장</t>
    <phoneticPr fontId="5" type="noConversion"/>
  </si>
  <si>
    <t>하계휴가비</t>
    <phoneticPr fontId="5" type="noConversion"/>
  </si>
  <si>
    <t>부산여행</t>
    <phoneticPr fontId="5" type="noConversion"/>
  </si>
  <si>
    <t>T150</t>
    <phoneticPr fontId="5" type="noConversion"/>
  </si>
  <si>
    <t>IRCA</t>
    <phoneticPr fontId="5" type="noConversion"/>
  </si>
  <si>
    <t>백채김치찌개</t>
    <phoneticPr fontId="5" type="noConversion"/>
  </si>
  <si>
    <t>파리바게뜨</t>
    <phoneticPr fontId="5" type="noConversion"/>
  </si>
  <si>
    <t>롯데리아</t>
    <phoneticPr fontId="5" type="noConversion"/>
  </si>
  <si>
    <t>장군주먹고기</t>
    <phoneticPr fontId="5" type="noConversion"/>
  </si>
  <si>
    <t>주민세</t>
    <phoneticPr fontId="5" type="noConversion"/>
  </si>
  <si>
    <t>통일동산장단콩두부마을</t>
    <phoneticPr fontId="5" type="noConversion"/>
  </si>
  <si>
    <t>행주산성주차장</t>
    <phoneticPr fontId="5" type="noConversion"/>
  </si>
  <si>
    <t>삼이국수</t>
    <phoneticPr fontId="5" type="noConversion"/>
  </si>
  <si>
    <t>코코닼</t>
    <phoneticPr fontId="5" type="noConversion"/>
  </si>
  <si>
    <t>죠스떡볶이</t>
    <phoneticPr fontId="5" type="noConversion"/>
  </si>
  <si>
    <t>임진각주차장</t>
    <phoneticPr fontId="5" type="noConversion"/>
  </si>
  <si>
    <t>롯데프리미엄아울렛</t>
    <phoneticPr fontId="5" type="noConversion"/>
  </si>
  <si>
    <t>르메이에르주차장</t>
    <phoneticPr fontId="5" type="noConversion"/>
  </si>
  <si>
    <t>조문</t>
    <phoneticPr fontId="5" type="noConversion"/>
  </si>
  <si>
    <t>오토바디모터스</t>
    <phoneticPr fontId="5" type="noConversion"/>
  </si>
  <si>
    <t>교촌치킨</t>
    <phoneticPr fontId="5" type="noConversion"/>
  </si>
  <si>
    <t>짐맥클린골프아카데미</t>
    <phoneticPr fontId="5" type="noConversion"/>
  </si>
  <si>
    <t>서울대공원캠핑장</t>
    <phoneticPr fontId="5" type="noConversion"/>
  </si>
  <si>
    <t>서울대공원캠핑장(주차장)</t>
    <phoneticPr fontId="5" type="noConversion"/>
  </si>
  <si>
    <t>김밥이야기</t>
    <phoneticPr fontId="5" type="noConversion"/>
  </si>
  <si>
    <t>나이키</t>
    <phoneticPr fontId="5" type="noConversion"/>
  </si>
  <si>
    <t>레이드백바버샵</t>
    <phoneticPr fontId="5" type="noConversion"/>
  </si>
  <si>
    <t>트래블월렛</t>
    <phoneticPr fontId="5" type="noConversion"/>
  </si>
  <si>
    <t>마산오동동할매아구찜</t>
    <phoneticPr fontId="5" type="noConversion"/>
  </si>
  <si>
    <t>자동차보험(스포티지)</t>
    <phoneticPr fontId="5" type="noConversion"/>
  </si>
  <si>
    <t>김포세탁</t>
    <phoneticPr fontId="5" type="noConversion"/>
  </si>
  <si>
    <t>덕봉주차장</t>
    <phoneticPr fontId="5" type="noConversion"/>
  </si>
  <si>
    <t>강약국</t>
    <phoneticPr fontId="5" type="noConversion"/>
  </si>
  <si>
    <t>소망이비인후과의원</t>
    <phoneticPr fontId="5" type="noConversion"/>
  </si>
  <si>
    <t>(VN)VSPA</t>
    <phoneticPr fontId="5" type="noConversion"/>
  </si>
  <si>
    <t>(VN)ATM(VND 1M)</t>
    <phoneticPr fontId="5" type="noConversion"/>
  </si>
  <si>
    <t>엔제리너스(여행)</t>
    <phoneticPr fontId="5" type="noConversion"/>
  </si>
  <si>
    <t>파리바게뜨(여행)</t>
    <phoneticPr fontId="5" type="noConversion"/>
  </si>
  <si>
    <t>타코벨(여행)</t>
    <phoneticPr fontId="5" type="noConversion"/>
  </si>
  <si>
    <t>이민희헤어</t>
    <phoneticPr fontId="5" type="noConversion"/>
  </si>
  <si>
    <t>다이소</t>
    <phoneticPr fontId="5" type="noConversion"/>
  </si>
  <si>
    <t>명절선물(시가)</t>
    <phoneticPr fontId="5" type="noConversion"/>
  </si>
  <si>
    <t>85s바버샵</t>
    <phoneticPr fontId="5" type="noConversion"/>
  </si>
  <si>
    <t>명절음식비</t>
    <phoneticPr fontId="5" type="noConversion"/>
  </si>
  <si>
    <t>맥도날드</t>
    <phoneticPr fontId="5" type="noConversion"/>
  </si>
  <si>
    <t>국립한글박물관(주차장)</t>
    <phoneticPr fontId="5" type="noConversion"/>
  </si>
  <si>
    <t>니뽕내뽕</t>
    <phoneticPr fontId="5" type="noConversion"/>
  </si>
  <si>
    <t>장례식(강택기)</t>
    <phoneticPr fontId="5" type="noConversion"/>
  </si>
  <si>
    <t>명절선물(처가)</t>
    <phoneticPr fontId="5" type="noConversion"/>
  </si>
  <si>
    <t>GS칼텍스</t>
    <phoneticPr fontId="5" type="noConversion"/>
  </si>
  <si>
    <t>충주휴게소</t>
    <phoneticPr fontId="5" type="noConversion"/>
  </si>
  <si>
    <t>갤럭시 S23 5G</t>
    <phoneticPr fontId="5" type="noConversion"/>
  </si>
  <si>
    <t>알뜰주유소</t>
    <phoneticPr fontId="5" type="noConversion"/>
  </si>
  <si>
    <t>카페루치아</t>
    <phoneticPr fontId="5" type="noConversion"/>
  </si>
  <si>
    <t>365드림아이의원</t>
    <phoneticPr fontId="5" type="noConversion"/>
  </si>
  <si>
    <t>굿모닝온누리약국</t>
    <phoneticPr fontId="5" type="noConversion"/>
  </si>
  <si>
    <t>포토이즘스튜디오</t>
    <phoneticPr fontId="5" type="noConversion"/>
  </si>
  <si>
    <t>하나의원</t>
    <phoneticPr fontId="5" type="noConversion"/>
  </si>
  <si>
    <t>아이파크약국</t>
    <phoneticPr fontId="5" type="noConversion"/>
  </si>
  <si>
    <t>문의청남대주유소</t>
    <phoneticPr fontId="5" type="noConversion"/>
  </si>
  <si>
    <t>KTX (포항-서울)</t>
    <phoneticPr fontId="5" type="noConversion"/>
  </si>
  <si>
    <t>명절용돈(시가)</t>
    <phoneticPr fontId="5" type="noConversion"/>
  </si>
  <si>
    <t>한신서울치과의원</t>
    <phoneticPr fontId="5" type="noConversion"/>
  </si>
  <si>
    <t>미타임</t>
    <phoneticPr fontId="5" type="noConversion"/>
  </si>
  <si>
    <t>포레스트소울</t>
    <phoneticPr fontId="5" type="noConversion"/>
  </si>
  <si>
    <t>산아래</t>
    <phoneticPr fontId="5" type="noConversion"/>
  </si>
  <si>
    <t>닉센</t>
    <phoneticPr fontId="5" type="noConversion"/>
  </si>
  <si>
    <t>스카이72</t>
    <phoneticPr fontId="5" type="noConversion"/>
  </si>
  <si>
    <t>레이크 Out - 레이크 In</t>
    <phoneticPr fontId="5" type="noConversion"/>
  </si>
  <si>
    <t>최우석 (89)
박승진 (92)
도정호 (101)</t>
    <phoneticPr fontId="5" type="noConversion"/>
  </si>
  <si>
    <t>별님 - 해님</t>
    <phoneticPr fontId="5" type="noConversion"/>
  </si>
  <si>
    <t>최우석 (92)
박승진 (93)
김성준 (105)</t>
    <phoneticPr fontId="5" type="noConversion"/>
  </si>
  <si>
    <t>마루 - 누리</t>
    <phoneticPr fontId="5" type="noConversion"/>
  </si>
  <si>
    <r>
      <t>윤희수 (84)
도정호 (97)
이상협 (98)</t>
    </r>
    <r>
      <rPr>
        <sz val="10"/>
        <color theme="1"/>
        <rFont val="맑은 고딕"/>
        <family val="3"/>
        <charset val="129"/>
      </rPr>
      <t/>
    </r>
    <phoneticPr fontId="5" type="noConversion"/>
  </si>
  <si>
    <t>동 - 서</t>
    <phoneticPr fontId="5" type="noConversion"/>
  </si>
  <si>
    <t>김광미 (125)
김홍미 (118)</t>
    <phoneticPr fontId="5" type="noConversion"/>
  </si>
  <si>
    <t>황학 - 세종</t>
    <phoneticPr fontId="5" type="noConversion"/>
  </si>
  <si>
    <r>
      <t>서수빈 (105)
이무형 (109)
홍지수 (111)</t>
    </r>
    <r>
      <rPr>
        <sz val="10"/>
        <color theme="1"/>
        <rFont val="맑은 고딕"/>
        <family val="3"/>
        <charset val="129"/>
      </rPr>
      <t/>
    </r>
    <phoneticPr fontId="5" type="noConversion"/>
  </si>
  <si>
    <t>박인주 (96)
이상협 (95)
이호준 (91)</t>
    <phoneticPr fontId="5" type="noConversion"/>
  </si>
  <si>
    <t>마이다스이천</t>
    <phoneticPr fontId="5" type="noConversion"/>
  </si>
  <si>
    <t>타이탄 - 마이다스</t>
    <phoneticPr fontId="5" type="noConversion"/>
  </si>
  <si>
    <t>장진욱 (91)
김성준 (107)
이상협 (107)</t>
    <phoneticPr fontId="5" type="noConversion"/>
  </si>
  <si>
    <r>
      <t>윤희수 (91)
박승진 (106)
이호준 (105)</t>
    </r>
    <r>
      <rPr>
        <sz val="10"/>
        <color theme="1"/>
        <rFont val="맑은 고딕"/>
        <family val="3"/>
        <charset val="129"/>
      </rPr>
      <t/>
    </r>
    <phoneticPr fontId="5" type="noConversion"/>
  </si>
  <si>
    <t>신현우 (101)
장성민 (104)
이우주 (106)</t>
    <phoneticPr fontId="5" type="noConversion"/>
  </si>
  <si>
    <t>여강 - 황학</t>
    <phoneticPr fontId="5" type="noConversion"/>
  </si>
  <si>
    <t>남궁한신 (103)
정승균 (108)
도정호 (105)</t>
    <phoneticPr fontId="5" type="noConversion"/>
  </si>
  <si>
    <t>브리즈 - 선샤인</t>
    <phoneticPr fontId="5" type="noConversion"/>
  </si>
  <si>
    <t>장진욱 (94)
박승진 (108)
이호준 (98)</t>
    <phoneticPr fontId="5" type="noConversion"/>
  </si>
  <si>
    <t>레이크 - 마운틴</t>
    <phoneticPr fontId="5" type="noConversion"/>
  </si>
  <si>
    <t>이상협 (100)
이호준 (106)</t>
    <phoneticPr fontId="5" type="noConversion"/>
  </si>
  <si>
    <t>밸리 (2/3/5 → 마운틴 1/2/9) - 레이크</t>
    <phoneticPr fontId="5" type="noConversion"/>
  </si>
  <si>
    <t>이상협 (102)
이호준 (97)</t>
    <phoneticPr fontId="5" type="noConversion"/>
  </si>
  <si>
    <t>장진욱 (108)</t>
    <phoneticPr fontId="5" type="noConversion"/>
  </si>
  <si>
    <t>장진욱 (80)</t>
    <phoneticPr fontId="5" type="noConversion"/>
  </si>
  <si>
    <t>밸리 - 레이크</t>
    <phoneticPr fontId="5" type="noConversion"/>
  </si>
  <si>
    <t>최우석 (94)
도정호 (106)
이상협 (103)</t>
    <phoneticPr fontId="5" type="noConversion"/>
  </si>
  <si>
    <t>누리 - 가람</t>
    <phoneticPr fontId="5" type="noConversion"/>
  </si>
  <si>
    <t>최우석 (93)
윤희수 (88)</t>
    <phoneticPr fontId="5" type="noConversion"/>
  </si>
  <si>
    <t>골프존카운티 안성W</t>
    <phoneticPr fontId="5" type="noConversion"/>
  </si>
  <si>
    <t>최우석 (86)
박승진 (104)</t>
    <phoneticPr fontId="5" type="noConversion"/>
  </si>
  <si>
    <t>레이크 - 실크</t>
    <phoneticPr fontId="5" type="noConversion"/>
  </si>
  <si>
    <t>최우석 (92)
이상협 (97)
이호준 (103)</t>
    <phoneticPr fontId="5" type="noConversion"/>
  </si>
  <si>
    <t>최우석 (96)
장진욱 (97)</t>
    <phoneticPr fontId="5" type="noConversion"/>
  </si>
  <si>
    <t>쿠팡(미쉐린와이퍼)</t>
    <phoneticPr fontId="5" type="noConversion"/>
  </si>
  <si>
    <t>네이버페이(엠퓨처)</t>
    <phoneticPr fontId="5" type="noConversion"/>
  </si>
  <si>
    <t>네이버페이(리벤아이티)</t>
    <phoneticPr fontId="5" type="noConversion"/>
  </si>
  <si>
    <t>이무형 (98)
홍지수 (106)
서수빈 (102)</t>
    <phoneticPr fontId="5" type="noConversion"/>
  </si>
  <si>
    <t>KTX (서울-창원)</t>
    <phoneticPr fontId="5" type="noConversion"/>
  </si>
  <si>
    <t>왕삼겹촌돼지</t>
    <phoneticPr fontId="5" type="noConversion"/>
  </si>
  <si>
    <t>베뉴지</t>
    <phoneticPr fontId="5" type="noConversion"/>
  </si>
  <si>
    <t>G - HUE</t>
    <phoneticPr fontId="5" type="noConversion"/>
  </si>
  <si>
    <t>신샤브</t>
    <phoneticPr fontId="5" type="noConversion"/>
  </si>
  <si>
    <t>서울동작구육아종합지원센터</t>
    <phoneticPr fontId="5" type="noConversion"/>
  </si>
  <si>
    <t>엔진오일</t>
    <phoneticPr fontId="5" type="noConversion"/>
  </si>
  <si>
    <t>오일필터 &amp; 에어필터</t>
    <phoneticPr fontId="5" type="noConversion"/>
  </si>
  <si>
    <t>세이브포인트</t>
    <phoneticPr fontId="5" type="noConversion"/>
  </si>
  <si>
    <t>듬박이찌개</t>
    <phoneticPr fontId="5" type="noConversion"/>
  </si>
  <si>
    <t>롯데면세점</t>
    <phoneticPr fontId="5" type="noConversion"/>
  </si>
  <si>
    <t>결혼식(김문길)</t>
    <phoneticPr fontId="5" type="noConversion"/>
  </si>
  <si>
    <t>오토그릴(두바이)</t>
    <phoneticPr fontId="5" type="noConversion"/>
  </si>
  <si>
    <t>두바이면세점(초콜릿)</t>
    <phoneticPr fontId="5" type="noConversion"/>
  </si>
  <si>
    <t>공임나라</t>
    <phoneticPr fontId="5" type="noConversion"/>
  </si>
  <si>
    <t>숑숑돈까스</t>
    <phoneticPr fontId="5" type="noConversion"/>
  </si>
  <si>
    <t>나이키 축구공</t>
    <phoneticPr fontId="5" type="noConversion"/>
  </si>
  <si>
    <t>성동구민종합체육센터 주차장</t>
    <phoneticPr fontId="5" type="noConversion"/>
  </si>
  <si>
    <t>송정반점</t>
    <phoneticPr fontId="5" type="noConversion"/>
  </si>
  <si>
    <t>내린천휴게소</t>
    <phoneticPr fontId="5" type="noConversion"/>
  </si>
  <si>
    <t>코끼리만두분식</t>
    <phoneticPr fontId="5" type="noConversion"/>
  </si>
  <si>
    <t>한화리조트</t>
    <phoneticPr fontId="5" type="noConversion"/>
  </si>
  <si>
    <t>최우석 (101)
양승욱 (104)
이호준 (100)</t>
    <phoneticPr fontId="5" type="noConversion"/>
  </si>
  <si>
    <t>사당1호 공영주차장</t>
    <phoneticPr fontId="5" type="noConversion"/>
  </si>
  <si>
    <t>이곱착한고기</t>
    <phoneticPr fontId="5" type="noConversion"/>
  </si>
  <si>
    <t>생신용돈(장인어른)</t>
    <phoneticPr fontId="5" type="noConversion"/>
  </si>
  <si>
    <t>한강크루즈</t>
    <phoneticPr fontId="5" type="noConversion"/>
  </si>
  <si>
    <t>필로스</t>
    <phoneticPr fontId="5" type="noConversion"/>
  </si>
  <si>
    <t>연도</t>
    <phoneticPr fontId="5" type="noConversion"/>
  </si>
  <si>
    <t>나이스파크사당역</t>
    <phoneticPr fontId="5" type="noConversion"/>
  </si>
  <si>
    <t>이호준 (100)
김동환 (90)
김군일 (97)</t>
    <phoneticPr fontId="5" type="noConversion"/>
  </si>
  <si>
    <t>자동차재산세(K5)</t>
    <phoneticPr fontId="5" type="noConversion"/>
  </si>
  <si>
    <t>자동차재산세(그랜저)</t>
    <phoneticPr fontId="5" type="noConversion"/>
  </si>
  <si>
    <t>현대건설주차장</t>
    <phoneticPr fontId="5" type="noConversion"/>
  </si>
  <si>
    <t>현대백화점주차장</t>
    <phoneticPr fontId="5" type="noConversion"/>
  </si>
  <si>
    <t>포레스트아웃팅스</t>
    <phoneticPr fontId="5" type="noConversion"/>
  </si>
  <si>
    <t>반포쇼핑타운3동주차장</t>
    <phoneticPr fontId="5" type="noConversion"/>
  </si>
  <si>
    <t>크리스마스소품</t>
    <phoneticPr fontId="5" type="noConversion"/>
  </si>
  <si>
    <t>자동차보험(그랜저)</t>
    <phoneticPr fontId="5" type="noConversion"/>
  </si>
  <si>
    <t>쿠팡(스노우패치)</t>
    <phoneticPr fontId="5" type="noConversion"/>
  </si>
  <si>
    <t>JM</t>
    <phoneticPr fontId="5" type="noConversion"/>
  </si>
  <si>
    <t>BSJ</t>
    <phoneticPr fontId="5" type="noConversion"/>
  </si>
  <si>
    <t>송구영신감사헌금</t>
    <phoneticPr fontId="5" type="noConversion"/>
  </si>
  <si>
    <t>만푸푸네르</t>
    <phoneticPr fontId="5" type="noConversion"/>
  </si>
  <si>
    <t>KTX(본가)</t>
    <phoneticPr fontId="5" type="noConversion"/>
  </si>
  <si>
    <t>밀양아리랑우주천문대</t>
    <phoneticPr fontId="5" type="noConversion"/>
  </si>
  <si>
    <t>아크로리버하임 취득세</t>
    <phoneticPr fontId="5" type="noConversion"/>
  </si>
  <si>
    <t>새옹지마찜</t>
    <phoneticPr fontId="5" type="noConversion"/>
  </si>
  <si>
    <t>오현숙산시브르</t>
    <phoneticPr fontId="5" type="noConversion"/>
  </si>
  <si>
    <t>갤러리아포레주차장</t>
    <phoneticPr fontId="5" type="noConversion"/>
  </si>
  <si>
    <t>장례식(박상진)</t>
    <phoneticPr fontId="5" type="noConversion"/>
  </si>
  <si>
    <r>
      <rPr>
        <sz val="10"/>
        <color theme="1"/>
        <rFont val="맑은 고딕"/>
        <family val="3"/>
        <charset val="129"/>
      </rPr>
      <t>세탁</t>
    </r>
    <r>
      <rPr>
        <sz val="10"/>
        <color theme="1"/>
        <rFont val="Arial"/>
        <family val="2"/>
      </rPr>
      <t>/</t>
    </r>
    <r>
      <rPr>
        <sz val="10"/>
        <color theme="1"/>
        <rFont val="맑은 고딕"/>
        <family val="3"/>
        <charset val="129"/>
      </rPr>
      <t>수선</t>
    </r>
    <r>
      <rPr>
        <sz val="10"/>
        <color theme="1"/>
        <rFont val="Arial"/>
        <family val="2"/>
      </rPr>
      <t>/</t>
    </r>
    <r>
      <rPr>
        <sz val="10"/>
        <color theme="1"/>
        <rFont val="맑은 고딕"/>
        <family val="3"/>
        <charset val="129"/>
      </rPr>
      <t>시계수리</t>
    </r>
    <phoneticPr fontId="5" type="noConversion"/>
  </si>
  <si>
    <t>팬텀(예거르쿨트르)</t>
    <phoneticPr fontId="5" type="noConversion"/>
  </si>
  <si>
    <t>장수탕선녀님</t>
    <phoneticPr fontId="5" type="noConversion"/>
  </si>
  <si>
    <t>송사부수제쌀고로케</t>
    <phoneticPr fontId="5" type="noConversion"/>
  </si>
  <si>
    <t>신세계백화점주차장</t>
    <phoneticPr fontId="5" type="noConversion"/>
  </si>
  <si>
    <t>타임옴므</t>
    <phoneticPr fontId="5" type="noConversion"/>
  </si>
  <si>
    <t>S-OIL</t>
    <phoneticPr fontId="5" type="noConversion"/>
  </si>
  <si>
    <t>D1</t>
    <phoneticPr fontId="5" type="noConversion"/>
  </si>
  <si>
    <t>A4</t>
    <phoneticPr fontId="5" type="noConversion"/>
  </si>
  <si>
    <t>SJ</t>
    <phoneticPr fontId="5" type="noConversion"/>
  </si>
  <si>
    <t>LFmall(질스튜어트뉴욕)</t>
    <phoneticPr fontId="5" type="noConversion"/>
  </si>
  <si>
    <t>바삭하게</t>
    <phoneticPr fontId="5" type="noConversion"/>
  </si>
  <si>
    <t>특별용돈(어머니)</t>
    <phoneticPr fontId="5" type="noConversion"/>
  </si>
  <si>
    <t>여의도한강공원눈썰매장</t>
    <phoneticPr fontId="5" type="noConversion"/>
  </si>
  <si>
    <t>모임회비(룸비니)</t>
    <phoneticPr fontId="5" type="noConversion"/>
  </si>
  <si>
    <t>현대백화점</t>
    <phoneticPr fontId="5" type="noConversion"/>
  </si>
  <si>
    <t>현대백화점(디올)(양지현)</t>
    <phoneticPr fontId="5" type="noConversion"/>
  </si>
  <si>
    <t>현대백화점(강지완)</t>
    <phoneticPr fontId="5" type="noConversion"/>
  </si>
  <si>
    <t>두물머리</t>
    <phoneticPr fontId="5" type="noConversion"/>
  </si>
  <si>
    <t>두물머리주차장</t>
    <phoneticPr fontId="5" type="noConversion"/>
  </si>
  <si>
    <t>황태마을</t>
    <phoneticPr fontId="5" type="noConversion"/>
  </si>
  <si>
    <t>감탄계</t>
    <phoneticPr fontId="5" type="noConversion"/>
  </si>
  <si>
    <t>블루헤런</t>
    <phoneticPr fontId="5" type="noConversion"/>
  </si>
  <si>
    <t>EAST - WEST</t>
    <phoneticPr fontId="5" type="noConversion"/>
  </si>
  <si>
    <t>쿠팡(버즈케이스)(양지현)</t>
    <phoneticPr fontId="5" type="noConversion"/>
  </si>
  <si>
    <t>성과급</t>
    <phoneticPr fontId="5" type="noConversion"/>
  </si>
  <si>
    <t>연결</t>
    <phoneticPr fontId="5" type="noConversion"/>
  </si>
  <si>
    <t>매출액</t>
    <phoneticPr fontId="5" type="noConversion"/>
  </si>
  <si>
    <t>영업이익</t>
    <phoneticPr fontId="5" type="noConversion"/>
  </si>
  <si>
    <t>별도</t>
    <phoneticPr fontId="5" type="noConversion"/>
  </si>
  <si>
    <t>영업이익률</t>
    <phoneticPr fontId="5" type="noConversion"/>
  </si>
  <si>
    <t>토목</t>
    <phoneticPr fontId="5" type="noConversion"/>
  </si>
  <si>
    <t>건축</t>
    <phoneticPr fontId="5" type="noConversion"/>
  </si>
  <si>
    <t>플랜트</t>
    <phoneticPr fontId="5" type="noConversion"/>
  </si>
  <si>
    <t>지원</t>
    <phoneticPr fontId="5" type="noConversion"/>
  </si>
  <si>
    <t>생신용돈(아버지)</t>
    <phoneticPr fontId="5" type="noConversion"/>
  </si>
  <si>
    <t>2층은약국</t>
    <phoneticPr fontId="5" type="noConversion"/>
  </si>
  <si>
    <t>가츠오</t>
    <phoneticPr fontId="5" type="noConversion"/>
  </si>
  <si>
    <t>뚜레쥬르</t>
    <phoneticPr fontId="5" type="noConversion"/>
  </si>
  <si>
    <t>하이보</t>
    <phoneticPr fontId="5" type="noConversion"/>
  </si>
  <si>
    <t>고속버스터미널주차장</t>
    <phoneticPr fontId="5" type="noConversion"/>
  </si>
  <si>
    <t>라면땡기는날</t>
    <phoneticPr fontId="5" type="noConversion"/>
  </si>
  <si>
    <t>국립현대미술관주차장</t>
    <phoneticPr fontId="5" type="noConversion"/>
  </si>
  <si>
    <t>라메</t>
    <phoneticPr fontId="5" type="noConversion"/>
  </si>
  <si>
    <t>산업안전기사</t>
    <phoneticPr fontId="5" type="noConversion"/>
  </si>
  <si>
    <t>G1(B)</t>
    <phoneticPr fontId="5" type="noConversion"/>
  </si>
  <si>
    <t>G2(B)</t>
    <phoneticPr fontId="5" type="noConversion"/>
  </si>
  <si>
    <t>G3(B)</t>
    <phoneticPr fontId="5" type="noConversion"/>
  </si>
  <si>
    <t>장기근속</t>
    <phoneticPr fontId="5" type="noConversion"/>
  </si>
  <si>
    <t>장기근속휴가비</t>
    <phoneticPr fontId="5" type="noConversion"/>
  </si>
  <si>
    <t>장기근속과세지원</t>
    <phoneticPr fontId="5" type="noConversion"/>
  </si>
  <si>
    <t>장기근속공제</t>
    <phoneticPr fontId="5" type="noConversion"/>
  </si>
  <si>
    <t>SSG.COM(나이키)</t>
    <phoneticPr fontId="5" type="noConversion"/>
  </si>
  <si>
    <t>쿠팡</t>
    <phoneticPr fontId="5" type="noConversion"/>
  </si>
  <si>
    <t>나인식양평해장국</t>
    <phoneticPr fontId="5" type="noConversion"/>
  </si>
  <si>
    <t>돌멩이캠핑바베큐</t>
    <phoneticPr fontId="5" type="noConversion"/>
  </si>
  <si>
    <t>BB</t>
    <phoneticPr fontId="5" type="noConversion"/>
  </si>
  <si>
    <t>SA</t>
    <phoneticPr fontId="5" type="noConversion"/>
  </si>
  <si>
    <t>2030 TOTAL</t>
    <phoneticPr fontId="5" type="noConversion"/>
  </si>
  <si>
    <t>2029 TOTAL</t>
    <phoneticPr fontId="5" type="noConversion"/>
  </si>
  <si>
    <t>2034 TOTAL</t>
    <phoneticPr fontId="5" type="noConversion"/>
  </si>
  <si>
    <t>2033 TOTAL</t>
    <phoneticPr fontId="5" type="noConversion"/>
  </si>
  <si>
    <t>2032 TOTAL</t>
    <phoneticPr fontId="5" type="noConversion"/>
  </si>
  <si>
    <t>2031 TOTAL</t>
    <phoneticPr fontId="5" type="noConversion"/>
  </si>
  <si>
    <t>Actual</t>
    <phoneticPr fontId="5" type="noConversion"/>
  </si>
  <si>
    <t>Expected</t>
    <phoneticPr fontId="5" type="noConversion"/>
  </si>
  <si>
    <t>공돈</t>
    <phoneticPr fontId="5" type="noConversion"/>
  </si>
  <si>
    <t>명절선물(시가/처가)</t>
    <phoneticPr fontId="5" type="noConversion"/>
  </si>
  <si>
    <t>티몬(에버랜드)</t>
    <phoneticPr fontId="5" type="noConversion"/>
  </si>
  <si>
    <t>용산역</t>
    <phoneticPr fontId="5" type="noConversion"/>
  </si>
  <si>
    <t>생일선물(양지현)</t>
    <phoneticPr fontId="5" type="noConversion"/>
  </si>
  <si>
    <t>쿠팡(SRB)</t>
    <phoneticPr fontId="5" type="noConversion"/>
  </si>
  <si>
    <t>명륜진사갈비</t>
    <phoneticPr fontId="5" type="noConversion"/>
  </si>
  <si>
    <t>밀피유</t>
    <phoneticPr fontId="5" type="noConversion"/>
  </si>
  <si>
    <t>CA정문약국</t>
    <phoneticPr fontId="5" type="noConversion"/>
  </si>
  <si>
    <t>여의도한강공원주차장</t>
    <phoneticPr fontId="5" type="noConversion"/>
  </si>
  <si>
    <t>명절용돈(처가)</t>
    <phoneticPr fontId="5" type="noConversion"/>
  </si>
  <si>
    <t>인천공항고속도로</t>
    <phoneticPr fontId="5" type="noConversion"/>
  </si>
  <si>
    <t>신세계인터넷면세점</t>
    <phoneticPr fontId="5" type="noConversion"/>
  </si>
  <si>
    <t>연말정산환급금</t>
    <phoneticPr fontId="5" type="noConversion"/>
  </si>
  <si>
    <t>최우석 (105)
이상협 (107)
이호준 (113)</t>
    <phoneticPr fontId="5" type="noConversion"/>
  </si>
  <si>
    <t>PMP 자격갱신비용</t>
    <phoneticPr fontId="5" type="noConversion"/>
  </si>
  <si>
    <r>
      <t xml:space="preserve">PMP </t>
    </r>
    <r>
      <rPr>
        <sz val="10"/>
        <color theme="1"/>
        <rFont val="맑은 고딕"/>
        <family val="3"/>
        <charset val="129"/>
      </rPr>
      <t>자격갱신비용</t>
    </r>
    <phoneticPr fontId="5" type="noConversion"/>
  </si>
  <si>
    <t>건설기술인협회 연회비</t>
    <phoneticPr fontId="5" type="noConversion"/>
  </si>
  <si>
    <t>규돈향</t>
    <phoneticPr fontId="5" type="noConversion"/>
  </si>
  <si>
    <t>대우디오슈페리움</t>
    <phoneticPr fontId="5" type="noConversion"/>
  </si>
  <si>
    <t>더볼룸(강지완)</t>
    <phoneticPr fontId="5" type="noConversion"/>
  </si>
  <si>
    <t>화해(알로즈)</t>
    <phoneticPr fontId="5" type="noConversion"/>
  </si>
  <si>
    <t>카페얼티밋(양지현)</t>
    <phoneticPr fontId="5" type="noConversion"/>
  </si>
  <si>
    <t>카페얼티밋(강지완)</t>
    <phoneticPr fontId="5" type="noConversion"/>
  </si>
  <si>
    <t>키랩보드게임카페</t>
    <phoneticPr fontId="5" type="noConversion"/>
  </si>
  <si>
    <t>맘스터치</t>
    <phoneticPr fontId="5" type="noConversion"/>
  </si>
  <si>
    <t>MBC(주차)</t>
    <phoneticPr fontId="5" type="noConversion"/>
  </si>
  <si>
    <t>에버랜드</t>
    <phoneticPr fontId="5" type="noConversion"/>
  </si>
  <si>
    <t>에버랜드(주차)</t>
    <phoneticPr fontId="5" type="noConversion"/>
  </si>
  <si>
    <t>돈까스잔치</t>
    <phoneticPr fontId="5" type="noConversion"/>
  </si>
  <si>
    <t>알라보</t>
    <phoneticPr fontId="5" type="noConversion"/>
  </si>
  <si>
    <t>황새골</t>
    <phoneticPr fontId="5" type="noConversion"/>
  </si>
  <si>
    <t>중동떡집</t>
    <phoneticPr fontId="5" type="noConversion"/>
  </si>
  <si>
    <t>무광오피스(주차)</t>
    <phoneticPr fontId="5" type="noConversion"/>
  </si>
  <si>
    <t>쿠팡(키친타월)</t>
    <phoneticPr fontId="5" type="noConversion"/>
  </si>
  <si>
    <t>2022-10</t>
  </si>
  <si>
    <t>2022-11</t>
  </si>
  <si>
    <t>2023-01</t>
    <phoneticPr fontId="5" type="noConversion"/>
  </si>
  <si>
    <t>2022-01</t>
    <phoneticPr fontId="5" type="noConversion"/>
  </si>
  <si>
    <t>2022-02</t>
  </si>
  <si>
    <t>2022-03</t>
  </si>
  <si>
    <t>2022-04</t>
  </si>
  <si>
    <t>2022-05</t>
  </si>
  <si>
    <t>2022-06</t>
  </si>
  <si>
    <t>2022-07</t>
  </si>
  <si>
    <t>2022-08</t>
  </si>
  <si>
    <t>2022-09</t>
  </si>
  <si>
    <t>2023-02</t>
  </si>
  <si>
    <t>2023-03</t>
  </si>
  <si>
    <t>2023-04</t>
  </si>
  <si>
    <t>2023-05</t>
  </si>
  <si>
    <t>2023-06</t>
  </si>
  <si>
    <t>2023-07</t>
  </si>
  <si>
    <t>2023-08</t>
  </si>
  <si>
    <t>2023-09</t>
  </si>
  <si>
    <t>2023-10</t>
  </si>
  <si>
    <t>2024-01</t>
    <phoneticPr fontId="5" type="noConversion"/>
  </si>
  <si>
    <t>Season</t>
    <phoneticPr fontId="5" type="noConversion"/>
  </si>
  <si>
    <t>Golf Course</t>
    <phoneticPr fontId="5" type="noConversion"/>
  </si>
  <si>
    <t>Shot</t>
    <phoneticPr fontId="5" type="noConversion"/>
  </si>
  <si>
    <t>Golf Club</t>
    <phoneticPr fontId="5" type="noConversion"/>
  </si>
  <si>
    <t>레이크 Out - 레이크 In</t>
  </si>
  <si>
    <t>별님 - 해님</t>
  </si>
  <si>
    <t>마루 - 누리</t>
  </si>
  <si>
    <t>동 - 서</t>
  </si>
  <si>
    <t>황학 - 세종</t>
  </si>
  <si>
    <t>USA - AUS</t>
  </si>
  <si>
    <t>타이탄 - 마이다스</t>
  </si>
  <si>
    <t>Challenge - Victory</t>
  </si>
  <si>
    <t>여강 - 황학</t>
  </si>
  <si>
    <t>브리즈 - 선샤인</t>
  </si>
  <si>
    <t>레이크 - 마운틴</t>
  </si>
  <si>
    <t>밸리 (2/3/5 → 마운틴 1/2/9) - 레이크</t>
  </si>
  <si>
    <t>밸리 - 레이크</t>
  </si>
  <si>
    <t>누리 - 가람</t>
  </si>
  <si>
    <t>Out - In</t>
  </si>
  <si>
    <t>레이크 - 실크</t>
  </si>
  <si>
    <t>G - HUE</t>
  </si>
  <si>
    <t>EAST - WEST</t>
  </si>
  <si>
    <t>Year</t>
    <phoneticPr fontId="5" type="noConversion"/>
  </si>
  <si>
    <t>Avg. Shot</t>
    <phoneticPr fontId="5" type="noConversion"/>
  </si>
  <si>
    <t>Avg. Score</t>
    <phoneticPr fontId="5" type="noConversion"/>
  </si>
  <si>
    <t>SMA</t>
    <phoneticPr fontId="5" type="noConversion"/>
  </si>
  <si>
    <t>SM</t>
    <phoneticPr fontId="5" type="noConversion"/>
  </si>
  <si>
    <t>캠핑고양이</t>
    <phoneticPr fontId="5" type="noConversion"/>
  </si>
  <si>
    <t>전쟁기념관</t>
    <phoneticPr fontId="5" type="noConversion"/>
  </si>
  <si>
    <t>생신용돈(장모님)</t>
    <phoneticPr fontId="5" type="noConversion"/>
  </si>
  <si>
    <t>DB손해보험</t>
    <phoneticPr fontId="5" type="noConversion"/>
  </si>
  <si>
    <t>1974비래옥</t>
    <phoneticPr fontId="5" type="noConversion"/>
  </si>
  <si>
    <t>소하공영주차장</t>
    <phoneticPr fontId="5" type="noConversion"/>
  </si>
  <si>
    <t>이마트24</t>
    <phoneticPr fontId="5" type="noConversion"/>
  </si>
  <si>
    <t>2024-02</t>
    <phoneticPr fontId="5" type="noConversion"/>
  </si>
  <si>
    <t>실크 - 밸리</t>
    <phoneticPr fontId="5" type="noConversion"/>
  </si>
  <si>
    <t>쿠팡(골프장갑 - 지현 회사)</t>
    <phoneticPr fontId="5" type="noConversion"/>
  </si>
  <si>
    <t>보험지급금 저축 (DB손해보험)</t>
    <phoneticPr fontId="5" type="noConversion"/>
  </si>
  <si>
    <t>BBQ</t>
    <phoneticPr fontId="5" type="noConversion"/>
  </si>
  <si>
    <t>마마된장</t>
    <phoneticPr fontId="5" type="noConversion"/>
  </si>
  <si>
    <t>태광</t>
    <phoneticPr fontId="5" type="noConversion"/>
  </si>
  <si>
    <t>KTX (전주-서울) (장인어른)</t>
    <phoneticPr fontId="5" type="noConversion"/>
  </si>
  <si>
    <t>국민수육국밥</t>
    <phoneticPr fontId="5" type="noConversion"/>
  </si>
  <si>
    <t>할리스커피</t>
    <phoneticPr fontId="5" type="noConversion"/>
  </si>
  <si>
    <t>라고바움</t>
    <phoneticPr fontId="5" type="noConversion"/>
  </si>
  <si>
    <t>결혼식(김기락)</t>
    <phoneticPr fontId="5" type="noConversion"/>
  </si>
  <si>
    <t>소마사고력수학학원(강지완)</t>
    <phoneticPr fontId="5" type="noConversion"/>
  </si>
  <si>
    <t>장례식(유병찬)</t>
    <phoneticPr fontId="5" type="noConversion"/>
  </si>
  <si>
    <t>장례식(최종현)</t>
    <phoneticPr fontId="5" type="noConversion"/>
  </si>
  <si>
    <t>2024-03</t>
    <phoneticPr fontId="5" type="noConversion"/>
  </si>
  <si>
    <t>이무형 (100)
홍지수 (109)
서수빈 (99)</t>
    <phoneticPr fontId="5" type="noConversion"/>
  </si>
  <si>
    <r>
      <rPr>
        <b/>
        <sz val="10"/>
        <color theme="1"/>
        <rFont val="맑은 고딕"/>
        <family val="3"/>
        <charset val="129"/>
      </rPr>
      <t>교육</t>
    </r>
    <r>
      <rPr>
        <b/>
        <sz val="10"/>
        <color theme="1"/>
        <rFont val="Arial"/>
        <family val="2"/>
      </rPr>
      <t xml:space="preserve"> (</t>
    </r>
    <r>
      <rPr>
        <b/>
        <sz val="10"/>
        <color theme="1"/>
        <rFont val="맑은 고딕"/>
        <family val="3"/>
        <charset val="129"/>
      </rPr>
      <t>강지완</t>
    </r>
    <r>
      <rPr>
        <b/>
        <sz val="10"/>
        <color theme="1"/>
        <rFont val="Arial"/>
        <family val="2"/>
      </rPr>
      <t>)</t>
    </r>
    <phoneticPr fontId="5" type="noConversion"/>
  </si>
  <si>
    <r>
      <rPr>
        <b/>
        <sz val="10"/>
        <color theme="1"/>
        <rFont val="맑은 고딕"/>
        <family val="3"/>
        <charset val="129"/>
      </rPr>
      <t>교육</t>
    </r>
    <r>
      <rPr>
        <b/>
        <sz val="10"/>
        <color theme="1"/>
        <rFont val="Arial"/>
        <family val="2"/>
      </rPr>
      <t xml:space="preserve"> (</t>
    </r>
    <r>
      <rPr>
        <b/>
        <sz val="10"/>
        <color theme="1"/>
        <rFont val="맑은 고딕"/>
        <family val="3"/>
        <charset val="129"/>
      </rPr>
      <t>기타</t>
    </r>
    <r>
      <rPr>
        <b/>
        <sz val="10"/>
        <color theme="1"/>
        <rFont val="Arial"/>
        <family val="2"/>
      </rPr>
      <t>)</t>
    </r>
    <phoneticPr fontId="5" type="noConversion"/>
  </si>
  <si>
    <t>서 - 남</t>
    <phoneticPr fontId="5" type="noConversion"/>
  </si>
  <si>
    <t>안철호 (101)
안상훈 (99)
정유훈 (109)</t>
    <phoneticPr fontId="5" type="noConversion"/>
  </si>
  <si>
    <t>2024-04</t>
    <phoneticPr fontId="5" type="noConversion"/>
  </si>
  <si>
    <t>연세어린이사랑치과의원</t>
    <phoneticPr fontId="5" type="noConversion"/>
  </si>
  <si>
    <t>런드리고</t>
    <phoneticPr fontId="5" type="noConversion"/>
  </si>
  <si>
    <t>결혼식(김범윤)</t>
    <phoneticPr fontId="5" type="noConversion"/>
  </si>
  <si>
    <t>교보문고(강지완)</t>
    <phoneticPr fontId="5" type="noConversion"/>
  </si>
  <si>
    <t>토예랑</t>
    <phoneticPr fontId="5" type="noConversion"/>
  </si>
  <si>
    <t>백운보트장</t>
    <phoneticPr fontId="5" type="noConversion"/>
  </si>
  <si>
    <t>백온호수주차장</t>
    <phoneticPr fontId="5" type="noConversion"/>
  </si>
  <si>
    <t>신라스테이역삼(부모님)</t>
    <phoneticPr fontId="5" type="noConversion"/>
  </si>
  <si>
    <t>쿠팡(그린세라)(양지현)</t>
    <phoneticPr fontId="5" type="noConversion"/>
  </si>
  <si>
    <t>'21년 7월</t>
  </si>
  <si>
    <t>구내식당 45,000</t>
  </si>
  <si>
    <t>6월 출장비 십일조 14,000 포함</t>
  </si>
  <si>
    <t>TV/인터넷(42,900)+휴대폰(69,000+56,650)+정수기(26,010)+통행료(800)</t>
  </si>
  <si>
    <t>100만원 Keep</t>
  </si>
  <si>
    <t>'21년 8월</t>
  </si>
  <si>
    <t>구내식당 37,500</t>
  </si>
  <si>
    <t>7월 6,410 납입 완료</t>
  </si>
  <si>
    <t>마일리지사용 1,200</t>
  </si>
  <si>
    <t>'21년 9월</t>
  </si>
  <si>
    <t>구내식당 12,000</t>
  </si>
  <si>
    <t>'21년 10월</t>
  </si>
  <si>
    <t>구내식당 64,500</t>
  </si>
  <si>
    <t>'21년 11월</t>
  </si>
  <si>
    <t>구내식당 60,000</t>
  </si>
  <si>
    <t>'21년 12월</t>
  </si>
  <si>
    <t>구내식당 69,000</t>
  </si>
  <si>
    <t>'22년 1월</t>
  </si>
  <si>
    <t>구내식당 55,500 골프장갑 25,800</t>
  </si>
  <si>
    <t>'22년 2월</t>
  </si>
  <si>
    <t>구내식당 57,000</t>
  </si>
  <si>
    <t>'22년 3월</t>
  </si>
  <si>
    <t>구내식당 70,500</t>
  </si>
  <si>
    <t>'22년 4월</t>
  </si>
  <si>
    <t>구내식당 39,000</t>
  </si>
  <si>
    <t>'22년 5월</t>
  </si>
  <si>
    <t>구내식당 66,000 + 씨스페이스 27,600</t>
  </si>
  <si>
    <t>'22년 6월</t>
  </si>
  <si>
    <t>구내식당 81,000</t>
  </si>
  <si>
    <t>'22년 7월</t>
  </si>
  <si>
    <t>구내식당 86,500</t>
  </si>
  <si>
    <t>마일리지 850 사용</t>
  </si>
  <si>
    <t>'22년 8월</t>
  </si>
  <si>
    <t>구내식당 137,500</t>
  </si>
  <si>
    <t>'22년 9월</t>
  </si>
  <si>
    <t>마일리지 1200 사용</t>
  </si>
  <si>
    <t>'22년 10월</t>
  </si>
  <si>
    <t>구내식당 83,000</t>
  </si>
  <si>
    <t>'22년 11월</t>
  </si>
  <si>
    <t>구내식당 18,000</t>
  </si>
  <si>
    <t>'22년 12월</t>
  </si>
  <si>
    <t>구내식당 73,000</t>
  </si>
  <si>
    <t>'23년 01월</t>
    <phoneticPr fontId="5" type="noConversion"/>
  </si>
  <si>
    <t>구내식당 90,500</t>
    <phoneticPr fontId="5" type="noConversion"/>
  </si>
  <si>
    <t>'23년 02월</t>
    <phoneticPr fontId="5" type="noConversion"/>
  </si>
  <si>
    <t>구내식당 86,500</t>
    <phoneticPr fontId="5" type="noConversion"/>
  </si>
  <si>
    <t>'23년 03월</t>
    <phoneticPr fontId="5" type="noConversion"/>
  </si>
  <si>
    <t>구내식당 110,500 + 노우즈 13,200</t>
    <phoneticPr fontId="5" type="noConversion"/>
  </si>
  <si>
    <t>'23년 04월</t>
    <phoneticPr fontId="5" type="noConversion"/>
  </si>
  <si>
    <t>구내식당 7,000</t>
    <phoneticPr fontId="5" type="noConversion"/>
  </si>
  <si>
    <t>'23년 05월</t>
    <phoneticPr fontId="5" type="noConversion"/>
  </si>
  <si>
    <t>구내식당 89,500</t>
    <phoneticPr fontId="5" type="noConversion"/>
  </si>
  <si>
    <t>태준암(KB)</t>
    <phoneticPr fontId="5" type="noConversion"/>
  </si>
  <si>
    <r>
      <rPr>
        <sz val="10"/>
        <color theme="1"/>
        <rFont val="현대하모니 L"/>
        <family val="1"/>
        <charset val="129"/>
      </rPr>
      <t>자동차취등록세 환급 400,410</t>
    </r>
    <phoneticPr fontId="5" type="noConversion"/>
  </si>
  <si>
    <t>자동차세 (K5)</t>
    <phoneticPr fontId="5" type="noConversion"/>
  </si>
  <si>
    <t>자동차세 (그랜저)</t>
    <phoneticPr fontId="5" type="noConversion"/>
  </si>
  <si>
    <t>'23년 06월</t>
    <phoneticPr fontId="5" type="noConversion"/>
  </si>
  <si>
    <t>구내식당 50,000 + 시내대중교통 신용카드 사용분 45,770 소급 ('22년 1월 ~ '23년 6월)</t>
    <phoneticPr fontId="5" type="noConversion"/>
  </si>
  <si>
    <t>'23년 07월</t>
    <phoneticPr fontId="5" type="noConversion"/>
  </si>
  <si>
    <t>구내식당 36,000 + 대중교통 2160</t>
    <phoneticPr fontId="5" type="noConversion"/>
  </si>
  <si>
    <t>통행료(지현) 900 + 대중교통(태준) 2160</t>
    <phoneticPr fontId="5" type="noConversion"/>
  </si>
  <si>
    <t>'23년 08월</t>
    <phoneticPr fontId="5" type="noConversion"/>
  </si>
  <si>
    <t>구내식당 49,000</t>
    <phoneticPr fontId="5" type="noConversion"/>
  </si>
  <si>
    <t>마일리지사용 850</t>
    <phoneticPr fontId="5" type="noConversion"/>
  </si>
  <si>
    <t>'23년 09월</t>
    <phoneticPr fontId="5" type="noConversion"/>
  </si>
  <si>
    <t>구내식당 56,000</t>
    <phoneticPr fontId="5" type="noConversion"/>
  </si>
  <si>
    <t>'23년 10월</t>
    <phoneticPr fontId="5" type="noConversion"/>
  </si>
  <si>
    <t>구내식당 14,000</t>
    <phoneticPr fontId="5" type="noConversion"/>
  </si>
  <si>
    <t>'23년 11월</t>
    <phoneticPr fontId="5" type="noConversion"/>
  </si>
  <si>
    <t>구내식당 42,000</t>
    <phoneticPr fontId="5" type="noConversion"/>
  </si>
  <si>
    <t>'23년 12월</t>
    <phoneticPr fontId="5" type="noConversion"/>
  </si>
  <si>
    <t>구내식당 35,000</t>
    <phoneticPr fontId="5" type="noConversion"/>
  </si>
  <si>
    <t>'24년 01월</t>
    <phoneticPr fontId="5" type="noConversion"/>
  </si>
  <si>
    <t>'24년 02월</t>
    <phoneticPr fontId="5" type="noConversion"/>
  </si>
  <si>
    <t>구내식당 28,000</t>
    <phoneticPr fontId="5" type="noConversion"/>
  </si>
  <si>
    <t>'24년 03월</t>
    <phoneticPr fontId="5" type="noConversion"/>
  </si>
  <si>
    <t>1교구90</t>
    <phoneticPr fontId="5" type="noConversion"/>
  </si>
  <si>
    <t>HERR(주차)</t>
    <phoneticPr fontId="5" type="noConversion"/>
  </si>
  <si>
    <t>롯데월드타워(주차)</t>
    <phoneticPr fontId="5" type="noConversion"/>
  </si>
  <si>
    <t>JBOUT COFFEE</t>
    <phoneticPr fontId="5" type="noConversion"/>
  </si>
  <si>
    <t>안동장</t>
    <phoneticPr fontId="5" type="noConversion"/>
  </si>
  <si>
    <t>올리브데올리브</t>
    <phoneticPr fontId="5" type="noConversion"/>
  </si>
  <si>
    <t>'24년 04월</t>
    <phoneticPr fontId="5" type="noConversion"/>
  </si>
  <si>
    <t>구내식당 32,000</t>
    <phoneticPr fontId="5" type="noConversion"/>
  </si>
  <si>
    <t>결혼식(이예진)</t>
    <phoneticPr fontId="5" type="noConversion"/>
  </si>
  <si>
    <t>광주휴게소</t>
    <phoneticPr fontId="5" type="noConversion"/>
  </si>
  <si>
    <t>농협주유소</t>
    <phoneticPr fontId="5" type="noConversion"/>
  </si>
  <si>
    <t>토끼의숲</t>
    <phoneticPr fontId="5" type="noConversion"/>
  </si>
  <si>
    <t>한촌설렁탕</t>
    <phoneticPr fontId="5" type="noConversion"/>
  </si>
  <si>
    <t>알펜시아리조트</t>
    <phoneticPr fontId="5" type="noConversion"/>
  </si>
  <si>
    <t>여주프리미엄아울렛</t>
    <phoneticPr fontId="5" type="noConversion"/>
  </si>
  <si>
    <t>버스(서울-창원)</t>
    <phoneticPr fontId="5" type="noConversion"/>
  </si>
  <si>
    <t>SPA 응시료</t>
    <phoneticPr fontId="5" type="noConversion"/>
  </si>
  <si>
    <t>KTX(창원-서울)</t>
    <phoneticPr fontId="5" type="noConversion"/>
  </si>
  <si>
    <t>어버이날(시가)</t>
    <phoneticPr fontId="5" type="noConversion"/>
  </si>
  <si>
    <t>플로라(시가)</t>
    <phoneticPr fontId="5" type="noConversion"/>
  </si>
  <si>
    <t>백제계삼탕(시가)</t>
    <phoneticPr fontId="5" type="noConversion"/>
  </si>
  <si>
    <t>개성만두궁</t>
    <phoneticPr fontId="5" type="noConversion"/>
  </si>
  <si>
    <t>성지순례용돈(장모님)</t>
    <phoneticPr fontId="5" type="noConversion"/>
  </si>
  <si>
    <t>KTX(서울-부산)</t>
    <phoneticPr fontId="5" type="noConversion"/>
  </si>
  <si>
    <t>어버이날(처가)</t>
    <phoneticPr fontId="5" type="noConversion"/>
  </si>
  <si>
    <t>흑석메트로정형외과의원</t>
    <phoneticPr fontId="5" type="noConversion"/>
  </si>
  <si>
    <t>최우석 (104)
양승욱 (93)
이호준 (96)</t>
    <phoneticPr fontId="5" type="noConversion"/>
  </si>
  <si>
    <t>2024-06</t>
    <phoneticPr fontId="5" type="noConversion"/>
  </si>
  <si>
    <t>2024-07</t>
    <phoneticPr fontId="5" type="noConversion"/>
  </si>
  <si>
    <t>2024-08</t>
    <phoneticPr fontId="5" type="noConversion"/>
  </si>
  <si>
    <t>2024-09</t>
    <phoneticPr fontId="5" type="noConversion"/>
  </si>
  <si>
    <t>삼거리부대찌개</t>
    <phoneticPr fontId="5" type="noConversion"/>
  </si>
  <si>
    <t>뻥튀기</t>
    <phoneticPr fontId="5" type="noConversion"/>
  </si>
  <si>
    <t>LG서비스센터</t>
    <phoneticPr fontId="5" type="noConversion"/>
  </si>
  <si>
    <t>연세와이즈치과의원</t>
    <phoneticPr fontId="5" type="noConversion"/>
  </si>
  <si>
    <t>'24년 05월</t>
    <phoneticPr fontId="5" type="noConversion"/>
  </si>
  <si>
    <t>구내식당 36,000</t>
    <phoneticPr fontId="5" type="noConversion"/>
  </si>
  <si>
    <t>카봇(강지완)</t>
    <phoneticPr fontId="5" type="noConversion"/>
  </si>
  <si>
    <t>수목식당</t>
    <phoneticPr fontId="5" type="noConversion"/>
  </si>
  <si>
    <t>결혼식(정대욱)</t>
    <phoneticPr fontId="5" type="noConversion"/>
  </si>
  <si>
    <t>한주면옥</t>
    <phoneticPr fontId="5" type="noConversion"/>
  </si>
  <si>
    <t>켈리토스트</t>
    <phoneticPr fontId="5" type="noConversion"/>
  </si>
  <si>
    <t>플라이트럭</t>
    <phoneticPr fontId="5" type="noConversion"/>
  </si>
  <si>
    <t>포레스트청담</t>
    <phoneticPr fontId="5" type="noConversion"/>
  </si>
  <si>
    <t>돌하우스</t>
    <phoneticPr fontId="5" type="noConversion"/>
  </si>
  <si>
    <t>원유로스페셜티</t>
    <phoneticPr fontId="5" type="noConversion"/>
  </si>
  <si>
    <t>2022부산기념품10선협의회</t>
    <phoneticPr fontId="5" type="noConversion"/>
  </si>
  <si>
    <t>동백카츠</t>
    <phoneticPr fontId="5" type="noConversion"/>
  </si>
  <si>
    <t>배달의민족(본가)</t>
    <phoneticPr fontId="5" type="noConversion"/>
  </si>
  <si>
    <t>찬's컴퍼니</t>
    <phoneticPr fontId="5" type="noConversion"/>
  </si>
  <si>
    <t>태종대다누비열차</t>
    <phoneticPr fontId="5" type="noConversion"/>
  </si>
  <si>
    <t>쿠팡(방탄꼭지)</t>
    <phoneticPr fontId="5" type="noConversion"/>
  </si>
  <si>
    <t>자동차검사</t>
    <phoneticPr fontId="5" type="noConversion"/>
  </si>
  <si>
    <t>티몬(신신호텔)</t>
    <phoneticPr fontId="5" type="noConversion"/>
  </si>
  <si>
    <t>더힐피부과의원</t>
    <phoneticPr fontId="5" type="noConversion"/>
  </si>
  <si>
    <t>현주네김밥</t>
    <phoneticPr fontId="5" type="noConversion"/>
  </si>
  <si>
    <t>장성그랜드사우나</t>
    <phoneticPr fontId="5" type="noConversion"/>
  </si>
  <si>
    <t>현선이네</t>
    <phoneticPr fontId="5" type="noConversion"/>
  </si>
  <si>
    <t>한신메디피아</t>
    <phoneticPr fontId="5" type="noConversion"/>
  </si>
  <si>
    <t>달콤왕가탕후루</t>
    <phoneticPr fontId="5" type="noConversion"/>
  </si>
  <si>
    <t>가마치통닭</t>
    <phoneticPr fontId="5" type="noConversion"/>
  </si>
  <si>
    <t>양궈푸마라탕</t>
    <phoneticPr fontId="5" type="noConversion"/>
  </si>
  <si>
    <t>최우석 (99)
윤희수 (87)
양승욱 (87)</t>
    <phoneticPr fontId="5" type="noConversion"/>
  </si>
  <si>
    <t>'24년 06월</t>
    <phoneticPr fontId="5" type="noConversion"/>
  </si>
  <si>
    <t>제주공항(마그넷)</t>
  </si>
  <si>
    <t>제주공항(마그넷)</t>
    <phoneticPr fontId="5" type="noConversion"/>
  </si>
  <si>
    <t>세계자동차&amp;피아노 박물관</t>
  </si>
  <si>
    <t>세계자동차&amp;피아노 박물관</t>
    <phoneticPr fontId="5" type="noConversion"/>
  </si>
  <si>
    <t>해비치호텔앤드리조트</t>
  </si>
  <si>
    <t>해비치호텔앤드리조트</t>
    <phoneticPr fontId="5" type="noConversion"/>
  </si>
  <si>
    <t>해비치호텔앤드리조트 (이디)</t>
  </si>
  <si>
    <t>해비치호텔앤드리조트 (이디)</t>
    <phoneticPr fontId="5" type="noConversion"/>
  </si>
  <si>
    <t>제주닭집</t>
  </si>
  <si>
    <t>제주닭집</t>
    <phoneticPr fontId="5" type="noConversion"/>
  </si>
  <si>
    <t>서울앵무새</t>
  </si>
  <si>
    <t>서울앵무새</t>
    <phoneticPr fontId="5" type="noConversion"/>
  </si>
  <si>
    <t>포즐파크</t>
  </si>
  <si>
    <t>포즐파크</t>
    <phoneticPr fontId="5" type="noConversion"/>
  </si>
  <si>
    <t>흑돼지고을</t>
  </si>
  <si>
    <t>흑돼지고을</t>
    <phoneticPr fontId="5" type="noConversion"/>
  </si>
  <si>
    <t>김포공항</t>
  </si>
  <si>
    <t>김포공항</t>
    <phoneticPr fontId="5" type="noConversion"/>
  </si>
  <si>
    <t>신신호텔</t>
  </si>
  <si>
    <t>신신호텔</t>
    <phoneticPr fontId="5" type="noConversion"/>
  </si>
  <si>
    <t>돌담밥상</t>
    <phoneticPr fontId="5" type="noConversion"/>
  </si>
  <si>
    <t>다가미</t>
    <phoneticPr fontId="5" type="noConversion"/>
  </si>
  <si>
    <t>갤럭시 S24 5G</t>
    <phoneticPr fontId="5" type="noConversion"/>
  </si>
  <si>
    <t>나우데이터복구</t>
    <phoneticPr fontId="5" type="noConversion"/>
  </si>
  <si>
    <t>씨유(택배)</t>
    <phoneticPr fontId="5" type="noConversion"/>
  </si>
  <si>
    <t>더볼룸</t>
    <phoneticPr fontId="5" type="noConversion"/>
  </si>
  <si>
    <t>SOLAR - LUNAR</t>
    <phoneticPr fontId="5" type="noConversion"/>
  </si>
  <si>
    <t>양평TPC</t>
    <phoneticPr fontId="5" type="noConversion"/>
  </si>
  <si>
    <t>당근마켓(과학공룡)(강지완)</t>
    <phoneticPr fontId="5" type="noConversion"/>
  </si>
  <si>
    <t>한국관</t>
    <phoneticPr fontId="5" type="noConversion"/>
  </si>
  <si>
    <t>볼디스트</t>
    <phoneticPr fontId="5" type="noConversion"/>
  </si>
  <si>
    <t>가마솥흑염소</t>
    <phoneticPr fontId="5" type="noConversion"/>
  </si>
  <si>
    <t>종로떡집</t>
    <phoneticPr fontId="5" type="noConversion"/>
  </si>
  <si>
    <t>찐푸줏간</t>
    <phoneticPr fontId="5" type="noConversion"/>
  </si>
  <si>
    <t>아리하 재산세</t>
    <phoneticPr fontId="5" type="noConversion"/>
  </si>
  <si>
    <t>1Q</t>
    <phoneticPr fontId="5" type="noConversion"/>
  </si>
  <si>
    <t>2Q</t>
    <phoneticPr fontId="5" type="noConversion"/>
  </si>
  <si>
    <t>3Q</t>
    <phoneticPr fontId="5" type="noConversion"/>
  </si>
  <si>
    <t>4Q</t>
    <phoneticPr fontId="5" type="noConversion"/>
  </si>
  <si>
    <t>강지완</t>
    <phoneticPr fontId="5" type="noConversion"/>
  </si>
  <si>
    <t>막내</t>
    <phoneticPr fontId="5" type="noConversion"/>
  </si>
  <si>
    <t>출생</t>
    <phoneticPr fontId="5" type="noConversion"/>
  </si>
  <si>
    <t>팀장 임명 (희망사항)</t>
    <phoneticPr fontId="5" type="noConversion"/>
  </si>
  <si>
    <t>나이(연)</t>
    <phoneticPr fontId="5" type="noConversion"/>
  </si>
  <si>
    <t>수능</t>
    <phoneticPr fontId="5" type="noConversion"/>
  </si>
  <si>
    <t>임원 승진 (희망사항)</t>
    <phoneticPr fontId="5" type="noConversion"/>
  </si>
  <si>
    <t>G3 승급 (조기)</t>
    <phoneticPr fontId="5" type="noConversion"/>
  </si>
  <si>
    <t>G3 승급 (정규)</t>
    <phoneticPr fontId="5" type="noConversion"/>
  </si>
  <si>
    <t>중학교 배정 및 입학</t>
    <phoneticPr fontId="5" type="noConversion"/>
  </si>
  <si>
    <t>11월 중대부초 원서 접수 및 추첨</t>
    <phoneticPr fontId="5" type="noConversion"/>
  </si>
  <si>
    <t>대학교 입학</t>
    <phoneticPr fontId="5" type="noConversion"/>
  </si>
  <si>
    <t>고등학교 배정 및 입학</t>
    <phoneticPr fontId="5" type="noConversion"/>
  </si>
  <si>
    <t>12월 고등학교 원서 접수</t>
    <phoneticPr fontId="5" type="noConversion"/>
  </si>
  <si>
    <t>11월 중학교 원서 접수</t>
    <phoneticPr fontId="5" type="noConversion"/>
  </si>
  <si>
    <t>라이즈어학원 입학</t>
    <phoneticPr fontId="5" type="noConversion"/>
  </si>
  <si>
    <t>7 (초1)</t>
    <phoneticPr fontId="5" type="noConversion"/>
  </si>
  <si>
    <t>8 (초2)</t>
    <phoneticPr fontId="5" type="noConversion"/>
  </si>
  <si>
    <t>9 (초3)</t>
    <phoneticPr fontId="5" type="noConversion"/>
  </si>
  <si>
    <t>10 (초4)</t>
    <phoneticPr fontId="5" type="noConversion"/>
  </si>
  <si>
    <t>11 (초5)</t>
    <phoneticPr fontId="5" type="noConversion"/>
  </si>
  <si>
    <t>12 (초6)</t>
    <phoneticPr fontId="5" type="noConversion"/>
  </si>
  <si>
    <t>13 (중1)</t>
    <phoneticPr fontId="5" type="noConversion"/>
  </si>
  <si>
    <t>14 (중2)</t>
    <phoneticPr fontId="5" type="noConversion"/>
  </si>
  <si>
    <t>15 (중3)</t>
    <phoneticPr fontId="5" type="noConversion"/>
  </si>
  <si>
    <t>16 (고1)</t>
    <phoneticPr fontId="5" type="noConversion"/>
  </si>
  <si>
    <t>17 (고2)</t>
    <phoneticPr fontId="5" type="noConversion"/>
  </si>
  <si>
    <t>18 (고3)</t>
    <phoneticPr fontId="5" type="noConversion"/>
  </si>
  <si>
    <t>5 (유치원)</t>
    <phoneticPr fontId="5" type="noConversion"/>
  </si>
  <si>
    <t>6 (유치원)</t>
    <phoneticPr fontId="5" type="noConversion"/>
  </si>
  <si>
    <t>2 (어린이집)</t>
    <phoneticPr fontId="5" type="noConversion"/>
  </si>
  <si>
    <t>3 (어린이집)</t>
    <phoneticPr fontId="5" type="noConversion"/>
  </si>
  <si>
    <t>4 (유치원)</t>
    <phoneticPr fontId="5" type="noConversion"/>
  </si>
  <si>
    <t>강지성 (10)</t>
    <phoneticPr fontId="5" type="noConversion"/>
  </si>
  <si>
    <t>강지성 (11)</t>
    <phoneticPr fontId="5" type="noConversion"/>
  </si>
  <si>
    <t>강지성 (12)</t>
    <phoneticPr fontId="5" type="noConversion"/>
  </si>
  <si>
    <t>강지성 (13)</t>
    <phoneticPr fontId="5" type="noConversion"/>
  </si>
  <si>
    <t>강지성 (14)</t>
    <phoneticPr fontId="5" type="noConversion"/>
  </si>
  <si>
    <t>강지성 (15)</t>
    <phoneticPr fontId="5" type="noConversion"/>
  </si>
  <si>
    <t>강지성 (16)</t>
    <phoneticPr fontId="5" type="noConversion"/>
  </si>
  <si>
    <t>강지성 (17)</t>
    <phoneticPr fontId="5" type="noConversion"/>
  </si>
  <si>
    <t>강지성 (18)</t>
    <phoneticPr fontId="5" type="noConversion"/>
  </si>
  <si>
    <t>강지성 (19)</t>
    <phoneticPr fontId="5" type="noConversion"/>
  </si>
  <si>
    <t>강지성 (20)</t>
    <phoneticPr fontId="5" type="noConversion"/>
  </si>
  <si>
    <t>강지성 (21)</t>
    <phoneticPr fontId="5" type="noConversion"/>
  </si>
  <si>
    <t>강지성 (22)</t>
    <phoneticPr fontId="5" type="noConversion"/>
  </si>
  <si>
    <t>강지성 (23)</t>
    <phoneticPr fontId="5" type="noConversion"/>
  </si>
  <si>
    <t>강지성 (24)</t>
    <phoneticPr fontId="5" type="noConversion"/>
  </si>
  <si>
    <t>강지성 (25)</t>
    <phoneticPr fontId="5" type="noConversion"/>
  </si>
  <si>
    <t>강지성 (26)</t>
    <phoneticPr fontId="5" type="noConversion"/>
  </si>
  <si>
    <t>강지성 (27)</t>
    <phoneticPr fontId="5" type="noConversion"/>
  </si>
  <si>
    <t>강지성 (28)</t>
    <phoneticPr fontId="5" type="noConversion"/>
  </si>
  <si>
    <t>강지성 (29)</t>
    <phoneticPr fontId="5" type="noConversion"/>
  </si>
  <si>
    <t>강지성 (30)</t>
    <phoneticPr fontId="5" type="noConversion"/>
  </si>
  <si>
    <t>강지성 (31)</t>
    <phoneticPr fontId="5" type="noConversion"/>
  </si>
  <si>
    <t>강지성 (32)</t>
    <phoneticPr fontId="5" type="noConversion"/>
  </si>
  <si>
    <t>강지성 (33)</t>
    <phoneticPr fontId="5" type="noConversion"/>
  </si>
  <si>
    <t>강지성 (34)</t>
    <phoneticPr fontId="5" type="noConversion"/>
  </si>
  <si>
    <t>강지성 (35)</t>
    <phoneticPr fontId="5" type="noConversion"/>
  </si>
  <si>
    <t>강지성 (36)</t>
    <phoneticPr fontId="5" type="noConversion"/>
  </si>
  <si>
    <t>강지성 (37)</t>
    <phoneticPr fontId="5" type="noConversion"/>
  </si>
  <si>
    <t>강지성 (38)</t>
    <phoneticPr fontId="5" type="noConversion"/>
  </si>
  <si>
    <t>중대부초 낙첨 - 롯데캐슬에듀포레(전세) 이사 후 은로초 배정
중대부초 당첨 - 아크로리버하임 거주</t>
    <phoneticPr fontId="5" type="noConversion"/>
  </si>
  <si>
    <t>교육비</t>
    <phoneticPr fontId="5" type="noConversion"/>
  </si>
  <si>
    <t>중대부초 배정 및 입학</t>
    <phoneticPr fontId="5" type="noConversion"/>
  </si>
  <si>
    <t>'24년 07월</t>
    <phoneticPr fontId="5" type="noConversion"/>
  </si>
  <si>
    <t>구내식당 15,000</t>
    <phoneticPr fontId="5" type="noConversion"/>
  </si>
  <si>
    <t>영건슈림프</t>
    <phoneticPr fontId="5" type="noConversion"/>
  </si>
  <si>
    <t>당근마켓(이상해씨)(강지완)</t>
    <phoneticPr fontId="5" type="noConversion"/>
  </si>
  <si>
    <t>핵밥</t>
    <phoneticPr fontId="5" type="noConversion"/>
  </si>
  <si>
    <t>춘포방앗간</t>
    <phoneticPr fontId="5" type="noConversion"/>
  </si>
  <si>
    <t>평강삼계탕</t>
    <phoneticPr fontId="5" type="noConversion"/>
  </si>
  <si>
    <r>
      <rPr>
        <b/>
        <sz val="10"/>
        <color theme="1"/>
        <rFont val="맑은 고딕"/>
        <family val="3"/>
        <charset val="129"/>
      </rPr>
      <t>아크로리버하임</t>
    </r>
    <r>
      <rPr>
        <b/>
        <sz val="10"/>
        <color theme="1"/>
        <rFont val="Arial"/>
        <family val="2"/>
      </rPr>
      <t xml:space="preserve"> </t>
    </r>
    <r>
      <rPr>
        <b/>
        <sz val="10"/>
        <color theme="1"/>
        <rFont val="맑은 고딕"/>
        <family val="3"/>
        <charset val="129"/>
      </rPr>
      <t>취득비용</t>
    </r>
    <phoneticPr fontId="5" type="noConversion"/>
  </si>
  <si>
    <r>
      <rPr>
        <sz val="10"/>
        <color theme="1"/>
        <rFont val="맑은 고딕"/>
        <family val="3"/>
        <charset val="129"/>
      </rPr>
      <t>계약금</t>
    </r>
    <phoneticPr fontId="23" type="noConversion"/>
  </si>
  <si>
    <r>
      <rPr>
        <sz val="10"/>
        <color theme="1"/>
        <rFont val="맑은 고딕"/>
        <family val="3"/>
        <charset val="129"/>
      </rPr>
      <t>중도금</t>
    </r>
    <phoneticPr fontId="23" type="noConversion"/>
  </si>
  <si>
    <r>
      <rPr>
        <sz val="10"/>
        <color theme="1"/>
        <rFont val="맑은 고딕"/>
        <family val="3"/>
        <charset val="129"/>
      </rPr>
      <t>태준</t>
    </r>
    <r>
      <rPr>
        <sz val="10"/>
        <color theme="1"/>
        <rFont val="Arial"/>
        <family val="2"/>
      </rPr>
      <t xml:space="preserve"> </t>
    </r>
    <r>
      <rPr>
        <sz val="10"/>
        <color theme="1"/>
        <rFont val="맑은 고딕"/>
        <family val="3"/>
        <charset val="129"/>
      </rPr>
      <t>부모님</t>
    </r>
    <r>
      <rPr>
        <sz val="10"/>
        <color theme="1"/>
        <rFont val="Arial"/>
        <family val="2"/>
      </rPr>
      <t xml:space="preserve"> (</t>
    </r>
    <r>
      <rPr>
        <sz val="10"/>
        <color theme="1"/>
        <rFont val="맑은 고딕"/>
        <family val="3"/>
        <charset val="129"/>
      </rPr>
      <t>지현</t>
    </r>
    <r>
      <rPr>
        <sz val="10"/>
        <color theme="1"/>
        <rFont val="Arial"/>
        <family val="2"/>
      </rPr>
      <t>)</t>
    </r>
    <phoneticPr fontId="23" type="noConversion"/>
  </si>
  <si>
    <r>
      <rPr>
        <sz val="10"/>
        <color theme="1"/>
        <rFont val="맑은 고딕"/>
        <family val="3"/>
        <charset val="129"/>
      </rPr>
      <t>태준</t>
    </r>
    <phoneticPr fontId="23" type="noConversion"/>
  </si>
  <si>
    <r>
      <rPr>
        <sz val="10"/>
        <color theme="1"/>
        <rFont val="맑은 고딕"/>
        <family val="3"/>
        <charset val="129"/>
      </rPr>
      <t>이주촉진비</t>
    </r>
    <phoneticPr fontId="23" type="noConversion"/>
  </si>
  <si>
    <r>
      <rPr>
        <sz val="10"/>
        <color theme="1"/>
        <rFont val="맑은 고딕"/>
        <family val="3"/>
        <charset val="129"/>
      </rPr>
      <t>관리비</t>
    </r>
    <r>
      <rPr>
        <sz val="10"/>
        <color theme="1"/>
        <rFont val="Arial"/>
        <family val="2"/>
      </rPr>
      <t xml:space="preserve"> </t>
    </r>
    <r>
      <rPr>
        <sz val="10"/>
        <color theme="1"/>
        <rFont val="맑은 고딕"/>
        <family val="3"/>
        <charset val="129"/>
      </rPr>
      <t>예치금</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</si>
  <si>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할인금액</t>
    </r>
    <r>
      <rPr>
        <sz val="10"/>
        <color theme="1"/>
        <rFont val="Arial"/>
        <family val="2"/>
      </rPr>
      <t xml:space="preserve"> </t>
    </r>
    <r>
      <rPr>
        <sz val="10"/>
        <color theme="1"/>
        <rFont val="맑은 고딕"/>
        <family val="3"/>
        <charset val="129"/>
      </rPr>
      <t>환급</t>
    </r>
    <phoneticPr fontId="23" type="noConversion"/>
  </si>
  <si>
    <r>
      <rPr>
        <sz val="10"/>
        <color theme="1"/>
        <rFont val="맑은 고딕"/>
        <family val="3"/>
        <charset val="129"/>
      </rPr>
      <t>흑석</t>
    </r>
    <r>
      <rPr>
        <sz val="10"/>
        <color theme="1"/>
        <rFont val="Arial"/>
        <family val="2"/>
      </rPr>
      <t>7</t>
    </r>
    <r>
      <rPr>
        <sz val="10"/>
        <color theme="1"/>
        <rFont val="맑은 고딕"/>
        <family val="3"/>
        <charset val="129"/>
      </rPr>
      <t>구역</t>
    </r>
    <phoneticPr fontId="23" type="noConversion"/>
  </si>
  <si>
    <r>
      <rPr>
        <sz val="10"/>
        <color theme="1"/>
        <rFont val="맑은 고딕"/>
        <family val="3"/>
        <charset val="129"/>
      </rPr>
      <t>조합해산</t>
    </r>
    <r>
      <rPr>
        <sz val="10"/>
        <color theme="1"/>
        <rFont val="Arial"/>
        <family val="2"/>
      </rPr>
      <t xml:space="preserve"> </t>
    </r>
    <r>
      <rPr>
        <sz val="10"/>
        <color theme="1"/>
        <rFont val="맑은 고딕"/>
        <family val="3"/>
        <charset val="129"/>
      </rPr>
      <t>환급</t>
    </r>
    <phoneticPr fontId="23" type="noConversion"/>
  </si>
  <si>
    <r>
      <rPr>
        <sz val="10"/>
        <color theme="1"/>
        <rFont val="맑은 고딕"/>
        <family val="3"/>
        <charset val="129"/>
      </rPr>
      <t>조합해산</t>
    </r>
    <r>
      <rPr>
        <sz val="10"/>
        <color theme="1"/>
        <rFont val="Arial"/>
        <family val="2"/>
      </rPr>
      <t xml:space="preserve"> </t>
    </r>
    <r>
      <rPr>
        <sz val="10"/>
        <color theme="1"/>
        <rFont val="맑은 고딕"/>
        <family val="3"/>
        <charset val="129"/>
      </rPr>
      <t>배당금</t>
    </r>
    <phoneticPr fontId="23" type="noConversion"/>
  </si>
  <si>
    <r>
      <rPr>
        <sz val="10"/>
        <color theme="1"/>
        <rFont val="맑은 고딕"/>
        <family val="3"/>
        <charset val="129"/>
      </rPr>
      <t>취득세</t>
    </r>
    <r>
      <rPr>
        <sz val="10"/>
        <color theme="1"/>
        <rFont val="Arial"/>
        <family val="2"/>
      </rPr>
      <t>(</t>
    </r>
    <r>
      <rPr>
        <sz val="10"/>
        <color theme="1"/>
        <rFont val="맑은 고딕"/>
        <family val="3"/>
        <charset val="129"/>
      </rPr>
      <t>소급분</t>
    </r>
    <r>
      <rPr>
        <sz val="10"/>
        <color theme="1"/>
        <rFont val="Arial"/>
        <family val="2"/>
      </rPr>
      <t>)</t>
    </r>
    <phoneticPr fontId="23" type="noConversion"/>
  </si>
  <si>
    <r>
      <rPr>
        <sz val="10"/>
        <color theme="1"/>
        <rFont val="맑은 고딕"/>
        <family val="3"/>
        <charset val="129"/>
      </rPr>
      <t>태준</t>
    </r>
    <r>
      <rPr>
        <sz val="10"/>
        <color theme="1"/>
        <rFont val="Arial"/>
        <family val="2"/>
      </rPr>
      <t xml:space="preserve"> </t>
    </r>
    <r>
      <rPr>
        <sz val="10"/>
        <color theme="1"/>
        <rFont val="맑은 고딕"/>
        <family val="3"/>
        <charset val="129"/>
      </rPr>
      <t>→</t>
    </r>
    <r>
      <rPr>
        <sz val="10"/>
        <color theme="1"/>
        <rFont val="Arial"/>
        <family val="2"/>
      </rPr>
      <t xml:space="preserve"> </t>
    </r>
    <r>
      <rPr>
        <sz val="10"/>
        <color theme="1"/>
        <rFont val="맑은 고딕"/>
        <family val="3"/>
        <charset val="129"/>
      </rPr>
      <t>부모님</t>
    </r>
    <phoneticPr fontId="23" type="noConversion"/>
  </si>
  <si>
    <r>
      <rPr>
        <sz val="10"/>
        <color theme="1"/>
        <rFont val="맑은 고딕"/>
        <family val="3"/>
        <charset val="129"/>
      </rPr>
      <t>할인금액</t>
    </r>
    <r>
      <rPr>
        <sz val="10"/>
        <color theme="1"/>
        <rFont val="Arial"/>
        <family val="2"/>
      </rPr>
      <t xml:space="preserve"> 216,110 </t>
    </r>
    <r>
      <rPr>
        <sz val="10"/>
        <color theme="1"/>
        <rFont val="맑은 고딕"/>
        <family val="3"/>
        <charset val="129"/>
      </rPr>
      <t>환급</t>
    </r>
    <r>
      <rPr>
        <sz val="10"/>
        <color theme="1"/>
        <rFont val="Arial"/>
        <family val="2"/>
      </rPr>
      <t xml:space="preserve"> </t>
    </r>
    <r>
      <rPr>
        <sz val="10"/>
        <color theme="1"/>
        <rFont val="맑은 고딕"/>
        <family val="3"/>
        <charset val="129"/>
      </rPr>
      <t>별도</t>
    </r>
    <r>
      <rPr>
        <sz val="10"/>
        <color theme="1"/>
        <rFont val="Arial"/>
        <family val="2"/>
      </rPr>
      <t xml:space="preserve"> </t>
    </r>
    <r>
      <rPr>
        <sz val="10"/>
        <color theme="1"/>
        <rFont val="맑은 고딕"/>
        <family val="3"/>
        <charset val="129"/>
      </rPr>
      <t>표기</t>
    </r>
    <phoneticPr fontId="23" type="noConversion"/>
  </si>
  <si>
    <r>
      <rPr>
        <sz val="10"/>
        <color theme="1"/>
        <rFont val="맑은 고딕"/>
        <family val="3"/>
        <charset val="129"/>
      </rPr>
      <t>할인금액</t>
    </r>
    <phoneticPr fontId="23" type="noConversion"/>
  </si>
  <si>
    <r>
      <rPr>
        <sz val="10"/>
        <color theme="1"/>
        <rFont val="맑은 고딕"/>
        <family val="3"/>
        <charset val="129"/>
      </rPr>
      <t>입금</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강태준</t>
    </r>
    <r>
      <rPr>
        <sz val="10"/>
        <color theme="1"/>
        <rFont val="Arial"/>
        <family val="2"/>
      </rPr>
      <t>)</t>
    </r>
    <phoneticPr fontId="23" type="noConversion"/>
  </si>
  <si>
    <r>
      <rPr>
        <sz val="10"/>
        <color theme="1"/>
        <rFont val="맑은 고딕"/>
        <family val="3"/>
        <charset val="129"/>
      </rPr>
      <t>조합해산</t>
    </r>
    <r>
      <rPr>
        <sz val="10"/>
        <color theme="1"/>
        <rFont val="Arial"/>
        <family val="2"/>
      </rPr>
      <t xml:space="preserve"> </t>
    </r>
    <r>
      <rPr>
        <sz val="10"/>
        <color theme="1"/>
        <rFont val="맑은 고딕"/>
        <family val="3"/>
        <charset val="129"/>
      </rPr>
      <t>환급금</t>
    </r>
    <phoneticPr fontId="23" type="noConversion"/>
  </si>
  <si>
    <t>오설록</t>
    <phoneticPr fontId="5" type="noConversion"/>
  </si>
  <si>
    <t>여의도우삼겹집</t>
    <phoneticPr fontId="5" type="noConversion"/>
  </si>
  <si>
    <t>구포잔치국수</t>
    <phoneticPr fontId="5" type="noConversion"/>
  </si>
  <si>
    <t>삼막사주차장</t>
    <phoneticPr fontId="5" type="noConversion"/>
  </si>
  <si>
    <t>썸머스테어</t>
    <phoneticPr fontId="5" type="noConversion"/>
  </si>
  <si>
    <t>좋은계란할인점</t>
    <phoneticPr fontId="5" type="noConversion"/>
  </si>
  <si>
    <t>엠플라워</t>
    <phoneticPr fontId="5" type="noConversion"/>
  </si>
  <si>
    <t>와필레</t>
    <phoneticPr fontId="5" type="noConversion"/>
  </si>
  <si>
    <t>동작주차공원</t>
    <phoneticPr fontId="5" type="noConversion"/>
  </si>
  <si>
    <t>삼정집</t>
    <phoneticPr fontId="5" type="noConversion"/>
  </si>
  <si>
    <t>노량진수산물도매시장</t>
    <phoneticPr fontId="5" type="noConversion"/>
  </si>
  <si>
    <t>KTX(창원-서울)(어머니)</t>
    <phoneticPr fontId="5" type="noConversion"/>
  </si>
  <si>
    <t>안철호 (98)
성준영 (111)
서우창 (110)</t>
    <phoneticPr fontId="5" type="noConversion"/>
  </si>
  <si>
    <t>농협하나로마트</t>
    <phoneticPr fontId="5" type="noConversion"/>
  </si>
  <si>
    <t>동작구 주민세</t>
    <phoneticPr fontId="5" type="noConversion"/>
  </si>
  <si>
    <t>특별용돈(부모님-중복)</t>
    <phoneticPr fontId="5" type="noConversion"/>
  </si>
  <si>
    <t>%</t>
  </si>
  <si>
    <t>잔고</t>
    <phoneticPr fontId="5" type="noConversion"/>
  </si>
  <si>
    <t>네네치킨</t>
    <phoneticPr fontId="5" type="noConversion"/>
  </si>
  <si>
    <t>안성CC</t>
    <phoneticPr fontId="5" type="noConversion"/>
  </si>
  <si>
    <t>맷돌두부집</t>
    <phoneticPr fontId="5" type="noConversion"/>
  </si>
  <si>
    <t>꼬꼬숯불닭갈비</t>
    <phoneticPr fontId="5" type="noConversion"/>
  </si>
  <si>
    <t>블루스톤</t>
    <phoneticPr fontId="5" type="noConversion"/>
  </si>
  <si>
    <t>천사약국</t>
    <phoneticPr fontId="5" type="noConversion"/>
  </si>
  <si>
    <t>형제과일</t>
    <phoneticPr fontId="5" type="noConversion"/>
  </si>
  <si>
    <t>최우석 (93)
장진욱 (101)
김기만 (97)</t>
    <phoneticPr fontId="5" type="noConversion"/>
  </si>
  <si>
    <t>2024-10</t>
    <phoneticPr fontId="5" type="noConversion"/>
  </si>
  <si>
    <t>WEST - EAST</t>
    <phoneticPr fontId="5" type="noConversion"/>
  </si>
  <si>
    <t>2024-11</t>
  </si>
  <si>
    <t>2024-12</t>
  </si>
  <si>
    <t>알파문구</t>
    <phoneticPr fontId="5" type="noConversion"/>
  </si>
  <si>
    <t>가마솥순대</t>
    <phoneticPr fontId="5" type="noConversion"/>
  </si>
  <si>
    <t>'24년 08월</t>
    <phoneticPr fontId="5" type="noConversion"/>
  </si>
  <si>
    <t>구내식당 11,000</t>
    <phoneticPr fontId="5" type="noConversion"/>
  </si>
  <si>
    <t>격려금</t>
    <phoneticPr fontId="5" type="noConversion"/>
  </si>
  <si>
    <t>'24년 09월</t>
    <phoneticPr fontId="5" type="noConversion"/>
  </si>
  <si>
    <t>'24년 12월</t>
    <phoneticPr fontId="5" type="noConversion"/>
  </si>
  <si>
    <t>'24년 11월</t>
    <phoneticPr fontId="5" type="noConversion"/>
  </si>
  <si>
    <t>'24년 10월</t>
    <phoneticPr fontId="5" type="noConversion"/>
  </si>
  <si>
    <t>문구돌이x아이즈크림</t>
    <phoneticPr fontId="5" type="noConversion"/>
  </si>
  <si>
    <t>그랜드컨벤션센터(주차)</t>
    <phoneticPr fontId="5" type="noConversion"/>
  </si>
  <si>
    <t>봄날의정원</t>
    <phoneticPr fontId="5" type="noConversion"/>
  </si>
  <si>
    <t>장례식(김기락)</t>
    <phoneticPr fontId="5" type="noConversion"/>
  </si>
  <si>
    <t>다미만두</t>
    <phoneticPr fontId="5" type="noConversion"/>
  </si>
  <si>
    <t>룸비니TT 사용내역</t>
    <phoneticPr fontId="5" type="noConversion"/>
  </si>
  <si>
    <t>금액</t>
    <phoneticPr fontId="5" type="noConversion"/>
  </si>
  <si>
    <t>내용</t>
    <phoneticPr fontId="5" type="noConversion"/>
  </si>
  <si>
    <t>박재상 생일</t>
    <phoneticPr fontId="5" type="noConversion"/>
  </si>
  <si>
    <t>양희봉 생일</t>
    <phoneticPr fontId="5" type="noConversion"/>
  </si>
  <si>
    <t>기준일</t>
    <phoneticPr fontId="5" type="noConversion"/>
  </si>
  <si>
    <t>룸비니TT 납입내역 (회비 20,000원 / 월)</t>
    <phoneticPr fontId="5" type="noConversion"/>
  </si>
  <si>
    <t>쿠팡(닥터에디션 액상 칼슘)</t>
    <phoneticPr fontId="5" type="noConversion"/>
  </si>
  <si>
    <t>흑석시장(현성식품 - 콩물)</t>
    <phoneticPr fontId="5" type="noConversion"/>
  </si>
  <si>
    <t>청화산후조리원</t>
    <phoneticPr fontId="5" type="noConversion"/>
  </si>
  <si>
    <t>연보람목장</t>
    <phoneticPr fontId="5" type="noConversion"/>
  </si>
  <si>
    <t>푸드트럭(다꼬야끼)</t>
    <phoneticPr fontId="5" type="noConversion"/>
  </si>
  <si>
    <r>
      <rPr>
        <sz val="10"/>
        <color theme="1"/>
        <rFont val="맑은 고딕"/>
        <family val="3"/>
        <charset val="129"/>
      </rPr>
      <t>병원</t>
    </r>
    <r>
      <rPr>
        <sz val="10"/>
        <color theme="1"/>
        <rFont val="Arial"/>
        <family val="2"/>
      </rPr>
      <t>/</t>
    </r>
    <r>
      <rPr>
        <sz val="10"/>
        <color theme="1"/>
        <rFont val="맑은 고딕"/>
        <family val="3"/>
        <charset val="129"/>
      </rPr>
      <t>약국</t>
    </r>
    <r>
      <rPr>
        <sz val="10"/>
        <color theme="1"/>
        <rFont val="Arial"/>
        <family val="2"/>
      </rPr>
      <t>/</t>
    </r>
    <r>
      <rPr>
        <sz val="10"/>
        <color theme="1"/>
        <rFont val="맑은 고딕"/>
        <family val="3"/>
        <charset val="129"/>
      </rPr>
      <t>산후조리원</t>
    </r>
    <phoneticPr fontId="5" type="noConversion"/>
  </si>
  <si>
    <t>당근마켓(목발)</t>
    <phoneticPr fontId="5" type="noConversion"/>
  </si>
  <si>
    <t>퍼민</t>
    <phoneticPr fontId="5" type="noConversion"/>
  </si>
  <si>
    <t>이삭토스트</t>
    <phoneticPr fontId="5" type="noConversion"/>
  </si>
  <si>
    <t>김동진 생일</t>
    <phoneticPr fontId="5" type="noConversion"/>
  </si>
  <si>
    <t>사이공파크</t>
    <phoneticPr fontId="5" type="noConversion"/>
  </si>
  <si>
    <t>국립현충원(매점)</t>
    <phoneticPr fontId="5" type="noConversion"/>
  </si>
  <si>
    <t>먹쇠돌쇠</t>
    <phoneticPr fontId="5" type="noConversion"/>
  </si>
  <si>
    <t>모마</t>
    <phoneticPr fontId="5" type="noConversion"/>
  </si>
  <si>
    <t>가람 - 마루</t>
    <phoneticPr fontId="5" type="noConversion"/>
  </si>
  <si>
    <t>장례식(편성욱)</t>
    <phoneticPr fontId="5" type="noConversion"/>
  </si>
  <si>
    <t>최우석 (97)
장진욱 (109)
김기만 (106)</t>
    <phoneticPr fontId="5" type="noConversion"/>
  </si>
  <si>
    <t>신전떡볶이</t>
    <phoneticPr fontId="5" type="noConversion"/>
  </si>
  <si>
    <t>블루헤런(식비)</t>
    <phoneticPr fontId="5" type="noConversion"/>
  </si>
  <si>
    <t>쿠팡(로스트볼)</t>
    <phoneticPr fontId="5" type="noConversion"/>
  </si>
  <si>
    <t>KTX자판기</t>
    <phoneticPr fontId="5" type="noConversion"/>
  </si>
  <si>
    <t>서울숲주차장</t>
    <phoneticPr fontId="5" type="noConversion"/>
  </si>
  <si>
    <t>KTX(어머니)</t>
    <phoneticPr fontId="5" type="noConversion"/>
  </si>
  <si>
    <t>프레디버거</t>
    <phoneticPr fontId="5" type="noConversion"/>
  </si>
  <si>
    <t>서울대학교주차장</t>
    <phoneticPr fontId="5" type="noConversion"/>
  </si>
  <si>
    <t>달빛나루터영화제</t>
    <phoneticPr fontId="5" type="noConversion"/>
  </si>
  <si>
    <t>삼형제김밥</t>
    <phoneticPr fontId="5" type="noConversion"/>
  </si>
  <si>
    <t>현대오일뱅크</t>
    <phoneticPr fontId="5" type="noConversion"/>
  </si>
  <si>
    <t>쿠팡(블랑네이처)</t>
    <phoneticPr fontId="5" type="noConversion"/>
  </si>
  <si>
    <t>블루헤런(캐디피)</t>
    <phoneticPr fontId="5" type="noConversion"/>
  </si>
  <si>
    <t>격려금공제</t>
    <phoneticPr fontId="5" type="noConversion"/>
  </si>
  <si>
    <t>경복궁</t>
    <phoneticPr fontId="5" type="noConversion"/>
  </si>
  <si>
    <t>소문난만천곱창(시장)</t>
    <phoneticPr fontId="5" type="noConversion"/>
  </si>
  <si>
    <t>쿠팡(깔끔대장)</t>
    <phoneticPr fontId="5" type="noConversion"/>
  </si>
  <si>
    <t>당근(신기한스쿨버스)</t>
    <phoneticPr fontId="5" type="noConversion"/>
  </si>
  <si>
    <t>이촌한강공원</t>
    <phoneticPr fontId="5" type="noConversion"/>
  </si>
  <si>
    <t>한강바베큐</t>
    <phoneticPr fontId="5" type="noConversion"/>
  </si>
  <si>
    <t>쿠팡(카봇)(강지완)</t>
    <phoneticPr fontId="5" type="noConversion"/>
  </si>
  <si>
    <t>카페어텐디(강지완)</t>
    <phoneticPr fontId="5" type="noConversion"/>
  </si>
  <si>
    <t>충청도순대</t>
    <phoneticPr fontId="5" type="noConversion"/>
  </si>
  <si>
    <t>단양마늘만두</t>
    <phoneticPr fontId="5" type="noConversion"/>
  </si>
  <si>
    <t>카페산</t>
    <phoneticPr fontId="5" type="noConversion"/>
  </si>
  <si>
    <t>향미식당</t>
    <phoneticPr fontId="5" type="noConversion"/>
  </si>
  <si>
    <t>소노문단양베이커리</t>
    <phoneticPr fontId="5" type="noConversion"/>
  </si>
  <si>
    <t>외갓집</t>
    <phoneticPr fontId="5" type="noConversion"/>
  </si>
  <si>
    <t>효강정</t>
    <phoneticPr fontId="5" type="noConversion"/>
  </si>
  <si>
    <t>하이락글램핑매점</t>
    <phoneticPr fontId="5" type="noConversion"/>
  </si>
  <si>
    <t>도담삼봉주차장</t>
    <phoneticPr fontId="5" type="noConversion"/>
  </si>
  <si>
    <t>양평휴게소</t>
    <phoneticPr fontId="5" type="noConversion"/>
  </si>
  <si>
    <t>쿠팡(노루발)</t>
    <phoneticPr fontId="5" type="noConversion"/>
  </si>
  <si>
    <t>할머니반찬가게</t>
    <phoneticPr fontId="5" type="noConversion"/>
  </si>
  <si>
    <t>오복떡방앗간</t>
    <phoneticPr fontId="5" type="noConversion"/>
  </si>
  <si>
    <t>스마일약국</t>
    <phoneticPr fontId="5" type="noConversion"/>
  </si>
  <si>
    <t>동두천솥뚜껑삼겹살</t>
    <phoneticPr fontId="5" type="noConversion"/>
  </si>
  <si>
    <t>써브웨이</t>
    <phoneticPr fontId="5" type="noConversion"/>
  </si>
  <si>
    <t>최우석 (91)
장진욱 (92)
김기만 (102)</t>
    <phoneticPr fontId="5" type="noConversion"/>
  </si>
  <si>
    <t>가락돈까스</t>
    <phoneticPr fontId="5" type="noConversion"/>
  </si>
  <si>
    <t>플롭</t>
    <phoneticPr fontId="5" type="noConversion"/>
  </si>
  <si>
    <t>현대건설(주차장)</t>
    <phoneticPr fontId="5" type="noConversion"/>
  </si>
  <si>
    <t>경복궁(주차장)</t>
    <phoneticPr fontId="5" type="noConversion"/>
  </si>
  <si>
    <t>헤어스토리(강지완)</t>
    <phoneticPr fontId="5" type="noConversion"/>
  </si>
  <si>
    <t>차범근축구교실</t>
    <phoneticPr fontId="5" type="noConversion"/>
  </si>
  <si>
    <t>쿠팡(살라딘)</t>
    <phoneticPr fontId="5" type="noConversion"/>
  </si>
  <si>
    <t>삭</t>
    <phoneticPr fontId="5" type="noConversion"/>
  </si>
  <si>
    <t>누들김밥</t>
    <phoneticPr fontId="5" type="noConversion"/>
  </si>
  <si>
    <r>
      <t>2021</t>
    </r>
    <r>
      <rPr>
        <sz val="10"/>
        <color theme="1"/>
        <rFont val="맑은 고딕"/>
        <family val="3"/>
        <charset val="129"/>
      </rPr>
      <t>년</t>
    </r>
    <phoneticPr fontId="5" type="noConversion"/>
  </si>
  <si>
    <r>
      <t>'23</t>
    </r>
    <r>
      <rPr>
        <sz val="10"/>
        <color theme="1"/>
        <rFont val="맑은 고딕"/>
        <family val="3"/>
        <charset val="129"/>
      </rPr>
      <t>년</t>
    </r>
    <r>
      <rPr>
        <sz val="10"/>
        <color theme="1"/>
        <rFont val="Arial"/>
        <family val="2"/>
      </rPr>
      <t xml:space="preserve"> 05</t>
    </r>
    <r>
      <rPr>
        <sz val="10"/>
        <color theme="1"/>
        <rFont val="맑은 고딕"/>
        <family val="3"/>
        <charset val="129"/>
      </rPr>
      <t>월</t>
    </r>
  </si>
  <si>
    <r>
      <t>'23</t>
    </r>
    <r>
      <rPr>
        <sz val="10"/>
        <color theme="1"/>
        <rFont val="맑은 고딕"/>
        <family val="3"/>
        <charset val="129"/>
      </rPr>
      <t>년</t>
    </r>
    <r>
      <rPr>
        <sz val="10"/>
        <color theme="1"/>
        <rFont val="Arial"/>
        <family val="2"/>
      </rPr>
      <t xml:space="preserve"> 06</t>
    </r>
    <r>
      <rPr>
        <sz val="10"/>
        <color theme="1"/>
        <rFont val="맑은 고딕"/>
        <family val="3"/>
        <charset val="129"/>
      </rPr>
      <t>월</t>
    </r>
  </si>
  <si>
    <r>
      <t>'23</t>
    </r>
    <r>
      <rPr>
        <sz val="10"/>
        <color theme="1"/>
        <rFont val="맑은 고딕"/>
        <family val="3"/>
        <charset val="129"/>
      </rPr>
      <t>년</t>
    </r>
    <r>
      <rPr>
        <sz val="10"/>
        <color theme="1"/>
        <rFont val="Arial"/>
        <family val="2"/>
      </rPr>
      <t xml:space="preserve"> 07</t>
    </r>
    <r>
      <rPr>
        <sz val="10"/>
        <color theme="1"/>
        <rFont val="맑은 고딕"/>
        <family val="3"/>
        <charset val="129"/>
      </rPr>
      <t>월</t>
    </r>
  </si>
  <si>
    <r>
      <t>'23</t>
    </r>
    <r>
      <rPr>
        <sz val="10"/>
        <color theme="1"/>
        <rFont val="맑은 고딕"/>
        <family val="3"/>
        <charset val="129"/>
      </rPr>
      <t>년</t>
    </r>
    <r>
      <rPr>
        <sz val="10"/>
        <color theme="1"/>
        <rFont val="Arial"/>
        <family val="2"/>
      </rPr>
      <t xml:space="preserve"> 08</t>
    </r>
    <r>
      <rPr>
        <sz val="10"/>
        <color theme="1"/>
        <rFont val="맑은 고딕"/>
        <family val="3"/>
        <charset val="129"/>
      </rPr>
      <t>월</t>
    </r>
  </si>
  <si>
    <r>
      <t>'23</t>
    </r>
    <r>
      <rPr>
        <sz val="10"/>
        <color theme="1"/>
        <rFont val="맑은 고딕"/>
        <family val="3"/>
        <charset val="129"/>
      </rPr>
      <t>년</t>
    </r>
    <r>
      <rPr>
        <sz val="10"/>
        <color theme="1"/>
        <rFont val="Arial"/>
        <family val="2"/>
      </rPr>
      <t xml:space="preserve"> 09</t>
    </r>
    <r>
      <rPr>
        <sz val="10"/>
        <color theme="1"/>
        <rFont val="맑은 고딕"/>
        <family val="3"/>
        <charset val="129"/>
      </rPr>
      <t>월</t>
    </r>
  </si>
  <si>
    <r>
      <t>'23</t>
    </r>
    <r>
      <rPr>
        <sz val="10"/>
        <color theme="1"/>
        <rFont val="맑은 고딕"/>
        <family val="3"/>
        <charset val="129"/>
      </rPr>
      <t>년</t>
    </r>
    <r>
      <rPr>
        <sz val="10"/>
        <color theme="1"/>
        <rFont val="Arial"/>
        <family val="2"/>
      </rPr>
      <t xml:space="preserve"> 10</t>
    </r>
    <r>
      <rPr>
        <sz val="10"/>
        <color theme="1"/>
        <rFont val="맑은 고딕"/>
        <family val="3"/>
        <charset val="129"/>
      </rPr>
      <t>월</t>
    </r>
  </si>
  <si>
    <r>
      <t>'24</t>
    </r>
    <r>
      <rPr>
        <sz val="10"/>
        <color theme="1"/>
        <rFont val="맑은 고딕"/>
        <family val="3"/>
        <charset val="129"/>
      </rPr>
      <t>년</t>
    </r>
    <r>
      <rPr>
        <sz val="10"/>
        <color theme="1"/>
        <rFont val="Arial"/>
        <family val="2"/>
      </rPr>
      <t xml:space="preserve"> 02</t>
    </r>
    <r>
      <rPr>
        <sz val="10"/>
        <color theme="1"/>
        <rFont val="맑은 고딕"/>
        <family val="3"/>
        <charset val="129"/>
      </rPr>
      <t>월</t>
    </r>
  </si>
  <si>
    <r>
      <t>'24</t>
    </r>
    <r>
      <rPr>
        <sz val="10"/>
        <color theme="1"/>
        <rFont val="맑은 고딕"/>
        <family val="3"/>
        <charset val="129"/>
      </rPr>
      <t>년</t>
    </r>
    <r>
      <rPr>
        <sz val="10"/>
        <color theme="1"/>
        <rFont val="Arial"/>
        <family val="2"/>
      </rPr>
      <t xml:space="preserve"> 03</t>
    </r>
    <r>
      <rPr>
        <sz val="10"/>
        <color theme="1"/>
        <rFont val="맑은 고딕"/>
        <family val="3"/>
        <charset val="129"/>
      </rPr>
      <t>월</t>
    </r>
  </si>
  <si>
    <r>
      <t>'24</t>
    </r>
    <r>
      <rPr>
        <sz val="10"/>
        <color theme="1"/>
        <rFont val="맑은 고딕"/>
        <family val="3"/>
        <charset val="129"/>
      </rPr>
      <t>년</t>
    </r>
    <r>
      <rPr>
        <sz val="10"/>
        <color theme="1"/>
        <rFont val="Arial"/>
        <family val="2"/>
      </rPr>
      <t xml:space="preserve"> 04</t>
    </r>
    <r>
      <rPr>
        <sz val="10"/>
        <color theme="1"/>
        <rFont val="맑은 고딕"/>
        <family val="3"/>
        <charset val="129"/>
      </rPr>
      <t>월</t>
    </r>
  </si>
  <si>
    <r>
      <t>'24</t>
    </r>
    <r>
      <rPr>
        <sz val="10"/>
        <color theme="1"/>
        <rFont val="맑은 고딕"/>
        <family val="3"/>
        <charset val="129"/>
      </rPr>
      <t>년</t>
    </r>
    <r>
      <rPr>
        <sz val="10"/>
        <color theme="1"/>
        <rFont val="Arial"/>
        <family val="2"/>
      </rPr>
      <t xml:space="preserve"> 05</t>
    </r>
    <r>
      <rPr>
        <sz val="10"/>
        <color theme="1"/>
        <rFont val="맑은 고딕"/>
        <family val="3"/>
        <charset val="129"/>
      </rPr>
      <t>월</t>
    </r>
  </si>
  <si>
    <r>
      <t>'24</t>
    </r>
    <r>
      <rPr>
        <sz val="10"/>
        <color theme="1"/>
        <rFont val="맑은 고딕"/>
        <family val="3"/>
        <charset val="129"/>
      </rPr>
      <t>년</t>
    </r>
    <r>
      <rPr>
        <sz val="10"/>
        <color theme="1"/>
        <rFont val="Arial"/>
        <family val="2"/>
      </rPr>
      <t xml:space="preserve"> 06</t>
    </r>
    <r>
      <rPr>
        <sz val="10"/>
        <color theme="1"/>
        <rFont val="맑은 고딕"/>
        <family val="3"/>
        <charset val="129"/>
      </rPr>
      <t>월</t>
    </r>
  </si>
  <si>
    <r>
      <t>'24</t>
    </r>
    <r>
      <rPr>
        <sz val="10"/>
        <color theme="1"/>
        <rFont val="맑은 고딕"/>
        <family val="3"/>
        <charset val="129"/>
      </rPr>
      <t>년</t>
    </r>
    <r>
      <rPr>
        <sz val="10"/>
        <color theme="1"/>
        <rFont val="Arial"/>
        <family val="2"/>
      </rPr>
      <t xml:space="preserve"> 07</t>
    </r>
    <r>
      <rPr>
        <sz val="10"/>
        <color theme="1"/>
        <rFont val="맑은 고딕"/>
        <family val="3"/>
        <charset val="129"/>
      </rPr>
      <t>월</t>
    </r>
  </si>
  <si>
    <r>
      <t>'24</t>
    </r>
    <r>
      <rPr>
        <sz val="10"/>
        <color theme="1"/>
        <rFont val="맑은 고딕"/>
        <family val="3"/>
        <charset val="129"/>
      </rPr>
      <t>년</t>
    </r>
    <r>
      <rPr>
        <sz val="10"/>
        <color theme="1"/>
        <rFont val="Arial"/>
        <family val="2"/>
      </rPr>
      <t xml:space="preserve"> 08</t>
    </r>
    <r>
      <rPr>
        <sz val="10"/>
        <color theme="1"/>
        <rFont val="맑은 고딕"/>
        <family val="3"/>
        <charset val="129"/>
      </rPr>
      <t>월</t>
    </r>
  </si>
  <si>
    <r>
      <t>'24</t>
    </r>
    <r>
      <rPr>
        <sz val="10"/>
        <color theme="1"/>
        <rFont val="맑은 고딕"/>
        <family val="3"/>
        <charset val="129"/>
      </rPr>
      <t>년</t>
    </r>
    <r>
      <rPr>
        <sz val="10"/>
        <color theme="1"/>
        <rFont val="Arial"/>
        <family val="2"/>
      </rPr>
      <t xml:space="preserve"> 09</t>
    </r>
    <r>
      <rPr>
        <sz val="10"/>
        <color theme="1"/>
        <rFont val="맑은 고딕"/>
        <family val="3"/>
        <charset val="129"/>
      </rPr>
      <t>월</t>
    </r>
  </si>
  <si>
    <r>
      <t>'24</t>
    </r>
    <r>
      <rPr>
        <sz val="10"/>
        <color theme="1"/>
        <rFont val="맑은 고딕"/>
        <family val="3"/>
        <charset val="129"/>
      </rPr>
      <t>년</t>
    </r>
    <r>
      <rPr>
        <sz val="10"/>
        <color theme="1"/>
        <rFont val="Arial"/>
        <family val="2"/>
      </rPr>
      <t xml:space="preserve"> 10</t>
    </r>
    <r>
      <rPr>
        <sz val="10"/>
        <color theme="1"/>
        <rFont val="맑은 고딕"/>
        <family val="3"/>
        <charset val="129"/>
      </rPr>
      <t>월</t>
    </r>
  </si>
  <si>
    <r>
      <t>'24</t>
    </r>
    <r>
      <rPr>
        <sz val="10"/>
        <color theme="1"/>
        <rFont val="맑은 고딕"/>
        <family val="3"/>
        <charset val="129"/>
      </rPr>
      <t>년</t>
    </r>
    <r>
      <rPr>
        <sz val="10"/>
        <color theme="1"/>
        <rFont val="Arial"/>
        <family val="2"/>
      </rPr>
      <t xml:space="preserve"> 11</t>
    </r>
    <r>
      <rPr>
        <sz val="10"/>
        <color theme="1"/>
        <rFont val="맑은 고딕"/>
        <family val="3"/>
        <charset val="129"/>
      </rPr>
      <t>월</t>
    </r>
  </si>
  <si>
    <r>
      <t>'24</t>
    </r>
    <r>
      <rPr>
        <sz val="10"/>
        <color theme="1"/>
        <rFont val="맑은 고딕"/>
        <family val="3"/>
        <charset val="129"/>
      </rPr>
      <t>년</t>
    </r>
    <r>
      <rPr>
        <sz val="10"/>
        <color theme="1"/>
        <rFont val="Arial"/>
        <family val="2"/>
      </rPr>
      <t xml:space="preserve"> 12</t>
    </r>
    <r>
      <rPr>
        <sz val="10"/>
        <color theme="1"/>
        <rFont val="맑은 고딕"/>
        <family val="3"/>
        <charset val="129"/>
      </rPr>
      <t>월</t>
    </r>
  </si>
  <si>
    <r>
      <t>'25</t>
    </r>
    <r>
      <rPr>
        <sz val="10"/>
        <color theme="1"/>
        <rFont val="맑은 고딕"/>
        <family val="3"/>
        <charset val="129"/>
      </rPr>
      <t>년</t>
    </r>
    <r>
      <rPr>
        <sz val="10"/>
        <color theme="1"/>
        <rFont val="Arial"/>
        <family val="2"/>
      </rPr>
      <t xml:space="preserve"> 01</t>
    </r>
    <r>
      <rPr>
        <sz val="10"/>
        <color theme="1"/>
        <rFont val="맑은 고딕"/>
        <family val="3"/>
        <charset val="129"/>
      </rPr>
      <t>월</t>
    </r>
  </si>
  <si>
    <r>
      <t>'25</t>
    </r>
    <r>
      <rPr>
        <sz val="10"/>
        <color theme="1"/>
        <rFont val="맑은 고딕"/>
        <family val="3"/>
        <charset val="129"/>
      </rPr>
      <t>년</t>
    </r>
    <r>
      <rPr>
        <sz val="10"/>
        <color theme="1"/>
        <rFont val="Arial"/>
        <family val="2"/>
      </rPr>
      <t xml:space="preserve"> 02</t>
    </r>
    <r>
      <rPr>
        <sz val="10"/>
        <color theme="1"/>
        <rFont val="맑은 고딕"/>
        <family val="3"/>
        <charset val="129"/>
      </rPr>
      <t>월</t>
    </r>
  </si>
  <si>
    <r>
      <t>'25</t>
    </r>
    <r>
      <rPr>
        <sz val="10"/>
        <color theme="1"/>
        <rFont val="맑은 고딕"/>
        <family val="3"/>
        <charset val="129"/>
      </rPr>
      <t>년</t>
    </r>
    <r>
      <rPr>
        <sz val="10"/>
        <color theme="1"/>
        <rFont val="Arial"/>
        <family val="2"/>
      </rPr>
      <t xml:space="preserve"> 03</t>
    </r>
    <r>
      <rPr>
        <sz val="10"/>
        <color theme="1"/>
        <rFont val="맑은 고딕"/>
        <family val="3"/>
        <charset val="129"/>
      </rPr>
      <t>월</t>
    </r>
  </si>
  <si>
    <r>
      <t>'25</t>
    </r>
    <r>
      <rPr>
        <sz val="10"/>
        <color theme="1"/>
        <rFont val="맑은 고딕"/>
        <family val="3"/>
        <charset val="129"/>
      </rPr>
      <t>년</t>
    </r>
    <r>
      <rPr>
        <sz val="10"/>
        <color theme="1"/>
        <rFont val="Arial"/>
        <family val="2"/>
      </rPr>
      <t xml:space="preserve"> 04</t>
    </r>
    <r>
      <rPr>
        <sz val="10"/>
        <color theme="1"/>
        <rFont val="맑은 고딕"/>
        <family val="3"/>
        <charset val="129"/>
      </rPr>
      <t>월</t>
    </r>
  </si>
  <si>
    <r>
      <t>'25</t>
    </r>
    <r>
      <rPr>
        <sz val="10"/>
        <color theme="1"/>
        <rFont val="맑은 고딕"/>
        <family val="3"/>
        <charset val="129"/>
      </rPr>
      <t>년</t>
    </r>
    <r>
      <rPr>
        <sz val="10"/>
        <color theme="1"/>
        <rFont val="Arial"/>
        <family val="2"/>
      </rPr>
      <t xml:space="preserve"> 05</t>
    </r>
    <r>
      <rPr>
        <sz val="10"/>
        <color theme="1"/>
        <rFont val="맑은 고딕"/>
        <family val="3"/>
        <charset val="129"/>
      </rPr>
      <t>월</t>
    </r>
  </si>
  <si>
    <r>
      <t>'25</t>
    </r>
    <r>
      <rPr>
        <sz val="10"/>
        <color theme="1"/>
        <rFont val="맑은 고딕"/>
        <family val="3"/>
        <charset val="129"/>
      </rPr>
      <t>년</t>
    </r>
    <r>
      <rPr>
        <sz val="10"/>
        <color theme="1"/>
        <rFont val="Arial"/>
        <family val="2"/>
      </rPr>
      <t xml:space="preserve"> 06</t>
    </r>
    <r>
      <rPr>
        <sz val="10"/>
        <color theme="1"/>
        <rFont val="맑은 고딕"/>
        <family val="3"/>
        <charset val="129"/>
      </rPr>
      <t>월</t>
    </r>
  </si>
  <si>
    <r>
      <t>'25</t>
    </r>
    <r>
      <rPr>
        <sz val="10"/>
        <color theme="1"/>
        <rFont val="맑은 고딕"/>
        <family val="3"/>
        <charset val="129"/>
      </rPr>
      <t>년</t>
    </r>
    <r>
      <rPr>
        <sz val="10"/>
        <color theme="1"/>
        <rFont val="Arial"/>
        <family val="2"/>
      </rPr>
      <t xml:space="preserve"> 07</t>
    </r>
    <r>
      <rPr>
        <sz val="10"/>
        <color theme="1"/>
        <rFont val="맑은 고딕"/>
        <family val="3"/>
        <charset val="129"/>
      </rPr>
      <t>월</t>
    </r>
  </si>
  <si>
    <r>
      <t>'25</t>
    </r>
    <r>
      <rPr>
        <sz val="10"/>
        <color theme="1"/>
        <rFont val="맑은 고딕"/>
        <family val="3"/>
        <charset val="129"/>
      </rPr>
      <t>년</t>
    </r>
    <r>
      <rPr>
        <sz val="10"/>
        <color theme="1"/>
        <rFont val="Arial"/>
        <family val="2"/>
      </rPr>
      <t xml:space="preserve"> 08</t>
    </r>
    <r>
      <rPr>
        <sz val="10"/>
        <color theme="1"/>
        <rFont val="맑은 고딕"/>
        <family val="3"/>
        <charset val="129"/>
      </rPr>
      <t>월</t>
    </r>
  </si>
  <si>
    <r>
      <t>'25</t>
    </r>
    <r>
      <rPr>
        <sz val="10"/>
        <color theme="1"/>
        <rFont val="맑은 고딕"/>
        <family val="3"/>
        <charset val="129"/>
      </rPr>
      <t>년</t>
    </r>
    <r>
      <rPr>
        <sz val="10"/>
        <color theme="1"/>
        <rFont val="Arial"/>
        <family val="2"/>
      </rPr>
      <t xml:space="preserve"> 09</t>
    </r>
    <r>
      <rPr>
        <sz val="10"/>
        <color theme="1"/>
        <rFont val="맑은 고딕"/>
        <family val="3"/>
        <charset val="129"/>
      </rPr>
      <t>월</t>
    </r>
  </si>
  <si>
    <r>
      <t>'25</t>
    </r>
    <r>
      <rPr>
        <sz val="10"/>
        <color theme="1"/>
        <rFont val="맑은 고딕"/>
        <family val="3"/>
        <charset val="129"/>
      </rPr>
      <t>년</t>
    </r>
    <r>
      <rPr>
        <sz val="10"/>
        <color theme="1"/>
        <rFont val="Arial"/>
        <family val="2"/>
      </rPr>
      <t xml:space="preserve"> 10</t>
    </r>
    <r>
      <rPr>
        <sz val="10"/>
        <color theme="1"/>
        <rFont val="맑은 고딕"/>
        <family val="3"/>
        <charset val="129"/>
      </rPr>
      <t>월</t>
    </r>
  </si>
  <si>
    <r>
      <t>'25</t>
    </r>
    <r>
      <rPr>
        <sz val="10"/>
        <color theme="1"/>
        <rFont val="맑은 고딕"/>
        <family val="3"/>
        <charset val="129"/>
      </rPr>
      <t>년</t>
    </r>
    <r>
      <rPr>
        <sz val="10"/>
        <color theme="1"/>
        <rFont val="Arial"/>
        <family val="2"/>
      </rPr>
      <t xml:space="preserve"> 11</t>
    </r>
    <r>
      <rPr>
        <sz val="10"/>
        <color theme="1"/>
        <rFont val="맑은 고딕"/>
        <family val="3"/>
        <charset val="129"/>
      </rPr>
      <t>월</t>
    </r>
  </si>
  <si>
    <r>
      <t>'25</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</si>
  <si>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2025</t>
    </r>
    <r>
      <rPr>
        <sz val="10"/>
        <color theme="1"/>
        <rFont val="맑은 고딕"/>
        <family val="3"/>
        <charset val="129"/>
      </rPr>
      <t>년</t>
    </r>
  </si>
  <si>
    <r>
      <t>'26</t>
    </r>
    <r>
      <rPr>
        <sz val="10"/>
        <color theme="1"/>
        <rFont val="맑은 고딕"/>
        <family val="3"/>
        <charset val="129"/>
      </rPr>
      <t>년</t>
    </r>
    <r>
      <rPr>
        <sz val="10"/>
        <color theme="1"/>
        <rFont val="Arial"/>
        <family val="2"/>
      </rPr>
      <t xml:space="preserve"> 01</t>
    </r>
    <r>
      <rPr>
        <sz val="10"/>
        <color theme="1"/>
        <rFont val="맑은 고딕"/>
        <family val="3"/>
        <charset val="129"/>
      </rPr>
      <t>월</t>
    </r>
  </si>
  <si>
    <r>
      <t>'26</t>
    </r>
    <r>
      <rPr>
        <sz val="10"/>
        <color theme="1"/>
        <rFont val="맑은 고딕"/>
        <family val="3"/>
        <charset val="129"/>
      </rPr>
      <t>년</t>
    </r>
    <r>
      <rPr>
        <sz val="10"/>
        <color theme="1"/>
        <rFont val="Arial"/>
        <family val="2"/>
      </rPr>
      <t xml:space="preserve"> 02</t>
    </r>
    <r>
      <rPr>
        <sz val="10"/>
        <color theme="1"/>
        <rFont val="맑은 고딕"/>
        <family val="3"/>
        <charset val="129"/>
      </rPr>
      <t>월</t>
    </r>
  </si>
  <si>
    <r>
      <t>'26</t>
    </r>
    <r>
      <rPr>
        <sz val="10"/>
        <color theme="1"/>
        <rFont val="맑은 고딕"/>
        <family val="3"/>
        <charset val="129"/>
      </rPr>
      <t>년</t>
    </r>
    <r>
      <rPr>
        <sz val="10"/>
        <color theme="1"/>
        <rFont val="Arial"/>
        <family val="2"/>
      </rPr>
      <t xml:space="preserve"> 03</t>
    </r>
    <r>
      <rPr>
        <sz val="10"/>
        <color theme="1"/>
        <rFont val="맑은 고딕"/>
        <family val="3"/>
        <charset val="129"/>
      </rPr>
      <t>월</t>
    </r>
  </si>
  <si>
    <r>
      <t>'26</t>
    </r>
    <r>
      <rPr>
        <sz val="10"/>
        <color theme="1"/>
        <rFont val="맑은 고딕"/>
        <family val="3"/>
        <charset val="129"/>
      </rPr>
      <t>년</t>
    </r>
    <r>
      <rPr>
        <sz val="10"/>
        <color theme="1"/>
        <rFont val="Arial"/>
        <family val="2"/>
      </rPr>
      <t xml:space="preserve"> 04</t>
    </r>
    <r>
      <rPr>
        <sz val="10"/>
        <color theme="1"/>
        <rFont val="맑은 고딕"/>
        <family val="3"/>
        <charset val="129"/>
      </rPr>
      <t>월</t>
    </r>
  </si>
  <si>
    <r>
      <t>'26</t>
    </r>
    <r>
      <rPr>
        <sz val="10"/>
        <color theme="1"/>
        <rFont val="맑은 고딕"/>
        <family val="3"/>
        <charset val="129"/>
      </rPr>
      <t>년</t>
    </r>
    <r>
      <rPr>
        <sz val="10"/>
        <color theme="1"/>
        <rFont val="Arial"/>
        <family val="2"/>
      </rPr>
      <t xml:space="preserve"> 05</t>
    </r>
    <r>
      <rPr>
        <sz val="10"/>
        <color theme="1"/>
        <rFont val="맑은 고딕"/>
        <family val="3"/>
        <charset val="129"/>
      </rPr>
      <t>월</t>
    </r>
  </si>
  <si>
    <r>
      <t>'26</t>
    </r>
    <r>
      <rPr>
        <sz val="10"/>
        <color theme="1"/>
        <rFont val="맑은 고딕"/>
        <family val="3"/>
        <charset val="129"/>
      </rPr>
      <t>년</t>
    </r>
    <r>
      <rPr>
        <sz val="10"/>
        <color theme="1"/>
        <rFont val="Arial"/>
        <family val="2"/>
      </rPr>
      <t xml:space="preserve"> 06</t>
    </r>
    <r>
      <rPr>
        <sz val="10"/>
        <color theme="1"/>
        <rFont val="맑은 고딕"/>
        <family val="3"/>
        <charset val="129"/>
      </rPr>
      <t>월</t>
    </r>
  </si>
  <si>
    <r>
      <t>'26</t>
    </r>
    <r>
      <rPr>
        <sz val="10"/>
        <color theme="1"/>
        <rFont val="맑은 고딕"/>
        <family val="3"/>
        <charset val="129"/>
      </rPr>
      <t>년</t>
    </r>
    <r>
      <rPr>
        <sz val="10"/>
        <color theme="1"/>
        <rFont val="Arial"/>
        <family val="2"/>
      </rPr>
      <t xml:space="preserve"> 07</t>
    </r>
    <r>
      <rPr>
        <sz val="10"/>
        <color theme="1"/>
        <rFont val="맑은 고딕"/>
        <family val="3"/>
        <charset val="129"/>
      </rPr>
      <t>월</t>
    </r>
  </si>
  <si>
    <r>
      <t>'26</t>
    </r>
    <r>
      <rPr>
        <sz val="10"/>
        <color theme="1"/>
        <rFont val="맑은 고딕"/>
        <family val="3"/>
        <charset val="129"/>
      </rPr>
      <t>년</t>
    </r>
    <r>
      <rPr>
        <sz val="10"/>
        <color theme="1"/>
        <rFont val="Arial"/>
        <family val="2"/>
      </rPr>
      <t xml:space="preserve"> 08</t>
    </r>
    <r>
      <rPr>
        <sz val="10"/>
        <color theme="1"/>
        <rFont val="맑은 고딕"/>
        <family val="3"/>
        <charset val="129"/>
      </rPr>
      <t>월</t>
    </r>
  </si>
  <si>
    <r>
      <t>'26</t>
    </r>
    <r>
      <rPr>
        <sz val="10"/>
        <color theme="1"/>
        <rFont val="맑은 고딕"/>
        <family val="3"/>
        <charset val="129"/>
      </rPr>
      <t>년</t>
    </r>
    <r>
      <rPr>
        <sz val="10"/>
        <color theme="1"/>
        <rFont val="Arial"/>
        <family val="2"/>
      </rPr>
      <t xml:space="preserve"> 09</t>
    </r>
    <r>
      <rPr>
        <sz val="10"/>
        <color theme="1"/>
        <rFont val="맑은 고딕"/>
        <family val="3"/>
        <charset val="129"/>
      </rPr>
      <t>월</t>
    </r>
  </si>
  <si>
    <r>
      <t>'26</t>
    </r>
    <r>
      <rPr>
        <sz val="10"/>
        <color theme="1"/>
        <rFont val="맑은 고딕"/>
        <family val="3"/>
        <charset val="129"/>
      </rPr>
      <t>년</t>
    </r>
    <r>
      <rPr>
        <sz val="10"/>
        <color theme="1"/>
        <rFont val="Arial"/>
        <family val="2"/>
      </rPr>
      <t xml:space="preserve"> 10</t>
    </r>
    <r>
      <rPr>
        <sz val="10"/>
        <color theme="1"/>
        <rFont val="맑은 고딕"/>
        <family val="3"/>
        <charset val="129"/>
      </rPr>
      <t>월</t>
    </r>
  </si>
  <si>
    <r>
      <t>'26</t>
    </r>
    <r>
      <rPr>
        <sz val="10"/>
        <color theme="1"/>
        <rFont val="맑은 고딕"/>
        <family val="3"/>
        <charset val="129"/>
      </rPr>
      <t>년</t>
    </r>
    <r>
      <rPr>
        <sz val="10"/>
        <color theme="1"/>
        <rFont val="Arial"/>
        <family val="2"/>
      </rPr>
      <t xml:space="preserve"> 11</t>
    </r>
    <r>
      <rPr>
        <sz val="10"/>
        <color theme="1"/>
        <rFont val="맑은 고딕"/>
        <family val="3"/>
        <charset val="129"/>
      </rPr>
      <t>월</t>
    </r>
  </si>
  <si>
    <r>
      <t>'26</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</si>
  <si>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2026</t>
    </r>
    <r>
      <rPr>
        <sz val="10"/>
        <color theme="1"/>
        <rFont val="맑은 고딕"/>
        <family val="3"/>
        <charset val="129"/>
      </rPr>
      <t>년</t>
    </r>
  </si>
  <si>
    <r>
      <t>'27</t>
    </r>
    <r>
      <rPr>
        <sz val="10"/>
        <color theme="1"/>
        <rFont val="맑은 고딕"/>
        <family val="3"/>
        <charset val="129"/>
      </rPr>
      <t>년</t>
    </r>
    <r>
      <rPr>
        <sz val="10"/>
        <color theme="1"/>
        <rFont val="Arial"/>
        <family val="2"/>
      </rPr>
      <t xml:space="preserve"> 01</t>
    </r>
    <r>
      <rPr>
        <sz val="10"/>
        <color theme="1"/>
        <rFont val="맑은 고딕"/>
        <family val="3"/>
        <charset val="129"/>
      </rPr>
      <t>월</t>
    </r>
  </si>
  <si>
    <r>
      <t>'27</t>
    </r>
    <r>
      <rPr>
        <sz val="10"/>
        <color theme="1"/>
        <rFont val="맑은 고딕"/>
        <family val="3"/>
        <charset val="129"/>
      </rPr>
      <t>년</t>
    </r>
    <r>
      <rPr>
        <sz val="10"/>
        <color theme="1"/>
        <rFont val="Arial"/>
        <family val="2"/>
      </rPr>
      <t xml:space="preserve"> 02</t>
    </r>
    <r>
      <rPr>
        <sz val="10"/>
        <color theme="1"/>
        <rFont val="맑은 고딕"/>
        <family val="3"/>
        <charset val="129"/>
      </rPr>
      <t>월</t>
    </r>
  </si>
  <si>
    <r>
      <t>'27</t>
    </r>
    <r>
      <rPr>
        <sz val="10"/>
        <color theme="1"/>
        <rFont val="맑은 고딕"/>
        <family val="3"/>
        <charset val="129"/>
      </rPr>
      <t>년</t>
    </r>
    <r>
      <rPr>
        <sz val="10"/>
        <color theme="1"/>
        <rFont val="Arial"/>
        <family val="2"/>
      </rPr>
      <t xml:space="preserve"> 03</t>
    </r>
    <r>
      <rPr>
        <sz val="10"/>
        <color theme="1"/>
        <rFont val="맑은 고딕"/>
        <family val="3"/>
        <charset val="129"/>
      </rPr>
      <t>월</t>
    </r>
  </si>
  <si>
    <r>
      <t>'27</t>
    </r>
    <r>
      <rPr>
        <sz val="10"/>
        <color theme="1"/>
        <rFont val="맑은 고딕"/>
        <family val="3"/>
        <charset val="129"/>
      </rPr>
      <t>년</t>
    </r>
    <r>
      <rPr>
        <sz val="10"/>
        <color theme="1"/>
        <rFont val="Arial"/>
        <family val="2"/>
      </rPr>
      <t xml:space="preserve"> 04</t>
    </r>
    <r>
      <rPr>
        <sz val="10"/>
        <color theme="1"/>
        <rFont val="맑은 고딕"/>
        <family val="3"/>
        <charset val="129"/>
      </rPr>
      <t>월</t>
    </r>
  </si>
  <si>
    <r>
      <t>'27</t>
    </r>
    <r>
      <rPr>
        <sz val="10"/>
        <color theme="1"/>
        <rFont val="맑은 고딕"/>
        <family val="3"/>
        <charset val="129"/>
      </rPr>
      <t>년</t>
    </r>
    <r>
      <rPr>
        <sz val="10"/>
        <color theme="1"/>
        <rFont val="Arial"/>
        <family val="2"/>
      </rPr>
      <t xml:space="preserve"> 05</t>
    </r>
    <r>
      <rPr>
        <sz val="10"/>
        <color theme="1"/>
        <rFont val="맑은 고딕"/>
        <family val="3"/>
        <charset val="129"/>
      </rPr>
      <t>월</t>
    </r>
  </si>
  <si>
    <r>
      <t>'27</t>
    </r>
    <r>
      <rPr>
        <sz val="10"/>
        <color theme="1"/>
        <rFont val="맑은 고딕"/>
        <family val="3"/>
        <charset val="129"/>
      </rPr>
      <t>년</t>
    </r>
    <r>
      <rPr>
        <sz val="10"/>
        <color theme="1"/>
        <rFont val="Arial"/>
        <family val="2"/>
      </rPr>
      <t xml:space="preserve"> 06</t>
    </r>
    <r>
      <rPr>
        <sz val="10"/>
        <color theme="1"/>
        <rFont val="맑은 고딕"/>
        <family val="3"/>
        <charset val="129"/>
      </rPr>
      <t>월</t>
    </r>
  </si>
  <si>
    <r>
      <t>'27</t>
    </r>
    <r>
      <rPr>
        <sz val="10"/>
        <color theme="1"/>
        <rFont val="맑은 고딕"/>
        <family val="3"/>
        <charset val="129"/>
      </rPr>
      <t>년</t>
    </r>
    <r>
      <rPr>
        <sz val="10"/>
        <color theme="1"/>
        <rFont val="Arial"/>
        <family val="2"/>
      </rPr>
      <t xml:space="preserve"> 07</t>
    </r>
    <r>
      <rPr>
        <sz val="10"/>
        <color theme="1"/>
        <rFont val="맑은 고딕"/>
        <family val="3"/>
        <charset val="129"/>
      </rPr>
      <t>월</t>
    </r>
  </si>
  <si>
    <r>
      <t>'27</t>
    </r>
    <r>
      <rPr>
        <sz val="10"/>
        <color theme="1"/>
        <rFont val="맑은 고딕"/>
        <family val="3"/>
        <charset val="129"/>
      </rPr>
      <t>년</t>
    </r>
    <r>
      <rPr>
        <sz val="10"/>
        <color theme="1"/>
        <rFont val="Arial"/>
        <family val="2"/>
      </rPr>
      <t xml:space="preserve"> 08</t>
    </r>
    <r>
      <rPr>
        <sz val="10"/>
        <color theme="1"/>
        <rFont val="맑은 고딕"/>
        <family val="3"/>
        <charset val="129"/>
      </rPr>
      <t>월</t>
    </r>
  </si>
  <si>
    <r>
      <t>'27</t>
    </r>
    <r>
      <rPr>
        <sz val="10"/>
        <color theme="1"/>
        <rFont val="맑은 고딕"/>
        <family val="3"/>
        <charset val="129"/>
      </rPr>
      <t>년</t>
    </r>
    <r>
      <rPr>
        <sz val="10"/>
        <color theme="1"/>
        <rFont val="Arial"/>
        <family val="2"/>
      </rPr>
      <t xml:space="preserve"> 09</t>
    </r>
    <r>
      <rPr>
        <sz val="10"/>
        <color theme="1"/>
        <rFont val="맑은 고딕"/>
        <family val="3"/>
        <charset val="129"/>
      </rPr>
      <t>월</t>
    </r>
  </si>
  <si>
    <r>
      <t>'27</t>
    </r>
    <r>
      <rPr>
        <sz val="10"/>
        <color theme="1"/>
        <rFont val="맑은 고딕"/>
        <family val="3"/>
        <charset val="129"/>
      </rPr>
      <t>년</t>
    </r>
    <r>
      <rPr>
        <sz val="10"/>
        <color theme="1"/>
        <rFont val="Arial"/>
        <family val="2"/>
      </rPr>
      <t xml:space="preserve"> 10</t>
    </r>
    <r>
      <rPr>
        <sz val="10"/>
        <color theme="1"/>
        <rFont val="맑은 고딕"/>
        <family val="3"/>
        <charset val="129"/>
      </rPr>
      <t>월</t>
    </r>
  </si>
  <si>
    <r>
      <t>'27</t>
    </r>
    <r>
      <rPr>
        <sz val="10"/>
        <color theme="1"/>
        <rFont val="맑은 고딕"/>
        <family val="3"/>
        <charset val="129"/>
      </rPr>
      <t>년</t>
    </r>
    <r>
      <rPr>
        <sz val="10"/>
        <color theme="1"/>
        <rFont val="Arial"/>
        <family val="2"/>
      </rPr>
      <t xml:space="preserve"> 11</t>
    </r>
    <r>
      <rPr>
        <sz val="10"/>
        <color theme="1"/>
        <rFont val="맑은 고딕"/>
        <family val="3"/>
        <charset val="129"/>
      </rPr>
      <t>월</t>
    </r>
  </si>
  <si>
    <r>
      <t>'27</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</si>
  <si>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2027</t>
    </r>
    <r>
      <rPr>
        <sz val="10"/>
        <color theme="1"/>
        <rFont val="맑은 고딕"/>
        <family val="3"/>
        <charset val="129"/>
      </rPr>
      <t>년</t>
    </r>
  </si>
  <si>
    <r>
      <t>'28</t>
    </r>
    <r>
      <rPr>
        <sz val="10"/>
        <color theme="1"/>
        <rFont val="맑은 고딕"/>
        <family val="3"/>
        <charset val="129"/>
      </rPr>
      <t>년</t>
    </r>
    <r>
      <rPr>
        <sz val="10"/>
        <color theme="1"/>
        <rFont val="Arial"/>
        <family val="2"/>
      </rPr>
      <t xml:space="preserve"> 01</t>
    </r>
    <r>
      <rPr>
        <sz val="10"/>
        <color theme="1"/>
        <rFont val="맑은 고딕"/>
        <family val="3"/>
        <charset val="129"/>
      </rPr>
      <t>월</t>
    </r>
  </si>
  <si>
    <r>
      <t>'28</t>
    </r>
    <r>
      <rPr>
        <sz val="10"/>
        <color theme="1"/>
        <rFont val="맑은 고딕"/>
        <family val="3"/>
        <charset val="129"/>
      </rPr>
      <t>년</t>
    </r>
    <r>
      <rPr>
        <sz val="10"/>
        <color theme="1"/>
        <rFont val="Arial"/>
        <family val="2"/>
      </rPr>
      <t xml:space="preserve"> 02</t>
    </r>
    <r>
      <rPr>
        <sz val="10"/>
        <color theme="1"/>
        <rFont val="맑은 고딕"/>
        <family val="3"/>
        <charset val="129"/>
      </rPr>
      <t>월</t>
    </r>
  </si>
  <si>
    <r>
      <t>'28</t>
    </r>
    <r>
      <rPr>
        <sz val="10"/>
        <color theme="1"/>
        <rFont val="맑은 고딕"/>
        <family val="3"/>
        <charset val="129"/>
      </rPr>
      <t>년</t>
    </r>
    <r>
      <rPr>
        <sz val="10"/>
        <color theme="1"/>
        <rFont val="Arial"/>
        <family val="2"/>
      </rPr>
      <t xml:space="preserve"> 03</t>
    </r>
    <r>
      <rPr>
        <sz val="10"/>
        <color theme="1"/>
        <rFont val="맑은 고딕"/>
        <family val="3"/>
        <charset val="129"/>
      </rPr>
      <t>월</t>
    </r>
  </si>
  <si>
    <r>
      <t>'28</t>
    </r>
    <r>
      <rPr>
        <sz val="10"/>
        <color theme="1"/>
        <rFont val="맑은 고딕"/>
        <family val="3"/>
        <charset val="129"/>
      </rPr>
      <t>년</t>
    </r>
    <r>
      <rPr>
        <sz val="10"/>
        <color theme="1"/>
        <rFont val="Arial"/>
        <family val="2"/>
      </rPr>
      <t xml:space="preserve"> 04</t>
    </r>
    <r>
      <rPr>
        <sz val="10"/>
        <color theme="1"/>
        <rFont val="맑은 고딕"/>
        <family val="3"/>
        <charset val="129"/>
      </rPr>
      <t>월</t>
    </r>
  </si>
  <si>
    <r>
      <t>'28</t>
    </r>
    <r>
      <rPr>
        <sz val="10"/>
        <color theme="1"/>
        <rFont val="맑은 고딕"/>
        <family val="3"/>
        <charset val="129"/>
      </rPr>
      <t>년</t>
    </r>
    <r>
      <rPr>
        <sz val="10"/>
        <color theme="1"/>
        <rFont val="Arial"/>
        <family val="2"/>
      </rPr>
      <t xml:space="preserve"> 05</t>
    </r>
    <r>
      <rPr>
        <sz val="10"/>
        <color theme="1"/>
        <rFont val="맑은 고딕"/>
        <family val="3"/>
        <charset val="129"/>
      </rPr>
      <t>월</t>
    </r>
  </si>
  <si>
    <r>
      <t>'28</t>
    </r>
    <r>
      <rPr>
        <sz val="10"/>
        <color theme="1"/>
        <rFont val="맑은 고딕"/>
        <family val="3"/>
        <charset val="129"/>
      </rPr>
      <t>년</t>
    </r>
    <r>
      <rPr>
        <sz val="10"/>
        <color theme="1"/>
        <rFont val="Arial"/>
        <family val="2"/>
      </rPr>
      <t xml:space="preserve"> 06</t>
    </r>
    <r>
      <rPr>
        <sz val="10"/>
        <color theme="1"/>
        <rFont val="맑은 고딕"/>
        <family val="3"/>
        <charset val="129"/>
      </rPr>
      <t>월</t>
    </r>
  </si>
  <si>
    <r>
      <t>'28</t>
    </r>
    <r>
      <rPr>
        <sz val="10"/>
        <color theme="1"/>
        <rFont val="맑은 고딕"/>
        <family val="3"/>
        <charset val="129"/>
      </rPr>
      <t>년</t>
    </r>
    <r>
      <rPr>
        <sz val="10"/>
        <color theme="1"/>
        <rFont val="Arial"/>
        <family val="2"/>
      </rPr>
      <t xml:space="preserve"> 07</t>
    </r>
    <r>
      <rPr>
        <sz val="10"/>
        <color theme="1"/>
        <rFont val="맑은 고딕"/>
        <family val="3"/>
        <charset val="129"/>
      </rPr>
      <t>월</t>
    </r>
  </si>
  <si>
    <r>
      <t>'28</t>
    </r>
    <r>
      <rPr>
        <sz val="10"/>
        <color theme="1"/>
        <rFont val="맑은 고딕"/>
        <family val="3"/>
        <charset val="129"/>
      </rPr>
      <t>년</t>
    </r>
    <r>
      <rPr>
        <sz val="10"/>
        <color theme="1"/>
        <rFont val="Arial"/>
        <family val="2"/>
      </rPr>
      <t xml:space="preserve"> 08</t>
    </r>
    <r>
      <rPr>
        <sz val="10"/>
        <color theme="1"/>
        <rFont val="맑은 고딕"/>
        <family val="3"/>
        <charset val="129"/>
      </rPr>
      <t>월</t>
    </r>
  </si>
  <si>
    <r>
      <t>'28</t>
    </r>
    <r>
      <rPr>
        <sz val="10"/>
        <color theme="1"/>
        <rFont val="맑은 고딕"/>
        <family val="3"/>
        <charset val="129"/>
      </rPr>
      <t>년</t>
    </r>
    <r>
      <rPr>
        <sz val="10"/>
        <color theme="1"/>
        <rFont val="Arial"/>
        <family val="2"/>
      </rPr>
      <t xml:space="preserve"> 09</t>
    </r>
    <r>
      <rPr>
        <sz val="10"/>
        <color theme="1"/>
        <rFont val="맑은 고딕"/>
        <family val="3"/>
        <charset val="129"/>
      </rPr>
      <t>월</t>
    </r>
  </si>
  <si>
    <r>
      <t>'28</t>
    </r>
    <r>
      <rPr>
        <sz val="10"/>
        <color theme="1"/>
        <rFont val="맑은 고딕"/>
        <family val="3"/>
        <charset val="129"/>
      </rPr>
      <t>년</t>
    </r>
    <r>
      <rPr>
        <sz val="10"/>
        <color theme="1"/>
        <rFont val="Arial"/>
        <family val="2"/>
      </rPr>
      <t xml:space="preserve"> 10</t>
    </r>
    <r>
      <rPr>
        <sz val="10"/>
        <color theme="1"/>
        <rFont val="맑은 고딕"/>
        <family val="3"/>
        <charset val="129"/>
      </rPr>
      <t>월</t>
    </r>
  </si>
  <si>
    <r>
      <t>'28</t>
    </r>
    <r>
      <rPr>
        <sz val="10"/>
        <color theme="1"/>
        <rFont val="맑은 고딕"/>
        <family val="3"/>
        <charset val="129"/>
      </rPr>
      <t>년</t>
    </r>
    <r>
      <rPr>
        <sz val="10"/>
        <color theme="1"/>
        <rFont val="Arial"/>
        <family val="2"/>
      </rPr>
      <t xml:space="preserve"> 11</t>
    </r>
    <r>
      <rPr>
        <sz val="10"/>
        <color theme="1"/>
        <rFont val="맑은 고딕"/>
        <family val="3"/>
        <charset val="129"/>
      </rPr>
      <t>월</t>
    </r>
  </si>
  <si>
    <r>
      <t>'28</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</si>
  <si>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2028</t>
    </r>
    <r>
      <rPr>
        <sz val="10"/>
        <color theme="1"/>
        <rFont val="맑은 고딕"/>
        <family val="3"/>
        <charset val="129"/>
      </rPr>
      <t>년</t>
    </r>
  </si>
  <si>
    <r>
      <t>'29</t>
    </r>
    <r>
      <rPr>
        <sz val="10"/>
        <color theme="1"/>
        <rFont val="맑은 고딕"/>
        <family val="3"/>
        <charset val="129"/>
      </rPr>
      <t>년</t>
    </r>
    <r>
      <rPr>
        <sz val="10"/>
        <color theme="1"/>
        <rFont val="Arial"/>
        <family val="2"/>
      </rPr>
      <t xml:space="preserve"> 01</t>
    </r>
    <r>
      <rPr>
        <sz val="10"/>
        <color theme="1"/>
        <rFont val="맑은 고딕"/>
        <family val="3"/>
        <charset val="129"/>
      </rPr>
      <t>월</t>
    </r>
  </si>
  <si>
    <r>
      <t>'29</t>
    </r>
    <r>
      <rPr>
        <sz val="10"/>
        <color theme="1"/>
        <rFont val="맑은 고딕"/>
        <family val="3"/>
        <charset val="129"/>
      </rPr>
      <t>년</t>
    </r>
    <r>
      <rPr>
        <sz val="10"/>
        <color theme="1"/>
        <rFont val="Arial"/>
        <family val="2"/>
      </rPr>
      <t xml:space="preserve"> 02</t>
    </r>
    <r>
      <rPr>
        <sz val="10"/>
        <color theme="1"/>
        <rFont val="맑은 고딕"/>
        <family val="3"/>
        <charset val="129"/>
      </rPr>
      <t>월</t>
    </r>
  </si>
  <si>
    <r>
      <t>'29</t>
    </r>
    <r>
      <rPr>
        <sz val="10"/>
        <color theme="1"/>
        <rFont val="맑은 고딕"/>
        <family val="3"/>
        <charset val="129"/>
      </rPr>
      <t>년</t>
    </r>
    <r>
      <rPr>
        <sz val="10"/>
        <color theme="1"/>
        <rFont val="Arial"/>
        <family val="2"/>
      </rPr>
      <t xml:space="preserve"> 03</t>
    </r>
    <r>
      <rPr>
        <sz val="10"/>
        <color theme="1"/>
        <rFont val="맑은 고딕"/>
        <family val="3"/>
        <charset val="129"/>
      </rPr>
      <t>월</t>
    </r>
  </si>
  <si>
    <r>
      <t>'29</t>
    </r>
    <r>
      <rPr>
        <sz val="10"/>
        <color theme="1"/>
        <rFont val="맑은 고딕"/>
        <family val="3"/>
        <charset val="129"/>
      </rPr>
      <t>년</t>
    </r>
    <r>
      <rPr>
        <sz val="10"/>
        <color theme="1"/>
        <rFont val="Arial"/>
        <family val="2"/>
      </rPr>
      <t xml:space="preserve"> 04</t>
    </r>
    <r>
      <rPr>
        <sz val="10"/>
        <color theme="1"/>
        <rFont val="맑은 고딕"/>
        <family val="3"/>
        <charset val="129"/>
      </rPr>
      <t>월</t>
    </r>
  </si>
  <si>
    <r>
      <t>'29</t>
    </r>
    <r>
      <rPr>
        <sz val="10"/>
        <color theme="1"/>
        <rFont val="맑은 고딕"/>
        <family val="3"/>
        <charset val="129"/>
      </rPr>
      <t>년</t>
    </r>
    <r>
      <rPr>
        <sz val="10"/>
        <color theme="1"/>
        <rFont val="Arial"/>
        <family val="2"/>
      </rPr>
      <t xml:space="preserve"> 05</t>
    </r>
    <r>
      <rPr>
        <sz val="10"/>
        <color theme="1"/>
        <rFont val="맑은 고딕"/>
        <family val="3"/>
        <charset val="129"/>
      </rPr>
      <t>월</t>
    </r>
  </si>
  <si>
    <r>
      <t>'29</t>
    </r>
    <r>
      <rPr>
        <sz val="10"/>
        <color theme="1"/>
        <rFont val="맑은 고딕"/>
        <family val="3"/>
        <charset val="129"/>
      </rPr>
      <t>년</t>
    </r>
    <r>
      <rPr>
        <sz val="10"/>
        <color theme="1"/>
        <rFont val="Arial"/>
        <family val="2"/>
      </rPr>
      <t xml:space="preserve"> 06</t>
    </r>
    <r>
      <rPr>
        <sz val="10"/>
        <color theme="1"/>
        <rFont val="맑은 고딕"/>
        <family val="3"/>
        <charset val="129"/>
      </rPr>
      <t>월</t>
    </r>
  </si>
  <si>
    <r>
      <t>'29</t>
    </r>
    <r>
      <rPr>
        <sz val="10"/>
        <color theme="1"/>
        <rFont val="맑은 고딕"/>
        <family val="3"/>
        <charset val="129"/>
      </rPr>
      <t>년</t>
    </r>
    <r>
      <rPr>
        <sz val="10"/>
        <color theme="1"/>
        <rFont val="Arial"/>
        <family val="2"/>
      </rPr>
      <t xml:space="preserve"> 07</t>
    </r>
    <r>
      <rPr>
        <sz val="10"/>
        <color theme="1"/>
        <rFont val="맑은 고딕"/>
        <family val="3"/>
        <charset val="129"/>
      </rPr>
      <t>월</t>
    </r>
  </si>
  <si>
    <r>
      <t>'29</t>
    </r>
    <r>
      <rPr>
        <sz val="10"/>
        <color theme="1"/>
        <rFont val="맑은 고딕"/>
        <family val="3"/>
        <charset val="129"/>
      </rPr>
      <t>년</t>
    </r>
    <r>
      <rPr>
        <sz val="10"/>
        <color theme="1"/>
        <rFont val="Arial"/>
        <family val="2"/>
      </rPr>
      <t xml:space="preserve"> 08</t>
    </r>
    <r>
      <rPr>
        <sz val="10"/>
        <color theme="1"/>
        <rFont val="맑은 고딕"/>
        <family val="3"/>
        <charset val="129"/>
      </rPr>
      <t>월</t>
    </r>
  </si>
  <si>
    <r>
      <t>'29</t>
    </r>
    <r>
      <rPr>
        <sz val="10"/>
        <color theme="1"/>
        <rFont val="맑은 고딕"/>
        <family val="3"/>
        <charset val="129"/>
      </rPr>
      <t>년</t>
    </r>
    <r>
      <rPr>
        <sz val="10"/>
        <color theme="1"/>
        <rFont val="Arial"/>
        <family val="2"/>
      </rPr>
      <t xml:space="preserve"> 09</t>
    </r>
    <r>
      <rPr>
        <sz val="10"/>
        <color theme="1"/>
        <rFont val="맑은 고딕"/>
        <family val="3"/>
        <charset val="129"/>
      </rPr>
      <t>월</t>
    </r>
  </si>
  <si>
    <r>
      <t>'29</t>
    </r>
    <r>
      <rPr>
        <sz val="10"/>
        <color theme="1"/>
        <rFont val="맑은 고딕"/>
        <family val="3"/>
        <charset val="129"/>
      </rPr>
      <t>년</t>
    </r>
    <r>
      <rPr>
        <sz val="10"/>
        <color theme="1"/>
        <rFont val="Arial"/>
        <family val="2"/>
      </rPr>
      <t xml:space="preserve"> 10</t>
    </r>
    <r>
      <rPr>
        <sz val="10"/>
        <color theme="1"/>
        <rFont val="맑은 고딕"/>
        <family val="3"/>
        <charset val="129"/>
      </rPr>
      <t>월</t>
    </r>
  </si>
  <si>
    <r>
      <t>'29</t>
    </r>
    <r>
      <rPr>
        <sz val="10"/>
        <color theme="1"/>
        <rFont val="맑은 고딕"/>
        <family val="3"/>
        <charset val="129"/>
      </rPr>
      <t>년</t>
    </r>
    <r>
      <rPr>
        <sz val="10"/>
        <color theme="1"/>
        <rFont val="Arial"/>
        <family val="2"/>
      </rPr>
      <t xml:space="preserve"> 11</t>
    </r>
    <r>
      <rPr>
        <sz val="10"/>
        <color theme="1"/>
        <rFont val="맑은 고딕"/>
        <family val="3"/>
        <charset val="129"/>
      </rPr>
      <t>월</t>
    </r>
  </si>
  <si>
    <r>
      <t>'29</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</si>
  <si>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2029</t>
    </r>
    <r>
      <rPr>
        <sz val="10"/>
        <color theme="1"/>
        <rFont val="맑은 고딕"/>
        <family val="3"/>
        <charset val="129"/>
      </rPr>
      <t>년</t>
    </r>
  </si>
  <si>
    <r>
      <t>'30</t>
    </r>
    <r>
      <rPr>
        <sz val="10"/>
        <color theme="1"/>
        <rFont val="맑은 고딕"/>
        <family val="3"/>
        <charset val="129"/>
      </rPr>
      <t>년</t>
    </r>
    <r>
      <rPr>
        <sz val="10"/>
        <color theme="1"/>
        <rFont val="Arial"/>
        <family val="2"/>
      </rPr>
      <t xml:space="preserve"> 01</t>
    </r>
    <r>
      <rPr>
        <sz val="10"/>
        <color theme="1"/>
        <rFont val="맑은 고딕"/>
        <family val="3"/>
        <charset val="129"/>
      </rPr>
      <t>월</t>
    </r>
  </si>
  <si>
    <r>
      <t>'30</t>
    </r>
    <r>
      <rPr>
        <sz val="10"/>
        <color theme="1"/>
        <rFont val="맑은 고딕"/>
        <family val="3"/>
        <charset val="129"/>
      </rPr>
      <t>년</t>
    </r>
    <r>
      <rPr>
        <sz val="10"/>
        <color theme="1"/>
        <rFont val="Arial"/>
        <family val="2"/>
      </rPr>
      <t xml:space="preserve"> 02</t>
    </r>
    <r>
      <rPr>
        <sz val="10"/>
        <color theme="1"/>
        <rFont val="맑은 고딕"/>
        <family val="3"/>
        <charset val="129"/>
      </rPr>
      <t>월</t>
    </r>
  </si>
  <si>
    <r>
      <t>'30</t>
    </r>
    <r>
      <rPr>
        <sz val="10"/>
        <color theme="1"/>
        <rFont val="맑은 고딕"/>
        <family val="3"/>
        <charset val="129"/>
      </rPr>
      <t>년</t>
    </r>
    <r>
      <rPr>
        <sz val="10"/>
        <color theme="1"/>
        <rFont val="Arial"/>
        <family val="2"/>
      </rPr>
      <t xml:space="preserve"> 03</t>
    </r>
    <r>
      <rPr>
        <sz val="10"/>
        <color theme="1"/>
        <rFont val="맑은 고딕"/>
        <family val="3"/>
        <charset val="129"/>
      </rPr>
      <t>월</t>
    </r>
  </si>
  <si>
    <r>
      <t>'30</t>
    </r>
    <r>
      <rPr>
        <sz val="10"/>
        <color theme="1"/>
        <rFont val="맑은 고딕"/>
        <family val="3"/>
        <charset val="129"/>
      </rPr>
      <t>년</t>
    </r>
    <r>
      <rPr>
        <sz val="10"/>
        <color theme="1"/>
        <rFont val="Arial"/>
        <family val="2"/>
      </rPr>
      <t xml:space="preserve"> 04</t>
    </r>
    <r>
      <rPr>
        <sz val="10"/>
        <color theme="1"/>
        <rFont val="맑은 고딕"/>
        <family val="3"/>
        <charset val="129"/>
      </rPr>
      <t>월</t>
    </r>
  </si>
  <si>
    <r>
      <t>'30</t>
    </r>
    <r>
      <rPr>
        <sz val="10"/>
        <color theme="1"/>
        <rFont val="맑은 고딕"/>
        <family val="3"/>
        <charset val="129"/>
      </rPr>
      <t>년</t>
    </r>
    <r>
      <rPr>
        <sz val="10"/>
        <color theme="1"/>
        <rFont val="Arial"/>
        <family val="2"/>
      </rPr>
      <t xml:space="preserve"> 05</t>
    </r>
    <r>
      <rPr>
        <sz val="10"/>
        <color theme="1"/>
        <rFont val="맑은 고딕"/>
        <family val="3"/>
        <charset val="129"/>
      </rPr>
      <t>월</t>
    </r>
  </si>
  <si>
    <r>
      <t>'30</t>
    </r>
    <r>
      <rPr>
        <sz val="10"/>
        <color theme="1"/>
        <rFont val="맑은 고딕"/>
        <family val="3"/>
        <charset val="129"/>
      </rPr>
      <t>년</t>
    </r>
    <r>
      <rPr>
        <sz val="10"/>
        <color theme="1"/>
        <rFont val="Arial"/>
        <family val="2"/>
      </rPr>
      <t xml:space="preserve"> 06</t>
    </r>
    <r>
      <rPr>
        <sz val="10"/>
        <color theme="1"/>
        <rFont val="맑은 고딕"/>
        <family val="3"/>
        <charset val="129"/>
      </rPr>
      <t>월</t>
    </r>
  </si>
  <si>
    <r>
      <t>'30</t>
    </r>
    <r>
      <rPr>
        <sz val="10"/>
        <color theme="1"/>
        <rFont val="맑은 고딕"/>
        <family val="3"/>
        <charset val="129"/>
      </rPr>
      <t>년</t>
    </r>
    <r>
      <rPr>
        <sz val="10"/>
        <color theme="1"/>
        <rFont val="Arial"/>
        <family val="2"/>
      </rPr>
      <t xml:space="preserve"> 07</t>
    </r>
    <r>
      <rPr>
        <sz val="10"/>
        <color theme="1"/>
        <rFont val="맑은 고딕"/>
        <family val="3"/>
        <charset val="129"/>
      </rPr>
      <t>월</t>
    </r>
  </si>
  <si>
    <r>
      <t>'30</t>
    </r>
    <r>
      <rPr>
        <sz val="10"/>
        <color theme="1"/>
        <rFont val="맑은 고딕"/>
        <family val="3"/>
        <charset val="129"/>
      </rPr>
      <t>년</t>
    </r>
    <r>
      <rPr>
        <sz val="10"/>
        <color theme="1"/>
        <rFont val="Arial"/>
        <family val="2"/>
      </rPr>
      <t xml:space="preserve"> 08</t>
    </r>
    <r>
      <rPr>
        <sz val="10"/>
        <color theme="1"/>
        <rFont val="맑은 고딕"/>
        <family val="3"/>
        <charset val="129"/>
      </rPr>
      <t>월</t>
    </r>
  </si>
  <si>
    <r>
      <t>'30</t>
    </r>
    <r>
      <rPr>
        <sz val="10"/>
        <color theme="1"/>
        <rFont val="맑은 고딕"/>
        <family val="3"/>
        <charset val="129"/>
      </rPr>
      <t>년</t>
    </r>
    <r>
      <rPr>
        <sz val="10"/>
        <color theme="1"/>
        <rFont val="Arial"/>
        <family val="2"/>
      </rPr>
      <t xml:space="preserve"> 09</t>
    </r>
    <r>
      <rPr>
        <sz val="10"/>
        <color theme="1"/>
        <rFont val="맑은 고딕"/>
        <family val="3"/>
        <charset val="129"/>
      </rPr>
      <t>월</t>
    </r>
  </si>
  <si>
    <r>
      <t>'30</t>
    </r>
    <r>
      <rPr>
        <sz val="10"/>
        <color theme="1"/>
        <rFont val="맑은 고딕"/>
        <family val="3"/>
        <charset val="129"/>
      </rPr>
      <t>년</t>
    </r>
    <r>
      <rPr>
        <sz val="10"/>
        <color theme="1"/>
        <rFont val="Arial"/>
        <family val="2"/>
      </rPr>
      <t xml:space="preserve"> 10</t>
    </r>
    <r>
      <rPr>
        <sz val="10"/>
        <color theme="1"/>
        <rFont val="맑은 고딕"/>
        <family val="3"/>
        <charset val="129"/>
      </rPr>
      <t>월</t>
    </r>
  </si>
  <si>
    <r>
      <t>'30</t>
    </r>
    <r>
      <rPr>
        <sz val="10"/>
        <color theme="1"/>
        <rFont val="맑은 고딕"/>
        <family val="3"/>
        <charset val="129"/>
      </rPr>
      <t>년</t>
    </r>
    <r>
      <rPr>
        <sz val="10"/>
        <color theme="1"/>
        <rFont val="Arial"/>
        <family val="2"/>
      </rPr>
      <t xml:space="preserve"> 11</t>
    </r>
    <r>
      <rPr>
        <sz val="10"/>
        <color theme="1"/>
        <rFont val="맑은 고딕"/>
        <family val="3"/>
        <charset val="129"/>
      </rPr>
      <t>월</t>
    </r>
  </si>
  <si>
    <r>
      <t>'30</t>
    </r>
    <r>
      <rPr>
        <sz val="10"/>
        <color theme="1"/>
        <rFont val="맑은 고딕"/>
        <family val="3"/>
        <charset val="129"/>
      </rPr>
      <t>년</t>
    </r>
    <r>
      <rPr>
        <sz val="10"/>
        <color theme="1"/>
        <rFont val="Arial"/>
        <family val="2"/>
      </rPr>
      <t xml:space="preserve"> 12</t>
    </r>
    <r>
      <rPr>
        <sz val="10"/>
        <color theme="1"/>
        <rFont val="맑은 고딕"/>
        <family val="3"/>
        <charset val="129"/>
      </rPr>
      <t>월</t>
    </r>
  </si>
  <si>
    <r>
      <t>2030</t>
    </r>
    <r>
      <rPr>
        <sz val="10"/>
        <color theme="1"/>
        <rFont val="맑은 고딕"/>
        <family val="3"/>
        <charset val="129"/>
      </rPr>
      <t>년</t>
    </r>
  </si>
  <si>
    <r>
      <rPr>
        <b/>
        <sz val="10"/>
        <color theme="1"/>
        <rFont val="맑은 고딕"/>
        <family val="3"/>
        <charset val="129"/>
      </rPr>
      <t>수입총계</t>
    </r>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</si>
  <si>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성과급</t>
    </r>
    <r>
      <rPr>
        <sz val="10"/>
        <color theme="1"/>
        <rFont val="Arial"/>
        <family val="2"/>
      </rPr>
      <t>/</t>
    </r>
    <r>
      <rPr>
        <sz val="10"/>
        <color theme="1"/>
        <rFont val="맑은 고딕"/>
        <family val="3"/>
        <charset val="129"/>
      </rPr>
      <t>격려금제외</t>
    </r>
    <r>
      <rPr>
        <sz val="10"/>
        <color theme="1"/>
        <rFont val="Arial"/>
        <family val="2"/>
      </rPr>
      <t>)</t>
    </r>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</si>
  <si>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해외출장비</t>
    </r>
    <r>
      <rPr>
        <sz val="10"/>
        <color theme="1"/>
        <rFont val="Arial"/>
        <family val="2"/>
      </rPr>
      <t>)</t>
    </r>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</si>
  <si>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국내출장비</t>
    </r>
    <r>
      <rPr>
        <sz val="10"/>
        <color theme="1"/>
        <rFont val="Arial"/>
        <family val="2"/>
      </rPr>
      <t>)</t>
    </r>
    <phoneticPr fontId="5" type="noConversion"/>
  </si>
  <si>
    <r>
      <rPr>
        <sz val="10"/>
        <color theme="1"/>
        <rFont val="맑은 고딕"/>
        <family val="3"/>
        <charset val="129"/>
      </rPr>
      <t>조의금</t>
    </r>
    <phoneticPr fontId="5" type="noConversion"/>
  </si>
  <si>
    <r>
      <rPr>
        <sz val="10"/>
        <color theme="1"/>
        <rFont val="맑은 고딕"/>
        <family val="3"/>
        <charset val="129"/>
      </rPr>
      <t>여행</t>
    </r>
    <phoneticPr fontId="5" type="noConversion"/>
  </si>
  <si>
    <r>
      <rPr>
        <sz val="10"/>
        <color theme="1"/>
        <rFont val="맑은 고딕"/>
        <family val="3"/>
        <charset val="129"/>
      </rPr>
      <t>보험지급금</t>
    </r>
    <phoneticPr fontId="5" type="noConversion"/>
  </si>
  <si>
    <r>
      <rPr>
        <sz val="10"/>
        <color theme="1"/>
        <rFont val="맑은 고딕"/>
        <family val="3"/>
        <charset val="129"/>
      </rPr>
      <t>보험해지환급금</t>
    </r>
    <phoneticPr fontId="5" type="noConversion"/>
  </si>
  <si>
    <r>
      <rPr>
        <sz val="10"/>
        <color theme="1"/>
        <rFont val="맑은 고딕"/>
        <family val="3"/>
        <charset val="129"/>
      </rPr>
      <t>시내대중교통</t>
    </r>
    <r>
      <rPr>
        <sz val="10"/>
        <color theme="1"/>
        <rFont val="Arial"/>
        <family val="2"/>
      </rPr>
      <t>(</t>
    </r>
    <r>
      <rPr>
        <sz val="10"/>
        <color theme="1"/>
        <rFont val="맑은 고딕"/>
        <family val="3"/>
        <charset val="129"/>
      </rPr>
      <t>신용</t>
    </r>
    <r>
      <rPr>
        <sz val="10"/>
        <color theme="1"/>
        <rFont val="Arial"/>
        <family val="2"/>
      </rPr>
      <t>)</t>
    </r>
    <phoneticPr fontId="5" type="noConversion"/>
  </si>
  <si>
    <r>
      <rPr>
        <sz val="10"/>
        <color theme="1"/>
        <rFont val="맑은 고딕"/>
        <family val="3"/>
        <charset val="129"/>
      </rPr>
      <t>감사헌금</t>
    </r>
    <phoneticPr fontId="5" type="noConversion"/>
  </si>
  <si>
    <r>
      <rPr>
        <b/>
        <sz val="10"/>
        <color theme="1"/>
        <rFont val="맑은 고딕"/>
        <family val="3"/>
        <charset val="129"/>
      </rPr>
      <t>관리비</t>
    </r>
    <r>
      <rPr>
        <b/>
        <sz val="10"/>
        <color theme="1"/>
        <rFont val="Arial"/>
        <family val="2"/>
      </rPr>
      <t>/</t>
    </r>
    <r>
      <rPr>
        <b/>
        <sz val="10"/>
        <color theme="1"/>
        <rFont val="맑은 고딕"/>
        <family val="3"/>
        <charset val="129"/>
      </rPr>
      <t>가스비</t>
    </r>
    <r>
      <rPr>
        <b/>
        <sz val="10"/>
        <color theme="1"/>
        <rFont val="Arial"/>
        <family val="2"/>
      </rPr>
      <t>/</t>
    </r>
    <r>
      <rPr>
        <b/>
        <sz val="10"/>
        <color theme="1"/>
        <rFont val="맑은 고딕"/>
        <family val="3"/>
        <charset val="129"/>
      </rPr>
      <t>통신비</t>
    </r>
    <r>
      <rPr>
        <b/>
        <sz val="10"/>
        <color theme="1"/>
        <rFont val="Arial"/>
        <family val="2"/>
      </rPr>
      <t>/</t>
    </r>
    <r>
      <rPr>
        <b/>
        <sz val="10"/>
        <color theme="1"/>
        <rFont val="맑은 고딕"/>
        <family val="3"/>
        <charset val="129"/>
      </rPr>
      <t>정수기</t>
    </r>
    <phoneticPr fontId="5" type="noConversion"/>
  </si>
  <si>
    <r>
      <t xml:space="preserve">SKT </t>
    </r>
    <r>
      <rPr>
        <sz val="10"/>
        <color theme="1"/>
        <rFont val="맑은 고딕"/>
        <family val="3"/>
        <charset val="129"/>
      </rPr>
      <t>강태준</t>
    </r>
    <phoneticPr fontId="5" type="noConversion"/>
  </si>
  <si>
    <r>
      <t xml:space="preserve">SKT </t>
    </r>
    <r>
      <rPr>
        <sz val="10"/>
        <color theme="1"/>
        <rFont val="맑은 고딕"/>
        <family val="3"/>
        <charset val="129"/>
      </rPr>
      <t>양지현</t>
    </r>
    <phoneticPr fontId="5" type="noConversion"/>
  </si>
  <si>
    <r>
      <rPr>
        <sz val="10"/>
        <color theme="1"/>
        <rFont val="맑은 고딕"/>
        <family val="3"/>
        <charset val="129"/>
      </rPr>
      <t>정수기</t>
    </r>
    <phoneticPr fontId="5" type="noConversion"/>
  </si>
  <si>
    <r>
      <rPr>
        <b/>
        <sz val="10"/>
        <color theme="1"/>
        <rFont val="맑은 고딕"/>
        <family val="3"/>
        <charset val="129"/>
      </rPr>
      <t>신용카드</t>
    </r>
    <phoneticPr fontId="5" type="noConversion"/>
  </si>
  <si>
    <r>
      <rPr>
        <sz val="10"/>
        <color theme="1"/>
        <rFont val="맑은 고딕"/>
        <family val="3"/>
        <charset val="129"/>
      </rPr>
      <t>부동산취등록세</t>
    </r>
    <phoneticPr fontId="5" type="noConversion"/>
  </si>
  <si>
    <r>
      <rPr>
        <sz val="10"/>
        <color theme="1"/>
        <rFont val="맑은 고딕"/>
        <family val="3"/>
        <charset val="129"/>
      </rPr>
      <t>이마트</t>
    </r>
    <r>
      <rPr>
        <sz val="10"/>
        <color theme="1"/>
        <rFont val="Arial"/>
        <family val="2"/>
      </rPr>
      <t>(</t>
    </r>
    <r>
      <rPr>
        <sz val="10"/>
        <color theme="1"/>
        <rFont val="맑은 고딕"/>
        <family val="3"/>
        <charset val="129"/>
      </rPr>
      <t>트레이더스</t>
    </r>
    <r>
      <rPr>
        <sz val="10"/>
        <color theme="1"/>
        <rFont val="Arial"/>
        <family val="2"/>
      </rPr>
      <t>)</t>
    </r>
    <phoneticPr fontId="5" type="noConversion"/>
  </si>
  <si>
    <r>
      <rPr>
        <sz val="10"/>
        <color theme="1"/>
        <rFont val="맑은 고딕"/>
        <family val="3"/>
        <charset val="129"/>
      </rPr>
      <t>롯데마트</t>
    </r>
    <r>
      <rPr>
        <sz val="10"/>
        <color theme="1"/>
        <rFont val="Arial"/>
        <family val="2"/>
      </rPr>
      <t>(VIC</t>
    </r>
    <r>
      <rPr>
        <sz val="10"/>
        <color theme="1"/>
        <rFont val="맑은 고딕"/>
        <family val="3"/>
        <charset val="129"/>
      </rPr>
      <t>마켓</t>
    </r>
    <r>
      <rPr>
        <sz val="10"/>
        <color theme="1"/>
        <rFont val="Arial"/>
        <family val="2"/>
      </rPr>
      <t>)</t>
    </r>
    <phoneticPr fontId="5" type="noConversion"/>
  </si>
  <si>
    <r>
      <rPr>
        <sz val="10"/>
        <color theme="1"/>
        <rFont val="맑은 고딕"/>
        <family val="3"/>
        <charset val="129"/>
      </rPr>
      <t>기타</t>
    </r>
    <r>
      <rPr>
        <sz val="10"/>
        <color theme="1"/>
        <rFont val="Arial"/>
        <family val="2"/>
      </rPr>
      <t>(</t>
    </r>
    <r>
      <rPr>
        <sz val="10"/>
        <color theme="1"/>
        <rFont val="맑은 고딕"/>
        <family val="3"/>
        <charset val="129"/>
      </rPr>
      <t>시장</t>
    </r>
    <r>
      <rPr>
        <sz val="10"/>
        <color theme="1"/>
        <rFont val="Arial"/>
        <family val="2"/>
      </rPr>
      <t>)</t>
    </r>
    <phoneticPr fontId="5" type="noConversion"/>
  </si>
  <si>
    <r>
      <rPr>
        <sz val="10"/>
        <color theme="1"/>
        <rFont val="맑은 고딕"/>
        <family val="3"/>
        <charset val="129"/>
      </rPr>
      <t>요기요</t>
    </r>
    <phoneticPr fontId="5" type="noConversion"/>
  </si>
  <si>
    <r>
      <t>LG</t>
    </r>
    <r>
      <rPr>
        <sz val="10"/>
        <color theme="1"/>
        <rFont val="맑은 고딕"/>
        <family val="3"/>
        <charset val="129"/>
      </rPr>
      <t>서비스센터</t>
    </r>
    <phoneticPr fontId="5" type="noConversion"/>
  </si>
  <si>
    <r>
      <rPr>
        <sz val="10"/>
        <color theme="1"/>
        <rFont val="맑은 고딕"/>
        <family val="3"/>
        <charset val="129"/>
      </rPr>
      <t>휴대폰</t>
    </r>
    <phoneticPr fontId="5" type="noConversion"/>
  </si>
  <si>
    <r>
      <rPr>
        <sz val="10"/>
        <color theme="1"/>
        <rFont val="맑은 고딕"/>
        <family val="3"/>
        <charset val="129"/>
      </rPr>
      <t>쿠팡</t>
    </r>
    <r>
      <rPr>
        <sz val="10"/>
        <color theme="1"/>
        <rFont val="Arial"/>
        <family val="2"/>
      </rPr>
      <t>/</t>
    </r>
    <r>
      <rPr>
        <sz val="10"/>
        <color theme="1"/>
        <rFont val="맑은 고딕"/>
        <family val="3"/>
        <charset val="129"/>
      </rPr>
      <t>네이버</t>
    </r>
    <r>
      <rPr>
        <sz val="10"/>
        <color theme="1"/>
        <rFont val="Arial"/>
        <family val="2"/>
      </rPr>
      <t>/</t>
    </r>
    <r>
      <rPr>
        <sz val="10"/>
        <color theme="1"/>
        <rFont val="맑은 고딕"/>
        <family val="3"/>
        <charset val="129"/>
      </rPr>
      <t>화해</t>
    </r>
    <r>
      <rPr>
        <sz val="10"/>
        <color theme="1"/>
        <rFont val="Arial"/>
        <family val="2"/>
      </rPr>
      <t>/</t>
    </r>
    <r>
      <rPr>
        <sz val="10"/>
        <color theme="1"/>
        <rFont val="맑은 고딕"/>
        <family val="3"/>
        <charset val="129"/>
      </rPr>
      <t>기타</t>
    </r>
    <r>
      <rPr>
        <sz val="10"/>
        <color theme="1"/>
        <rFont val="Arial"/>
        <family val="2"/>
      </rPr>
      <t>(</t>
    </r>
    <r>
      <rPr>
        <sz val="10"/>
        <color theme="1"/>
        <rFont val="맑은 고딕"/>
        <family val="3"/>
        <charset val="129"/>
      </rPr>
      <t>생활용품</t>
    </r>
    <r>
      <rPr>
        <sz val="10"/>
        <color theme="1"/>
        <rFont val="Arial"/>
        <family val="2"/>
      </rPr>
      <t>/</t>
    </r>
    <r>
      <rPr>
        <sz val="10"/>
        <color theme="1"/>
        <rFont val="맑은 고딕"/>
        <family val="3"/>
        <charset val="129"/>
      </rPr>
      <t>지완</t>
    </r>
    <r>
      <rPr>
        <sz val="10"/>
        <color theme="1"/>
        <rFont val="Arial"/>
        <family val="2"/>
      </rPr>
      <t>)</t>
    </r>
    <phoneticPr fontId="5" type="noConversion"/>
  </si>
  <si>
    <r>
      <rPr>
        <b/>
        <sz val="10"/>
        <color theme="1"/>
        <rFont val="맑은 고딕"/>
        <family val="3"/>
        <charset val="129"/>
      </rPr>
      <t>문화생활</t>
    </r>
    <phoneticPr fontId="5" type="noConversion"/>
  </si>
  <si>
    <r>
      <rPr>
        <sz val="10"/>
        <color theme="1"/>
        <rFont val="맑은 고딕"/>
        <family val="3"/>
        <charset val="129"/>
      </rPr>
      <t>남해상상양떼목장편백숲</t>
    </r>
    <phoneticPr fontId="5" type="noConversion"/>
  </si>
  <si>
    <r>
      <rPr>
        <sz val="10"/>
        <color theme="1"/>
        <rFont val="맑은 고딕"/>
        <family val="3"/>
        <charset val="129"/>
      </rPr>
      <t>골프</t>
    </r>
    <phoneticPr fontId="5" type="noConversion"/>
  </si>
  <si>
    <r>
      <rPr>
        <sz val="10"/>
        <color theme="1"/>
        <rFont val="맑은 고딕"/>
        <family val="3"/>
        <charset val="129"/>
      </rPr>
      <t>버스</t>
    </r>
    <phoneticPr fontId="5" type="noConversion"/>
  </si>
  <si>
    <r>
      <rPr>
        <sz val="10"/>
        <color theme="1"/>
        <rFont val="맑은 고딕"/>
        <family val="3"/>
        <charset val="129"/>
      </rPr>
      <t>택시</t>
    </r>
    <phoneticPr fontId="5" type="noConversion"/>
  </si>
  <si>
    <r>
      <rPr>
        <sz val="10"/>
        <color theme="1"/>
        <rFont val="맑은 고딕"/>
        <family val="3"/>
        <charset val="129"/>
      </rPr>
      <t>소마사고력수학학원</t>
    </r>
    <phoneticPr fontId="5" type="noConversion"/>
  </si>
  <si>
    <r>
      <rPr>
        <sz val="10"/>
        <color theme="1"/>
        <rFont val="맑은 고딕"/>
        <family val="3"/>
        <charset val="129"/>
      </rPr>
      <t>동그라미패스트랙키즈</t>
    </r>
    <phoneticPr fontId="5" type="noConversion"/>
  </si>
  <si>
    <r>
      <rPr>
        <sz val="10"/>
        <color theme="1"/>
        <rFont val="맑은 고딕"/>
        <family val="3"/>
        <charset val="129"/>
      </rPr>
      <t>차범근축구교실</t>
    </r>
    <phoneticPr fontId="5" type="noConversion"/>
  </si>
  <si>
    <r>
      <rPr>
        <sz val="10"/>
        <color theme="1"/>
        <rFont val="맑은 고딕"/>
        <family val="3"/>
        <charset val="129"/>
      </rPr>
      <t>교보문고</t>
    </r>
    <r>
      <rPr>
        <sz val="10"/>
        <color theme="1"/>
        <rFont val="Arial"/>
        <family val="2"/>
      </rPr>
      <t>/</t>
    </r>
    <r>
      <rPr>
        <sz val="10"/>
        <color theme="1"/>
        <rFont val="맑은 고딕"/>
        <family val="3"/>
        <charset val="129"/>
      </rPr>
      <t>알파문구</t>
    </r>
    <phoneticPr fontId="5" type="noConversion"/>
  </si>
  <si>
    <r>
      <rPr>
        <sz val="10"/>
        <color theme="1"/>
        <rFont val="맑은 고딕"/>
        <family val="3"/>
        <charset val="129"/>
      </rPr>
      <t>짐맥클린골프아카데미</t>
    </r>
    <phoneticPr fontId="5" type="noConversion"/>
  </si>
  <si>
    <r>
      <t xml:space="preserve">SPA </t>
    </r>
    <r>
      <rPr>
        <sz val="10"/>
        <color theme="1"/>
        <rFont val="맑은 고딕"/>
        <family val="3"/>
        <charset val="129"/>
      </rPr>
      <t>응시료</t>
    </r>
    <phoneticPr fontId="5" type="noConversion"/>
  </si>
  <si>
    <r>
      <rPr>
        <b/>
        <sz val="10"/>
        <color theme="1"/>
        <rFont val="맑은 고딕"/>
        <family val="3"/>
        <charset val="129"/>
      </rPr>
      <t>출장</t>
    </r>
    <phoneticPr fontId="5" type="noConversion"/>
  </si>
  <si>
    <r>
      <rPr>
        <sz val="10"/>
        <color theme="1"/>
        <rFont val="맑은 고딕"/>
        <family val="3"/>
        <charset val="129"/>
      </rPr>
      <t>해외출장경비</t>
    </r>
    <r>
      <rPr>
        <sz val="10"/>
        <color theme="1"/>
        <rFont val="Arial"/>
        <family val="2"/>
      </rPr>
      <t>(</t>
    </r>
    <r>
      <rPr>
        <sz val="10"/>
        <color theme="1"/>
        <rFont val="맑은 고딕"/>
        <family val="3"/>
        <charset val="129"/>
      </rPr>
      <t>실비제외</t>
    </r>
    <r>
      <rPr>
        <sz val="10"/>
        <color theme="1"/>
        <rFont val="Arial"/>
        <family val="2"/>
      </rPr>
      <t>)</t>
    </r>
    <phoneticPr fontId="5" type="noConversion"/>
  </si>
  <si>
    <r>
      <rPr>
        <sz val="10"/>
        <color theme="1"/>
        <rFont val="맑은 고딕"/>
        <family val="3"/>
        <charset val="129"/>
      </rPr>
      <t>국내출장경비</t>
    </r>
    <r>
      <rPr>
        <sz val="10"/>
        <color theme="1"/>
        <rFont val="Arial"/>
        <family val="2"/>
      </rPr>
      <t>(</t>
    </r>
    <r>
      <rPr>
        <sz val="10"/>
        <color theme="1"/>
        <rFont val="맑은 고딕"/>
        <family val="3"/>
        <charset val="129"/>
      </rPr>
      <t>실비제외</t>
    </r>
    <r>
      <rPr>
        <sz val="10"/>
        <color theme="1"/>
        <rFont val="Arial"/>
        <family val="2"/>
      </rPr>
      <t>)</t>
    </r>
    <phoneticPr fontId="5" type="noConversion"/>
  </si>
  <si>
    <r>
      <rPr>
        <sz val="10"/>
        <color theme="1"/>
        <rFont val="맑은 고딕"/>
        <family val="3"/>
        <charset val="129"/>
      </rPr>
      <t>사진관</t>
    </r>
    <phoneticPr fontId="5" type="noConversion"/>
  </si>
  <si>
    <r>
      <rPr>
        <sz val="10"/>
        <color theme="1"/>
        <rFont val="맑은 고딕"/>
        <family val="3"/>
        <charset val="129"/>
      </rPr>
      <t>모임회비</t>
    </r>
    <r>
      <rPr>
        <sz val="10"/>
        <color theme="1"/>
        <rFont val="Arial"/>
        <family val="2"/>
      </rPr>
      <t>(</t>
    </r>
    <r>
      <rPr>
        <sz val="10"/>
        <color theme="1"/>
        <rFont val="맑은 고딕"/>
        <family val="3"/>
        <charset val="129"/>
      </rPr>
      <t>룸비니</t>
    </r>
    <r>
      <rPr>
        <sz val="10"/>
        <color theme="1"/>
        <rFont val="Arial"/>
        <family val="2"/>
      </rPr>
      <t>)</t>
    </r>
    <phoneticPr fontId="5" type="noConversion"/>
  </si>
  <si>
    <r>
      <rPr>
        <b/>
        <sz val="10"/>
        <color theme="1"/>
        <rFont val="맑은 고딕"/>
        <family val="3"/>
        <charset val="129"/>
      </rPr>
      <t>저축총계</t>
    </r>
    <phoneticPr fontId="5" type="noConversion"/>
  </si>
  <si>
    <t>헤르지아</t>
    <phoneticPr fontId="5" type="noConversion"/>
  </si>
  <si>
    <t>남산산채집(주차)</t>
    <phoneticPr fontId="5" type="noConversion"/>
  </si>
  <si>
    <t>국립극장(주차)</t>
    <phoneticPr fontId="5" type="noConversion"/>
  </si>
  <si>
    <t>서울성모병원</t>
    <phoneticPr fontId="5" type="noConversion"/>
  </si>
  <si>
    <t>최우석 (107)
장진욱 (92)
나광조 (103)</t>
    <phoneticPr fontId="5" type="noConversion"/>
  </si>
  <si>
    <t>베트남뚝배기쌀국수</t>
    <phoneticPr fontId="5" type="noConversion"/>
  </si>
  <si>
    <t>론썸헤이드(강지완)</t>
    <phoneticPr fontId="5" type="noConversion"/>
  </si>
  <si>
    <t>고가네칼국수</t>
    <phoneticPr fontId="5" type="noConversion"/>
  </si>
  <si>
    <t>바운스트램폴린파크</t>
    <phoneticPr fontId="5" type="noConversion"/>
  </si>
  <si>
    <t>서초당약국</t>
    <phoneticPr fontId="5" type="noConversion"/>
  </si>
  <si>
    <t>하기스</t>
    <phoneticPr fontId="5" type="noConversion"/>
  </si>
  <si>
    <t>업비트</t>
    <phoneticPr fontId="5" type="noConversion"/>
  </si>
  <si>
    <t>소양탐정</t>
    <phoneticPr fontId="5" type="noConversion"/>
  </si>
  <si>
    <t>소양탐정(주차)</t>
    <phoneticPr fontId="5" type="noConversion"/>
  </si>
  <si>
    <t>미미담</t>
    <phoneticPr fontId="5" type="noConversion"/>
  </si>
  <si>
    <t>어울터</t>
    <phoneticPr fontId="5" type="noConversion"/>
  </si>
  <si>
    <t>당근마켓(구두)(강지완)</t>
    <phoneticPr fontId="5" type="noConversion"/>
  </si>
  <si>
    <t>이촌한강공원(주차)</t>
    <phoneticPr fontId="5" type="noConversion"/>
  </si>
  <si>
    <t>차범근축구교실(강지완)</t>
    <phoneticPr fontId="5" type="noConversion"/>
  </si>
  <si>
    <t>퐁퐁플라워</t>
    <phoneticPr fontId="5" type="noConversion"/>
  </si>
  <si>
    <t>카페브람스</t>
    <phoneticPr fontId="5" type="noConversion"/>
  </si>
  <si>
    <t>지파시</t>
    <phoneticPr fontId="5" type="noConversion"/>
  </si>
  <si>
    <t>롯데백화점(주차)</t>
    <phoneticPr fontId="5" type="noConversion"/>
  </si>
  <si>
    <t>워시존개러지</t>
    <phoneticPr fontId="5" type="noConversion"/>
  </si>
  <si>
    <t>당근마켓(골프공)</t>
    <phoneticPr fontId="5" type="noConversion"/>
  </si>
  <si>
    <t>서울페이</t>
    <phoneticPr fontId="5" type="noConversion"/>
  </si>
  <si>
    <t>곰돌이스타약국</t>
    <phoneticPr fontId="5" type="noConversion"/>
  </si>
  <si>
    <t>영양센타(주차)</t>
    <phoneticPr fontId="5" type="noConversion"/>
  </si>
  <si>
    <t>영양센타</t>
    <phoneticPr fontId="5" type="noConversion"/>
  </si>
  <si>
    <t>구내식당 14,000 + 유즈라멘 40,000 + 사우스스프링스 129,000</t>
    <phoneticPr fontId="5" type="noConversion"/>
  </si>
  <si>
    <t>구내식당 28,000 + 유즈라멘 40,000 (10월 선지급) + 사우스스프링스 129,000 (10월 선지급)</t>
    <phoneticPr fontId="5" type="noConversion"/>
  </si>
  <si>
    <t>이상호 생일</t>
    <phoneticPr fontId="5" type="noConversion"/>
  </si>
  <si>
    <t>안철호 (105)
김정훈 (101)
강은비 (104)</t>
    <phoneticPr fontId="5" type="noConversion"/>
  </si>
  <si>
    <t>라이나생명 해지환급금</t>
    <phoneticPr fontId="5" type="noConversion"/>
  </si>
  <si>
    <t>순대나라</t>
    <phoneticPr fontId="5" type="noConversion"/>
  </si>
  <si>
    <t>쿠팡(푸룬주스)</t>
    <phoneticPr fontId="5" type="noConversion"/>
  </si>
  <si>
    <t>CENACOLO VINCIANO</t>
    <phoneticPr fontId="5" type="noConversion"/>
  </si>
  <si>
    <t>해외출장비(트래블월렛)</t>
    <phoneticPr fontId="5" type="noConversion"/>
  </si>
  <si>
    <t>붕어빵</t>
    <phoneticPr fontId="5" type="noConversion"/>
  </si>
  <si>
    <t>출장(여행)</t>
    <phoneticPr fontId="5" type="noConversion"/>
  </si>
  <si>
    <t>쿠팡(삭피엔스)</t>
    <phoneticPr fontId="5" type="noConversion"/>
  </si>
  <si>
    <t>벨라쿠키</t>
    <phoneticPr fontId="5" type="noConversion"/>
  </si>
  <si>
    <t>뷰티풀캐리커쳐</t>
    <phoneticPr fontId="5" type="noConversion"/>
  </si>
  <si>
    <t>익선민영주차장</t>
    <phoneticPr fontId="5" type="noConversion"/>
  </si>
  <si>
    <t>에프터워크33</t>
    <phoneticPr fontId="5" type="noConversion"/>
  </si>
  <si>
    <t>CGV용산</t>
    <phoneticPr fontId="5" type="noConversion"/>
  </si>
  <si>
    <t>올리브영(토리든)</t>
    <phoneticPr fontId="5" type="noConversion"/>
  </si>
  <si>
    <t>면세점</t>
    <phoneticPr fontId="5" type="noConversion"/>
  </si>
  <si>
    <t>QEEQ(렌터카)</t>
    <phoneticPr fontId="5" type="noConversion"/>
  </si>
  <si>
    <t>ASPIT(통행료)</t>
    <phoneticPr fontId="5" type="noConversion"/>
  </si>
  <si>
    <t>IPER</t>
    <phoneticPr fontId="5" type="noConversion"/>
  </si>
  <si>
    <t>출장(경비)</t>
    <phoneticPr fontId="5" type="noConversion"/>
  </si>
  <si>
    <t>출장(식비)</t>
    <phoneticPr fontId="5" type="noConversion"/>
  </si>
  <si>
    <t>고속도로통행료(인천공항)</t>
    <phoneticPr fontId="5" type="noConversion"/>
  </si>
  <si>
    <t>KTX(서울-창원)</t>
    <phoneticPr fontId="5" type="noConversion"/>
  </si>
  <si>
    <t>마노디셰프</t>
    <phoneticPr fontId="5" type="noConversion"/>
  </si>
  <si>
    <t>네이버페이(유요석 팀장 선물)</t>
    <phoneticPr fontId="5" type="noConversion"/>
  </si>
  <si>
    <t>EUROPCAR(렌터카)</t>
    <phoneticPr fontId="5" type="noConversion"/>
  </si>
  <si>
    <t>쿠팡(아버지 칠순)</t>
    <phoneticPr fontId="5" type="noConversion"/>
  </si>
  <si>
    <t>11번가(JS SLOANE)</t>
    <phoneticPr fontId="5" type="noConversion"/>
  </si>
  <si>
    <t>아이민스튜디오</t>
    <phoneticPr fontId="5" type="noConversion"/>
  </si>
  <si>
    <t>짠돈</t>
    <phoneticPr fontId="5" type="noConversion"/>
  </si>
  <si>
    <t>구내식당 50,500</t>
    <phoneticPr fontId="5" type="noConversion"/>
  </si>
  <si>
    <t>배달의민족/쿠팡이츠</t>
    <phoneticPr fontId="5" type="noConversion"/>
  </si>
  <si>
    <t>용주골생고기</t>
    <phoneticPr fontId="5" type="noConversion"/>
  </si>
  <si>
    <t>서울역(식사)</t>
    <phoneticPr fontId="5" type="noConversion"/>
  </si>
  <si>
    <t>횡단보도불법주정차 과태료</t>
    <phoneticPr fontId="5" type="noConversion"/>
  </si>
  <si>
    <t>KTX 자판기</t>
    <phoneticPr fontId="5" type="noConversion"/>
  </si>
  <si>
    <t>칠순</t>
    <phoneticPr fontId="5" type="noConversion"/>
  </si>
  <si>
    <t>꽃피움(아버지 칠순)</t>
    <phoneticPr fontId="5" type="noConversion"/>
  </si>
  <si>
    <t>반송시장</t>
    <phoneticPr fontId="5" type="noConversion"/>
  </si>
  <si>
    <t>나모바버샵</t>
    <phoneticPr fontId="5" type="noConversion"/>
  </si>
  <si>
    <t>참사랑소아과의원</t>
    <phoneticPr fontId="5" type="noConversion"/>
  </si>
  <si>
    <t>반송약국</t>
    <phoneticPr fontId="5" type="noConversion"/>
  </si>
  <si>
    <t>빅세일마트</t>
    <phoneticPr fontId="5" type="noConversion"/>
  </si>
  <si>
    <t>스토리웨이</t>
    <phoneticPr fontId="5" type="noConversion"/>
  </si>
  <si>
    <t>고향사랑기부금</t>
    <phoneticPr fontId="5" type="noConversion"/>
  </si>
  <si>
    <t>흑석동주민센터</t>
    <phoneticPr fontId="5" type="noConversion"/>
  </si>
  <si>
    <t>신한은행강화지점 주차장</t>
    <phoneticPr fontId="5" type="noConversion"/>
  </si>
  <si>
    <t>금문도</t>
    <phoneticPr fontId="5" type="noConversion"/>
  </si>
  <si>
    <t>옥토끼우주센터</t>
    <phoneticPr fontId="5" type="noConversion"/>
  </si>
  <si>
    <t>침스버거</t>
    <phoneticPr fontId="5" type="noConversion"/>
  </si>
  <si>
    <t>신세계백화점</t>
    <phoneticPr fontId="5" type="noConversion"/>
  </si>
  <si>
    <t>구스토리아</t>
    <phoneticPr fontId="5" type="noConversion"/>
  </si>
  <si>
    <t>KB손해보험-자동차(그랜저)</t>
    <phoneticPr fontId="5" type="noConversion"/>
  </si>
  <si>
    <t>귀뚜라미보일러</t>
    <phoneticPr fontId="5" type="noConversion"/>
  </si>
  <si>
    <t>해외출장비</t>
    <phoneticPr fontId="5" type="noConversion"/>
  </si>
  <si>
    <t>네이버페이(자동차용품)</t>
    <phoneticPr fontId="5" type="noConversion"/>
  </si>
  <si>
    <t>선릉이스타빌(주차)</t>
    <phoneticPr fontId="5" type="noConversion"/>
  </si>
  <si>
    <t>류경회관</t>
    <phoneticPr fontId="5" type="noConversion"/>
  </si>
  <si>
    <t>서울성모병원(강지완)</t>
    <phoneticPr fontId="5" type="noConversion"/>
  </si>
  <si>
    <t>WS타워(주차)</t>
    <phoneticPr fontId="5" type="noConversion"/>
  </si>
  <si>
    <t>당근마켓(다독다독과학)(강지완)</t>
    <phoneticPr fontId="5" type="noConversion"/>
  </si>
  <si>
    <t>위아플라워</t>
    <phoneticPr fontId="5" type="noConversion"/>
  </si>
  <si>
    <t>'25년 01월</t>
    <phoneticPr fontId="5" type="noConversion"/>
  </si>
  <si>
    <t>구내식당 25,000</t>
    <phoneticPr fontId="5" type="noConversion"/>
  </si>
  <si>
    <t>신용카드 (Mr. Life)</t>
    <phoneticPr fontId="5" type="noConversion"/>
  </si>
  <si>
    <t>도쿄미식당</t>
    <phoneticPr fontId="5" type="noConversion"/>
  </si>
  <si>
    <t>다시식당</t>
    <phoneticPr fontId="5" type="noConversion"/>
  </si>
  <si>
    <t>토방분식</t>
    <phoneticPr fontId="5" type="noConversion"/>
  </si>
  <si>
    <t>카페주남</t>
    <phoneticPr fontId="5" type="noConversion"/>
  </si>
  <si>
    <t>알로하오에</t>
    <phoneticPr fontId="5" type="noConversion"/>
  </si>
  <si>
    <t>KB손해보험-자동차(K5)</t>
    <phoneticPr fontId="5" type="noConversion"/>
  </si>
  <si>
    <t>명절용돈(강지성)</t>
    <phoneticPr fontId="5" type="noConversion"/>
  </si>
  <si>
    <t>124샘90</t>
    <phoneticPr fontId="5" type="noConversion"/>
  </si>
  <si>
    <t>적금이자</t>
    <phoneticPr fontId="5" type="noConversion"/>
  </si>
  <si>
    <t>던킨</t>
    <phoneticPr fontId="5" type="noConversion"/>
  </si>
  <si>
    <t>결혼식(이창교)</t>
    <phoneticPr fontId="5" type="noConversion"/>
  </si>
  <si>
    <t>네이버페이(팔라라이더)</t>
    <phoneticPr fontId="5" type="noConversion"/>
  </si>
  <si>
    <t>장독대</t>
    <phoneticPr fontId="5" type="noConversion"/>
  </si>
  <si>
    <t>달쭈꾸미</t>
    <phoneticPr fontId="5" type="noConversion"/>
  </si>
  <si>
    <t>국립인천해양박물관</t>
    <phoneticPr fontId="5" type="noConversion"/>
  </si>
  <si>
    <t>위트빌바버샵</t>
    <phoneticPr fontId="5" type="noConversion"/>
  </si>
  <si>
    <t>이공커피</t>
    <phoneticPr fontId="5" type="noConversion"/>
  </si>
  <si>
    <t>아웃백</t>
    <phoneticPr fontId="5" type="noConversion"/>
  </si>
  <si>
    <t>유니클로</t>
    <phoneticPr fontId="5" type="noConversion"/>
  </si>
  <si>
    <t>'25년 02월</t>
    <phoneticPr fontId="5" type="noConversion"/>
  </si>
  <si>
    <t>구내식당 53,800</t>
    <phoneticPr fontId="5" type="noConversion"/>
  </si>
  <si>
    <t>카페얼티밋</t>
    <phoneticPr fontId="5" type="noConversion"/>
  </si>
  <si>
    <t>신용카드연회비</t>
    <phoneticPr fontId="5" type="noConversion"/>
  </si>
  <si>
    <t>서울대공원주차장</t>
    <phoneticPr fontId="5" type="noConversion"/>
  </si>
  <si>
    <t>서울대공원</t>
    <phoneticPr fontId="5" type="noConversion"/>
  </si>
  <si>
    <t>노티드</t>
    <phoneticPr fontId="5" type="noConversion"/>
  </si>
  <si>
    <t>국립중앙박물관주차장</t>
    <phoneticPr fontId="5" type="noConversion"/>
  </si>
  <si>
    <t>톰스키친</t>
    <phoneticPr fontId="5" type="noConversion"/>
  </si>
  <si>
    <t>KTX(창원-서울)(부모님)</t>
    <phoneticPr fontId="5" type="noConversion"/>
  </si>
  <si>
    <t>이촌한강공원주차장</t>
    <phoneticPr fontId="5" type="noConversion"/>
  </si>
  <si>
    <t>플레이인더박스</t>
    <phoneticPr fontId="5" type="noConversion"/>
  </si>
  <si>
    <t>청화병원</t>
    <phoneticPr fontId="5" type="noConversion"/>
  </si>
  <si>
    <t>Dr. CS Care Step 1</t>
    <phoneticPr fontId="5" type="noConversion"/>
  </si>
  <si>
    <t>서울고속버스터미널주차장</t>
    <phoneticPr fontId="5" type="noConversion"/>
  </si>
  <si>
    <t>청화병원주차장</t>
    <phoneticPr fontId="5" type="noConversion"/>
  </si>
  <si>
    <t>오버트</t>
    <phoneticPr fontId="5" type="noConversion"/>
  </si>
  <si>
    <t>얌샘김밥</t>
    <phoneticPr fontId="5" type="noConversion"/>
  </si>
  <si>
    <t>길동우동</t>
    <phoneticPr fontId="5" type="noConversion"/>
  </si>
  <si>
    <t>숭실대학교주차장</t>
    <phoneticPr fontId="5" type="noConversion"/>
  </si>
  <si>
    <t>맑은샘약국</t>
    <phoneticPr fontId="5" type="noConversion"/>
  </si>
  <si>
    <t>프랭크버거</t>
    <phoneticPr fontId="5" type="noConversion"/>
  </si>
  <si>
    <t>영카츠</t>
    <phoneticPr fontId="5" type="noConversion"/>
  </si>
  <si>
    <t>서울페이(보전금-양지현)</t>
    <phoneticPr fontId="5" type="noConversion"/>
  </si>
  <si>
    <t>서울페이(충전금)</t>
    <phoneticPr fontId="5" type="noConversion"/>
  </si>
  <si>
    <t>면식당</t>
    <phoneticPr fontId="5" type="noConversion"/>
  </si>
  <si>
    <t>순천향대서울병원(강지우)</t>
    <phoneticPr fontId="5" type="noConversion"/>
  </si>
  <si>
    <t>쿠팡(생활용품)</t>
    <phoneticPr fontId="5" type="noConversion"/>
  </si>
  <si>
    <t>출산지원금(부모님)</t>
    <phoneticPr fontId="5" type="noConversion"/>
  </si>
  <si>
    <r>
      <rPr>
        <sz val="10"/>
        <color theme="1"/>
        <rFont val="맑은 고딕"/>
        <family val="3"/>
        <charset val="129"/>
      </rPr>
      <t>연말정산세액</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양지현</t>
    </r>
    <r>
      <rPr>
        <sz val="10"/>
        <color theme="1"/>
        <rFont val="Arial"/>
        <family val="2"/>
      </rPr>
      <t>)</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</si>
  <si>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적립금</t>
    </r>
    <r>
      <rPr>
        <sz val="10"/>
        <color theme="1"/>
        <rFont val="Arial"/>
        <family val="2"/>
      </rPr>
      <t>)</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</si>
  <si>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양지현</t>
    </r>
    <r>
      <rPr>
        <sz val="10"/>
        <color theme="1"/>
        <rFont val="Arial"/>
        <family val="2"/>
      </rPr>
      <t>)</t>
    </r>
    <phoneticPr fontId="5" type="noConversion"/>
  </si>
  <si>
    <r>
      <rPr>
        <sz val="10"/>
        <color theme="1"/>
        <rFont val="맑은 고딕"/>
        <family val="3"/>
        <charset val="129"/>
      </rPr>
      <t>업비트</t>
    </r>
    <r>
      <rPr>
        <sz val="10"/>
        <color theme="1"/>
        <rFont val="Arial"/>
        <family val="2"/>
      </rPr>
      <t xml:space="preserve"> </t>
    </r>
    <r>
      <rPr>
        <sz val="10"/>
        <color theme="1"/>
        <rFont val="맑은 고딕"/>
        <family val="3"/>
        <charset val="129"/>
      </rPr>
      <t>투자손익</t>
    </r>
    <phoneticPr fontId="5" type="noConversion"/>
  </si>
  <si>
    <r>
      <rPr>
        <sz val="10"/>
        <color theme="1"/>
        <rFont val="맑은 고딕"/>
        <family val="3"/>
        <charset val="129"/>
      </rPr>
      <t>출산지원금</t>
    </r>
    <r>
      <rPr>
        <sz val="10"/>
        <color theme="1"/>
        <rFont val="Arial"/>
        <family val="2"/>
      </rPr>
      <t>(</t>
    </r>
    <r>
      <rPr>
        <sz val="10"/>
        <color theme="1"/>
        <rFont val="맑은 고딕"/>
        <family val="3"/>
        <charset val="129"/>
      </rPr>
      <t>부모님</t>
    </r>
    <r>
      <rPr>
        <sz val="10"/>
        <color theme="1"/>
        <rFont val="Arial"/>
        <family val="2"/>
      </rPr>
      <t>)</t>
    </r>
    <phoneticPr fontId="5" type="noConversion"/>
  </si>
  <si>
    <r>
      <rPr>
        <sz val="10"/>
        <color theme="1"/>
        <rFont val="맑은 고딕"/>
        <family val="3"/>
        <charset val="129"/>
      </rPr>
      <t>귀뚜라미보일러</t>
    </r>
    <phoneticPr fontId="5" type="noConversion"/>
  </si>
  <si>
    <r>
      <rPr>
        <sz val="10"/>
        <color theme="1"/>
        <rFont val="맑은 고딕"/>
        <family val="3"/>
        <charset val="129"/>
      </rPr>
      <t>키즈카페</t>
    </r>
    <phoneticPr fontId="5" type="noConversion"/>
  </si>
  <si>
    <r>
      <rPr>
        <b/>
        <sz val="10"/>
        <color theme="1"/>
        <rFont val="맑은 고딕"/>
        <family val="3"/>
        <charset val="129"/>
      </rPr>
      <t>투자</t>
    </r>
    <phoneticPr fontId="5" type="noConversion"/>
  </si>
  <si>
    <r>
      <rPr>
        <b/>
        <sz val="10"/>
        <color theme="1"/>
        <rFont val="맑은 고딕"/>
        <family val="3"/>
        <charset val="129"/>
      </rPr>
      <t>투자총계</t>
    </r>
    <phoneticPr fontId="5" type="noConversion"/>
  </si>
  <si>
    <r>
      <rPr>
        <sz val="10"/>
        <color theme="1"/>
        <rFont val="맑은 고딕"/>
        <family val="3"/>
        <charset val="129"/>
      </rPr>
      <t>업비트</t>
    </r>
    <r>
      <rPr>
        <sz val="10"/>
        <color theme="1"/>
        <rFont val="Arial"/>
        <family val="2"/>
      </rPr>
      <t>(</t>
    </r>
    <r>
      <rPr>
        <sz val="10"/>
        <color theme="1"/>
        <rFont val="맑은 고딕"/>
        <family val="3"/>
        <charset val="129"/>
      </rPr>
      <t>충전금</t>
    </r>
    <r>
      <rPr>
        <sz val="10"/>
        <color theme="1"/>
        <rFont val="Arial"/>
        <family val="2"/>
      </rPr>
      <t>)</t>
    </r>
    <phoneticPr fontId="5" type="noConversion"/>
  </si>
  <si>
    <r>
      <rPr>
        <b/>
        <sz val="10"/>
        <color theme="1"/>
        <rFont val="맑은 고딕"/>
        <family val="3"/>
        <charset val="129"/>
      </rPr>
      <t>서울페이</t>
    </r>
    <phoneticPr fontId="5" type="noConversion"/>
  </si>
  <si>
    <r>
      <rPr>
        <b/>
        <sz val="10"/>
        <color theme="1"/>
        <rFont val="맑은 고딕"/>
        <family val="3"/>
        <charset val="129"/>
      </rPr>
      <t>이체총계</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</si>
  <si>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충전금</t>
    </r>
    <r>
      <rPr>
        <sz val="10"/>
        <color theme="1"/>
        <rFont val="Arial"/>
        <family val="2"/>
      </rPr>
      <t>)</t>
    </r>
    <phoneticPr fontId="5" type="noConversion"/>
  </si>
  <si>
    <t>연말정산환급(보전급-양지현)</t>
    <phoneticPr fontId="5" type="noConversion"/>
  </si>
  <si>
    <t>서울아산병원주차장</t>
    <phoneticPr fontId="5" type="noConversion"/>
  </si>
  <si>
    <t>장례식(노덕인)</t>
    <phoneticPr fontId="5" type="noConversion"/>
  </si>
  <si>
    <t>유에스바버샵</t>
    <phoneticPr fontId="5" type="noConversion"/>
  </si>
  <si>
    <t>차량유지비</t>
    <phoneticPr fontId="5" type="noConversion"/>
  </si>
  <si>
    <t>'25년 03월</t>
    <phoneticPr fontId="5" type="noConversion"/>
  </si>
  <si>
    <t>구내식당 82,800</t>
    <phoneticPr fontId="5" type="noConversion"/>
  </si>
  <si>
    <t>신용카드 (하이패스/1597)</t>
    <phoneticPr fontId="5" type="noConversion"/>
  </si>
  <si>
    <t>네이버페이(앱솔루트)</t>
    <phoneticPr fontId="5" type="noConversion"/>
  </si>
  <si>
    <t>곽선생왕만두</t>
    <phoneticPr fontId="5" type="noConversion"/>
  </si>
  <si>
    <t>메가박스</t>
    <phoneticPr fontId="5" type="noConversion"/>
  </si>
  <si>
    <t>출산지원금(부모님) - 양지현 이체</t>
    <phoneticPr fontId="5" type="noConversion"/>
  </si>
  <si>
    <t>네이버페이(요넥스)</t>
    <phoneticPr fontId="5" type="noConversion"/>
  </si>
  <si>
    <t>라미스콘</t>
    <phoneticPr fontId="5" type="noConversion"/>
  </si>
  <si>
    <t>쿠팡(식재료)</t>
    <phoneticPr fontId="5" type="noConversion"/>
  </si>
  <si>
    <t>어린이보호구역 과태료</t>
    <phoneticPr fontId="5" type="noConversion"/>
  </si>
  <si>
    <t>김포세탁/런드리고</t>
    <phoneticPr fontId="5" type="noConversion"/>
  </si>
  <si>
    <t>네이버페이(매직랜드블루밍라이트쇼)</t>
    <phoneticPr fontId="5" type="noConversion"/>
  </si>
  <si>
    <t>성수공영주차장</t>
    <phoneticPr fontId="5" type="noConversion"/>
  </si>
  <si>
    <t>네이버페이(데이오라)</t>
    <phoneticPr fontId="5" type="noConversion"/>
  </si>
  <si>
    <t>환전</t>
    <phoneticPr fontId="5" type="noConversion"/>
  </si>
  <si>
    <t>예적금이자 &amp; 환전차익</t>
    <phoneticPr fontId="5" type="noConversion"/>
  </si>
  <si>
    <t>밴브루</t>
    <phoneticPr fontId="5" type="noConversion"/>
  </si>
  <si>
    <t>KTX(서울-포항)</t>
    <phoneticPr fontId="5" type="noConversion"/>
  </si>
  <si>
    <t>바버앳상도</t>
    <phoneticPr fontId="5" type="noConversion"/>
  </si>
  <si>
    <t>룡산399</t>
    <phoneticPr fontId="5" type="noConversion"/>
  </si>
  <si>
    <t>'25년 04월</t>
    <phoneticPr fontId="5" type="noConversion"/>
  </si>
  <si>
    <t>고속도로통행료(1597)</t>
    <phoneticPr fontId="5" type="noConversion"/>
  </si>
  <si>
    <t>고속도로통행료(6149)</t>
    <phoneticPr fontId="5" type="noConversion"/>
  </si>
  <si>
    <t>한국인 직원 급여산정표 (현장)</t>
    <phoneticPr fontId="5" type="noConversion"/>
  </si>
  <si>
    <t>1. 월급여</t>
    <phoneticPr fontId="5" type="noConversion"/>
  </si>
  <si>
    <t>항목</t>
    <phoneticPr fontId="5" type="noConversion"/>
  </si>
  <si>
    <t>SBA</t>
    <phoneticPr fontId="5" type="noConversion"/>
  </si>
  <si>
    <t>SBB</t>
    <phoneticPr fontId="5" type="noConversion"/>
  </si>
  <si>
    <t>BJ</t>
    <phoneticPr fontId="5" type="noConversion"/>
  </si>
  <si>
    <t>BD</t>
    <phoneticPr fontId="5" type="noConversion"/>
  </si>
  <si>
    <t>CJ</t>
    <phoneticPr fontId="5" type="noConversion"/>
  </si>
  <si>
    <t>GJ</t>
    <phoneticPr fontId="5" type="noConversion"/>
  </si>
  <si>
    <t>DR</t>
    <phoneticPr fontId="5" type="noConversion"/>
  </si>
  <si>
    <t>SW</t>
    <phoneticPr fontId="5" type="noConversion"/>
  </si>
  <si>
    <t>기본급+시간외수당</t>
    <phoneticPr fontId="5" type="noConversion"/>
  </si>
  <si>
    <t>연도무관</t>
    <phoneticPr fontId="5" type="noConversion"/>
  </si>
  <si>
    <t>가족수당</t>
    <phoneticPr fontId="5" type="noConversion"/>
  </si>
  <si>
    <t>자격증수당</t>
    <phoneticPr fontId="5" type="noConversion"/>
  </si>
  <si>
    <t>교통/차량유지비</t>
    <phoneticPr fontId="5" type="noConversion"/>
  </si>
  <si>
    <t>중식대</t>
    <phoneticPr fontId="5" type="noConversion"/>
  </si>
  <si>
    <t>월지급 급여</t>
    <phoneticPr fontId="5" type="noConversion"/>
  </si>
  <si>
    <t>2. 성과급</t>
    <phoneticPr fontId="5" type="noConversion"/>
  </si>
  <si>
    <t>월기준 지급 성과급</t>
    <phoneticPr fontId="5" type="noConversion"/>
  </si>
  <si>
    <t>3. 해외수당</t>
    <phoneticPr fontId="5" type="noConversion"/>
  </si>
  <si>
    <t>현장등급</t>
    <phoneticPr fontId="5" type="noConversion"/>
  </si>
  <si>
    <t>JM</t>
  </si>
  <si>
    <t>SM</t>
  </si>
  <si>
    <t>SBA</t>
  </si>
  <si>
    <t>SBB</t>
  </si>
  <si>
    <t>BJ</t>
  </si>
  <si>
    <t>BD</t>
  </si>
  <si>
    <t>CJ</t>
  </si>
  <si>
    <t>GJ</t>
  </si>
  <si>
    <t>DR</t>
  </si>
  <si>
    <t>SW</t>
  </si>
  <si>
    <t>해외근무수당</t>
    <phoneticPr fontId="5" type="noConversion"/>
  </si>
  <si>
    <t>해외지원수당</t>
    <phoneticPr fontId="5" type="noConversion"/>
  </si>
  <si>
    <t>합계 (KRW)</t>
    <phoneticPr fontId="5" type="noConversion"/>
  </si>
  <si>
    <t>H1</t>
    <phoneticPr fontId="5" type="noConversion"/>
  </si>
  <si>
    <t>H2</t>
    <phoneticPr fontId="5" type="noConversion"/>
  </si>
  <si>
    <t>H3</t>
    <phoneticPr fontId="5" type="noConversion"/>
  </si>
  <si>
    <t>H4</t>
    <phoneticPr fontId="5" type="noConversion"/>
  </si>
  <si>
    <t>H5</t>
    <phoneticPr fontId="5" type="noConversion"/>
  </si>
  <si>
    <t>H6</t>
    <phoneticPr fontId="5" type="noConversion"/>
  </si>
  <si>
    <t>H7</t>
    <phoneticPr fontId="5" type="noConversion"/>
  </si>
  <si>
    <t>H8</t>
    <phoneticPr fontId="5" type="noConversion"/>
  </si>
  <si>
    <t>H9</t>
    <phoneticPr fontId="5" type="noConversion"/>
  </si>
  <si>
    <t>NOTE</t>
    <phoneticPr fontId="5" type="noConversion"/>
  </si>
  <si>
    <t>1. 환율</t>
    <phoneticPr fontId="5" type="noConversion"/>
  </si>
  <si>
    <t>KRW/USD</t>
    <phoneticPr fontId="5" type="noConversion"/>
  </si>
  <si>
    <t>2. 성과급 지급율</t>
    <phoneticPr fontId="5" type="noConversion"/>
  </si>
  <si>
    <t>3. 임금인상율</t>
    <phoneticPr fontId="5" type="noConversion"/>
  </si>
  <si>
    <t>이라크</t>
    <phoneticPr fontId="5" type="noConversion"/>
  </si>
  <si>
    <t>미국</t>
    <phoneticPr fontId="5" type="noConversion"/>
  </si>
  <si>
    <t>강태준 생일</t>
    <phoneticPr fontId="5" type="noConversion"/>
  </si>
  <si>
    <t>2022년</t>
  </si>
  <si>
    <t>2023년</t>
  </si>
  <si>
    <t>2024년</t>
  </si>
  <si>
    <t>2025년</t>
  </si>
  <si>
    <r>
      <rPr>
        <sz val="10"/>
        <color theme="1"/>
        <rFont val="맑은 고딕"/>
        <family val="3"/>
        <charset val="129"/>
      </rPr>
      <t>저축</t>
    </r>
    <r>
      <rPr>
        <sz val="10"/>
        <color theme="1"/>
        <rFont val="Arial"/>
        <family val="2"/>
      </rPr>
      <t>(</t>
    </r>
    <r>
      <rPr>
        <sz val="10"/>
        <color theme="1"/>
        <rFont val="맑은 고딕"/>
        <family val="3"/>
        <charset val="129"/>
      </rPr>
      <t>지현</t>
    </r>
    <r>
      <rPr>
        <sz val="10"/>
        <color theme="1"/>
        <rFont val="Arial"/>
        <family val="2"/>
      </rPr>
      <t>)</t>
    </r>
    <phoneticPr fontId="5" type="noConversion"/>
  </si>
  <si>
    <r>
      <rPr>
        <sz val="10"/>
        <color theme="1"/>
        <rFont val="맑은 고딕"/>
        <family val="3"/>
        <charset val="129"/>
      </rPr>
      <t>연말정산세액</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지현</t>
    </r>
    <r>
      <rPr>
        <sz val="10"/>
        <color theme="1"/>
        <rFont val="Arial"/>
        <family val="2"/>
      </rPr>
      <t>)</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</si>
  <si>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지현</t>
    </r>
    <r>
      <rPr>
        <sz val="10"/>
        <color theme="1"/>
        <rFont val="Arial"/>
        <family val="2"/>
      </rPr>
      <t>)</t>
    </r>
    <phoneticPr fontId="5" type="noConversion"/>
  </si>
  <si>
    <r>
      <rPr>
        <sz val="10"/>
        <color theme="1"/>
        <rFont val="맑은 고딕"/>
        <family val="3"/>
        <charset val="129"/>
      </rPr>
      <t>자동차취등록세</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지현</t>
    </r>
    <r>
      <rPr>
        <sz val="10"/>
        <color theme="1"/>
        <rFont val="Arial"/>
        <family val="2"/>
      </rPr>
      <t>)</t>
    </r>
    <phoneticPr fontId="5" type="noConversion"/>
  </si>
  <si>
    <t>청화웰니스</t>
    <phoneticPr fontId="5" type="noConversion"/>
  </si>
  <si>
    <t>결혼식(서우창)</t>
    <phoneticPr fontId="5" type="noConversion"/>
  </si>
  <si>
    <t>한섬팩토리아울렛</t>
    <phoneticPr fontId="5" type="noConversion"/>
  </si>
  <si>
    <t>마리오아울렛</t>
    <phoneticPr fontId="5" type="noConversion"/>
  </si>
  <si>
    <t>공조금 저축</t>
    <phoneticPr fontId="5" type="noConversion"/>
  </si>
  <si>
    <t>결혼식(김홍미)</t>
    <phoneticPr fontId="5" type="noConversion"/>
  </si>
  <si>
    <t>G4</t>
  </si>
  <si>
    <t>G1</t>
  </si>
  <si>
    <t>G3</t>
  </si>
  <si>
    <t>G2</t>
  </si>
  <si>
    <t>G7</t>
  </si>
  <si>
    <t>■ 해외부임자 수당</t>
    <phoneticPr fontId="5" type="noConversion"/>
  </si>
  <si>
    <t>(단위 : 천원/月)</t>
    <phoneticPr fontId="5" type="noConversion"/>
  </si>
  <si>
    <t>가산수당 
(천원단위 절상)</t>
    <phoneticPr fontId="5" type="noConversion"/>
  </si>
  <si>
    <t>단신부임수당</t>
    <phoneticPr fontId="5" type="noConversion"/>
  </si>
  <si>
    <r>
      <t xml:space="preserve">위험
수당
</t>
    </r>
    <r>
      <rPr>
        <b/>
        <sz val="11"/>
        <color theme="1"/>
        <rFont val="현대하모니 L"/>
        <family val="1"/>
        <charset val="129"/>
      </rPr>
      <t>(이라크)</t>
    </r>
    <phoneticPr fontId="5" type="noConversion"/>
  </si>
  <si>
    <t>해외</t>
    <phoneticPr fontId="5" type="noConversion"/>
  </si>
  <si>
    <t>2년
미만</t>
    <phoneticPr fontId="5" type="noConversion"/>
  </si>
  <si>
    <t>2년
이상</t>
    <phoneticPr fontId="5" type="noConversion"/>
  </si>
  <si>
    <t>현장</t>
    <phoneticPr fontId="5" type="noConversion"/>
  </si>
  <si>
    <t>지사</t>
    <phoneticPr fontId="5" type="noConversion"/>
  </si>
  <si>
    <t>H1</t>
  </si>
  <si>
    <t>H2</t>
  </si>
  <si>
    <t>H3</t>
  </si>
  <si>
    <t>H4</t>
    <phoneticPr fontId="48" type="noConversion"/>
  </si>
  <si>
    <t>H5</t>
    <phoneticPr fontId="48" type="noConversion"/>
  </si>
  <si>
    <t>H6</t>
  </si>
  <si>
    <t>H7</t>
  </si>
  <si>
    <t>H8</t>
  </si>
  <si>
    <t>H9</t>
  </si>
  <si>
    <t>H10</t>
    <phoneticPr fontId="48" type="noConversion"/>
  </si>
  <si>
    <t>G5</t>
  </si>
  <si>
    <t>G6</t>
  </si>
  <si>
    <t>G8</t>
  </si>
  <si>
    <t>G9</t>
  </si>
  <si>
    <t>임원</t>
    <phoneticPr fontId="5" type="noConversion"/>
  </si>
  <si>
    <t>전무</t>
    <phoneticPr fontId="5" type="noConversion"/>
  </si>
  <si>
    <t>상무A</t>
    <phoneticPr fontId="5" type="noConversion"/>
  </si>
  <si>
    <t>상무B</t>
    <phoneticPr fontId="5" type="noConversion"/>
  </si>
  <si>
    <t>상무C</t>
    <phoneticPr fontId="5" type="noConversion"/>
  </si>
  <si>
    <t>일반직</t>
    <phoneticPr fontId="5" type="noConversion"/>
  </si>
  <si>
    <t>G3(舊부장)</t>
    <phoneticPr fontId="5" type="noConversion"/>
  </si>
  <si>
    <t>시급*78</t>
    <phoneticPr fontId="5" type="noConversion"/>
  </si>
  <si>
    <t>시급*48</t>
    <phoneticPr fontId="5" type="noConversion"/>
  </si>
  <si>
    <t>G3(부대/차장)</t>
    <phoneticPr fontId="5" type="noConversion"/>
  </si>
  <si>
    <t>G2(과장)</t>
    <phoneticPr fontId="5" type="noConversion"/>
  </si>
  <si>
    <t>G1(대리/4사)</t>
    <phoneticPr fontId="5" type="noConversion"/>
  </si>
  <si>
    <t>G1A(5사)</t>
    <phoneticPr fontId="5" type="noConversion"/>
  </si>
  <si>
    <t>G1B(6사)</t>
    <phoneticPr fontId="5" type="noConversion"/>
  </si>
  <si>
    <t>PJT</t>
    <phoneticPr fontId="5" type="noConversion"/>
  </si>
  <si>
    <t>P9</t>
    <phoneticPr fontId="5" type="noConversion"/>
  </si>
  <si>
    <t>P8</t>
    <phoneticPr fontId="48" type="noConversion"/>
  </si>
  <si>
    <t>P7</t>
    <phoneticPr fontId="48" type="noConversion"/>
  </si>
  <si>
    <t>P6</t>
    <phoneticPr fontId="48" type="noConversion"/>
  </si>
  <si>
    <t>P5</t>
    <phoneticPr fontId="48" type="noConversion"/>
  </si>
  <si>
    <t>P4</t>
    <phoneticPr fontId="48" type="noConversion"/>
  </si>
  <si>
    <t>P1,2,3</t>
    <phoneticPr fontId="48" type="noConversion"/>
  </si>
  <si>
    <t>안전</t>
    <phoneticPr fontId="5" type="noConversion"/>
  </si>
  <si>
    <t>안전G3(부대/차장)</t>
    <phoneticPr fontId="5" type="noConversion"/>
  </si>
  <si>
    <t>안전G2(과장)</t>
    <phoneticPr fontId="5" type="noConversion"/>
  </si>
  <si>
    <t>안전G1(대리/4사)</t>
    <phoneticPr fontId="5" type="noConversion"/>
  </si>
  <si>
    <t>안전G1A(5사)</t>
    <phoneticPr fontId="5" type="noConversion"/>
  </si>
  <si>
    <t>안전G1B(6사)</t>
    <phoneticPr fontId="5" type="noConversion"/>
  </si>
  <si>
    <t>전문안전</t>
    <phoneticPr fontId="5" type="noConversion"/>
  </si>
  <si>
    <t>P9(안전)</t>
    <phoneticPr fontId="5" type="noConversion"/>
  </si>
  <si>
    <t>P8(안전)</t>
    <phoneticPr fontId="48" type="noConversion"/>
  </si>
  <si>
    <t>P7(안전)</t>
    <phoneticPr fontId="48" type="noConversion"/>
  </si>
  <si>
    <t>P6(안전)</t>
    <phoneticPr fontId="48" type="noConversion"/>
  </si>
  <si>
    <t>P5(안전)</t>
    <phoneticPr fontId="48" type="noConversion"/>
  </si>
  <si>
    <t>P4(안전)</t>
    <phoneticPr fontId="48" type="noConversion"/>
  </si>
  <si>
    <t>P1,2,3(안전)</t>
    <phoneticPr fontId="5" type="noConversion"/>
  </si>
  <si>
    <t>하이파킹</t>
    <phoneticPr fontId="5" type="noConversion"/>
  </si>
  <si>
    <t>컬리</t>
    <phoneticPr fontId="5" type="noConversion"/>
  </si>
  <si>
    <t>쿠팡로켓프레쉬</t>
    <phoneticPr fontId="5" type="noConversion"/>
  </si>
  <si>
    <t>티켓링크(LG:SK)</t>
    <phoneticPr fontId="5" type="noConversion"/>
  </si>
  <si>
    <r>
      <rPr>
        <sz val="10"/>
        <color theme="1"/>
        <rFont val="맑은 고딕"/>
        <family val="3"/>
        <charset val="129"/>
      </rPr>
      <t>농구</t>
    </r>
    <r>
      <rPr>
        <sz val="10"/>
        <color theme="1"/>
        <rFont val="Arial"/>
        <family val="2"/>
      </rPr>
      <t>/</t>
    </r>
    <r>
      <rPr>
        <sz val="10"/>
        <color theme="1"/>
        <rFont val="맑은 고딕"/>
        <family val="3"/>
        <charset val="129"/>
      </rPr>
      <t>야구</t>
    </r>
    <r>
      <rPr>
        <sz val="10"/>
        <color theme="1"/>
        <rFont val="Arial"/>
        <family val="2"/>
      </rPr>
      <t>/</t>
    </r>
    <r>
      <rPr>
        <sz val="10"/>
        <color theme="1"/>
        <rFont val="맑은 고딕"/>
        <family val="3"/>
        <charset val="129"/>
      </rPr>
      <t>축구</t>
    </r>
    <phoneticPr fontId="5" type="noConversion"/>
  </si>
  <si>
    <t>어린이날용돈(어머니)</t>
    <phoneticPr fontId="5" type="noConversion"/>
  </si>
  <si>
    <r>
      <rPr>
        <sz val="10"/>
        <color theme="1"/>
        <rFont val="맑은 고딕"/>
        <family val="3"/>
        <charset val="129"/>
      </rPr>
      <t>특별용돈</t>
    </r>
    <r>
      <rPr>
        <sz val="10"/>
        <color theme="1"/>
        <rFont val="Arial"/>
        <family val="2"/>
      </rPr>
      <t>(</t>
    </r>
    <r>
      <rPr>
        <sz val="10"/>
        <color theme="1"/>
        <rFont val="맑은 고딕"/>
        <family val="3"/>
        <charset val="129"/>
      </rPr>
      <t>부모님</t>
    </r>
    <r>
      <rPr>
        <sz val="10"/>
        <color theme="1"/>
        <rFont val="Arial"/>
        <family val="2"/>
      </rPr>
      <t>)</t>
    </r>
    <phoneticPr fontId="5" type="noConversion"/>
  </si>
  <si>
    <t>레고(강지완)</t>
    <phoneticPr fontId="5" type="noConversion"/>
  </si>
  <si>
    <t>현대백화점(주차)</t>
    <phoneticPr fontId="5" type="noConversion"/>
  </si>
  <si>
    <t>어버이날(카네이션)</t>
    <phoneticPr fontId="5" type="noConversion"/>
  </si>
  <si>
    <t>잠실학생체육관(외식)</t>
    <phoneticPr fontId="5" type="noConversion"/>
  </si>
  <si>
    <t>잠실학생체육관(주차)</t>
    <phoneticPr fontId="5" type="noConversion"/>
  </si>
  <si>
    <t>어버이날용돈(시가&amp;처가)</t>
    <phoneticPr fontId="5" type="noConversion"/>
  </si>
  <si>
    <t>여기어때(핸드픽트호텔)</t>
    <phoneticPr fontId="5" type="noConversion"/>
  </si>
  <si>
    <t>네이버페이(서오릉피자)</t>
    <phoneticPr fontId="5" type="noConversion"/>
  </si>
  <si>
    <t>백소정</t>
    <phoneticPr fontId="5" type="noConversion"/>
  </si>
  <si>
    <t>잠실역공영주차장</t>
    <phoneticPr fontId="5" type="noConversion"/>
  </si>
  <si>
    <t>프리미엄버스(서울-창원)</t>
    <phoneticPr fontId="5" type="noConversion"/>
  </si>
  <si>
    <t>삼쩜삼</t>
    <phoneticPr fontId="5" type="noConversion"/>
  </si>
  <si>
    <t>중대냉삼</t>
    <phoneticPr fontId="5" type="noConversion"/>
  </si>
  <si>
    <t>포토그레이</t>
    <phoneticPr fontId="5" type="noConversion"/>
  </si>
  <si>
    <t>브라더후드바버샵</t>
    <phoneticPr fontId="5" type="noConversion"/>
  </si>
  <si>
    <t>'25년 05월</t>
    <phoneticPr fontId="5" type="noConversion"/>
  </si>
  <si>
    <t>구내식당 74,000</t>
    <phoneticPr fontId="5" type="noConversion"/>
  </si>
  <si>
    <t>켈리토스트카페</t>
    <phoneticPr fontId="5" type="noConversion"/>
  </si>
  <si>
    <t>프리미엄버스(창원-서울)</t>
    <phoneticPr fontId="5" type="noConversion"/>
  </si>
  <si>
    <t>쿠팡</t>
    <phoneticPr fontId="5" type="noConversion"/>
  </si>
  <si>
    <t>네이버페이(풀리오)</t>
    <phoneticPr fontId="5" type="noConversion"/>
  </si>
  <si>
    <t>GS25</t>
    <phoneticPr fontId="5" type="noConversion"/>
  </si>
  <si>
    <t>파이인더샵</t>
    <phoneticPr fontId="5" type="noConversion"/>
  </si>
  <si>
    <t>식껍</t>
    <phoneticPr fontId="5" type="noConversion"/>
  </si>
  <si>
    <t>삼각지임시공영주차장</t>
    <phoneticPr fontId="5" type="noConversion"/>
  </si>
  <si>
    <t>미태리파스타</t>
    <phoneticPr fontId="5" type="noConversion"/>
  </si>
  <si>
    <t>보험해지환급금(강태준 운전자)</t>
    <phoneticPr fontId="5" type="noConversion"/>
  </si>
  <si>
    <t>다이소</t>
    <phoneticPr fontId="5" type="noConversion"/>
  </si>
  <si>
    <t>네이버페이(서오릉피자)</t>
    <phoneticPr fontId="5" type="noConversion"/>
  </si>
  <si>
    <t>알파문구</t>
    <phoneticPr fontId="5" type="noConversion"/>
  </si>
  <si>
    <t>던킨도너츠</t>
    <phoneticPr fontId="5" type="noConversion"/>
  </si>
  <si>
    <t>장성그랜드사우나</t>
    <phoneticPr fontId="5" type="noConversion"/>
  </si>
  <si>
    <t>포토에이스</t>
    <phoneticPr fontId="5" type="noConversion"/>
  </si>
  <si>
    <t>포토그레이</t>
    <phoneticPr fontId="5" type="noConversion"/>
  </si>
  <si>
    <t>Hmall(나이키)</t>
    <phoneticPr fontId="5" type="noConversion"/>
  </si>
  <si>
    <t>오두산막국수</t>
    <phoneticPr fontId="5" type="noConversion"/>
  </si>
  <si>
    <t>동작세무서</t>
    <phoneticPr fontId="5" type="noConversion"/>
  </si>
  <si>
    <t>연말정산세액으로 반영</t>
    <phoneticPr fontId="5" type="noConversion"/>
  </si>
  <si>
    <t>KTX</t>
    <phoneticPr fontId="5" type="noConversion"/>
  </si>
  <si>
    <t>주정차위반과태료</t>
    <phoneticPr fontId="5" type="noConversion"/>
  </si>
  <si>
    <t>자동차재산세(6149)</t>
    <phoneticPr fontId="5" type="noConversion"/>
  </si>
  <si>
    <t>자동차재산세(1597)</t>
    <phoneticPr fontId="5" type="noConversion"/>
  </si>
  <si>
    <t>종로떡집</t>
    <phoneticPr fontId="5" type="noConversion"/>
  </si>
  <si>
    <t>개미정육점</t>
    <phoneticPr fontId="5" type="noConversion"/>
  </si>
  <si>
    <t>예금이자</t>
    <phoneticPr fontId="5" type="noConversion"/>
  </si>
  <si>
    <t>당근마켓(강지우)</t>
    <phoneticPr fontId="5" type="noConversion"/>
  </si>
  <si>
    <t>당근마켓</t>
    <phoneticPr fontId="5" type="noConversion"/>
  </si>
  <si>
    <t>'25년 06월</t>
    <phoneticPr fontId="5" type="noConversion"/>
  </si>
  <si>
    <t>지우실비</t>
    <phoneticPr fontId="5" type="noConversion"/>
  </si>
  <si>
    <t>지우태아</t>
    <phoneticPr fontId="5" type="noConversion"/>
  </si>
  <si>
    <t>아이민스튜디오</t>
    <phoneticPr fontId="5" type="noConversion"/>
  </si>
  <si>
    <t>아이민스튜디오(주차)</t>
    <phoneticPr fontId="5" type="noConversion"/>
  </si>
  <si>
    <t>KFC</t>
    <phoneticPr fontId="5" type="noConversion"/>
  </si>
  <si>
    <t>세븐일레븐</t>
    <phoneticPr fontId="5" type="noConversion"/>
  </si>
  <si>
    <t>당근마켓(강지우)</t>
    <phoneticPr fontId="5" type="noConversion"/>
  </si>
  <si>
    <t>DDP(주차)</t>
    <phoneticPr fontId="5" type="noConversion"/>
  </si>
  <si>
    <t>안양새물공원주차장</t>
    <phoneticPr fontId="5" type="noConversion"/>
  </si>
  <si>
    <t>로도스피자</t>
    <phoneticPr fontId="5" type="noConversion"/>
  </si>
  <si>
    <t>올리브영</t>
    <phoneticPr fontId="5" type="noConversion"/>
  </si>
  <si>
    <t>푸롤리</t>
    <phoneticPr fontId="5" type="noConversion"/>
  </si>
  <si>
    <t>GS25</t>
    <phoneticPr fontId="5" type="noConversion"/>
  </si>
  <si>
    <r>
      <rPr>
        <sz val="10"/>
        <color theme="1"/>
        <rFont val="맑은 고딕"/>
        <family val="3"/>
        <charset val="129"/>
      </rPr>
      <t>쿠팡</t>
    </r>
    <r>
      <rPr>
        <sz val="10"/>
        <color theme="1"/>
        <rFont val="Arial"/>
        <family val="2"/>
      </rPr>
      <t>/</t>
    </r>
    <r>
      <rPr>
        <sz val="10"/>
        <color theme="1"/>
        <rFont val="맑은 고딕"/>
        <family val="3"/>
        <charset val="129"/>
      </rPr>
      <t>네이버</t>
    </r>
    <r>
      <rPr>
        <sz val="10"/>
        <color theme="1"/>
        <rFont val="Arial"/>
        <family val="2"/>
      </rPr>
      <t>/</t>
    </r>
    <r>
      <rPr>
        <sz val="10"/>
        <color theme="1"/>
        <rFont val="맑은 고딕"/>
        <family val="3"/>
        <charset val="129"/>
      </rPr>
      <t>화해</t>
    </r>
    <r>
      <rPr>
        <sz val="10"/>
        <color theme="1"/>
        <rFont val="Arial"/>
        <family val="2"/>
      </rPr>
      <t>/</t>
    </r>
    <r>
      <rPr>
        <sz val="10"/>
        <color theme="1"/>
        <rFont val="맑은 고딕"/>
        <family val="3"/>
        <charset val="129"/>
      </rPr>
      <t>기타</t>
    </r>
    <r>
      <rPr>
        <sz val="10"/>
        <color theme="1"/>
        <rFont val="Arial"/>
        <family val="2"/>
      </rPr>
      <t>(</t>
    </r>
    <r>
      <rPr>
        <sz val="10"/>
        <color theme="1"/>
        <rFont val="맑은 고딕"/>
        <family val="3"/>
        <charset val="129"/>
      </rPr>
      <t>생활용품</t>
    </r>
    <r>
      <rPr>
        <sz val="10"/>
        <color theme="1"/>
        <rFont val="Arial"/>
        <family val="2"/>
      </rPr>
      <t>/</t>
    </r>
    <r>
      <rPr>
        <sz val="10"/>
        <color theme="1"/>
        <rFont val="맑은 고딕"/>
        <family val="3"/>
        <charset val="129"/>
      </rPr>
      <t>지완지우</t>
    </r>
    <r>
      <rPr>
        <sz val="10"/>
        <color theme="1"/>
        <rFont val="Arial"/>
        <family val="2"/>
      </rPr>
      <t>)</t>
    </r>
    <phoneticPr fontId="5" type="noConversion"/>
  </si>
  <si>
    <t>이촌한강공원</t>
    <phoneticPr fontId="5" type="noConversion"/>
  </si>
  <si>
    <t>문구돌이x아이즈크림</t>
    <phoneticPr fontId="5" type="noConversion"/>
  </si>
  <si>
    <t>지방소득세</t>
    <phoneticPr fontId="5" type="noConversion"/>
  </si>
  <si>
    <t>현대푸본생명</t>
    <phoneticPr fontId="5" type="noConversion"/>
  </si>
  <si>
    <t>기타/기타로 반영</t>
    <phoneticPr fontId="5" type="noConversion"/>
  </si>
  <si>
    <t>국립세계문자박물관</t>
    <phoneticPr fontId="5" type="noConversion"/>
  </si>
  <si>
    <t>배스킨라빈스</t>
    <phoneticPr fontId="5" type="noConversion"/>
  </si>
  <si>
    <t>교대역동측공영주차장</t>
    <phoneticPr fontId="5" type="noConversion"/>
  </si>
  <si>
    <t>네이버페이(앱솔루트)</t>
    <phoneticPr fontId="5" type="noConversion"/>
  </si>
  <si>
    <r>
      <rPr>
        <sz val="10"/>
        <color theme="1"/>
        <rFont val="맑은 고딕"/>
        <family val="3"/>
        <charset val="129"/>
      </rPr>
      <t>롯데마트</t>
    </r>
    <r>
      <rPr>
        <sz val="10"/>
        <color theme="1"/>
        <rFont val="Arial"/>
        <family val="2"/>
      </rPr>
      <t>(</t>
    </r>
    <r>
      <rPr>
        <sz val="10"/>
        <color theme="1"/>
        <rFont val="맑은 고딕"/>
        <family val="3"/>
        <charset val="129"/>
      </rPr>
      <t>맥스</t>
    </r>
    <r>
      <rPr>
        <sz val="10"/>
        <color theme="1"/>
        <rFont val="Arial"/>
        <family val="2"/>
      </rPr>
      <t>)</t>
    </r>
    <phoneticPr fontId="5" type="noConversion"/>
  </si>
  <si>
    <t>흑석메트로정형외과의원</t>
    <phoneticPr fontId="5" type="noConversion"/>
  </si>
  <si>
    <t>아리하 재산세</t>
    <phoneticPr fontId="5" type="noConversion"/>
  </si>
  <si>
    <t>신용카드 (Mr. Life) + 이체 (3,757)</t>
    <phoneticPr fontId="5" type="noConversion"/>
  </si>
  <si>
    <t>론썸헤이드(강지완)</t>
    <phoneticPr fontId="5" type="noConversion"/>
  </si>
  <si>
    <t>여름성경학교</t>
    <phoneticPr fontId="5" type="noConversion"/>
  </si>
  <si>
    <r>
      <rPr>
        <sz val="10"/>
        <color theme="1"/>
        <rFont val="맑은 고딕"/>
        <family val="3"/>
        <charset val="129"/>
      </rPr>
      <t>미용실</t>
    </r>
    <r>
      <rPr>
        <sz val="10"/>
        <color theme="1"/>
        <rFont val="Arial"/>
        <family val="2"/>
      </rPr>
      <t>(</t>
    </r>
    <r>
      <rPr>
        <sz val="10"/>
        <color theme="1"/>
        <rFont val="맑은 고딕"/>
        <family val="3"/>
        <charset val="129"/>
      </rPr>
      <t>태준</t>
    </r>
    <r>
      <rPr>
        <sz val="10"/>
        <color theme="1"/>
        <rFont val="Arial"/>
        <family val="2"/>
      </rPr>
      <t>/</t>
    </r>
    <r>
      <rPr>
        <sz val="10"/>
        <color theme="1"/>
        <rFont val="맑은 고딕"/>
        <family val="3"/>
        <charset val="129"/>
      </rPr>
      <t>지완지우</t>
    </r>
    <r>
      <rPr>
        <sz val="10"/>
        <color theme="1"/>
        <rFont val="Arial"/>
        <family val="2"/>
      </rPr>
      <t>)</t>
    </r>
    <phoneticPr fontId="5" type="noConversion"/>
  </si>
  <si>
    <r>
      <rPr>
        <sz val="10"/>
        <color theme="1"/>
        <rFont val="맑은 고딕"/>
        <family val="3"/>
        <charset val="129"/>
      </rPr>
      <t>당근마켓</t>
    </r>
    <r>
      <rPr>
        <sz val="10"/>
        <color theme="1"/>
        <rFont val="Arial"/>
        <family val="2"/>
      </rPr>
      <t>(</t>
    </r>
    <r>
      <rPr>
        <sz val="10"/>
        <color theme="1"/>
        <rFont val="맑은 고딕"/>
        <family val="3"/>
        <charset val="129"/>
      </rPr>
      <t>지완지우</t>
    </r>
    <r>
      <rPr>
        <sz val="10"/>
        <color theme="1"/>
        <rFont val="Arial"/>
        <family val="2"/>
      </rPr>
      <t>)</t>
    </r>
    <phoneticPr fontId="5" type="noConversion"/>
  </si>
  <si>
    <t>네이버페이(서오릉피자)</t>
    <phoneticPr fontId="5" type="noConversion"/>
  </si>
  <si>
    <t>KFC</t>
    <phoneticPr fontId="5" type="noConversion"/>
  </si>
  <si>
    <t>생신용돈(어머니)</t>
    <phoneticPr fontId="5" type="noConversion"/>
  </si>
  <si>
    <t>택시</t>
    <phoneticPr fontId="5" type="noConversion"/>
  </si>
  <si>
    <t>파리바게뜨</t>
    <phoneticPr fontId="5" type="noConversion"/>
  </si>
  <si>
    <t>청요릿집</t>
    <phoneticPr fontId="5" type="noConversion"/>
  </si>
  <si>
    <t>KTX</t>
    <phoneticPr fontId="5" type="noConversion"/>
  </si>
  <si>
    <t>육아휴직급여</t>
    <phoneticPr fontId="5" type="noConversion"/>
  </si>
  <si>
    <t>07/22 Cutoff</t>
    <phoneticPr fontId="5" type="noConversion"/>
  </si>
  <si>
    <t>자동차보험(1597)</t>
    <phoneticPr fontId="5" type="noConversion"/>
  </si>
  <si>
    <t>놀유니버스</t>
    <phoneticPr fontId="5" type="noConversion"/>
  </si>
  <si>
    <t>'25년 07월</t>
    <phoneticPr fontId="5" type="noConversion"/>
  </si>
  <si>
    <t>카멜커피</t>
    <phoneticPr fontId="5" type="noConversion"/>
  </si>
  <si>
    <t>쿠팡</t>
    <phoneticPr fontId="5" type="noConversion"/>
  </si>
  <si>
    <t>네이버페이(윌슨)</t>
    <phoneticPr fontId="5" type="noConversion"/>
  </si>
  <si>
    <t>더라탄베이커리</t>
    <phoneticPr fontId="5" type="noConversion"/>
  </si>
  <si>
    <t>동춘서커스</t>
    <phoneticPr fontId="5" type="noConversion"/>
  </si>
  <si>
    <t>대한항공(부산-제주)</t>
    <phoneticPr fontId="5" type="noConversion"/>
  </si>
  <si>
    <t>12월 제주 여행</t>
    <phoneticPr fontId="5" type="noConversion"/>
  </si>
  <si>
    <t>코엑스(주차)</t>
    <phoneticPr fontId="5" type="noConversion"/>
  </si>
  <si>
    <r>
      <rPr>
        <sz val="10"/>
        <color theme="1"/>
        <rFont val="맑은 고딕"/>
        <family val="3"/>
        <charset val="129"/>
      </rPr>
      <t>교보문고</t>
    </r>
    <r>
      <rPr>
        <sz val="10"/>
        <color theme="1"/>
        <rFont val="Arial"/>
        <family val="2"/>
      </rPr>
      <t>/</t>
    </r>
    <r>
      <rPr>
        <sz val="10"/>
        <color theme="1"/>
        <rFont val="맑은 고딕"/>
        <family val="3"/>
        <charset val="129"/>
      </rPr>
      <t>알파문구</t>
    </r>
    <r>
      <rPr>
        <sz val="10"/>
        <color theme="1"/>
        <rFont val="Arial"/>
        <family val="2"/>
      </rPr>
      <t>/</t>
    </r>
    <r>
      <rPr>
        <sz val="10"/>
        <color theme="1"/>
        <rFont val="맑은 고딕"/>
        <family val="3"/>
        <charset val="129"/>
      </rPr>
      <t>오피스디포</t>
    </r>
    <phoneticPr fontId="5" type="noConversion"/>
  </si>
  <si>
    <t>이촌한강공원</t>
    <phoneticPr fontId="5" type="noConversion"/>
  </si>
  <si>
    <t>오피스디포</t>
    <phoneticPr fontId="5" type="noConversion"/>
  </si>
  <si>
    <t>예산예당호휴게소</t>
    <phoneticPr fontId="5" type="noConversion"/>
  </si>
  <si>
    <t>옹고집쌈밥</t>
    <phoneticPr fontId="5" type="noConversion"/>
  </si>
  <si>
    <t>브라더후드바버샵</t>
    <phoneticPr fontId="5" type="noConversion"/>
  </si>
  <si>
    <t>인의한의원</t>
    <phoneticPr fontId="5" type="noConversion"/>
  </si>
  <si>
    <t>문구돌이x아이즈크림</t>
    <phoneticPr fontId="5" type="noConversion"/>
  </si>
  <si>
    <t>배스킨라빈스</t>
    <phoneticPr fontId="5" type="noConversion"/>
  </si>
  <si>
    <t>GS25</t>
    <phoneticPr fontId="5" type="noConversion"/>
  </si>
  <si>
    <t>트리스약국</t>
    <phoneticPr fontId="5" type="noConversion"/>
  </si>
  <si>
    <t>'25년 08월</t>
    <phoneticPr fontId="5" type="noConversion"/>
  </si>
  <si>
    <t>택시</t>
    <phoneticPr fontId="5" type="noConversion"/>
  </si>
  <si>
    <t>이촌한강공원</t>
    <phoneticPr fontId="5" type="noConversion"/>
  </si>
  <si>
    <t>동작구 주민세</t>
    <phoneticPr fontId="5" type="noConversion"/>
  </si>
  <si>
    <t>웅진플레이도시</t>
    <phoneticPr fontId="5" type="noConversion"/>
  </si>
  <si>
    <t>던킨도너츠</t>
    <phoneticPr fontId="5" type="noConversion"/>
  </si>
  <si>
    <t>연평도꽃게탕보리밥</t>
    <phoneticPr fontId="5" type="noConversion"/>
  </si>
  <si>
    <t>KFC</t>
    <phoneticPr fontId="5" type="noConversion"/>
  </si>
  <si>
    <t>쿠팡</t>
    <phoneticPr fontId="5" type="noConversion"/>
  </si>
  <si>
    <t>포토그레이</t>
    <phoneticPr fontId="5" type="noConversion"/>
  </si>
  <si>
    <t>롯데마트맥스</t>
    <phoneticPr fontId="5" type="noConversion"/>
  </si>
  <si>
    <t>올리브영(압타밀)</t>
    <phoneticPr fontId="5" type="noConversion"/>
  </si>
  <si>
    <t>주정차위반 과태료</t>
    <phoneticPr fontId="5" type="noConversion"/>
  </si>
  <si>
    <t>쿠팡(오사닛캔디)</t>
    <phoneticPr fontId="5" type="noConversion"/>
  </si>
  <si>
    <t>연세어린이사랑치과의원</t>
    <phoneticPr fontId="5" type="noConversion"/>
  </si>
  <si>
    <t>인싸포토</t>
    <phoneticPr fontId="5" type="noConversion"/>
  </si>
  <si>
    <t>8~9월</t>
    <phoneticPr fontId="5" type="noConversion"/>
  </si>
  <si>
    <t>쿠팡</t>
    <phoneticPr fontId="5" type="noConversion"/>
  </si>
  <si>
    <t>128,000 + 47,000</t>
    <phoneticPr fontId="5" type="noConversion"/>
  </si>
  <si>
    <t>미국(단신)</t>
    <phoneticPr fontId="5" type="noConversion"/>
  </si>
  <si>
    <t>미국(가족)</t>
    <phoneticPr fontId="5" type="noConversion"/>
  </si>
  <si>
    <t>KTX(서울-창원)</t>
    <phoneticPr fontId="5" type="noConversion"/>
  </si>
  <si>
    <t>KTX(창원-서울)</t>
    <phoneticPr fontId="5" type="noConversion"/>
  </si>
  <si>
    <t>어린이대공원</t>
    <phoneticPr fontId="5" type="noConversion"/>
  </si>
  <si>
    <t>GS25</t>
    <phoneticPr fontId="5" type="noConversion"/>
  </si>
  <si>
    <t>'25년 09월</t>
    <phoneticPr fontId="5" type="noConversion"/>
  </si>
  <si>
    <t>초록마을</t>
    <phoneticPr fontId="5" type="noConversion"/>
  </si>
  <si>
    <t>쿠팡</t>
    <phoneticPr fontId="5" type="noConversion"/>
  </si>
  <si>
    <t>론썸헤이드(강지완)</t>
    <phoneticPr fontId="5" type="noConversion"/>
  </si>
  <si>
    <t>SPA응시료</t>
    <phoneticPr fontId="5" type="noConversion"/>
  </si>
  <si>
    <t>GS25</t>
    <phoneticPr fontId="5" type="noConversion"/>
  </si>
  <si>
    <t>IRCA갱신료</t>
    <phoneticPr fontId="5" type="noConversion"/>
  </si>
  <si>
    <t>단지명</t>
    <phoneticPr fontId="5" type="noConversion"/>
  </si>
  <si>
    <t>구분</t>
    <phoneticPr fontId="5" type="noConversion"/>
  </si>
  <si>
    <t>세대수</t>
    <phoneticPr fontId="5" type="noConversion"/>
  </si>
  <si>
    <t>청약시기</t>
    <phoneticPr fontId="5" type="noConversion"/>
  </si>
  <si>
    <t>입주시기</t>
    <phoneticPr fontId="5" type="noConversion"/>
  </si>
  <si>
    <t>전체</t>
    <phoneticPr fontId="5" type="noConversion"/>
  </si>
  <si>
    <t>반포3주구</t>
    <phoneticPr fontId="5" type="noConversion"/>
  </si>
  <si>
    <t>반포디에이치클래스트</t>
    <phoneticPr fontId="5" type="noConversion"/>
  </si>
  <si>
    <t>래미안트리니원</t>
    <phoneticPr fontId="5" type="noConversion"/>
  </si>
  <si>
    <t>반포</t>
    <phoneticPr fontId="5" type="noConversion"/>
  </si>
  <si>
    <t>위치</t>
    <phoneticPr fontId="5" type="noConversion"/>
  </si>
  <si>
    <t>재건축</t>
    <phoneticPr fontId="5" type="noConversion"/>
  </si>
  <si>
    <t>방배</t>
    <phoneticPr fontId="5" type="noConversion"/>
  </si>
  <si>
    <t>방배신동아</t>
    <phoneticPr fontId="5" type="noConversion"/>
  </si>
  <si>
    <t>서초신동아</t>
    <phoneticPr fontId="5" type="noConversion"/>
  </si>
  <si>
    <t>서초</t>
    <phoneticPr fontId="5" type="noConversion"/>
  </si>
  <si>
    <t>재개발</t>
    <phoneticPr fontId="5" type="noConversion"/>
  </si>
  <si>
    <t>34평</t>
    <phoneticPr fontId="5" type="noConversion"/>
  </si>
  <si>
    <t>신반포12차</t>
    <phoneticPr fontId="5" type="noConversion"/>
  </si>
  <si>
    <t>반포미도1차</t>
    <phoneticPr fontId="5" type="noConversion"/>
  </si>
  <si>
    <t>반포미도2차</t>
    <phoneticPr fontId="5" type="noConversion"/>
  </si>
  <si>
    <t>신반포2차</t>
    <phoneticPr fontId="5" type="noConversion"/>
  </si>
  <si>
    <t>신반포4차</t>
    <phoneticPr fontId="5" type="noConversion"/>
  </si>
  <si>
    <t>신반포16차</t>
    <phoneticPr fontId="5" type="noConversion"/>
  </si>
  <si>
    <t>신반포19/25차</t>
    <phoneticPr fontId="5" type="noConversion"/>
  </si>
  <si>
    <t>반포1/2/4주구</t>
    <phoneticPr fontId="5" type="noConversion"/>
  </si>
  <si>
    <t>잠원</t>
    <phoneticPr fontId="5" type="noConversion"/>
  </si>
  <si>
    <t>방배신삼호</t>
    <phoneticPr fontId="5" type="noConversion"/>
  </si>
  <si>
    <t>방배구삼호</t>
    <phoneticPr fontId="5" type="noConversion"/>
  </si>
  <si>
    <t>서초삼풍</t>
    <phoneticPr fontId="5" type="noConversion"/>
  </si>
  <si>
    <t>서초진흥</t>
    <phoneticPr fontId="5" type="noConversion"/>
  </si>
  <si>
    <t>잠원한강</t>
    <phoneticPr fontId="5" type="noConversion"/>
  </si>
  <si>
    <t>압구정</t>
    <phoneticPr fontId="5" type="noConversion"/>
  </si>
  <si>
    <t>압구정1구역</t>
    <phoneticPr fontId="5" type="noConversion"/>
  </si>
  <si>
    <t>압구정2구역</t>
    <phoneticPr fontId="5" type="noConversion"/>
  </si>
  <si>
    <t>압구정3구역</t>
    <phoneticPr fontId="5" type="noConversion"/>
  </si>
  <si>
    <t>압구정4구역</t>
    <phoneticPr fontId="5" type="noConversion"/>
  </si>
  <si>
    <t>압구정5구역</t>
    <phoneticPr fontId="5" type="noConversion"/>
  </si>
  <si>
    <t>잠실</t>
    <phoneticPr fontId="5" type="noConversion"/>
  </si>
  <si>
    <t>잠실주공5단지</t>
    <phoneticPr fontId="5" type="noConversion"/>
  </si>
  <si>
    <t>잠실우성1/2/3차</t>
    <phoneticPr fontId="5" type="noConversion"/>
  </si>
  <si>
    <t>잠실우성4차</t>
    <phoneticPr fontId="5" type="noConversion"/>
  </si>
  <si>
    <t>장미1/2/3차</t>
    <phoneticPr fontId="5" type="noConversion"/>
  </si>
  <si>
    <t>이촌</t>
    <phoneticPr fontId="5" type="noConversion"/>
  </si>
  <si>
    <t>여의도</t>
    <phoneticPr fontId="5" type="noConversion"/>
  </si>
  <si>
    <t>한강맨션</t>
    <phoneticPr fontId="5" type="noConversion"/>
  </si>
  <si>
    <t>여의도시범</t>
    <phoneticPr fontId="5" type="noConversion"/>
  </si>
  <si>
    <t>여의도서울</t>
    <phoneticPr fontId="5" type="noConversion"/>
  </si>
  <si>
    <t>여의도삼부</t>
    <phoneticPr fontId="5" type="noConversion"/>
  </si>
  <si>
    <t>여의도대교</t>
    <phoneticPr fontId="5" type="noConversion"/>
  </si>
  <si>
    <t>여의도한양</t>
    <phoneticPr fontId="5" type="noConversion"/>
  </si>
  <si>
    <t>노량진</t>
    <phoneticPr fontId="5" type="noConversion"/>
  </si>
  <si>
    <t>노량진1구역</t>
    <phoneticPr fontId="5" type="noConversion"/>
  </si>
  <si>
    <t>흑석</t>
    <phoneticPr fontId="5" type="noConversion"/>
  </si>
  <si>
    <t>흑석9구역</t>
    <phoneticPr fontId="5" type="noConversion"/>
  </si>
  <si>
    <t>흑석11구역</t>
    <phoneticPr fontId="5" type="noConversion"/>
  </si>
  <si>
    <t>노량진2구역</t>
  </si>
  <si>
    <t>노량진3구역</t>
  </si>
  <si>
    <t>노량진4구역</t>
  </si>
  <si>
    <t>노량진5구역</t>
  </si>
  <si>
    <t>노량진6구역</t>
  </si>
  <si>
    <t>노량진7구역</t>
  </si>
  <si>
    <t>노량진8구역</t>
  </si>
  <si>
    <t>명절음식비</t>
    <phoneticPr fontId="5" type="noConversion"/>
  </si>
  <si>
    <t>방배13구역</t>
    <phoneticPr fontId="5" type="noConversion"/>
  </si>
  <si>
    <t>방배14구역</t>
  </si>
  <si>
    <t>방배15구역</t>
  </si>
  <si>
    <t>한남</t>
    <phoneticPr fontId="5" type="noConversion"/>
  </si>
  <si>
    <t>한남2구역</t>
    <phoneticPr fontId="5" type="noConversion"/>
  </si>
  <si>
    <t>한남3구역</t>
    <phoneticPr fontId="5" type="noConversion"/>
  </si>
  <si>
    <t>한남4구역</t>
    <phoneticPr fontId="5" type="noConversion"/>
  </si>
  <si>
    <t>한남5구역</t>
    <phoneticPr fontId="5" type="noConversion"/>
  </si>
  <si>
    <t>성수</t>
    <phoneticPr fontId="5" type="noConversion"/>
  </si>
  <si>
    <t>성수1구역</t>
    <phoneticPr fontId="5" type="noConversion"/>
  </si>
  <si>
    <t>성수2구역</t>
  </si>
  <si>
    <t>성수3구역</t>
  </si>
  <si>
    <t>성수4구역</t>
  </si>
  <si>
    <t>서빙고신동아</t>
    <phoneticPr fontId="5" type="noConversion"/>
  </si>
  <si>
    <t>순번</t>
    <phoneticPr fontId="5" type="noConversion"/>
  </si>
  <si>
    <t>34평 추첨제</t>
    <phoneticPr fontId="5" type="noConversion"/>
  </si>
  <si>
    <t>34평 추첨제 2순위</t>
    <phoneticPr fontId="5" type="noConversion"/>
  </si>
  <si>
    <t>디에이치르블랑</t>
    <phoneticPr fontId="5" type="noConversion"/>
  </si>
  <si>
    <t>래미안헤리븐반포</t>
    <phoneticPr fontId="5" type="noConversion"/>
  </si>
  <si>
    <t>미정 (현대건설)</t>
    <phoneticPr fontId="5" type="noConversion"/>
  </si>
  <si>
    <t>미정 (시공사 미선정)</t>
    <phoneticPr fontId="5" type="noConversion"/>
  </si>
  <si>
    <t>일반분양가(만원)</t>
    <phoneticPr fontId="5" type="noConversion"/>
  </si>
  <si>
    <t>평당가</t>
    <phoneticPr fontId="5" type="noConversion"/>
  </si>
  <si>
    <t>前</t>
    <phoneticPr fontId="5" type="noConversion"/>
  </si>
  <si>
    <t>後</t>
    <phoneticPr fontId="5" type="noConversion"/>
  </si>
  <si>
    <t>미정 (롯데건설)</t>
    <phoneticPr fontId="5" type="noConversion"/>
  </si>
  <si>
    <t>임대 세대수</t>
    <phoneticPr fontId="5" type="noConversion"/>
  </si>
  <si>
    <t>일반분양 세대수</t>
    <phoneticPr fontId="5" type="noConversion"/>
  </si>
  <si>
    <t>미정 (대우건설)</t>
    <phoneticPr fontId="5" type="noConversion"/>
  </si>
  <si>
    <t>디에이치켄트로나인</t>
    <phoneticPr fontId="5" type="noConversion"/>
  </si>
  <si>
    <t>오티에르동작</t>
    <phoneticPr fontId="5" type="noConversion"/>
  </si>
  <si>
    <t>써밋더힐</t>
    <phoneticPr fontId="5" type="noConversion"/>
  </si>
  <si>
    <t>미정 (SK건설)</t>
    <phoneticPr fontId="5" type="noConversion"/>
  </si>
  <si>
    <t>미정 (포스코건설)</t>
    <phoneticPr fontId="5" type="noConversion"/>
  </si>
  <si>
    <t>디에이치씨엘스타</t>
    <phoneticPr fontId="5" type="noConversion"/>
  </si>
  <si>
    <t>써밋더트레시아</t>
    <phoneticPr fontId="5" type="noConversion"/>
  </si>
  <si>
    <t>라클라체자이드파인</t>
    <phoneticPr fontId="5" type="noConversion"/>
  </si>
  <si>
    <t>아크로리버스카이</t>
    <phoneticPr fontId="5" type="noConversion"/>
  </si>
  <si>
    <t>방배포레스트자이</t>
    <phoneticPr fontId="5" type="noConversion"/>
  </si>
  <si>
    <t>방배르엘</t>
    <phoneticPr fontId="5" type="noConversion"/>
  </si>
  <si>
    <t>오티에르방배더원</t>
    <phoneticPr fontId="5" type="noConversion"/>
  </si>
  <si>
    <t>오티에르방배</t>
    <phoneticPr fontId="5" type="noConversion"/>
  </si>
  <si>
    <t>미정 (삼성GS현산)</t>
    <phoneticPr fontId="5" type="noConversion"/>
  </si>
  <si>
    <t>잠실자이리비에르</t>
    <phoneticPr fontId="5" type="noConversion"/>
  </si>
  <si>
    <t>이촌자이더리버</t>
    <phoneticPr fontId="5" type="noConversion"/>
  </si>
  <si>
    <t>한남써밋</t>
    <phoneticPr fontId="5" type="noConversion"/>
  </si>
  <si>
    <t>디에이치한남</t>
    <phoneticPr fontId="5" type="noConversion"/>
  </si>
  <si>
    <t>래미안글로우힐즈한남</t>
    <phoneticPr fontId="5" type="noConversion"/>
  </si>
  <si>
    <t>아크로한남</t>
    <phoneticPr fontId="5" type="noConversion"/>
  </si>
  <si>
    <t>디에이치여의도퍼스트</t>
    <phoneticPr fontId="5" type="noConversion"/>
  </si>
  <si>
    <t>아크로잠실</t>
    <phoneticPr fontId="5" type="noConversion"/>
  </si>
  <si>
    <r>
      <rPr>
        <sz val="10"/>
        <color theme="1"/>
        <rFont val="맑은 고딕"/>
        <family val="3"/>
        <charset val="129"/>
      </rPr>
      <t>육아휴직급여</t>
    </r>
    <phoneticPr fontId="5" type="noConversion"/>
  </si>
  <si>
    <r>
      <rPr>
        <sz val="10"/>
        <color theme="1"/>
        <rFont val="맑은 고딕"/>
        <family val="3"/>
        <charset val="129"/>
      </rPr>
      <t>예적금이자</t>
    </r>
    <r>
      <rPr>
        <sz val="10"/>
        <color theme="1"/>
        <rFont val="Arial"/>
        <family val="2"/>
      </rPr>
      <t xml:space="preserve"> &amp; </t>
    </r>
    <r>
      <rPr>
        <sz val="10"/>
        <color theme="1"/>
        <rFont val="맑은 고딕"/>
        <family val="3"/>
        <charset val="129"/>
      </rPr>
      <t>환전차익</t>
    </r>
    <phoneticPr fontId="5" type="noConversion"/>
  </si>
  <si>
    <r>
      <rPr>
        <sz val="10"/>
        <color theme="1"/>
        <rFont val="맑은 고딕"/>
        <family val="3"/>
        <charset val="129"/>
      </rPr>
      <t>지우실비</t>
    </r>
    <phoneticPr fontId="5" type="noConversion"/>
  </si>
  <si>
    <r>
      <rPr>
        <sz val="10"/>
        <color theme="1"/>
        <rFont val="맑은 고딕"/>
        <family val="3"/>
        <charset val="129"/>
      </rPr>
      <t>지우태아</t>
    </r>
    <phoneticPr fontId="5" type="noConversion"/>
  </si>
  <si>
    <r>
      <rPr>
        <b/>
        <sz val="10"/>
        <color theme="1"/>
        <rFont val="맑은 고딕"/>
        <family val="3"/>
        <charset val="129"/>
      </rPr>
      <t>교육</t>
    </r>
    <r>
      <rPr>
        <b/>
        <sz val="10"/>
        <color theme="1"/>
        <rFont val="Arial"/>
        <family val="2"/>
      </rPr>
      <t xml:space="preserve"> (</t>
    </r>
    <r>
      <rPr>
        <b/>
        <sz val="10"/>
        <color theme="1"/>
        <rFont val="맑은 고딕"/>
        <family val="3"/>
        <charset val="129"/>
      </rPr>
      <t>강지완</t>
    </r>
    <r>
      <rPr>
        <b/>
        <sz val="10"/>
        <color theme="1"/>
        <rFont val="Arial"/>
        <family val="2"/>
      </rPr>
      <t>/</t>
    </r>
    <r>
      <rPr>
        <b/>
        <sz val="10"/>
        <color theme="1"/>
        <rFont val="맑은 고딕"/>
        <family val="3"/>
        <charset val="129"/>
      </rPr>
      <t>강지우</t>
    </r>
    <r>
      <rPr>
        <b/>
        <sz val="10"/>
        <color theme="1"/>
        <rFont val="Arial"/>
        <family val="2"/>
      </rPr>
      <t>)</t>
    </r>
    <phoneticPr fontId="5" type="noConversion"/>
  </si>
  <si>
    <r>
      <rPr>
        <sz val="10"/>
        <color theme="1"/>
        <rFont val="맑은 고딕"/>
        <family val="3"/>
        <charset val="129"/>
      </rPr>
      <t>교회</t>
    </r>
    <phoneticPr fontId="5" type="noConversion"/>
  </si>
  <si>
    <r>
      <t>KB</t>
    </r>
    <r>
      <rPr>
        <sz val="10"/>
        <color theme="1"/>
        <rFont val="맑은 고딕"/>
        <family val="3"/>
        <charset val="129"/>
      </rPr>
      <t>증권</t>
    </r>
    <r>
      <rPr>
        <sz val="10"/>
        <color theme="1"/>
        <rFont val="Arial"/>
        <family val="2"/>
      </rPr>
      <t>(</t>
    </r>
    <r>
      <rPr>
        <sz val="10"/>
        <color theme="1"/>
        <rFont val="맑은 고딕"/>
        <family val="3"/>
        <charset val="129"/>
      </rPr>
      <t>충전금</t>
    </r>
    <r>
      <rPr>
        <sz val="10"/>
        <color theme="1"/>
        <rFont val="Arial"/>
        <family val="2"/>
      </rPr>
      <t>)</t>
    </r>
    <phoneticPr fontId="5" type="noConversion"/>
  </si>
  <si>
    <t>명절용돈(시가)</t>
    <phoneticPr fontId="5" type="noConversion"/>
  </si>
  <si>
    <t>명절용돈(처가)</t>
    <phoneticPr fontId="5" type="noConversion"/>
  </si>
  <si>
    <t>생일용돈(강지완)</t>
    <phoneticPr fontId="5" type="noConversion"/>
  </si>
  <si>
    <t>서오릉피자</t>
    <phoneticPr fontId="5" type="noConversion"/>
  </si>
  <si>
    <t>명절선물(처가)</t>
    <phoneticPr fontId="5" type="noConversion"/>
  </si>
  <si>
    <t>포켓몬카드숍(강지완)</t>
    <phoneticPr fontId="5" type="noConversion"/>
  </si>
  <si>
    <t>용산역주차장</t>
    <phoneticPr fontId="5" type="noConversion"/>
  </si>
  <si>
    <t>버거킹</t>
    <phoneticPr fontId="5" type="noConversion"/>
  </si>
  <si>
    <t>초가집</t>
    <phoneticPr fontId="5" type="noConversion"/>
  </si>
  <si>
    <t>만남의광장편의점</t>
    <phoneticPr fontId="5" type="noConversion"/>
  </si>
  <si>
    <t>키노튼</t>
    <phoneticPr fontId="5" type="noConversion"/>
  </si>
  <si>
    <t>GS25</t>
    <phoneticPr fontId="5" type="noConversion"/>
  </si>
  <si>
    <t>바스타커피</t>
    <phoneticPr fontId="5" type="noConversion"/>
  </si>
  <si>
    <t>서울역주차장</t>
    <phoneticPr fontId="5" type="noConversion"/>
  </si>
  <si>
    <t>던킨도너츠</t>
    <phoneticPr fontId="5" type="noConversion"/>
  </si>
  <si>
    <t>명절용돈(강지성)</t>
    <phoneticPr fontId="5" type="noConversion"/>
  </si>
  <si>
    <t>북악팔각정</t>
    <phoneticPr fontId="5" type="noConversion"/>
  </si>
  <si>
    <t>이촌한강공원주차장</t>
    <phoneticPr fontId="5" type="noConversion"/>
  </si>
  <si>
    <t>오준이네감자탕</t>
    <phoneticPr fontId="5" type="noConversion"/>
  </si>
  <si>
    <t>KTX(서울-창원)(어머니)</t>
    <phoneticPr fontId="5" type="noConversion"/>
  </si>
  <si>
    <t>스토리웨이</t>
    <phoneticPr fontId="5" type="noConversion"/>
  </si>
  <si>
    <t>KFC</t>
    <phoneticPr fontId="5" type="noConversion"/>
  </si>
  <si>
    <t>천사약국</t>
    <phoneticPr fontId="5" type="noConversion"/>
  </si>
  <si>
    <t>KB증권</t>
    <phoneticPr fontId="5" type="noConversion"/>
  </si>
  <si>
    <t>에버랜드(장난감)</t>
    <phoneticPr fontId="5" type="noConversion"/>
  </si>
  <si>
    <t>에버랜드(주차)</t>
    <phoneticPr fontId="5" type="noConversion"/>
  </si>
  <si>
    <t>에버랜드(식비)</t>
    <phoneticPr fontId="5" type="noConversion"/>
  </si>
  <si>
    <t>인의한의원(보험지급금)</t>
    <phoneticPr fontId="5" type="noConversion"/>
  </si>
  <si>
    <t>이수자이주차장</t>
    <phoneticPr fontId="5" type="noConversion"/>
  </si>
  <si>
    <t>이마트24</t>
    <phoneticPr fontId="5" type="noConversion"/>
  </si>
  <si>
    <t>결혼식(양천영)</t>
    <phoneticPr fontId="5" type="noConversion"/>
  </si>
  <si>
    <t>양지현도장</t>
    <phoneticPr fontId="5" type="noConversion"/>
  </si>
  <si>
    <r>
      <rPr>
        <sz val="10"/>
        <color theme="1"/>
        <rFont val="맑은 고딕"/>
        <family val="3"/>
        <charset val="129"/>
      </rPr>
      <t>시간외수당</t>
    </r>
    <r>
      <rPr>
        <sz val="10"/>
        <color theme="1"/>
        <rFont val="Arial"/>
        <family val="2"/>
      </rPr>
      <t>2</t>
    </r>
    <phoneticPr fontId="5" type="noConversion"/>
  </si>
  <si>
    <t>지연이자</t>
    <phoneticPr fontId="5" type="noConversion"/>
  </si>
  <si>
    <t>기타소득세</t>
    <phoneticPr fontId="5" type="noConversion"/>
  </si>
  <si>
    <t>기타소득주민세</t>
    <phoneticPr fontId="5" type="noConversion"/>
  </si>
  <si>
    <t>신용카드 (Mr. Life) - 처가결혼식경비 (95,800)</t>
    <phoneticPr fontId="5" type="noConversion"/>
  </si>
  <si>
    <t>처가결혼식경비 (104,200)</t>
    <phoneticPr fontId="5" type="noConversion"/>
  </si>
  <si>
    <t>'25년 10월</t>
    <phoneticPr fontId="5" type="noConversion"/>
  </si>
  <si>
    <t>신한-공동</t>
    <phoneticPr fontId="5" type="noConversion"/>
  </si>
  <si>
    <t>신한-기타</t>
    <phoneticPr fontId="5" type="noConversion"/>
  </si>
  <si>
    <t>자기자금</t>
    <phoneticPr fontId="5" type="noConversion"/>
  </si>
  <si>
    <t>금융기관 예금액</t>
    <phoneticPr fontId="5" type="noConversion"/>
  </si>
  <si>
    <t>주식/채권 매각대금</t>
    <phoneticPr fontId="5" type="noConversion"/>
  </si>
  <si>
    <t>증여/상속</t>
    <phoneticPr fontId="5" type="noConversion"/>
  </si>
  <si>
    <t>부부</t>
    <phoneticPr fontId="5" type="noConversion"/>
  </si>
  <si>
    <t>직계존비속</t>
    <phoneticPr fontId="5" type="noConversion"/>
  </si>
  <si>
    <t>그 밖의 관계</t>
    <phoneticPr fontId="5" type="noConversion"/>
  </si>
  <si>
    <t>현금 등 그 밖의 자금</t>
    <phoneticPr fontId="5" type="noConversion"/>
  </si>
  <si>
    <t>부동산 처분대금</t>
    <phoneticPr fontId="5" type="noConversion"/>
  </si>
  <si>
    <t>차입금</t>
    <phoneticPr fontId="5" type="noConversion"/>
  </si>
  <si>
    <t>금융기관 대출액</t>
    <phoneticPr fontId="5" type="noConversion"/>
  </si>
  <si>
    <t>주택담보대출</t>
    <phoneticPr fontId="5" type="noConversion"/>
  </si>
  <si>
    <t>신용대출</t>
    <phoneticPr fontId="5" type="noConversion"/>
  </si>
  <si>
    <t>그 밖의 대출</t>
    <phoneticPr fontId="5" type="noConversion"/>
  </si>
  <si>
    <t>임대보증금</t>
    <phoneticPr fontId="5" type="noConversion"/>
  </si>
  <si>
    <t>회사지원금/사채</t>
    <phoneticPr fontId="5" type="noConversion"/>
  </si>
  <si>
    <t>그 밖의 차입금</t>
    <phoneticPr fontId="5" type="noConversion"/>
  </si>
  <si>
    <t>식대 (49,000) &amp; 민생회복쿠폰 (112,100)</t>
    <phoneticPr fontId="5" type="noConversion"/>
  </si>
  <si>
    <t>KB</t>
    <phoneticPr fontId="5" type="noConversion"/>
  </si>
  <si>
    <t>우리</t>
    <phoneticPr fontId="5" type="noConversion"/>
  </si>
  <si>
    <t>신한-지완/지우</t>
    <phoneticPr fontId="5" type="noConversion"/>
  </si>
  <si>
    <t>신한-창조퇴직금</t>
    <phoneticPr fontId="5" type="noConversion"/>
  </si>
  <si>
    <t>증권</t>
    <phoneticPr fontId="5" type="noConversion"/>
  </si>
  <si>
    <t>신한-증여</t>
    <phoneticPr fontId="5" type="noConversion"/>
  </si>
  <si>
    <t>신한-마이너스통장</t>
    <phoneticPr fontId="5" type="noConversion"/>
  </si>
  <si>
    <t>근로복지기금</t>
    <phoneticPr fontId="5" type="noConversion"/>
  </si>
  <si>
    <t>예금+주식+업비트</t>
    <phoneticPr fontId="5" type="noConversion"/>
  </si>
  <si>
    <t>우체국</t>
    <phoneticPr fontId="5" type="noConversion"/>
  </si>
  <si>
    <t>차용</t>
    <phoneticPr fontId="5" type="noConversion"/>
  </si>
  <si>
    <t>아리하 매도 후 상환</t>
    <phoneticPr fontId="5" type="noConversion"/>
  </si>
  <si>
    <t>네이버페이(사치하타)</t>
    <phoneticPr fontId="5" type="noConversion"/>
  </si>
  <si>
    <t>한섬팩토리아울렛</t>
    <phoneticPr fontId="5" type="noConversion"/>
  </si>
  <si>
    <t>뻥튀기</t>
    <phoneticPr fontId="5" type="noConversion"/>
  </si>
  <si>
    <t>총각네정육점</t>
    <phoneticPr fontId="5" type="noConversion"/>
  </si>
  <si>
    <t>GS25</t>
    <phoneticPr fontId="5" type="noConversion"/>
  </si>
  <si>
    <t>쿠팡(오사닛캔디)</t>
    <phoneticPr fontId="5" type="noConversion"/>
  </si>
  <si>
    <t>KTX(창원-서울)</t>
    <phoneticPr fontId="5" type="noConversion"/>
  </si>
  <si>
    <r>
      <t>KB</t>
    </r>
    <r>
      <rPr>
        <sz val="10"/>
        <color theme="1"/>
        <rFont val="맑은 고딕"/>
        <family val="3"/>
        <charset val="129"/>
      </rPr>
      <t>증권</t>
    </r>
    <r>
      <rPr>
        <sz val="10"/>
        <color theme="1"/>
        <rFont val="Arial"/>
        <family val="2"/>
      </rPr>
      <t xml:space="preserve"> </t>
    </r>
    <r>
      <rPr>
        <sz val="10"/>
        <color theme="1"/>
        <rFont val="맑은 고딕"/>
        <family val="3"/>
        <charset val="129"/>
      </rPr>
      <t>투자손익</t>
    </r>
    <phoneticPr fontId="5" type="noConversion"/>
  </si>
  <si>
    <r>
      <rPr>
        <sz val="10"/>
        <color theme="1"/>
        <rFont val="맑은 고딕"/>
        <family val="3"/>
        <charset val="129"/>
      </rPr>
      <t>업비트</t>
    </r>
    <phoneticPr fontId="5" type="noConversion"/>
  </si>
  <si>
    <r>
      <t>KB</t>
    </r>
    <r>
      <rPr>
        <sz val="10"/>
        <color theme="1"/>
        <rFont val="맑은 고딕"/>
        <family val="3"/>
        <charset val="129"/>
      </rPr>
      <t>증권</t>
    </r>
    <phoneticPr fontId="5" type="noConversion"/>
  </si>
  <si>
    <t>대한항공(제주-김포)</t>
    <phoneticPr fontId="5" type="noConversion"/>
  </si>
  <si>
    <t>12월 제주 여행</t>
    <phoneticPr fontId="5" type="noConversion"/>
  </si>
  <si>
    <t>KTX(창원-서울)</t>
    <phoneticPr fontId="5" type="noConversion"/>
  </si>
  <si>
    <t>출장</t>
    <phoneticPr fontId="5" type="noConversion"/>
  </si>
  <si>
    <t>KFC</t>
    <phoneticPr fontId="5" type="noConversion"/>
  </si>
  <si>
    <t>성북구청</t>
    <phoneticPr fontId="5" type="noConversion"/>
  </si>
  <si>
    <t>수능(유요석)</t>
    <phoneticPr fontId="5" type="noConversion"/>
  </si>
  <si>
    <t>택시</t>
    <phoneticPr fontId="5" type="noConversion"/>
  </si>
  <si>
    <t>홍수계찜닭</t>
    <phoneticPr fontId="5" type="noConversion"/>
  </si>
  <si>
    <t>용산역주차장</t>
    <phoneticPr fontId="5" type="noConversion"/>
  </si>
  <si>
    <t>결혼식(김정희)</t>
    <phoneticPr fontId="5" type="noConversion"/>
  </si>
  <si>
    <t>용산구청</t>
    <phoneticPr fontId="5" type="noConversion"/>
  </si>
  <si>
    <t>푸주옥</t>
    <phoneticPr fontId="5" type="noConversion"/>
  </si>
  <si>
    <t>본가/식사</t>
    <phoneticPr fontId="5" type="noConversion"/>
  </si>
  <si>
    <t>배스킨라빈스</t>
    <phoneticPr fontId="5" type="noConversion"/>
  </si>
  <si>
    <t>생활용품/면세점</t>
    <phoneticPr fontId="5" type="noConversion"/>
  </si>
  <si>
    <t>화해(토리든)</t>
    <phoneticPr fontId="5" type="noConversion"/>
  </si>
  <si>
    <t>롯데면세점(TUMI)</t>
    <phoneticPr fontId="5" type="noConversion"/>
  </si>
  <si>
    <t>신라면세점(디디에두보)</t>
    <phoneticPr fontId="5" type="noConversion"/>
  </si>
  <si>
    <t>신라면세점(톰포드)</t>
    <phoneticPr fontId="5" type="noConversion"/>
  </si>
  <si>
    <t>자매빌딩(주차)</t>
    <phoneticPr fontId="5" type="noConversion"/>
  </si>
  <si>
    <t>명동탕후루</t>
    <phoneticPr fontId="5" type="noConversion"/>
  </si>
  <si>
    <t>럭키스토어</t>
    <phoneticPr fontId="5" type="noConversion"/>
  </si>
  <si>
    <t>명동성당주차장</t>
    <phoneticPr fontId="5" type="noConversion"/>
  </si>
  <si>
    <t>'25년 11월</t>
    <phoneticPr fontId="5" type="noConversion"/>
  </si>
  <si>
    <t>식대 (28,000)</t>
    <phoneticPr fontId="5" type="noConversion"/>
  </si>
  <si>
    <t>장례식(김동진)</t>
    <phoneticPr fontId="5" type="noConversion"/>
  </si>
  <si>
    <t>장례식(박인주)</t>
    <phoneticPr fontId="5" type="noConversion"/>
  </si>
  <si>
    <t>링커스영배</t>
    <phoneticPr fontId="5" type="noConversion"/>
  </si>
  <si>
    <t>기타/기타</t>
    <phoneticPr fontId="5" type="noConversion"/>
  </si>
  <si>
    <t>해외출장경비</t>
    <phoneticPr fontId="5" type="noConversion"/>
  </si>
  <si>
    <t>고속도로통행료</t>
    <phoneticPr fontId="5" type="noConversion"/>
  </si>
  <si>
    <t>인천공항장기추자장</t>
    <phoneticPr fontId="5" type="noConversion"/>
  </si>
  <si>
    <t>결혼식(최보윤)</t>
    <phoneticPr fontId="5" type="noConversion"/>
  </si>
  <si>
    <t>KFC</t>
    <phoneticPr fontId="5" type="noConversion"/>
  </si>
  <si>
    <t>11번가(괌)</t>
    <phoneticPr fontId="5" type="noConversion"/>
  </si>
  <si>
    <t>여행</t>
    <phoneticPr fontId="5" type="noConversion"/>
  </si>
  <si>
    <t>AA</t>
    <phoneticPr fontId="5" type="noConversion"/>
  </si>
  <si>
    <t>109,000 + 41,000</t>
    <phoneticPr fontId="5" type="noConversion"/>
  </si>
  <si>
    <t>워시존</t>
    <phoneticPr fontId="5" type="noConversion"/>
  </si>
  <si>
    <t>교촌치킨</t>
    <phoneticPr fontId="5" type="noConversion"/>
  </si>
  <si>
    <t>생신용돈(장인어른)</t>
    <phoneticPr fontId="5" type="noConversion"/>
  </si>
  <si>
    <t>키링(강지완)</t>
    <phoneticPr fontId="5" type="noConversion"/>
  </si>
  <si>
    <t>주일헌금(강지우)</t>
    <phoneticPr fontId="5" type="noConversion"/>
  </si>
  <si>
    <t>bhc(장동철)</t>
    <phoneticPr fontId="5" type="noConversion"/>
  </si>
  <si>
    <t>기타/기타</t>
    <phoneticPr fontId="5" type="noConversion"/>
  </si>
  <si>
    <t>안동장</t>
    <phoneticPr fontId="5" type="noConversion"/>
  </si>
  <si>
    <t>아트박스</t>
    <phoneticPr fontId="5" type="noConversion"/>
  </si>
  <si>
    <t>CGV용산(식비)</t>
    <phoneticPr fontId="5" type="noConversion"/>
  </si>
  <si>
    <t>버거킹</t>
    <phoneticPr fontId="5" type="noConversion"/>
  </si>
  <si>
    <t>주일헌금/감사헌금</t>
    <phoneticPr fontId="5" type="noConversion"/>
  </si>
  <si>
    <t>TUMI</t>
    <phoneticPr fontId="5" type="noConversion"/>
  </si>
  <si>
    <t>현대프리미엄아울렛(강지완)</t>
    <phoneticPr fontId="5" type="noConversion"/>
  </si>
  <si>
    <t>바르미샤브</t>
    <phoneticPr fontId="5" type="noConversion"/>
  </si>
  <si>
    <t>주일헌금(강지완/강지우)</t>
    <phoneticPr fontId="5" type="noConversion"/>
  </si>
  <si>
    <t>현금인출</t>
    <phoneticPr fontId="5" type="noConversion"/>
  </si>
  <si>
    <t>카모아</t>
    <phoneticPr fontId="5" type="noConversion"/>
  </si>
  <si>
    <t>결혼식(윤해든)</t>
    <phoneticPr fontId="5" type="noConversion"/>
  </si>
  <si>
    <t>(HK)PERSONALITYLAB</t>
    <phoneticPr fontId="5" type="noConversion"/>
  </si>
  <si>
    <t>KTX(서울-창원)</t>
    <phoneticPr fontId="5" type="noConversion"/>
  </si>
  <si>
    <t>론썸헤이드(강지완)</t>
    <phoneticPr fontId="5" type="noConversion"/>
  </si>
  <si>
    <t>예금이자</t>
    <phoneticPr fontId="5" type="noConversion"/>
  </si>
  <si>
    <t>프랑세즈</t>
    <phoneticPr fontId="5" type="noConversion"/>
  </si>
  <si>
    <t>KTX(서울-포항)</t>
    <phoneticPr fontId="5" type="noConversion"/>
  </si>
  <si>
    <t>함지박</t>
    <phoneticPr fontId="5" type="noConversion"/>
  </si>
  <si>
    <t>서오릉피자</t>
    <phoneticPr fontId="5" type="noConversion"/>
  </si>
  <si>
    <t>'25년 12월</t>
    <phoneticPr fontId="5" type="noConversion"/>
  </si>
  <si>
    <t>하이패스(신용카드)</t>
    <phoneticPr fontId="5" type="noConversion"/>
  </si>
  <si>
    <t>부원</t>
    <phoneticPr fontId="5" type="noConversion"/>
  </si>
  <si>
    <t>포마토김밥</t>
    <phoneticPr fontId="5" type="noConversion"/>
  </si>
  <si>
    <t>이케아</t>
    <phoneticPr fontId="5" type="noConversion"/>
  </si>
  <si>
    <t>KFC</t>
    <phoneticPr fontId="5" type="noConversion"/>
  </si>
  <si>
    <t>써브웨이</t>
    <phoneticPr fontId="5" type="noConversion"/>
  </si>
  <si>
    <t>현주네김밥</t>
    <phoneticPr fontId="5" type="noConversion"/>
  </si>
  <si>
    <t>택시</t>
    <phoneticPr fontId="5" type="noConversion"/>
  </si>
  <si>
    <t>스토리웨이</t>
    <phoneticPr fontId="5" type="noConversion"/>
  </si>
  <si>
    <t>서울역</t>
    <phoneticPr fontId="5" type="noConversion"/>
  </si>
  <si>
    <t>제주항공(제주-부산)</t>
    <phoneticPr fontId="5" type="noConversion"/>
  </si>
  <si>
    <t>여행</t>
    <phoneticPr fontId="5" type="noConversion"/>
  </si>
  <si>
    <t>반송시장</t>
    <phoneticPr fontId="5" type="noConversion"/>
  </si>
  <si>
    <t>밀집</t>
    <phoneticPr fontId="5" type="noConversion"/>
  </si>
  <si>
    <t>GS25</t>
    <phoneticPr fontId="5" type="noConversion"/>
  </si>
  <si>
    <t>여행경비 (12/30)</t>
    <phoneticPr fontId="5" type="noConversion"/>
  </si>
  <si>
    <t>여행경비 (12/29)</t>
    <phoneticPr fontId="5" type="noConversion"/>
  </si>
  <si>
    <t>여행경비 (12/31)</t>
    <phoneticPr fontId="5" type="noConversion"/>
  </si>
  <si>
    <t>해비치호텔앤드리조트</t>
    <phoneticPr fontId="5" type="noConversion"/>
  </si>
  <si>
    <t>용산곤충관</t>
    <phoneticPr fontId="5" type="noConversion"/>
  </si>
  <si>
    <t>신기소</t>
    <phoneticPr fontId="5" type="noConversion"/>
  </si>
  <si>
    <t>용산역주차장</t>
    <phoneticPr fontId="5" type="noConversion"/>
  </si>
  <si>
    <t>스타벅스</t>
    <phoneticPr fontId="5" type="noConversion"/>
  </si>
  <si>
    <t>한섬팩토리아울렛</t>
    <phoneticPr fontId="5" type="noConversion"/>
  </si>
  <si>
    <t>자동차보험(6149)</t>
    <phoneticPr fontId="5" type="noConversion"/>
  </si>
  <si>
    <t>인의한의원</t>
    <phoneticPr fontId="5" type="noConversion"/>
  </si>
  <si>
    <t>캉골(강지완)</t>
    <phoneticPr fontId="5" type="noConversion"/>
  </si>
  <si>
    <t>백화점 / 보전 필요 (양지현)</t>
    <phoneticPr fontId="5" type="noConversion"/>
  </si>
  <si>
    <t>주일헌금(강지우)</t>
    <phoneticPr fontId="5" type="noConversion"/>
  </si>
  <si>
    <t>감사헌금(성탄절)</t>
    <phoneticPr fontId="5" type="noConversion"/>
  </si>
  <si>
    <t>아리하 종부세</t>
    <phoneticPr fontId="5" type="noConversion"/>
  </si>
  <si>
    <t>자동차 재산세 (K5)</t>
    <phoneticPr fontId="5" type="noConversion"/>
  </si>
  <si>
    <t>자동차 재산세 (그랜저)</t>
    <phoneticPr fontId="5" type="noConversion"/>
  </si>
  <si>
    <t>옛날가마솥순대</t>
    <phoneticPr fontId="5" type="noConversion"/>
  </si>
  <si>
    <t>명성왕족발</t>
    <phoneticPr fontId="5" type="noConversion"/>
  </si>
  <si>
    <t>소문난순대국</t>
    <phoneticPr fontId="5" type="noConversion"/>
  </si>
  <si>
    <t>성대지마트</t>
    <phoneticPr fontId="5" type="noConversion"/>
  </si>
  <si>
    <t>브라더후드바버샵</t>
    <phoneticPr fontId="5" type="noConversion"/>
  </si>
  <si>
    <t>서오릉피자</t>
    <phoneticPr fontId="5" type="noConversion"/>
  </si>
  <si>
    <t>어썸글라스</t>
    <phoneticPr fontId="5" type="noConversion"/>
  </si>
  <si>
    <t>워시존</t>
    <phoneticPr fontId="5" type="noConversion"/>
  </si>
  <si>
    <t>강원도감자옹심이</t>
    <phoneticPr fontId="5" type="noConversion"/>
  </si>
  <si>
    <t>본가/식사</t>
    <phoneticPr fontId="5" type="noConversion"/>
  </si>
  <si>
    <t>자매빌딩</t>
    <phoneticPr fontId="5" type="noConversion"/>
  </si>
  <si>
    <t>쿠팡</t>
    <phoneticPr fontId="5" type="noConversion"/>
  </si>
  <si>
    <t>명동호프치킨</t>
    <phoneticPr fontId="5" type="noConversion"/>
  </si>
  <si>
    <t>다이소</t>
    <phoneticPr fontId="5" type="noConversion"/>
  </si>
  <si>
    <t>목동파라곤</t>
    <phoneticPr fontId="5" type="noConversion"/>
  </si>
  <si>
    <t>현대백화점</t>
    <phoneticPr fontId="5" type="noConversion"/>
  </si>
  <si>
    <t>케이크링</t>
    <phoneticPr fontId="5" type="noConversion"/>
  </si>
  <si>
    <t>쿠팡(오사닛)</t>
    <phoneticPr fontId="5" type="noConversion"/>
  </si>
  <si>
    <t>네이버페이(자연애보감)</t>
    <phoneticPr fontId="5" type="noConversion"/>
  </si>
  <si>
    <t>신한은행 166933</t>
    <phoneticPr fontId="5" type="noConversion"/>
  </si>
  <si>
    <t>신한은행 165849</t>
    <phoneticPr fontId="5" type="noConversion"/>
  </si>
  <si>
    <t>케이뱅크 040244</t>
    <phoneticPr fontId="5" type="noConversion"/>
  </si>
  <si>
    <t>출금통장</t>
    <phoneticPr fontId="5" type="noConversion"/>
  </si>
  <si>
    <t>소스</t>
    <phoneticPr fontId="5" type="noConversion"/>
  </si>
  <si>
    <t>급여</t>
    <phoneticPr fontId="5" type="noConversion"/>
  </si>
  <si>
    <t>스텔스</t>
    <phoneticPr fontId="5" type="noConversion"/>
  </si>
  <si>
    <t>공생분할</t>
    <phoneticPr fontId="5" type="noConversion"/>
  </si>
  <si>
    <t>지닥 940,307</t>
    <phoneticPr fontId="5" type="noConversion"/>
  </si>
  <si>
    <t>현금 200,000</t>
    <phoneticPr fontId="5" type="noConversion"/>
  </si>
  <si>
    <t>가산수당(해외)</t>
    <phoneticPr fontId="5" type="noConversion"/>
  </si>
  <si>
    <t>콘텐토</t>
    <phoneticPr fontId="5" type="noConversion"/>
  </si>
  <si>
    <t>문구돌이x아이즈크림</t>
    <phoneticPr fontId="5" type="noConversion"/>
  </si>
  <si>
    <t>'26년 01월</t>
    <phoneticPr fontId="5" type="noConversion"/>
  </si>
  <si>
    <t>AB</t>
    <phoneticPr fontId="5" type="noConversion"/>
  </si>
  <si>
    <t>성과급 (2023-2025)</t>
    <phoneticPr fontId="5" type="noConversion"/>
  </si>
  <si>
    <t>성과급 (2021)</t>
    <phoneticPr fontId="5" type="noConversion"/>
  </si>
  <si>
    <t>GS25</t>
    <phoneticPr fontId="5" type="noConversion"/>
  </si>
  <si>
    <t>KTX(서울-창원)</t>
    <phoneticPr fontId="5" type="noConversion"/>
  </si>
  <si>
    <t>KTX(창원-서울)</t>
    <phoneticPr fontId="5" type="noConversion"/>
  </si>
  <si>
    <t>네이버페이(팔라디움)</t>
    <phoneticPr fontId="5" type="noConversion"/>
  </si>
  <si>
    <t>송구영신감사헌금</t>
    <phoneticPr fontId="5" type="noConversion"/>
  </si>
  <si>
    <t>91,000 + 34,000</t>
    <phoneticPr fontId="5" type="noConversion"/>
  </si>
  <si>
    <t>127,000 + 48,000</t>
    <phoneticPr fontId="5" type="noConversion"/>
  </si>
  <si>
    <t>블렌타믹스</t>
    <phoneticPr fontId="5" type="noConversion"/>
  </si>
  <si>
    <r>
      <rPr>
        <sz val="10"/>
        <color theme="1"/>
        <rFont val="맑은 고딕"/>
        <family val="3"/>
        <charset val="129"/>
        <scheme val="minor"/>
      </rPr>
      <t xml:space="preserve">블렌더 </t>
    </r>
    <r>
      <rPr>
        <sz val="10"/>
        <color theme="1"/>
        <rFont val="Arial"/>
        <family val="2"/>
      </rPr>
      <t>(JSK-17005)</t>
    </r>
    <phoneticPr fontId="5" type="noConversion"/>
  </si>
  <si>
    <t>LG전자베스트샵 남성역점</t>
    <phoneticPr fontId="5" type="noConversion"/>
  </si>
  <si>
    <r>
      <rPr>
        <sz val="10"/>
        <color theme="1"/>
        <rFont val="맑은 고딕"/>
        <family val="3"/>
        <charset val="129"/>
      </rPr>
      <t>밥솥</t>
    </r>
    <r>
      <rPr>
        <sz val="10"/>
        <color theme="1"/>
        <rFont val="Arial"/>
        <family val="2"/>
      </rPr>
      <t xml:space="preserve"> (DHXB0610FS)</t>
    </r>
    <phoneticPr fontId="5" type="noConversion"/>
  </si>
  <si>
    <r>
      <rPr>
        <sz val="10"/>
        <color theme="1"/>
        <rFont val="맑은 고딕"/>
        <family val="3"/>
        <charset val="129"/>
      </rPr>
      <t>청소기</t>
    </r>
    <r>
      <rPr>
        <sz val="10"/>
        <color theme="1"/>
        <rFont val="Arial"/>
        <family val="2"/>
      </rPr>
      <t xml:space="preserve"> (A958SK)</t>
    </r>
    <phoneticPr fontId="5" type="noConversion"/>
  </si>
  <si>
    <r>
      <rPr>
        <sz val="10"/>
        <color theme="1"/>
        <rFont val="맑은 고딕"/>
        <family val="3"/>
        <charset val="129"/>
      </rPr>
      <t>냉장고</t>
    </r>
    <r>
      <rPr>
        <sz val="10"/>
        <color theme="1"/>
        <rFont val="Arial"/>
        <family val="2"/>
      </rPr>
      <t xml:space="preserve"> (F871TS56W)</t>
    </r>
    <phoneticPr fontId="5" type="noConversion"/>
  </si>
  <si>
    <r>
      <rPr>
        <sz val="10"/>
        <color theme="1"/>
        <rFont val="맑은 고딕"/>
        <family val="3"/>
        <charset val="129"/>
      </rPr>
      <t>올레드</t>
    </r>
    <r>
      <rPr>
        <sz val="10"/>
        <color theme="1"/>
        <rFont val="Arial"/>
        <family val="2"/>
      </rPr>
      <t xml:space="preserve"> TV (OLED55B8GW)</t>
    </r>
    <phoneticPr fontId="5" type="noConversion"/>
  </si>
  <si>
    <r>
      <rPr>
        <sz val="10"/>
        <color theme="1"/>
        <rFont val="맑은 고딕"/>
        <family val="3"/>
        <charset val="129"/>
      </rPr>
      <t>건조기</t>
    </r>
    <r>
      <rPr>
        <sz val="10"/>
        <color theme="1"/>
        <rFont val="Arial"/>
        <family val="2"/>
      </rPr>
      <t xml:space="preserve"> (RH14VH)</t>
    </r>
    <phoneticPr fontId="5" type="noConversion"/>
  </si>
  <si>
    <r>
      <rPr>
        <sz val="10"/>
        <color theme="1"/>
        <rFont val="맑은 고딕"/>
        <family val="3"/>
        <charset val="129"/>
      </rPr>
      <t>세탁기</t>
    </r>
    <r>
      <rPr>
        <sz val="10"/>
        <color theme="1"/>
        <rFont val="Arial"/>
        <family val="2"/>
      </rPr>
      <t xml:space="preserve"> (F17VDW)</t>
    </r>
    <phoneticPr fontId="5" type="noConversion"/>
  </si>
  <si>
    <r>
      <rPr>
        <sz val="10"/>
        <color theme="1"/>
        <rFont val="맑은 고딕"/>
        <family val="3"/>
        <charset val="129"/>
      </rPr>
      <t>결제금액</t>
    </r>
    <r>
      <rPr>
        <sz val="10"/>
        <color theme="1"/>
        <rFont val="Arial"/>
        <family val="2"/>
      </rPr>
      <t>: 10,300,000</t>
    </r>
    <r>
      <rPr>
        <sz val="10"/>
        <color theme="1"/>
        <rFont val="Arial"/>
        <family val="2"/>
      </rPr>
      <t xml:space="preserve">
-. </t>
    </r>
    <r>
      <rPr>
        <sz val="10"/>
        <color theme="1"/>
        <rFont val="맑은 고딕"/>
        <family val="3"/>
        <charset val="129"/>
      </rPr>
      <t>외상금액</t>
    </r>
    <r>
      <rPr>
        <sz val="10"/>
        <color theme="1"/>
        <rFont val="Arial"/>
        <family val="2"/>
      </rPr>
      <t xml:space="preserve">: 400,000
-. </t>
    </r>
    <r>
      <rPr>
        <sz val="10"/>
        <color theme="1"/>
        <rFont val="맑은 고딕"/>
        <family val="3"/>
        <charset val="129"/>
      </rPr>
      <t>신한포인트</t>
    </r>
    <r>
      <rPr>
        <sz val="10"/>
        <color theme="1"/>
        <rFont val="Arial"/>
        <family val="2"/>
      </rPr>
      <t>: 400,000 (</t>
    </r>
    <r>
      <rPr>
        <sz val="10"/>
        <color theme="1"/>
        <rFont val="맑은 고딕"/>
        <family val="3"/>
        <charset val="129"/>
      </rPr>
      <t>외상금액</t>
    </r>
    <r>
      <rPr>
        <sz val="10"/>
        <color theme="1"/>
        <rFont val="Arial"/>
        <family val="2"/>
      </rPr>
      <t xml:space="preserve"> </t>
    </r>
    <r>
      <rPr>
        <sz val="10"/>
        <color theme="1"/>
        <rFont val="맑은 고딕"/>
        <family val="3"/>
        <charset val="129"/>
      </rPr>
      <t>감면</t>
    </r>
    <r>
      <rPr>
        <sz val="10"/>
        <color theme="1"/>
        <rFont val="Arial"/>
        <family val="2"/>
      </rPr>
      <t xml:space="preserve">)
-. </t>
    </r>
    <r>
      <rPr>
        <sz val="10"/>
        <color theme="1"/>
        <rFont val="맑은 고딕"/>
        <family val="3"/>
        <charset val="129"/>
      </rPr>
      <t>멤버쉽</t>
    </r>
    <r>
      <rPr>
        <sz val="10"/>
        <color theme="1"/>
        <rFont val="Arial"/>
        <family val="2"/>
      </rPr>
      <t>: 300,000 (</t>
    </r>
    <r>
      <rPr>
        <sz val="10"/>
        <color theme="1"/>
        <rFont val="맑은 고딕"/>
        <family val="3"/>
        <charset val="129"/>
      </rPr>
      <t>밥솥</t>
    </r>
    <r>
      <rPr>
        <sz val="10"/>
        <color theme="1"/>
        <rFont val="Arial"/>
        <family val="2"/>
      </rPr>
      <t xml:space="preserve">)
-. </t>
    </r>
    <r>
      <rPr>
        <sz val="10"/>
        <color theme="1"/>
        <rFont val="맑은 고딕"/>
        <family val="3"/>
        <charset val="129"/>
      </rPr>
      <t>캐시백</t>
    </r>
    <r>
      <rPr>
        <sz val="10"/>
        <color theme="1"/>
        <rFont val="Arial"/>
        <family val="2"/>
      </rPr>
      <t xml:space="preserve">: 200,000
-. </t>
    </r>
    <r>
      <rPr>
        <sz val="10"/>
        <color theme="1"/>
        <rFont val="맑은 고딕"/>
        <family val="3"/>
        <charset val="129"/>
      </rPr>
      <t>재구매</t>
    </r>
    <r>
      <rPr>
        <sz val="10"/>
        <color theme="1"/>
        <rFont val="Arial"/>
        <family val="2"/>
      </rPr>
      <t xml:space="preserve">: 500,000
</t>
    </r>
    <r>
      <rPr>
        <u/>
        <sz val="10"/>
        <color theme="1"/>
        <rFont val="맑은 고딕"/>
        <family val="3"/>
        <charset val="129"/>
      </rPr>
      <t>합계</t>
    </r>
    <r>
      <rPr>
        <u/>
        <sz val="10"/>
        <color theme="1"/>
        <rFont val="Arial"/>
        <family val="2"/>
      </rPr>
      <t xml:space="preserve"> 9,300,000 </t>
    </r>
    <r>
      <rPr>
        <u/>
        <sz val="10"/>
        <color theme="1"/>
        <rFont val="맑은 고딕"/>
        <family val="3"/>
        <charset val="129"/>
      </rPr>
      <t>지출</t>
    </r>
    <phoneticPr fontId="5" type="noConversion"/>
  </si>
  <si>
    <r>
      <rPr>
        <sz val="10"/>
        <color theme="1"/>
        <rFont val="맑은 고딕"/>
        <family val="3"/>
        <charset val="129"/>
      </rPr>
      <t>신한카드</t>
    </r>
    <r>
      <rPr>
        <sz val="10"/>
        <color theme="1"/>
        <rFont val="Arial"/>
        <family val="2"/>
      </rPr>
      <t xml:space="preserve"> (LG)</t>
    </r>
    <phoneticPr fontId="5" type="noConversion"/>
  </si>
  <si>
    <r>
      <rPr>
        <sz val="10"/>
        <color theme="1"/>
        <rFont val="맑은 고딕"/>
        <family val="3"/>
        <charset val="129"/>
      </rPr>
      <t>스타일러</t>
    </r>
    <r>
      <rPr>
        <sz val="10"/>
        <color theme="1"/>
        <rFont val="Arial"/>
        <family val="2"/>
      </rPr>
      <t xml:space="preserve"> (S3BF)</t>
    </r>
    <phoneticPr fontId="5" type="noConversion"/>
  </si>
  <si>
    <r>
      <t xml:space="preserve">10/28 </t>
    </r>
    <r>
      <rPr>
        <sz val="10"/>
        <color theme="1"/>
        <rFont val="맑은 고딕"/>
        <family val="3"/>
        <charset val="129"/>
      </rPr>
      <t>환급</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신한</t>
    </r>
    <r>
      <rPr>
        <sz val="10"/>
        <color theme="1"/>
        <rFont val="Arial"/>
        <family val="2"/>
      </rPr>
      <t xml:space="preserve"> </t>
    </r>
    <r>
      <rPr>
        <sz val="10"/>
        <color theme="1"/>
        <rFont val="맑은 고딕"/>
        <family val="3"/>
        <charset val="129"/>
      </rPr>
      <t>개인생활비</t>
    </r>
    <r>
      <rPr>
        <sz val="10"/>
        <color theme="1"/>
        <rFont val="Arial"/>
        <family val="2"/>
      </rPr>
      <t>)</t>
    </r>
    <phoneticPr fontId="5" type="noConversion"/>
  </si>
  <si>
    <r>
      <rPr>
        <sz val="10"/>
        <color theme="1"/>
        <rFont val="맑은 고딕"/>
        <family val="3"/>
        <charset val="129"/>
      </rPr>
      <t>현금</t>
    </r>
    <phoneticPr fontId="5" type="noConversion"/>
  </si>
  <si>
    <t>대림산업</t>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</si>
  <si>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쿡탑</t>
    </r>
    <r>
      <rPr>
        <sz val="10"/>
        <color theme="1"/>
        <rFont val="Arial"/>
        <family val="2"/>
      </rPr>
      <t xml:space="preserve"> </t>
    </r>
    <r>
      <rPr>
        <sz val="10"/>
        <color theme="1"/>
        <rFont val="맑은 고딕"/>
        <family val="3"/>
        <charset val="129"/>
      </rPr>
      <t>잔금</t>
    </r>
    <r>
      <rPr>
        <sz val="10"/>
        <color theme="1"/>
        <rFont val="Arial"/>
        <family val="2"/>
      </rPr>
      <t>)</t>
    </r>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</si>
  <si>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시스템에어컨</t>
    </r>
    <r>
      <rPr>
        <sz val="10"/>
        <color theme="1"/>
        <rFont val="Arial"/>
        <family val="2"/>
      </rPr>
      <t xml:space="preserve"> </t>
    </r>
    <r>
      <rPr>
        <sz val="10"/>
        <color theme="1"/>
        <rFont val="맑은 고딕"/>
        <family val="3"/>
        <charset val="129"/>
      </rPr>
      <t>계약금</t>
    </r>
    <r>
      <rPr>
        <sz val="10"/>
        <color theme="1"/>
        <rFont val="Arial"/>
        <family val="2"/>
      </rPr>
      <t>/</t>
    </r>
    <r>
      <rPr>
        <sz val="10"/>
        <color theme="1"/>
        <rFont val="맑은 고딕"/>
        <family val="3"/>
        <charset val="129"/>
      </rPr>
      <t>중도금</t>
    </r>
    <r>
      <rPr>
        <sz val="10"/>
        <color theme="1"/>
        <rFont val="Arial"/>
        <family val="2"/>
      </rPr>
      <t>/</t>
    </r>
    <r>
      <rPr>
        <sz val="10"/>
        <color theme="1"/>
        <rFont val="맑은 고딕"/>
        <family val="3"/>
        <charset val="129"/>
      </rPr>
      <t>잔금</t>
    </r>
    <r>
      <rPr>
        <sz val="10"/>
        <color theme="1"/>
        <rFont val="Arial"/>
        <family val="2"/>
      </rPr>
      <t>)</t>
    </r>
    <phoneticPr fontId="5" type="noConversion"/>
  </si>
  <si>
    <r>
      <rPr>
        <sz val="10"/>
        <color theme="1"/>
        <rFont val="맑은 고딕"/>
        <family val="3"/>
        <charset val="129"/>
      </rPr>
      <t>신한카드</t>
    </r>
    <r>
      <rPr>
        <sz val="10"/>
        <color theme="1"/>
        <rFont val="Arial"/>
        <family val="2"/>
      </rPr>
      <t xml:space="preserve"> (Light Plan)</t>
    </r>
    <phoneticPr fontId="5" type="noConversion"/>
  </si>
  <si>
    <t>현대건설 임직원쇼핑몰</t>
    <phoneticPr fontId="5" type="noConversion"/>
  </si>
  <si>
    <r>
      <rPr>
        <sz val="10"/>
        <color theme="1"/>
        <rFont val="맑은 고딕"/>
        <family val="3"/>
        <charset val="129"/>
      </rPr>
      <t>에어프라이어</t>
    </r>
    <phoneticPr fontId="5" type="noConversion"/>
  </si>
  <si>
    <r>
      <t xml:space="preserve">4/8 </t>
    </r>
    <r>
      <rPr>
        <sz val="10"/>
        <color theme="1"/>
        <rFont val="맑은 고딕"/>
        <family val="3"/>
        <charset val="129"/>
      </rPr>
      <t>환급</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신한</t>
    </r>
    <r>
      <rPr>
        <sz val="10"/>
        <color theme="1"/>
        <rFont val="Arial"/>
        <family val="2"/>
      </rPr>
      <t xml:space="preserve"> </t>
    </r>
    <r>
      <rPr>
        <sz val="10"/>
        <color theme="1"/>
        <rFont val="맑은 고딕"/>
        <family val="3"/>
        <charset val="129"/>
      </rPr>
      <t>개인생활비</t>
    </r>
    <r>
      <rPr>
        <sz val="10"/>
        <color theme="1"/>
        <rFont val="Arial"/>
        <family val="2"/>
      </rPr>
      <t>)</t>
    </r>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</si>
  <si>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쿡탑</t>
    </r>
    <r>
      <rPr>
        <sz val="10"/>
        <color theme="1"/>
        <rFont val="Arial"/>
        <family val="2"/>
      </rPr>
      <t xml:space="preserve"> </t>
    </r>
    <r>
      <rPr>
        <sz val="10"/>
        <color theme="1"/>
        <rFont val="맑은 고딕"/>
        <family val="3"/>
        <charset val="129"/>
      </rPr>
      <t>중도금</t>
    </r>
    <r>
      <rPr>
        <sz val="10"/>
        <color theme="1"/>
        <rFont val="Arial"/>
        <family val="2"/>
      </rPr>
      <t>)</t>
    </r>
    <phoneticPr fontId="5" type="noConversion"/>
  </si>
  <si>
    <r>
      <t xml:space="preserve">2/12 </t>
    </r>
    <r>
      <rPr>
        <sz val="10"/>
        <color theme="1"/>
        <rFont val="맑은 고딕"/>
        <family val="3"/>
        <charset val="129"/>
      </rPr>
      <t>환급</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신한</t>
    </r>
    <r>
      <rPr>
        <sz val="10"/>
        <color theme="1"/>
        <rFont val="Arial"/>
        <family val="2"/>
      </rPr>
      <t xml:space="preserve"> </t>
    </r>
    <r>
      <rPr>
        <sz val="10"/>
        <color theme="1"/>
        <rFont val="맑은 고딕"/>
        <family val="3"/>
        <charset val="129"/>
      </rPr>
      <t>개인생활비</t>
    </r>
    <r>
      <rPr>
        <sz val="10"/>
        <color theme="1"/>
        <rFont val="Arial"/>
        <family val="2"/>
      </rPr>
      <t>)</t>
    </r>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</si>
  <si>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쿡탑</t>
    </r>
    <r>
      <rPr>
        <sz val="10"/>
        <color theme="1"/>
        <rFont val="Arial"/>
        <family val="2"/>
      </rPr>
      <t xml:space="preserve"> </t>
    </r>
    <r>
      <rPr>
        <sz val="10"/>
        <color theme="1"/>
        <rFont val="맑은 고딕"/>
        <family val="3"/>
        <charset val="129"/>
      </rPr>
      <t>계약금</t>
    </r>
    <r>
      <rPr>
        <sz val="10"/>
        <color theme="1"/>
        <rFont val="Arial"/>
        <family val="2"/>
      </rPr>
      <t>)</t>
    </r>
    <phoneticPr fontId="5" type="noConversion"/>
  </si>
  <si>
    <r>
      <rPr>
        <sz val="10"/>
        <color theme="1"/>
        <rFont val="맑은 고딕"/>
        <family val="3"/>
        <charset val="129"/>
      </rPr>
      <t>비고</t>
    </r>
    <phoneticPr fontId="5" type="noConversion"/>
  </si>
  <si>
    <r>
      <rPr>
        <sz val="10"/>
        <color theme="1"/>
        <rFont val="맑은 고딕"/>
        <family val="3"/>
        <charset val="129"/>
      </rPr>
      <t>영수증</t>
    </r>
    <phoneticPr fontId="5" type="noConversion"/>
  </si>
  <si>
    <r>
      <rPr>
        <sz val="10"/>
        <color theme="1"/>
        <rFont val="맑은 고딕"/>
        <family val="3"/>
        <charset val="129"/>
      </rPr>
      <t>결제수단</t>
    </r>
    <phoneticPr fontId="5" type="noConversion"/>
  </si>
  <si>
    <r>
      <rPr>
        <sz val="10"/>
        <color theme="1"/>
        <rFont val="맑은 고딕"/>
        <family val="3"/>
        <charset val="129"/>
      </rPr>
      <t>품목</t>
    </r>
    <phoneticPr fontId="5" type="noConversion"/>
  </si>
  <si>
    <r>
      <rPr>
        <b/>
        <sz val="12"/>
        <color theme="1"/>
        <rFont val="맑은 고딕"/>
        <family val="3"/>
        <charset val="129"/>
      </rPr>
      <t>혼수</t>
    </r>
    <r>
      <rPr>
        <b/>
        <sz val="12"/>
        <color theme="1"/>
        <rFont val="Arial"/>
        <family val="2"/>
      </rPr>
      <t xml:space="preserve"> </t>
    </r>
    <r>
      <rPr>
        <b/>
        <sz val="12"/>
        <color theme="1"/>
        <rFont val="맑은 고딕"/>
        <family val="3"/>
        <charset val="129"/>
      </rPr>
      <t>비용</t>
    </r>
    <r>
      <rPr>
        <b/>
        <sz val="12"/>
        <color theme="1"/>
        <rFont val="Arial"/>
        <family val="2"/>
      </rPr>
      <t xml:space="preserve"> </t>
    </r>
    <r>
      <rPr>
        <b/>
        <sz val="12"/>
        <color theme="1"/>
        <rFont val="맑은 고딕"/>
        <family val="3"/>
        <charset val="129"/>
      </rPr>
      <t>지출</t>
    </r>
    <r>
      <rPr>
        <b/>
        <sz val="12"/>
        <color theme="1"/>
        <rFont val="Arial"/>
        <family val="2"/>
      </rPr>
      <t xml:space="preserve"> </t>
    </r>
    <r>
      <rPr>
        <b/>
        <sz val="12"/>
        <color theme="1"/>
        <rFont val="맑은 고딕"/>
        <family val="3"/>
        <charset val="129"/>
      </rPr>
      <t>대장</t>
    </r>
    <phoneticPr fontId="5" type="noConversion"/>
  </si>
  <si>
    <t>직책수당</t>
    <phoneticPr fontId="5" type="noConversion"/>
  </si>
  <si>
    <t>곽선생왕만두</t>
    <phoneticPr fontId="5" type="noConversion"/>
  </si>
  <si>
    <t>장례식(임현수)</t>
    <phoneticPr fontId="5" type="noConversion"/>
  </si>
  <si>
    <t>KFC</t>
    <phoneticPr fontId="5" type="noConversion"/>
  </si>
  <si>
    <t>롯데리아</t>
    <phoneticPr fontId="5" type="noConversion"/>
  </si>
  <si>
    <t>캉골(강지완)</t>
    <phoneticPr fontId="5" type="noConversion"/>
  </si>
  <si>
    <t>프랑세즈</t>
    <phoneticPr fontId="5" type="noConversion"/>
  </si>
  <si>
    <t>KTX(창원-서울)(부모님)</t>
    <phoneticPr fontId="5" type="noConversion"/>
  </si>
  <si>
    <t>생신용돈(아버지)</t>
    <phoneticPr fontId="5" type="noConversion"/>
  </si>
  <si>
    <t>한살림</t>
    <phoneticPr fontId="5" type="noConversion"/>
  </si>
  <si>
    <t>신세계백화점(강지완)</t>
    <phoneticPr fontId="5" type="noConversion"/>
  </si>
  <si>
    <t>브라더후드바버샵</t>
    <phoneticPr fontId="5" type="noConversion"/>
  </si>
  <si>
    <t>오연상내과</t>
    <phoneticPr fontId="5" type="noConversion"/>
  </si>
  <si>
    <t>예쁜약국</t>
    <phoneticPr fontId="5" type="noConversion"/>
  </si>
  <si>
    <t>론썸헤이드(강지완)</t>
    <phoneticPr fontId="5" type="noConversion"/>
  </si>
  <si>
    <t>건설기술인협회</t>
    <phoneticPr fontId="5" type="noConversion"/>
  </si>
  <si>
    <t>플레이팅</t>
    <phoneticPr fontId="5" type="noConversion"/>
  </si>
  <si>
    <t>여행</t>
    <phoneticPr fontId="5" type="noConversion"/>
  </si>
  <si>
    <t>신세계라이브쇼핑(팔라디움)</t>
    <phoneticPr fontId="5" type="noConversion"/>
  </si>
  <si>
    <t>손정보쌈</t>
    <phoneticPr fontId="5" type="noConversion"/>
  </si>
  <si>
    <t>곰돌이스타약국</t>
    <phoneticPr fontId="5" type="noConversion"/>
  </si>
  <si>
    <t>롯데리아</t>
    <phoneticPr fontId="5" type="noConversion"/>
  </si>
  <si>
    <t>스토리웨이</t>
    <phoneticPr fontId="5" type="noConversion"/>
  </si>
  <si>
    <t>KTX자판기</t>
    <phoneticPr fontId="5" type="noConversion"/>
  </si>
  <si>
    <t>명절용돈(시가)</t>
    <phoneticPr fontId="5" type="noConversion"/>
  </si>
  <si>
    <t>명절용돈(처가)</t>
    <phoneticPr fontId="5" type="noConversion"/>
  </si>
  <si>
    <t>명절음식비</t>
    <phoneticPr fontId="5" type="noConversion"/>
  </si>
  <si>
    <t>명절용돈(강지성)</t>
    <phoneticPr fontId="5" type="noConversion"/>
  </si>
  <si>
    <t>씨유</t>
    <phoneticPr fontId="5" type="noConversion"/>
  </si>
  <si>
    <t>쿠팡(풋조이)</t>
    <phoneticPr fontId="5" type="noConversion"/>
  </si>
  <si>
    <t>서울역주차장</t>
    <phoneticPr fontId="5" type="noConversion"/>
  </si>
  <si>
    <t>인천공항장기주차장</t>
    <phoneticPr fontId="5" type="noConversion"/>
  </si>
  <si>
    <t>남서울</t>
  </si>
  <si>
    <t>남서울</t>
    <phoneticPr fontId="5" type="noConversion"/>
  </si>
  <si>
    <t>In - Out</t>
  </si>
  <si>
    <t>안철호 (101)
김정훈 (95)
강은비 (100)</t>
    <phoneticPr fontId="5" type="noConversion"/>
  </si>
  <si>
    <t>루트52</t>
  </si>
  <si>
    <t>루트52</t>
    <phoneticPr fontId="5" type="noConversion"/>
  </si>
  <si>
    <t>A - B</t>
  </si>
  <si>
    <t>A - B</t>
    <phoneticPr fontId="5" type="noConversion"/>
  </si>
  <si>
    <t>장진욱 (95)
최우석 (95)
게스트 (98)</t>
    <phoneticPr fontId="5" type="noConversion"/>
  </si>
  <si>
    <t>안성베네스트</t>
  </si>
  <si>
    <t>안성베네스트</t>
    <phoneticPr fontId="5" type="noConversion"/>
  </si>
  <si>
    <t>북 - 서</t>
  </si>
  <si>
    <t>북 - 서</t>
    <phoneticPr fontId="5" type="noConversion"/>
  </si>
  <si>
    <t>안철호 (XXX)
양준호 (XXX)
게스트 (XXX)</t>
    <phoneticPr fontId="5" type="noConversion"/>
  </si>
  <si>
    <t>2025-03</t>
    <phoneticPr fontId="5" type="noConversion"/>
  </si>
  <si>
    <t>2025-08</t>
    <phoneticPr fontId="5" type="noConversion"/>
  </si>
  <si>
    <t>2026-02</t>
    <phoneticPr fontId="5" type="noConversion"/>
  </si>
  <si>
    <t>든든채</t>
    <phoneticPr fontId="5" type="noConversion"/>
  </si>
  <si>
    <t>아카데미타워(주차)</t>
    <phoneticPr fontId="5" type="noConversion"/>
  </si>
  <si>
    <t>가족부양수당2</t>
    <phoneticPr fontId="5" type="noConversion"/>
  </si>
  <si>
    <t>'26년 02월</t>
    <phoneticPr fontId="5" type="noConversion"/>
  </si>
  <si>
    <t>식대 (88,000)</t>
    <phoneticPr fontId="5" type="noConversion"/>
  </si>
  <si>
    <t>121샘90</t>
    <phoneticPr fontId="5" type="noConversion"/>
  </si>
  <si>
    <t>당근마켓(양지현 옷)</t>
    <phoneticPr fontId="5" type="noConversion"/>
  </si>
  <si>
    <t>신한카드(신용) 연회비</t>
    <phoneticPr fontId="5" type="noConversion"/>
  </si>
  <si>
    <t>KFC</t>
    <phoneticPr fontId="5" type="noConversion"/>
  </si>
  <si>
    <t>KTX(부모님)</t>
    <phoneticPr fontId="5" type="noConversion"/>
  </si>
  <si>
    <t>자동차(티스테이션)</t>
    <phoneticPr fontId="5" type="noConversion"/>
  </si>
  <si>
    <t>엄마손칼국수</t>
    <phoneticPr fontId="5" type="noConversion"/>
  </si>
  <si>
    <t>세븐일레븐</t>
    <phoneticPr fontId="5" type="noConversion"/>
  </si>
  <si>
    <t>다이소</t>
    <phoneticPr fontId="5" type="noConversion"/>
  </si>
  <si>
    <t>이수가</t>
    <phoneticPr fontId="5" type="noConversion"/>
  </si>
  <si>
    <t>쿠팡(오사닛캔디)</t>
    <phoneticPr fontId="5" type="noConversion"/>
  </si>
  <si>
    <t>이촌한강공원주차장</t>
    <phoneticPr fontId="5" type="noConversion"/>
  </si>
  <si>
    <t>맥도날드</t>
    <phoneticPr fontId="5" type="noConversion"/>
  </si>
  <si>
    <t>보험지급금(인의한의원)</t>
    <phoneticPr fontId="5" type="noConversion"/>
  </si>
  <si>
    <t>보험지급금(오연상내과)</t>
    <phoneticPr fontId="5" type="noConversion"/>
  </si>
  <si>
    <t>손정보쌈</t>
    <phoneticPr fontId="5" type="noConversion"/>
  </si>
  <si>
    <t>보험지급금(미국약국)</t>
    <phoneticPr fontId="5" type="noConversion"/>
  </si>
  <si>
    <t>보험지급금(연세곰돌이소아과)</t>
    <phoneticPr fontId="5" type="noConversion"/>
  </si>
  <si>
    <t>GS25</t>
    <phoneticPr fontId="5" type="noConversion"/>
  </si>
  <si>
    <t>쿠팡(홈스타)</t>
    <phoneticPr fontId="5" type="noConversion"/>
  </si>
  <si>
    <t>오토바디모터스</t>
    <phoneticPr fontId="5" type="noConversion"/>
  </si>
  <si>
    <t>문구돌이x아이즈크림</t>
    <phoneticPr fontId="5" type="noConversion"/>
  </si>
  <si>
    <t>백온생순대</t>
    <phoneticPr fontId="5" type="noConversion"/>
  </si>
  <si>
    <t>예금이자</t>
    <phoneticPr fontId="5" type="noConversion"/>
  </si>
  <si>
    <t>주일헌금(강지우)</t>
    <phoneticPr fontId="5" type="noConversion"/>
  </si>
  <si>
    <t>버거킹</t>
    <phoneticPr fontId="5" type="noConversion"/>
  </si>
  <si>
    <t>한섬팩토리아울렛</t>
    <phoneticPr fontId="5" type="noConversion"/>
  </si>
  <si>
    <t>'26년 03월</t>
    <phoneticPr fontId="5" type="noConversion"/>
  </si>
  <si>
    <t>에어서울</t>
    <phoneticPr fontId="5" type="noConversion"/>
  </si>
  <si>
    <t>신용카드 (Mr. Life) - 여행/여행</t>
    <phoneticPr fontId="5" type="noConversion"/>
  </si>
  <si>
    <t>든든채</t>
    <phoneticPr fontId="5" type="noConversion"/>
  </si>
  <si>
    <t>생신용돈(장모님)</t>
    <phoneticPr fontId="5" type="noConversion"/>
  </si>
  <si>
    <t>SPA응시료</t>
    <phoneticPr fontId="5" type="noConversion"/>
  </si>
  <si>
    <t>맥도날드</t>
    <phoneticPr fontId="5" type="noConversion"/>
  </si>
  <si>
    <t>서브웨이</t>
    <phoneticPr fontId="5" type="noConversion"/>
  </si>
  <si>
    <t>명동탕후루</t>
    <phoneticPr fontId="5" type="noConversion"/>
  </si>
  <si>
    <t>럭키스토어</t>
    <phoneticPr fontId="5" type="noConversion"/>
  </si>
  <si>
    <t>명동성당주차장</t>
    <phoneticPr fontId="5" type="noConversion"/>
  </si>
  <si>
    <t>KFC</t>
    <phoneticPr fontId="5" type="noConversion"/>
  </si>
  <si>
    <t>장례식(이천우)</t>
    <phoneticPr fontId="5" type="noConversion"/>
  </si>
  <si>
    <t>북촌유기농밀명인단팥빵</t>
    <phoneticPr fontId="5" type="noConversion"/>
  </si>
  <si>
    <t>프랑세즈</t>
    <phoneticPr fontId="5" type="noConversion"/>
  </si>
  <si>
    <t>옛날가마솥순대</t>
    <phoneticPr fontId="5" type="noConversion"/>
  </si>
  <si>
    <t>쿠팡(자동차용품)</t>
    <phoneticPr fontId="5" type="noConversion"/>
  </si>
  <si>
    <t>잭슨피자</t>
    <phoneticPr fontId="5" type="noConversion"/>
  </si>
  <si>
    <t>타임스퀘어주차장</t>
    <phoneticPr fontId="5" type="noConversion"/>
  </si>
  <si>
    <t>아트박스(강지완)</t>
    <phoneticPr fontId="5" type="noConversion"/>
  </si>
  <si>
    <t>롯데리아</t>
    <phoneticPr fontId="5" type="noConversion"/>
  </si>
  <si>
    <t>쿠팡(오사닛캔디)</t>
    <phoneticPr fontId="5" type="noConversion"/>
  </si>
  <si>
    <t>씨유</t>
    <phoneticPr fontId="5" type="noConversion"/>
  </si>
  <si>
    <t>리즈밸리글램핑펜션</t>
    <phoneticPr fontId="5" type="noConversion"/>
  </si>
  <si>
    <t>여행</t>
    <phoneticPr fontId="5" type="noConversion"/>
  </si>
  <si>
    <t>사막여우</t>
    <phoneticPr fontId="5" type="noConversion"/>
  </si>
  <si>
    <t>에버랜드</t>
    <phoneticPr fontId="5" type="noConversion"/>
  </si>
  <si>
    <t>에버랜드(식비)</t>
    <phoneticPr fontId="5" type="noConversion"/>
  </si>
  <si>
    <t>스타벅스</t>
    <phoneticPr fontId="5" type="noConversion"/>
  </si>
  <si>
    <t>'26년 04월</t>
    <phoneticPr fontId="5" type="noConversion"/>
  </si>
  <si>
    <t>식대 (49,000)</t>
    <phoneticPr fontId="5" type="noConversion"/>
  </si>
  <si>
    <t>세림문구점</t>
    <phoneticPr fontId="5" type="noConversion"/>
  </si>
  <si>
    <t>맥도날드</t>
    <phoneticPr fontId="5" type="noConversion"/>
  </si>
  <si>
    <t>써브웨이</t>
    <phoneticPr fontId="5" type="noConversion"/>
  </si>
  <si>
    <t>연세어린이사랑치과의원(강지완)</t>
    <phoneticPr fontId="5" type="noConversion"/>
  </si>
  <si>
    <t>워시존</t>
    <phoneticPr fontId="5" type="noConversion"/>
  </si>
  <si>
    <t>쿠팡(케미컬가이)</t>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</si>
  <si>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성과급</t>
    </r>
    <r>
      <rPr>
        <sz val="10"/>
        <color theme="1"/>
        <rFont val="Arial"/>
        <family val="2"/>
      </rPr>
      <t>/</t>
    </r>
    <r>
      <rPr>
        <sz val="10"/>
        <color theme="1"/>
        <rFont val="맑은 고딕"/>
        <family val="3"/>
        <charset val="129"/>
      </rPr>
      <t>격려금</t>
    </r>
    <r>
      <rPr>
        <sz val="10"/>
        <color theme="1"/>
        <rFont val="Arial"/>
        <family val="2"/>
      </rPr>
      <t>)</t>
    </r>
    <phoneticPr fontId="5" type="noConversion"/>
  </si>
  <si>
    <t>서울역사박물관</t>
    <phoneticPr fontId="5" type="noConversion"/>
  </si>
  <si>
    <t>특별용돈(어머니)</t>
    <phoneticPr fontId="5" type="noConversion"/>
  </si>
  <si>
    <t>세븐일레븐</t>
    <phoneticPr fontId="5" type="noConversion"/>
  </si>
  <si>
    <t>KFC</t>
    <phoneticPr fontId="5" type="noConversion"/>
  </si>
  <si>
    <t>퍼블로그</t>
    <phoneticPr fontId="5" type="noConversion"/>
  </si>
  <si>
    <t>씨유</t>
    <phoneticPr fontId="5" type="noConversion"/>
  </si>
  <si>
    <t>식대 (80,000) &amp; 시내대중교통 (1,200)</t>
    <phoneticPr fontId="5" type="noConversion"/>
  </si>
  <si>
    <t>카네이션</t>
    <phoneticPr fontId="5" type="noConversion"/>
  </si>
  <si>
    <t>어버이날용돈</t>
    <phoneticPr fontId="5" type="noConversion"/>
  </si>
  <si>
    <t>어린이날용돈(강지성)</t>
    <phoneticPr fontId="5" type="noConversion"/>
  </si>
  <si>
    <t>Claude</t>
    <phoneticPr fontId="5" type="noConversion"/>
  </si>
  <si>
    <t>문구돌이x아이즈크림</t>
    <phoneticPr fontId="5" type="noConversion"/>
  </si>
  <si>
    <t>프랭크버거</t>
    <phoneticPr fontId="5" type="noConversion"/>
  </si>
  <si>
    <t>서오릉피자</t>
    <phoneticPr fontId="5" type="noConversion"/>
  </si>
  <si>
    <t>쿠팡(오킵스)</t>
    <phoneticPr fontId="5" type="noConversion"/>
  </si>
  <si>
    <t>타임스퀘어주차장</t>
    <phoneticPr fontId="5" type="noConversion"/>
  </si>
  <si>
    <t>적당</t>
    <phoneticPr fontId="5" type="noConversion"/>
  </si>
  <si>
    <t>GS25</t>
    <phoneticPr fontId="5" type="noConversion"/>
  </si>
  <si>
    <t>허그맘허그인</t>
    <phoneticPr fontId="5" type="noConversion"/>
  </si>
  <si>
    <t>'26년 05월</t>
    <phoneticPr fontId="5" type="noConversion"/>
  </si>
  <si>
    <t>올드스웻바버샵</t>
    <phoneticPr fontId="5" type="noConversion"/>
  </si>
  <si>
    <t>쿤헤어(강지완)</t>
    <phoneticPr fontId="5" type="noConversion"/>
  </si>
  <si>
    <t>다이소</t>
    <phoneticPr fontId="5" type="noConversion"/>
  </si>
  <si>
    <t>포켓몬태그스타</t>
    <phoneticPr fontId="5" type="noConversion"/>
  </si>
  <si>
    <t>배스킨라빈스</t>
    <phoneticPr fontId="5" type="noConversion"/>
  </si>
  <si>
    <t>포켓몬인형</t>
    <phoneticPr fontId="5" type="noConversion"/>
  </si>
  <si>
    <t>노브랜드버거</t>
    <phoneticPr fontId="5" type="noConversion"/>
  </si>
  <si>
    <t>코엑스자판기</t>
    <phoneticPr fontId="5" type="noConversion"/>
  </si>
  <si>
    <t>KFC</t>
    <phoneticPr fontId="5" type="noConversion"/>
  </si>
  <si>
    <t>세븐일레븐</t>
    <phoneticPr fontId="5" type="noConversion"/>
  </si>
  <si>
    <t>매헌시민의숲공영주차장</t>
    <phoneticPr fontId="5" type="noConversion"/>
  </si>
  <si>
    <t>택시</t>
    <phoneticPr fontId="5" type="noConversion"/>
  </si>
  <si>
    <t>KTX(어머니)</t>
    <phoneticPr fontId="5" type="noConversion"/>
  </si>
  <si>
    <t>삼각지임시공영주차장</t>
    <phoneticPr fontId="5" type="noConversion"/>
  </si>
  <si>
    <t>GS25</t>
    <phoneticPr fontId="5" type="noConversion"/>
  </si>
  <si>
    <t>급여+성과급(2026)</t>
    <phoneticPr fontId="5" type="noConversion"/>
  </si>
  <si>
    <t>매도가</t>
    <phoneticPr fontId="5" type="noConversion"/>
  </si>
  <si>
    <t>중개보수 (0.55%)</t>
    <phoneticPr fontId="5" type="noConversion"/>
  </si>
  <si>
    <t>총 매도비용</t>
    <phoneticPr fontId="5" type="noConversion"/>
  </si>
  <si>
    <t>세후 순입금액</t>
    <phoneticPr fontId="5" type="noConversion"/>
  </si>
  <si>
    <t>양도세+지방세</t>
    <phoneticPr fontId="5" type="noConversion"/>
  </si>
  <si>
    <t>반디클 취득비용 (32억)</t>
    <phoneticPr fontId="5" type="noConversion"/>
  </si>
  <si>
    <t>추가 필요현금</t>
    <phoneticPr fontId="5" type="noConversion"/>
  </si>
  <si>
    <t>아리하 (29.5)</t>
    <phoneticPr fontId="5" type="noConversion"/>
  </si>
  <si>
    <t>총합계</t>
    <phoneticPr fontId="5" type="noConversion"/>
  </si>
  <si>
    <t>반디클 계약금</t>
    <phoneticPr fontId="5" type="noConversion"/>
  </si>
  <si>
    <t>뉴에너지</t>
    <phoneticPr fontId="5" type="noConversion"/>
  </si>
  <si>
    <t>케이크링</t>
    <phoneticPr fontId="5" type="noConversion"/>
  </si>
  <si>
    <t>써브웨이</t>
    <phoneticPr fontId="5" type="noConversion"/>
  </si>
  <si>
    <t>페이브베이커리</t>
    <phoneticPr fontId="5" type="noConversion"/>
  </si>
  <si>
    <t>아리하</t>
    <phoneticPr fontId="5" type="noConversion"/>
  </si>
  <si>
    <r>
      <t xml:space="preserve">(06/05 </t>
    </r>
    <r>
      <rPr>
        <b/>
        <sz val="10"/>
        <color theme="1"/>
        <rFont val="맑은 고딕"/>
        <family val="3"/>
        <charset val="129"/>
      </rPr>
      <t>오후</t>
    </r>
    <r>
      <rPr>
        <b/>
        <sz val="10"/>
        <color theme="1"/>
        <rFont val="Arial"/>
        <family val="2"/>
      </rPr>
      <t xml:space="preserve"> 04</t>
    </r>
    <r>
      <rPr>
        <b/>
        <sz val="10"/>
        <color theme="1"/>
        <rFont val="맑은 고딕"/>
        <family val="3"/>
        <charset val="129"/>
      </rPr>
      <t>시</t>
    </r>
    <r>
      <rPr>
        <b/>
        <sz val="10"/>
        <color theme="1"/>
        <rFont val="Arial"/>
        <family val="2"/>
      </rPr>
      <t xml:space="preserve"> 30</t>
    </r>
    <r>
      <rPr>
        <b/>
        <sz val="10"/>
        <color theme="1"/>
        <rFont val="맑은 고딕"/>
        <family val="3"/>
        <charset val="129"/>
      </rPr>
      <t>분</t>
    </r>
    <r>
      <rPr>
        <b/>
        <sz val="10"/>
        <color theme="1"/>
        <rFont val="Arial"/>
        <family val="2"/>
      </rPr>
      <t xml:space="preserve"> </t>
    </r>
    <r>
      <rPr>
        <b/>
        <sz val="10"/>
        <color theme="1"/>
        <rFont val="맑은 고딕"/>
        <family val="3"/>
        <charset val="129"/>
      </rPr>
      <t>기준</t>
    </r>
    <r>
      <rPr>
        <b/>
        <sz val="10"/>
        <color theme="1"/>
        <rFont val="Arial"/>
        <family val="2"/>
      </rPr>
      <t>)</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</si>
</sst>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76" formatCode="0.0%"/>
    <numFmt numFmtId="177" formatCode="0_);[Red]\(0\)"/>
    <numFmt numFmtId="178" formatCode="General\”"/>
    <numFmt numFmtId="179" formatCode="General\°"/>
    <numFmt numFmtId="180" formatCode="General&quot; g&quot;"/>
    <numFmt numFmtId="181" formatCode="_-#,##0_-;\-#,##0_-;_-&quot;-&quot;_-;_-@_-"/>
    <numFmt numFmtId="182" formatCode="hh:mm;@"/>
    <numFmt numFmtId="183" formatCode="0.0"/>
    <numFmt numFmtId="184" formatCode="_-* #,##0.0000_-;\-* #,##0.0000_-;_-* &quot;-&quot;??_-;_-@_-"/>
    <numFmt numFmtId="185" formatCode="m&quot;/&quot;d;@"/>
    <numFmt numFmtId="186" formatCode="#,###"/>
    <numFmt numFmtId="187" formatCode="_-* #,##0.00_-;\-* #,##0.00_-;_-* &quot;-&quot;_-;_-@_-"/>
    <numFmt numFmtId="188" formatCode="yyyy/mm/dd;@"/>
    <numFmt numFmtId="189" formatCode="yyyy/mm"/>
    <numFmt numFmtId="190" formatCode="mm\/dd"/>
    <numFmt numFmtId="191" formatCode="0E+00"/>
    <numFmt numFmtId="192" formatCode="_-* #,##0_-;\-* #,##0_-;_-* &quot;-&quot;??_-;_-@_-"/>
  </numFmts>
  <fonts count="57">
    <font>
      <sz val="11"/>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돋움"/>
      <family val="3"/>
      <charset val="129"/>
    </font>
    <font>
      <sz val="10"/>
      <color theme="1"/>
      <name val="맑은 고딕"/>
      <family val="3"/>
      <charset val="129"/>
    </font>
    <font>
      <sz val="11"/>
      <color theme="1"/>
      <name val="맑은 고딕"/>
      <family val="3"/>
      <charset val="129"/>
      <scheme val="minor"/>
    </font>
    <font>
      <sz val="10"/>
      <color theme="1"/>
      <name val="Arial"/>
      <family val="2"/>
    </font>
    <font>
      <u/>
      <sz val="11"/>
      <color theme="10"/>
      <name val="맑은 고딕"/>
      <family val="2"/>
      <charset val="129"/>
      <scheme val="minor"/>
    </font>
    <font>
      <sz val="10"/>
      <name val="Arial"/>
      <family val="2"/>
    </font>
    <font>
      <strike/>
      <sz val="10"/>
      <color theme="1"/>
      <name val="Arial"/>
      <family val="2"/>
    </font>
    <font>
      <sz val="10"/>
      <color theme="1"/>
      <name val="맑은 고딕"/>
      <family val="3"/>
      <charset val="129"/>
      <scheme val="minor"/>
    </font>
    <font>
      <sz val="11"/>
      <color theme="1"/>
      <name val="맑은 고딕"/>
      <family val="3"/>
      <scheme val="minor"/>
    </font>
    <font>
      <sz val="11"/>
      <name val="돋움"/>
      <family val="3"/>
      <charset val="129"/>
    </font>
    <font>
      <sz val="10"/>
      <color rgb="FF000000"/>
      <name val="Times New Roman"/>
      <family val="1"/>
    </font>
    <font>
      <sz val="11"/>
      <name val="돋움"/>
      <family val="3"/>
    </font>
    <font>
      <sz val="11"/>
      <color theme="1"/>
      <name val="맑은 고딕"/>
      <family val="2"/>
      <scheme val="minor"/>
    </font>
    <font>
      <sz val="10"/>
      <color theme="1"/>
      <name val="현대하모니 L"/>
      <family val="1"/>
      <charset val="129"/>
    </font>
    <font>
      <b/>
      <sz val="10"/>
      <color theme="1"/>
      <name val="Arial"/>
      <family val="2"/>
    </font>
    <font>
      <b/>
      <sz val="10"/>
      <color theme="1"/>
      <name val="맑은 고딕"/>
      <family val="3"/>
      <charset val="129"/>
    </font>
    <font>
      <sz val="11"/>
      <color theme="1"/>
      <name val="맑은 고딕"/>
      <family val="2"/>
      <charset val="129"/>
    </font>
    <font>
      <sz val="8"/>
      <name val="맑은 고딕"/>
      <family val="2"/>
      <charset val="129"/>
    </font>
    <font>
      <sz val="10"/>
      <color theme="1"/>
      <name val="aa"/>
    </font>
    <font>
      <b/>
      <sz val="10"/>
      <color rgb="FFFF0000"/>
      <name val="맑은 고딕"/>
      <family val="3"/>
      <charset val="129"/>
      <scheme val="minor"/>
    </font>
    <font>
      <b/>
      <sz val="12"/>
      <color theme="1"/>
      <name val="맑은 고딕"/>
      <family val="3"/>
      <charset val="129"/>
      <scheme val="minor"/>
    </font>
    <font>
      <u/>
      <sz val="11"/>
      <color theme="10"/>
      <name val="맑은 고딕"/>
      <family val="2"/>
      <charset val="129"/>
    </font>
    <font>
      <sz val="10"/>
      <name val="맑은 고딕"/>
      <family val="3"/>
      <charset val="129"/>
    </font>
    <font>
      <sz val="10"/>
      <color theme="1"/>
      <name val="맑은 고딕"/>
      <family val="3"/>
      <charset val="129"/>
      <scheme val="major"/>
    </font>
    <font>
      <sz val="10"/>
      <color theme="1"/>
      <name val="HY견명조"/>
      <family val="1"/>
      <charset val="129"/>
    </font>
    <font>
      <b/>
      <sz val="10"/>
      <color theme="1"/>
      <name val="맑은 고딕"/>
      <family val="3"/>
      <charset val="129"/>
      <scheme val="minor"/>
    </font>
    <font>
      <b/>
      <sz val="10"/>
      <color rgb="FF660066"/>
      <name val="현대하모니 L"/>
      <family val="1"/>
      <charset val="129"/>
    </font>
    <font>
      <b/>
      <sz val="10"/>
      <color rgb="FFFF0000"/>
      <name val="현대하모니 L"/>
      <family val="1"/>
      <charset val="129"/>
    </font>
    <font>
      <sz val="10"/>
      <name val="현대하모니 L"/>
      <family val="1"/>
      <charset val="129"/>
    </font>
    <font>
      <sz val="11"/>
      <color theme="1"/>
      <name val="현대하모니 L"/>
      <family val="1"/>
      <charset val="129"/>
    </font>
    <font>
      <sz val="11"/>
      <color theme="1"/>
      <name val="Arial"/>
      <family val="2"/>
    </font>
    <font>
      <sz val="10"/>
      <color rgb="FFFF0000"/>
      <name val="현대하모니 L"/>
      <family val="1"/>
      <charset val="129"/>
    </font>
    <font>
      <b/>
      <sz val="8"/>
      <color theme="1"/>
      <name val="현대하모니 L"/>
      <family val="1"/>
      <charset val="129"/>
    </font>
    <font>
      <b/>
      <u/>
      <sz val="14"/>
      <color theme="1"/>
      <name val="현대하모니 L"/>
      <family val="1"/>
      <charset val="129"/>
    </font>
    <font>
      <b/>
      <sz val="12"/>
      <color theme="1"/>
      <name val="현대하모니 L"/>
      <family val="1"/>
      <charset val="129"/>
    </font>
    <font>
      <sz val="8"/>
      <color theme="1"/>
      <name val="현대하모니 L"/>
      <family val="1"/>
      <charset val="129"/>
    </font>
    <font>
      <b/>
      <u/>
      <sz val="8"/>
      <color theme="1"/>
      <name val="현대하모니 L"/>
      <family val="1"/>
      <charset val="129"/>
    </font>
    <font>
      <sz val="10"/>
      <color theme="1"/>
      <name val="Arial"/>
      <family val="3"/>
      <charset val="129"/>
    </font>
    <font>
      <b/>
      <sz val="26"/>
      <color theme="1"/>
      <name val="현대하모니 L"/>
      <family val="1"/>
      <charset val="129"/>
    </font>
    <font>
      <sz val="14"/>
      <color theme="1"/>
      <name val="현대하모니 L"/>
      <family val="1"/>
      <charset val="129"/>
    </font>
    <font>
      <b/>
      <sz val="14"/>
      <color theme="1"/>
      <name val="현대하모니 L"/>
      <family val="1"/>
      <charset val="129"/>
    </font>
    <font>
      <b/>
      <sz val="11"/>
      <color theme="1"/>
      <name val="현대하모니 L"/>
      <family val="1"/>
      <charset val="129"/>
    </font>
    <font>
      <sz val="8"/>
      <name val="맑은 고딕"/>
      <family val="3"/>
      <charset val="129"/>
      <scheme val="minor"/>
    </font>
    <font>
      <sz val="11"/>
      <color rgb="FFC00000"/>
      <name val="현대하모니 L"/>
      <family val="1"/>
      <charset val="129"/>
    </font>
    <font>
      <b/>
      <sz val="10"/>
      <color theme="1"/>
      <name val="Arial"/>
      <family val="3"/>
      <charset val="129"/>
    </font>
    <font>
      <u/>
      <sz val="10"/>
      <color theme="1"/>
      <name val="맑은 고딕"/>
      <family val="3"/>
      <charset val="129"/>
    </font>
    <font>
      <u/>
      <sz val="10"/>
      <color theme="1"/>
      <name val="Arial"/>
      <family val="2"/>
    </font>
    <font>
      <b/>
      <sz val="12"/>
      <color theme="1"/>
      <name val="Arial"/>
      <family val="2"/>
    </font>
    <font>
      <b/>
      <sz val="12"/>
      <color theme="1"/>
      <name val="맑은 고딕"/>
      <family val="3"/>
      <charset val="129"/>
    </font>
    <font>
      <sz val="10"/>
      <color theme="1"/>
      <name val="맑은 고딕"/>
      <family val="2"/>
      <charset val="129"/>
    </font>
    <font>
      <sz val="11"/>
      <color theme="1"/>
      <name val="현대하모니 B"/>
      <family val="1"/>
      <charset val="129"/>
    </font>
  </fonts>
  <fills count="28">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rgb="FFBAE18F"/>
        <bgColor indexed="64"/>
      </patternFill>
    </fill>
    <fill>
      <patternFill patternType="solid">
        <fgColor theme="8" tint="0.59999389629810485"/>
        <bgColor indexed="64"/>
      </patternFill>
    </fill>
    <fill>
      <patternFill patternType="solid">
        <fgColor indexed="55"/>
        <bgColor indexed="64"/>
      </patternFill>
    </fill>
    <fill>
      <patternFill patternType="solid">
        <fgColor indexed="9"/>
        <bgColor indexed="64"/>
      </patternFill>
    </fill>
    <fill>
      <patternFill patternType="solid">
        <fgColor rgb="FFFFFF99"/>
        <bgColor indexed="64"/>
      </patternFill>
    </fill>
    <fill>
      <patternFill patternType="solid">
        <fgColor theme="6" tint="0.79998168889431442"/>
        <bgColor indexed="64"/>
      </patternFill>
    </fill>
    <fill>
      <patternFill patternType="solid">
        <fgColor rgb="FFEFE5F7"/>
        <bgColor indexed="64"/>
      </patternFill>
    </fill>
    <fill>
      <patternFill patternType="solid">
        <fgColor rgb="FFE5F7E7"/>
        <bgColor indexed="64"/>
      </patternFill>
    </fill>
    <fill>
      <patternFill patternType="solid">
        <fgColor theme="0" tint="-0.14999847407452621"/>
        <bgColor indexed="64"/>
      </patternFill>
    </fill>
    <fill>
      <patternFill patternType="solid">
        <fgColor rgb="FFEFDECD"/>
        <bgColor indexed="64"/>
      </patternFill>
    </fill>
    <fill>
      <patternFill patternType="solid">
        <fgColor rgb="FFFFFFCC"/>
        <bgColor indexed="64"/>
      </patternFill>
    </fill>
  </fills>
  <borders count="18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bottom style="thin">
        <color auto="1"/>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rgb="FF505050"/>
      </left>
      <right style="thin">
        <color rgb="FF505050"/>
      </right>
      <top style="thin">
        <color rgb="FF505050"/>
      </top>
      <bottom style="thin">
        <color rgb="FF505050"/>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thin">
        <color rgb="FF505050"/>
      </left>
      <right style="thin">
        <color rgb="FF505050"/>
      </right>
      <top/>
      <bottom style="thin">
        <color rgb="FF505050"/>
      </bottom>
      <diagonal/>
    </border>
    <border>
      <left style="medium">
        <color indexed="64"/>
      </left>
      <right style="thin">
        <color rgb="FF505050"/>
      </right>
      <top style="medium">
        <color indexed="64"/>
      </top>
      <bottom style="thin">
        <color rgb="FF505050"/>
      </bottom>
      <diagonal/>
    </border>
    <border>
      <left style="thin">
        <color rgb="FF505050"/>
      </left>
      <right style="thin">
        <color rgb="FF505050"/>
      </right>
      <top style="medium">
        <color indexed="64"/>
      </top>
      <bottom style="thin">
        <color rgb="FF505050"/>
      </bottom>
      <diagonal/>
    </border>
    <border>
      <left style="thin">
        <color rgb="FF505050"/>
      </left>
      <right style="medium">
        <color indexed="64"/>
      </right>
      <top style="medium">
        <color indexed="64"/>
      </top>
      <bottom style="thin">
        <color rgb="FF505050"/>
      </bottom>
      <diagonal/>
    </border>
    <border>
      <left style="medium">
        <color indexed="64"/>
      </left>
      <right style="thin">
        <color rgb="FF505050"/>
      </right>
      <top style="thin">
        <color rgb="FF505050"/>
      </top>
      <bottom style="thin">
        <color rgb="FF505050"/>
      </bottom>
      <diagonal/>
    </border>
    <border>
      <left style="thin">
        <color rgb="FF505050"/>
      </left>
      <right style="medium">
        <color indexed="64"/>
      </right>
      <top style="thin">
        <color rgb="FF505050"/>
      </top>
      <bottom style="thin">
        <color rgb="FF505050"/>
      </bottom>
      <diagonal/>
    </border>
    <border>
      <left style="medium">
        <color indexed="64"/>
      </left>
      <right style="thin">
        <color rgb="FF505050"/>
      </right>
      <top style="thin">
        <color rgb="FF505050"/>
      </top>
      <bottom style="medium">
        <color indexed="64"/>
      </bottom>
      <diagonal/>
    </border>
    <border>
      <left style="thin">
        <color rgb="FF505050"/>
      </left>
      <right style="thin">
        <color rgb="FF505050"/>
      </right>
      <top style="thin">
        <color rgb="FF505050"/>
      </top>
      <bottom style="medium">
        <color indexed="64"/>
      </bottom>
      <diagonal/>
    </border>
    <border>
      <left style="thin">
        <color rgb="FF505050"/>
      </left>
      <right style="medium">
        <color indexed="64"/>
      </right>
      <top style="thin">
        <color rgb="FF505050"/>
      </top>
      <bottom style="medium">
        <color indexed="64"/>
      </bottom>
      <diagonal/>
    </border>
    <border>
      <left style="medium">
        <color indexed="64"/>
      </left>
      <right style="thin">
        <color rgb="FF505050"/>
      </right>
      <top/>
      <bottom style="thin">
        <color rgb="FF505050"/>
      </bottom>
      <diagonal/>
    </border>
    <border>
      <left style="thin">
        <color rgb="FF505050"/>
      </left>
      <right style="medium">
        <color indexed="64"/>
      </right>
      <top/>
      <bottom style="thin">
        <color rgb="FF505050"/>
      </bottom>
      <diagonal/>
    </border>
    <border>
      <left style="medium">
        <color indexed="64"/>
      </left>
      <right style="thin">
        <color rgb="FF505050"/>
      </right>
      <top style="thin">
        <color rgb="FF505050"/>
      </top>
      <bottom/>
      <diagonal/>
    </border>
    <border>
      <left style="thin">
        <color rgb="FF505050"/>
      </left>
      <right style="thin">
        <color rgb="FF505050"/>
      </right>
      <top style="thin">
        <color rgb="FF505050"/>
      </top>
      <bottom/>
      <diagonal/>
    </border>
    <border>
      <left style="thin">
        <color rgb="FF505050"/>
      </left>
      <right style="medium">
        <color indexed="64"/>
      </right>
      <top style="thin">
        <color rgb="FF505050"/>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style="thin">
        <color auto="1"/>
      </right>
      <top style="medium">
        <color indexed="64"/>
      </top>
      <bottom style="thin">
        <color auto="1"/>
      </bottom>
      <diagonal/>
    </border>
    <border>
      <left style="medium">
        <color indexed="64"/>
      </left>
      <right style="thin">
        <color indexed="64"/>
      </right>
      <top/>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medium">
        <color auto="1"/>
      </left>
      <right/>
      <top style="thin">
        <color auto="1"/>
      </top>
      <bottom style="hair">
        <color auto="1"/>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top style="hair">
        <color auto="1"/>
      </top>
      <bottom style="hair">
        <color auto="1"/>
      </bottom>
      <diagonal/>
    </border>
    <border>
      <left style="medium">
        <color auto="1"/>
      </left>
      <right/>
      <top style="hair">
        <color auto="1"/>
      </top>
      <bottom style="thin">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medium">
        <color auto="1"/>
      </left>
      <right/>
      <top style="thin">
        <color auto="1"/>
      </top>
      <bottom/>
      <diagonal/>
    </border>
    <border>
      <left style="thin">
        <color auto="1"/>
      </left>
      <right style="thin">
        <color auto="1"/>
      </right>
      <top style="hair">
        <color auto="1"/>
      </top>
      <bottom style="medium">
        <color auto="1"/>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top style="medium">
        <color auto="1"/>
      </top>
      <bottom style="hair">
        <color auto="1"/>
      </bottom>
      <diagonal/>
    </border>
    <border>
      <left style="thin">
        <color auto="1"/>
      </left>
      <right style="thin">
        <color auto="1"/>
      </right>
      <top style="medium">
        <color auto="1"/>
      </top>
      <bottom style="hair">
        <color auto="1"/>
      </bottom>
      <diagonal/>
    </border>
    <border>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top style="hair">
        <color auto="1"/>
      </top>
      <bottom/>
      <diagonal/>
    </border>
    <border>
      <left style="medium">
        <color auto="1"/>
      </left>
      <right/>
      <top style="double">
        <color auto="1"/>
      </top>
      <bottom/>
      <diagonal/>
    </border>
    <border>
      <left style="thin">
        <color auto="1"/>
      </left>
      <right style="thin">
        <color auto="1"/>
      </right>
      <top style="double">
        <color auto="1"/>
      </top>
      <bottom/>
      <diagonal/>
    </border>
    <border>
      <left/>
      <right style="hair">
        <color auto="1"/>
      </right>
      <top style="double">
        <color auto="1"/>
      </top>
      <bottom/>
      <diagonal/>
    </border>
    <border>
      <left style="hair">
        <color auto="1"/>
      </left>
      <right style="hair">
        <color auto="1"/>
      </right>
      <top style="double">
        <color auto="1"/>
      </top>
      <bottom/>
      <diagonal/>
    </border>
    <border>
      <left style="hair">
        <color auto="1"/>
      </left>
      <right style="medium">
        <color auto="1"/>
      </right>
      <top style="double">
        <color auto="1"/>
      </top>
      <bottom/>
      <diagonal/>
    </border>
    <border>
      <left style="medium">
        <color auto="1"/>
      </left>
      <right/>
      <top style="hair">
        <color auto="1"/>
      </top>
      <bottom style="double">
        <color auto="1"/>
      </bottom>
      <diagonal/>
    </border>
    <border>
      <left style="thin">
        <color auto="1"/>
      </left>
      <right style="thin">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top/>
      <bottom style="thin">
        <color auto="1"/>
      </bottom>
      <diagonal/>
    </border>
    <border>
      <left/>
      <right style="hair">
        <color auto="1"/>
      </right>
      <top/>
      <bottom style="thin">
        <color auto="1"/>
      </bottom>
      <diagonal/>
    </border>
    <border>
      <left style="hair">
        <color auto="1"/>
      </left>
      <right style="medium">
        <color auto="1"/>
      </right>
      <top/>
      <bottom style="thin">
        <color auto="1"/>
      </bottom>
      <diagonal/>
    </border>
    <border>
      <left style="medium">
        <color auto="1"/>
      </left>
      <right/>
      <top/>
      <bottom style="hair">
        <color auto="1"/>
      </bottom>
      <diagonal/>
    </border>
    <border>
      <left style="medium">
        <color auto="1"/>
      </left>
      <right/>
      <top style="double">
        <color auto="1"/>
      </top>
      <bottom style="medium">
        <color auto="1"/>
      </bottom>
      <diagonal/>
    </border>
    <border>
      <left style="thin">
        <color auto="1"/>
      </left>
      <right style="thin">
        <color auto="1"/>
      </right>
      <top style="double">
        <color auto="1"/>
      </top>
      <bottom style="medium">
        <color auto="1"/>
      </bottom>
      <diagonal/>
    </border>
    <border>
      <left/>
      <right style="hair">
        <color auto="1"/>
      </right>
      <top style="double">
        <color auto="1"/>
      </top>
      <bottom style="medium">
        <color auto="1"/>
      </bottom>
      <diagonal/>
    </border>
    <border>
      <left style="hair">
        <color auto="1"/>
      </left>
      <right style="hair">
        <color auto="1"/>
      </right>
      <top style="double">
        <color auto="1"/>
      </top>
      <bottom style="medium">
        <color auto="1"/>
      </bottom>
      <diagonal/>
    </border>
    <border>
      <left style="hair">
        <color auto="1"/>
      </left>
      <right style="medium">
        <color auto="1"/>
      </right>
      <top style="double">
        <color auto="1"/>
      </top>
      <bottom style="medium">
        <color auto="1"/>
      </bottom>
      <diagonal/>
    </border>
    <border>
      <left style="thin">
        <color theme="1"/>
      </left>
      <right style="hair">
        <color theme="1"/>
      </right>
      <top style="thin">
        <color theme="1"/>
      </top>
      <bottom style="hair">
        <color theme="1"/>
      </bottom>
      <diagonal/>
    </border>
    <border>
      <left style="hair">
        <color theme="1"/>
      </left>
      <right style="hair">
        <color theme="1"/>
      </right>
      <top style="thin">
        <color theme="1"/>
      </top>
      <bottom style="hair">
        <color theme="1"/>
      </bottom>
      <diagonal/>
    </border>
    <border>
      <left style="hair">
        <color theme="1"/>
      </left>
      <right style="thin">
        <color theme="1"/>
      </right>
      <top style="thin">
        <color theme="1"/>
      </top>
      <bottom style="hair">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hair">
        <color theme="1"/>
      </right>
      <top style="thin">
        <color theme="1"/>
      </top>
      <bottom style="thin">
        <color theme="1"/>
      </bottom>
      <diagonal/>
    </border>
    <border>
      <left style="hair">
        <color theme="1"/>
      </left>
      <right style="thin">
        <color theme="1"/>
      </right>
      <top style="thin">
        <color theme="1"/>
      </top>
      <bottom style="thin">
        <color theme="1"/>
      </bottom>
      <diagonal/>
    </border>
    <border>
      <left style="thin">
        <color theme="1"/>
      </left>
      <right style="thin">
        <color theme="1"/>
      </right>
      <top style="thin">
        <color theme="1"/>
      </top>
      <bottom style="hair">
        <color theme="1"/>
      </bottom>
      <diagonal/>
    </border>
    <border>
      <left style="thin">
        <color theme="1"/>
      </left>
      <right style="hair">
        <color theme="1"/>
      </right>
      <top style="thin">
        <color theme="1"/>
      </top>
      <bottom/>
      <diagonal/>
    </border>
    <border>
      <left style="hair">
        <color theme="1"/>
      </left>
      <right style="hair">
        <color theme="1"/>
      </right>
      <top style="thin">
        <color theme="1"/>
      </top>
      <bottom/>
      <diagonal/>
    </border>
    <border>
      <left style="hair">
        <color theme="1"/>
      </left>
      <right style="thin">
        <color theme="1"/>
      </right>
      <top style="thin">
        <color theme="1"/>
      </top>
      <bottom/>
      <diagonal/>
    </border>
    <border>
      <left style="thin">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theme="1"/>
      </right>
      <top style="hair">
        <color theme="1"/>
      </top>
      <bottom style="hair">
        <color theme="1"/>
      </bottom>
      <diagonal/>
    </border>
    <border>
      <left style="hair">
        <color theme="1"/>
      </left>
      <right style="hair">
        <color theme="1"/>
      </right>
      <top/>
      <bottom style="hair">
        <color theme="1"/>
      </bottom>
      <diagonal/>
    </border>
    <border>
      <left style="hair">
        <color theme="1"/>
      </left>
      <right style="thin">
        <color theme="1"/>
      </right>
      <top/>
      <bottom style="hair">
        <color theme="1"/>
      </bottom>
      <diagonal/>
    </border>
    <border>
      <left style="thin">
        <color theme="1"/>
      </left>
      <right style="hair">
        <color theme="1"/>
      </right>
      <top/>
      <bottom style="hair">
        <color theme="1"/>
      </bottom>
      <diagonal/>
    </border>
    <border>
      <left style="thin">
        <color theme="1"/>
      </left>
      <right style="thin">
        <color theme="1"/>
      </right>
      <top style="hair">
        <color theme="1"/>
      </top>
      <bottom style="hair">
        <color theme="1"/>
      </bottom>
      <diagonal/>
    </border>
    <border>
      <left style="thin">
        <color theme="1"/>
      </left>
      <right style="hair">
        <color theme="1"/>
      </right>
      <top style="hair">
        <color theme="1"/>
      </top>
      <bottom style="thin">
        <color theme="1"/>
      </bottom>
      <diagonal/>
    </border>
    <border>
      <left style="hair">
        <color theme="1"/>
      </left>
      <right style="hair">
        <color theme="1"/>
      </right>
      <top style="hair">
        <color theme="1"/>
      </top>
      <bottom style="thin">
        <color theme="1"/>
      </bottom>
      <diagonal/>
    </border>
    <border>
      <left style="hair">
        <color theme="1"/>
      </left>
      <right style="thin">
        <color theme="1"/>
      </right>
      <top style="hair">
        <color theme="1"/>
      </top>
      <bottom style="thin">
        <color theme="1"/>
      </bottom>
      <diagonal/>
    </border>
    <border>
      <left style="thin">
        <color theme="1"/>
      </left>
      <right style="thin">
        <color theme="1"/>
      </right>
      <top style="hair">
        <color theme="1"/>
      </top>
      <bottom style="thin">
        <color theme="1"/>
      </bottom>
      <diagonal/>
    </border>
    <border>
      <left style="hair">
        <color theme="1"/>
      </left>
      <right/>
      <top style="hair">
        <color theme="1"/>
      </top>
      <bottom style="thin">
        <color theme="1"/>
      </bottom>
      <diagonal/>
    </border>
    <border>
      <left style="hair">
        <color indexed="64"/>
      </left>
      <right style="hair">
        <color theme="1"/>
      </right>
      <top style="hair">
        <color theme="1"/>
      </top>
      <bottom style="thin">
        <color theme="1"/>
      </bottom>
      <diagonal/>
    </border>
    <border>
      <left/>
      <right style="hair">
        <color theme="1"/>
      </right>
      <top style="hair">
        <color theme="1"/>
      </top>
      <bottom style="thin">
        <color theme="1"/>
      </bottom>
      <diagonal/>
    </border>
    <border>
      <left style="thin">
        <color theme="1"/>
      </left>
      <right style="thin">
        <color theme="1"/>
      </right>
      <top style="thin">
        <color theme="1"/>
      </top>
      <bottom/>
      <diagonal/>
    </border>
    <border>
      <left style="hair">
        <color theme="1"/>
      </left>
      <right/>
      <top style="thin">
        <color theme="1"/>
      </top>
      <bottom style="hair">
        <color theme="1"/>
      </bottom>
      <diagonal/>
    </border>
    <border>
      <left style="hair">
        <color theme="1"/>
      </left>
      <right style="hair">
        <color indexed="64"/>
      </right>
      <top style="thin">
        <color theme="1"/>
      </top>
      <bottom style="hair">
        <color theme="1"/>
      </bottom>
      <diagonal/>
    </border>
    <border>
      <left/>
      <right style="hair">
        <color theme="1"/>
      </right>
      <top style="thin">
        <color theme="1"/>
      </top>
      <bottom style="hair">
        <color theme="1"/>
      </bottom>
      <diagonal/>
    </border>
    <border>
      <left style="hair">
        <color theme="1"/>
      </left>
      <right style="hair">
        <color theme="1"/>
      </right>
      <top/>
      <bottom/>
      <diagonal/>
    </border>
    <border>
      <left style="hair">
        <color theme="1"/>
      </left>
      <right style="thin">
        <color theme="1"/>
      </right>
      <top/>
      <bottom/>
      <diagonal/>
    </border>
    <border>
      <left style="thin">
        <color theme="1"/>
      </left>
      <right style="hair">
        <color theme="1"/>
      </right>
      <top/>
      <bottom/>
      <diagonal/>
    </border>
    <border>
      <left style="thin">
        <color theme="1"/>
      </left>
      <right style="thin">
        <color theme="1"/>
      </right>
      <top/>
      <bottom/>
      <diagonal/>
    </border>
    <border>
      <left style="hair">
        <color theme="1"/>
      </left>
      <right/>
      <top style="hair">
        <color theme="1"/>
      </top>
      <bottom style="hair">
        <color theme="1"/>
      </bottom>
      <diagonal/>
    </border>
    <border>
      <left style="hair">
        <color theme="1"/>
      </left>
      <right style="hair">
        <color indexed="64"/>
      </right>
      <top style="hair">
        <color theme="1"/>
      </top>
      <bottom style="hair">
        <color theme="1"/>
      </bottom>
      <diagonal/>
    </border>
    <border>
      <left/>
      <right style="hair">
        <color theme="1"/>
      </right>
      <top style="hair">
        <color theme="1"/>
      </top>
      <bottom style="hair">
        <color theme="1"/>
      </bottom>
      <diagonal/>
    </border>
    <border>
      <left style="hair">
        <color theme="1"/>
      </left>
      <right style="hair">
        <color theme="1"/>
      </right>
      <top/>
      <bottom style="thin">
        <color theme="1"/>
      </bottom>
      <diagonal/>
    </border>
    <border>
      <left style="hair">
        <color theme="1"/>
      </left>
      <right style="thin">
        <color theme="1"/>
      </right>
      <top/>
      <bottom style="thin">
        <color theme="1"/>
      </bottom>
      <diagonal/>
    </border>
    <border>
      <left style="thin">
        <color theme="1"/>
      </left>
      <right style="hair">
        <color theme="1"/>
      </right>
      <top/>
      <bottom style="thin">
        <color theme="1"/>
      </bottom>
      <diagonal/>
    </border>
    <border>
      <left style="thin">
        <color theme="1"/>
      </left>
      <right style="thin">
        <color theme="1"/>
      </right>
      <top/>
      <bottom style="thin">
        <color theme="1"/>
      </bottom>
      <diagonal/>
    </border>
    <border>
      <left style="hair">
        <color theme="1"/>
      </left>
      <right style="hair">
        <color indexed="64"/>
      </right>
      <top style="hair">
        <color theme="1"/>
      </top>
      <bottom style="thin">
        <color theme="1"/>
      </bottom>
      <diagonal/>
    </border>
    <border>
      <left style="thin">
        <color theme="1"/>
      </left>
      <right style="hair">
        <color theme="1"/>
      </right>
      <top style="hair">
        <color theme="1"/>
      </top>
      <bottom/>
      <diagonal/>
    </border>
    <border>
      <left style="hair">
        <color theme="1"/>
      </left>
      <right style="thin">
        <color theme="1"/>
      </right>
      <top style="hair">
        <color theme="1"/>
      </top>
      <bottom/>
      <diagonal/>
    </border>
    <border>
      <left style="hair">
        <color theme="1"/>
      </left>
      <right style="hair">
        <color theme="1"/>
      </right>
      <top style="hair">
        <color theme="1"/>
      </top>
      <bottom/>
      <diagonal/>
    </border>
    <border>
      <left style="thin">
        <color theme="1"/>
      </left>
      <right style="thin">
        <color theme="1"/>
      </right>
      <top style="hair">
        <color theme="1"/>
      </top>
      <bottom/>
      <diagonal/>
    </border>
    <border>
      <left style="hair">
        <color theme="1"/>
      </left>
      <right/>
      <top style="hair">
        <color theme="1"/>
      </top>
      <bottom/>
      <diagonal/>
    </border>
    <border>
      <left style="hair">
        <color theme="1"/>
      </left>
      <right style="hair">
        <color indexed="64"/>
      </right>
      <top style="hair">
        <color theme="1"/>
      </top>
      <bottom/>
      <diagonal/>
    </border>
    <border>
      <left/>
      <right style="hair">
        <color theme="1"/>
      </right>
      <top style="hair">
        <color theme="1"/>
      </top>
      <bottom/>
      <diagonal/>
    </border>
    <border>
      <left style="hair">
        <color theme="1"/>
      </left>
      <right/>
      <top/>
      <bottom style="thin">
        <color theme="1"/>
      </bottom>
      <diagonal/>
    </border>
    <border>
      <left style="hair">
        <color theme="1"/>
      </left>
      <right style="hair">
        <color indexed="64"/>
      </right>
      <top/>
      <bottom style="thin">
        <color theme="1"/>
      </bottom>
      <diagonal/>
    </border>
    <border>
      <left/>
      <right style="hair">
        <color theme="1"/>
      </right>
      <top/>
      <bottom style="thin">
        <color theme="1"/>
      </bottom>
      <diagonal/>
    </border>
    <border>
      <left/>
      <right style="thin">
        <color theme="1"/>
      </right>
      <top style="hair">
        <color theme="1"/>
      </top>
      <bottom style="hair">
        <color theme="1"/>
      </bottom>
      <diagonal/>
    </border>
    <border>
      <left style="thin">
        <color theme="1"/>
      </left>
      <right style="thin">
        <color theme="1"/>
      </right>
      <top/>
      <bottom style="hair">
        <color theme="1"/>
      </bottom>
      <diagonal/>
    </border>
    <border>
      <left/>
      <right style="thin">
        <color theme="1"/>
      </right>
      <top style="hair">
        <color theme="1"/>
      </top>
      <bottom/>
      <diagonal/>
    </border>
    <border>
      <left/>
      <right style="thin">
        <color theme="1"/>
      </right>
      <top/>
      <bottom style="thin">
        <color theme="1"/>
      </bottom>
      <diagonal/>
    </border>
    <border>
      <left/>
      <right/>
      <top style="thin">
        <color auto="1"/>
      </top>
      <bottom/>
      <diagonal/>
    </border>
    <border>
      <left/>
      <right style="thin">
        <color auto="1"/>
      </right>
      <top/>
      <bottom style="thin">
        <color auto="1"/>
      </bottom>
      <diagonal/>
    </border>
    <border>
      <left/>
      <right style="thin">
        <color auto="1"/>
      </right>
      <top/>
      <bottom/>
      <diagonal/>
    </border>
  </borders>
  <cellStyleXfs count="23">
    <xf numFmtId="0" fontId="0"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0" fontId="8" fillId="0" borderId="0"/>
    <xf numFmtId="41" fontId="4" fillId="0" borderId="0" applyFont="0" applyFill="0" applyBorder="0" applyAlignment="0" applyProtection="0">
      <alignment vertical="center"/>
    </xf>
    <xf numFmtId="0" fontId="14" fillId="0" borderId="0">
      <alignment vertical="center"/>
    </xf>
    <xf numFmtId="0" fontId="15" fillId="0" borderId="0"/>
    <xf numFmtId="0" fontId="11" fillId="0" borderId="0"/>
    <xf numFmtId="0" fontId="16" fillId="0" borderId="0"/>
    <xf numFmtId="0" fontId="17" fillId="0" borderId="0"/>
    <xf numFmtId="41" fontId="3" fillId="0" borderId="0" applyFont="0" applyFill="0" applyBorder="0" applyAlignment="0" applyProtection="0">
      <alignment vertical="center"/>
    </xf>
    <xf numFmtId="0" fontId="18" fillId="0" borderId="0"/>
    <xf numFmtId="0" fontId="2" fillId="0" borderId="0">
      <alignment vertical="center"/>
    </xf>
    <xf numFmtId="41"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22" fillId="0" borderId="0">
      <alignment vertical="center"/>
    </xf>
    <xf numFmtId="41" fontId="22" fillId="0" borderId="0" applyFont="0" applyFill="0" applyBorder="0" applyAlignment="0" applyProtection="0">
      <alignment vertical="center"/>
    </xf>
    <xf numFmtId="0" fontId="4" fillId="0" borderId="0">
      <alignment vertical="center"/>
    </xf>
    <xf numFmtId="0" fontId="27" fillId="0" borderId="0" applyNumberForma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cellStyleXfs>
  <cellXfs count="815">
    <xf numFmtId="0" fontId="0" fillId="0" borderId="0" xfId="0">
      <alignment vertical="center"/>
    </xf>
    <xf numFmtId="0" fontId="9" fillId="0" borderId="0" xfId="0" applyFont="1" applyAlignment="1">
      <alignment vertical="center" shrinkToFit="1"/>
    </xf>
    <xf numFmtId="14" fontId="9" fillId="0" borderId="0" xfId="0" applyNumberFormat="1" applyFont="1" applyAlignment="1">
      <alignment horizontal="center" vertical="center" shrinkToFit="1"/>
    </xf>
    <xf numFmtId="0" fontId="9" fillId="0" borderId="0" xfId="0" applyFont="1" applyAlignment="1">
      <alignment horizontal="center" vertical="center" shrinkToFit="1"/>
    </xf>
    <xf numFmtId="0" fontId="9" fillId="0" borderId="0" xfId="0" applyFont="1">
      <alignment vertical="center"/>
    </xf>
    <xf numFmtId="0" fontId="9" fillId="0" borderId="0" xfId="0" applyFont="1" applyAlignment="1">
      <alignment horizontal="center" vertical="center"/>
    </xf>
    <xf numFmtId="41" fontId="9" fillId="0" borderId="0" xfId="2" applyFont="1">
      <alignment vertical="center"/>
    </xf>
    <xf numFmtId="177" fontId="9" fillId="0" borderId="0" xfId="2" applyNumberFormat="1" applyFont="1" applyAlignment="1">
      <alignment horizontal="center" vertical="center"/>
    </xf>
    <xf numFmtId="41" fontId="9" fillId="0" borderId="0" xfId="2" applyFont="1" applyAlignment="1">
      <alignment horizontal="center" vertical="center"/>
    </xf>
    <xf numFmtId="10" fontId="9" fillId="0" borderId="0" xfId="1" applyNumberFormat="1" applyFont="1" applyAlignment="1">
      <alignment horizontal="center" vertical="center"/>
    </xf>
    <xf numFmtId="41" fontId="9" fillId="0" borderId="0" xfId="2" applyFont="1" applyAlignment="1">
      <alignment vertical="center" shrinkToFit="1"/>
    </xf>
    <xf numFmtId="177" fontId="9" fillId="0" borderId="0" xfId="2" applyNumberFormat="1" applyFont="1" applyAlignment="1">
      <alignment horizontal="center" vertical="center" shrinkToFit="1"/>
    </xf>
    <xf numFmtId="41" fontId="9" fillId="0" borderId="0" xfId="2" applyFont="1" applyAlignment="1">
      <alignment horizontal="center" vertical="center" shrinkToFit="1"/>
    </xf>
    <xf numFmtId="10" fontId="9" fillId="0" borderId="0" xfId="1" applyNumberFormat="1" applyFont="1" applyAlignment="1">
      <alignment horizontal="center" vertical="center" shrinkToFit="1"/>
    </xf>
    <xf numFmtId="0" fontId="9" fillId="0" borderId="0" xfId="0" quotePrefix="1" applyFont="1" applyAlignment="1">
      <alignment horizontal="center" vertical="center"/>
    </xf>
    <xf numFmtId="41" fontId="9" fillId="0" borderId="0" xfId="2" quotePrefix="1" applyFont="1" applyBorder="1" applyAlignment="1">
      <alignment horizontal="center" vertical="center"/>
    </xf>
    <xf numFmtId="41" fontId="9" fillId="0" borderId="0" xfId="2" applyFont="1" applyBorder="1" applyAlignment="1">
      <alignment horizontal="center" vertical="center"/>
    </xf>
    <xf numFmtId="0" fontId="7" fillId="0" borderId="0" xfId="0" applyFont="1" applyAlignment="1">
      <alignment horizontal="center" vertical="center" shrinkToFit="1"/>
    </xf>
    <xf numFmtId="177" fontId="9" fillId="3" borderId="0" xfId="2" applyNumberFormat="1" applyFont="1" applyFill="1" applyAlignment="1">
      <alignment horizontal="center" vertical="center" shrinkToFit="1"/>
    </xf>
    <xf numFmtId="41" fontId="9" fillId="3" borderId="0" xfId="2" applyFont="1" applyFill="1" applyAlignment="1">
      <alignment horizontal="center" vertical="center" shrinkToFit="1"/>
    </xf>
    <xf numFmtId="0" fontId="9" fillId="3" borderId="0" xfId="0" applyFont="1" applyFill="1" applyAlignment="1">
      <alignment horizontal="center" vertical="center" shrinkToFit="1"/>
    </xf>
    <xf numFmtId="10" fontId="9" fillId="3" borderId="0" xfId="1" applyNumberFormat="1" applyFont="1" applyFill="1" applyAlignment="1">
      <alignment horizontal="center" vertical="center" shrinkToFit="1"/>
    </xf>
    <xf numFmtId="0" fontId="9" fillId="3" borderId="0" xfId="0" applyFont="1" applyFill="1" applyAlignment="1">
      <alignment vertical="center" shrinkToFit="1"/>
    </xf>
    <xf numFmtId="41" fontId="9" fillId="3" borderId="0" xfId="2" applyFont="1" applyFill="1" applyBorder="1" applyAlignment="1">
      <alignment horizontal="center" vertical="center" shrinkToFit="1"/>
    </xf>
    <xf numFmtId="41" fontId="9" fillId="7" borderId="0" xfId="2" applyFont="1" applyFill="1" applyBorder="1" applyAlignment="1">
      <alignment horizontal="center" vertical="center" shrinkToFit="1"/>
    </xf>
    <xf numFmtId="0" fontId="9" fillId="0" borderId="0" xfId="0" quotePrefix="1" applyFont="1" applyAlignment="1">
      <alignment horizontal="center" vertical="center" shrinkToFit="1"/>
    </xf>
    <xf numFmtId="0" fontId="19" fillId="0" borderId="0" xfId="0" applyFont="1" applyAlignment="1">
      <alignment horizontal="center" vertical="center"/>
    </xf>
    <xf numFmtId="183" fontId="19" fillId="0" borderId="0" xfId="0" applyNumberFormat="1" applyFont="1" applyAlignment="1">
      <alignment horizontal="center" vertical="center"/>
    </xf>
    <xf numFmtId="0" fontId="19" fillId="4" borderId="0" xfId="0" applyFont="1" applyFill="1" applyAlignment="1">
      <alignment horizontal="center" vertical="center"/>
    </xf>
    <xf numFmtId="0" fontId="13" fillId="0" borderId="0" xfId="0" applyFont="1" applyAlignment="1">
      <alignment horizontal="left" vertical="center" shrinkToFit="1"/>
    </xf>
    <xf numFmtId="0" fontId="9" fillId="2" borderId="15" xfId="0" applyFont="1" applyFill="1" applyBorder="1" applyAlignment="1">
      <alignment horizontal="center" vertical="center" shrinkToFit="1"/>
    </xf>
    <xf numFmtId="0" fontId="7" fillId="2" borderId="15" xfId="0" applyFont="1" applyFill="1" applyBorder="1" applyAlignment="1">
      <alignment horizontal="center" vertical="center" shrinkToFit="1"/>
    </xf>
    <xf numFmtId="41" fontId="7" fillId="2" borderId="15" xfId="2" applyFont="1" applyFill="1" applyBorder="1" applyAlignment="1">
      <alignment horizontal="center" vertical="center" shrinkToFit="1"/>
    </xf>
    <xf numFmtId="0" fontId="13" fillId="2" borderId="15" xfId="0" applyFont="1" applyFill="1" applyBorder="1" applyAlignment="1">
      <alignment horizontal="center" vertical="center" shrinkToFit="1"/>
    </xf>
    <xf numFmtId="14" fontId="9" fillId="2" borderId="15" xfId="0" applyNumberFormat="1" applyFont="1" applyFill="1" applyBorder="1" applyAlignment="1">
      <alignment horizontal="center" vertical="center" shrinkToFit="1"/>
    </xf>
    <xf numFmtId="41" fontId="9" fillId="2" borderId="15" xfId="2" applyFont="1" applyFill="1" applyBorder="1" applyAlignment="1">
      <alignment horizontal="center" vertical="center" shrinkToFit="1"/>
    </xf>
    <xf numFmtId="0" fontId="13" fillId="2" borderId="15" xfId="0" applyFont="1" applyFill="1" applyBorder="1" applyAlignment="1">
      <alignment horizontal="left" vertical="center" shrinkToFit="1"/>
    </xf>
    <xf numFmtId="0" fontId="9" fillId="2" borderId="2" xfId="0" applyFont="1" applyFill="1" applyBorder="1" applyAlignment="1">
      <alignment horizontal="center" vertical="center" shrinkToFit="1"/>
    </xf>
    <xf numFmtId="14" fontId="9" fillId="2" borderId="14" xfId="0" applyNumberFormat="1" applyFont="1" applyFill="1" applyBorder="1" applyAlignment="1">
      <alignment horizontal="center" vertical="center" shrinkToFit="1"/>
    </xf>
    <xf numFmtId="41" fontId="9" fillId="2" borderId="0" xfId="2" applyFont="1" applyFill="1" applyAlignment="1">
      <alignment vertical="center" shrinkToFit="1"/>
    </xf>
    <xf numFmtId="0" fontId="9" fillId="0" borderId="15" xfId="0" applyFont="1" applyBorder="1" applyAlignment="1">
      <alignment horizontal="center" vertical="center" shrinkToFit="1"/>
    </xf>
    <xf numFmtId="179" fontId="9" fillId="0" borderId="15" xfId="0" applyNumberFormat="1" applyFont="1" applyBorder="1" applyAlignment="1">
      <alignment horizontal="center" vertical="center" shrinkToFit="1"/>
    </xf>
    <xf numFmtId="179" fontId="12" fillId="0" borderId="15" xfId="0" applyNumberFormat="1" applyFont="1" applyBorder="1" applyAlignment="1">
      <alignment horizontal="center" vertical="center" shrinkToFit="1"/>
    </xf>
    <xf numFmtId="0" fontId="12" fillId="0" borderId="15" xfId="0" applyFont="1" applyBorder="1" applyAlignment="1">
      <alignment horizontal="center" vertical="center" shrinkToFit="1"/>
    </xf>
    <xf numFmtId="178" fontId="9" fillId="0" borderId="15" xfId="0" applyNumberFormat="1" applyFont="1" applyBorder="1" applyAlignment="1">
      <alignment horizontal="center" vertical="center" shrinkToFit="1"/>
    </xf>
    <xf numFmtId="180" fontId="9" fillId="0" borderId="15" xfId="0" applyNumberFormat="1" applyFont="1" applyBorder="1" applyAlignment="1">
      <alignment horizontal="center" vertical="center" shrinkToFit="1"/>
    </xf>
    <xf numFmtId="49" fontId="12" fillId="0" borderId="15" xfId="0" applyNumberFormat="1" applyFont="1" applyBorder="1" applyAlignment="1">
      <alignment horizontal="center" vertical="center" shrinkToFit="1"/>
    </xf>
    <xf numFmtId="178" fontId="12" fillId="0" borderId="15" xfId="0" applyNumberFormat="1" applyFont="1" applyBorder="1" applyAlignment="1">
      <alignment horizontal="center" vertical="center" shrinkToFit="1"/>
    </xf>
    <xf numFmtId="177" fontId="9" fillId="0" borderId="15" xfId="0" applyNumberFormat="1" applyFont="1" applyBorder="1" applyAlignment="1">
      <alignment horizontal="center" vertical="center" shrinkToFit="1"/>
    </xf>
    <xf numFmtId="179" fontId="9" fillId="0" borderId="15" xfId="0" quotePrefix="1" applyNumberFormat="1" applyFont="1" applyBorder="1" applyAlignment="1">
      <alignment horizontal="center" vertical="center" shrinkToFit="1"/>
    </xf>
    <xf numFmtId="14" fontId="9" fillId="0" borderId="15" xfId="0" applyNumberFormat="1" applyFont="1" applyBorder="1" applyAlignment="1">
      <alignment horizontal="center" vertical="center" shrinkToFit="1"/>
    </xf>
    <xf numFmtId="0" fontId="9" fillId="0" borderId="14" xfId="0" quotePrefix="1" applyFont="1" applyBorder="1" applyAlignment="1">
      <alignment horizontal="center" vertical="center" shrinkToFit="1"/>
    </xf>
    <xf numFmtId="0" fontId="9" fillId="0" borderId="14" xfId="0" applyFont="1" applyBorder="1" applyAlignment="1">
      <alignment horizontal="center" vertical="center" shrinkToFit="1"/>
    </xf>
    <xf numFmtId="0" fontId="9" fillId="4" borderId="15" xfId="0" applyFont="1" applyFill="1" applyBorder="1" applyAlignment="1">
      <alignment horizontal="center" vertical="center" shrinkToFit="1"/>
    </xf>
    <xf numFmtId="179" fontId="9" fillId="4" borderId="15" xfId="0" applyNumberFormat="1" applyFont="1" applyFill="1" applyBorder="1" applyAlignment="1">
      <alignment horizontal="center" vertical="center" shrinkToFit="1"/>
    </xf>
    <xf numFmtId="0" fontId="9" fillId="4" borderId="0" xfId="0" applyFont="1" applyFill="1" applyAlignment="1">
      <alignment horizontal="center" vertical="center" shrinkToFit="1"/>
    </xf>
    <xf numFmtId="180" fontId="12" fillId="0" borderId="15" xfId="0" applyNumberFormat="1" applyFont="1" applyBorder="1" applyAlignment="1">
      <alignment horizontal="center" vertical="center" shrinkToFit="1"/>
    </xf>
    <xf numFmtId="184" fontId="9" fillId="0" borderId="0" xfId="0" applyNumberFormat="1" applyFont="1" applyAlignment="1">
      <alignment horizontal="center" vertical="center"/>
    </xf>
    <xf numFmtId="0" fontId="13" fillId="0" borderId="0" xfId="0" applyFont="1" applyAlignment="1">
      <alignment horizontal="center" vertical="center"/>
    </xf>
    <xf numFmtId="0" fontId="9" fillId="2" borderId="15" xfId="0" applyFont="1" applyFill="1" applyBorder="1" applyAlignment="1">
      <alignment horizontal="center" vertical="center"/>
    </xf>
    <xf numFmtId="0" fontId="9" fillId="2" borderId="15" xfId="0" quotePrefix="1" applyFont="1" applyFill="1" applyBorder="1" applyAlignment="1">
      <alignment horizontal="center" vertical="center"/>
    </xf>
    <xf numFmtId="41" fontId="20" fillId="10" borderId="15" xfId="2" applyFont="1" applyFill="1" applyBorder="1" applyAlignment="1">
      <alignment horizontal="center" vertical="center"/>
    </xf>
    <xf numFmtId="41" fontId="9" fillId="2" borderId="15" xfId="2" applyFont="1" applyFill="1" applyBorder="1" applyAlignment="1">
      <alignment horizontal="center" vertical="center"/>
    </xf>
    <xf numFmtId="0" fontId="20" fillId="11" borderId="3" xfId="0" applyFont="1" applyFill="1" applyBorder="1" applyAlignment="1">
      <alignment horizontal="center" vertical="center" shrinkToFit="1"/>
    </xf>
    <xf numFmtId="41" fontId="20" fillId="11" borderId="15" xfId="2" applyFont="1" applyFill="1" applyBorder="1" applyAlignment="1">
      <alignment horizontal="center" vertical="center"/>
    </xf>
    <xf numFmtId="0" fontId="20" fillId="12" borderId="3" xfId="0" applyFont="1" applyFill="1" applyBorder="1" applyAlignment="1">
      <alignment horizontal="center" vertical="center" shrinkToFit="1"/>
    </xf>
    <xf numFmtId="41" fontId="20" fillId="12" borderId="15" xfId="2" applyFont="1" applyFill="1" applyBorder="1" applyAlignment="1">
      <alignment horizontal="center" vertical="center"/>
    </xf>
    <xf numFmtId="0" fontId="20" fillId="13" borderId="14" xfId="0" applyFont="1" applyFill="1" applyBorder="1">
      <alignment vertical="center"/>
    </xf>
    <xf numFmtId="41" fontId="20" fillId="13" borderId="15" xfId="2" applyFont="1" applyFill="1" applyBorder="1" applyAlignment="1">
      <alignment horizontal="center" vertical="center"/>
    </xf>
    <xf numFmtId="0" fontId="22" fillId="2" borderId="0" xfId="17" applyFill="1">
      <alignment vertical="center"/>
    </xf>
    <xf numFmtId="0" fontId="22" fillId="2" borderId="0" xfId="17" applyFill="1" applyAlignment="1">
      <alignment horizontal="center" vertical="center"/>
    </xf>
    <xf numFmtId="0" fontId="22" fillId="2" borderId="0" xfId="17" applyFill="1" applyAlignment="1">
      <alignment horizontal="left" vertical="center"/>
    </xf>
    <xf numFmtId="0" fontId="22" fillId="2" borderId="15" xfId="17" applyFill="1" applyBorder="1" applyAlignment="1">
      <alignment horizontal="center" vertical="center"/>
    </xf>
    <xf numFmtId="41" fontId="0" fillId="2" borderId="15" xfId="18" applyFont="1" applyFill="1" applyBorder="1" applyAlignment="1">
      <alignment horizontal="left" vertical="center"/>
    </xf>
    <xf numFmtId="41" fontId="0" fillId="2" borderId="15" xfId="18" applyFont="1" applyFill="1" applyBorder="1" applyAlignment="1">
      <alignment horizontal="center" vertical="center"/>
    </xf>
    <xf numFmtId="41" fontId="0" fillId="2" borderId="2" xfId="18" applyFont="1" applyFill="1" applyBorder="1" applyAlignment="1">
      <alignment horizontal="center" vertical="center"/>
    </xf>
    <xf numFmtId="41" fontId="0" fillId="2" borderId="3" xfId="18" applyFont="1" applyFill="1" applyBorder="1" applyAlignment="1">
      <alignment horizontal="center" vertical="center"/>
    </xf>
    <xf numFmtId="0" fontId="22" fillId="2" borderId="4" xfId="17" applyFill="1" applyBorder="1" applyAlignment="1">
      <alignment horizontal="center" vertical="center"/>
    </xf>
    <xf numFmtId="41" fontId="0" fillId="2" borderId="4" xfId="18" applyFont="1" applyFill="1" applyBorder="1" applyAlignment="1">
      <alignment horizontal="left" vertical="center"/>
    </xf>
    <xf numFmtId="41" fontId="0" fillId="2" borderId="2" xfId="18" applyFont="1" applyFill="1" applyBorder="1" applyAlignment="1">
      <alignment horizontal="left" vertical="center"/>
    </xf>
    <xf numFmtId="41" fontId="0" fillId="2" borderId="3" xfId="18" applyFont="1" applyFill="1" applyBorder="1" applyAlignment="1">
      <alignment horizontal="left" vertical="center"/>
    </xf>
    <xf numFmtId="41" fontId="22" fillId="2" borderId="15" xfId="17" applyNumberFormat="1" applyFill="1" applyBorder="1" applyAlignment="1">
      <alignment horizontal="center" vertical="center"/>
    </xf>
    <xf numFmtId="0" fontId="1" fillId="0" borderId="0" xfId="19" applyFont="1">
      <alignment vertical="center"/>
    </xf>
    <xf numFmtId="0" fontId="1" fillId="2" borderId="15" xfId="19" applyFont="1" applyFill="1" applyBorder="1" applyAlignment="1">
      <alignment horizontal="center" vertical="center"/>
    </xf>
    <xf numFmtId="0" fontId="1" fillId="2" borderId="0" xfId="19" applyFont="1" applyFill="1">
      <alignment vertical="center"/>
    </xf>
    <xf numFmtId="0" fontId="1" fillId="15" borderId="15" xfId="19" applyFont="1" applyFill="1" applyBorder="1" applyAlignment="1">
      <alignment horizontal="center" vertical="center"/>
    </xf>
    <xf numFmtId="185" fontId="24" fillId="15" borderId="15" xfId="19" applyNumberFormat="1" applyFont="1" applyFill="1" applyBorder="1" applyAlignment="1">
      <alignment horizontal="center" vertical="center"/>
    </xf>
    <xf numFmtId="0" fontId="9" fillId="15" borderId="15" xfId="19" applyFont="1" applyFill="1" applyBorder="1" applyAlignment="1">
      <alignment horizontal="center" vertical="center"/>
    </xf>
    <xf numFmtId="0" fontId="1" fillId="0" borderId="15" xfId="19" applyFont="1" applyBorder="1" applyAlignment="1">
      <alignment horizontal="center" vertical="center"/>
    </xf>
    <xf numFmtId="185" fontId="24" fillId="2" borderId="15" xfId="19" applyNumberFormat="1" applyFont="1" applyFill="1" applyBorder="1" applyAlignment="1">
      <alignment horizontal="center" vertical="center"/>
    </xf>
    <xf numFmtId="0" fontId="1" fillId="16" borderId="15" xfId="19" applyFont="1" applyFill="1" applyBorder="1" applyAlignment="1">
      <alignment horizontal="center" vertical="center"/>
    </xf>
    <xf numFmtId="185" fontId="24" fillId="16" borderId="15" xfId="19" applyNumberFormat="1" applyFont="1" applyFill="1" applyBorder="1" applyAlignment="1">
      <alignment horizontal="center" vertical="center"/>
    </xf>
    <xf numFmtId="0" fontId="25" fillId="16" borderId="15" xfId="19" applyFont="1" applyFill="1" applyBorder="1" applyAlignment="1">
      <alignment horizontal="center" vertical="center"/>
    </xf>
    <xf numFmtId="0" fontId="9" fillId="16" borderId="15" xfId="19" applyFont="1" applyFill="1" applyBorder="1" applyAlignment="1">
      <alignment horizontal="center" vertical="center"/>
    </xf>
    <xf numFmtId="0" fontId="1" fillId="17" borderId="15" xfId="19" applyFont="1" applyFill="1" applyBorder="1" applyAlignment="1">
      <alignment horizontal="center" vertical="center"/>
    </xf>
    <xf numFmtId="185" fontId="24" fillId="17" borderId="15" xfId="19" applyNumberFormat="1" applyFont="1" applyFill="1" applyBorder="1" applyAlignment="1">
      <alignment horizontal="center" vertical="center"/>
    </xf>
    <xf numFmtId="0" fontId="9" fillId="16" borderId="15" xfId="19" applyFont="1" applyFill="1" applyBorder="1">
      <alignment vertical="center"/>
    </xf>
    <xf numFmtId="0" fontId="9" fillId="2" borderId="15" xfId="19" applyFont="1" applyFill="1" applyBorder="1">
      <alignment vertical="center"/>
    </xf>
    <xf numFmtId="0" fontId="1" fillId="18" borderId="15" xfId="19" applyFont="1" applyFill="1" applyBorder="1" applyAlignment="1">
      <alignment horizontal="center" vertical="center"/>
    </xf>
    <xf numFmtId="185" fontId="24" fillId="18" borderId="15" xfId="19" applyNumberFormat="1" applyFont="1" applyFill="1" applyBorder="1" applyAlignment="1">
      <alignment horizontal="center" vertical="center"/>
    </xf>
    <xf numFmtId="0" fontId="25" fillId="18" borderId="15" xfId="19" applyFont="1" applyFill="1" applyBorder="1" applyAlignment="1">
      <alignment horizontal="center" vertical="center"/>
    </xf>
    <xf numFmtId="0" fontId="9" fillId="2" borderId="15" xfId="19" applyFont="1" applyFill="1" applyBorder="1" applyAlignment="1">
      <alignment horizontal="center" vertical="center"/>
    </xf>
    <xf numFmtId="0" fontId="9" fillId="17" borderId="15" xfId="19" applyFont="1" applyFill="1" applyBorder="1">
      <alignment vertical="center"/>
    </xf>
    <xf numFmtId="0" fontId="25" fillId="15" borderId="15" xfId="19" applyFont="1" applyFill="1" applyBorder="1" applyAlignment="1">
      <alignment horizontal="center" vertical="center"/>
    </xf>
    <xf numFmtId="0" fontId="9" fillId="15" borderId="15" xfId="19" applyFont="1" applyFill="1" applyBorder="1">
      <alignment vertical="center"/>
    </xf>
    <xf numFmtId="0" fontId="9" fillId="18" borderId="15" xfId="19" applyFont="1" applyFill="1" applyBorder="1">
      <alignment vertical="center"/>
    </xf>
    <xf numFmtId="0" fontId="1" fillId="0" borderId="0" xfId="19" applyFont="1" applyAlignment="1">
      <alignment horizontal="center" vertical="center"/>
    </xf>
    <xf numFmtId="0" fontId="13" fillId="0" borderId="0" xfId="0" applyFont="1">
      <alignment vertical="center"/>
    </xf>
    <xf numFmtId="14" fontId="7" fillId="0" borderId="15" xfId="0" applyNumberFormat="1" applyFont="1" applyBorder="1" applyAlignment="1">
      <alignment horizontal="center" vertical="center" shrinkToFit="1"/>
    </xf>
    <xf numFmtId="0" fontId="13" fillId="0" borderId="15" xfId="0" applyFont="1" applyBorder="1" applyAlignment="1">
      <alignment horizontal="center" vertical="center" shrinkToFit="1"/>
    </xf>
    <xf numFmtId="41" fontId="7" fillId="0" borderId="15" xfId="0" applyNumberFormat="1" applyFont="1" applyBorder="1" applyAlignment="1">
      <alignment horizontal="center" vertical="center" shrinkToFit="1"/>
    </xf>
    <xf numFmtId="41" fontId="13" fillId="0" borderId="15" xfId="0" applyNumberFormat="1" applyFont="1" applyBorder="1" applyAlignment="1">
      <alignment horizontal="center" vertical="center" shrinkToFit="1"/>
    </xf>
    <xf numFmtId="41" fontId="9" fillId="0" borderId="15" xfId="0" applyNumberFormat="1" applyFont="1" applyBorder="1" applyAlignment="1">
      <alignment horizontal="center" vertical="center" shrinkToFit="1"/>
    </xf>
    <xf numFmtId="0" fontId="13" fillId="4" borderId="15" xfId="0" applyFont="1" applyFill="1" applyBorder="1" applyAlignment="1">
      <alignment horizontal="center" vertical="center" shrinkToFit="1"/>
    </xf>
    <xf numFmtId="14" fontId="9" fillId="0" borderId="0" xfId="0" applyNumberFormat="1" applyFont="1" applyAlignment="1">
      <alignment horizontal="center" vertical="center"/>
    </xf>
    <xf numFmtId="41" fontId="9" fillId="0" borderId="0" xfId="0" applyNumberFormat="1" applyFont="1" applyAlignment="1">
      <alignment horizontal="center" vertical="center"/>
    </xf>
    <xf numFmtId="41" fontId="13" fillId="0" borderId="0" xfId="0" applyNumberFormat="1" applyFont="1" applyAlignment="1">
      <alignment horizontal="center" vertical="center"/>
    </xf>
    <xf numFmtId="0" fontId="13" fillId="0" borderId="0" xfId="0" applyFont="1" applyAlignment="1">
      <alignment horizontal="left" vertical="center"/>
    </xf>
    <xf numFmtId="0" fontId="9" fillId="2" borderId="0" xfId="17" applyFont="1" applyFill="1">
      <alignment vertical="center"/>
    </xf>
    <xf numFmtId="0" fontId="9" fillId="0" borderId="0" xfId="17" applyFont="1">
      <alignment vertical="center"/>
    </xf>
    <xf numFmtId="41" fontId="9" fillId="2" borderId="0" xfId="18" applyFont="1" applyFill="1">
      <alignment vertical="center"/>
    </xf>
    <xf numFmtId="0" fontId="9" fillId="2" borderId="15" xfId="17" applyFont="1" applyFill="1" applyBorder="1" applyAlignment="1">
      <alignment vertical="center" shrinkToFit="1"/>
    </xf>
    <xf numFmtId="41" fontId="9" fillId="2" borderId="15" xfId="18" applyFont="1" applyFill="1" applyBorder="1" applyAlignment="1">
      <alignment vertical="center" shrinkToFit="1"/>
    </xf>
    <xf numFmtId="0" fontId="9" fillId="2" borderId="15" xfId="17" applyFont="1" applyFill="1" applyBorder="1" applyAlignment="1">
      <alignment horizontal="center" vertical="center" shrinkToFit="1"/>
    </xf>
    <xf numFmtId="14" fontId="9" fillId="2" borderId="15" xfId="17" applyNumberFormat="1" applyFont="1" applyFill="1" applyBorder="1" applyAlignment="1">
      <alignment horizontal="center" vertical="center" shrinkToFit="1"/>
    </xf>
    <xf numFmtId="0" fontId="9" fillId="2" borderId="15" xfId="17" applyFont="1" applyFill="1" applyBorder="1">
      <alignment vertical="center"/>
    </xf>
    <xf numFmtId="41" fontId="9" fillId="2" borderId="15" xfId="18" applyFont="1" applyFill="1" applyBorder="1" applyAlignment="1">
      <alignment horizontal="center" vertical="center"/>
    </xf>
    <xf numFmtId="41" fontId="9" fillId="0" borderId="0" xfId="18" applyFont="1">
      <alignment vertical="center"/>
    </xf>
    <xf numFmtId="0" fontId="11" fillId="19" borderId="23"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1" fillId="20" borderId="23" xfId="0" applyFont="1" applyFill="1" applyBorder="1" applyAlignment="1">
      <alignment horizontal="center" vertical="center" wrapText="1"/>
    </xf>
    <xf numFmtId="186" fontId="11" fillId="4" borderId="23" xfId="0" applyNumberFormat="1" applyFont="1" applyFill="1" applyBorder="1" applyAlignment="1">
      <alignment horizontal="right" vertical="center" wrapText="1"/>
    </xf>
    <xf numFmtId="186" fontId="11" fillId="20" borderId="23" xfId="0" applyNumberFormat="1" applyFont="1" applyFill="1" applyBorder="1" applyAlignment="1">
      <alignment horizontal="right" vertical="center" wrapText="1"/>
    </xf>
    <xf numFmtId="186" fontId="11" fillId="6" borderId="23" xfId="0" applyNumberFormat="1" applyFont="1" applyFill="1" applyBorder="1" applyAlignment="1">
      <alignment horizontal="right" vertical="center" wrapText="1"/>
    </xf>
    <xf numFmtId="186" fontId="11" fillId="8" borderId="23" xfId="0" applyNumberFormat="1" applyFont="1" applyFill="1" applyBorder="1" applyAlignment="1">
      <alignment horizontal="right" vertical="center" wrapText="1"/>
    </xf>
    <xf numFmtId="41" fontId="9" fillId="2" borderId="15" xfId="18" applyFont="1" applyFill="1" applyBorder="1" applyAlignment="1">
      <alignment horizontal="center" vertical="center" shrinkToFit="1"/>
    </xf>
    <xf numFmtId="0" fontId="29" fillId="2" borderId="15" xfId="0" applyFont="1" applyFill="1" applyBorder="1" applyAlignment="1">
      <alignment horizontal="center" vertical="center" shrinkToFit="1"/>
    </xf>
    <xf numFmtId="0" fontId="1" fillId="2" borderId="0" xfId="19" applyFont="1" applyFill="1" applyAlignment="1">
      <alignment horizontal="center" vertical="center"/>
    </xf>
    <xf numFmtId="0" fontId="1" fillId="0" borderId="0" xfId="0" applyFont="1">
      <alignment vertical="center"/>
    </xf>
    <xf numFmtId="0" fontId="1" fillId="12" borderId="16" xfId="0" applyFont="1" applyFill="1" applyBorder="1" applyAlignment="1">
      <alignment horizontal="center" vertical="center" shrinkToFit="1"/>
    </xf>
    <xf numFmtId="0" fontId="1" fillId="2" borderId="24" xfId="0" applyFont="1" applyFill="1" applyBorder="1" applyAlignment="1">
      <alignment horizontal="center" vertical="center" shrinkToFit="1"/>
    </xf>
    <xf numFmtId="0" fontId="1" fillId="10" borderId="16" xfId="0" applyFont="1" applyFill="1" applyBorder="1" applyAlignment="1">
      <alignment horizontal="center" vertical="center" shrinkToFit="1"/>
    </xf>
    <xf numFmtId="0" fontId="9" fillId="0" borderId="24" xfId="0" applyFont="1" applyBorder="1" applyAlignment="1">
      <alignment horizontal="center" vertical="center" shrinkToFit="1"/>
    </xf>
    <xf numFmtId="0" fontId="1" fillId="0" borderId="24" xfId="0" applyFont="1" applyBorder="1" applyAlignment="1">
      <alignment horizontal="left" vertical="center" shrinkToFit="1"/>
    </xf>
    <xf numFmtId="0" fontId="1" fillId="0" borderId="16" xfId="0" applyFont="1" applyBorder="1" applyAlignment="1">
      <alignment horizontal="left" vertical="center" shrinkToFit="1"/>
    </xf>
    <xf numFmtId="41" fontId="9" fillId="0" borderId="24" xfId="0" applyNumberFormat="1" applyFont="1" applyBorder="1" applyAlignment="1">
      <alignment horizontal="center" vertical="center" shrinkToFit="1"/>
    </xf>
    <xf numFmtId="41" fontId="29" fillId="0" borderId="24" xfId="0" applyNumberFormat="1" applyFont="1" applyBorder="1" applyAlignment="1">
      <alignment horizontal="center" vertical="center" shrinkToFit="1"/>
    </xf>
    <xf numFmtId="41" fontId="9" fillId="12" borderId="24" xfId="0" applyNumberFormat="1" applyFont="1" applyFill="1" applyBorder="1" applyAlignment="1">
      <alignment horizontal="center" vertical="center" shrinkToFit="1"/>
    </xf>
    <xf numFmtId="41" fontId="9" fillId="2" borderId="24" xfId="0" applyNumberFormat="1" applyFont="1" applyFill="1" applyBorder="1" applyAlignment="1">
      <alignment horizontal="center" vertical="center" shrinkToFit="1"/>
    </xf>
    <xf numFmtId="41" fontId="9" fillId="10" borderId="24" xfId="0" applyNumberFormat="1" applyFont="1" applyFill="1" applyBorder="1" applyAlignment="1">
      <alignment horizontal="center" vertical="center" shrinkToFit="1"/>
    </xf>
    <xf numFmtId="41" fontId="6" fillId="2" borderId="24" xfId="0" applyNumberFormat="1" applyFont="1" applyFill="1" applyBorder="1" applyAlignment="1">
      <alignment horizontal="center" vertical="center" shrinkToFit="1"/>
    </xf>
    <xf numFmtId="41" fontId="9" fillId="0" borderId="24" xfId="0" applyNumberFormat="1" applyFont="1" applyBorder="1" applyAlignment="1">
      <alignment vertical="center" shrinkToFit="1"/>
    </xf>
    <xf numFmtId="41" fontId="9" fillId="12" borderId="24" xfId="0" applyNumberFormat="1" applyFont="1" applyFill="1" applyBorder="1" applyAlignment="1">
      <alignment vertical="center" shrinkToFit="1"/>
    </xf>
    <xf numFmtId="41" fontId="9" fillId="10" borderId="24" xfId="0" applyNumberFormat="1" applyFont="1" applyFill="1" applyBorder="1" applyAlignment="1">
      <alignment vertical="center" shrinkToFit="1"/>
    </xf>
    <xf numFmtId="49" fontId="13" fillId="0" borderId="24" xfId="0" applyNumberFormat="1" applyFont="1" applyBorder="1" applyAlignment="1">
      <alignment horizontal="center" vertical="center" shrinkToFit="1"/>
    </xf>
    <xf numFmtId="0" fontId="13" fillId="0" borderId="24" xfId="0" applyFont="1" applyBorder="1" applyAlignment="1">
      <alignment horizontal="center" vertical="center" shrinkToFit="1"/>
    </xf>
    <xf numFmtId="14" fontId="9" fillId="0" borderId="24" xfId="0" applyNumberFormat="1" applyFont="1" applyBorder="1" applyAlignment="1">
      <alignment horizontal="center" vertical="center" shrinkToFit="1"/>
    </xf>
    <xf numFmtId="0" fontId="13" fillId="0" borderId="24" xfId="0" applyFont="1" applyBorder="1" applyAlignment="1">
      <alignment horizontal="left" vertical="center" shrinkToFit="1"/>
    </xf>
    <xf numFmtId="0" fontId="9" fillId="0" borderId="24" xfId="0" applyFont="1" applyBorder="1" applyAlignment="1">
      <alignment horizontal="left" vertical="center" wrapText="1" shrinkToFit="1"/>
    </xf>
    <xf numFmtId="14" fontId="6" fillId="0" borderId="24" xfId="0" applyNumberFormat="1" applyFont="1" applyBorder="1" applyAlignment="1">
      <alignment horizontal="center" vertical="center" shrinkToFit="1"/>
    </xf>
    <xf numFmtId="41" fontId="7" fillId="0" borderId="24" xfId="0" applyNumberFormat="1"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32" xfId="0" applyFont="1" applyBorder="1" applyAlignment="1">
      <alignment horizontal="center" vertical="center" shrinkToFit="1"/>
    </xf>
    <xf numFmtId="0" fontId="1" fillId="2" borderId="31" xfId="0" applyFont="1" applyFill="1" applyBorder="1" applyAlignment="1">
      <alignment horizontal="center" vertical="center" shrinkToFit="1"/>
    </xf>
    <xf numFmtId="0" fontId="1" fillId="2" borderId="15" xfId="0" applyFont="1" applyFill="1" applyBorder="1" applyAlignment="1">
      <alignment horizontal="center" vertical="center" shrinkToFit="1"/>
    </xf>
    <xf numFmtId="0" fontId="1" fillId="0" borderId="15" xfId="0" applyFont="1" applyBorder="1" applyAlignment="1">
      <alignment horizontal="center" vertical="center" shrinkToFit="1"/>
    </xf>
    <xf numFmtId="0" fontId="1" fillId="0" borderId="15" xfId="0" applyFont="1" applyBorder="1" applyAlignment="1">
      <alignment horizontal="left" vertical="center" shrinkToFit="1"/>
    </xf>
    <xf numFmtId="41" fontId="9" fillId="0" borderId="30" xfId="0" applyNumberFormat="1" applyFont="1" applyBorder="1" applyAlignment="1">
      <alignment horizontal="center" vertical="center" shrinkToFit="1"/>
    </xf>
    <xf numFmtId="41" fontId="9" fillId="0" borderId="31" xfId="0" applyNumberFormat="1" applyFont="1" applyBorder="1" applyAlignment="1">
      <alignment horizontal="center" vertical="center" shrinkToFit="1"/>
    </xf>
    <xf numFmtId="14" fontId="9" fillId="0" borderId="30" xfId="0" applyNumberFormat="1" applyFont="1" applyBorder="1" applyAlignment="1">
      <alignment horizontal="center" vertical="center" shrinkToFit="1"/>
    </xf>
    <xf numFmtId="41" fontId="13" fillId="0" borderId="32" xfId="0" applyNumberFormat="1" applyFont="1" applyBorder="1" applyAlignment="1">
      <alignment horizontal="center" vertical="center" shrinkToFit="1"/>
    </xf>
    <xf numFmtId="41" fontId="9" fillId="2" borderId="31" xfId="0" applyNumberFormat="1" applyFont="1" applyFill="1" applyBorder="1" applyAlignment="1">
      <alignment horizontal="center" vertical="center" shrinkToFit="1"/>
    </xf>
    <xf numFmtId="41" fontId="9" fillId="2" borderId="15" xfId="0" applyNumberFormat="1" applyFont="1" applyFill="1" applyBorder="1" applyAlignment="1">
      <alignment horizontal="center" vertical="center" shrinkToFit="1"/>
    </xf>
    <xf numFmtId="41" fontId="13" fillId="2" borderId="15" xfId="0" applyNumberFormat="1" applyFont="1" applyFill="1" applyBorder="1" applyAlignment="1">
      <alignment horizontal="center" vertical="center" shrinkToFit="1"/>
    </xf>
    <xf numFmtId="41" fontId="9" fillId="0" borderId="37" xfId="0" applyNumberFormat="1" applyFont="1" applyBorder="1" applyAlignment="1">
      <alignment vertical="center" shrinkToFit="1"/>
    </xf>
    <xf numFmtId="41" fontId="9" fillId="0" borderId="38" xfId="0" applyNumberFormat="1" applyFont="1" applyBorder="1" applyAlignment="1">
      <alignment vertical="center" shrinkToFit="1"/>
    </xf>
    <xf numFmtId="41" fontId="13" fillId="0" borderId="37" xfId="0" applyNumberFormat="1" applyFont="1" applyBorder="1" applyAlignment="1">
      <alignment horizontal="center" vertical="center" shrinkToFit="1"/>
    </xf>
    <xf numFmtId="41" fontId="13" fillId="0" borderId="41" xfId="0" applyNumberFormat="1" applyFont="1" applyBorder="1" applyAlignment="1">
      <alignment horizontal="center" vertical="center" shrinkToFit="1"/>
    </xf>
    <xf numFmtId="41" fontId="9" fillId="0" borderId="16" xfId="0" applyNumberFormat="1" applyFont="1" applyBorder="1" applyAlignment="1">
      <alignment vertical="center" shrinkToFit="1"/>
    </xf>
    <xf numFmtId="49" fontId="13" fillId="0" borderId="16" xfId="0" applyNumberFormat="1" applyFont="1" applyBorder="1" applyAlignment="1">
      <alignment horizontal="center" vertical="center" shrinkToFit="1"/>
    </xf>
    <xf numFmtId="0" fontId="13" fillId="0" borderId="15" xfId="0" applyFont="1" applyBorder="1" applyAlignment="1">
      <alignment horizontal="left" vertical="center" shrinkToFit="1"/>
    </xf>
    <xf numFmtId="0" fontId="9" fillId="0" borderId="15" xfId="0" applyFont="1" applyBorder="1" applyAlignment="1">
      <alignment horizontal="left" vertical="center" wrapText="1" shrinkToFit="1"/>
    </xf>
    <xf numFmtId="10" fontId="9" fillId="2" borderId="15" xfId="1" applyNumberFormat="1" applyFont="1" applyFill="1" applyBorder="1" applyAlignment="1">
      <alignment horizontal="center" vertical="center"/>
    </xf>
    <xf numFmtId="10" fontId="20" fillId="10" borderId="15" xfId="1" applyNumberFormat="1" applyFont="1" applyFill="1" applyBorder="1" applyAlignment="1">
      <alignment horizontal="center" vertical="center"/>
    </xf>
    <xf numFmtId="10" fontId="20" fillId="11" borderId="15" xfId="1" applyNumberFormat="1" applyFont="1" applyFill="1" applyBorder="1" applyAlignment="1">
      <alignment horizontal="center" vertical="center"/>
    </xf>
    <xf numFmtId="10" fontId="20" fillId="12" borderId="15" xfId="1" applyNumberFormat="1" applyFont="1" applyFill="1" applyBorder="1" applyAlignment="1">
      <alignment horizontal="center" vertical="center"/>
    </xf>
    <xf numFmtId="10" fontId="20" fillId="13" borderId="15" xfId="1" applyNumberFormat="1" applyFont="1" applyFill="1" applyBorder="1" applyAlignment="1">
      <alignment horizontal="center" vertical="center"/>
    </xf>
    <xf numFmtId="0" fontId="9" fillId="21" borderId="15" xfId="0" quotePrefix="1" applyFont="1" applyFill="1" applyBorder="1" applyAlignment="1">
      <alignment horizontal="center" vertical="center"/>
    </xf>
    <xf numFmtId="41" fontId="9" fillId="21" borderId="15" xfId="2" applyFont="1" applyFill="1" applyBorder="1" applyAlignment="1">
      <alignment horizontal="center" vertical="center"/>
    </xf>
    <xf numFmtId="0" fontId="20" fillId="10" borderId="14" xfId="0" applyFont="1" applyFill="1" applyBorder="1" applyAlignment="1">
      <alignment horizontal="center" vertical="center" shrinkToFit="1"/>
    </xf>
    <xf numFmtId="41" fontId="20" fillId="2" borderId="15" xfId="2" applyFont="1" applyFill="1" applyBorder="1" applyAlignment="1">
      <alignment horizontal="center" vertical="center"/>
    </xf>
    <xf numFmtId="41" fontId="20" fillId="21" borderId="15" xfId="2" applyFont="1" applyFill="1" applyBorder="1" applyAlignment="1">
      <alignment horizontal="center" vertical="center"/>
    </xf>
    <xf numFmtId="0" fontId="20" fillId="0" borderId="0" xfId="0" applyFont="1" applyAlignment="1">
      <alignment horizontal="center" vertical="center"/>
    </xf>
    <xf numFmtId="0" fontId="20" fillId="11" borderId="14" xfId="0" applyFont="1" applyFill="1" applyBorder="1" applyAlignment="1">
      <alignment horizontal="center" vertical="center" shrinkToFit="1"/>
    </xf>
    <xf numFmtId="10" fontId="20" fillId="21" borderId="15" xfId="1" applyNumberFormat="1" applyFont="1" applyFill="1" applyBorder="1" applyAlignment="1">
      <alignment horizontal="center" vertical="center"/>
    </xf>
    <xf numFmtId="10" fontId="9" fillId="21" borderId="15" xfId="1" applyNumberFormat="1" applyFont="1" applyFill="1" applyBorder="1" applyAlignment="1">
      <alignment horizontal="center" vertical="center"/>
    </xf>
    <xf numFmtId="0" fontId="9" fillId="21" borderId="15" xfId="0" applyFont="1" applyFill="1" applyBorder="1" applyAlignment="1">
      <alignment horizontal="center" vertical="center"/>
    </xf>
    <xf numFmtId="0" fontId="9" fillId="2" borderId="24" xfId="0" applyFont="1" applyFill="1" applyBorder="1" applyAlignment="1">
      <alignment horizontal="center" vertical="center" shrinkToFit="1"/>
    </xf>
    <xf numFmtId="14" fontId="7" fillId="2" borderId="24" xfId="0" applyNumberFormat="1" applyFont="1" applyFill="1" applyBorder="1" applyAlignment="1">
      <alignment horizontal="center" vertical="center" shrinkToFit="1"/>
    </xf>
    <xf numFmtId="0" fontId="13" fillId="2" borderId="24" xfId="0" applyFont="1" applyFill="1" applyBorder="1" applyAlignment="1">
      <alignment horizontal="center" vertical="center" shrinkToFit="1"/>
    </xf>
    <xf numFmtId="41" fontId="7" fillId="2" borderId="24" xfId="0" applyNumberFormat="1" applyFont="1" applyFill="1" applyBorder="1" applyAlignment="1">
      <alignment horizontal="center" vertical="center" shrinkToFit="1"/>
    </xf>
    <xf numFmtId="41" fontId="13" fillId="2" borderId="24" xfId="0" applyNumberFormat="1" applyFont="1" applyFill="1" applyBorder="1" applyAlignment="1">
      <alignment horizontal="center" vertical="center" shrinkToFit="1"/>
    </xf>
    <xf numFmtId="0" fontId="9" fillId="2" borderId="0" xfId="0" applyFont="1" applyFill="1" applyAlignment="1">
      <alignment horizontal="center" vertical="center" shrinkToFit="1"/>
    </xf>
    <xf numFmtId="14" fontId="7" fillId="2" borderId="0" xfId="0" applyNumberFormat="1" applyFont="1" applyFill="1" applyAlignment="1">
      <alignment horizontal="center" vertical="center" shrinkToFit="1"/>
    </xf>
    <xf numFmtId="0" fontId="13" fillId="2" borderId="0" xfId="0" applyFont="1" applyFill="1" applyAlignment="1">
      <alignment horizontal="center" vertical="center" shrinkToFit="1"/>
    </xf>
    <xf numFmtId="41" fontId="7" fillId="2" borderId="0" xfId="0" applyNumberFormat="1" applyFont="1" applyFill="1" applyAlignment="1">
      <alignment horizontal="center" vertical="center" shrinkToFit="1"/>
    </xf>
    <xf numFmtId="0" fontId="13" fillId="2" borderId="0" xfId="0" applyFont="1" applyFill="1">
      <alignment vertical="center"/>
    </xf>
    <xf numFmtId="0" fontId="13" fillId="2" borderId="0" xfId="0" applyFont="1" applyFill="1" applyAlignment="1">
      <alignment horizontal="center" vertical="center"/>
    </xf>
    <xf numFmtId="0" fontId="9" fillId="2" borderId="0" xfId="0" applyFont="1" applyFill="1">
      <alignment vertical="center"/>
    </xf>
    <xf numFmtId="14" fontId="9" fillId="2" borderId="0" xfId="0" applyNumberFormat="1" applyFont="1" applyFill="1" applyAlignment="1">
      <alignment horizontal="center" vertical="center"/>
    </xf>
    <xf numFmtId="41" fontId="9" fillId="2" borderId="0" xfId="0" applyNumberFormat="1" applyFont="1" applyFill="1" applyAlignment="1">
      <alignment horizontal="center" vertical="center"/>
    </xf>
    <xf numFmtId="41" fontId="13" fillId="2" borderId="0" xfId="0" applyNumberFormat="1" applyFont="1" applyFill="1" applyAlignment="1">
      <alignment horizontal="center" vertical="center"/>
    </xf>
    <xf numFmtId="0" fontId="13" fillId="2" borderId="0" xfId="0" applyFont="1" applyFill="1" applyAlignment="1">
      <alignment horizontal="left" vertical="center"/>
    </xf>
    <xf numFmtId="41" fontId="20" fillId="2" borderId="24" xfId="0" applyNumberFormat="1" applyFont="1" applyFill="1" applyBorder="1" applyAlignment="1">
      <alignment horizontal="center" vertical="center" shrinkToFit="1"/>
    </xf>
    <xf numFmtId="41" fontId="31" fillId="2" borderId="24" xfId="0" applyNumberFormat="1" applyFont="1" applyFill="1" applyBorder="1" applyAlignment="1">
      <alignment horizontal="center" vertical="center" shrinkToFit="1"/>
    </xf>
    <xf numFmtId="178" fontId="9" fillId="4" borderId="15" xfId="0" applyNumberFormat="1" applyFont="1" applyFill="1" applyBorder="1" applyAlignment="1">
      <alignment horizontal="center" vertical="center" shrinkToFit="1"/>
    </xf>
    <xf numFmtId="0" fontId="9" fillId="2" borderId="0" xfId="0" applyFont="1" applyFill="1" applyAlignment="1">
      <alignment horizontal="center" vertical="center"/>
    </xf>
    <xf numFmtId="0" fontId="19" fillId="0" borderId="1" xfId="0" applyFont="1" applyBorder="1" applyAlignment="1">
      <alignment horizontal="center" vertical="center" shrinkToFit="1"/>
    </xf>
    <xf numFmtId="0" fontId="19" fillId="0" borderId="0" xfId="0" applyFont="1" applyAlignment="1">
      <alignment horizontal="center" vertical="center" shrinkToFit="1"/>
    </xf>
    <xf numFmtId="0" fontId="19" fillId="0" borderId="7" xfId="0" applyFont="1" applyBorder="1" applyAlignment="1">
      <alignment horizontal="center" vertical="center" shrinkToFit="1"/>
    </xf>
    <xf numFmtId="181" fontId="19" fillId="0" borderId="7" xfId="2" applyNumberFormat="1" applyFont="1" applyBorder="1" applyAlignment="1">
      <alignment horizontal="center" vertical="center" shrinkToFit="1"/>
    </xf>
    <xf numFmtId="181" fontId="19" fillId="0" borderId="8" xfId="2" applyNumberFormat="1" applyFont="1" applyBorder="1" applyAlignment="1">
      <alignment horizontal="center" vertical="center" shrinkToFit="1"/>
    </xf>
    <xf numFmtId="0" fontId="19" fillId="0" borderId="5" xfId="0" applyFont="1" applyBorder="1" applyAlignment="1">
      <alignment horizontal="center" vertical="center" shrinkToFit="1"/>
    </xf>
    <xf numFmtId="181" fontId="32" fillId="5" borderId="5" xfId="2" applyNumberFormat="1" applyFont="1" applyFill="1" applyBorder="1" applyAlignment="1">
      <alignment horizontal="center" vertical="center" shrinkToFit="1"/>
    </xf>
    <xf numFmtId="181" fontId="19" fillId="0" borderId="5" xfId="2" applyNumberFormat="1" applyFont="1" applyBorder="1" applyAlignment="1">
      <alignment horizontal="center" vertical="center" shrinkToFit="1"/>
    </xf>
    <xf numFmtId="181" fontId="19" fillId="0" borderId="10" xfId="2" applyNumberFormat="1" applyFont="1" applyBorder="1" applyAlignment="1">
      <alignment horizontal="center" vertical="center" shrinkToFit="1"/>
    </xf>
    <xf numFmtId="176" fontId="19" fillId="0" borderId="5" xfId="1" applyNumberFormat="1" applyFont="1" applyBorder="1" applyAlignment="1">
      <alignment horizontal="center" vertical="center" shrinkToFit="1"/>
    </xf>
    <xf numFmtId="181" fontId="33" fillId="4" borderId="5" xfId="2" applyNumberFormat="1" applyFont="1" applyFill="1" applyBorder="1" applyAlignment="1">
      <alignment horizontal="center" vertical="center" shrinkToFit="1"/>
    </xf>
    <xf numFmtId="0" fontId="19" fillId="0" borderId="12" xfId="0" applyFont="1" applyBorder="1" applyAlignment="1">
      <alignment horizontal="center" vertical="center" shrinkToFit="1"/>
    </xf>
    <xf numFmtId="181" fontId="19" fillId="0" borderId="12" xfId="2" applyNumberFormat="1" applyFont="1" applyBorder="1" applyAlignment="1">
      <alignment horizontal="center" vertical="center" shrinkToFit="1"/>
    </xf>
    <xf numFmtId="181" fontId="19" fillId="9" borderId="12" xfId="2" applyNumberFormat="1" applyFont="1" applyFill="1" applyBorder="1" applyAlignment="1">
      <alignment horizontal="center" vertical="center" shrinkToFit="1"/>
    </xf>
    <xf numFmtId="181" fontId="19" fillId="6" borderId="12" xfId="2" applyNumberFormat="1" applyFont="1" applyFill="1" applyBorder="1" applyAlignment="1">
      <alignment horizontal="center" vertical="center" shrinkToFit="1"/>
    </xf>
    <xf numFmtId="181" fontId="19" fillId="0" borderId="13" xfId="2" applyNumberFormat="1" applyFont="1" applyBorder="1" applyAlignment="1">
      <alignment horizontal="center" vertical="center" shrinkToFit="1"/>
    </xf>
    <xf numFmtId="181" fontId="19" fillId="8" borderId="12" xfId="2" applyNumberFormat="1" applyFont="1" applyFill="1" applyBorder="1" applyAlignment="1">
      <alignment horizontal="center" vertical="center" shrinkToFit="1"/>
    </xf>
    <xf numFmtId="181" fontId="19" fillId="6" borderId="13" xfId="2" applyNumberFormat="1" applyFont="1" applyFill="1" applyBorder="1" applyAlignment="1">
      <alignment horizontal="center" vertical="center" shrinkToFit="1"/>
    </xf>
    <xf numFmtId="181" fontId="19" fillId="0" borderId="12" xfId="2" applyNumberFormat="1" applyFont="1" applyFill="1" applyBorder="1" applyAlignment="1">
      <alignment horizontal="center" vertical="center" shrinkToFit="1"/>
    </xf>
    <xf numFmtId="181" fontId="19" fillId="9" borderId="13" xfId="2" applyNumberFormat="1" applyFont="1" applyFill="1" applyBorder="1" applyAlignment="1">
      <alignment horizontal="center" vertical="center" shrinkToFit="1"/>
    </xf>
    <xf numFmtId="181" fontId="19" fillId="3" borderId="13" xfId="2" applyNumberFormat="1" applyFont="1" applyFill="1" applyBorder="1" applyAlignment="1">
      <alignment horizontal="center" vertical="center" shrinkToFit="1"/>
    </xf>
    <xf numFmtId="181" fontId="19" fillId="3" borderId="12" xfId="2" applyNumberFormat="1" applyFont="1" applyFill="1" applyBorder="1" applyAlignment="1">
      <alignment horizontal="center" vertical="center" shrinkToFit="1"/>
    </xf>
    <xf numFmtId="41" fontId="19" fillId="0" borderId="0" xfId="2" applyFont="1">
      <alignment vertical="center"/>
    </xf>
    <xf numFmtId="10" fontId="19" fillId="0" borderId="0" xfId="2" applyNumberFormat="1" applyFont="1" applyAlignment="1">
      <alignment horizontal="center" vertical="center"/>
    </xf>
    <xf numFmtId="177" fontId="19" fillId="0" borderId="0" xfId="2" applyNumberFormat="1" applyFont="1" applyAlignment="1">
      <alignment horizontal="center" vertical="center"/>
    </xf>
    <xf numFmtId="10" fontId="19" fillId="0" borderId="0" xfId="1" applyNumberFormat="1" applyFont="1">
      <alignment vertical="center"/>
    </xf>
    <xf numFmtId="187" fontId="19" fillId="0" borderId="0" xfId="2" applyNumberFormat="1" applyFont="1">
      <alignment vertical="center"/>
    </xf>
    <xf numFmtId="177" fontId="19" fillId="0" borderId="58" xfId="2" applyNumberFormat="1" applyFont="1" applyBorder="1" applyAlignment="1">
      <alignment horizontal="center" vertical="center"/>
    </xf>
    <xf numFmtId="10" fontId="19" fillId="0" borderId="58" xfId="1" applyNumberFormat="1" applyFont="1" applyBorder="1">
      <alignment vertical="center"/>
    </xf>
    <xf numFmtId="187" fontId="19" fillId="0" borderId="58" xfId="2" applyNumberFormat="1" applyFont="1" applyBorder="1">
      <alignment vertical="center"/>
    </xf>
    <xf numFmtId="41" fontId="19" fillId="0" borderId="58" xfId="2" applyFont="1" applyBorder="1">
      <alignment vertical="center"/>
    </xf>
    <xf numFmtId="10" fontId="19" fillId="0" borderId="0" xfId="2" applyNumberFormat="1" applyFont="1">
      <alignment vertical="center"/>
    </xf>
    <xf numFmtId="41" fontId="19" fillId="4" borderId="0" xfId="2" applyFont="1" applyFill="1">
      <alignment vertical="center"/>
    </xf>
    <xf numFmtId="10" fontId="19" fillId="4" borderId="0" xfId="1" applyNumberFormat="1" applyFont="1" applyFill="1">
      <alignment vertical="center"/>
    </xf>
    <xf numFmtId="41" fontId="19" fillId="0" borderId="0" xfId="2" applyFont="1" applyFill="1">
      <alignment vertical="center"/>
    </xf>
    <xf numFmtId="10" fontId="19" fillId="0" borderId="0" xfId="1" applyNumberFormat="1" applyFont="1" applyFill="1">
      <alignment vertical="center"/>
    </xf>
    <xf numFmtId="0" fontId="19" fillId="0" borderId="0" xfId="0" applyFont="1">
      <alignment vertical="center"/>
    </xf>
    <xf numFmtId="0" fontId="19" fillId="0" borderId="0" xfId="0" quotePrefix="1" applyFont="1" applyAlignment="1">
      <alignment horizontal="center" vertical="center"/>
    </xf>
    <xf numFmtId="14" fontId="19" fillId="0" borderId="0" xfId="0" applyNumberFormat="1" applyFont="1" applyAlignment="1">
      <alignment horizontal="center" vertical="center"/>
    </xf>
    <xf numFmtId="188" fontId="19" fillId="0" borderId="0" xfId="0" applyNumberFormat="1" applyFont="1" applyAlignment="1">
      <alignment horizontal="center" vertical="center"/>
    </xf>
    <xf numFmtId="0" fontId="19" fillId="8" borderId="0" xfId="0" applyFont="1" applyFill="1" applyAlignment="1">
      <alignment horizontal="center" vertical="center"/>
    </xf>
    <xf numFmtId="181" fontId="19" fillId="8" borderId="13" xfId="2" applyNumberFormat="1" applyFont="1" applyFill="1" applyBorder="1" applyAlignment="1">
      <alignment horizontal="center" vertical="center" shrinkToFit="1"/>
    </xf>
    <xf numFmtId="0" fontId="19" fillId="0" borderId="0" xfId="0" quotePrefix="1" applyFont="1">
      <alignment vertical="center"/>
    </xf>
    <xf numFmtId="0" fontId="19" fillId="0" borderId="21" xfId="0" applyFont="1" applyBorder="1">
      <alignment vertical="center"/>
    </xf>
    <xf numFmtId="41" fontId="19" fillId="0" borderId="21" xfId="0" applyNumberFormat="1" applyFont="1" applyBorder="1">
      <alignment vertical="center"/>
    </xf>
    <xf numFmtId="0" fontId="19" fillId="0" borderId="21" xfId="0" applyFont="1" applyBorder="1" applyAlignment="1">
      <alignment vertical="center" wrapText="1"/>
    </xf>
    <xf numFmtId="0" fontId="19" fillId="0" borderId="21" xfId="0" quotePrefix="1" applyFont="1" applyBorder="1">
      <alignment vertical="center"/>
    </xf>
    <xf numFmtId="41" fontId="19" fillId="0" borderId="0" xfId="0" applyNumberFormat="1" applyFont="1">
      <alignment vertical="center"/>
    </xf>
    <xf numFmtId="0" fontId="34" fillId="0" borderId="21" xfId="0" applyFont="1" applyBorder="1">
      <alignment vertical="center"/>
    </xf>
    <xf numFmtId="0" fontId="19" fillId="0" borderId="45" xfId="0" applyFont="1" applyBorder="1">
      <alignment vertical="center"/>
    </xf>
    <xf numFmtId="41" fontId="19" fillId="0" borderId="46" xfId="0" applyNumberFormat="1" applyFont="1" applyBorder="1">
      <alignment vertical="center"/>
    </xf>
    <xf numFmtId="0" fontId="19" fillId="0" borderId="47" xfId="0" applyFont="1" applyBorder="1">
      <alignment vertical="center"/>
    </xf>
    <xf numFmtId="0" fontId="19" fillId="0" borderId="48" xfId="0" applyFont="1" applyBorder="1">
      <alignment vertical="center"/>
    </xf>
    <xf numFmtId="0" fontId="34" fillId="0" borderId="49" xfId="0" applyFont="1" applyBorder="1">
      <alignment vertical="center"/>
    </xf>
    <xf numFmtId="0" fontId="19" fillId="0" borderId="49" xfId="0" applyFont="1" applyBorder="1">
      <alignment vertical="center"/>
    </xf>
    <xf numFmtId="0" fontId="19" fillId="0" borderId="49" xfId="0" applyFont="1" applyBorder="1" applyAlignment="1">
      <alignment vertical="center" wrapText="1"/>
    </xf>
    <xf numFmtId="0" fontId="19" fillId="0" borderId="49" xfId="0" quotePrefix="1" applyFont="1" applyBorder="1">
      <alignment vertical="center"/>
    </xf>
    <xf numFmtId="0" fontId="19" fillId="0" borderId="50" xfId="0" applyFont="1" applyBorder="1">
      <alignment vertical="center"/>
    </xf>
    <xf numFmtId="41" fontId="19" fillId="0" borderId="51" xfId="0" applyNumberFormat="1" applyFont="1" applyBorder="1">
      <alignment vertical="center"/>
    </xf>
    <xf numFmtId="0" fontId="34" fillId="0" borderId="52" xfId="0" applyFont="1" applyBorder="1">
      <alignment vertical="center"/>
    </xf>
    <xf numFmtId="0" fontId="19" fillId="0" borderId="53" xfId="0" applyFont="1" applyBorder="1">
      <alignment vertical="center"/>
    </xf>
    <xf numFmtId="41" fontId="19" fillId="0" borderId="44" xfId="0" applyNumberFormat="1" applyFont="1" applyBorder="1">
      <alignment vertical="center"/>
    </xf>
    <xf numFmtId="0" fontId="19" fillId="0" borderId="54" xfId="0" quotePrefix="1" applyFont="1" applyBorder="1">
      <alignment vertical="center"/>
    </xf>
    <xf numFmtId="0" fontId="19" fillId="0" borderId="52" xfId="0" quotePrefix="1" applyFont="1" applyBorder="1">
      <alignment vertical="center"/>
    </xf>
    <xf numFmtId="0" fontId="19" fillId="0" borderId="52" xfId="0" applyFont="1" applyBorder="1">
      <alignment vertical="center"/>
    </xf>
    <xf numFmtId="0" fontId="19" fillId="0" borderId="48" xfId="0" applyFont="1" applyBorder="1" applyAlignment="1">
      <alignment vertical="center" shrinkToFit="1"/>
    </xf>
    <xf numFmtId="0" fontId="19" fillId="0" borderId="55" xfId="0" applyFont="1" applyBorder="1">
      <alignment vertical="center"/>
    </xf>
    <xf numFmtId="41" fontId="19" fillId="0" borderId="56" xfId="0" applyNumberFormat="1" applyFont="1" applyBorder="1">
      <alignment vertical="center"/>
    </xf>
    <xf numFmtId="0" fontId="34" fillId="0" borderId="57" xfId="0" applyFont="1" applyBorder="1">
      <alignment vertical="center"/>
    </xf>
    <xf numFmtId="0" fontId="19" fillId="0" borderId="47" xfId="0" quotePrefix="1" applyFont="1" applyBorder="1">
      <alignment vertical="center"/>
    </xf>
    <xf numFmtId="0" fontId="19" fillId="0" borderId="54" xfId="0" applyFont="1" applyBorder="1">
      <alignment vertical="center"/>
    </xf>
    <xf numFmtId="0" fontId="19" fillId="0" borderId="57" xfId="0" applyFont="1" applyBorder="1">
      <alignment vertical="center"/>
    </xf>
    <xf numFmtId="41" fontId="36" fillId="0" borderId="0" xfId="2" applyFont="1">
      <alignment vertical="center"/>
    </xf>
    <xf numFmtId="1" fontId="0" fillId="0" borderId="0" xfId="0" applyNumberFormat="1">
      <alignment vertical="center"/>
    </xf>
    <xf numFmtId="41" fontId="19" fillId="0" borderId="0" xfId="2" applyFont="1" applyAlignment="1">
      <alignment horizontal="center" vertical="center"/>
    </xf>
    <xf numFmtId="0" fontId="19" fillId="0" borderId="24" xfId="0" applyFont="1" applyBorder="1" applyAlignment="1">
      <alignment horizontal="center" vertical="center"/>
    </xf>
    <xf numFmtId="0" fontId="19" fillId="0" borderId="10" xfId="0" applyFont="1" applyBorder="1" applyAlignment="1">
      <alignment horizontal="center" vertical="center"/>
    </xf>
    <xf numFmtId="0" fontId="19" fillId="0" borderId="13" xfId="0" applyFont="1" applyBorder="1" applyAlignment="1">
      <alignment horizontal="center" vertical="center"/>
    </xf>
    <xf numFmtId="0" fontId="19" fillId="0" borderId="25" xfId="0" applyFont="1" applyBorder="1" applyAlignment="1">
      <alignment horizontal="center" vertical="center"/>
    </xf>
    <xf numFmtId="0" fontId="19" fillId="0" borderId="62" xfId="0" applyFont="1" applyBorder="1" applyAlignment="1">
      <alignment horizontal="center" vertical="center"/>
    </xf>
    <xf numFmtId="0" fontId="19" fillId="0" borderId="63" xfId="0" applyFont="1" applyBorder="1" applyAlignment="1">
      <alignment horizontal="center" vertical="center"/>
    </xf>
    <xf numFmtId="0" fontId="19" fillId="0" borderId="64" xfId="0" applyFont="1" applyBorder="1" applyAlignment="1">
      <alignment horizontal="center" vertical="center"/>
    </xf>
    <xf numFmtId="0" fontId="19" fillId="0" borderId="13" xfId="0" applyFont="1" applyBorder="1" applyAlignment="1">
      <alignment horizontal="center" vertical="center" wrapText="1"/>
    </xf>
    <xf numFmtId="0" fontId="19" fillId="0" borderId="9" xfId="0" applyFont="1" applyBorder="1" applyAlignment="1">
      <alignment horizontal="center" vertical="center"/>
    </xf>
    <xf numFmtId="0" fontId="19" fillId="0" borderId="11" xfId="0" applyFont="1" applyBorder="1" applyAlignment="1">
      <alignment horizontal="center" vertical="center"/>
    </xf>
    <xf numFmtId="0" fontId="19" fillId="12" borderId="8" xfId="0" applyFont="1" applyFill="1" applyBorder="1" applyAlignment="1">
      <alignment horizontal="center" vertical="center"/>
    </xf>
    <xf numFmtId="0" fontId="19" fillId="12" borderId="61" xfId="0" applyFont="1" applyFill="1" applyBorder="1" applyAlignment="1">
      <alignment horizontal="center" vertical="center"/>
    </xf>
    <xf numFmtId="41" fontId="19" fillId="12" borderId="65" xfId="2" applyFont="1" applyFill="1" applyBorder="1" applyAlignment="1">
      <alignment horizontal="center" vertical="center"/>
    </xf>
    <xf numFmtId="41" fontId="19" fillId="0" borderId="66" xfId="2" applyFont="1" applyBorder="1" applyAlignment="1">
      <alignment horizontal="center" vertical="center"/>
    </xf>
    <xf numFmtId="41" fontId="19" fillId="0" borderId="67" xfId="2" applyFont="1" applyBorder="1" applyAlignment="1">
      <alignment horizontal="center" vertical="center"/>
    </xf>
    <xf numFmtId="0" fontId="19" fillId="12" borderId="6" xfId="0" applyFont="1" applyFill="1" applyBorder="1" applyAlignment="1">
      <alignment horizontal="center" vertical="center"/>
    </xf>
    <xf numFmtId="41" fontId="9" fillId="4" borderId="15" xfId="18" applyFont="1" applyFill="1" applyBorder="1">
      <alignment vertical="center"/>
    </xf>
    <xf numFmtId="0" fontId="9" fillId="4" borderId="15" xfId="17" applyFont="1" applyFill="1" applyBorder="1">
      <alignment vertical="center"/>
    </xf>
    <xf numFmtId="0" fontId="9" fillId="14" borderId="15" xfId="17" applyFont="1" applyFill="1" applyBorder="1" applyAlignment="1">
      <alignment horizontal="center" vertical="center" shrinkToFit="1"/>
    </xf>
    <xf numFmtId="14" fontId="9" fillId="14" borderId="15" xfId="17" applyNumberFormat="1" applyFont="1" applyFill="1" applyBorder="1" applyAlignment="1">
      <alignment horizontal="center" vertical="center" shrinkToFit="1"/>
    </xf>
    <xf numFmtId="0" fontId="9" fillId="14" borderId="15" xfId="17" applyFont="1" applyFill="1" applyBorder="1" applyAlignment="1">
      <alignment vertical="center" shrinkToFit="1"/>
    </xf>
    <xf numFmtId="41" fontId="9" fillId="14" borderId="15" xfId="18" applyFont="1" applyFill="1" applyBorder="1" applyAlignment="1">
      <alignment vertical="center" shrinkToFit="1"/>
    </xf>
    <xf numFmtId="41" fontId="9" fillId="4" borderId="15" xfId="18" applyFont="1" applyFill="1" applyBorder="1" applyAlignment="1">
      <alignment horizontal="center" vertical="center"/>
    </xf>
    <xf numFmtId="190" fontId="19" fillId="0" borderId="15" xfId="0" applyNumberFormat="1" applyFont="1" applyBorder="1" applyAlignment="1">
      <alignment horizontal="center" vertical="center"/>
    </xf>
    <xf numFmtId="0" fontId="19" fillId="0" borderId="15" xfId="0" applyFont="1" applyBorder="1" applyAlignment="1">
      <alignment horizontal="center" vertical="center"/>
    </xf>
    <xf numFmtId="189" fontId="19" fillId="0" borderId="15" xfId="0" applyNumberFormat="1" applyFont="1" applyBorder="1" applyAlignment="1">
      <alignment horizontal="center" vertical="center"/>
    </xf>
    <xf numFmtId="14" fontId="9" fillId="2" borderId="0" xfId="0" applyNumberFormat="1" applyFont="1" applyFill="1" applyAlignment="1">
      <alignment horizontal="center" vertical="center" shrinkToFit="1"/>
    </xf>
    <xf numFmtId="14" fontId="19" fillId="0" borderId="15" xfId="0" applyNumberFormat="1" applyFont="1" applyBorder="1" applyAlignment="1">
      <alignment horizontal="center" vertical="center"/>
    </xf>
    <xf numFmtId="41" fontId="19" fillId="0" borderId="15" xfId="2" applyFont="1" applyFill="1" applyBorder="1" applyAlignment="1">
      <alignment horizontal="center" vertical="center"/>
    </xf>
    <xf numFmtId="0" fontId="19" fillId="4" borderId="15" xfId="0" applyFont="1" applyFill="1" applyBorder="1">
      <alignment vertical="center"/>
    </xf>
    <xf numFmtId="41" fontId="19" fillId="4" borderId="15" xfId="2" applyFont="1" applyFill="1" applyBorder="1">
      <alignment vertical="center"/>
    </xf>
    <xf numFmtId="14" fontId="19" fillId="4" borderId="15" xfId="0" applyNumberFormat="1" applyFont="1" applyFill="1" applyBorder="1">
      <alignment vertical="center"/>
    </xf>
    <xf numFmtId="0" fontId="36" fillId="0" borderId="0" xfId="0" applyFont="1">
      <alignment vertical="center"/>
    </xf>
    <xf numFmtId="0" fontId="20" fillId="10" borderId="3" xfId="0" applyFont="1" applyFill="1" applyBorder="1" applyAlignment="1">
      <alignment horizontal="center" vertical="center" shrinkToFit="1"/>
    </xf>
    <xf numFmtId="0" fontId="20" fillId="13" borderId="3" xfId="0" applyFont="1" applyFill="1" applyBorder="1" applyAlignment="1">
      <alignment horizontal="center" vertical="center"/>
    </xf>
    <xf numFmtId="0" fontId="20" fillId="2" borderId="0" xfId="0" applyFont="1" applyFill="1" applyAlignment="1">
      <alignment horizontal="left" vertical="center"/>
    </xf>
    <xf numFmtId="10" fontId="20" fillId="14" borderId="15" xfId="1" applyNumberFormat="1" applyFont="1" applyFill="1" applyBorder="1" applyAlignment="1">
      <alignment horizontal="center" vertical="center"/>
    </xf>
    <xf numFmtId="0" fontId="36" fillId="2" borderId="0" xfId="0" applyFont="1" applyFill="1">
      <alignment vertical="center"/>
    </xf>
    <xf numFmtId="0" fontId="20" fillId="5" borderId="14" xfId="0" applyFont="1" applyFill="1" applyBorder="1">
      <alignment vertical="center"/>
    </xf>
    <xf numFmtId="41" fontId="20" fillId="5" borderId="15" xfId="2" applyFont="1" applyFill="1" applyBorder="1" applyAlignment="1">
      <alignment horizontal="center" vertical="center"/>
    </xf>
    <xf numFmtId="10" fontId="20" fillId="5" borderId="15" xfId="1" applyNumberFormat="1" applyFont="1" applyFill="1" applyBorder="1" applyAlignment="1">
      <alignment horizontal="center" vertical="center"/>
    </xf>
    <xf numFmtId="0" fontId="20" fillId="26" borderId="14" xfId="0" applyFont="1" applyFill="1" applyBorder="1">
      <alignment vertical="center"/>
    </xf>
    <xf numFmtId="41" fontId="20" fillId="26" borderId="15" xfId="2" applyFont="1" applyFill="1" applyBorder="1" applyAlignment="1">
      <alignment horizontal="center" vertical="center"/>
    </xf>
    <xf numFmtId="10" fontId="20" fillId="26" borderId="15" xfId="1" applyNumberFormat="1" applyFont="1" applyFill="1" applyBorder="1" applyAlignment="1">
      <alignment horizontal="center" vertical="center"/>
    </xf>
    <xf numFmtId="0" fontId="19" fillId="4" borderId="48" xfId="0" applyFont="1" applyFill="1" applyBorder="1">
      <alignment vertical="center"/>
    </xf>
    <xf numFmtId="0" fontId="19" fillId="4" borderId="55" xfId="0" applyFont="1" applyFill="1" applyBorder="1">
      <alignment vertical="center"/>
    </xf>
    <xf numFmtId="41" fontId="20" fillId="2" borderId="0" xfId="2" applyFont="1" applyFill="1" applyAlignment="1">
      <alignment horizontal="center" vertical="center"/>
    </xf>
    <xf numFmtId="41" fontId="20" fillId="14" borderId="15" xfId="2" applyFont="1" applyFill="1" applyBorder="1" applyAlignment="1">
      <alignment horizontal="center" vertical="center"/>
    </xf>
    <xf numFmtId="41" fontId="20" fillId="24" borderId="15" xfId="2" applyFont="1" applyFill="1" applyBorder="1" applyAlignment="1">
      <alignment horizontal="center" vertical="center"/>
    </xf>
    <xf numFmtId="41" fontId="20" fillId="23" borderId="15" xfId="2" applyFont="1" applyFill="1" applyBorder="1" applyAlignment="1">
      <alignment horizontal="center" vertical="center"/>
    </xf>
    <xf numFmtId="0" fontId="37" fillId="0" borderId="49" xfId="0" quotePrefix="1" applyFont="1" applyBorder="1">
      <alignment vertical="center"/>
    </xf>
    <xf numFmtId="41" fontId="36" fillId="2" borderId="0" xfId="2" applyFont="1" applyFill="1">
      <alignment vertical="center"/>
    </xf>
    <xf numFmtId="0" fontId="20" fillId="5" borderId="3" xfId="0" applyFont="1" applyFill="1" applyBorder="1" applyAlignment="1">
      <alignment horizontal="center" vertical="center"/>
    </xf>
    <xf numFmtId="0" fontId="20" fillId="26" borderId="3" xfId="0" applyFont="1" applyFill="1" applyBorder="1" applyAlignment="1">
      <alignment horizontal="center" vertical="center"/>
    </xf>
    <xf numFmtId="0" fontId="38" fillId="2" borderId="0" xfId="2" applyNumberFormat="1" applyFont="1" applyFill="1" applyAlignment="1">
      <alignment horizontal="center" vertical="center"/>
    </xf>
    <xf numFmtId="0" fontId="39" fillId="2" borderId="0" xfId="2" applyNumberFormat="1" applyFont="1" applyFill="1" applyAlignment="1">
      <alignment horizontal="center" vertical="center"/>
    </xf>
    <xf numFmtId="0" fontId="40" fillId="2" borderId="0" xfId="2" applyNumberFormat="1" applyFont="1" applyFill="1" applyAlignment="1">
      <alignment horizontal="center" vertical="center"/>
    </xf>
    <xf numFmtId="41" fontId="40" fillId="2" borderId="0" xfId="2" applyFont="1" applyFill="1" applyAlignment="1">
      <alignment horizontal="center" vertical="center"/>
    </xf>
    <xf numFmtId="0" fontId="38" fillId="2" borderId="0" xfId="2" applyNumberFormat="1" applyFont="1" applyFill="1" applyAlignment="1">
      <alignment horizontal="left" vertical="center"/>
    </xf>
    <xf numFmtId="0" fontId="38" fillId="2" borderId="72" xfId="2" applyNumberFormat="1" applyFont="1" applyFill="1" applyBorder="1" applyAlignment="1">
      <alignment horizontal="center" vertical="center"/>
    </xf>
    <xf numFmtId="0" fontId="38" fillId="2" borderId="73" xfId="2" applyNumberFormat="1" applyFont="1" applyFill="1" applyBorder="1" applyAlignment="1">
      <alignment horizontal="center" vertical="center"/>
    </xf>
    <xf numFmtId="0" fontId="38" fillId="2" borderId="74" xfId="2" applyNumberFormat="1" applyFont="1" applyFill="1" applyBorder="1" applyAlignment="1">
      <alignment horizontal="center" vertical="center"/>
    </xf>
    <xf numFmtId="0" fontId="38" fillId="2" borderId="75" xfId="2" applyNumberFormat="1" applyFont="1" applyFill="1" applyBorder="1" applyAlignment="1">
      <alignment horizontal="center" vertical="center"/>
    </xf>
    <xf numFmtId="0" fontId="38" fillId="2" borderId="76" xfId="2" applyNumberFormat="1" applyFont="1" applyFill="1" applyBorder="1" applyAlignment="1">
      <alignment horizontal="center" vertical="center"/>
    </xf>
    <xf numFmtId="41" fontId="41" fillId="2" borderId="59" xfId="2" applyFont="1" applyFill="1" applyBorder="1">
      <alignment vertical="center"/>
    </xf>
    <xf numFmtId="0" fontId="41" fillId="2" borderId="68" xfId="2" applyNumberFormat="1" applyFont="1" applyFill="1" applyBorder="1" applyAlignment="1">
      <alignment horizontal="center" vertical="center"/>
    </xf>
    <xf numFmtId="41" fontId="41" fillId="2" borderId="77" xfId="2" applyFont="1" applyFill="1" applyBorder="1">
      <alignment vertical="center"/>
    </xf>
    <xf numFmtId="41" fontId="41" fillId="2" borderId="78" xfId="2" applyFont="1" applyFill="1" applyBorder="1">
      <alignment vertical="center"/>
    </xf>
    <xf numFmtId="41" fontId="41" fillId="2" borderId="79" xfId="2" applyFont="1" applyFill="1" applyBorder="1">
      <alignment vertical="center"/>
    </xf>
    <xf numFmtId="41" fontId="41" fillId="2" borderId="0" xfId="2" applyFont="1" applyFill="1">
      <alignment vertical="center"/>
    </xf>
    <xf numFmtId="0" fontId="41" fillId="2" borderId="71" xfId="2" applyNumberFormat="1" applyFont="1" applyFill="1" applyBorder="1" applyAlignment="1">
      <alignment horizontal="center" vertical="center"/>
    </xf>
    <xf numFmtId="0" fontId="41" fillId="2" borderId="62" xfId="2" applyNumberFormat="1" applyFont="1" applyFill="1" applyBorder="1" applyAlignment="1">
      <alignment horizontal="center" vertical="center"/>
    </xf>
    <xf numFmtId="41" fontId="41" fillId="2" borderId="80" xfId="2" applyFont="1" applyFill="1" applyBorder="1">
      <alignment vertical="center"/>
    </xf>
    <xf numFmtId="41" fontId="41" fillId="2" borderId="5" xfId="2" applyFont="1" applyFill="1" applyBorder="1">
      <alignment vertical="center"/>
    </xf>
    <xf numFmtId="41" fontId="41" fillId="2" borderId="81" xfId="2" applyFont="1" applyFill="1" applyBorder="1">
      <alignment vertical="center"/>
    </xf>
    <xf numFmtId="0" fontId="41" fillId="2" borderId="59" xfId="2" applyNumberFormat="1" applyFont="1" applyFill="1" applyBorder="1" applyAlignment="1">
      <alignment horizontal="center" vertical="center"/>
    </xf>
    <xf numFmtId="0" fontId="41" fillId="2" borderId="69" xfId="2" applyNumberFormat="1" applyFont="1" applyFill="1" applyBorder="1" applyAlignment="1">
      <alignment horizontal="center" vertical="center"/>
    </xf>
    <xf numFmtId="41" fontId="41" fillId="2" borderId="82" xfId="2" applyFont="1" applyFill="1" applyBorder="1">
      <alignment vertical="center"/>
    </xf>
    <xf numFmtId="41" fontId="41" fillId="2" borderId="83" xfId="2" applyFont="1" applyFill="1" applyBorder="1">
      <alignment vertical="center"/>
    </xf>
    <xf numFmtId="41" fontId="41" fillId="2" borderId="84" xfId="2" applyFont="1" applyFill="1" applyBorder="1">
      <alignment vertical="center"/>
    </xf>
    <xf numFmtId="41" fontId="41" fillId="2" borderId="85" xfId="2" applyFont="1" applyFill="1" applyBorder="1">
      <alignment vertical="center"/>
    </xf>
    <xf numFmtId="41" fontId="41" fillId="2" borderId="86" xfId="2" applyFont="1" applyFill="1" applyBorder="1">
      <alignment vertical="center"/>
    </xf>
    <xf numFmtId="41" fontId="41" fillId="2" borderId="7" xfId="2" applyFont="1" applyFill="1" applyBorder="1">
      <alignment vertical="center"/>
    </xf>
    <xf numFmtId="41" fontId="41" fillId="2" borderId="87" xfId="2" applyFont="1" applyFill="1" applyBorder="1">
      <alignment vertical="center"/>
    </xf>
    <xf numFmtId="41" fontId="41" fillId="2" borderId="88" xfId="2" applyFont="1" applyFill="1" applyBorder="1">
      <alignment vertical="center"/>
    </xf>
    <xf numFmtId="41" fontId="41" fillId="2" borderId="89" xfId="2" applyFont="1" applyFill="1" applyBorder="1">
      <alignment vertical="center"/>
    </xf>
    <xf numFmtId="41" fontId="41" fillId="2" borderId="90" xfId="2" applyFont="1" applyFill="1" applyBorder="1">
      <alignment vertical="center"/>
    </xf>
    <xf numFmtId="41" fontId="41" fillId="2" borderId="12" xfId="2" applyFont="1" applyFill="1" applyBorder="1">
      <alignment vertical="center"/>
    </xf>
    <xf numFmtId="41" fontId="41" fillId="2" borderId="91" xfId="2" applyFont="1" applyFill="1" applyBorder="1">
      <alignment vertical="center"/>
    </xf>
    <xf numFmtId="41" fontId="38" fillId="2" borderId="92" xfId="2" applyFont="1" applyFill="1" applyBorder="1">
      <alignment vertical="center"/>
    </xf>
    <xf numFmtId="0" fontId="38" fillId="2" borderId="61" xfId="2" applyNumberFormat="1" applyFont="1" applyFill="1" applyBorder="1" applyAlignment="1">
      <alignment horizontal="center" vertical="center"/>
    </xf>
    <xf numFmtId="41" fontId="38" fillId="2" borderId="86" xfId="2" applyFont="1" applyFill="1" applyBorder="1">
      <alignment vertical="center"/>
    </xf>
    <xf numFmtId="41" fontId="38" fillId="2" borderId="7" xfId="2" applyFont="1" applyFill="1" applyBorder="1">
      <alignment vertical="center"/>
    </xf>
    <xf numFmtId="41" fontId="38" fillId="2" borderId="87" xfId="2" applyFont="1" applyFill="1" applyBorder="1">
      <alignment vertical="center"/>
    </xf>
    <xf numFmtId="43" fontId="41" fillId="2" borderId="0" xfId="2" applyNumberFormat="1" applyFont="1" applyFill="1">
      <alignment vertical="center"/>
    </xf>
    <xf numFmtId="41" fontId="38" fillId="2" borderId="71" xfId="2" applyFont="1" applyFill="1" applyBorder="1">
      <alignment vertical="center"/>
    </xf>
    <xf numFmtId="0" fontId="38" fillId="2" borderId="62" xfId="2" applyNumberFormat="1" applyFont="1" applyFill="1" applyBorder="1" applyAlignment="1">
      <alignment horizontal="center" vertical="center"/>
    </xf>
    <xf numFmtId="41" fontId="38" fillId="2" borderId="80" xfId="2" applyFont="1" applyFill="1" applyBorder="1">
      <alignment vertical="center"/>
    </xf>
    <xf numFmtId="41" fontId="38" fillId="2" borderId="5" xfId="2" applyFont="1" applyFill="1" applyBorder="1">
      <alignment vertical="center"/>
    </xf>
    <xf numFmtId="41" fontId="38" fillId="2" borderId="81" xfId="2" applyFont="1" applyFill="1" applyBorder="1">
      <alignment vertical="center"/>
    </xf>
    <xf numFmtId="0" fontId="38" fillId="2" borderId="71" xfId="2" applyNumberFormat="1" applyFont="1" applyFill="1" applyBorder="1" applyAlignment="1">
      <alignment horizontal="center" vertical="center"/>
    </xf>
    <xf numFmtId="0" fontId="38" fillId="2" borderId="60" xfId="2" applyNumberFormat="1" applyFont="1" applyFill="1" applyBorder="1" applyAlignment="1">
      <alignment horizontal="center" vertical="center"/>
    </xf>
    <xf numFmtId="0" fontId="38" fillId="2" borderId="93" xfId="2" applyNumberFormat="1" applyFont="1" applyFill="1" applyBorder="1" applyAlignment="1">
      <alignment horizontal="center" vertical="center"/>
    </xf>
    <xf numFmtId="41" fontId="38" fillId="2" borderId="94" xfId="2" applyFont="1" applyFill="1" applyBorder="1">
      <alignment vertical="center"/>
    </xf>
    <xf numFmtId="41" fontId="38" fillId="2" borderId="95" xfId="2" applyFont="1" applyFill="1" applyBorder="1">
      <alignment vertical="center"/>
    </xf>
    <xf numFmtId="41" fontId="38" fillId="2" borderId="96" xfId="2" applyFont="1" applyFill="1" applyBorder="1">
      <alignment vertical="center"/>
    </xf>
    <xf numFmtId="0" fontId="41" fillId="2" borderId="0" xfId="2" applyNumberFormat="1" applyFont="1" applyFill="1" applyAlignment="1">
      <alignment horizontal="center" vertical="center"/>
    </xf>
    <xf numFmtId="0" fontId="38" fillId="2" borderId="97" xfId="2" applyNumberFormat="1" applyFont="1" applyFill="1" applyBorder="1" applyAlignment="1">
      <alignment horizontal="center" vertical="center"/>
    </xf>
    <xf numFmtId="0" fontId="38" fillId="2" borderId="70" xfId="2" applyNumberFormat="1" applyFont="1" applyFill="1" applyBorder="1" applyAlignment="1">
      <alignment horizontal="center" vertical="center"/>
    </xf>
    <xf numFmtId="0" fontId="38" fillId="2" borderId="98" xfId="2" applyNumberFormat="1" applyFont="1" applyFill="1" applyBorder="1" applyAlignment="1">
      <alignment horizontal="center" vertical="center"/>
    </xf>
    <xf numFmtId="0" fontId="38" fillId="2" borderId="99" xfId="2" applyNumberFormat="1" applyFont="1" applyFill="1" applyBorder="1" applyAlignment="1">
      <alignment horizontal="center" vertical="center"/>
    </xf>
    <xf numFmtId="0" fontId="38" fillId="2" borderId="100" xfId="2" applyNumberFormat="1" applyFont="1" applyFill="1" applyBorder="1" applyAlignment="1">
      <alignment horizontal="center" vertical="center"/>
    </xf>
    <xf numFmtId="43" fontId="38" fillId="2" borderId="0" xfId="2" applyNumberFormat="1" applyFont="1" applyFill="1" applyAlignment="1">
      <alignment horizontal="center" vertical="center"/>
    </xf>
    <xf numFmtId="41" fontId="38" fillId="2" borderId="59" xfId="2" applyFont="1" applyFill="1" applyBorder="1">
      <alignment vertical="center"/>
    </xf>
    <xf numFmtId="0" fontId="38" fillId="2" borderId="68" xfId="2" applyNumberFormat="1" applyFont="1" applyFill="1" applyBorder="1" applyAlignment="1">
      <alignment horizontal="center" vertical="center"/>
    </xf>
    <xf numFmtId="41" fontId="38" fillId="2" borderId="77" xfId="2" applyFont="1" applyFill="1" applyBorder="1">
      <alignment vertical="center"/>
    </xf>
    <xf numFmtId="41" fontId="38" fillId="2" borderId="78" xfId="2" applyFont="1" applyFill="1" applyBorder="1">
      <alignment vertical="center"/>
    </xf>
    <xf numFmtId="41" fontId="38" fillId="2" borderId="79" xfId="2" applyFont="1" applyFill="1" applyBorder="1">
      <alignment vertical="center"/>
    </xf>
    <xf numFmtId="41" fontId="38" fillId="2" borderId="0" xfId="2" applyFont="1" applyFill="1">
      <alignment vertical="center"/>
    </xf>
    <xf numFmtId="0" fontId="38" fillId="2" borderId="101" xfId="2" applyNumberFormat="1" applyFont="1" applyFill="1" applyBorder="1" applyAlignment="1">
      <alignment horizontal="center" vertical="center"/>
    </xf>
    <xf numFmtId="0" fontId="38" fillId="2" borderId="102" xfId="2" applyNumberFormat="1" applyFont="1" applyFill="1" applyBorder="1" applyAlignment="1">
      <alignment horizontal="center" vertical="center"/>
    </xf>
    <xf numFmtId="0" fontId="38" fillId="2" borderId="103" xfId="2" applyNumberFormat="1" applyFont="1" applyFill="1" applyBorder="1" applyAlignment="1">
      <alignment horizontal="center" vertical="center"/>
    </xf>
    <xf numFmtId="0" fontId="38" fillId="2" borderId="104" xfId="2" applyNumberFormat="1" applyFont="1" applyFill="1" applyBorder="1" applyAlignment="1">
      <alignment horizontal="center" vertical="center"/>
    </xf>
    <xf numFmtId="0" fontId="38" fillId="2" borderId="105" xfId="2" applyNumberFormat="1" applyFont="1" applyFill="1" applyBorder="1" applyAlignment="1">
      <alignment horizontal="center" vertical="center"/>
    </xf>
    <xf numFmtId="41" fontId="41" fillId="2" borderId="88" xfId="2" applyFont="1" applyFill="1" applyBorder="1" applyAlignment="1">
      <alignment horizontal="left" vertical="center"/>
    </xf>
    <xf numFmtId="41" fontId="41" fillId="2" borderId="106" xfId="2" applyFont="1" applyFill="1" applyBorder="1" applyAlignment="1">
      <alignment horizontal="left" vertical="center"/>
    </xf>
    <xf numFmtId="41" fontId="38" fillId="2" borderId="107" xfId="2" applyFont="1" applyFill="1" applyBorder="1" applyAlignment="1">
      <alignment horizontal="left" vertical="center"/>
    </xf>
    <xf numFmtId="0" fontId="38" fillId="2" borderId="108" xfId="2" applyNumberFormat="1" applyFont="1" applyFill="1" applyBorder="1" applyAlignment="1">
      <alignment horizontal="center" vertical="center"/>
    </xf>
    <xf numFmtId="41" fontId="38" fillId="2" borderId="109" xfId="2" applyFont="1" applyFill="1" applyBorder="1">
      <alignment vertical="center"/>
    </xf>
    <xf numFmtId="41" fontId="38" fillId="2" borderId="110" xfId="2" applyFont="1" applyFill="1" applyBorder="1">
      <alignment vertical="center"/>
    </xf>
    <xf numFmtId="41" fontId="38" fillId="2" borderId="111" xfId="2" applyFont="1" applyFill="1" applyBorder="1">
      <alignment vertical="center"/>
    </xf>
    <xf numFmtId="41" fontId="41" fillId="2" borderId="85" xfId="2" applyFont="1" applyFill="1" applyBorder="1" applyAlignment="1">
      <alignment horizontal="left" vertical="center"/>
    </xf>
    <xf numFmtId="0" fontId="41" fillId="2" borderId="61" xfId="2" applyNumberFormat="1" applyFont="1" applyFill="1" applyBorder="1" applyAlignment="1">
      <alignment horizontal="center" vertical="center"/>
    </xf>
    <xf numFmtId="41" fontId="41" fillId="2" borderId="112" xfId="2" applyFont="1" applyFill="1" applyBorder="1" applyAlignment="1">
      <alignment horizontal="left" vertical="center"/>
    </xf>
    <xf numFmtId="0" fontId="41" fillId="2" borderId="113" xfId="2" applyNumberFormat="1" applyFont="1" applyFill="1" applyBorder="1" applyAlignment="1">
      <alignment horizontal="center" vertical="center"/>
    </xf>
    <xf numFmtId="41" fontId="41" fillId="2" borderId="114" xfId="2" applyFont="1" applyFill="1" applyBorder="1">
      <alignment vertical="center"/>
    </xf>
    <xf numFmtId="41" fontId="41" fillId="2" borderId="115" xfId="2" applyFont="1" applyFill="1" applyBorder="1">
      <alignment vertical="center"/>
    </xf>
    <xf numFmtId="41" fontId="41" fillId="2" borderId="116" xfId="2" applyFont="1" applyFill="1" applyBorder="1">
      <alignment vertical="center"/>
    </xf>
    <xf numFmtId="41" fontId="38" fillId="2" borderId="117" xfId="2" applyFont="1" applyFill="1" applyBorder="1" applyAlignment="1">
      <alignment horizontal="left" vertical="center"/>
    </xf>
    <xf numFmtId="0" fontId="38" fillId="2" borderId="16" xfId="2" applyNumberFormat="1" applyFont="1" applyFill="1" applyBorder="1" applyAlignment="1">
      <alignment horizontal="center" vertical="center"/>
    </xf>
    <xf numFmtId="41" fontId="38" fillId="2" borderId="118" xfId="2" applyFont="1" applyFill="1" applyBorder="1">
      <alignment vertical="center"/>
    </xf>
    <xf numFmtId="41" fontId="38" fillId="2" borderId="41" xfId="2" applyFont="1" applyFill="1" applyBorder="1">
      <alignment vertical="center"/>
    </xf>
    <xf numFmtId="41" fontId="38" fillId="2" borderId="119" xfId="2" applyFont="1" applyFill="1" applyBorder="1">
      <alignment vertical="center"/>
    </xf>
    <xf numFmtId="41" fontId="41" fillId="2" borderId="120" xfId="2" applyFont="1" applyFill="1" applyBorder="1" applyAlignment="1">
      <alignment horizontal="left" vertical="center"/>
    </xf>
    <xf numFmtId="41" fontId="38" fillId="2" borderId="121" xfId="2" applyFont="1" applyFill="1" applyBorder="1" applyAlignment="1">
      <alignment horizontal="left" vertical="center"/>
    </xf>
    <xf numFmtId="0" fontId="38" fillId="2" borderId="122" xfId="2" applyNumberFormat="1" applyFont="1" applyFill="1" applyBorder="1" applyAlignment="1">
      <alignment horizontal="center" vertical="center"/>
    </xf>
    <xf numFmtId="41" fontId="38" fillId="2" borderId="123" xfId="2" applyFont="1" applyFill="1" applyBorder="1">
      <alignment vertical="center"/>
    </xf>
    <xf numFmtId="41" fontId="38" fillId="2" borderId="124" xfId="2" applyFont="1" applyFill="1" applyBorder="1">
      <alignment vertical="center"/>
    </xf>
    <xf numFmtId="41" fontId="38" fillId="2" borderId="125" xfId="2" applyFont="1" applyFill="1" applyBorder="1">
      <alignment vertical="center"/>
    </xf>
    <xf numFmtId="0" fontId="42" fillId="2" borderId="0" xfId="2" applyNumberFormat="1" applyFont="1" applyFill="1" applyAlignment="1">
      <alignment horizontal="left" vertical="center"/>
    </xf>
    <xf numFmtId="0" fontId="41" fillId="2" borderId="0" xfId="2" applyNumberFormat="1" applyFont="1" applyFill="1" applyAlignment="1">
      <alignment horizontal="left" vertical="center"/>
    </xf>
    <xf numFmtId="10" fontId="41" fillId="2" borderId="0" xfId="1" applyNumberFormat="1" applyFont="1" applyFill="1">
      <alignment vertical="center"/>
    </xf>
    <xf numFmtId="0" fontId="44" fillId="0" borderId="0" xfId="21" applyFont="1" applyAlignment="1">
      <alignment horizontal="left" vertical="center"/>
    </xf>
    <xf numFmtId="0" fontId="35" fillId="0" borderId="0" xfId="21" applyFont="1" applyAlignment="1">
      <alignment horizontal="center" vertical="center"/>
    </xf>
    <xf numFmtId="41" fontId="35" fillId="0" borderId="0" xfId="22" applyFont="1" applyAlignment="1">
      <alignment horizontal="center" vertical="center"/>
    </xf>
    <xf numFmtId="0" fontId="45" fillId="0" borderId="0" xfId="22" applyNumberFormat="1" applyFont="1" applyAlignment="1">
      <alignment horizontal="right" vertical="center"/>
    </xf>
    <xf numFmtId="0" fontId="46" fillId="25" borderId="145" xfId="22" applyNumberFormat="1" applyFont="1" applyFill="1" applyBorder="1" applyAlignment="1">
      <alignment horizontal="center" vertical="center"/>
    </xf>
    <xf numFmtId="0" fontId="46" fillId="25" borderId="146" xfId="22" applyNumberFormat="1" applyFont="1" applyFill="1" applyBorder="1" applyAlignment="1">
      <alignment horizontal="center" vertical="center"/>
    </xf>
    <xf numFmtId="0" fontId="46" fillId="25" borderId="144" xfId="22" applyNumberFormat="1" applyFont="1" applyFill="1" applyBorder="1" applyAlignment="1">
      <alignment horizontal="center" vertical="center"/>
    </xf>
    <xf numFmtId="0" fontId="46" fillId="25" borderId="148" xfId="22" applyNumberFormat="1" applyFont="1" applyFill="1" applyBorder="1" applyAlignment="1">
      <alignment horizontal="center" vertical="center"/>
    </xf>
    <xf numFmtId="0" fontId="46" fillId="25" borderId="149" xfId="22" applyNumberFormat="1" applyFont="1" applyFill="1" applyBorder="1" applyAlignment="1">
      <alignment horizontal="center" vertical="center"/>
    </xf>
    <xf numFmtId="0" fontId="46" fillId="25" borderId="150" xfId="22" applyNumberFormat="1" applyFont="1" applyFill="1" applyBorder="1" applyAlignment="1">
      <alignment horizontal="center" vertical="center"/>
    </xf>
    <xf numFmtId="37" fontId="45" fillId="27" borderId="126" xfId="22" applyNumberFormat="1" applyFont="1" applyFill="1" applyBorder="1" applyAlignment="1">
      <alignment horizontal="center" vertical="center" shrinkToFit="1"/>
    </xf>
    <xf numFmtId="37" fontId="45" fillId="27" borderId="127" xfId="22" applyNumberFormat="1" applyFont="1" applyFill="1" applyBorder="1" applyAlignment="1">
      <alignment horizontal="center" vertical="center" shrinkToFit="1"/>
    </xf>
    <xf numFmtId="37" fontId="45" fillId="27" borderId="152" xfId="22" applyNumberFormat="1" applyFont="1" applyFill="1" applyBorder="1" applyAlignment="1">
      <alignment horizontal="center" vertical="center" shrinkToFit="1"/>
    </xf>
    <xf numFmtId="37" fontId="45" fillId="27" borderId="153" xfId="22" applyNumberFormat="1" applyFont="1" applyFill="1" applyBorder="1" applyAlignment="1">
      <alignment horizontal="center" vertical="center" shrinkToFit="1"/>
    </xf>
    <xf numFmtId="37" fontId="45" fillId="27" borderId="154" xfId="22" applyNumberFormat="1" applyFont="1" applyFill="1" applyBorder="1" applyAlignment="1">
      <alignment horizontal="center" vertical="center" shrinkToFit="1"/>
    </xf>
    <xf numFmtId="37" fontId="45" fillId="27" borderId="128" xfId="22" applyNumberFormat="1" applyFont="1" applyFill="1" applyBorder="1" applyAlignment="1">
      <alignment horizontal="center" vertical="center" shrinkToFit="1"/>
    </xf>
    <xf numFmtId="37" fontId="45" fillId="27" borderId="137" xfId="22" applyNumberFormat="1" applyFont="1" applyFill="1" applyBorder="1" applyAlignment="1">
      <alignment horizontal="center" vertical="center" shrinkToFit="1"/>
    </xf>
    <xf numFmtId="37" fontId="45" fillId="27" borderId="138" xfId="22" applyNumberFormat="1" applyFont="1" applyFill="1" applyBorder="1" applyAlignment="1">
      <alignment horizontal="center" vertical="center" shrinkToFit="1"/>
    </xf>
    <xf numFmtId="37" fontId="45" fillId="27" borderId="159" xfId="22" applyNumberFormat="1" applyFont="1" applyFill="1" applyBorder="1" applyAlignment="1">
      <alignment horizontal="center" vertical="center" shrinkToFit="1"/>
    </xf>
    <xf numFmtId="37" fontId="45" fillId="27" borderId="160" xfId="22" applyNumberFormat="1" applyFont="1" applyFill="1" applyBorder="1" applyAlignment="1">
      <alignment horizontal="center" vertical="center" shrinkToFit="1"/>
    </xf>
    <xf numFmtId="37" fontId="45" fillId="27" borderId="161" xfId="22" applyNumberFormat="1" applyFont="1" applyFill="1" applyBorder="1" applyAlignment="1">
      <alignment horizontal="center" vertical="center" shrinkToFit="1"/>
    </xf>
    <xf numFmtId="37" fontId="45" fillId="27" borderId="139" xfId="22" applyNumberFormat="1" applyFont="1" applyFill="1" applyBorder="1" applyAlignment="1">
      <alignment horizontal="center" vertical="center" shrinkToFit="1"/>
    </xf>
    <xf numFmtId="37" fontId="45" fillId="27" borderId="143" xfId="22" applyNumberFormat="1" applyFont="1" applyFill="1" applyBorder="1" applyAlignment="1">
      <alignment horizontal="center" vertical="center" shrinkToFit="1"/>
    </xf>
    <xf numFmtId="37" fontId="45" fillId="27" borderId="133" xfId="22" applyNumberFormat="1" applyFont="1" applyFill="1" applyBorder="1" applyAlignment="1">
      <alignment horizontal="center" vertical="center" shrinkToFit="1"/>
    </xf>
    <xf numFmtId="10" fontId="19" fillId="0" borderId="0" xfId="1" applyNumberFormat="1" applyFont="1" applyAlignment="1">
      <alignment horizontal="center" vertical="center"/>
    </xf>
    <xf numFmtId="177" fontId="19" fillId="0" borderId="0" xfId="2" applyNumberFormat="1" applyFont="1">
      <alignment vertical="center"/>
    </xf>
    <xf numFmtId="177" fontId="19" fillId="4" borderId="0" xfId="2" applyNumberFormat="1" applyFont="1" applyFill="1">
      <alignment vertical="center"/>
    </xf>
    <xf numFmtId="10" fontId="19" fillId="4" borderId="0" xfId="2" applyNumberFormat="1" applyFont="1" applyFill="1" applyAlignment="1">
      <alignment horizontal="center" vertical="center"/>
    </xf>
    <xf numFmtId="177" fontId="35" fillId="0" borderId="0" xfId="2" applyNumberFormat="1" applyFont="1" applyAlignment="1">
      <alignment horizontal="center" vertical="center"/>
    </xf>
    <xf numFmtId="41" fontId="19" fillId="0" borderId="0" xfId="2" applyFont="1" applyAlignment="1">
      <alignment horizontal="center" vertical="center" shrinkToFit="1"/>
    </xf>
    <xf numFmtId="0" fontId="19" fillId="12" borderId="0" xfId="0" applyFont="1" applyFill="1" applyAlignment="1">
      <alignment horizontal="center" vertical="center" shrinkToFit="1"/>
    </xf>
    <xf numFmtId="41" fontId="19" fillId="12" borderId="0" xfId="2" applyFont="1" applyFill="1" applyAlignment="1">
      <alignment horizontal="center" vertical="center" shrinkToFit="1"/>
    </xf>
    <xf numFmtId="0" fontId="43" fillId="0" borderId="0" xfId="0" applyFont="1" applyAlignment="1">
      <alignment horizontal="center" vertical="center" shrinkToFit="1"/>
    </xf>
    <xf numFmtId="41" fontId="35" fillId="0" borderId="0" xfId="2" applyFont="1" applyAlignment="1">
      <alignment horizontal="center" vertical="center"/>
    </xf>
    <xf numFmtId="41" fontId="35" fillId="0" borderId="24" xfId="2" applyFont="1" applyBorder="1" applyAlignment="1">
      <alignment horizontal="center" vertical="center"/>
    </xf>
    <xf numFmtId="41" fontId="35" fillId="0" borderId="24" xfId="2" applyFont="1" applyBorder="1" applyAlignment="1">
      <alignment horizontal="center" vertical="center" shrinkToFit="1"/>
    </xf>
    <xf numFmtId="41" fontId="35" fillId="12" borderId="24" xfId="2" applyFont="1" applyFill="1" applyBorder="1" applyAlignment="1">
      <alignment horizontal="center" vertical="center"/>
    </xf>
    <xf numFmtId="41" fontId="35" fillId="12" borderId="24" xfId="2" applyFont="1" applyFill="1" applyBorder="1" applyAlignment="1">
      <alignment horizontal="center" vertical="center" shrinkToFit="1"/>
    </xf>
    <xf numFmtId="41" fontId="35" fillId="25" borderId="24" xfId="2" applyFont="1" applyFill="1" applyBorder="1" applyAlignment="1">
      <alignment horizontal="center" vertical="center"/>
    </xf>
    <xf numFmtId="41" fontId="35" fillId="25" borderId="24" xfId="2" applyFont="1" applyFill="1" applyBorder="1" applyAlignment="1">
      <alignment horizontal="center" vertical="center" shrinkToFit="1"/>
    </xf>
    <xf numFmtId="41" fontId="35" fillId="21" borderId="24" xfId="2" applyFont="1" applyFill="1" applyBorder="1" applyAlignment="1">
      <alignment horizontal="center" vertical="center"/>
    </xf>
    <xf numFmtId="41" fontId="35" fillId="0" borderId="0" xfId="2" applyFont="1" applyAlignment="1">
      <alignment horizontal="center" vertical="center" shrinkToFit="1"/>
    </xf>
    <xf numFmtId="41" fontId="35" fillId="0" borderId="24" xfId="2" applyFont="1" applyFill="1" applyBorder="1" applyAlignment="1">
      <alignment horizontal="center" vertical="center"/>
    </xf>
    <xf numFmtId="41" fontId="35" fillId="0" borderId="24" xfId="2" applyFont="1" applyFill="1" applyBorder="1" applyAlignment="1">
      <alignment horizontal="center" vertical="center" shrinkToFit="1"/>
    </xf>
    <xf numFmtId="41" fontId="49" fillId="0" borderId="24" xfId="2" applyFont="1" applyBorder="1" applyAlignment="1">
      <alignment horizontal="center" vertical="center"/>
    </xf>
    <xf numFmtId="41" fontId="35" fillId="0" borderId="0" xfId="2" applyFont="1" applyAlignment="1">
      <alignment horizontal="left" vertical="center"/>
    </xf>
    <xf numFmtId="41" fontId="9" fillId="2" borderId="0" xfId="2" applyFont="1" applyFill="1" applyAlignment="1">
      <alignment horizontal="center" vertical="center" shrinkToFit="1"/>
    </xf>
    <xf numFmtId="191" fontId="9" fillId="0" borderId="0" xfId="0" applyNumberFormat="1" applyFont="1" applyAlignment="1">
      <alignment horizontal="center" vertical="center"/>
    </xf>
    <xf numFmtId="43" fontId="19" fillId="0" borderId="0" xfId="0" applyNumberFormat="1" applyFont="1">
      <alignment vertical="center"/>
    </xf>
    <xf numFmtId="192" fontId="19" fillId="0" borderId="0" xfId="0" applyNumberFormat="1" applyFont="1">
      <alignment vertical="center"/>
    </xf>
    <xf numFmtId="41" fontId="19" fillId="0" borderId="0" xfId="2" quotePrefix="1" applyFont="1">
      <alignment vertical="center"/>
    </xf>
    <xf numFmtId="41" fontId="19" fillId="0" borderId="21" xfId="2" applyFont="1" applyFill="1" applyBorder="1">
      <alignment vertical="center"/>
    </xf>
    <xf numFmtId="41" fontId="19" fillId="4" borderId="21" xfId="2" applyFont="1" applyFill="1" applyBorder="1">
      <alignment vertical="center"/>
    </xf>
    <xf numFmtId="41" fontId="19" fillId="6" borderId="21" xfId="2" applyFont="1" applyFill="1" applyBorder="1">
      <alignment vertical="center"/>
    </xf>
    <xf numFmtId="41" fontId="19" fillId="6" borderId="46" xfId="2" applyFont="1" applyFill="1" applyBorder="1">
      <alignment vertical="center"/>
    </xf>
    <xf numFmtId="41" fontId="19" fillId="0" borderId="46" xfId="2" applyFont="1" applyFill="1" applyBorder="1">
      <alignment vertical="center"/>
    </xf>
    <xf numFmtId="41" fontId="19" fillId="0" borderId="51" xfId="2" applyFont="1" applyFill="1" applyBorder="1">
      <alignment vertical="center"/>
    </xf>
    <xf numFmtId="41" fontId="19" fillId="6" borderId="51" xfId="2" applyFont="1" applyFill="1" applyBorder="1">
      <alignment vertical="center"/>
    </xf>
    <xf numFmtId="41" fontId="19" fillId="0" borderId="44" xfId="2" applyFont="1" applyFill="1" applyBorder="1">
      <alignment vertical="center"/>
    </xf>
    <xf numFmtId="41" fontId="19" fillId="6" borderId="44" xfId="2" applyFont="1" applyFill="1" applyBorder="1">
      <alignment vertical="center"/>
    </xf>
    <xf numFmtId="41" fontId="19" fillId="0" borderId="56" xfId="2" applyFont="1" applyFill="1" applyBorder="1">
      <alignment vertical="center"/>
    </xf>
    <xf numFmtId="41" fontId="19" fillId="6" borderId="56" xfId="2" applyFont="1" applyFill="1" applyBorder="1">
      <alignment vertical="center"/>
    </xf>
    <xf numFmtId="41" fontId="19" fillId="2" borderId="21" xfId="2" applyFont="1" applyFill="1" applyBorder="1">
      <alignment vertical="center"/>
    </xf>
    <xf numFmtId="41" fontId="19" fillId="2" borderId="56" xfId="2" applyFont="1" applyFill="1" applyBorder="1">
      <alignment vertical="center"/>
    </xf>
    <xf numFmtId="177" fontId="19" fillId="0" borderId="181" xfId="2" applyNumberFormat="1" applyFont="1" applyBorder="1">
      <alignment vertical="center"/>
    </xf>
    <xf numFmtId="41" fontId="19" fillId="0" borderId="181" xfId="2" applyFont="1" applyBorder="1" applyAlignment="1">
      <alignment horizontal="center" vertical="center"/>
    </xf>
    <xf numFmtId="41" fontId="19" fillId="4" borderId="181" xfId="2" applyFont="1" applyFill="1" applyBorder="1">
      <alignment vertical="center"/>
    </xf>
    <xf numFmtId="41" fontId="19" fillId="0" borderId="181" xfId="2" applyFont="1" applyBorder="1">
      <alignment vertical="center"/>
    </xf>
    <xf numFmtId="0" fontId="9" fillId="0" borderId="0" xfId="0" applyFont="1" applyAlignment="1">
      <alignment horizontal="left" vertical="center"/>
    </xf>
    <xf numFmtId="0" fontId="9" fillId="0" borderId="24" xfId="0" applyFont="1" applyBorder="1" applyAlignment="1">
      <alignment horizontal="left" vertical="center" shrinkToFit="1"/>
    </xf>
    <xf numFmtId="41" fontId="19" fillId="6" borderId="0" xfId="2" applyFont="1" applyFill="1">
      <alignment vertical="center"/>
    </xf>
    <xf numFmtId="0" fontId="55" fillId="0" borderId="0" xfId="0" applyFont="1" applyAlignment="1">
      <alignment horizontal="center" vertical="center" shrinkToFit="1"/>
    </xf>
    <xf numFmtId="41" fontId="35" fillId="0" borderId="15" xfId="2" applyFont="1" applyBorder="1" applyAlignment="1">
      <alignment horizontal="center" vertical="center"/>
    </xf>
    <xf numFmtId="41" fontId="56" fillId="13" borderId="15" xfId="2" applyFont="1" applyFill="1" applyBorder="1" applyAlignment="1">
      <alignment horizontal="center" vertical="center"/>
    </xf>
    <xf numFmtId="41" fontId="35" fillId="0" borderId="15" xfId="2" applyFont="1" applyBorder="1" applyAlignment="1">
      <alignment horizontal="center" vertical="center" shrinkToFit="1"/>
    </xf>
    <xf numFmtId="41" fontId="56" fillId="13" borderId="15" xfId="2" applyFont="1" applyFill="1" applyBorder="1" applyAlignment="1">
      <alignment horizontal="center" vertical="center" shrinkToFit="1"/>
    </xf>
    <xf numFmtId="0" fontId="20" fillId="14" borderId="2" xfId="0" applyFont="1" applyFill="1" applyBorder="1" applyAlignment="1">
      <alignment horizontal="center" vertical="center"/>
    </xf>
    <xf numFmtId="0" fontId="20" fillId="14" borderId="14" xfId="0" applyFont="1" applyFill="1" applyBorder="1" applyAlignment="1">
      <alignment horizontal="center" vertical="center"/>
    </xf>
    <xf numFmtId="0" fontId="20" fillId="14" borderId="3" xfId="0" applyFont="1" applyFill="1" applyBorder="1" applyAlignment="1">
      <alignment horizontal="center" vertical="center"/>
    </xf>
    <xf numFmtId="0" fontId="20" fillId="11" borderId="2" xfId="0" applyFont="1" applyFill="1" applyBorder="1" applyAlignment="1">
      <alignment horizontal="center" vertical="center"/>
    </xf>
    <xf numFmtId="0" fontId="20" fillId="11" borderId="29" xfId="0" applyFont="1" applyFill="1" applyBorder="1" applyAlignment="1">
      <alignment horizontal="center" vertical="center"/>
    </xf>
    <xf numFmtId="0" fontId="20" fillId="12" borderId="17" xfId="0" applyFont="1" applyFill="1" applyBorder="1" applyAlignment="1">
      <alignment horizontal="center" vertical="center" shrinkToFit="1"/>
    </xf>
    <xf numFmtId="0" fontId="20" fillId="12" borderId="19" xfId="0" applyFont="1" applyFill="1" applyBorder="1" applyAlignment="1">
      <alignment horizontal="center" vertical="center" shrinkToFit="1"/>
    </xf>
    <xf numFmtId="0" fontId="20" fillId="12" borderId="16" xfId="0" applyFont="1" applyFill="1" applyBorder="1" applyAlignment="1">
      <alignment horizontal="center" vertical="center" shrinkToFit="1"/>
    </xf>
    <xf numFmtId="0" fontId="20" fillId="12" borderId="18" xfId="0" applyFont="1" applyFill="1" applyBorder="1" applyAlignment="1">
      <alignment horizontal="center" vertical="center" shrinkToFit="1"/>
    </xf>
    <xf numFmtId="0" fontId="20" fillId="12" borderId="20" xfId="0" applyFont="1" applyFill="1" applyBorder="1" applyAlignment="1">
      <alignment horizontal="center" vertical="center" shrinkToFit="1"/>
    </xf>
    <xf numFmtId="0" fontId="50" fillId="12" borderId="17" xfId="0" applyFont="1" applyFill="1" applyBorder="1" applyAlignment="1">
      <alignment horizontal="center" vertical="center" shrinkToFit="1"/>
    </xf>
    <xf numFmtId="0" fontId="20" fillId="14" borderId="29" xfId="0" applyFont="1" applyFill="1" applyBorder="1" applyAlignment="1">
      <alignment horizontal="center" vertical="center"/>
    </xf>
    <xf numFmtId="0" fontId="20" fillId="14" borderId="27" xfId="0" applyFont="1" applyFill="1" applyBorder="1" applyAlignment="1">
      <alignment horizontal="center" vertical="center"/>
    </xf>
    <xf numFmtId="0" fontId="20" fillId="14" borderId="28" xfId="0" applyFont="1" applyFill="1" applyBorder="1" applyAlignment="1">
      <alignment horizontal="center" vertical="center"/>
    </xf>
    <xf numFmtId="0" fontId="20" fillId="26" borderId="17" xfId="0" applyFont="1" applyFill="1" applyBorder="1" applyAlignment="1">
      <alignment horizontal="center" vertical="center"/>
    </xf>
    <xf numFmtId="0" fontId="20" fillId="26" borderId="20" xfId="0" applyFont="1" applyFill="1" applyBorder="1" applyAlignment="1">
      <alignment horizontal="center" vertical="center"/>
    </xf>
    <xf numFmtId="0" fontId="9" fillId="2" borderId="2" xfId="0" applyFont="1" applyFill="1" applyBorder="1" applyAlignment="1">
      <alignment horizontal="center" vertical="center" shrinkToFit="1"/>
    </xf>
    <xf numFmtId="0" fontId="9" fillId="2" borderId="3" xfId="0" applyFont="1" applyFill="1" applyBorder="1" applyAlignment="1">
      <alignment horizontal="center" vertical="center" shrinkToFit="1"/>
    </xf>
    <xf numFmtId="0" fontId="20" fillId="5" borderId="17" xfId="0" applyFont="1" applyFill="1" applyBorder="1" applyAlignment="1">
      <alignment horizontal="center" vertical="center"/>
    </xf>
    <xf numFmtId="0" fontId="20" fillId="5" borderId="19" xfId="0" applyFont="1" applyFill="1" applyBorder="1" applyAlignment="1">
      <alignment horizontal="center" vertical="center"/>
    </xf>
    <xf numFmtId="0" fontId="20" fillId="5" borderId="20" xfId="0" applyFont="1" applyFill="1" applyBorder="1" applyAlignment="1">
      <alignment horizontal="center" vertical="center"/>
    </xf>
    <xf numFmtId="0" fontId="9" fillId="2" borderId="29" xfId="0" applyFont="1" applyFill="1" applyBorder="1" applyAlignment="1">
      <alignment horizontal="center" vertical="center" shrinkToFit="1"/>
    </xf>
    <xf numFmtId="0" fontId="9" fillId="2" borderId="28" xfId="0" applyFont="1" applyFill="1" applyBorder="1" applyAlignment="1">
      <alignment horizontal="center" vertical="center" shrinkToFit="1"/>
    </xf>
    <xf numFmtId="0" fontId="43" fillId="2" borderId="2" xfId="0" applyFont="1" applyFill="1" applyBorder="1" applyAlignment="1">
      <alignment horizontal="center" vertical="center" shrinkToFit="1"/>
    </xf>
    <xf numFmtId="0" fontId="20" fillId="10" borderId="2" xfId="0" applyFont="1" applyFill="1" applyBorder="1" applyAlignment="1">
      <alignment horizontal="center" vertical="center"/>
    </xf>
    <xf numFmtId="0" fontId="20" fillId="10" borderId="15" xfId="0" applyFont="1" applyFill="1" applyBorder="1" applyAlignment="1">
      <alignment horizontal="center" vertical="center"/>
    </xf>
    <xf numFmtId="0" fontId="20" fillId="10" borderId="24" xfId="0" applyFont="1" applyFill="1" applyBorder="1" applyAlignment="1">
      <alignment horizontal="center" vertical="center"/>
    </xf>
    <xf numFmtId="0" fontId="20" fillId="23" borderId="29" xfId="0" applyFont="1" applyFill="1" applyBorder="1" applyAlignment="1">
      <alignment horizontal="center" vertical="center"/>
    </xf>
    <xf numFmtId="0" fontId="20" fillId="23" borderId="27" xfId="0" applyFont="1" applyFill="1" applyBorder="1" applyAlignment="1">
      <alignment horizontal="center" vertical="center"/>
    </xf>
    <xf numFmtId="0" fontId="20" fillId="23" borderId="28" xfId="0" applyFont="1" applyFill="1" applyBorder="1" applyAlignment="1">
      <alignment horizontal="center" vertical="center"/>
    </xf>
    <xf numFmtId="0" fontId="20" fillId="24" borderId="29" xfId="0" applyFont="1" applyFill="1" applyBorder="1" applyAlignment="1">
      <alignment horizontal="center" vertical="center"/>
    </xf>
    <xf numFmtId="0" fontId="20" fillId="24" borderId="27" xfId="0" applyFont="1" applyFill="1" applyBorder="1" applyAlignment="1">
      <alignment horizontal="center" vertical="center"/>
    </xf>
    <xf numFmtId="0" fontId="20" fillId="24" borderId="28" xfId="0" applyFont="1" applyFill="1" applyBorder="1" applyAlignment="1">
      <alignment horizontal="center" vertical="center"/>
    </xf>
    <xf numFmtId="0" fontId="20" fillId="12" borderId="26" xfId="0" applyFont="1" applyFill="1" applyBorder="1" applyAlignment="1">
      <alignment horizontal="center" vertical="center" shrinkToFit="1"/>
    </xf>
    <xf numFmtId="0" fontId="20" fillId="13" borderId="17" xfId="0" applyFont="1" applyFill="1" applyBorder="1" applyAlignment="1">
      <alignment horizontal="center" vertical="center"/>
    </xf>
    <xf numFmtId="0" fontId="20" fillId="13" borderId="20" xfId="0" applyFont="1" applyFill="1" applyBorder="1" applyAlignment="1">
      <alignment horizontal="center" vertical="center"/>
    </xf>
    <xf numFmtId="0" fontId="20" fillId="2" borderId="0" xfId="17" applyFont="1" applyFill="1" applyAlignment="1">
      <alignment horizontal="center" vertical="center"/>
    </xf>
    <xf numFmtId="0" fontId="9" fillId="2" borderId="15" xfId="17" applyFont="1" applyFill="1" applyBorder="1" applyAlignment="1">
      <alignment horizontal="left" vertical="center"/>
    </xf>
    <xf numFmtId="0" fontId="9" fillId="2" borderId="24" xfId="17" applyFont="1" applyFill="1" applyBorder="1" applyAlignment="1">
      <alignment horizontal="left" vertical="center"/>
    </xf>
    <xf numFmtId="0" fontId="9" fillId="4" borderId="15" xfId="17" applyFont="1" applyFill="1" applyBorder="1" applyAlignment="1">
      <alignment horizontal="left" vertical="center"/>
    </xf>
    <xf numFmtId="0" fontId="26" fillId="0" borderId="22" xfId="0" applyFont="1" applyBorder="1" applyAlignment="1">
      <alignment horizontal="center" vertical="center"/>
    </xf>
    <xf numFmtId="0" fontId="26" fillId="2" borderId="0" xfId="0" applyFont="1" applyFill="1" applyAlignment="1">
      <alignment horizontal="center" vertical="center"/>
    </xf>
    <xf numFmtId="37" fontId="45" fillId="0" borderId="135" xfId="22" applyNumberFormat="1" applyFont="1" applyBorder="1" applyAlignment="1">
      <alignment horizontal="center" vertical="center" shrinkToFit="1"/>
    </xf>
    <xf numFmtId="37" fontId="45" fillId="0" borderId="155" xfId="22" applyNumberFormat="1" applyFont="1" applyBorder="1" applyAlignment="1">
      <alignment horizontal="center" vertical="center" shrinkToFit="1"/>
    </xf>
    <xf numFmtId="37" fontId="45" fillId="0" borderId="162" xfId="22" applyNumberFormat="1" applyFont="1" applyBorder="1" applyAlignment="1">
      <alignment horizontal="center" vertical="center" shrinkToFit="1"/>
    </xf>
    <xf numFmtId="37" fontId="45" fillId="0" borderId="136" xfId="22" applyNumberFormat="1" applyFont="1" applyBorder="1" applyAlignment="1">
      <alignment horizontal="center" vertical="center" shrinkToFit="1"/>
    </xf>
    <xf numFmtId="37" fontId="45" fillId="0" borderId="156" xfId="22" applyNumberFormat="1" applyFont="1" applyBorder="1" applyAlignment="1">
      <alignment horizontal="center" vertical="center" shrinkToFit="1"/>
    </xf>
    <xf numFmtId="37" fontId="45" fillId="0" borderId="163" xfId="22" applyNumberFormat="1" applyFont="1" applyBorder="1" applyAlignment="1">
      <alignment horizontal="center" vertical="center" shrinkToFit="1"/>
    </xf>
    <xf numFmtId="0" fontId="46" fillId="14" borderId="159" xfId="21" applyFont="1" applyFill="1" applyBorder="1" applyAlignment="1">
      <alignment horizontal="center" vertical="center"/>
    </xf>
    <xf numFmtId="0" fontId="46" fillId="14" borderId="177" xfId="21" applyFont="1" applyFill="1" applyBorder="1" applyAlignment="1">
      <alignment horizontal="center" vertical="center"/>
    </xf>
    <xf numFmtId="37" fontId="45" fillId="27" borderId="167" xfId="22" applyNumberFormat="1" applyFont="1" applyFill="1" applyBorder="1" applyAlignment="1">
      <alignment horizontal="center" vertical="center" shrinkToFit="1"/>
    </xf>
    <xf numFmtId="37" fontId="45" fillId="27" borderId="157" xfId="22" applyNumberFormat="1" applyFont="1" applyFill="1" applyBorder="1" applyAlignment="1">
      <alignment horizontal="center" vertical="center" shrinkToFit="1"/>
    </xf>
    <xf numFmtId="37" fontId="45" fillId="27" borderId="164" xfId="22" applyNumberFormat="1" applyFont="1" applyFill="1" applyBorder="1" applyAlignment="1">
      <alignment horizontal="center" vertical="center" shrinkToFit="1"/>
    </xf>
    <xf numFmtId="37" fontId="45" fillId="27" borderId="168" xfId="22" applyNumberFormat="1" applyFont="1" applyFill="1" applyBorder="1" applyAlignment="1">
      <alignment horizontal="center" vertical="center" shrinkToFit="1"/>
    </xf>
    <xf numFmtId="37" fontId="45" fillId="27" borderId="156" xfId="22" applyNumberFormat="1" applyFont="1" applyFill="1" applyBorder="1" applyAlignment="1">
      <alignment horizontal="center" vertical="center" shrinkToFit="1"/>
    </xf>
    <xf numFmtId="37" fontId="45" fillId="27" borderId="163" xfId="22" applyNumberFormat="1" applyFont="1" applyFill="1" applyBorder="1" applyAlignment="1">
      <alignment horizontal="center" vertical="center" shrinkToFit="1"/>
    </xf>
    <xf numFmtId="37" fontId="45" fillId="27" borderId="151" xfId="22" applyNumberFormat="1" applyFont="1" applyFill="1" applyBorder="1" applyAlignment="1">
      <alignment horizontal="center" vertical="center" shrinkToFit="1"/>
    </xf>
    <xf numFmtId="37" fontId="45" fillId="27" borderId="158" xfId="22" applyNumberFormat="1" applyFont="1" applyFill="1" applyBorder="1" applyAlignment="1">
      <alignment horizontal="center" vertical="center" shrinkToFit="1"/>
    </xf>
    <xf numFmtId="37" fontId="45" fillId="27" borderId="178" xfId="22" applyNumberFormat="1" applyFont="1" applyFill="1" applyBorder="1" applyAlignment="1">
      <alignment horizontal="center" vertical="center" shrinkToFit="1"/>
    </xf>
    <xf numFmtId="37" fontId="45" fillId="0" borderId="134" xfId="22" applyNumberFormat="1" applyFont="1" applyBorder="1" applyAlignment="1">
      <alignment horizontal="center" vertical="center" shrinkToFit="1"/>
    </xf>
    <xf numFmtId="37" fontId="45" fillId="0" borderId="157" xfId="22" applyNumberFormat="1" applyFont="1" applyBorder="1" applyAlignment="1">
      <alignment horizontal="center" vertical="center" shrinkToFit="1"/>
    </xf>
    <xf numFmtId="37" fontId="45" fillId="0" borderId="164" xfId="22" applyNumberFormat="1" applyFont="1" applyBorder="1" applyAlignment="1">
      <alignment horizontal="center" vertical="center" shrinkToFit="1"/>
    </xf>
    <xf numFmtId="37" fontId="45" fillId="27" borderId="170" xfId="22" applyNumberFormat="1" applyFont="1" applyFill="1" applyBorder="1" applyAlignment="1">
      <alignment horizontal="center" vertical="center" shrinkToFit="1"/>
    </xf>
    <xf numFmtId="37" fontId="45" fillId="27" borderId="169" xfId="22" applyNumberFormat="1" applyFont="1" applyFill="1" applyBorder="1" applyAlignment="1">
      <alignment horizontal="center" vertical="center" shrinkToFit="1"/>
    </xf>
    <xf numFmtId="37" fontId="45" fillId="27" borderId="162" xfId="22" applyNumberFormat="1" applyFont="1" applyFill="1" applyBorder="1" applyAlignment="1">
      <alignment horizontal="center" vertical="center" shrinkToFit="1"/>
    </xf>
    <xf numFmtId="37" fontId="45" fillId="27" borderId="173" xfId="22" applyNumberFormat="1" applyFont="1" applyFill="1" applyBorder="1" applyAlignment="1">
      <alignment horizontal="center" vertical="center" shrinkToFit="1"/>
    </xf>
    <xf numFmtId="37" fontId="45" fillId="27" borderId="176" xfId="22" applyNumberFormat="1" applyFont="1" applyFill="1" applyBorder="1" applyAlignment="1">
      <alignment horizontal="center" vertical="center" shrinkToFit="1"/>
    </xf>
    <xf numFmtId="0" fontId="46" fillId="14" borderId="145" xfId="21" applyFont="1" applyFill="1" applyBorder="1" applyAlignment="1">
      <alignment horizontal="center" vertical="center"/>
    </xf>
    <xf numFmtId="0" fontId="46" fillId="14" borderId="146" xfId="21" applyFont="1" applyFill="1" applyBorder="1" applyAlignment="1">
      <alignment horizontal="center" vertical="center"/>
    </xf>
    <xf numFmtId="0" fontId="46" fillId="14" borderId="126" xfId="21" applyFont="1" applyFill="1" applyBorder="1" applyAlignment="1">
      <alignment horizontal="center" vertical="center"/>
    </xf>
    <xf numFmtId="0" fontId="46" fillId="14" borderId="137" xfId="21" applyFont="1" applyFill="1" applyBorder="1" applyAlignment="1">
      <alignment horizontal="center" vertical="center"/>
    </xf>
    <xf numFmtId="0" fontId="46" fillId="14" borderId="144" xfId="21" applyFont="1" applyFill="1" applyBorder="1" applyAlignment="1">
      <alignment horizontal="center" vertical="center"/>
    </xf>
    <xf numFmtId="0" fontId="46" fillId="14" borderId="127" xfId="21" applyFont="1" applyFill="1" applyBorder="1" applyAlignment="1">
      <alignment horizontal="center" vertical="center"/>
    </xf>
    <xf numFmtId="0" fontId="46" fillId="14" borderId="128" xfId="21" applyFont="1" applyFill="1" applyBorder="1" applyAlignment="1">
      <alignment horizontal="center" vertical="center"/>
    </xf>
    <xf numFmtId="37" fontId="45" fillId="27" borderId="127" xfId="22" applyNumberFormat="1" applyFont="1" applyFill="1" applyBorder="1" applyAlignment="1">
      <alignment horizontal="center" vertical="center" shrinkToFit="1"/>
    </xf>
    <xf numFmtId="37" fontId="45" fillId="27" borderId="138" xfId="22" applyNumberFormat="1" applyFont="1" applyFill="1" applyBorder="1" applyAlignment="1">
      <alignment horizontal="center" vertical="center" shrinkToFit="1"/>
    </xf>
    <xf numFmtId="37" fontId="45" fillId="27" borderId="145" xfId="22" applyNumberFormat="1" applyFont="1" applyFill="1" applyBorder="1" applyAlignment="1">
      <alignment horizontal="center" vertical="center" shrinkToFit="1"/>
    </xf>
    <xf numFmtId="37" fontId="45" fillId="27" borderId="128" xfId="22" applyNumberFormat="1" applyFont="1" applyFill="1" applyBorder="1" applyAlignment="1">
      <alignment horizontal="center" vertical="center" shrinkToFit="1"/>
    </xf>
    <xf numFmtId="37" fontId="45" fillId="27" borderId="139" xfId="22" applyNumberFormat="1" applyFont="1" applyFill="1" applyBorder="1" applyAlignment="1">
      <alignment horizontal="center" vertical="center" shrinkToFit="1"/>
    </xf>
    <xf numFmtId="37" fontId="45" fillId="27" borderId="146" xfId="22" applyNumberFormat="1" applyFont="1" applyFill="1" applyBorder="1" applyAlignment="1">
      <alignment horizontal="center" vertical="center" shrinkToFit="1"/>
    </xf>
    <xf numFmtId="37" fontId="45" fillId="27" borderId="134" xfId="22" applyNumberFormat="1" applyFont="1" applyFill="1" applyBorder="1" applyAlignment="1">
      <alignment horizontal="center" vertical="center" shrinkToFit="1"/>
    </xf>
    <xf numFmtId="37" fontId="45" fillId="27" borderId="142" xfId="22" applyNumberFormat="1" applyFont="1" applyFill="1" applyBorder="1" applyAlignment="1">
      <alignment horizontal="center" vertical="center" shrinkToFit="1"/>
    </xf>
    <xf numFmtId="37" fontId="45" fillId="27" borderId="136" xfId="22" applyNumberFormat="1" applyFont="1" applyFill="1" applyBorder="1" applyAlignment="1">
      <alignment horizontal="center" vertical="center" shrinkToFit="1"/>
    </xf>
    <xf numFmtId="37" fontId="45" fillId="27" borderId="141" xfId="22" applyNumberFormat="1" applyFont="1" applyFill="1" applyBorder="1" applyAlignment="1">
      <alignment horizontal="center" vertical="center" shrinkToFit="1"/>
    </xf>
    <xf numFmtId="0" fontId="46" fillId="14" borderId="171" xfId="21" applyFont="1" applyFill="1" applyBorder="1" applyAlignment="1">
      <alignment horizontal="center" vertical="center"/>
    </xf>
    <xf numFmtId="0" fontId="46" fillId="14" borderId="179" xfId="21" applyFont="1" applyFill="1" applyBorder="1" applyAlignment="1">
      <alignment horizontal="center" vertical="center"/>
    </xf>
    <xf numFmtId="0" fontId="46" fillId="14" borderId="174" xfId="21" applyFont="1" applyFill="1" applyBorder="1" applyAlignment="1">
      <alignment horizontal="center" vertical="center"/>
    </xf>
    <xf numFmtId="0" fontId="46" fillId="14" borderId="180" xfId="21" applyFont="1" applyFill="1" applyBorder="1" applyAlignment="1">
      <alignment horizontal="center" vertical="center"/>
    </xf>
    <xf numFmtId="37" fontId="45" fillId="27" borderId="165" xfId="22" applyNumberFormat="1" applyFont="1" applyFill="1" applyBorder="1" applyAlignment="1">
      <alignment horizontal="center" vertical="center" shrinkToFit="1"/>
    </xf>
    <xf numFmtId="0" fontId="46" fillId="14" borderId="138" xfId="21" applyFont="1" applyFill="1" applyBorder="1" applyAlignment="1">
      <alignment horizontal="center" vertical="center"/>
    </xf>
    <xf numFmtId="0" fontId="46" fillId="14" borderId="139" xfId="21" applyFont="1" applyFill="1" applyBorder="1" applyAlignment="1">
      <alignment horizontal="center" vertical="center"/>
    </xf>
    <xf numFmtId="37" fontId="45" fillId="27" borderId="155" xfId="22" applyNumberFormat="1" applyFont="1" applyFill="1" applyBorder="1" applyAlignment="1">
      <alignment horizontal="center" vertical="center" shrinkToFit="1"/>
    </xf>
    <xf numFmtId="37" fontId="45" fillId="27" borderId="171" xfId="22" applyNumberFormat="1" applyFont="1" applyFill="1" applyBorder="1" applyAlignment="1">
      <alignment horizontal="center" vertical="center" shrinkToFit="1"/>
    </xf>
    <xf numFmtId="37" fontId="45" fillId="27" borderId="174" xfId="22" applyNumberFormat="1" applyFont="1" applyFill="1" applyBorder="1" applyAlignment="1">
      <alignment horizontal="center" vertical="center" shrinkToFit="1"/>
    </xf>
    <xf numFmtId="37" fontId="45" fillId="27" borderId="172" xfId="22" applyNumberFormat="1" applyFont="1" applyFill="1" applyBorder="1" applyAlignment="1">
      <alignment horizontal="center" vertical="center" shrinkToFit="1"/>
    </xf>
    <xf numFmtId="37" fontId="45" fillId="27" borderId="175" xfId="22" applyNumberFormat="1" applyFont="1" applyFill="1" applyBorder="1" applyAlignment="1">
      <alignment horizontal="center" vertical="center" shrinkToFit="1"/>
    </xf>
    <xf numFmtId="37" fontId="45" fillId="27" borderId="126" xfId="22" applyNumberFormat="1" applyFont="1" applyFill="1" applyBorder="1" applyAlignment="1">
      <alignment horizontal="center" vertical="center" shrinkToFit="1"/>
    </xf>
    <xf numFmtId="37" fontId="45" fillId="27" borderId="137" xfId="22" applyNumberFormat="1" applyFont="1" applyFill="1" applyBorder="1" applyAlignment="1">
      <alignment horizontal="center" vertical="center" shrinkToFit="1"/>
    </xf>
    <xf numFmtId="37" fontId="45" fillId="27" borderId="133" xfId="22" applyNumberFormat="1" applyFont="1" applyFill="1" applyBorder="1" applyAlignment="1">
      <alignment horizontal="center" vertical="center" shrinkToFit="1"/>
    </xf>
    <xf numFmtId="37" fontId="45" fillId="27" borderId="143" xfId="22" applyNumberFormat="1" applyFont="1" applyFill="1" applyBorder="1" applyAlignment="1">
      <alignment horizontal="center" vertical="center" shrinkToFit="1"/>
    </xf>
    <xf numFmtId="37" fontId="45" fillId="27" borderId="161" xfId="22" applyNumberFormat="1" applyFont="1" applyFill="1" applyBorder="1" applyAlignment="1">
      <alignment horizontal="center" vertical="center" shrinkToFit="1"/>
    </xf>
    <xf numFmtId="37" fontId="45" fillId="27" borderId="150" xfId="22" applyNumberFormat="1" applyFont="1" applyFill="1" applyBorder="1" applyAlignment="1">
      <alignment horizontal="center" vertical="center" shrinkToFit="1"/>
    </xf>
    <xf numFmtId="37" fontId="45" fillId="27" borderId="144" xfId="22" applyNumberFormat="1" applyFont="1" applyFill="1" applyBorder="1" applyAlignment="1">
      <alignment horizontal="center" vertical="center" shrinkToFit="1"/>
    </xf>
    <xf numFmtId="37" fontId="45" fillId="27" borderId="159" xfId="22" applyNumberFormat="1" applyFont="1" applyFill="1" applyBorder="1" applyAlignment="1">
      <alignment horizontal="center" vertical="center" shrinkToFit="1"/>
    </xf>
    <xf numFmtId="37" fontId="45" fillId="27" borderId="148" xfId="22" applyNumberFormat="1" applyFont="1" applyFill="1" applyBorder="1" applyAlignment="1">
      <alignment horizontal="center" vertical="center" shrinkToFit="1"/>
    </xf>
    <xf numFmtId="37" fontId="45" fillId="27" borderId="160" xfId="22" applyNumberFormat="1" applyFont="1" applyFill="1" applyBorder="1" applyAlignment="1">
      <alignment horizontal="center" vertical="center" shrinkToFit="1"/>
    </xf>
    <xf numFmtId="37" fontId="45" fillId="27" borderId="166" xfId="22" applyNumberFormat="1" applyFont="1" applyFill="1" applyBorder="1" applyAlignment="1">
      <alignment horizontal="center" vertical="center" shrinkToFit="1"/>
    </xf>
    <xf numFmtId="37" fontId="45" fillId="27" borderId="154" xfId="22" applyNumberFormat="1" applyFont="1" applyFill="1" applyBorder="1" applyAlignment="1">
      <alignment horizontal="center" vertical="center" shrinkToFit="1"/>
    </xf>
    <xf numFmtId="37" fontId="45" fillId="27" borderId="152" xfId="22" applyNumberFormat="1" applyFont="1" applyFill="1" applyBorder="1" applyAlignment="1">
      <alignment horizontal="center" vertical="center" shrinkToFit="1"/>
    </xf>
    <xf numFmtId="37" fontId="45" fillId="27" borderId="153" xfId="22" applyNumberFormat="1" applyFont="1" applyFill="1" applyBorder="1" applyAlignment="1">
      <alignment horizontal="center" vertical="center" shrinkToFit="1"/>
    </xf>
    <xf numFmtId="0" fontId="46" fillId="25" borderId="126" xfId="21" applyFont="1" applyFill="1" applyBorder="1" applyAlignment="1">
      <alignment horizontal="center" vertical="center"/>
    </xf>
    <xf numFmtId="0" fontId="46" fillId="25" borderId="127" xfId="21" applyFont="1" applyFill="1" applyBorder="1" applyAlignment="1">
      <alignment horizontal="center" vertical="center"/>
    </xf>
    <xf numFmtId="0" fontId="46" fillId="25" borderId="128" xfId="21" applyFont="1" applyFill="1" applyBorder="1" applyAlignment="1">
      <alignment horizontal="center" vertical="center"/>
    </xf>
    <xf numFmtId="0" fontId="46" fillId="25" borderId="137" xfId="21" applyFont="1" applyFill="1" applyBorder="1" applyAlignment="1">
      <alignment horizontal="center" vertical="center"/>
    </xf>
    <xf numFmtId="0" fontId="46" fillId="25" borderId="138" xfId="21" applyFont="1" applyFill="1" applyBorder="1" applyAlignment="1">
      <alignment horizontal="center" vertical="center"/>
    </xf>
    <xf numFmtId="0" fontId="46" fillId="25" borderId="139" xfId="21" applyFont="1" applyFill="1" applyBorder="1" applyAlignment="1">
      <alignment horizontal="center" vertical="center"/>
    </xf>
    <xf numFmtId="0" fontId="46" fillId="25" borderId="144" xfId="21" applyFont="1" applyFill="1" applyBorder="1" applyAlignment="1">
      <alignment horizontal="center" vertical="center"/>
    </xf>
    <xf numFmtId="0" fontId="46" fillId="25" borderId="145" xfId="21" applyFont="1" applyFill="1" applyBorder="1" applyAlignment="1">
      <alignment horizontal="center" vertical="center"/>
    </xf>
    <xf numFmtId="0" fontId="46" fillId="25" borderId="146" xfId="21" applyFont="1" applyFill="1" applyBorder="1" applyAlignment="1">
      <alignment horizontal="center" vertical="center"/>
    </xf>
    <xf numFmtId="0" fontId="47" fillId="25" borderId="129" xfId="22" applyNumberFormat="1" applyFont="1" applyFill="1" applyBorder="1" applyAlignment="1">
      <alignment horizontal="center" vertical="center" wrapText="1"/>
    </xf>
    <xf numFmtId="0" fontId="47" fillId="25" borderId="130" xfId="22" applyNumberFormat="1" applyFont="1" applyFill="1" applyBorder="1" applyAlignment="1">
      <alignment horizontal="center" vertical="center" wrapText="1"/>
    </xf>
    <xf numFmtId="0" fontId="46" fillId="25" borderId="131" xfId="22" applyNumberFormat="1" applyFont="1" applyFill="1" applyBorder="1" applyAlignment="1">
      <alignment horizontal="center" vertical="center"/>
    </xf>
    <xf numFmtId="0" fontId="46" fillId="25" borderId="132" xfId="22" applyNumberFormat="1" applyFont="1" applyFill="1" applyBorder="1" applyAlignment="1">
      <alignment horizontal="center" vertical="center"/>
    </xf>
    <xf numFmtId="0" fontId="46" fillId="25" borderId="133" xfId="22" applyNumberFormat="1" applyFont="1" applyFill="1" applyBorder="1" applyAlignment="1">
      <alignment horizontal="center" vertical="center" wrapText="1"/>
    </xf>
    <xf numFmtId="0" fontId="46" fillId="25" borderId="143" xfId="22" applyNumberFormat="1" applyFont="1" applyFill="1" applyBorder="1" applyAlignment="1">
      <alignment horizontal="center" vertical="center"/>
    </xf>
    <xf numFmtId="0" fontId="46" fillId="25" borderId="147" xfId="22" applyNumberFormat="1" applyFont="1" applyFill="1" applyBorder="1" applyAlignment="1">
      <alignment horizontal="center" vertical="center"/>
    </xf>
    <xf numFmtId="0" fontId="46" fillId="25" borderId="134" xfId="22" applyNumberFormat="1" applyFont="1" applyFill="1" applyBorder="1" applyAlignment="1">
      <alignment horizontal="center" vertical="center"/>
    </xf>
    <xf numFmtId="0" fontId="46" fillId="25" borderId="135" xfId="22" applyNumberFormat="1" applyFont="1" applyFill="1" applyBorder="1" applyAlignment="1">
      <alignment horizontal="center" vertical="center"/>
    </xf>
    <xf numFmtId="0" fontId="46" fillId="25" borderId="136" xfId="22" applyNumberFormat="1" applyFont="1" applyFill="1" applyBorder="1" applyAlignment="1">
      <alignment horizontal="center" vertical="center"/>
    </xf>
    <xf numFmtId="0" fontId="46" fillId="25" borderId="140" xfId="22" applyNumberFormat="1" applyFont="1" applyFill="1" applyBorder="1" applyAlignment="1">
      <alignment horizontal="center" vertical="center"/>
    </xf>
    <xf numFmtId="0" fontId="46" fillId="25" borderId="141" xfId="22" applyNumberFormat="1" applyFont="1" applyFill="1" applyBorder="1" applyAlignment="1">
      <alignment horizontal="center" vertical="center"/>
    </xf>
    <xf numFmtId="0" fontId="46" fillId="25" borderId="142" xfId="22" applyNumberFormat="1" applyFont="1" applyFill="1" applyBorder="1" applyAlignment="1">
      <alignment horizontal="center" vertical="center" wrapText="1"/>
    </xf>
    <xf numFmtId="0" fontId="46" fillId="25" borderId="144" xfId="22" applyNumberFormat="1" applyFont="1" applyFill="1" applyBorder="1" applyAlignment="1">
      <alignment horizontal="center" vertical="center"/>
    </xf>
    <xf numFmtId="0" fontId="46" fillId="25" borderId="141" xfId="22" applyNumberFormat="1" applyFont="1" applyFill="1" applyBorder="1" applyAlignment="1">
      <alignment horizontal="center" vertical="center" wrapText="1"/>
    </xf>
    <xf numFmtId="0" fontId="46" fillId="25" borderId="146" xfId="22" applyNumberFormat="1" applyFont="1" applyFill="1" applyBorder="1" applyAlignment="1">
      <alignment horizontal="center" vertical="center"/>
    </xf>
    <xf numFmtId="0" fontId="46" fillId="25" borderId="126" xfId="22" applyNumberFormat="1" applyFont="1" applyFill="1" applyBorder="1" applyAlignment="1">
      <alignment horizontal="center" vertical="center"/>
    </xf>
    <xf numFmtId="0" fontId="46" fillId="25" borderId="127" xfId="22" applyNumberFormat="1" applyFont="1" applyFill="1" applyBorder="1" applyAlignment="1">
      <alignment horizontal="center" vertical="center"/>
    </xf>
    <xf numFmtId="0" fontId="46" fillId="25" borderId="128" xfId="22" applyNumberFormat="1" applyFont="1" applyFill="1" applyBorder="1" applyAlignment="1">
      <alignment horizontal="center" vertical="center"/>
    </xf>
    <xf numFmtId="0" fontId="39" fillId="2" borderId="0" xfId="2" applyNumberFormat="1" applyFont="1" applyFill="1" applyAlignment="1">
      <alignment horizontal="center" vertical="center"/>
    </xf>
    <xf numFmtId="0" fontId="41" fillId="2" borderId="25" xfId="2" applyNumberFormat="1" applyFont="1" applyFill="1" applyBorder="1" applyAlignment="1">
      <alignment horizontal="center" vertical="center"/>
    </xf>
    <xf numFmtId="0" fontId="41" fillId="2" borderId="18" xfId="2" applyNumberFormat="1" applyFont="1" applyFill="1" applyBorder="1" applyAlignment="1">
      <alignment horizontal="center" vertical="center"/>
    </xf>
    <xf numFmtId="0" fontId="41" fillId="2" borderId="16" xfId="2" applyNumberFormat="1" applyFont="1" applyFill="1" applyBorder="1" applyAlignment="1">
      <alignment horizontal="center" vertical="center"/>
    </xf>
    <xf numFmtId="10" fontId="19" fillId="0" borderId="0" xfId="1" applyNumberFormat="1" applyFont="1" applyAlignment="1">
      <alignment horizontal="center" vertical="center"/>
    </xf>
    <xf numFmtId="41" fontId="19" fillId="0" borderId="0" xfId="2" applyFont="1" applyAlignment="1">
      <alignment horizontal="center" vertical="center"/>
    </xf>
    <xf numFmtId="177" fontId="19" fillId="0" borderId="0" xfId="2" applyNumberFormat="1" applyFont="1" applyAlignment="1">
      <alignment horizontal="center" vertical="center"/>
    </xf>
    <xf numFmtId="0" fontId="9" fillId="3" borderId="0" xfId="0" applyFont="1" applyFill="1" applyAlignment="1">
      <alignment horizontal="center" vertical="center"/>
    </xf>
    <xf numFmtId="0" fontId="9" fillId="7" borderId="0" xfId="0" applyFont="1" applyFill="1" applyAlignment="1">
      <alignment horizontal="center" vertical="center" shrinkToFit="1"/>
    </xf>
    <xf numFmtId="0" fontId="7" fillId="2" borderId="2" xfId="0" applyFont="1" applyFill="1" applyBorder="1" applyAlignment="1">
      <alignment horizontal="center" vertical="center" shrinkToFit="1"/>
    </xf>
    <xf numFmtId="41" fontId="49" fillId="0" borderId="24" xfId="2" applyFont="1" applyBorder="1" applyAlignment="1">
      <alignment horizontal="center" vertical="center"/>
    </xf>
    <xf numFmtId="41" fontId="35" fillId="25" borderId="29" xfId="2" applyFont="1" applyFill="1" applyBorder="1" applyAlignment="1">
      <alignment horizontal="center" vertical="center"/>
    </xf>
    <xf numFmtId="41" fontId="35" fillId="25" borderId="27" xfId="2" applyFont="1" applyFill="1" applyBorder="1" applyAlignment="1">
      <alignment horizontal="center" vertical="center"/>
    </xf>
    <xf numFmtId="41" fontId="35" fillId="25" borderId="28" xfId="2" applyFont="1" applyFill="1" applyBorder="1" applyAlignment="1">
      <alignment horizontal="center" vertical="center"/>
    </xf>
    <xf numFmtId="41" fontId="35" fillId="0" borderId="24" xfId="2" applyFont="1" applyBorder="1" applyAlignment="1">
      <alignment horizontal="center" vertical="center"/>
    </xf>
    <xf numFmtId="41" fontId="35" fillId="0" borderId="26" xfId="2" applyFont="1" applyBorder="1" applyAlignment="1">
      <alignment horizontal="center" vertical="center"/>
    </xf>
    <xf numFmtId="41" fontId="35" fillId="0" borderId="64" xfId="2" applyFont="1" applyBorder="1" applyAlignment="1">
      <alignment horizontal="center" vertical="center"/>
    </xf>
    <xf numFmtId="41" fontId="35" fillId="0" borderId="19" xfId="2" applyFont="1" applyBorder="1" applyAlignment="1">
      <alignment horizontal="center" vertical="center"/>
    </xf>
    <xf numFmtId="41" fontId="35" fillId="0" borderId="183" xfId="2" applyFont="1" applyBorder="1" applyAlignment="1">
      <alignment horizontal="center" vertical="center"/>
    </xf>
    <xf numFmtId="41" fontId="35" fillId="0" borderId="20" xfId="2" applyFont="1" applyBorder="1" applyAlignment="1">
      <alignment horizontal="center" vertical="center"/>
    </xf>
    <xf numFmtId="41" fontId="35" fillId="0" borderId="182" xfId="2" applyFont="1" applyBorder="1" applyAlignment="1">
      <alignment horizontal="center" vertical="center"/>
    </xf>
    <xf numFmtId="41" fontId="35" fillId="0" borderId="29" xfId="2" applyFont="1" applyBorder="1" applyAlignment="1">
      <alignment horizontal="center" vertical="center"/>
    </xf>
    <xf numFmtId="41" fontId="35" fillId="0" borderId="28" xfId="2" applyFont="1" applyBorder="1" applyAlignment="1">
      <alignment horizontal="center" vertical="center"/>
    </xf>
    <xf numFmtId="41" fontId="35" fillId="25" borderId="25" xfId="2" applyFont="1" applyFill="1" applyBorder="1" applyAlignment="1">
      <alignment horizontal="center" vertical="center"/>
    </xf>
    <xf numFmtId="41" fontId="35" fillId="25" borderId="16" xfId="2" applyFont="1" applyFill="1" applyBorder="1" applyAlignment="1">
      <alignment horizontal="center" vertical="center"/>
    </xf>
    <xf numFmtId="41" fontId="35" fillId="0" borderId="181" xfId="2" applyFont="1" applyBorder="1" applyAlignment="1">
      <alignment horizontal="center" vertical="center"/>
    </xf>
    <xf numFmtId="41" fontId="35" fillId="0" borderId="22" xfId="2" applyFont="1" applyBorder="1" applyAlignment="1">
      <alignment horizontal="center" vertical="center"/>
    </xf>
    <xf numFmtId="0" fontId="19" fillId="0" borderId="0" xfId="0" applyFont="1" applyAlignment="1">
      <alignment horizontal="center" vertical="center" shrinkToFit="1"/>
    </xf>
    <xf numFmtId="41" fontId="19" fillId="0" borderId="0" xfId="2" applyFont="1" applyAlignment="1">
      <alignment horizontal="center" vertical="center" shrinkToFit="1"/>
    </xf>
    <xf numFmtId="0" fontId="19" fillId="0" borderId="22" xfId="0" applyFont="1" applyBorder="1" applyAlignment="1">
      <alignment horizontal="center" vertical="center"/>
    </xf>
    <xf numFmtId="0" fontId="19" fillId="0" borderId="0" xfId="0" applyFont="1" applyAlignment="1">
      <alignment horizontal="center" vertical="center"/>
    </xf>
    <xf numFmtId="0" fontId="19" fillId="22" borderId="39" xfId="0" applyFont="1" applyFill="1" applyBorder="1" applyAlignment="1">
      <alignment horizontal="center" vertical="center"/>
    </xf>
    <xf numFmtId="0" fontId="19" fillId="22" borderId="35" xfId="0" applyFont="1" applyFill="1" applyBorder="1" applyAlignment="1">
      <alignment horizontal="center" vertical="center"/>
    </xf>
    <xf numFmtId="0" fontId="19" fillId="22" borderId="37" xfId="0" applyFont="1" applyFill="1" applyBorder="1" applyAlignment="1">
      <alignment horizontal="center" vertical="center"/>
    </xf>
    <xf numFmtId="0" fontId="19" fillId="0" borderId="29" xfId="0" applyFont="1" applyBorder="1" applyAlignment="1">
      <alignment horizontal="center" vertical="center"/>
    </xf>
    <xf numFmtId="0" fontId="19" fillId="0" borderId="28" xfId="0" applyFont="1" applyBorder="1" applyAlignment="1">
      <alignment horizontal="center" vertical="center"/>
    </xf>
    <xf numFmtId="0" fontId="9" fillId="0" borderId="0" xfId="0" applyFont="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vertical="center" shrinkToFit="1"/>
    </xf>
    <xf numFmtId="0" fontId="7" fillId="2" borderId="15" xfId="0" applyFont="1" applyFill="1" applyBorder="1" applyAlignment="1">
      <alignment horizontal="center" vertical="center" shrinkToFit="1"/>
    </xf>
    <xf numFmtId="41" fontId="9" fillId="2" borderId="15" xfId="2" applyFont="1" applyFill="1" applyBorder="1" applyAlignment="1">
      <alignment horizontal="center" vertical="center" shrinkToFit="1"/>
    </xf>
    <xf numFmtId="0" fontId="9" fillId="0" borderId="15" xfId="0" quotePrefix="1" applyFont="1" applyBorder="1" applyAlignment="1">
      <alignment horizontal="center" vertical="center" shrinkToFit="1"/>
    </xf>
    <xf numFmtId="0" fontId="9" fillId="0" borderId="4"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15" xfId="0" applyFont="1" applyBorder="1" applyAlignment="1">
      <alignment horizontal="center" vertical="center" shrinkToFit="1"/>
    </xf>
    <xf numFmtId="179" fontId="9" fillId="0" borderId="15" xfId="0" applyNumberFormat="1" applyFont="1" applyBorder="1" applyAlignment="1">
      <alignment horizontal="center" vertical="center" shrinkToFit="1"/>
    </xf>
    <xf numFmtId="0" fontId="9" fillId="0" borderId="2" xfId="0" applyFont="1" applyBorder="1" applyAlignment="1">
      <alignment horizontal="center" vertical="center" wrapText="1" shrinkToFit="1"/>
    </xf>
    <xf numFmtId="0" fontId="9" fillId="0" borderId="14" xfId="0" applyFont="1" applyBorder="1" applyAlignment="1">
      <alignment horizontal="center" vertical="center" wrapText="1" shrinkToFit="1"/>
    </xf>
    <xf numFmtId="0" fontId="9" fillId="0" borderId="3" xfId="0" applyFont="1" applyBorder="1" applyAlignment="1">
      <alignment horizontal="center" vertical="center" wrapText="1" shrinkToFit="1"/>
    </xf>
    <xf numFmtId="0" fontId="9" fillId="0" borderId="15" xfId="0" applyFont="1" applyBorder="1" applyAlignment="1">
      <alignment horizontal="center" vertical="center" wrapText="1" shrinkToFit="1"/>
    </xf>
    <xf numFmtId="180" fontId="9" fillId="0" borderId="15" xfId="0" applyNumberFormat="1" applyFont="1" applyBorder="1" applyAlignment="1">
      <alignment horizontal="center" vertical="center" shrinkToFit="1"/>
    </xf>
    <xf numFmtId="0" fontId="34" fillId="0" borderId="7" xfId="0" applyFont="1" applyBorder="1" applyAlignment="1">
      <alignment horizontal="center" vertical="center" wrapText="1" shrinkToFit="1"/>
    </xf>
    <xf numFmtId="0" fontId="34" fillId="0" borderId="5" xfId="0" applyFont="1" applyBorder="1" applyAlignment="1">
      <alignment horizontal="center" vertical="center" shrinkToFit="1"/>
    </xf>
    <xf numFmtId="0" fontId="34" fillId="0" borderId="12" xfId="0" applyFont="1" applyBorder="1" applyAlignment="1">
      <alignment horizontal="center" vertical="center" shrinkToFit="1"/>
    </xf>
    <xf numFmtId="0" fontId="19" fillId="0" borderId="42" xfId="0" applyFont="1" applyBorder="1" applyAlignment="1">
      <alignment horizontal="center" vertical="center" shrinkToFit="1"/>
    </xf>
    <xf numFmtId="0" fontId="19" fillId="0" borderId="43" xfId="0" applyFont="1" applyBorder="1" applyAlignment="1">
      <alignment horizontal="center" vertical="center" shrinkToFit="1"/>
    </xf>
    <xf numFmtId="0" fontId="19" fillId="0" borderId="41" xfId="0" applyFont="1" applyBorder="1" applyAlignment="1">
      <alignment horizontal="center" vertical="center" shrinkToFit="1"/>
    </xf>
    <xf numFmtId="0" fontId="19" fillId="0" borderId="7" xfId="0" applyFont="1" applyBorder="1" applyAlignment="1">
      <alignment horizontal="center" vertical="center" wrapText="1" shrinkToFit="1"/>
    </xf>
    <xf numFmtId="0" fontId="19" fillId="0" borderId="5" xfId="0" applyFont="1" applyBorder="1" applyAlignment="1">
      <alignment horizontal="center" vertical="center" wrapText="1" shrinkToFit="1"/>
    </xf>
    <xf numFmtId="0" fontId="19" fillId="0" borderId="5" xfId="0" applyFont="1" applyBorder="1" applyAlignment="1">
      <alignment horizontal="center" vertical="center" shrinkToFit="1"/>
    </xf>
    <xf numFmtId="0" fontId="19" fillId="0" borderId="12" xfId="0" applyFont="1" applyBorder="1" applyAlignment="1">
      <alignment horizontal="center" vertical="center" shrinkToFit="1"/>
    </xf>
    <xf numFmtId="0" fontId="19" fillId="0" borderId="6" xfId="0" applyFont="1" applyBorder="1" applyAlignment="1">
      <alignment horizontal="center" vertical="center" shrinkToFit="1"/>
    </xf>
    <xf numFmtId="0" fontId="19" fillId="0" borderId="9" xfId="0" applyFont="1" applyBorder="1" applyAlignment="1">
      <alignment horizontal="center" vertical="center" shrinkToFit="1"/>
    </xf>
    <xf numFmtId="0" fontId="19" fillId="0" borderId="11" xfId="0" applyFont="1" applyBorder="1" applyAlignment="1">
      <alignment horizontal="center" vertical="center" shrinkToFit="1"/>
    </xf>
    <xf numFmtId="14" fontId="19" fillId="0" borderId="7" xfId="0" applyNumberFormat="1" applyFont="1" applyBorder="1" applyAlignment="1">
      <alignment horizontal="center" vertical="center" shrinkToFit="1"/>
    </xf>
    <xf numFmtId="14" fontId="19" fillId="0" borderId="5" xfId="0" applyNumberFormat="1" applyFont="1" applyBorder="1" applyAlignment="1">
      <alignment horizontal="center" vertical="center" shrinkToFit="1"/>
    </xf>
    <xf numFmtId="182" fontId="19" fillId="0" borderId="7" xfId="0" applyNumberFormat="1" applyFont="1" applyBorder="1" applyAlignment="1">
      <alignment horizontal="center" vertical="center" shrinkToFit="1"/>
    </xf>
    <xf numFmtId="182" fontId="19" fillId="0" borderId="5" xfId="0" applyNumberFormat="1" applyFont="1" applyBorder="1" applyAlignment="1">
      <alignment horizontal="center" vertical="center" shrinkToFit="1"/>
    </xf>
    <xf numFmtId="182" fontId="19" fillId="0" borderId="12" xfId="0" applyNumberFormat="1" applyFont="1" applyBorder="1" applyAlignment="1">
      <alignment horizontal="center" vertical="center" shrinkToFit="1"/>
    </xf>
    <xf numFmtId="0" fontId="19" fillId="0" borderId="42" xfId="0" applyFont="1" applyBorder="1" applyAlignment="1">
      <alignment horizontal="center" vertical="center" wrapText="1" shrinkToFit="1"/>
    </xf>
    <xf numFmtId="0" fontId="19" fillId="0" borderId="43" xfId="0" applyFont="1" applyBorder="1" applyAlignment="1">
      <alignment horizontal="center" vertical="center" wrapText="1" shrinkToFit="1"/>
    </xf>
    <xf numFmtId="0" fontId="19" fillId="0" borderId="41" xfId="0" applyFont="1" applyBorder="1" applyAlignment="1">
      <alignment horizontal="center" vertical="center" wrapText="1" shrinkToFit="1"/>
    </xf>
    <xf numFmtId="0" fontId="19" fillId="0" borderId="39" xfId="0" applyFont="1" applyBorder="1" applyAlignment="1">
      <alignment horizontal="center" vertical="center" shrinkToFit="1"/>
    </xf>
    <xf numFmtId="0" fontId="19" fillId="0" borderId="35" xfId="0" applyFont="1" applyBorder="1" applyAlignment="1">
      <alignment horizontal="center" vertical="center" shrinkToFit="1"/>
    </xf>
    <xf numFmtId="0" fontId="19" fillId="0" borderId="37" xfId="0" applyFont="1" applyBorder="1" applyAlignment="1">
      <alignment horizontal="center" vertical="center" shrinkToFit="1"/>
    </xf>
    <xf numFmtId="14" fontId="19" fillId="0" borderId="42" xfId="0" applyNumberFormat="1" applyFont="1" applyBorder="1" applyAlignment="1">
      <alignment horizontal="center" vertical="center" shrinkToFit="1"/>
    </xf>
    <xf numFmtId="14" fontId="19" fillId="0" borderId="43" xfId="0" applyNumberFormat="1" applyFont="1" applyBorder="1" applyAlignment="1">
      <alignment horizontal="center" vertical="center" shrinkToFit="1"/>
    </xf>
    <xf numFmtId="14" fontId="19" fillId="0" borderId="41" xfId="0" applyNumberFormat="1" applyFont="1" applyBorder="1" applyAlignment="1">
      <alignment horizontal="center" vertical="center" shrinkToFit="1"/>
    </xf>
    <xf numFmtId="182" fontId="19" fillId="0" borderId="42" xfId="0" applyNumberFormat="1" applyFont="1" applyBorder="1" applyAlignment="1">
      <alignment horizontal="center" vertical="center" shrinkToFit="1"/>
    </xf>
    <xf numFmtId="182" fontId="19" fillId="0" borderId="43" xfId="0" applyNumberFormat="1" applyFont="1" applyBorder="1" applyAlignment="1">
      <alignment horizontal="center" vertical="center" shrinkToFit="1"/>
    </xf>
    <xf numFmtId="182" fontId="19" fillId="0" borderId="41" xfId="0" applyNumberFormat="1" applyFont="1" applyBorder="1" applyAlignment="1">
      <alignment horizontal="center" vertical="center" shrinkToFit="1"/>
    </xf>
    <xf numFmtId="0" fontId="34" fillId="0" borderId="42" xfId="0" applyFont="1" applyBorder="1" applyAlignment="1">
      <alignment horizontal="center" vertical="center" wrapText="1" shrinkToFit="1"/>
    </xf>
    <xf numFmtId="0" fontId="34" fillId="0" borderId="43" xfId="0" applyFont="1" applyBorder="1" applyAlignment="1">
      <alignment horizontal="center" vertical="center" wrapText="1" shrinkToFit="1"/>
    </xf>
    <xf numFmtId="0" fontId="34" fillId="0" borderId="41" xfId="0" applyFont="1" applyBorder="1" applyAlignment="1">
      <alignment horizontal="center" vertical="center" wrapText="1" shrinkToFit="1"/>
    </xf>
    <xf numFmtId="0" fontId="34" fillId="8" borderId="42" xfId="0" applyFont="1" applyFill="1" applyBorder="1" applyAlignment="1">
      <alignment horizontal="center" vertical="center" wrapText="1" shrinkToFit="1"/>
    </xf>
    <xf numFmtId="0" fontId="34" fillId="8" borderId="43" xfId="0" applyFont="1" applyFill="1" applyBorder="1" applyAlignment="1">
      <alignment horizontal="center" vertical="center" wrapText="1" shrinkToFit="1"/>
    </xf>
    <xf numFmtId="0" fontId="34" fillId="8" borderId="41" xfId="0" applyFont="1" applyFill="1" applyBorder="1" applyAlignment="1">
      <alignment horizontal="center" vertical="center" wrapText="1" shrinkToFit="1"/>
    </xf>
    <xf numFmtId="0" fontId="19" fillId="0" borderId="7" xfId="0" applyFont="1" applyBorder="1" applyAlignment="1">
      <alignment horizontal="center" vertical="center" shrinkToFit="1"/>
    </xf>
    <xf numFmtId="0" fontId="19" fillId="3" borderId="7" xfId="0" applyFont="1" applyFill="1" applyBorder="1" applyAlignment="1">
      <alignment horizontal="center" vertical="center" shrinkToFit="1"/>
    </xf>
    <xf numFmtId="0" fontId="19" fillId="3" borderId="5" xfId="0" applyFont="1" applyFill="1" applyBorder="1" applyAlignment="1">
      <alignment horizontal="center" vertical="center" shrinkToFit="1"/>
    </xf>
    <xf numFmtId="0" fontId="19" fillId="3" borderId="12" xfId="0" applyFont="1" applyFill="1" applyBorder="1" applyAlignment="1">
      <alignment horizontal="center" vertical="center" shrinkToFit="1"/>
    </xf>
    <xf numFmtId="0" fontId="19" fillId="0" borderId="12" xfId="0" applyFont="1" applyBorder="1" applyAlignment="1">
      <alignment horizontal="center" vertical="center" wrapText="1" shrinkToFit="1"/>
    </xf>
    <xf numFmtId="0" fontId="34" fillId="0" borderId="7" xfId="0" applyFont="1" applyBorder="1" applyAlignment="1">
      <alignment horizontal="center" vertical="center" shrinkToFit="1"/>
    </xf>
    <xf numFmtId="0" fontId="19" fillId="3" borderId="42" xfId="0" applyFont="1" applyFill="1" applyBorder="1" applyAlignment="1">
      <alignment horizontal="center" vertical="center" shrinkToFit="1"/>
    </xf>
    <xf numFmtId="0" fontId="19" fillId="3" borderId="43" xfId="0" applyFont="1" applyFill="1" applyBorder="1" applyAlignment="1">
      <alignment horizontal="center" vertical="center" shrinkToFit="1"/>
    </xf>
    <xf numFmtId="0" fontId="19" fillId="3" borderId="41" xfId="0" applyFont="1" applyFill="1" applyBorder="1" applyAlignment="1">
      <alignment horizontal="center" vertical="center" shrinkToFit="1"/>
    </xf>
    <xf numFmtId="0" fontId="22" fillId="2" borderId="15" xfId="17" applyFill="1" applyBorder="1" applyAlignment="1">
      <alignment horizontal="left" vertical="center"/>
    </xf>
    <xf numFmtId="0" fontId="22" fillId="2" borderId="15" xfId="17" applyFill="1" applyBorder="1" applyAlignment="1">
      <alignment horizontal="center" vertical="center"/>
    </xf>
    <xf numFmtId="0" fontId="22" fillId="2" borderId="4" xfId="17" applyFill="1" applyBorder="1" applyAlignment="1">
      <alignment horizontal="center" vertical="center"/>
    </xf>
    <xf numFmtId="0" fontId="22" fillId="2" borderId="18" xfId="17" applyFill="1" applyBorder="1" applyAlignment="1">
      <alignment horizontal="center" vertical="center"/>
    </xf>
    <xf numFmtId="0" fontId="22" fillId="2" borderId="16" xfId="17" applyFill="1" applyBorder="1" applyAlignment="1">
      <alignment horizontal="center" vertical="center"/>
    </xf>
    <xf numFmtId="41" fontId="0" fillId="2" borderId="4" xfId="18" applyFont="1" applyFill="1" applyBorder="1" applyAlignment="1">
      <alignment horizontal="left" vertical="center"/>
    </xf>
    <xf numFmtId="41" fontId="0" fillId="2" borderId="18" xfId="18" applyFont="1" applyFill="1" applyBorder="1" applyAlignment="1">
      <alignment horizontal="left" vertical="center"/>
    </xf>
    <xf numFmtId="41" fontId="0" fillId="2" borderId="16" xfId="18" applyFont="1" applyFill="1" applyBorder="1" applyAlignment="1">
      <alignment horizontal="left" vertical="center"/>
    </xf>
    <xf numFmtId="41" fontId="0" fillId="2" borderId="2" xfId="18" applyFont="1" applyFill="1" applyBorder="1" applyAlignment="1">
      <alignment horizontal="center" vertical="center"/>
    </xf>
    <xf numFmtId="41" fontId="0" fillId="2" borderId="3" xfId="18" applyFont="1" applyFill="1" applyBorder="1" applyAlignment="1">
      <alignment horizontal="center" vertical="center"/>
    </xf>
    <xf numFmtId="41" fontId="0" fillId="2" borderId="2" xfId="18" applyFont="1" applyFill="1" applyBorder="1" applyAlignment="1">
      <alignment horizontal="left" vertical="center"/>
    </xf>
    <xf numFmtId="41" fontId="0" fillId="2" borderId="3" xfId="18" applyFont="1" applyFill="1" applyBorder="1" applyAlignment="1">
      <alignment horizontal="left" vertical="center"/>
    </xf>
    <xf numFmtId="0" fontId="1" fillId="2" borderId="15" xfId="19" applyFont="1" applyFill="1" applyBorder="1" applyAlignment="1">
      <alignment horizontal="center" vertical="center"/>
    </xf>
    <xf numFmtId="0" fontId="1" fillId="17" borderId="15" xfId="19" applyFont="1" applyFill="1" applyBorder="1" applyAlignment="1">
      <alignment horizontal="center" vertical="center"/>
    </xf>
    <xf numFmtId="0" fontId="1" fillId="2" borderId="2" xfId="19" applyFont="1" applyFill="1" applyBorder="1" applyAlignment="1">
      <alignment horizontal="center" vertical="center"/>
    </xf>
    <xf numFmtId="0" fontId="1" fillId="2" borderId="14" xfId="19" applyFont="1" applyFill="1" applyBorder="1" applyAlignment="1">
      <alignment horizontal="center" vertical="center"/>
    </xf>
    <xf numFmtId="0" fontId="1" fillId="2" borderId="3" xfId="19" applyFont="1" applyFill="1" applyBorder="1" applyAlignment="1">
      <alignment horizontal="center" vertical="center"/>
    </xf>
    <xf numFmtId="0" fontId="1" fillId="2" borderId="24" xfId="19" applyFont="1" applyFill="1" applyBorder="1" applyAlignment="1">
      <alignment horizontal="center" vertical="center"/>
    </xf>
    <xf numFmtId="0" fontId="1" fillId="17" borderId="2" xfId="19" applyFont="1" applyFill="1" applyBorder="1" applyAlignment="1">
      <alignment horizontal="center" vertical="center"/>
    </xf>
    <xf numFmtId="0" fontId="1" fillId="17" borderId="3" xfId="19" applyFont="1" applyFill="1" applyBorder="1" applyAlignment="1">
      <alignment horizontal="center" vertical="center"/>
    </xf>
    <xf numFmtId="0" fontId="1" fillId="2" borderId="25" xfId="19" applyFont="1" applyFill="1" applyBorder="1" applyAlignment="1">
      <alignment horizontal="center" vertical="center"/>
    </xf>
    <xf numFmtId="0" fontId="1" fillId="2" borderId="16" xfId="19" applyFont="1" applyFill="1" applyBorder="1" applyAlignment="1">
      <alignment horizontal="center" vertical="center"/>
    </xf>
    <xf numFmtId="0" fontId="1" fillId="2" borderId="24" xfId="0" applyFont="1" applyFill="1" applyBorder="1" applyAlignment="1">
      <alignment horizontal="center" vertical="center" shrinkToFit="1"/>
    </xf>
    <xf numFmtId="0" fontId="1" fillId="0" borderId="25"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6" xfId="0" applyFont="1" applyBorder="1" applyAlignment="1">
      <alignment horizontal="center" vertical="center" shrinkToFit="1"/>
    </xf>
    <xf numFmtId="0" fontId="1" fillId="12" borderId="26" xfId="0" applyFont="1" applyFill="1" applyBorder="1" applyAlignment="1">
      <alignment horizontal="center" vertical="center" shrinkToFit="1"/>
    </xf>
    <xf numFmtId="0" fontId="1" fillId="12" borderId="27" xfId="0" applyFont="1" applyFill="1" applyBorder="1" applyAlignment="1">
      <alignment horizontal="center" vertical="center" shrinkToFit="1"/>
    </xf>
    <xf numFmtId="0" fontId="1" fillId="12" borderId="28" xfId="0" applyFont="1" applyFill="1" applyBorder="1" applyAlignment="1">
      <alignment horizontal="center" vertical="center" shrinkToFit="1"/>
    </xf>
    <xf numFmtId="0" fontId="1" fillId="10" borderId="26" xfId="0" applyFont="1" applyFill="1" applyBorder="1" applyAlignment="1">
      <alignment horizontal="center" vertical="center" shrinkToFit="1"/>
    </xf>
    <xf numFmtId="0" fontId="1" fillId="10" borderId="27" xfId="0" applyFont="1" applyFill="1" applyBorder="1" applyAlignment="1">
      <alignment horizontal="center" vertical="center" shrinkToFit="1"/>
    </xf>
    <xf numFmtId="0" fontId="1" fillId="10" borderId="28" xfId="0" applyFont="1" applyFill="1" applyBorder="1" applyAlignment="1">
      <alignment horizontal="center" vertical="center" shrinkToFit="1"/>
    </xf>
    <xf numFmtId="0" fontId="9" fillId="0" borderId="29" xfId="0" applyFont="1" applyBorder="1" applyAlignment="1">
      <alignment horizontal="left" vertical="center" shrinkToFit="1"/>
    </xf>
    <xf numFmtId="0" fontId="9" fillId="0" borderId="27" xfId="0" applyFont="1" applyBorder="1" applyAlignment="1">
      <alignment horizontal="left" vertical="center" shrinkToFit="1"/>
    </xf>
    <xf numFmtId="0" fontId="9" fillId="0" borderId="28" xfId="0" applyFont="1" applyBorder="1" applyAlignment="1">
      <alignment horizontal="left" vertical="center" shrinkToFit="1"/>
    </xf>
    <xf numFmtId="0" fontId="9" fillId="0" borderId="25" xfId="0" applyFont="1" applyBorder="1" applyAlignment="1">
      <alignment horizontal="center" vertical="center" shrinkToFit="1"/>
    </xf>
    <xf numFmtId="0" fontId="1" fillId="0" borderId="25" xfId="0" applyFont="1" applyBorder="1" applyAlignment="1">
      <alignment horizontal="left" vertical="center" shrinkToFit="1"/>
    </xf>
    <xf numFmtId="0" fontId="1" fillId="0" borderId="16" xfId="0" applyFont="1" applyBorder="1" applyAlignment="1">
      <alignment horizontal="left" vertical="center" shrinkToFit="1"/>
    </xf>
    <xf numFmtId="41" fontId="9" fillId="0" borderId="39" xfId="0" applyNumberFormat="1" applyFont="1" applyBorder="1" applyAlignment="1">
      <alignment horizontal="center" vertical="center" shrinkToFit="1"/>
    </xf>
    <xf numFmtId="41" fontId="9" fillId="0" borderId="37" xfId="0" applyNumberFormat="1" applyFont="1" applyBorder="1" applyAlignment="1">
      <alignment horizontal="center" vertical="center" shrinkToFit="1"/>
    </xf>
    <xf numFmtId="41" fontId="9" fillId="0" borderId="40" xfId="0" applyNumberFormat="1" applyFont="1" applyBorder="1" applyAlignment="1">
      <alignment horizontal="center" vertical="center" shrinkToFit="1"/>
    </xf>
    <xf numFmtId="41" fontId="9" fillId="0" borderId="38" xfId="0" applyNumberFormat="1" applyFont="1" applyBorder="1" applyAlignment="1">
      <alignment horizontal="center" vertical="center" shrinkToFit="1"/>
    </xf>
    <xf numFmtId="0" fontId="9" fillId="0" borderId="18" xfId="0" applyFont="1" applyBorder="1" applyAlignment="1">
      <alignment horizontal="center" vertical="center" shrinkToFit="1"/>
    </xf>
    <xf numFmtId="0" fontId="1" fillId="0" borderId="4" xfId="0" applyFont="1" applyBorder="1" applyAlignment="1">
      <alignment horizontal="left" vertical="center" shrinkToFit="1"/>
    </xf>
    <xf numFmtId="0" fontId="1" fillId="0" borderId="18" xfId="0" applyFont="1" applyBorder="1" applyAlignment="1">
      <alignment horizontal="left" vertical="center" shrinkToFit="1"/>
    </xf>
    <xf numFmtId="41" fontId="9" fillId="0" borderId="33" xfId="0" applyNumberFormat="1" applyFont="1" applyBorder="1" applyAlignment="1">
      <alignment horizontal="center" vertical="center" shrinkToFit="1"/>
    </xf>
    <xf numFmtId="41" fontId="9" fillId="0" borderId="35" xfId="0" applyNumberFormat="1" applyFont="1" applyBorder="1" applyAlignment="1">
      <alignment horizontal="center" vertical="center" shrinkToFit="1"/>
    </xf>
    <xf numFmtId="41" fontId="9" fillId="0" borderId="34" xfId="0" applyNumberFormat="1" applyFont="1" applyBorder="1" applyAlignment="1">
      <alignment horizontal="center" vertical="center" shrinkToFit="1"/>
    </xf>
    <xf numFmtId="41" fontId="9" fillId="0" borderId="36" xfId="0" applyNumberFormat="1" applyFont="1" applyBorder="1" applyAlignment="1">
      <alignment horizontal="center" vertical="center" shrinkToFit="1"/>
    </xf>
    <xf numFmtId="0" fontId="9" fillId="0" borderId="2" xfId="0" applyFont="1" applyBorder="1" applyAlignment="1">
      <alignment horizontal="left" vertical="center" shrinkToFit="1"/>
    </xf>
    <xf numFmtId="0" fontId="9" fillId="0" borderId="14" xfId="0" applyFont="1" applyBorder="1" applyAlignment="1">
      <alignment horizontal="left" vertical="center" shrinkToFit="1"/>
    </xf>
    <xf numFmtId="0" fontId="9" fillId="0" borderId="3" xfId="0" applyFont="1" applyBorder="1" applyAlignment="1">
      <alignment horizontal="left" vertical="center" shrinkToFit="1"/>
    </xf>
    <xf numFmtId="0" fontId="53" fillId="0" borderId="22" xfId="0" applyFont="1" applyBorder="1" applyAlignment="1">
      <alignment horizontal="center" vertical="center"/>
    </xf>
    <xf numFmtId="0" fontId="13" fillId="0" borderId="25" xfId="0" applyFont="1" applyBorder="1" applyAlignment="1">
      <alignment horizontal="center" vertical="center" shrinkToFit="1"/>
    </xf>
    <xf numFmtId="0" fontId="13" fillId="0" borderId="18" xfId="0" applyFont="1" applyBorder="1" applyAlignment="1">
      <alignment horizontal="center" vertical="center" shrinkToFit="1"/>
    </xf>
    <xf numFmtId="0" fontId="13" fillId="0" borderId="16" xfId="0" applyFont="1" applyBorder="1" applyAlignment="1">
      <alignment horizontal="center" vertical="center" shrinkToFit="1"/>
    </xf>
    <xf numFmtId="0" fontId="9" fillId="0" borderId="25" xfId="0" applyFont="1" applyBorder="1" applyAlignment="1">
      <alignment horizontal="left" vertical="center" wrapText="1" shrinkToFit="1"/>
    </xf>
    <xf numFmtId="0" fontId="9" fillId="0" borderId="18" xfId="0" applyFont="1" applyBorder="1" applyAlignment="1">
      <alignment horizontal="left" vertical="center" shrinkToFit="1"/>
    </xf>
    <xf numFmtId="0" fontId="9" fillId="0" borderId="16" xfId="0" applyFont="1" applyBorder="1" applyAlignment="1">
      <alignment horizontal="left" vertical="center" shrinkToFit="1"/>
    </xf>
  </cellXfs>
  <cellStyles count="23">
    <cellStyle name="Hyperlink" xfId="14" xr:uid="{00000000-0005-0000-0000-000000000000}"/>
    <cellStyle name="Normal" xfId="5" xr:uid="{00000000-0005-0000-0000-000001000000}"/>
    <cellStyle name="백분율" xfId="1" builtinId="5"/>
    <cellStyle name="쉼표 [0]" xfId="2" builtinId="6"/>
    <cellStyle name="쉼표 [0] 2" xfId="4" xr:uid="{00000000-0005-0000-0000-000004000000}"/>
    <cellStyle name="쉼표 [0] 2 2" xfId="16" xr:uid="{00000000-0005-0000-0000-000005000000}"/>
    <cellStyle name="쉼표 [0] 3" xfId="10" xr:uid="{00000000-0005-0000-0000-000006000000}"/>
    <cellStyle name="쉼표 [0] 3 2" xfId="13" xr:uid="{00000000-0005-0000-0000-000007000000}"/>
    <cellStyle name="쉼표 [0] 4" xfId="18" xr:uid="{00000000-0005-0000-0000-000008000000}"/>
    <cellStyle name="쉼표 [0] 6 2" xfId="22" xr:uid="{A2BC203B-F101-4AB3-ADD9-A8E8328E3AA8}"/>
    <cellStyle name="표준" xfId="0" builtinId="0"/>
    <cellStyle name="표준 10 2" xfId="21" xr:uid="{27BAE78A-5C48-4588-8788-E00C81E7DEC0}"/>
    <cellStyle name="표준 2" xfId="3" xr:uid="{00000000-0005-0000-0000-00000A000000}"/>
    <cellStyle name="표준 2 2" xfId="8" xr:uid="{00000000-0005-0000-0000-00000B000000}"/>
    <cellStyle name="표준 2 3" xfId="15" xr:uid="{00000000-0005-0000-0000-00000C000000}"/>
    <cellStyle name="표준 3" xfId="7" xr:uid="{00000000-0005-0000-0000-00000D000000}"/>
    <cellStyle name="표준 3 2" xfId="19" xr:uid="{00000000-0005-0000-0000-00000E000000}"/>
    <cellStyle name="표준 4" xfId="6" xr:uid="{00000000-0005-0000-0000-00000F000000}"/>
    <cellStyle name="표준 5" xfId="9" xr:uid="{00000000-0005-0000-0000-000010000000}"/>
    <cellStyle name="표준 6" xfId="11" xr:uid="{00000000-0005-0000-0000-000011000000}"/>
    <cellStyle name="표준 7" xfId="12" xr:uid="{00000000-0005-0000-0000-000012000000}"/>
    <cellStyle name="표준 8" xfId="17" xr:uid="{00000000-0005-0000-0000-000013000000}"/>
    <cellStyle name="하이퍼링크 2" xfId="20" xr:uid="{00000000-0005-0000-0000-000015000000}"/>
  </cellStyles>
  <dxfs count="9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color rgb="FFFFFF9B"/>
      <color rgb="FF0000FF"/>
      <color rgb="FFEFDECD"/>
      <color rgb="FFE8D1BA"/>
      <color rgb="FFD3A77B"/>
      <color rgb="FFFADBC6"/>
      <color rgb="FFE5F7E7"/>
      <color rgb="FFEFE5F7"/>
      <color rgb="FFE4D3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0.xml"/><Relationship Id="rId21" Type="http://schemas.openxmlformats.org/officeDocument/2006/relationships/worksheet" Target="worksheets/sheet21.xml"/><Relationship Id="rId42" Type="http://schemas.openxmlformats.org/officeDocument/2006/relationships/externalLink" Target="externalLinks/externalLink15.xml"/><Relationship Id="rId63" Type="http://schemas.openxmlformats.org/officeDocument/2006/relationships/externalLink" Target="externalLinks/externalLink36.xml"/><Relationship Id="rId84" Type="http://schemas.openxmlformats.org/officeDocument/2006/relationships/externalLink" Target="externalLinks/externalLink57.xml"/><Relationship Id="rId138" Type="http://schemas.openxmlformats.org/officeDocument/2006/relationships/externalLink" Target="externalLinks/externalLink111.xml"/><Relationship Id="rId159" Type="http://schemas.openxmlformats.org/officeDocument/2006/relationships/externalLink" Target="externalLinks/externalLink132.xml"/><Relationship Id="rId170" Type="http://schemas.openxmlformats.org/officeDocument/2006/relationships/externalLink" Target="externalLinks/externalLink143.xml"/><Relationship Id="rId191" Type="http://schemas.openxmlformats.org/officeDocument/2006/relationships/externalLink" Target="externalLinks/externalLink164.xml"/><Relationship Id="rId205" Type="http://schemas.openxmlformats.org/officeDocument/2006/relationships/externalLink" Target="externalLinks/externalLink178.xml"/><Relationship Id="rId226" Type="http://schemas.openxmlformats.org/officeDocument/2006/relationships/styles" Target="styles.xml"/><Relationship Id="rId107" Type="http://schemas.openxmlformats.org/officeDocument/2006/relationships/externalLink" Target="externalLinks/externalLink80.xml"/><Relationship Id="rId11" Type="http://schemas.openxmlformats.org/officeDocument/2006/relationships/worksheet" Target="worksheets/sheet11.xml"/><Relationship Id="rId32" Type="http://schemas.openxmlformats.org/officeDocument/2006/relationships/externalLink" Target="externalLinks/externalLink5.xml"/><Relationship Id="rId53" Type="http://schemas.openxmlformats.org/officeDocument/2006/relationships/externalLink" Target="externalLinks/externalLink26.xml"/><Relationship Id="rId74" Type="http://schemas.openxmlformats.org/officeDocument/2006/relationships/externalLink" Target="externalLinks/externalLink47.xml"/><Relationship Id="rId128" Type="http://schemas.openxmlformats.org/officeDocument/2006/relationships/externalLink" Target="externalLinks/externalLink101.xml"/><Relationship Id="rId149" Type="http://schemas.openxmlformats.org/officeDocument/2006/relationships/externalLink" Target="externalLinks/externalLink122.xml"/><Relationship Id="rId5" Type="http://schemas.openxmlformats.org/officeDocument/2006/relationships/worksheet" Target="worksheets/sheet5.xml"/><Relationship Id="rId95" Type="http://schemas.openxmlformats.org/officeDocument/2006/relationships/externalLink" Target="externalLinks/externalLink68.xml"/><Relationship Id="rId160" Type="http://schemas.openxmlformats.org/officeDocument/2006/relationships/externalLink" Target="externalLinks/externalLink133.xml"/><Relationship Id="rId181" Type="http://schemas.openxmlformats.org/officeDocument/2006/relationships/externalLink" Target="externalLinks/externalLink154.xml"/><Relationship Id="rId216" Type="http://schemas.openxmlformats.org/officeDocument/2006/relationships/externalLink" Target="externalLinks/externalLink189.xml"/><Relationship Id="rId22" Type="http://schemas.openxmlformats.org/officeDocument/2006/relationships/worksheet" Target="worksheets/sheet22.xml"/><Relationship Id="rId43" Type="http://schemas.openxmlformats.org/officeDocument/2006/relationships/externalLink" Target="externalLinks/externalLink16.xml"/><Relationship Id="rId64" Type="http://schemas.openxmlformats.org/officeDocument/2006/relationships/externalLink" Target="externalLinks/externalLink37.xml"/><Relationship Id="rId118" Type="http://schemas.openxmlformats.org/officeDocument/2006/relationships/externalLink" Target="externalLinks/externalLink91.xml"/><Relationship Id="rId139" Type="http://schemas.openxmlformats.org/officeDocument/2006/relationships/externalLink" Target="externalLinks/externalLink112.xml"/><Relationship Id="rId85" Type="http://schemas.openxmlformats.org/officeDocument/2006/relationships/externalLink" Target="externalLinks/externalLink58.xml"/><Relationship Id="rId150" Type="http://schemas.openxmlformats.org/officeDocument/2006/relationships/externalLink" Target="externalLinks/externalLink123.xml"/><Relationship Id="rId171" Type="http://schemas.openxmlformats.org/officeDocument/2006/relationships/externalLink" Target="externalLinks/externalLink144.xml"/><Relationship Id="rId192" Type="http://schemas.openxmlformats.org/officeDocument/2006/relationships/externalLink" Target="externalLinks/externalLink165.xml"/><Relationship Id="rId206" Type="http://schemas.openxmlformats.org/officeDocument/2006/relationships/externalLink" Target="externalLinks/externalLink179.xml"/><Relationship Id="rId227" Type="http://schemas.openxmlformats.org/officeDocument/2006/relationships/sharedStrings" Target="sharedStrings.xml"/><Relationship Id="rId12" Type="http://schemas.openxmlformats.org/officeDocument/2006/relationships/worksheet" Target="worksheets/sheet12.xml"/><Relationship Id="rId33" Type="http://schemas.openxmlformats.org/officeDocument/2006/relationships/externalLink" Target="externalLinks/externalLink6.xml"/><Relationship Id="rId108" Type="http://schemas.openxmlformats.org/officeDocument/2006/relationships/externalLink" Target="externalLinks/externalLink81.xml"/><Relationship Id="rId129" Type="http://schemas.openxmlformats.org/officeDocument/2006/relationships/externalLink" Target="externalLinks/externalLink102.xml"/><Relationship Id="rId54" Type="http://schemas.openxmlformats.org/officeDocument/2006/relationships/externalLink" Target="externalLinks/externalLink27.xml"/><Relationship Id="rId75" Type="http://schemas.openxmlformats.org/officeDocument/2006/relationships/externalLink" Target="externalLinks/externalLink48.xml"/><Relationship Id="rId96" Type="http://schemas.openxmlformats.org/officeDocument/2006/relationships/externalLink" Target="externalLinks/externalLink69.xml"/><Relationship Id="rId140" Type="http://schemas.openxmlformats.org/officeDocument/2006/relationships/externalLink" Target="externalLinks/externalLink113.xml"/><Relationship Id="rId161" Type="http://schemas.openxmlformats.org/officeDocument/2006/relationships/externalLink" Target="externalLinks/externalLink134.xml"/><Relationship Id="rId182" Type="http://schemas.openxmlformats.org/officeDocument/2006/relationships/externalLink" Target="externalLinks/externalLink155.xml"/><Relationship Id="rId217" Type="http://schemas.openxmlformats.org/officeDocument/2006/relationships/externalLink" Target="externalLinks/externalLink190.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92.xml"/><Relationship Id="rId44" Type="http://schemas.openxmlformats.org/officeDocument/2006/relationships/externalLink" Target="externalLinks/externalLink17.xml"/><Relationship Id="rId65" Type="http://schemas.openxmlformats.org/officeDocument/2006/relationships/externalLink" Target="externalLinks/externalLink38.xml"/><Relationship Id="rId86" Type="http://schemas.openxmlformats.org/officeDocument/2006/relationships/externalLink" Target="externalLinks/externalLink59.xml"/><Relationship Id="rId130" Type="http://schemas.openxmlformats.org/officeDocument/2006/relationships/externalLink" Target="externalLinks/externalLink103.xml"/><Relationship Id="rId151" Type="http://schemas.openxmlformats.org/officeDocument/2006/relationships/externalLink" Target="externalLinks/externalLink124.xml"/><Relationship Id="rId172" Type="http://schemas.openxmlformats.org/officeDocument/2006/relationships/externalLink" Target="externalLinks/externalLink145.xml"/><Relationship Id="rId193" Type="http://schemas.openxmlformats.org/officeDocument/2006/relationships/externalLink" Target="externalLinks/externalLink166.xml"/><Relationship Id="rId207" Type="http://schemas.openxmlformats.org/officeDocument/2006/relationships/externalLink" Target="externalLinks/externalLink180.xml"/><Relationship Id="rId228"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externalLink" Target="externalLinks/externalLink82.xml"/><Relationship Id="rId34" Type="http://schemas.openxmlformats.org/officeDocument/2006/relationships/externalLink" Target="externalLinks/externalLink7.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20" Type="http://schemas.openxmlformats.org/officeDocument/2006/relationships/externalLink" Target="externalLinks/externalLink93.xml"/><Relationship Id="rId141" Type="http://schemas.openxmlformats.org/officeDocument/2006/relationships/externalLink" Target="externalLinks/externalLink114.xml"/><Relationship Id="rId7" Type="http://schemas.openxmlformats.org/officeDocument/2006/relationships/worksheet" Target="worksheets/sheet7.xml"/><Relationship Id="rId162" Type="http://schemas.openxmlformats.org/officeDocument/2006/relationships/externalLink" Target="externalLinks/externalLink135.xml"/><Relationship Id="rId183" Type="http://schemas.openxmlformats.org/officeDocument/2006/relationships/externalLink" Target="externalLinks/externalLink156.xml"/><Relationship Id="rId218" Type="http://schemas.openxmlformats.org/officeDocument/2006/relationships/externalLink" Target="externalLinks/externalLink191.xml"/><Relationship Id="rId24" Type="http://schemas.openxmlformats.org/officeDocument/2006/relationships/worksheet" Target="worksheets/sheet24.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131" Type="http://schemas.openxmlformats.org/officeDocument/2006/relationships/externalLink" Target="externalLinks/externalLink104.xml"/><Relationship Id="rId152" Type="http://schemas.openxmlformats.org/officeDocument/2006/relationships/externalLink" Target="externalLinks/externalLink125.xml"/><Relationship Id="rId173" Type="http://schemas.openxmlformats.org/officeDocument/2006/relationships/externalLink" Target="externalLinks/externalLink146.xml"/><Relationship Id="rId194" Type="http://schemas.openxmlformats.org/officeDocument/2006/relationships/externalLink" Target="externalLinks/externalLink167.xml"/><Relationship Id="rId208" Type="http://schemas.openxmlformats.org/officeDocument/2006/relationships/externalLink" Target="externalLinks/externalLink181.xml"/><Relationship Id="rId14" Type="http://schemas.openxmlformats.org/officeDocument/2006/relationships/worksheet" Target="worksheets/sheet14.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8" Type="http://schemas.openxmlformats.org/officeDocument/2006/relationships/worksheet" Target="worksheets/sheet8.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142" Type="http://schemas.openxmlformats.org/officeDocument/2006/relationships/externalLink" Target="externalLinks/externalLink115.xml"/><Relationship Id="rId163" Type="http://schemas.openxmlformats.org/officeDocument/2006/relationships/externalLink" Target="externalLinks/externalLink136.xml"/><Relationship Id="rId184" Type="http://schemas.openxmlformats.org/officeDocument/2006/relationships/externalLink" Target="externalLinks/externalLink157.xml"/><Relationship Id="rId219" Type="http://schemas.openxmlformats.org/officeDocument/2006/relationships/externalLink" Target="externalLinks/externalLink192.xml"/><Relationship Id="rId3" Type="http://schemas.openxmlformats.org/officeDocument/2006/relationships/worksheet" Target="worksheets/sheet3.xml"/><Relationship Id="rId214" Type="http://schemas.openxmlformats.org/officeDocument/2006/relationships/externalLink" Target="externalLinks/externalLink187.xml"/><Relationship Id="rId25" Type="http://schemas.openxmlformats.org/officeDocument/2006/relationships/worksheet" Target="worksheets/sheet25.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 Id="rId116" Type="http://schemas.openxmlformats.org/officeDocument/2006/relationships/externalLink" Target="externalLinks/externalLink89.xml"/><Relationship Id="rId137" Type="http://schemas.openxmlformats.org/officeDocument/2006/relationships/externalLink" Target="externalLinks/externalLink110.xml"/><Relationship Id="rId158" Type="http://schemas.openxmlformats.org/officeDocument/2006/relationships/externalLink" Target="externalLinks/externalLink131.xml"/><Relationship Id="rId20" Type="http://schemas.openxmlformats.org/officeDocument/2006/relationships/worksheet" Target="worksheets/sheet20.xml"/><Relationship Id="rId41" Type="http://schemas.openxmlformats.org/officeDocument/2006/relationships/externalLink" Target="externalLinks/externalLink14.xml"/><Relationship Id="rId62" Type="http://schemas.openxmlformats.org/officeDocument/2006/relationships/externalLink" Target="externalLinks/externalLink35.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111" Type="http://schemas.openxmlformats.org/officeDocument/2006/relationships/externalLink" Target="externalLinks/externalLink84.xml"/><Relationship Id="rId132" Type="http://schemas.openxmlformats.org/officeDocument/2006/relationships/externalLink" Target="externalLinks/externalLink105.xml"/><Relationship Id="rId153" Type="http://schemas.openxmlformats.org/officeDocument/2006/relationships/externalLink" Target="externalLinks/externalLink126.xml"/><Relationship Id="rId174" Type="http://schemas.openxmlformats.org/officeDocument/2006/relationships/externalLink" Target="externalLinks/externalLink147.xml"/><Relationship Id="rId179" Type="http://schemas.openxmlformats.org/officeDocument/2006/relationships/externalLink" Target="externalLinks/externalLink152.xml"/><Relationship Id="rId195" Type="http://schemas.openxmlformats.org/officeDocument/2006/relationships/externalLink" Target="externalLinks/externalLink168.xml"/><Relationship Id="rId209" Type="http://schemas.openxmlformats.org/officeDocument/2006/relationships/externalLink" Target="externalLinks/externalLink182.xml"/><Relationship Id="rId190" Type="http://schemas.openxmlformats.org/officeDocument/2006/relationships/externalLink" Target="externalLinks/externalLink163.xml"/><Relationship Id="rId204" Type="http://schemas.openxmlformats.org/officeDocument/2006/relationships/externalLink" Target="externalLinks/externalLink177.xml"/><Relationship Id="rId220" Type="http://schemas.openxmlformats.org/officeDocument/2006/relationships/externalLink" Target="externalLinks/externalLink193.xml"/><Relationship Id="rId225"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externalLink" Target="externalLinks/externalLink9.xml"/><Relationship Id="rId57" Type="http://schemas.openxmlformats.org/officeDocument/2006/relationships/externalLink" Target="externalLinks/externalLink30.xml"/><Relationship Id="rId106" Type="http://schemas.openxmlformats.org/officeDocument/2006/relationships/externalLink" Target="externalLinks/externalLink79.xml"/><Relationship Id="rId127" Type="http://schemas.openxmlformats.org/officeDocument/2006/relationships/externalLink" Target="externalLinks/externalLink100.xml"/><Relationship Id="rId10" Type="http://schemas.openxmlformats.org/officeDocument/2006/relationships/worksheet" Target="worksheets/sheet10.xml"/><Relationship Id="rId31" Type="http://schemas.openxmlformats.org/officeDocument/2006/relationships/externalLink" Target="externalLinks/externalLink4.xml"/><Relationship Id="rId52" Type="http://schemas.openxmlformats.org/officeDocument/2006/relationships/externalLink" Target="externalLinks/externalLink25.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122" Type="http://schemas.openxmlformats.org/officeDocument/2006/relationships/externalLink" Target="externalLinks/externalLink95.xml"/><Relationship Id="rId143" Type="http://schemas.openxmlformats.org/officeDocument/2006/relationships/externalLink" Target="externalLinks/externalLink116.xml"/><Relationship Id="rId148" Type="http://schemas.openxmlformats.org/officeDocument/2006/relationships/externalLink" Target="externalLinks/externalLink121.xml"/><Relationship Id="rId164" Type="http://schemas.openxmlformats.org/officeDocument/2006/relationships/externalLink" Target="externalLinks/externalLink137.xml"/><Relationship Id="rId169" Type="http://schemas.openxmlformats.org/officeDocument/2006/relationships/externalLink" Target="externalLinks/externalLink142.xml"/><Relationship Id="rId185" Type="http://schemas.openxmlformats.org/officeDocument/2006/relationships/externalLink" Target="externalLinks/externalLink158.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53.xml"/><Relationship Id="rId210" Type="http://schemas.openxmlformats.org/officeDocument/2006/relationships/externalLink" Target="externalLinks/externalLink183.xml"/><Relationship Id="rId215" Type="http://schemas.openxmlformats.org/officeDocument/2006/relationships/externalLink" Target="externalLinks/externalLink188.xml"/><Relationship Id="rId26" Type="http://schemas.openxmlformats.org/officeDocument/2006/relationships/worksheet" Target="worksheets/sheet26.xml"/><Relationship Id="rId47" Type="http://schemas.openxmlformats.org/officeDocument/2006/relationships/externalLink" Target="externalLinks/externalLink20.xml"/><Relationship Id="rId68" Type="http://schemas.openxmlformats.org/officeDocument/2006/relationships/externalLink" Target="externalLinks/externalLink41.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33" Type="http://schemas.openxmlformats.org/officeDocument/2006/relationships/externalLink" Target="externalLinks/externalLink106.xml"/><Relationship Id="rId154" Type="http://schemas.openxmlformats.org/officeDocument/2006/relationships/externalLink" Target="externalLinks/externalLink127.xml"/><Relationship Id="rId175" Type="http://schemas.openxmlformats.org/officeDocument/2006/relationships/externalLink" Target="externalLinks/externalLink148.xml"/><Relationship Id="rId196" Type="http://schemas.openxmlformats.org/officeDocument/2006/relationships/externalLink" Target="externalLinks/externalLink169.xml"/><Relationship Id="rId200" Type="http://schemas.openxmlformats.org/officeDocument/2006/relationships/externalLink" Target="externalLinks/externalLink173.xml"/><Relationship Id="rId16" Type="http://schemas.openxmlformats.org/officeDocument/2006/relationships/worksheet" Target="worksheets/sheet16.xml"/><Relationship Id="rId221" Type="http://schemas.openxmlformats.org/officeDocument/2006/relationships/externalLink" Target="externalLinks/externalLink194.xml"/><Relationship Id="rId37" Type="http://schemas.openxmlformats.org/officeDocument/2006/relationships/externalLink" Target="externalLinks/externalLink10.xml"/><Relationship Id="rId58" Type="http://schemas.openxmlformats.org/officeDocument/2006/relationships/externalLink" Target="externalLinks/externalLink31.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23" Type="http://schemas.openxmlformats.org/officeDocument/2006/relationships/externalLink" Target="externalLinks/externalLink96.xml"/><Relationship Id="rId144" Type="http://schemas.openxmlformats.org/officeDocument/2006/relationships/externalLink" Target="externalLinks/externalLink117.xml"/><Relationship Id="rId90" Type="http://schemas.openxmlformats.org/officeDocument/2006/relationships/externalLink" Target="externalLinks/externalLink63.xml"/><Relationship Id="rId165" Type="http://schemas.openxmlformats.org/officeDocument/2006/relationships/externalLink" Target="externalLinks/externalLink138.xml"/><Relationship Id="rId186" Type="http://schemas.openxmlformats.org/officeDocument/2006/relationships/externalLink" Target="externalLinks/externalLink159.xml"/><Relationship Id="rId211" Type="http://schemas.openxmlformats.org/officeDocument/2006/relationships/externalLink" Target="externalLinks/externalLink184.xml"/><Relationship Id="rId27" Type="http://schemas.openxmlformats.org/officeDocument/2006/relationships/worksheet" Target="worksheets/sheet27.xml"/><Relationship Id="rId48" Type="http://schemas.openxmlformats.org/officeDocument/2006/relationships/externalLink" Target="externalLinks/externalLink21.xml"/><Relationship Id="rId69" Type="http://schemas.openxmlformats.org/officeDocument/2006/relationships/externalLink" Target="externalLinks/externalLink42.xml"/><Relationship Id="rId113" Type="http://schemas.openxmlformats.org/officeDocument/2006/relationships/externalLink" Target="externalLinks/externalLink86.xml"/><Relationship Id="rId134" Type="http://schemas.openxmlformats.org/officeDocument/2006/relationships/externalLink" Target="externalLinks/externalLink107.xml"/><Relationship Id="rId80" Type="http://schemas.openxmlformats.org/officeDocument/2006/relationships/externalLink" Target="externalLinks/externalLink53.xml"/><Relationship Id="rId155" Type="http://schemas.openxmlformats.org/officeDocument/2006/relationships/externalLink" Target="externalLinks/externalLink128.xml"/><Relationship Id="rId176" Type="http://schemas.openxmlformats.org/officeDocument/2006/relationships/externalLink" Target="externalLinks/externalLink149.xml"/><Relationship Id="rId197" Type="http://schemas.openxmlformats.org/officeDocument/2006/relationships/externalLink" Target="externalLinks/externalLink170.xml"/><Relationship Id="rId201" Type="http://schemas.openxmlformats.org/officeDocument/2006/relationships/externalLink" Target="externalLinks/externalLink174.xml"/><Relationship Id="rId222" Type="http://schemas.openxmlformats.org/officeDocument/2006/relationships/externalLink" Target="externalLinks/externalLink195.xml"/><Relationship Id="rId17" Type="http://schemas.openxmlformats.org/officeDocument/2006/relationships/worksheet" Target="worksheets/sheet17.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externalLink" Target="externalLinks/externalLink76.xml"/><Relationship Id="rId124" Type="http://schemas.openxmlformats.org/officeDocument/2006/relationships/externalLink" Target="externalLinks/externalLink97.xml"/><Relationship Id="rId70" Type="http://schemas.openxmlformats.org/officeDocument/2006/relationships/externalLink" Target="externalLinks/externalLink43.xml"/><Relationship Id="rId91" Type="http://schemas.openxmlformats.org/officeDocument/2006/relationships/externalLink" Target="externalLinks/externalLink64.xml"/><Relationship Id="rId145" Type="http://schemas.openxmlformats.org/officeDocument/2006/relationships/externalLink" Target="externalLinks/externalLink118.xml"/><Relationship Id="rId166" Type="http://schemas.openxmlformats.org/officeDocument/2006/relationships/externalLink" Target="externalLinks/externalLink139.xml"/><Relationship Id="rId187" Type="http://schemas.openxmlformats.org/officeDocument/2006/relationships/externalLink" Target="externalLinks/externalLink160.xml"/><Relationship Id="rId1" Type="http://schemas.openxmlformats.org/officeDocument/2006/relationships/worksheet" Target="worksheets/sheet1.xml"/><Relationship Id="rId212" Type="http://schemas.openxmlformats.org/officeDocument/2006/relationships/externalLink" Target="externalLinks/externalLink185.xml"/><Relationship Id="rId28" Type="http://schemas.openxmlformats.org/officeDocument/2006/relationships/externalLink" Target="externalLinks/externalLink1.xml"/><Relationship Id="rId49" Type="http://schemas.openxmlformats.org/officeDocument/2006/relationships/externalLink" Target="externalLinks/externalLink22.xml"/><Relationship Id="rId114" Type="http://schemas.openxmlformats.org/officeDocument/2006/relationships/externalLink" Target="externalLinks/externalLink87.xml"/><Relationship Id="rId60" Type="http://schemas.openxmlformats.org/officeDocument/2006/relationships/externalLink" Target="externalLinks/externalLink33.xml"/><Relationship Id="rId81" Type="http://schemas.openxmlformats.org/officeDocument/2006/relationships/externalLink" Target="externalLinks/externalLink54.xml"/><Relationship Id="rId135" Type="http://schemas.openxmlformats.org/officeDocument/2006/relationships/externalLink" Target="externalLinks/externalLink108.xml"/><Relationship Id="rId156" Type="http://schemas.openxmlformats.org/officeDocument/2006/relationships/externalLink" Target="externalLinks/externalLink129.xml"/><Relationship Id="rId177" Type="http://schemas.openxmlformats.org/officeDocument/2006/relationships/externalLink" Target="externalLinks/externalLink150.xml"/><Relationship Id="rId198" Type="http://schemas.openxmlformats.org/officeDocument/2006/relationships/externalLink" Target="externalLinks/externalLink171.xml"/><Relationship Id="rId202" Type="http://schemas.openxmlformats.org/officeDocument/2006/relationships/externalLink" Target="externalLinks/externalLink175.xml"/><Relationship Id="rId223" Type="http://schemas.openxmlformats.org/officeDocument/2006/relationships/externalLink" Target="externalLinks/externalLink196.xml"/><Relationship Id="rId18" Type="http://schemas.openxmlformats.org/officeDocument/2006/relationships/worksheet" Target="worksheets/sheet18.xml"/><Relationship Id="rId39" Type="http://schemas.openxmlformats.org/officeDocument/2006/relationships/externalLink" Target="externalLinks/externalLink12.xml"/><Relationship Id="rId50" Type="http://schemas.openxmlformats.org/officeDocument/2006/relationships/externalLink" Target="externalLinks/externalLink23.xml"/><Relationship Id="rId104" Type="http://schemas.openxmlformats.org/officeDocument/2006/relationships/externalLink" Target="externalLinks/externalLink77.xml"/><Relationship Id="rId125" Type="http://schemas.openxmlformats.org/officeDocument/2006/relationships/externalLink" Target="externalLinks/externalLink98.xml"/><Relationship Id="rId146" Type="http://schemas.openxmlformats.org/officeDocument/2006/relationships/externalLink" Target="externalLinks/externalLink119.xml"/><Relationship Id="rId167" Type="http://schemas.openxmlformats.org/officeDocument/2006/relationships/externalLink" Target="externalLinks/externalLink140.xml"/><Relationship Id="rId188" Type="http://schemas.openxmlformats.org/officeDocument/2006/relationships/externalLink" Target="externalLinks/externalLink161.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13" Type="http://schemas.openxmlformats.org/officeDocument/2006/relationships/externalLink" Target="externalLinks/externalLink186.xml"/><Relationship Id="rId2" Type="http://schemas.openxmlformats.org/officeDocument/2006/relationships/worksheet" Target="worksheets/sheet2.xml"/><Relationship Id="rId29" Type="http://schemas.openxmlformats.org/officeDocument/2006/relationships/externalLink" Target="externalLinks/externalLink2.xml"/><Relationship Id="rId40" Type="http://schemas.openxmlformats.org/officeDocument/2006/relationships/externalLink" Target="externalLinks/externalLink13.xml"/><Relationship Id="rId115" Type="http://schemas.openxmlformats.org/officeDocument/2006/relationships/externalLink" Target="externalLinks/externalLink88.xml"/><Relationship Id="rId136" Type="http://schemas.openxmlformats.org/officeDocument/2006/relationships/externalLink" Target="externalLinks/externalLink109.xml"/><Relationship Id="rId157" Type="http://schemas.openxmlformats.org/officeDocument/2006/relationships/externalLink" Target="externalLinks/externalLink130.xml"/><Relationship Id="rId178" Type="http://schemas.openxmlformats.org/officeDocument/2006/relationships/externalLink" Target="externalLinks/externalLink151.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9" Type="http://schemas.openxmlformats.org/officeDocument/2006/relationships/externalLink" Target="externalLinks/externalLink172.xml"/><Relationship Id="rId203" Type="http://schemas.openxmlformats.org/officeDocument/2006/relationships/externalLink" Target="externalLinks/externalLink176.xml"/><Relationship Id="rId19" Type="http://schemas.openxmlformats.org/officeDocument/2006/relationships/worksheet" Target="worksheets/sheet19.xml"/><Relationship Id="rId224" Type="http://schemas.openxmlformats.org/officeDocument/2006/relationships/externalLink" Target="externalLinks/externalLink197.xml"/><Relationship Id="rId30" Type="http://schemas.openxmlformats.org/officeDocument/2006/relationships/externalLink" Target="externalLinks/externalLink3.xml"/><Relationship Id="rId105" Type="http://schemas.openxmlformats.org/officeDocument/2006/relationships/externalLink" Target="externalLinks/externalLink78.xml"/><Relationship Id="rId126" Type="http://schemas.openxmlformats.org/officeDocument/2006/relationships/externalLink" Target="externalLinks/externalLink99.xml"/><Relationship Id="rId147" Type="http://schemas.openxmlformats.org/officeDocument/2006/relationships/externalLink" Target="externalLinks/externalLink120.xml"/><Relationship Id="rId168" Type="http://schemas.openxmlformats.org/officeDocument/2006/relationships/externalLink" Target="externalLinks/externalLink141.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189" Type="http://schemas.openxmlformats.org/officeDocument/2006/relationships/externalLink" Target="externalLinks/externalLink16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1576</xdr:colOff>
          <xdr:row>35</xdr:row>
          <xdr:rowOff>89645</xdr:rowOff>
        </xdr:from>
        <xdr:to>
          <xdr:col>7</xdr:col>
          <xdr:colOff>23034</xdr:colOff>
          <xdr:row>52</xdr:row>
          <xdr:rowOff>67235</xdr:rowOff>
        </xdr:to>
        <xdr:pic>
          <xdr:nvPicPr>
            <xdr:cNvPr id="2" name="그림 1">
              <a:extLst>
                <a:ext uri="{FF2B5EF4-FFF2-40B4-BE49-F238E27FC236}">
                  <a16:creationId xmlns:a16="http://schemas.microsoft.com/office/drawing/2014/main" id="{D9F5A331-E004-47F5-ACC4-D0AD7695E21B}"/>
                </a:ext>
              </a:extLst>
            </xdr:cNvPr>
            <xdr:cNvPicPr>
              <a:picLocks noChangeAspect="1" noChangeArrowheads="1"/>
              <a:extLst>
                <a:ext uri="{84589F7E-364E-4C9E-8A38-B11213B215E9}">
                  <a14:cameraTool cellRange="$N$63:$Q$77" spid="_x0000_s562913"/>
                </a:ext>
              </a:extLst>
            </xdr:cNvPicPr>
          </xdr:nvPicPr>
          <xdr:blipFill>
            <a:blip xmlns:r="http://schemas.openxmlformats.org/officeDocument/2006/relationships" r:embed="rId1"/>
            <a:srcRect/>
            <a:stretch>
              <a:fillRect/>
            </a:stretch>
          </xdr:blipFill>
          <xdr:spPr bwMode="auto">
            <a:xfrm>
              <a:off x="203282" y="6095998"/>
              <a:ext cx="7518193" cy="264459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1353</xdr:colOff>
          <xdr:row>52</xdr:row>
          <xdr:rowOff>151012</xdr:rowOff>
        </xdr:from>
        <xdr:to>
          <xdr:col>7</xdr:col>
          <xdr:colOff>21418</xdr:colOff>
          <xdr:row>58</xdr:row>
          <xdr:rowOff>123430</xdr:rowOff>
        </xdr:to>
        <xdr:pic>
          <xdr:nvPicPr>
            <xdr:cNvPr id="3" name="그림 2">
              <a:extLst>
                <a:ext uri="{FF2B5EF4-FFF2-40B4-BE49-F238E27FC236}">
                  <a16:creationId xmlns:a16="http://schemas.microsoft.com/office/drawing/2014/main" id="{C633B050-FEF8-4AC9-B210-10AD50BA6ECE}"/>
                </a:ext>
              </a:extLst>
            </xdr:cNvPr>
            <xdr:cNvPicPr>
              <a:picLocks noChangeAspect="1" noChangeArrowheads="1"/>
              <a:extLst>
                <a:ext uri="{84589F7E-364E-4C9E-8A38-B11213B215E9}">
                  <a14:cameraTool cellRange="$S$63:$V$67" spid="_x0000_s562914"/>
                </a:ext>
              </a:extLst>
            </xdr:cNvPicPr>
          </xdr:nvPicPr>
          <xdr:blipFill>
            <a:blip xmlns:r="http://schemas.openxmlformats.org/officeDocument/2006/relationships" r:embed="rId2"/>
            <a:srcRect/>
            <a:stretch>
              <a:fillRect/>
            </a:stretch>
          </xdr:blipFill>
          <xdr:spPr bwMode="auto">
            <a:xfrm>
              <a:off x="203059" y="8824365"/>
              <a:ext cx="7516800" cy="913712"/>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176442</xdr:colOff>
          <xdr:row>2</xdr:row>
          <xdr:rowOff>3789</xdr:rowOff>
        </xdr:from>
        <xdr:to>
          <xdr:col>12</xdr:col>
          <xdr:colOff>714324</xdr:colOff>
          <xdr:row>93</xdr:row>
          <xdr:rowOff>82230</xdr:rowOff>
        </xdr:to>
        <xdr:pic>
          <xdr:nvPicPr>
            <xdr:cNvPr id="4" name="그림 3">
              <a:extLst>
                <a:ext uri="{FF2B5EF4-FFF2-40B4-BE49-F238E27FC236}">
                  <a16:creationId xmlns:a16="http://schemas.microsoft.com/office/drawing/2014/main" id="{CF51F137-1B64-4262-8EB3-96BB92CD84A2}"/>
                </a:ext>
              </a:extLst>
            </xdr:cNvPr>
            <xdr:cNvPicPr>
              <a:picLocks noChangeAspect="1" noChangeArrowheads="1"/>
              <a:extLst>
                <a:ext uri="{84589F7E-364E-4C9E-8A38-B11213B215E9}">
                  <a14:cameraTool cellRange="$Y$88:$AF$176" spid="_x0000_s562915"/>
                </a:ext>
              </a:extLst>
            </xdr:cNvPicPr>
          </xdr:nvPicPr>
          <xdr:blipFill>
            <a:blip xmlns:r="http://schemas.openxmlformats.org/officeDocument/2006/relationships" r:embed="rId3"/>
            <a:srcRect/>
            <a:stretch>
              <a:fillRect/>
            </a:stretch>
          </xdr:blipFill>
          <xdr:spPr bwMode="auto">
            <a:xfrm>
              <a:off x="7897295" y="631318"/>
              <a:ext cx="6813176" cy="14959853"/>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28</xdr:col>
      <xdr:colOff>3393</xdr:colOff>
      <xdr:row>10</xdr:row>
      <xdr:rowOff>4071</xdr:rowOff>
    </xdr:from>
    <xdr:to>
      <xdr:col>34</xdr:col>
      <xdr:colOff>622420</xdr:colOff>
      <xdr:row>21</xdr:row>
      <xdr:rowOff>51912</xdr:rowOff>
    </xdr:to>
    <xdr:pic>
      <xdr:nvPicPr>
        <xdr:cNvPr id="2" name="그림 1">
          <a:extLst>
            <a:ext uri="{FF2B5EF4-FFF2-40B4-BE49-F238E27FC236}">
              <a16:creationId xmlns:a16="http://schemas.microsoft.com/office/drawing/2014/main" id="{1028901A-9A8E-4FDD-8EA6-D29A600C83FB}"/>
            </a:ext>
          </a:extLst>
        </xdr:cNvPr>
        <xdr:cNvPicPr>
          <a:picLocks noChangeAspect="1"/>
        </xdr:cNvPicPr>
      </xdr:nvPicPr>
      <xdr:blipFill>
        <a:blip xmlns:r="http://schemas.openxmlformats.org/officeDocument/2006/relationships" r:embed="rId1"/>
        <a:stretch>
          <a:fillRect/>
        </a:stretch>
      </xdr:blipFill>
      <xdr:spPr>
        <a:xfrm>
          <a:off x="16672143" y="3160928"/>
          <a:ext cx="6252384" cy="3789805"/>
        </a:xfrm>
        <a:prstGeom prst="rect">
          <a:avLst/>
        </a:prstGeom>
      </xdr:spPr>
    </xdr:pic>
    <xdr:clientData/>
  </xdr:twoCellAnchor>
  <xdr:twoCellAnchor editAs="oneCell">
    <xdr:from>
      <xdr:col>28</xdr:col>
      <xdr:colOff>2346</xdr:colOff>
      <xdr:row>21</xdr:row>
      <xdr:rowOff>208931</xdr:rowOff>
    </xdr:from>
    <xdr:to>
      <xdr:col>33</xdr:col>
      <xdr:colOff>346875</xdr:colOff>
      <xdr:row>27</xdr:row>
      <xdr:rowOff>2277</xdr:rowOff>
    </xdr:to>
    <xdr:pic>
      <xdr:nvPicPr>
        <xdr:cNvPr id="3" name="그림 2">
          <a:extLst>
            <a:ext uri="{FF2B5EF4-FFF2-40B4-BE49-F238E27FC236}">
              <a16:creationId xmlns:a16="http://schemas.microsoft.com/office/drawing/2014/main" id="{E088DF4F-375C-4BEC-A7CE-8ABEC1679D67}"/>
            </a:ext>
          </a:extLst>
        </xdr:cNvPr>
        <xdr:cNvPicPr>
          <a:picLocks noChangeAspect="1"/>
        </xdr:cNvPicPr>
      </xdr:nvPicPr>
      <xdr:blipFill>
        <a:blip xmlns:r="http://schemas.openxmlformats.org/officeDocument/2006/relationships" r:embed="rId2"/>
        <a:stretch>
          <a:fillRect/>
        </a:stretch>
      </xdr:blipFill>
      <xdr:spPr>
        <a:xfrm>
          <a:off x="16671096" y="7107752"/>
          <a:ext cx="5107029" cy="1834418"/>
        </a:xfrm>
        <a:prstGeom prst="rect">
          <a:avLst/>
        </a:prstGeom>
      </xdr:spPr>
    </xdr:pic>
    <xdr:clientData/>
  </xdr:twoCellAnchor>
  <xdr:twoCellAnchor editAs="oneCell">
    <xdr:from>
      <xdr:col>28</xdr:col>
      <xdr:colOff>0</xdr:colOff>
      <xdr:row>27</xdr:row>
      <xdr:rowOff>126541</xdr:rowOff>
    </xdr:from>
    <xdr:to>
      <xdr:col>32</xdr:col>
      <xdr:colOff>814364</xdr:colOff>
      <xdr:row>30</xdr:row>
      <xdr:rowOff>296795</xdr:rowOff>
    </xdr:to>
    <xdr:pic>
      <xdr:nvPicPr>
        <xdr:cNvPr id="4" name="그림 3">
          <a:extLst>
            <a:ext uri="{FF2B5EF4-FFF2-40B4-BE49-F238E27FC236}">
              <a16:creationId xmlns:a16="http://schemas.microsoft.com/office/drawing/2014/main" id="{9C4607AF-44E5-4A58-A597-A4D77E5A373F}"/>
            </a:ext>
          </a:extLst>
        </xdr:cNvPr>
        <xdr:cNvPicPr>
          <a:picLocks noChangeAspect="1"/>
        </xdr:cNvPicPr>
      </xdr:nvPicPr>
      <xdr:blipFill>
        <a:blip xmlns:r="http://schemas.openxmlformats.org/officeDocument/2006/relationships" r:embed="rId3"/>
        <a:stretch>
          <a:fillRect/>
        </a:stretch>
      </xdr:blipFill>
      <xdr:spPr>
        <a:xfrm>
          <a:off x="16940893" y="9066434"/>
          <a:ext cx="4706007" cy="1190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132523</xdr:colOff>
      <xdr:row>43</xdr:row>
      <xdr:rowOff>198782</xdr:rowOff>
    </xdr:from>
    <xdr:to>
      <xdr:col>23</xdr:col>
      <xdr:colOff>81799</xdr:colOff>
      <xdr:row>61</xdr:row>
      <xdr:rowOff>113033</xdr:rowOff>
    </xdr:to>
    <xdr:pic>
      <xdr:nvPicPr>
        <xdr:cNvPr id="2" name="그림 1">
          <a:extLst>
            <a:ext uri="{FF2B5EF4-FFF2-40B4-BE49-F238E27FC236}">
              <a16:creationId xmlns:a16="http://schemas.microsoft.com/office/drawing/2014/main" id="{E1C21B44-4336-4784-92D1-65D51E3379E4}"/>
            </a:ext>
          </a:extLst>
        </xdr:cNvPr>
        <xdr:cNvPicPr>
          <a:picLocks noChangeAspect="1"/>
        </xdr:cNvPicPr>
      </xdr:nvPicPr>
      <xdr:blipFill>
        <a:blip xmlns:r="http://schemas.openxmlformats.org/officeDocument/2006/relationships" r:embed="rId1"/>
        <a:stretch>
          <a:fillRect/>
        </a:stretch>
      </xdr:blipFill>
      <xdr:spPr>
        <a:xfrm>
          <a:off x="10427806" y="9127434"/>
          <a:ext cx="6304472" cy="3682838"/>
        </a:xfrm>
        <a:prstGeom prst="rect">
          <a:avLst/>
        </a:prstGeom>
      </xdr:spPr>
    </xdr:pic>
    <xdr:clientData/>
  </xdr:twoCellAnchor>
  <xdr:twoCellAnchor editAs="oneCell">
    <xdr:from>
      <xdr:col>15</xdr:col>
      <xdr:colOff>132522</xdr:colOff>
      <xdr:row>61</xdr:row>
      <xdr:rowOff>190501</xdr:rowOff>
    </xdr:from>
    <xdr:to>
      <xdr:col>21</xdr:col>
      <xdr:colOff>313765</xdr:colOff>
      <xdr:row>70</xdr:row>
      <xdr:rowOff>108713</xdr:rowOff>
    </xdr:to>
    <xdr:pic>
      <xdr:nvPicPr>
        <xdr:cNvPr id="4" name="그림 3">
          <a:extLst>
            <a:ext uri="{FF2B5EF4-FFF2-40B4-BE49-F238E27FC236}">
              <a16:creationId xmlns:a16="http://schemas.microsoft.com/office/drawing/2014/main" id="{1E063605-1D3F-49A5-83C4-2CE9B78651C1}"/>
            </a:ext>
          </a:extLst>
        </xdr:cNvPr>
        <xdr:cNvPicPr>
          <a:picLocks noChangeAspect="1"/>
        </xdr:cNvPicPr>
      </xdr:nvPicPr>
      <xdr:blipFill>
        <a:blip xmlns:r="http://schemas.openxmlformats.org/officeDocument/2006/relationships" r:embed="rId2"/>
        <a:stretch>
          <a:fillRect/>
        </a:stretch>
      </xdr:blipFill>
      <xdr:spPr>
        <a:xfrm>
          <a:off x="10385904" y="13200530"/>
          <a:ext cx="5134243" cy="1834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22</xdr:row>
          <xdr:rowOff>19594</xdr:rowOff>
        </xdr:from>
        <xdr:to>
          <xdr:col>21</xdr:col>
          <xdr:colOff>350520</xdr:colOff>
          <xdr:row>79</xdr:row>
          <xdr:rowOff>47795</xdr:rowOff>
        </xdr:to>
        <xdr:pic>
          <xdr:nvPicPr>
            <xdr:cNvPr id="2" name="그림 1">
              <a:extLst>
                <a:ext uri="{FF2B5EF4-FFF2-40B4-BE49-F238E27FC236}">
                  <a16:creationId xmlns:a16="http://schemas.microsoft.com/office/drawing/2014/main" id="{00000000-0008-0000-0C00-000002000000}"/>
                </a:ext>
              </a:extLst>
            </xdr:cNvPr>
            <xdr:cNvPicPr>
              <a:picLocks noChangeAspect="1" noChangeArrowheads="1"/>
              <a:extLst>
                <a:ext uri="{84589F7E-364E-4C9E-8A38-B11213B215E9}">
                  <a14:cameraTool cellRange="$AT$38:$BK$96" spid="_x0000_s592956"/>
                </a:ext>
              </a:extLst>
            </xdr:cNvPicPr>
          </xdr:nvPicPr>
          <xdr:blipFill>
            <a:blip xmlns:r="http://schemas.openxmlformats.org/officeDocument/2006/relationships" r:embed="rId1"/>
            <a:srcRect/>
            <a:stretch>
              <a:fillRect/>
            </a:stretch>
          </xdr:blipFill>
          <xdr:spPr bwMode="auto">
            <a:xfrm>
              <a:off x="0" y="4330337"/>
              <a:ext cx="16635549" cy="12111344"/>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DFILE\HAUS\&#44204;&#51201;&#49892;\&#44592;&#51456;\&#45800;&#44032;&#51088;&#47308;\&#50808;&#51452;&#44204;&#51201;\&#51473;&#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EZO&#44396;&#51116;&#55148;\2001%2001%20&#48376;&#48512;\&#45236;&#49436;&#47448;&#44032;&#48169;\9901&#44277;&#49324;&#54788;&#54889;\leejmn9904\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20\atyrau$\Documents%20and%20Settings\A0731\Desktop\Jacob\Haradh\PlanData\Planning&amp;report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ta035\dfs\Costruzioni\Preventivi%20Costruzione\prevcost\6863%20-%20JCPC%20-%20Al%20Jubail\Technical%20Offer\6853%20-%20Curve%20Clien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0.16\kaynarca%20karasu\HAKED&#304;&#350;LER\TCK%20Hakedi&#351;ler\netbul\den\CPI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1060;&#48512;&#51109;&#45784;\C\My%20Documents\&#44277;&#49324;&#49436;&#47448;\SCH\BID-97\BID\QT003-SSY-&#52384;&#44264;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ain\group\&#51340;&#49849;&#54801;_B1%20Project\&#48376;&#49324;&#44540;&#47924;_0401\&#44277;&#49324;&#54016;%20&#44288;&#47144;&#51088;&#47308;%20for%20B-1\&#51340;&#49849;&#54801;\CBE%20for%20construction\&#44033;%20&#44277;&#51333;&#48324;%20&#48708;&#44368;&#54364;\&#53664;&#44148;030404_ISBL_Case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DO\&#48149;&#49849;&#48373;\My%20Docu%20&#51068;\code\IETi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45236;&#49436;&#47448;&#44032;&#48169;\9901&#44277;&#49324;&#54788;&#54889;\leejmn9904\REPORT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45236;&#49436;&#47448;&#44032;&#48169;\9901&#44277;&#49324;&#54788;&#54889;\leejmn9904\REPORT07.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50976;&#47548;&#44264;&#51312;"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DEDMS\Mepss\&#44204;&#51201;&#49892;\&#44592;&#53440;\&#44060;&#51064;\4.&#45824;&#47532;\&#51060;&#49457;&#54616;\FILE\&#44277;&#53685;&#48708;F\&#45432;&#50516;&#44277;&#5368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060;&#52384;&#54868;\&#51068;&#50948;&#45824;&#44032;\&#50672;&#46028;&#45236;&#50669;&#51068;&#5094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KKIM\&#44277;&#49324;&#54788;&#54889;\&#45236;&#49436;&#47448;&#44032;&#48169;\9901&#44277;&#49324;&#54788;&#54889;\leejmn9904\REPORT07.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45236;&#49436;&#47448;&#44032;&#48169;/9901&#44277;&#49324;&#54788;&#54889;/leejmn9904/REPORT07.XLS" TargetMode="External"/><Relationship Id="rId1" Type="http://schemas.openxmlformats.org/officeDocument/2006/relationships/externalLinkPath" Target="/&#45236;&#49436;&#47448;&#44032;&#48169;/9901&#44277;&#49324;&#54788;&#54889;/leejmn9904/REPORT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76;&#49688;&#47564;\D\My%20Documents\JOB\FORM\&#46020;&#44553;&#49892;&#5466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WekaWeku\&#44208;&#49328;\KIJO\97&#44221;&#50689;&#48516;&#49437;\A&#49324;&#50629;&#44228;&#54925;\02&#45800;%20%20%20&#44592;\98&#51116;&#49688;&#47549;&#49688;&#51221;\&#51333;&#44592;&#49892;&#51228;&#52636;\&#49688;&#51221;&#50577;&#4988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QQQ\QQQ\VARIETY\CEMEN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1060;&#51025;&#44033;\&#51452;&#49345;&#48373;&#54633;\WINDOWS\TEMP\&#52380;&#54840;&#46041;(99.9&#509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ta035\dfs\Windows\Desktop\6865_CWP_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HDLAN\HDEC30\CACHE\WekaWeku\&#44208;&#49328;\KIJO\97&#44221;&#50689;&#48516;&#49437;\A&#49324;&#50629;&#44228;&#54925;\02&#45800;%20%20%20&#44592;\98&#51116;&#49688;&#47549;&#49688;&#51221;\&#51333;&#44592;&#49892;&#51228;&#52636;\&#49688;&#51221;&#50577;&#4988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453;&#51204;8&#52264;1\C\&#51453;&#51204;8&#52264;\&#52265;&#49688;&#44208;&#51032;\&#44204;&#51201;&#49892;\&#44592;&#53440;\&#44060;&#51064;\4.&#45824;&#47532;\&#51060;&#49457;&#54616;\FILE\&#50696;&#49328;F\&#50500;&#54028;&#53944;F\&#44368;&#46041;&#54788;&#5110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INSAKIHO\TASA\&#44277;&#53685;\SUDANG\&#49340;&#49457;&#52488;&#5107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EKA&#51060;&#51064;&#48176;\C\DATA\IQ\&#51221;971IQ.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4728;&#50689;\12&#50900;&#51648;&#48520;&#51089;&#50629;\&#51648;&#44553;\My%20Documents\&#52572;&#52632;&#49457;\&#48149;&#46041;&#54616;\&#49892;&#53468;\My%20Documents\&#50808;&#51452;&#54788;&#54889;.WQ1"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92.168.100.16\Jku\Projects%20Data\HCC\HO%20HCC\Data\Approved%20budgets\Hydro\Vizag\VIZAG-Project%20Budget%2008-09%20Approved-0.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1-1WORK/2&#49688;&#50896;&#48124;&#51088;&#50669;&#49324;2/&#51068;&#48152;&#53664;&#47785;&#44148;&#52629;/&#52509;&#44292;&#50896;&#44032;&#44228;&#49328;&#49436;1.xls" TargetMode="External"/><Relationship Id="rId1" Type="http://schemas.openxmlformats.org/officeDocument/2006/relationships/externalLinkPath" Target="/1-1WORK/2&#49688;&#50896;&#48124;&#51088;&#50669;&#49324;2/&#51068;&#48152;&#53664;&#47785;&#44148;&#52629;/&#52509;&#44292;&#50896;&#44032;&#44228;&#49328;&#4943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KIJO\&#48176;&#48512;99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ep.hec.co.kr/My%20Documents/Pha%20Lai/HVAC/North%20HVAC%20Drawings/North%20Submittals%20to%20Boston/PL2-BP-NO-SW-100014/PHALAIDUCT%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Documents%20and%20Settings\&#304;LKAY%20Z&#304;HN&#304;\Belgelerim\ASF%20PROT\B&#252;lb&#252;lo&#287;lu-Trabzon1999-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WekaWeku\&#44208;&#49328;\9624\&#49324;&#50629;&#52628;&#5122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B:\FORM\96&#44208;&#4932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HDLAN\HDEC30\CACHE\WekaWeku\&#44208;&#49328;\9624\&#49324;&#50629;&#52628;&#5122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HDLAN\HDEC30\CACHE\WekaWeku\&#44208;&#49328;\97SAUPC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HDLAN\HDEC30\CACHE\MONTH\&#49324;&#50629;&#52628;0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B:\&#54217;&#44512;&#51064;&#50896;.95"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KIJO\&#48176;&#48512;99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44608;&#54788;&#52380;\&#44608;&#54788;&#52380;\&#44204;&#51201;\&#49340;&#49457;&#47932;&#49328;\adnoc\Part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4620;&#45224;&#54788;\OXY&#49892;&#54665;&#45236;&#50669;\My%20Documents\project\CA%20PJT\&#44204;&#51201;&#45236;&#50669;&#49436;\&#44204;&#51201;3&#52264;\Cost_total_&#48176;&#44288;-3&#52264;_&#54620;&#45224;&#54788;.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Overseas_tech/01-Infra1%20&#54016;/1000-&#51089;&#50629;/A.&#44277;&#53685;/510-&#49324;&#50629;&#44228;&#54925;/&#49324;&#50629;&#44228;&#54925;(2012&#45380;)/PROJECT/SKT&#49457;&#49688;&#46041;/0107&#53664;&#44277;&#49324;/&#49892;&#54665;/&#53664;&#47785;&#52628;&#51221;&#45236;&#50669;.xls" TargetMode="External"/><Relationship Id="rId1" Type="http://schemas.openxmlformats.org/officeDocument/2006/relationships/externalLinkPath" Target="/Overseas_tech/01-Infra1%20&#54016;/1000-&#51089;&#50629;/A.&#44277;&#53685;/510-&#49324;&#50629;&#44228;&#54925;/&#49324;&#50629;&#44228;&#54925;(2012&#45380;)/PROJECT/SKT&#49457;&#49688;&#46041;/0107&#53664;&#44277;&#49324;/&#49892;&#54665;/&#53664;&#47785;&#52628;&#51221;&#45236;&#5066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Teknikofis\c\K-A-M-&#304;-L\TA&#350;-ER-ON\Denge\DENGEHK1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G:\&#45236;&#49436;&#47448;&#44032;&#48169;\9901&#44277;&#49324;&#54788;&#54889;\leejmn9904\REPORT0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My%20Document\SS-382\VO\&#50696;&#49328;%200619\CO%20No1_Backup%20Data_07061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PIPG(E)-&#49888;&#49440;&#48120;\ATTAHADDY\&#44060;&#51064;&#47928;&#49436;\qnix\valve_code.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Documents%20and%20Settings/9802293/Local%20Settings/Temporary%20Internet%20Files/Content.Outlook/H3PWF2C9/PROJECT/KINGDOM%20OF%20SAUDI%20ARABIA/JERP_PKG3/03)%20COMMERCIAL%20PROPOSAL/02_Indirect%20Cost/JERP3_Indirect_Cost_Final.xlsx" TargetMode="External"/><Relationship Id="rId1" Type="http://schemas.openxmlformats.org/officeDocument/2006/relationships/externalLinkPath" Target="/Documents%20and%20Settings/9802293/Local%20Settings/Temporary%20Internet%20Files/Content.Outlook/H3PWF2C9/PROJECT/KINGDOM%20OF%20SAUDI%20ARABIA/JERP_PKG3/03)%20COMMERCIAL%20PROPOSAL/02_Indirect%20Cost/JERP3_Indirect_Cost_Final.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SE6380\TOP1\MISS_&#49688;\ORIGINAL\&#49688;_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KIJO\KIJOB\SSUK\96CONF.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66.12.116.175\common%20folder\WINDOWS\TEMP\Output\Estimation\PC1127_BQ_MainOffic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51060;&#52285;&#49688;\&#44277;&#50976;\Cost_total_&#48176;&#44288;-&#51060;&#52285;&#49688;2&#5226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sers\ESLee\Documents\00%20MANIS\CB16%20Yesan%20Payment\DB16-2%20SHYS%20Backup\&#49884;&#54665;&#50696;&#49328;&#49436;\200911\MANIS%20&#49884;&#54665;&#50696;&#49328;&#49436;(&#50504;)_OOK%20n%20IK_091125.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payment%20to%20wahtec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1068;&#54788;\&#49324;&#50864;&#46356;\K71772\GEN\COVER.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EP.DEPGAS/A%20020%20075%20-%20Costa%20Azul%20Terminal/04%20-%20DEP/06%20-%20PMT%20-%20CMT/A020075%20-%20PMT%20SMT%20Costa%20Azul%20Terminal%20-%20rev4%20(FINAL).xls" TargetMode="External"/><Relationship Id="rId1" Type="http://schemas.openxmlformats.org/officeDocument/2006/relationships/externalLinkPath" Target="/DEP.DEPGAS/A%20020%20075%20-%20Costa%20Azul%20Terminal/04%20-%20DEP/06%20-%20PMT%20-%20CMT/A020075%20-%20PMT%20SMT%20Costa%20Azul%20Terminal%20-%20rev4%20(FINA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51060;&#52380;&#50864;\&#49324;&#50629;&#50696;&#49328;&#49892;\UPON\02%20&#50696;&#49328;\&#44277;&#53685;&#48708;\UPON_&#44277;&#53685;&#48708;%20&#50696;&#49328;%20&#54200;&#49457;_13043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My%20document\&#49892;&#54665;&#50696;&#49328;\&#54217;&#44512;&#51064;&#50896;.95"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Documents%20and%20Settings/0801296/&#48148;&#53461;%20&#54868;&#47732;/PROJECT/JERP/03)%20COMMERCIAL%20PROPOSAL/INDIRECT%20COST/JERP3%20Project%20-%20Indirect%20Cost%20_%20Rev.%2000.xlsx" TargetMode="External"/><Relationship Id="rId1" Type="http://schemas.openxmlformats.org/officeDocument/2006/relationships/externalLinkPath" Target="/Documents%20and%20Settings/0801296/&#48148;&#53461;%20&#54868;&#47732;/PROJECT/JERP/03)%20COMMERCIAL%20PROPOSAL/INDIRECT%20COST/JERP3%20Project%20-%20Indirect%20Cost%20_%20Rev.%2000.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66.12.116.175\common%20folder\2001&#45380;%20works\proposal\make%20BQ\makeBQ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skang\ko_drn\Data_Work\HCT9\Work\Subcon\Sub_Master.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rva033\haw-com$\My%20Documents\es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00.%20UPON%20(2013.02.01~)\01.%20&#44277;&#47924;\01.%20&#50696;&#49328;\4.%20&#49892;&#54665;&#50696;&#49328;&#54408;&#51032;\2.%20&#44036;&#51217;&#48708;\UPON_&#44277;&#53685;&#48708;%20&#50696;&#49328;%20&#54200;&#49457;_130715.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F:\KIJO\KIJOB\SSUK\96CONF.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Documents%20and%20Settings/0701001/My%20Documents/1.%20WASIT/&#51064;&#50896;&#46041;&#50896;/WASIT-&#44592;&#45733;&#44277;&#51064;&#50896;&#46041;&#50896;&#44228;&#54925;%20&#52712;&#54633;%201019%20Inspector%20&#54252;&#54632;.xlsx" TargetMode="External"/><Relationship Id="rId1" Type="http://schemas.openxmlformats.org/officeDocument/2006/relationships/externalLinkPath" Target="/Documents%20and%20Settings/0701001/My%20Documents/1.%20WASIT/&#51064;&#50896;&#46041;&#50896;/WASIT-&#44592;&#45733;&#44277;&#51064;&#50896;&#46041;&#50896;&#44228;&#54925;%20&#52712;&#54633;%201019%20Inspector%20&#54252;&#54632;.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WekaWeku\&#44208;&#49328;\97SAUPCU.XLS"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Book29"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dedms\Mepss\&#51648;&#54840;Docu\1.&#44592;&#53440;\2.&#50577;&#49885;\9.&#44592;&#53440;\001%20&#50672;&#44208;&#45130;&#44592;&#50857;(&#45236;&#50857;&#50630;&#5102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O:\My%20Documents\SKKIM\Work1999\&#54840;&#45224;&#49437;&#50976;\&#49892;&#54665;BM\YUKONG\PROPOSAL\SEOUL\PROPOS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ep.hec.co.kr/&#44060;&#48156;program/fdn_bm_pro.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A1/To%20Project/Final/&#51109;&#48708;&#48708;-&#44288;&#49464;+&#50868;&#48152;&#48708;+&#44032;&#49444;&#48156;&#51204;-&#46041;&#50896;&#44228;&#54925;.xls" TargetMode="External"/><Relationship Id="rId1" Type="http://schemas.openxmlformats.org/officeDocument/2006/relationships/externalLinkPath" Target="/A1/To%20Project/Final/&#51109;&#48708;&#48708;-&#44288;&#49464;+&#50868;&#48152;&#48708;+&#44032;&#49444;&#48156;&#51204;-&#46041;&#50896;&#44228;&#5492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WekaWeku\&#44208;&#49328;\97SAUPCU.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52264;&#44221;&#46041;\NC-41\&#44060;&#48156;program\fdn_bm_pro.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00.200.31.32\mech\Documents%20and%20Settings\1001061\Local%20Settings\Temporary%20Internet%20Files\Content.Outlook\ZV2IOE0X\Wasit-&#44277;&#53685;-&#44592;&#44228;&#51088;&#51116;&#48708;-(10&#50900;20&#51068;-4&#52264;-Final)-Tank&#49884;&#44277;&#51228;&#50808;-Option&#48708;&#52628;&#44032;&#54252;&#54632;%20Total.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WekaWeku\&#44208;&#49328;\exceldata\&#48176;&#48512;\98&#45380;\&#48176;&#48512;98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pulau%20final\WINDOWS\Desktop\New%20Folder\Qo-158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66.12.116.175\common%20folder\&#51340;&#49849;&#54801;_SEI%20Tower\Proposal\make%20BQ\makeBQ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WekaWeku\&#44208;&#49328;\exceldata\&#48176;&#48512;\98&#45380;\&#48176;&#48512;98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ep.hec.co.kr/PJT/BID/TIDCO/USER/PROPOSAL/PHC/BM/ACTIVITY.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JO9707.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06.AZITO\03.&#50696;&#49328;\03.&#49892;&#54665;&#50696;&#49328;\&#44277;&#53685;&#48708;(&#44608;&#44592;&#50756;GJN)\&#44036;&#51217;&#48708;%20&#50696;&#49328;(&#44160;&#53664;,&#52572;&#51333;)_130628\Azito_&#44277;&#53685;&#48708;_&#50696;&#49328;_&#54200;&#49457;(&#54364;&#51456;&#54868;_&#49688;&#49885;)_&#54200;&#51665;_r.5(&#51649;&#51217;&#51064;&#50896;&#51228;&#50808;).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92.168.100.16\Documents%20and%20Settings\adana\Belgelerim\TOPRAKKALE-&#304;SKENDERUN(89+200-108+400)\HAK-T&#304;D(2.KISIM)\netbul\den\CPI201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Z8j7j0\hc2\HOFFICE\TMP\~TMP2494.$$$\pump.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wezo\ms275\CB06%20Bid\TNBDISK\P_ELEC.XLS"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44277;&#49324;&#48708;%20&#45236;&#50669;%20(&#44032;)"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My%20Documents\DATA\BATAAN\&#44036;&#51217;&#48708;\&#49324;&#50629;&#44228;&#5492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HDLAN\HDEC30\CACHE\EXCEL\&#44036;&#51217;&#48708;Z.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HDECGTY-HO.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iraq-power\price\IRAQ%20Gas%20Turbine\&#51077;&#52272;_0401\&#52509;&#44292;&#54364;\&#44036;&#51217;&#48708;T4.xls"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Project/New%20Ethane-Kuwait/From%20HEC/1105-01/KNPC-1105-CV-&#50808;&#48512;BOQ.xls" TargetMode="External"/><Relationship Id="rId1" Type="http://schemas.openxmlformats.org/officeDocument/2006/relationships/externalLinkPath" Target="/Project/New%20Ethane-Kuwait/From%20HEC/1105-01/KNPC-1105-CV-&#50808;&#48512;BOQ.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Project/New%20Ethane-Kuwait/Cost/Ali%20Alghanim(General)/1101/Annex%203%20-%20Price%20Tables(OSBL_Pipeline_Civil_Bldg)%20REV3.xls" TargetMode="External"/><Relationship Id="rId1" Type="http://schemas.openxmlformats.org/officeDocument/2006/relationships/externalLinkPath" Target="/Project/New%20Ethane-Kuwait/Cost/Ali%20Alghanim(General)/1101/Annex%203%20-%20Price%20Tables(OSBL_Pipeline_Civil_Bldg)%20REV3.xls"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Project/New%20Ethane-Kuwait/Cost/00%20Cost%20Evaluation/Final/General%20Civil/Al%20Bahar%20Cost.xls" TargetMode="External"/><Relationship Id="rId1" Type="http://schemas.openxmlformats.org/officeDocument/2006/relationships/externalLinkPath" Target="/Project/New%20Ethane-Kuwait/Cost/00%20Cost%20Evaluation/Final/General%20Civil/Al%20Bahar%20Cost.xls"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Project/New%20Ethane-Kuwait/Cost/Al%20Hamra(Pipeline&#51228;&#50808;)/Al%20Hamra.xls" TargetMode="External"/><Relationship Id="rId1" Type="http://schemas.openxmlformats.org/officeDocument/2006/relationships/externalLinkPath" Target="/Project/New%20Ethane-Kuwait/Cost/Al%20Hamra(Pipeline&#51228;&#50808;)/Al%20Hamra.xls"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Project/New%20Ethane-Kuwait/Cost/Mushrif%20Trading%20&amp;%20Contracting%20Co/Annex%203%20-%20Price%20Tables(OSBL_Pipeline_Civil_Bldg)%20-Email(USD).xls" TargetMode="External"/><Relationship Id="rId1" Type="http://schemas.openxmlformats.org/officeDocument/2006/relationships/externalLinkPath" Target="/Project/New%20Ethane-Kuwait/Cost/Mushrif%20Trading%20&amp;%20Contracting%20Co/Annex%203%20-%20Price%20Tables(OSBL_Pipeline_Civil_Bldg)%20-Email(USD).xls"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Project/New%20Ethane-Kuwait/Cost/NBTC/HYUNDAI%20Annex%203%20-%20Price%20Tables(OSBL_Civil_Bldg).xls" TargetMode="External"/><Relationship Id="rId1" Type="http://schemas.openxmlformats.org/officeDocument/2006/relationships/externalLinkPath" Target="/Project/New%20Ethane-Kuwait/Cost/NBTC/HYUNDAI%20Annex%203%20-%20Price%20Tables(OSBL_Civil_Bldg).xls"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Project/New%20Ethane-Kuwait/Cost/00%20Cost%20Evaluation/Final/Dem%20and%20Siteprep/Khalifa%20Daij.xls" TargetMode="External"/><Relationship Id="rId1" Type="http://schemas.openxmlformats.org/officeDocument/2006/relationships/externalLinkPath" Target="/Project/New%20Ethane-Kuwait/Cost/00%20Cost%20Evaluation/Final/Dem%20and%20Siteprep/Khalifa%20Daij.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JMBNW04\DATA\MC_KI\E_MAIL\WK16.XLS"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Documents%20and%20Settings/1000850/Local%20Settings/Temporary%20Internet%20Files/Content.Outlook/S968B007/RSHT%232_Material%20Cost%20Rev%200_100621%20(2).xls" TargetMode="External"/><Relationship Id="rId1" Type="http://schemas.openxmlformats.org/officeDocument/2006/relationships/externalLinkPath" Target="/Documents%20and%20Settings/1000850/Local%20Settings/Temporary%20Internet%20Files/Content.Outlook/S968B007/RSHT%232_Material%20Cost%20Rev%200_100621%20(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Teknikofis\c\K-A-M-&#304;-L\TA&#350;-ER-ON\Denge\DENGEHK9.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92.168.100.16\Documents%20and%20Settings\adana\Belgelerim\&#199;UKURK&#214;PR&#220;-KAD&#304;RL&#304;%20YOLU\HAKED&#304;&#350;(&#199;UKURK&#214;PR&#220;)\netbul\den\CPI2010.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E:\HDLAN\HDEC30\CACHE\&#44036;&#51217;&#48708;\phillip\&#51649;&#50896;&#46041;&#50896;.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11cpm&#52572;&#51221;&#50864;\EM&#44368;&#50977;\&#51077;&#52272;&#54408;&#51032;&#49436;\LBO\LBO%20PROJECT_201005014(&#49324;&#51109;&#45784;&#44208;&#51228;&#48376;).xlsm"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W:\WDATA\MIKEL\FOXTROT\RC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W:\MIKEL\TCHIBOUE\STD59_1.XLS"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Project/New%20Ethane-Kuwait/From%20HEC/1105/OSBL-1105.xls" TargetMode="External"/><Relationship Id="rId1" Type="http://schemas.openxmlformats.org/officeDocument/2006/relationships/externalLinkPath" Target="/Project/New%20Ethane-Kuwait/From%20HEC/1105/OSBL-1105.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ep.hec.co.kr/PJT/BID/TIDCO/LHC/BM/ACTIVIT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05_DUQM\03.%20General\00.%20&#51077;&#52272;&#54408;&#51032;&#49436;\&#51077;&#52272;&#54408;&#51032;&#49436;_Duqm_R6.xlsm"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Hdest\Mepss\ESTIMATE\&#44592;&#51456;\&#44060;&#47029;&#44204;&#51201;\APTDATA\&#44396;&#51032;33&#44256;.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92.168.100.16\Documents%20and%20Settings\adana\Belgelerim\TOPRAKKALE-&#304;SKENDERUN(108+400-125+400)\HAKED&#304;&#350;(AYC-3.KISIM)\netbul\den\CPI2010.xls" TargetMode="External"/></Relationships>
</file>

<file path=xl/externalLinks/_rels/externalLink112.xml.rels><?xml version="1.0" encoding="UTF-8" standalone="yes"?>
<Relationships xmlns="http://schemas.openxmlformats.org/package/2006/relationships"><Relationship Id="rId2" Type="http://schemas.openxmlformats.org/officeDocument/2006/relationships/externalLinkPath" Target="../../Project/New%20Ethane-Kuwait/Cost/00%20Cost%20Evaluation/Final/Dem%20and%20Siteprep/Associated%20Const.xls" TargetMode="External"/><Relationship Id="rId1" Type="http://schemas.openxmlformats.org/officeDocument/2006/relationships/externalLinkPath" Target="/Project/New%20Ethane-Kuwait/Cost/00%20Cost%20Evaluation/Final/Dem%20and%20Siteprep/Associated%20Const.xls"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Project/New%20Ethane-Kuwait/Cost/00%20Cost%20Evaluation/Final/Al%20Bahar%20Cost.xls" TargetMode="External"/><Relationship Id="rId1" Type="http://schemas.openxmlformats.org/officeDocument/2006/relationships/externalLinkPath" Target="/Project/New%20Ethane-Kuwait/Cost/00%20Cost%20Evaluation/Final/Al%20Bahar%20Cost.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48177;&#54868;&#49440;\D\project\pc0840\SPEC\BM-PC084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rva033\haw-com$\DOCUME~1\radawieh\LOCALS~1\Temp\BQ_FWBS6000_GrA%20Temp.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Techoff_02\C\My%20Documents\DOCS\ACTIVE-P\Suez%20Gulf\Suez%20steel\OHF~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44608;&#54788;&#52380;\&#44608;&#54788;&#52380;\My%20Documents\Estimation%20Information\&#47932;&#47049;&#49328;&#52636;%20&#48143;%20&#44204;&#51201;&#51088;&#47308;\BQ%20Calc%20Sheet(Pipe).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Plnt&#44277;&#50857;333\Plnt-Mech\1.%20&#51077;&#52272;%20&#54532;&#47196;&#51229;&#53944;\03.%20Ruwais%20Refinery%20Expansion%20Project,%20UAE\02.%20&#51088;&#51116;&#48708;\A)%20&#44288;&#47144;&#51088;&#47308;\Equipment%20List\RREPKG1%20-%20Equipment%20List_YJ.xls" TargetMode="External"/></Relationships>
</file>

<file path=xl/externalLinks/_rels/externalLink119.xml.rels><?xml version="1.0" encoding="UTF-8" standalone="yes"?>
<Relationships xmlns="http://schemas.openxmlformats.org/package/2006/relationships"><Relationship Id="rId2" Type="http://schemas.openxmlformats.org/officeDocument/2006/relationships/externalLinkPath" Target="../../ydj/&#48376;&#49324;&#44204;&#51201;/&#46748;&#47476;&#45124;/&#51105;&#46041;&#49324;&#45768;/&#49884;&#54665;&#44552;&#50529;.xls" TargetMode="External"/><Relationship Id="rId1" Type="http://schemas.openxmlformats.org/officeDocument/2006/relationships/externalLinkPath" Target="/ydj/&#48376;&#49324;&#44204;&#51201;/&#46748;&#47476;&#45124;/&#51105;&#46041;&#49324;&#45768;/&#49884;&#54665;&#44552;&#50529;.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HDLAN\97&#49324;&#50629;&#44228;.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HDLAN\97&#49324;&#50629;&#44228;.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wserver\project\T9602\XLS\INCHON.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A:\MATT\VC1&amp;2%20C5248D%209.98.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Main\group\Sohar%20Refinery%20Proposal\sbdg2002.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MSOFFICE\EXCEL\CUCCHI\PTF_SEA.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1my&#50577;&#51652;&#49437;\Vietnam%20PP\Q_ACE_&#50629;&#47924;\WBS\Engineering_WBS_em&#49900;&#54868;&#44284;&#51221;&#49569;&#48512;&#50857;_&#49688;&#5122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A:\SS-232%20&#50696;&#49328;&#49436;(USD)(Rev.2)(12.11).xls" TargetMode="External"/></Relationships>
</file>

<file path=xl/externalLinks/_rels/externalLink128.xml.rels><?xml version="1.0" encoding="UTF-8" standalone="yes"?>
<Relationships xmlns="http://schemas.openxmlformats.org/package/2006/relationships"><Relationship Id="rId2" Type="http://schemas.openxmlformats.org/officeDocument/2006/relationships/externalLinkPath" Target="../../Documents%20and%20Settings/0701001/My%20Documents/1.%20WASIT/&#51109;&#48708;/WASIT-&#51109;&#48708;&#45800;&#44032;%20rev.5.xlsx" TargetMode="External"/><Relationship Id="rId1" Type="http://schemas.openxmlformats.org/officeDocument/2006/relationships/externalLinkPath" Target="/Documents%20and%20Settings/0701001/My%20Documents/1.%20WASIT/&#51109;&#48708;/WASIT-&#51109;&#48708;&#45800;&#44032;%20rev.5.xlsx" TargetMode="External"/></Relationships>
</file>

<file path=xl/externalLinks/_rels/externalLink129.xml.rels><?xml version="1.0" encoding="UTF-8" standalone="yes"?>
<Relationships xmlns="http://schemas.openxmlformats.org/package/2006/relationships"><Relationship Id="rId2" Type="http://schemas.openxmlformats.org/officeDocument/2006/relationships/externalLinkPath" Target="../../4th%20LPG/&#44036;&#51217;&#48708;,wagerate,&#51109;&#48708;&#48708;/CDU%20&#44036;&#51217;&#48708;/RRE%20-%20CDU%20&#44036;&#51217;&#48708;%20rev.1.xls" TargetMode="External"/><Relationship Id="rId1" Type="http://schemas.openxmlformats.org/officeDocument/2006/relationships/externalLinkPath" Target="/4th%20LPG/&#44036;&#51217;&#48708;,wagerate,&#51109;&#48708;&#48708;/CDU%20&#44036;&#51217;&#48708;/RRE%20-%20CDU%20&#44036;&#51217;&#48708;%20rev.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F:\LEEBK\JBL%20K-BOQ-piping.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dfile\weka\JYC\&#50756;&#44277;&#48120;&#5366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Z:\DEP.PEARL%20GTL_C5_LPU_ETUDE\20.PRT-%20OES\0A%20-%20GENERAL\01%20-%20TCC%20&amp;%20TCT\Quotation%20Summary%20Analysis-EQP02b.xls" TargetMode="External"/></Relationships>
</file>

<file path=xl/externalLinks/_rels/externalLink133.xml.rels><?xml version="1.0" encoding="UTF-8" standalone="yes"?>
<Relationships xmlns="http://schemas.openxmlformats.org/package/2006/relationships"><Relationship Id="rId2" Type="http://schemas.openxmlformats.org/officeDocument/2006/relationships/externalLinkPath" Target="../../Documents%20and%20Settings/1000850/&#48148;&#53461;%20&#54868;&#47732;/&#48373;&#49324;&#48376;%20NSRP-MSR-Rotating.xls" TargetMode="External"/><Relationship Id="rId1" Type="http://schemas.openxmlformats.org/officeDocument/2006/relationships/externalLinkPath" Target="/Documents%20and%20Settings/1000850/&#48148;&#53461;%20&#54868;&#47732;/&#48373;&#49324;&#48376;%20NSRP-MSR-Rotating.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E:\Data\Insa\&#44277;&#47928;\YJSB\1997\TEST\seacobud.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E:\ACCT\YJSB\YJSB1997\BUDGET%20FY%2098.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TAX%20TABEL.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51060;&#49569;\REHMAT\My%20Documents\Pha%20Lai\HVAC\North%20HVAC%20Drawings\North%20Submittals%20to%20Boston\PL2-BP-NO-SW-100014\PHALAIDUCT%20.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JABON&#52628;&#44032;&#50857;&#50669;\Betara&#51077;&#52272;&#44204;&#51201;&#49436;_&#50896;&#48376;.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192.168.100.16\4subat\belgeler\YAKLA&#350;IK%20MALYT\2008\KAHRAMANMARA&#350;\KAHRAMANMARA&#350;%20G&#214;KSUN%20YOLU\netbul\den\CPI2010.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192.168.100.16\Documents%20and%20Settings\adana\Belgelerim\FEKE-H&#304;MMETL&#304;K&#214;Y-SA&#304;MBEYL&#304;\HAKED&#304;&#350;-FHS(T&#220;MAZ%20&#304;N&#350;)\netbul\den\CPI2010.xls" TargetMode="External"/></Relationships>
</file>

<file path=xl/externalLinks/_rels/externalLink141.xml.rels><?xml version="1.0" encoding="UTF-8" standalone="yes"?>
<Relationships xmlns="http://schemas.openxmlformats.org/package/2006/relationships"><Relationship Id="rId2" Type="http://schemas.openxmlformats.org/officeDocument/2006/relationships/externalLinkPath" Target="../../SOUTH/C4B/ABAD%20CIVIL%20C4B%20-3%20%20Ver.2.xls" TargetMode="External"/><Relationship Id="rId1" Type="http://schemas.openxmlformats.org/officeDocument/2006/relationships/externalLinkPath" Target="/SOUTH/C4B/ABAD%20CIVIL%20C4B%20-3%20%20Ver.2.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92.168.100.16\Documents%20and%20Settings\Administrator\Belgelerim\suhan\vasita%20hakedi&#351;\netbul\den\CPI2010.xls" TargetMode="External"/></Relationships>
</file>

<file path=xl/externalLinks/_rels/externalLink143.xml.rels><?xml version="1.0" encoding="UTF-8" standalone="yes"?>
<Relationships xmlns="http://schemas.openxmlformats.org/package/2006/relationships"><Relationship Id="rId2" Type="http://schemas.openxmlformats.org/officeDocument/2006/relationships/externalLinkPath" Target="../../users-data/saf002016/My%20Documents/Mes%20Fichiers/Etudes/SAISA05330%20Ogbainbiri%20Tebidaba%20Up%20Grade/001%20-%20ETUDE/FDM%20Ogbainbiri%20&amp;%20Tebidaba%20Rev%208.xls" TargetMode="External"/><Relationship Id="rId1" Type="http://schemas.openxmlformats.org/officeDocument/2006/relationships/externalLinkPath" Target="/users-data/saf002016/My%20Documents/Mes%20Fichiers/Etudes/SAISA05330%20Ogbainbiri%20Tebidaba%20Up%20Grade/001%20-%20ETUDE/FDM%20Ogbainbiri%20&amp;%20Tebidaba%20Rev%208.xls" TargetMode="External"/></Relationships>
</file>

<file path=xl/externalLinks/_rels/externalLink144.xml.rels><?xml version="1.0" encoding="UTF-8" standalone="yes"?>
<Relationships xmlns="http://schemas.openxmlformats.org/package/2006/relationships"><Relationship Id="rId2" Type="http://schemas.openxmlformats.org/officeDocument/2006/relationships/externalLinkPath" Target="../../Project/NC41/&#45800;&#44032;&#49328;&#51221;/costing/SC1&amp;2&amp;3%20BASE.xls" TargetMode="External"/><Relationship Id="rId1" Type="http://schemas.openxmlformats.org/officeDocument/2006/relationships/externalLinkPath" Target="/Project/NC41/&#45800;&#44032;&#49328;&#51221;/costing/SC1&amp;2&amp;3%20BASE.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MIKEL\ARGO\ETUDEPC3.XLS" TargetMode="External"/></Relationships>
</file>

<file path=xl/externalLinks/_rels/externalLink146.xml.rels><?xml version="1.0" encoding="UTF-8" standalone="yes"?>
<Relationships xmlns="http://schemas.openxmlformats.org/package/2006/relationships"><Relationship Id="rId2" Type="http://schemas.openxmlformats.org/officeDocument/2006/relationships/externalLinkPath" Target="../../HDEC/PLNT/PROJECT/Middle_East/QATAR/QPMP/03)_Commercial%20Proposal/B)_Indirect%20Cost/02_Indirect%20Cost%20PKG_Subcontractor/Modified%20Manning%20Plan/QPMP_Indirect%20Cost_Subcon_Summary_Final.xlsx" TargetMode="External"/><Relationship Id="rId1" Type="http://schemas.openxmlformats.org/officeDocument/2006/relationships/externalLinkPath" Target="/HDEC/PLNT/PROJECT/Middle_East/QATAR/QPMP/03)_Commercial%20Proposal/B)_Indirect%20Cost/02_Indirect%20Cost%20PKG_Subcontractor/Modified%20Manning%20Plan/QPMP_Indirect%20Cost_Subcon_Summary_Final.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Wezo-ss\&#51473;&#46041;&#51648;&#50669;\HDLAN\97&#49324;&#50629;&#44228;.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MATT\VC1&amp;2%20C5248D%208.98.xls" TargetMode="External"/></Relationships>
</file>

<file path=xl/externalLinks/_rels/externalLink149.xml.rels><?xml version="1.0" encoding="UTF-8" standalone="yes"?>
<Relationships xmlns="http://schemas.openxmlformats.org/package/2006/relationships"><Relationship Id="rId2" Type="http://schemas.openxmlformats.org/officeDocument/2006/relationships/externalLinkPath" Target="../../4th%20LPG/&#44036;&#51217;&#48708;,wagerate,&#51109;&#48708;&#48708;/LPG4%20&#44036;&#51217;&#48708;/LPG4_Indirect%20Cost_REV.6.xlsx" TargetMode="External"/><Relationship Id="rId1" Type="http://schemas.openxmlformats.org/officeDocument/2006/relationships/externalLinkPath" Target="/4th%20LPG/&#44036;&#51217;&#48708;,wagerate,&#51109;&#48708;&#48708;/LPG4%20&#44036;&#51217;&#48708;/LPG4_Indirect%20Cost_REV.6.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A:\97STD\&#47928;&#49436;&#50577;&#49885;.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G:\Aone(&#51077;&#52272;)\&#49324;&#50629;&#44228;&#54925;\&#49324;&#50629;&#44228;&#54925;REV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h:\01045\BOQ\ITB%20&#49688;&#51221;%20&#52572;&#51333;\ITB.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KIJO\&#44221;&#50689;&#48516;&#49437;\F&#51068;&#48152;&#44288;&#47532;\01&#50696;&#49328;&#54200;&#49457;\99&#50696;&#49328;\&#50896;&#45800;&#50948;&#51088;&#47308;2xls.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h:\KIJO\&#44221;&#50689;&#48516;&#49437;\F&#51068;&#48152;&#44288;&#47532;\01&#50696;&#49328;&#54200;&#49457;\99&#50696;&#49328;\&#50896;&#45800;&#50948;&#51088;&#47308;2xls.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11cpm&#52572;&#51221;&#50864;\Documents%20and%20Settings\user\&#48148;&#53461;%20&#54868;&#47732;\&#50629;&#47924;\IRPC\&#54408;&#51032;&#49436;\IRPC_a39.xlsm"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Documents%20and%20Settings/1101275/Application%20Data/Microsoft/Excel/ZOFD/000.ZOFD_FINAL_KS/&#44036;&#51217;&#48708;/ZOFD_&#44036;&#51217;&#48708;_NORTH_RP_rev.1%20FINAL.xlsx" TargetMode="External"/><Relationship Id="rId1" Type="http://schemas.openxmlformats.org/officeDocument/2006/relationships/externalLinkPath" Target="/Documents%20and%20Settings/1101275/Application%20Data/Microsoft/Excel/ZOFD/000.ZOFD_FINAL_KS/&#44036;&#51217;&#48708;/ZOFD_&#44036;&#51217;&#48708;_NORTH_RP_rev.1%20FINAL.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Mozambique\&#51077;&#52272;\&#44036;&#51217;&#48708;\&#53440;&#44277;&#49324;%20&#51088;&#47308;\&#48373;&#49324;&#48376;%20&#44036;&#51217;&#48708;%20CP-004.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G:\1\&#50629;&#47924;\&#50629;&#47924;\&#44592;&#53440;&#50629;&#47924;\&#48372;&#44256;\2001%20&#49373;&#49328;&#49457;\&#44284;&#45380;&#46020;%20&#54788;&#51109;&#48324;%20&#49373;&#49328;&#49457;%20finish.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C:\Users\0200682\AppData\Local\Microsoft\Windows\Temporary%20Internet%20Files\Content.Outlook\2COYJ0ZL\140419%20&#49892;&#54665;&#50696;&#49328;\01%20&#51064;&#47141;&#46041;&#50896;&#44228;&#54925;\00%20&#53440;&#54788;&#51109;&#49368;&#54540;\TIPO%20&#44032;&#49444;&#50696;&#49328;_&#49345;&#49464;%20&#45236;&#50669;_20140710.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C:\Users\HelpDesk\Desktop\&#51064;&#44148;&#48708;%20&#52280;&#44256;%20&#51088;&#47308;\&#44540;&#47196;&#49884;&#44036;%20&#54872;&#49328;%20&#44228;&#49328;&#44592;\Wage_Hours_Culuration.xls" TargetMode="External"/></Relationships>
</file>

<file path=xl/externalLinks/_rels/externalLink162.xml.rels><?xml version="1.0" encoding="UTF-8" standalone="yes"?>
<Relationships xmlns="http://schemas.openxmlformats.org/package/2006/relationships"><Relationship Id="rId2" Type="http://schemas.openxmlformats.org/officeDocument/2006/relationships/externalLinkPath" Target="../../Users/HelpDesk/Desktop/&#51064;&#44148;&#48708;%20&#52280;&#44256;%20&#51088;&#47308;/&#44540;&#47196;&#49884;&#44036;%20&#54872;&#49328;%20&#44228;&#49328;&#44592;/Wage_Hours_Culuration.xls" TargetMode="External"/><Relationship Id="rId1" Type="http://schemas.openxmlformats.org/officeDocument/2006/relationships/externalLinkPath" Target="/Users/HelpDesk/Desktop/&#51064;&#44148;&#48708;%20&#52280;&#44256;%20&#51088;&#47308;/&#44540;&#47196;&#49884;&#44036;%20&#54872;&#49328;%20&#44228;&#49328;&#44592;/Wage_Hours_Culuratio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exceldata\&#48176;&#48512;\96&#45380;\&#48176;&#48512;96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WEZO\plan\9624\&#49324;&#50629;&#52628;&#5122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Mainofc018\My%20Documents\DATA\XLS\&#44256;&#51221;&#51088;&#49328;\&#44208;&#49328;\9744\&#44277;&#47928;9712.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A:\WINDOWS\TEMP\NC8376C5.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9071037\c\WINDOWS\&#48148;&#53461;%20&#54868;&#47732;\&#45236;%20&#49436;&#47448;%20&#44032;&#48169;\97&#44368;&#50977;&#44228;&#5492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MIGA&#44608;&#44305;&#49688;\&#49340;&#49457;%20TOWER%20P\KBLEE\&#44592;&#53440;\&#54364;&#51456;\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C:\CHLEE\&#51060;&#52824;&#54732;\MR.&#44608;&#49437;&#52384;\&#44396;&#51312;&#47932;&#52397;&#49328;&#47932;&#47049;&#51221;&#4753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h:\exceldata\&#48176;&#48512;\97&#45380;\&#48176;&#48512;9712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NGL-4&#44600;&#52285;&#50857;\PJT%20CONTROL\phalai\&#44036;&#51217;&#48708;\EXCEL\&#44036;&#51217;&#48708;Z.XLS" TargetMode="External"/></Relationships>
</file>

<file path=xl/externalLinks/_rels/externalLink173.xml.rels><?xml version="1.0" encoding="UTF-8" standalone="yes"?>
<Relationships xmlns="http://schemas.openxmlformats.org/package/2006/relationships"><Relationship Id="rId2" Type="http://schemas.openxmlformats.org/officeDocument/2006/relationships/externalLinkPath" Target="../../Overseas_tech/01-Infra1%20&#54016;/1000-&#51089;&#50629;/A.&#44277;&#53685;/510-&#49324;&#50629;&#44228;&#54925;/&#49324;&#50629;&#44228;&#54925;(2012&#45380;)/WIN95/TEMP/&#48512;&#45824;&#49436;&#47448;.XLS" TargetMode="External"/><Relationship Id="rId1" Type="http://schemas.openxmlformats.org/officeDocument/2006/relationships/externalLinkPath" Target="/Overseas_tech/01-Infra1%20&#54016;/1000-&#51089;&#50629;/A.&#44277;&#53685;/510-&#49324;&#50629;&#44228;&#54925;/&#49324;&#50629;&#44228;&#54925;(2012&#45380;)/WIN95/TEMP/&#48512;&#45824;&#49436;&#47448;.XLS" TargetMode="External"/></Relationships>
</file>

<file path=xl/externalLinks/_rels/externalLink174.xml.rels><?xml version="1.0" encoding="UTF-8" standalone="yes"?>
<Relationships xmlns="http://schemas.openxmlformats.org/package/2006/relationships"><Relationship Id="rId2" Type="http://schemas.openxmlformats.org/officeDocument/2006/relationships/externalLinkPath" Target="../../Documents%20and%20Settings/1111842/Local%20Settings/Temporary%20Internet%20Files/Content.Outlook/WUTHO5V9/&#45380;&#47568;&#51064;&#49324;&#51088;&#47308;/01.2012&#45380;&#47568;&#51064;&#49324;%20(2013&#45380;&#46020;%20&#51312;&#51649;%20&#48143;%20&#51076;&#51649;&#50896;%20&#51064;&#49324;)/03.&#9733;&#48372;&#44256;&#49436;%20&#51089;&#49457;/7&#52264;%20&#51089;&#50629;/03.&#51064;&#49324;&#48156;&#47161;&#51648;,%20&#48372;&#51649;&#51076;&#47732;%20&#54408;&#51032;,%20&#51076;&#50896;&#50672;&#48393;%20&#51088;&#47308;%20&#51089;&#49457;/&#51076;&#50896;&#54788;&#54889;(&#51064;&#49324;&#48156;&#47161;&#51648;,%20&#54788;&#54889;,%20&#50672;&#48393;).xlsx" TargetMode="External"/><Relationship Id="rId1" Type="http://schemas.openxmlformats.org/officeDocument/2006/relationships/externalLinkPath" Target="/Documents%20and%20Settings/1111842/Local%20Settings/Temporary%20Internet%20Files/Content.Outlook/WUTHO5V9/&#45380;&#47568;&#51064;&#49324;&#51088;&#47308;/01.2012&#45380;&#47568;&#51064;&#49324;%20(2013&#45380;&#46020;%20&#51312;&#51649;%20&#48143;%20&#51076;&#51649;&#50896;%20&#51064;&#49324;)/03.&#9733;&#48372;&#44256;&#49436;%20&#51089;&#49457;/7&#52264;%20&#51089;&#50629;/03.&#51064;&#49324;&#48156;&#47161;&#51648;,%20&#48372;&#51649;&#51076;&#47732;%20&#54408;&#51032;,%20&#51076;&#50896;&#50672;&#48393;%20&#51088;&#47308;%20&#51089;&#49457;/&#51076;&#50896;&#54788;&#54889;(&#51064;&#49324;&#48156;&#47161;&#51648;,%20&#54788;&#54889;,%20&#50672;&#48393;).xlsx"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E:\ACCT\YJSB\YJSB2000\2000&#45380;&#50696;&#49328;.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Mozambique\&#51077;&#52272;\&#44036;&#51217;&#48708;\&#51088;&#47308;\&#48373;&#49324;&#48376;%20&#44036;&#51217;&#48708;%20CP-004.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2572;&#50689;&#51452;\2000\007&#44277;&#44277;&#44592;&#44288;&#51452;&#48320;&#45433;&#54868;&#49324;&#50629;\&#45225;&#54408;&#46020;&#49436;1129\&#45433;&#54868;&#49324;&#50629;-&#49884;&#47549;&#48149;&#47932;&#44288;.xls" TargetMode="External"/></Relationships>
</file>

<file path=xl/externalLinks/_rels/externalLink178.xml.rels><?xml version="1.0" encoding="UTF-8" standalone="yes"?>
<Relationships xmlns="http://schemas.openxmlformats.org/package/2006/relationships"><Relationship Id="rId2" Type="http://schemas.openxmlformats.org/officeDocument/2006/relationships/externalLinkPath" Target="../../Overseas_tech/01-Infra1%20&#54016;/1000-&#51089;&#50629;/A.&#44277;&#53685;/510-&#49324;&#50629;&#44228;&#54925;/&#49324;&#50629;&#44228;&#54925;(2012&#45380;)/&#48149;&#51648;&#50896;&#51089;&#50629;/PROJECT/&#49324;&#51204;&#44277;&#49324;/&#48516;&#45817;&#50556;&#53457;/1&#52264;&#44208;&#51116;/PJW/FORM/APT/SUM-PLT.XLS" TargetMode="External"/><Relationship Id="rId1" Type="http://schemas.openxmlformats.org/officeDocument/2006/relationships/externalLinkPath" Target="/Overseas_tech/01-Infra1%20&#54016;/1000-&#51089;&#50629;/A.&#44277;&#53685;/510-&#49324;&#50629;&#44228;&#54925;/&#49324;&#50629;&#44228;&#54925;(2012&#45380;)/&#48149;&#51648;&#50896;&#51089;&#50629;/PROJECT/&#49324;&#51204;&#44277;&#49324;/&#48516;&#45817;&#50556;&#53457;/1&#52264;&#44208;&#51116;/PJW/FORM/APT/SUM-PLT.XLS" TargetMode="External"/></Relationships>
</file>

<file path=xl/externalLinks/_rels/externalLink179.xml.rels><?xml version="1.0" encoding="UTF-8" standalone="yes"?>
<Relationships xmlns="http://schemas.openxmlformats.org/package/2006/relationships"><Relationship Id="rId2"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jerry/&#50629;&#47924;&#44060;&#49440;/&#44036;&#51217;&#47581;/&#44144;&#51216;&#44288;&#47532;/&#44053;&#50896;&#44428;/&#52632;&#52380;&#44160;&#53664;.xls" TargetMode="External"/><Relationship Id="rId1"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jerry/&#50629;&#47924;&#44060;&#49440;/&#44036;&#51217;&#47581;/&#44144;&#51216;&#44288;&#47532;/&#44053;&#50896;&#44428;/&#52632;&#52380;&#44160;&#53664;.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STBS&#51221;&#50896;&#50689;\C\My%20Documents\KHDATA\&#44288;&#47532;&#52397;\&#50896;&#45224;-&#50872;&#51652;\&#50896;&#45224;&#50872;&#51652;&#45209;&#52272;&#45236;&#50669;(99.4.13%20&#48512;&#49328;&#52397;).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54889;&#54805;&#44540;\MY%20DOCUMENTS\UNIWIN98\DOWN\&#45817;&#51652;&#54868;&#47141;1.2&#51204;&#49440;&#44288;&#51217;&#51648;4&#52264;&#44277;&#49324;&#45236;&#50669;&#49436;(&#44049;).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h:\&#50641;&#49472;%20DATA\97&#50696;&#49328;\&#50896;&#45800;&#50948;&#51088;&#47308;\&#51064;&#5089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http://ep.hec.co.kr/upload/mail/199932259_20030714124030/DATA/&#51333;&#44592;&#49892;/&#50900;&#48324;&#49892;&#51201;/97&#44208;&#49328;.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kizo&#54861;&#54788;&#49457;d\&#53664;&#47785;&#44277;&#50976;\Documents%20and%20Settings\9900546\Local%20Settings\Temp\_AZTMP1_\a_bidboland\a_dolphin\BOQ\0712_&#52572;&#51333;_DolphinBOQ\a_Salman\REVsalman&#45236;&#48512;civilBOQ(1208)\REVsalman&#45236;&#48512;civilBOQ(1208).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66.12.116.175\common%20folder\&#44277;&#49324;%20&#50504;&#48373;&#51456;\PROPOSAL&#50629;&#47924;\QATARPJT\&#53664;.&#44148;.&#52384;.&#44277;&#49324;&#48708;&#49328;&#52636;\PC1127&#52509;&#44277;&#49324;&#48708;\&#49892;&#51228;&#51077;&#47141;\PC1127%20&#52509;&#44277;&#49324;&#48708;_040423_Rev.0_&#51204;&#44277;&#51333;.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66.12.116.175\common%20folder\&#44277;&#50976;\abc.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http://notes.skec.co.kr/&#44053;&#46041;&#54785;/&#44148;&#52629;/&#52392;&#45800;&#50672;&#44396;&#46041;/PROPOSAL/ELEC/345KV/EULJOO/EUL.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ZOKI&#51076;&#44221;&#52292;\C\&#51089;&#50629;&#51109;\99&#45380;&#49324;&#50629;&#44228;&#54925;\6&#50900;\99&#45380;&#54616;&#48152;&#44592;&#49688;&#51452;&#44228;&#54925;.xls" TargetMode="External"/></Relationships>
</file>

<file path=xl/externalLinks/_rels/externalLink189.xml.rels><?xml version="1.0" encoding="UTF-8" standalone="yes"?>
<Relationships xmlns="http://schemas.openxmlformats.org/package/2006/relationships"><Relationship Id="rId2"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1~ing/1&#54788;&#51116;%20&#51652;&#54665;&#51473;/0&#44553;&#50668;&#44288;&#47144;/&#48372;&#44256;&#51088;&#47308;/&#51076;&#44552;&#54788;&#54889;&#50577;&#49885;/1&#51076;&#44552;&#54788;&#54889;&#50577;&#49885;(&#50896;&#48376;)010610.xls" TargetMode="External"/><Relationship Id="rId1"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1~ing/1&#54788;&#51116;%20&#51652;&#54665;&#51473;/0&#44553;&#50668;&#44288;&#47144;/&#48372;&#44256;&#51088;&#47308;/&#51076;&#44552;&#54788;&#54889;&#50577;&#49885;/1&#51076;&#44552;&#54788;&#54889;&#50577;&#49885;(&#50896;&#48376;)010610.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G:\WINDOWS\TEMP\&#44036;&#51217;&#48708;_REV1.xls" TargetMode="External"/></Relationships>
</file>

<file path=xl/externalLinks/_rels/externalLink191.xml.rels><?xml version="1.0" encoding="UTF-8" standalone="yes"?>
<Relationships xmlns="http://schemas.openxmlformats.org/package/2006/relationships"><Relationship Id="rId2" Type="http://schemas.openxmlformats.org/officeDocument/2006/relationships/externalLinkPath" Target="../../14.Malaysia/1405.RAPID%232_Post/04.Cost%20Summary/&#44036;&#51217;&#48708;/Old/0.&#49340;&#49457;&#50577;&#49885;/(PO0217)%20Field%20Running%20Cost.xlsx" TargetMode="External"/><Relationship Id="rId1" Type="http://schemas.openxmlformats.org/officeDocument/2006/relationships/externalLinkPath" Target="/14.Malaysia/1405.RAPID%232_Post/04.Cost%20Summary/&#44036;&#51217;&#48708;/Old/0.&#49340;&#49457;&#50577;&#49885;/(PO0217)%20Field%20Running%20Cost.xlsx"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48149;&#51333;&#52384;1\A_PJC\KIA\&#50868;&#50689;&#50504;\&#44396;&#47588;&#44228;&#54925;\&#50868;&#50689;&#50504;\&#44396;&#47588;&#44228;&#54925;\WINDOWS\TEMP\&#54540;&#47116;\9711\LTD96\&#51060;&#51061;.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DWFS11\SYS\work98\&#49552;&#51061;\&#49552;&#51061;9801.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B:\&#51077;&#52272;&#49436;&#51064;.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A:\&#54217;&#44512;&#51064;&#50896;.95"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Mozambique\&#51077;&#52272;\&#44036;&#51217;&#48708;\&#44036;&#51217;&#48708;_&#44032;&#49444;,&#48512;&#45824;&#44277;&#53685;(mozam09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10TON"/>
      <sheetName val="TOWER 12TON"/>
      <sheetName val="JIB CRANE,HOIST"/>
      <sheetName val="유림골조"/>
      <sheetName val="공통부대비"/>
      <sheetName val="#REF"/>
      <sheetName val="견적의뢰서"/>
      <sheetName val="공사비대비표"/>
      <sheetName val="품의서"/>
      <sheetName val="건축"/>
      <sheetName val="34평형"/>
      <sheetName val="옵션대비"/>
      <sheetName val="파일공사(아파트)"/>
      <sheetName val="HOIST"/>
      <sheetName val="부대건축"/>
      <sheetName val="주차장(지하1층)"/>
      <sheetName val="파일공사(부대동)"/>
      <sheetName val="토목"/>
      <sheetName val="옥외"/>
      <sheetName val="Sheet6"/>
      <sheetName val="죽전2차공통비ALT-3"/>
      <sheetName val="JIB-CRANE,HOIST"/>
      <sheetName val="Sheet4"/>
      <sheetName val="Sheet5"/>
      <sheetName val="Sheet2"/>
      <sheetName val="Sheet3"/>
      <sheetName val="정부노임단가"/>
      <sheetName val="JIB CRANE_HOIST"/>
      <sheetName val="내역서"/>
      <sheetName val="입찰"/>
      <sheetName val="현경"/>
      <sheetName val="산출근거"/>
      <sheetName val="단가"/>
      <sheetName val="현장별 손익자료"/>
      <sheetName val="양식4-1)현장손익(월별)"/>
      <sheetName val="간선계산"/>
      <sheetName val="실행철강하도"/>
      <sheetName val="가로등"/>
      <sheetName val="산출내역서집계표"/>
      <sheetName val="DATA"/>
      <sheetName val="현장관리비 산출내역"/>
      <sheetName val="급여상승분석"/>
      <sheetName val="예산 대 실투입(안전제외)"/>
      <sheetName val="급여 상승현황"/>
      <sheetName val="중기"/>
      <sheetName val="주요공사"/>
      <sheetName val="수입"/>
      <sheetName val="공통비총괄표"/>
      <sheetName val="금융비용"/>
      <sheetName val="건축내역"/>
      <sheetName val="총괄"/>
      <sheetName val="TOWER_10TON1"/>
      <sheetName val="TOWER_12TON1"/>
      <sheetName val="JIB_CRANE,HOIST1"/>
      <sheetName val="JIB_CRANE_HOIST1"/>
      <sheetName val="현장별_손익자료"/>
      <sheetName val="TOWER_10TON"/>
      <sheetName val="TOWER_12TON"/>
      <sheetName val="JIB_CRANE,HOIST"/>
      <sheetName val="JIB_CRANE_HOIST"/>
      <sheetName val="VXXXXXXX"/>
      <sheetName val="1월"/>
      <sheetName val="5월"/>
      <sheetName val="AP1"/>
      <sheetName val="Sheet1"/>
      <sheetName val="TOWER_10TON2"/>
      <sheetName val="TOWER_12TON2"/>
      <sheetName val="JIB_CRANE,HOIST2"/>
      <sheetName val="JIB_CRANE_HOIST2"/>
      <sheetName val="현장별_손익자료1"/>
      <sheetName val="TOWER_10TON3"/>
      <sheetName val="TOWER_12TON3"/>
      <sheetName val="JIB_CRANE,HOIST3"/>
      <sheetName val="JIB_CRANE_HOIST3"/>
      <sheetName val="부산제일극장"/>
      <sheetName val="손익차9월2"/>
      <sheetName val="UnitList"/>
      <sheetName val="현장관리비_산출내역"/>
      <sheetName val="유림콘도"/>
      <sheetName val="M-EQPT-Z"/>
      <sheetName val="COST"/>
      <sheetName val="와동25-3(변경)"/>
      <sheetName val="공통비(전체)"/>
      <sheetName val="토목공사"/>
      <sheetName val="새공통(96임금인상기준)"/>
      <sheetName val="구의33고"/>
      <sheetName val="비교1"/>
      <sheetName val="유림총괄"/>
      <sheetName val="단가표"/>
      <sheetName val="내역표지"/>
      <sheetName val="견적의뢰"/>
      <sheetName val="SG"/>
      <sheetName val="보할"/>
      <sheetName val="공문"/>
      <sheetName val="cp-e1"/>
      <sheetName val="예가표"/>
      <sheetName val="프랜트면허"/>
      <sheetName val="단위가격"/>
      <sheetName val="목표세부명세"/>
      <sheetName val="차수"/>
      <sheetName val="복지비카메라"/>
      <sheetName val="Variables"/>
      <sheetName val="시장성초안camera"/>
      <sheetName val="경비2내역"/>
      <sheetName val="201동 산출근거"/>
      <sheetName val="철거산출근거"/>
      <sheetName val="노임이"/>
      <sheetName val="jobhist"/>
      <sheetName val="변경집계표"/>
      <sheetName val="설계조건"/>
      <sheetName val="3.공종별투자분석(천원)"/>
      <sheetName val="0226"/>
      <sheetName val="토목검측서"/>
      <sheetName val="4.2유효폭의 계산"/>
      <sheetName val="토사(PE)"/>
      <sheetName val="대로근거"/>
      <sheetName val="품셈TABLE"/>
      <sheetName val="교각계산"/>
      <sheetName val="★도급내역"/>
      <sheetName val="입찰안"/>
      <sheetName val="투입"/>
      <sheetName val="6PILE  (돌출)"/>
      <sheetName val="7.PILE  (돌출)"/>
      <sheetName val="현장배치"/>
      <sheetName val="밸브설치"/>
      <sheetName val="금액내역서"/>
      <sheetName val="CTEMCOST"/>
      <sheetName val="일위대가"/>
      <sheetName val="집계표"/>
      <sheetName val="assign"/>
      <sheetName val="Currency"/>
      <sheetName val="손익분석"/>
      <sheetName val="카"/>
      <sheetName val="P.M 별"/>
      <sheetName val="인력(현장,직원)"/>
      <sheetName val="데이타"/>
      <sheetName val="기준"/>
      <sheetName val="BQMPALOC"/>
      <sheetName val="회사99"/>
      <sheetName val="입찰내역 발주처 양식"/>
      <sheetName val="우수공"/>
      <sheetName val="총괄원가계산서"/>
      <sheetName val="TOWER_10TON4"/>
      <sheetName val="TOWER_12TON4"/>
      <sheetName val="JIB_CRANE,HOIST4"/>
      <sheetName val="JIB_CRANE_HOIST4"/>
      <sheetName val="현장별_손익자료2"/>
      <sheetName val="현장관리비_산출내역1"/>
      <sheetName val="예산_대_실투입(안전제외)"/>
      <sheetName val="급여_상승현황"/>
      <sheetName val="3_공종별투자분석(천원)"/>
      <sheetName val="4_2유효폭의_계산"/>
      <sheetName val="Eq. Mobilization"/>
      <sheetName val="부서 Code"/>
      <sheetName val="구간별관경"/>
      <sheetName val="9902"/>
      <sheetName val="수목표준대가"/>
      <sheetName val="DHEQSUPT"/>
      <sheetName val="대전-교대(A1-A2)"/>
      <sheetName val="공사기초자료"/>
      <sheetName val="회사기초자료"/>
      <sheetName val="DB"/>
      <sheetName val="물량표S"/>
      <sheetName val="Recap"/>
      <sheetName val="집계"/>
      <sheetName val="Macro7"/>
      <sheetName val="소비자가"/>
      <sheetName val="1TL종점(1)"/>
      <sheetName val="일위대가표"/>
      <sheetName val="냉천부속동"/>
      <sheetName val="2000년 공정표"/>
      <sheetName val="을지-내역서"/>
      <sheetName val="울산시산표"/>
      <sheetName val="loading"/>
      <sheetName val="화전내"/>
      <sheetName val="노무비"/>
      <sheetName val="RE9604"/>
      <sheetName val="코드표"/>
      <sheetName val="구분자"/>
      <sheetName val="INPUT"/>
      <sheetName val="입고현황(전체)"/>
      <sheetName val="건축내역서"/>
      <sheetName val="업무처리전"/>
      <sheetName val="부대tu"/>
      <sheetName val="검토내역(갑)"/>
      <sheetName val="형틀공사"/>
      <sheetName val="노임단가"/>
      <sheetName val="실행(표지,갑,을)"/>
      <sheetName val="연돌일위집계"/>
      <sheetName val="도급실행(본관-주차장)"/>
      <sheetName val="울산자동제어"/>
      <sheetName val="견적서"/>
      <sheetName val="수리결과"/>
      <sheetName val="일반부표"/>
      <sheetName val="UNIT-QT"/>
      <sheetName val="3-1.건축공사(내역서)"/>
      <sheetName val="코드"/>
      <sheetName val="6호기"/>
      <sheetName val="Assumption"/>
      <sheetName val="Sheet17"/>
      <sheetName val=""/>
      <sheetName val="사업수지"/>
      <sheetName val="적심사표"/>
      <sheetName val="청산공사"/>
      <sheetName val="지적항목분류"/>
      <sheetName val="B"/>
      <sheetName val="을"/>
      <sheetName val="24"/>
      <sheetName val="25"/>
      <sheetName val="26"/>
      <sheetName val="27"/>
      <sheetName val="28"/>
      <sheetName val="가시설흙막이"/>
      <sheetName val="정공공사"/>
      <sheetName val="간접경상비"/>
      <sheetName val="전기변내역"/>
      <sheetName val="D분개장데이타"/>
      <sheetName val="대운산출"/>
      <sheetName val="토목주소"/>
      <sheetName val="실행"/>
      <sheetName val="CAL1"/>
      <sheetName val="drum"/>
      <sheetName val="설계내역서"/>
      <sheetName val="철근단면적"/>
      <sheetName val="플랜트 설치"/>
      <sheetName val="PAINT"/>
      <sheetName val="(C)원내역"/>
      <sheetName val="갑지(추정)"/>
      <sheetName val="주관사업"/>
      <sheetName val="98지급계획"/>
      <sheetName val="병-2(PS)"/>
      <sheetName val="병-3(현장경비)"/>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Noname 21"/>
      <sheetName val="Noname 22"/>
      <sheetName val="Noname 23"/>
      <sheetName val="특수선일위대가"/>
      <sheetName val="시산표"/>
      <sheetName val="직접인건비"/>
      <sheetName val="공비대비"/>
      <sheetName val="직접경비"/>
      <sheetName val="배수내역"/>
      <sheetName val="RD제품개발투자비(매가)"/>
      <sheetName val="명부"/>
      <sheetName val="1062-X방향 "/>
      <sheetName val="자재단가"/>
      <sheetName val="9.품셈"/>
      <sheetName val="COVER"/>
      <sheetName val="Tenants"/>
      <sheetName val="갑지"/>
      <sheetName val="설산1.나"/>
      <sheetName val="본사S"/>
      <sheetName val="총괄표"/>
      <sheetName val="14 장비소요계획"/>
      <sheetName val="공사비증감"/>
      <sheetName val="01"/>
      <sheetName val="Macro(차단기)"/>
      <sheetName val="FAB별"/>
      <sheetName val="골조"/>
      <sheetName val="결과조달"/>
      <sheetName val="횡배수관집현황(2공구)"/>
      <sheetName val="간접비총괄"/>
      <sheetName val="총물량"/>
      <sheetName val="관리,공감"/>
      <sheetName val="대비표"/>
      <sheetName val="산근"/>
      <sheetName val="간접비"/>
      <sheetName val="은행"/>
      <sheetName val="기성내역"/>
      <sheetName val="chitimc"/>
      <sheetName val="dongia (2)"/>
      <sheetName val="LKVL-CK-HT-GD1"/>
      <sheetName val="giathanh1"/>
      <sheetName val="THPDMoi  (2)"/>
      <sheetName val="gtrinh"/>
      <sheetName val="phuluc1"/>
      <sheetName val="TONG HOP VL-NC"/>
      <sheetName val="lam-moi"/>
      <sheetName val="chitiet"/>
      <sheetName val="TONGKE3p "/>
      <sheetName val="Du_lieu"/>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전선 및 전선관"/>
      <sheetName val="Quantity"/>
      <sheetName val="송부용"/>
      <sheetName val="분전함신설"/>
      <sheetName val="접지1종"/>
      <sheetName val="TOWER_10TON5"/>
      <sheetName val="TOWER_12TON5"/>
      <sheetName val="JIB_CRANE,HOIST5"/>
      <sheetName val="JIB_CRANE_HOIST5"/>
      <sheetName val="현장별_손익자료3"/>
      <sheetName val="현장관리비_산출내역2"/>
      <sheetName val="예산_대_실투입(안전제외)1"/>
      <sheetName val="급여_상승현황1"/>
      <sheetName val="3_공종별투자분석(천원)1"/>
      <sheetName val="4_2유효폭의_계산1"/>
      <sheetName val="입찰내역_발주처_양식"/>
      <sheetName val="201동_산출근거"/>
      <sheetName val="6PILE__(돌출)"/>
      <sheetName val="부서_Code"/>
      <sheetName val="7_PILE__(돌출)"/>
      <sheetName val="P_M_별"/>
      <sheetName val="Eq__Mobilization"/>
      <sheetName val="2000년_공정표"/>
      <sheetName val="3-1_건축공사(내역서)"/>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Noname_21"/>
      <sheetName val="Noname_22"/>
      <sheetName val="Noname_23"/>
      <sheetName val="1062-X방향_"/>
      <sheetName val="플랜트_설치"/>
      <sheetName val="9_품셈"/>
      <sheetName val="TOWER_10TON6"/>
      <sheetName val="TOWER_12TON6"/>
      <sheetName val="JIB_CRANE,HOIST6"/>
      <sheetName val="JIB_CRANE_HOIST6"/>
      <sheetName val="현장별_손익자료4"/>
      <sheetName val="현장관리비_산출내역3"/>
      <sheetName val="예산_대_실투입(안전제외)2"/>
      <sheetName val="급여_상승현황2"/>
      <sheetName val="3_공종별투자분석(천원)2"/>
      <sheetName val="4_2유효폭의_계산2"/>
      <sheetName val="입찰내역_발주처_양식1"/>
      <sheetName val="201동_산출근거1"/>
      <sheetName val="6PILE__(돌출)1"/>
      <sheetName val="부서_Code1"/>
      <sheetName val="7_PILE__(돌출)1"/>
      <sheetName val="P_M_별1"/>
      <sheetName val="Eq__Mobilization1"/>
      <sheetName val="2000년_공정표1"/>
      <sheetName val="3-1_건축공사(내역서)1"/>
      <sheetName val="Noname_110"/>
      <sheetName val="Noname_24"/>
      <sheetName val="Noname_31"/>
      <sheetName val="Noname_41"/>
      <sheetName val="Noname_51"/>
      <sheetName val="Noname_61"/>
      <sheetName val="Noname_71"/>
      <sheetName val="Noname_81"/>
      <sheetName val="Noname_91"/>
      <sheetName val="Noname_101"/>
      <sheetName val="Noname_111"/>
      <sheetName val="Noname_121"/>
      <sheetName val="Noname_131"/>
      <sheetName val="Noname_141"/>
      <sheetName val="Noname_151"/>
      <sheetName val="Noname_161"/>
      <sheetName val="Noname_171"/>
      <sheetName val="Noname_181"/>
      <sheetName val="Noname_191"/>
      <sheetName val="Noname_201"/>
      <sheetName val="Noname_211"/>
      <sheetName val="Noname_221"/>
      <sheetName val="Noname_231"/>
      <sheetName val="1062-X방향_1"/>
      <sheetName val="플랜트_설치1"/>
      <sheetName val="9_품셈1"/>
      <sheetName val="설산1_나"/>
      <sheetName val="TOWER_10TON7"/>
      <sheetName val="TOWER_12TON7"/>
      <sheetName val="JIB_CRANE,HOIST7"/>
      <sheetName val="JIB_CRANE_HOIST7"/>
      <sheetName val="현장별_손익자료5"/>
      <sheetName val="현장관리비_산출내역4"/>
      <sheetName val="예산_대_실투입(안전제외)3"/>
      <sheetName val="급여_상승현황3"/>
      <sheetName val="3_공종별투자분석(천원)3"/>
      <sheetName val="4_2유효폭의_계산3"/>
      <sheetName val="입찰내역_발주처_양식2"/>
      <sheetName val="201동_산출근거2"/>
      <sheetName val="6PILE__(돌출)2"/>
      <sheetName val="부서_Code2"/>
      <sheetName val="7_PILE__(돌출)2"/>
      <sheetName val="P_M_별2"/>
      <sheetName val="Eq__Mobilization2"/>
      <sheetName val="2000년_공정표2"/>
      <sheetName val="3-1_건축공사(내역서)2"/>
      <sheetName val="Noname_112"/>
      <sheetName val="Noname_25"/>
      <sheetName val="Noname_32"/>
      <sheetName val="Noname_42"/>
      <sheetName val="Noname_52"/>
      <sheetName val="Noname_62"/>
      <sheetName val="Noname_72"/>
      <sheetName val="Noname_82"/>
      <sheetName val="Noname_92"/>
      <sheetName val="Noname_102"/>
      <sheetName val="Noname_113"/>
      <sheetName val="Noname_122"/>
      <sheetName val="Noname_132"/>
      <sheetName val="Noname_142"/>
      <sheetName val="Noname_152"/>
      <sheetName val="Noname_162"/>
      <sheetName val="Noname_172"/>
      <sheetName val="Noname_182"/>
      <sheetName val="Noname_192"/>
      <sheetName val="Noname_202"/>
      <sheetName val="Noname_212"/>
      <sheetName val="Noname_222"/>
      <sheetName val="Noname_232"/>
      <sheetName val="1062-X방향_2"/>
      <sheetName val="플랜트_설치2"/>
      <sheetName val="9_품셈2"/>
      <sheetName val="설산1_나1"/>
      <sheetName val="공사비예산서(토목분)"/>
      <sheetName val="4-10"/>
      <sheetName val="설계명세"/>
      <sheetName val="감가상각비등 명세"/>
      <sheetName val="00건설추정대차대조표"/>
      <sheetName val="k-103경고문"/>
      <sheetName val="guard(mac)"/>
      <sheetName val="하수급견적대비"/>
      <sheetName val="적용기준"/>
      <sheetName val="개산공사비"/>
      <sheetName val="부안일위"/>
      <sheetName val="N賃率-職"/>
      <sheetName val="공정"/>
      <sheetName val="지급어음(일별)"/>
      <sheetName val="기타"/>
      <sheetName val="기준자"/>
      <sheetName val="관리항목"/>
      <sheetName val="조견표"/>
      <sheetName val="Items"/>
      <sheetName val="Results from Nov 98"/>
      <sheetName val="관리"/>
      <sheetName val="manage"/>
      <sheetName val="마감사양"/>
      <sheetName val="12CGOU"/>
      <sheetName val="가격조사서"/>
      <sheetName val="정보"/>
      <sheetName val="pc가격"/>
      <sheetName val="경비"/>
      <sheetName val="유효성 목록"/>
      <sheetName val="회사정보"/>
      <sheetName val="토지"/>
      <sheetName val="Baby일위대가"/>
      <sheetName val="A.PCS"/>
      <sheetName val="견적 (2)"/>
      <sheetName val="부하계산서"/>
      <sheetName val="내역"/>
      <sheetName val="INFO"/>
      <sheetName val="시설장비"/>
      <sheetName val="미지급금"/>
      <sheetName val="조명시설"/>
      <sheetName val="금융"/>
      <sheetName val="침하계"/>
      <sheetName val="단가조사"/>
      <sheetName val="ENE-CAL"/>
      <sheetName val="일위대가(여기까지)"/>
      <sheetName val="집계표(OPTION)"/>
      <sheetName val="하도급 변경"/>
      <sheetName val="대비표(전체서우)"/>
      <sheetName val="대비표(외주)"/>
      <sheetName val="하도급대비표"/>
      <sheetName val="15100"/>
      <sheetName val="수량산출"/>
      <sheetName val="Nona_x0000__x0000__x0000__x0000__x0000_"/>
      <sheetName val="골조시행"/>
      <sheetName val="사업계획(97년)"/>
      <sheetName val="라"/>
      <sheetName val="정렬"/>
      <sheetName val="Earthwork"/>
      <sheetName val="Processing_NoDelete_NoHide"/>
      <sheetName val="변경내역대비표(2)"/>
      <sheetName val="예산실적전체당월"/>
      <sheetName val="EQUIP LIST"/>
      <sheetName val="날개벽수량표"/>
      <sheetName val="제조원가(확인)"/>
      <sheetName val="List"/>
      <sheetName val="운반"/>
      <sheetName val="14_장비소요계획"/>
      <sheetName val="1"/>
      <sheetName val="득점현황"/>
      <sheetName val="TOWER_10TON8"/>
      <sheetName val="TOWER_12TON8"/>
      <sheetName val="JIB_CRANE,HOIST8"/>
      <sheetName val="JIB_CRANE_HOIST8"/>
      <sheetName val="현장별_손익자료6"/>
      <sheetName val="현장관리비_산출내역5"/>
      <sheetName val="예산_대_실투입(안전제외)4"/>
      <sheetName val="급여_상승현황4"/>
      <sheetName val="3_공종별투자분석(천원)4"/>
      <sheetName val="4_2유효폭의_계산4"/>
      <sheetName val="입찰내역_발주처_양식3"/>
      <sheetName val="201동_산출근거3"/>
      <sheetName val="6PILE__(돌출)3"/>
      <sheetName val="7_PILE__(돌출)3"/>
      <sheetName val="P_M_별3"/>
      <sheetName val="부서_Code3"/>
      <sheetName val="Eq__Mobilization3"/>
      <sheetName val="3-1_건축공사(내역서)3"/>
      <sheetName val="2000년_공정표3"/>
      <sheetName val="Noname_114"/>
      <sheetName val="Noname_26"/>
      <sheetName val="Noname_33"/>
      <sheetName val="Noname_43"/>
      <sheetName val="Noname_53"/>
      <sheetName val="Noname_63"/>
      <sheetName val="Noname_73"/>
      <sheetName val="Noname_83"/>
      <sheetName val="Noname_93"/>
      <sheetName val="Noname_103"/>
      <sheetName val="Noname_115"/>
      <sheetName val="Noname_123"/>
      <sheetName val="Noname_133"/>
      <sheetName val="Noname_143"/>
      <sheetName val="Noname_153"/>
      <sheetName val="Noname_163"/>
      <sheetName val="Noname_173"/>
      <sheetName val="Noname_183"/>
      <sheetName val="Noname_193"/>
      <sheetName val="Noname_203"/>
      <sheetName val="Noname_213"/>
      <sheetName val="Noname_223"/>
      <sheetName val="Noname_233"/>
      <sheetName val="1062-X방향_3"/>
      <sheetName val="플랜트_설치3"/>
      <sheetName val="9_품셈3"/>
      <sheetName val="설산1_나2"/>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전선_및_전선관"/>
      <sheetName val="감가상각비등_명세"/>
      <sheetName val="Results_from_Nov_98"/>
      <sheetName val="CAT_5"/>
      <sheetName val="F4-F7"/>
      <sheetName val="EQT-ESTN"/>
      <sheetName val="GRDBS"/>
      <sheetName val="정산ISSUE(T)"/>
      <sheetName val="Foglio_Lavoro"/>
      <sheetName val="입찰품의서"/>
      <sheetName val="TTL"/>
      <sheetName val="물량표"/>
      <sheetName val="공조기"/>
      <sheetName val="아파트 기성내역서"/>
      <sheetName val="CONCRETE"/>
      <sheetName val="콘크리트타설집계표"/>
      <sheetName val="ELECTRIC"/>
      <sheetName val="2공구산출내역"/>
      <sheetName val="Total"/>
      <sheetName val="Sheet9"/>
      <sheetName val="Sheet10"/>
      <sheetName val="Sheet14"/>
      <sheetName val="전기자료"/>
      <sheetName val="Sheet13"/>
      <sheetName val="월간공정"/>
      <sheetName val="주간공정"/>
      <sheetName val="Cash2"/>
      <sheetName val="Z"/>
      <sheetName val="checklist"/>
      <sheetName val="맨홀"/>
      <sheetName val="M&amp;A"/>
      <sheetName val="예정(3)"/>
      <sheetName val="정화조동내역"/>
      <sheetName val="당초"/>
      <sheetName val="범례"/>
      <sheetName val="바차트"/>
      <sheetName val="Sheet1 (2)"/>
      <sheetName val="주재료비"/>
      <sheetName val="A"/>
      <sheetName val="Noname_Ê_x0000_Ԁ"/>
      <sheetName val="Noname_Ê渀Ç"/>
      <sheetName val="he so"/>
      <sheetName val="SUMMARY"/>
      <sheetName val="Assumptions"/>
      <sheetName val="Scenarios"/>
      <sheetName val="수성페인트도장 내역서"/>
      <sheetName val="금액"/>
      <sheetName val="OtherKPI"/>
      <sheetName val="추정99"/>
      <sheetName val="설계"/>
      <sheetName val="Price Summary (1)"/>
      <sheetName val="Price Summary (2)"/>
      <sheetName val="DERIVE"/>
      <sheetName val="gvl"/>
      <sheetName val="지급자재"/>
      <sheetName val="직노"/>
      <sheetName val="WELDING POINT 단가"/>
      <sheetName val="Nonameo_x0000_Ԁ_x0000_"/>
      <sheetName val="사업성분석"/>
      <sheetName val="Perhit.Alat"/>
      <sheetName val="PO Header Entry"/>
      <sheetName val="Eng_Hrs (HO)"/>
      <sheetName val="EE-PROP"/>
      <sheetName val="뜃맟뭁돽띿맟?-BLDG"/>
      <sheetName val="LOB"/>
      <sheetName val="동력"/>
      <sheetName val="변압기"/>
      <sheetName val="95삼성급(본사)"/>
      <sheetName val="표지"/>
      <sheetName val="인사자료총집계"/>
      <sheetName val="SCHEDULE"/>
      <sheetName val="유효성_목록"/>
      <sheetName val="EQUIP_LIST"/>
      <sheetName val="A_PCS"/>
      <sheetName val="견적_(2)"/>
      <sheetName val="하도급_변경"/>
      <sheetName val="합천내역"/>
      <sheetName val="CD-실적"/>
      <sheetName val="Training"/>
      <sheetName val="Facility Information"/>
      <sheetName val="General"/>
      <sheetName val="Instructions"/>
      <sheetName val="People"/>
      <sheetName val="Quality"/>
      <sheetName val="Risk"/>
      <sheetName val="작성기준"/>
      <sheetName val="입찰내역"/>
      <sheetName val="건내"/>
      <sheetName val="채권세부"/>
      <sheetName val="입상내역"/>
      <sheetName val="내역서(확장형)_2024적용"/>
      <sheetName val="Register"/>
      <sheetName val="방배동내역(리라)"/>
      <sheetName val="실행내역"/>
      <sheetName val="경비실"/>
      <sheetName val="단면 (2)"/>
      <sheetName val="교각1"/>
      <sheetName val="CODE"/>
      <sheetName val="COPING"/>
      <sheetName val="기초공"/>
      <sheetName val="MOTOR"/>
      <sheetName val="기둥(원형)"/>
      <sheetName val="안산기계장치"/>
      <sheetName val="가설공사비"/>
      <sheetName val="Trans"/>
      <sheetName val="VS P-Q"/>
      <sheetName val="최적단면"/>
      <sheetName val="FS"/>
      <sheetName val="본사공가현황"/>
      <sheetName val="할증 "/>
      <sheetName val="예총"/>
      <sheetName val="산출(설비_공량)"/>
      <sheetName val="Noname_Ê"/>
      <sheetName val="일위_파일"/>
      <sheetName val="Noname_x0000__x0000_Ɨ_x0000_"/>
      <sheetName val="공용1(3%)"/>
      <sheetName val="공용2(3%)"/>
      <sheetName val="공용3(1%)"/>
      <sheetName val="천안"/>
      <sheetName val="설계서"/>
      <sheetName val="수원공사비"/>
      <sheetName val="돈암사업"/>
      <sheetName val="중로근거"/>
      <sheetName val="공사내역"/>
      <sheetName val="L-type"/>
      <sheetName val="30신설일위대가"/>
      <sheetName val="30집계표"/>
      <sheetName val="개인별 품목현황"/>
      <sheetName val="총괄원가"/>
      <sheetName val="실행(ALT1)"/>
      <sheetName val="인원"/>
      <sheetName val="(원)기흥상갈"/>
      <sheetName val="공사비집계"/>
      <sheetName val="Nonameo"/>
      <sheetName val="FOL - Bar"/>
      <sheetName val="Sch.6"/>
      <sheetName val="From Arup"/>
      <sheetName val="Dunrobin - detail"/>
      <sheetName val="Option"/>
      <sheetName val="AN-01"/>
      <sheetName val="96수표어음"/>
      <sheetName val="수액원료"/>
      <sheetName val="PROJECT BRIEF"/>
      <sheetName val="EP0618"/>
      <sheetName val="연결관암거"/>
      <sheetName val="입력시트"/>
      <sheetName val="石炭性状"/>
      <sheetName val="4차원가계산서"/>
      <sheetName val="BM"/>
      <sheetName val="예산작성기준(전기)"/>
      <sheetName val="식재인부"/>
      <sheetName val="THISWORKSHEET"/>
      <sheetName val="기계경비(시간당)"/>
      <sheetName val="램머"/>
      <sheetName val="Forecast"/>
      <sheetName val="BM DATA SHEET"/>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8.PILE  (돌출)"/>
      <sheetName val="JTLOAD"/>
      <sheetName val="QUOTATION"/>
      <sheetName val="Bin"/>
      <sheetName val="eqpmt"/>
      <sheetName val="BOQ segment2 (PartB)"/>
      <sheetName val="Worksheet"/>
      <sheetName val="RCF CLAIMED"/>
      <sheetName val="영업소실적"/>
      <sheetName val="ﾄﾞﾊﾞｲFUEL GAS追見"/>
      <sheetName val="Inputs"/>
      <sheetName val="BD"/>
      <sheetName val="X17-TOTAL"/>
      <sheetName val="HaulErctionLH-Binga"/>
      <sheetName val="DATE"/>
      <sheetName val="내역(100%)"/>
      <sheetName val="97 사업추정(WEKI)"/>
      <sheetName val="materials"/>
      <sheetName val="일위대가 (Part C,D,E,G,H)"/>
      <sheetName val="Vari by Trade"/>
      <sheetName val="REBAR"/>
      <sheetName val="1999-2000 MONTHLY CASHFLOW"/>
      <sheetName val="table"/>
      <sheetName val="상반기손익차2총괄"/>
      <sheetName val="U_A Input"/>
      <sheetName val="INDENTIFICATION"/>
      <sheetName val="MAT_N048"/>
      <sheetName val="1.설계조건"/>
      <sheetName val="도기류"/>
      <sheetName val="세금자료"/>
      <sheetName val="환율"/>
      <sheetName val="직원동원SCH"/>
      <sheetName val="lookups"/>
      <sheetName val="Others"/>
      <sheetName val="ref"/>
      <sheetName val="sum mdc"/>
      <sheetName val="Source"/>
      <sheetName val="차액보증"/>
      <sheetName val="인원계획"/>
      <sheetName val="VC2 8.98"/>
      <sheetName val="계수시트"/>
      <sheetName val="rates"/>
      <sheetName val="SHL"/>
      <sheetName val="Tension"/>
      <sheetName val="BREAKDOWN(철거설치)"/>
      <sheetName val="性能取り纏め"/>
      <sheetName val="Factor"/>
      <sheetName val="Vari by Vendor"/>
      <sheetName val="Codes,..."/>
      <sheetName val="Cost Calc"/>
      <sheetName val="PH 5"/>
      <sheetName val="Lookup"/>
      <sheetName val="GAE8'97"/>
      <sheetName val="MTO"/>
      <sheetName val="Equipment_Database"/>
      <sheetName val="INNER TANK"/>
      <sheetName val="Material_Database"/>
      <sheetName val="IPE"/>
      <sheetName val="Wts"/>
      <sheetName val="BTRP-230kV.wts"/>
      <sheetName val="중기조종사 단위단가"/>
      <sheetName val="자재단가조사표-수목"/>
      <sheetName val="10현장조직"/>
      <sheetName val="공사비_NDE"/>
      <sheetName val="실행예산-변경분"/>
      <sheetName val="현장관리비"/>
      <sheetName val=" 갑지"/>
      <sheetName val="조명율표"/>
      <sheetName val="환산표"/>
      <sheetName val="slipsumpR"/>
      <sheetName val="LABOR"/>
      <sheetName val="EQUIPT"/>
      <sheetName val="DESBASTE"/>
      <sheetName val="ASCEandUBC"/>
      <sheetName val="schbhn"/>
      <sheetName val="schalt"/>
      <sheetName val="schtng"/>
      <sheetName val="mechanical"/>
      <sheetName val="4-Lane bridge"/>
      <sheetName val="Existing PC Pavement"/>
      <sheetName val="Subgrade"/>
      <sheetName val="소화실적"/>
      <sheetName val="예산"/>
      <sheetName val="단가결정"/>
      <sheetName val="백분율"/>
      <sheetName val="REINF."/>
      <sheetName val="SKETCH"/>
      <sheetName val="LOADS"/>
      <sheetName val="품"/>
      <sheetName val="수정시산표"/>
      <sheetName val="TOWER_10TON9"/>
      <sheetName val="TOWER_12TON9"/>
      <sheetName val="JIB_CRANE,HOIST9"/>
      <sheetName val="JIB_CRANE_HOIST9"/>
      <sheetName val="현장별_손익자료7"/>
      <sheetName val="현장관리비_산출내역6"/>
      <sheetName val="예산_대_실투입(안전제외)5"/>
      <sheetName val="급여_상승현황5"/>
      <sheetName val="3_공종별투자분석(천원)5"/>
      <sheetName val="4_2유효폭의_계산5"/>
      <sheetName val="입찰내역_발주처_양식4"/>
      <sheetName val="6PILE__(돌출)4"/>
      <sheetName val="부서_Code4"/>
      <sheetName val="201동_산출근거4"/>
      <sheetName val="7_PILE__(돌출)4"/>
      <sheetName val="P_M_별4"/>
      <sheetName val="Eq__Mobilization4"/>
      <sheetName val="3-1_건축공사(내역서)4"/>
      <sheetName val="2000년_공정표4"/>
      <sheetName val="Noname_116"/>
      <sheetName val="Noname_27"/>
      <sheetName val="Noname_34"/>
      <sheetName val="Noname_44"/>
      <sheetName val="Noname_54"/>
      <sheetName val="Noname_64"/>
      <sheetName val="Noname_74"/>
      <sheetName val="Noname_84"/>
      <sheetName val="Noname_94"/>
      <sheetName val="Noname_104"/>
      <sheetName val="Noname_117"/>
      <sheetName val="Noname_124"/>
      <sheetName val="Noname_134"/>
      <sheetName val="Noname_144"/>
      <sheetName val="Noname_154"/>
      <sheetName val="Noname_164"/>
      <sheetName val="Noname_174"/>
      <sheetName val="Noname_184"/>
      <sheetName val="Noname_194"/>
      <sheetName val="Noname_204"/>
      <sheetName val="Noname_214"/>
      <sheetName val="Noname_224"/>
      <sheetName val="Noname_234"/>
      <sheetName val="1062-X방향_4"/>
      <sheetName val="플랜트_설치4"/>
      <sheetName val="9_품셈4"/>
      <sheetName val="설산1_나3"/>
      <sheetName val="14_장비소요계획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전선_및_전선관1"/>
      <sheetName val="감가상각비등_명세1"/>
      <sheetName val="Results_from_Nov_981"/>
      <sheetName val="Cashflow Analysis"/>
      <sheetName val="초기화면"/>
      <sheetName val="단중표"/>
      <sheetName val="bsd (2)"/>
      <sheetName val="상가지급현황"/>
      <sheetName val="토목내역서집계"/>
      <sheetName val="규격표"/>
      <sheetName val="설계명세서"/>
      <sheetName val="리비아전체장비200306"/>
      <sheetName val="II손익관리"/>
      <sheetName val="일위대가(계측기설치)"/>
      <sheetName val="Rate"/>
      <sheetName val="부대공"/>
      <sheetName val="토공"/>
      <sheetName val="포장공"/>
      <sheetName val="전체집계표(일반)"/>
      <sheetName val="전체집계표(개산급)"/>
      <sheetName val="전체내역서"/>
      <sheetName val="제잡비(금회)"/>
      <sheetName val="관리비현황"/>
      <sheetName val="투찰"/>
      <sheetName val="단위수량"/>
      <sheetName val="Noname"/>
      <sheetName val="요율"/>
      <sheetName val="단가산출"/>
      <sheetName val="98수문일위"/>
      <sheetName val="지급제한자"/>
      <sheetName val="A_PCS1"/>
      <sheetName val="견적_(2)1"/>
      <sheetName val="유효성_목록1"/>
      <sheetName val="하도급_변경1"/>
      <sheetName val="EQUIP_LIST1"/>
      <sheetName val="아파트_기성내역서"/>
      <sheetName val="Sheet1_(2)"/>
      <sheetName val="he_so"/>
      <sheetName val="WELDING_POINT_단가"/>
      <sheetName val="수성페인트도장_내역서"/>
      <sheetName val="Price_Summary_(1)"/>
      <sheetName val="Price_Summary_(2)"/>
      <sheetName val="PO_Header_Entry"/>
      <sheetName val="Perhit_Alat"/>
      <sheetName val="Eng_Hrs_(HO)"/>
      <sheetName val="Facility_Information"/>
      <sheetName val="단면_(2)"/>
      <sheetName val="VS_P-Q"/>
      <sheetName val="할증_"/>
      <sheetName val="개인별_품목현황"/>
      <sheetName val="5사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ow r="58">
          <cell r="A58" t="str">
            <v>첨     부 :</v>
          </cell>
        </row>
      </sheetData>
      <sheetData sheetId="251"/>
      <sheetData sheetId="252"/>
      <sheetData sheetId="253">
        <row r="58">
          <cell r="A58" t="str">
            <v>첨     부 :</v>
          </cell>
        </row>
      </sheetData>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ow r="58">
          <cell r="A58" t="str">
            <v>첨     부 :</v>
          </cell>
        </row>
      </sheetData>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58">
          <cell r="A58" t="str">
            <v>첨     부 :</v>
          </cell>
        </row>
      </sheetData>
      <sheetData sheetId="326">
        <row r="58">
          <cell r="A58" t="str">
            <v>첨     부 :</v>
          </cell>
        </row>
      </sheetData>
      <sheetData sheetId="327">
        <row r="58">
          <cell r="A58" t="str">
            <v>첨     부 :</v>
          </cell>
        </row>
      </sheetData>
      <sheetData sheetId="328">
        <row r="58">
          <cell r="A58" t="str">
            <v>첨     부 :</v>
          </cell>
        </row>
      </sheetData>
      <sheetData sheetId="329">
        <row r="58">
          <cell r="A58" t="str">
            <v>첨     부 :</v>
          </cell>
        </row>
      </sheetData>
      <sheetData sheetId="330">
        <row r="58">
          <cell r="A58" t="str">
            <v>첨     부 :</v>
          </cell>
        </row>
      </sheetData>
      <sheetData sheetId="331">
        <row r="58">
          <cell r="A58" t="str">
            <v>첨     부 :</v>
          </cell>
        </row>
      </sheetData>
      <sheetData sheetId="332">
        <row r="58">
          <cell r="A58" t="str">
            <v>첨     부 :</v>
          </cell>
        </row>
      </sheetData>
      <sheetData sheetId="333">
        <row r="58">
          <cell r="A58" t="str">
            <v>첨     부 :</v>
          </cell>
        </row>
      </sheetData>
      <sheetData sheetId="334">
        <row r="58">
          <cell r="A58" t="str">
            <v>첨     부 :</v>
          </cell>
        </row>
      </sheetData>
      <sheetData sheetId="335">
        <row r="58">
          <cell r="A58" t="str">
            <v>첨     부 :</v>
          </cell>
        </row>
      </sheetData>
      <sheetData sheetId="336">
        <row r="58">
          <cell r="A58" t="str">
            <v>첨     부 :</v>
          </cell>
        </row>
      </sheetData>
      <sheetData sheetId="337">
        <row r="58">
          <cell r="A58" t="str">
            <v>첨     부 :</v>
          </cell>
        </row>
      </sheetData>
      <sheetData sheetId="338">
        <row r="58">
          <cell r="A58" t="str">
            <v>첨     부 :</v>
          </cell>
        </row>
      </sheetData>
      <sheetData sheetId="339">
        <row r="58">
          <cell r="A58" t="str">
            <v>첨     부 :</v>
          </cell>
        </row>
      </sheetData>
      <sheetData sheetId="340">
        <row r="58">
          <cell r="A58" t="str">
            <v>첨     부 :</v>
          </cell>
        </row>
      </sheetData>
      <sheetData sheetId="341">
        <row r="58">
          <cell r="A58" t="str">
            <v>첨     부 :</v>
          </cell>
        </row>
      </sheetData>
      <sheetData sheetId="342">
        <row r="58">
          <cell r="A58" t="str">
            <v>첨     부 :</v>
          </cell>
        </row>
      </sheetData>
      <sheetData sheetId="343">
        <row r="58">
          <cell r="A58" t="str">
            <v>첨     부 :</v>
          </cell>
        </row>
      </sheetData>
      <sheetData sheetId="344">
        <row r="58">
          <cell r="A58" t="str">
            <v>첨     부 :</v>
          </cell>
        </row>
      </sheetData>
      <sheetData sheetId="345">
        <row r="58">
          <cell r="A58" t="str">
            <v>첨     부 :</v>
          </cell>
        </row>
      </sheetData>
      <sheetData sheetId="346">
        <row r="58">
          <cell r="A58" t="str">
            <v>첨     부 :</v>
          </cell>
        </row>
      </sheetData>
      <sheetData sheetId="347">
        <row r="58">
          <cell r="A58" t="str">
            <v>첨     부 :</v>
          </cell>
        </row>
      </sheetData>
      <sheetData sheetId="348">
        <row r="58">
          <cell r="A58" t="str">
            <v>첨     부 :</v>
          </cell>
        </row>
      </sheetData>
      <sheetData sheetId="349">
        <row r="58">
          <cell r="A58" t="str">
            <v>첨     부 :</v>
          </cell>
        </row>
      </sheetData>
      <sheetData sheetId="350">
        <row r="58">
          <cell r="A58" t="str">
            <v>첨     부 :</v>
          </cell>
        </row>
      </sheetData>
      <sheetData sheetId="351">
        <row r="58">
          <cell r="A58" t="str">
            <v>첨     부 :</v>
          </cell>
        </row>
      </sheetData>
      <sheetData sheetId="352">
        <row r="58">
          <cell r="A58" t="str">
            <v>첨     부 :</v>
          </cell>
        </row>
      </sheetData>
      <sheetData sheetId="353">
        <row r="58">
          <cell r="A58" t="str">
            <v>첨     부 :</v>
          </cell>
        </row>
      </sheetData>
      <sheetData sheetId="354">
        <row r="58">
          <cell r="A58" t="str">
            <v>첨     부 :</v>
          </cell>
        </row>
      </sheetData>
      <sheetData sheetId="355">
        <row r="58">
          <cell r="A58" t="str">
            <v>첨     부 :</v>
          </cell>
        </row>
      </sheetData>
      <sheetData sheetId="356">
        <row r="58">
          <cell r="A58" t="str">
            <v>첨     부 :</v>
          </cell>
        </row>
      </sheetData>
      <sheetData sheetId="357">
        <row r="58">
          <cell r="A58" t="str">
            <v>첨     부 :</v>
          </cell>
        </row>
      </sheetData>
      <sheetData sheetId="358">
        <row r="58">
          <cell r="A58" t="str">
            <v>첨     부 :</v>
          </cell>
        </row>
      </sheetData>
      <sheetData sheetId="359">
        <row r="58">
          <cell r="A58" t="str">
            <v>첨     부 :</v>
          </cell>
        </row>
      </sheetData>
      <sheetData sheetId="360">
        <row r="58">
          <cell r="A58" t="str">
            <v>첨     부 :</v>
          </cell>
        </row>
      </sheetData>
      <sheetData sheetId="361">
        <row r="58">
          <cell r="A58" t="str">
            <v>첨     부 :</v>
          </cell>
        </row>
      </sheetData>
      <sheetData sheetId="362">
        <row r="58">
          <cell r="A58" t="str">
            <v>첨     부 :</v>
          </cell>
        </row>
      </sheetData>
      <sheetData sheetId="363">
        <row r="58">
          <cell r="A58" t="str">
            <v>첨     부 :</v>
          </cell>
        </row>
      </sheetData>
      <sheetData sheetId="364">
        <row r="58">
          <cell r="A58" t="str">
            <v>첨     부 :</v>
          </cell>
        </row>
      </sheetData>
      <sheetData sheetId="365">
        <row r="58">
          <cell r="A58" t="str">
            <v>첨     부 :</v>
          </cell>
        </row>
      </sheetData>
      <sheetData sheetId="366">
        <row r="58">
          <cell r="A58" t="str">
            <v>첨     부 :</v>
          </cell>
        </row>
      </sheetData>
      <sheetData sheetId="367">
        <row r="58">
          <cell r="A58" t="str">
            <v>첨     부 :</v>
          </cell>
        </row>
      </sheetData>
      <sheetData sheetId="368">
        <row r="58">
          <cell r="A58" t="str">
            <v>첨     부 :</v>
          </cell>
        </row>
      </sheetData>
      <sheetData sheetId="369">
        <row r="58">
          <cell r="A58" t="str">
            <v>첨     부 :</v>
          </cell>
        </row>
      </sheetData>
      <sheetData sheetId="370">
        <row r="58">
          <cell r="A58" t="str">
            <v>첨     부 :</v>
          </cell>
        </row>
      </sheetData>
      <sheetData sheetId="371">
        <row r="58">
          <cell r="A58" t="str">
            <v>첨     부 :</v>
          </cell>
        </row>
      </sheetData>
      <sheetData sheetId="372">
        <row r="58">
          <cell r="A58" t="str">
            <v>첨     부 :</v>
          </cell>
        </row>
      </sheetData>
      <sheetData sheetId="373">
        <row r="58">
          <cell r="A58" t="str">
            <v>첨     부 :</v>
          </cell>
        </row>
      </sheetData>
      <sheetData sheetId="374">
        <row r="58">
          <cell r="A58" t="str">
            <v>첨     부 :</v>
          </cell>
        </row>
      </sheetData>
      <sheetData sheetId="375">
        <row r="58">
          <cell r="A58" t="str">
            <v>첨     부 :</v>
          </cell>
        </row>
      </sheetData>
      <sheetData sheetId="376">
        <row r="58">
          <cell r="A58" t="str">
            <v>첨     부 :</v>
          </cell>
        </row>
      </sheetData>
      <sheetData sheetId="377">
        <row r="58">
          <cell r="A58" t="str">
            <v>첨     부 :</v>
          </cell>
        </row>
      </sheetData>
      <sheetData sheetId="378">
        <row r="58">
          <cell r="A58" t="str">
            <v>첨     부 :</v>
          </cell>
        </row>
      </sheetData>
      <sheetData sheetId="379">
        <row r="58">
          <cell r="A58" t="str">
            <v>첨     부 :</v>
          </cell>
        </row>
      </sheetData>
      <sheetData sheetId="380">
        <row r="58">
          <cell r="A58" t="str">
            <v>첨     부 :</v>
          </cell>
        </row>
      </sheetData>
      <sheetData sheetId="381">
        <row r="58">
          <cell r="A58" t="str">
            <v>첨     부 :</v>
          </cell>
        </row>
      </sheetData>
      <sheetData sheetId="382">
        <row r="58">
          <cell r="A58" t="str">
            <v>첨     부 :</v>
          </cell>
        </row>
      </sheetData>
      <sheetData sheetId="383">
        <row r="58">
          <cell r="A58" t="str">
            <v>첨     부 :</v>
          </cell>
        </row>
      </sheetData>
      <sheetData sheetId="384">
        <row r="58">
          <cell r="A58" t="str">
            <v>첨     부 :</v>
          </cell>
        </row>
      </sheetData>
      <sheetData sheetId="385">
        <row r="58">
          <cell r="A58" t="str">
            <v>첨     부 :</v>
          </cell>
        </row>
      </sheetData>
      <sheetData sheetId="386">
        <row r="58">
          <cell r="A58" t="str">
            <v>첨     부 :</v>
          </cell>
        </row>
      </sheetData>
      <sheetData sheetId="387">
        <row r="58">
          <cell r="A58" t="str">
            <v>첨     부 :</v>
          </cell>
        </row>
      </sheetData>
      <sheetData sheetId="388">
        <row r="58">
          <cell r="A58" t="str">
            <v>첨     부 :</v>
          </cell>
        </row>
      </sheetData>
      <sheetData sheetId="389">
        <row r="58">
          <cell r="A58" t="str">
            <v>첨     부 :</v>
          </cell>
        </row>
      </sheetData>
      <sheetData sheetId="390">
        <row r="58">
          <cell r="A58" t="str">
            <v>첨     부 :</v>
          </cell>
        </row>
      </sheetData>
      <sheetData sheetId="391">
        <row r="58">
          <cell r="A58" t="str">
            <v>첨     부 :</v>
          </cell>
        </row>
      </sheetData>
      <sheetData sheetId="392">
        <row r="58">
          <cell r="A58" t="str">
            <v>첨     부 :</v>
          </cell>
        </row>
      </sheetData>
      <sheetData sheetId="393">
        <row r="58">
          <cell r="A58" t="str">
            <v>첨     부 :</v>
          </cell>
        </row>
      </sheetData>
      <sheetData sheetId="394">
        <row r="58">
          <cell r="A58" t="str">
            <v>첨     부 :</v>
          </cell>
        </row>
      </sheetData>
      <sheetData sheetId="395">
        <row r="58">
          <cell r="A58" t="str">
            <v>첨     부 :</v>
          </cell>
        </row>
      </sheetData>
      <sheetData sheetId="396">
        <row r="58">
          <cell r="A58" t="str">
            <v>첨     부 :</v>
          </cell>
        </row>
      </sheetData>
      <sheetData sheetId="397">
        <row r="58">
          <cell r="A58" t="str">
            <v>첨     부 :</v>
          </cell>
        </row>
      </sheetData>
      <sheetData sheetId="398">
        <row r="58">
          <cell r="A58" t="str">
            <v>첨     부 :</v>
          </cell>
        </row>
      </sheetData>
      <sheetData sheetId="399">
        <row r="58">
          <cell r="A58" t="str">
            <v>첨     부 :</v>
          </cell>
        </row>
      </sheetData>
      <sheetData sheetId="400">
        <row r="58">
          <cell r="A58" t="str">
            <v>첨     부 :</v>
          </cell>
        </row>
      </sheetData>
      <sheetData sheetId="401">
        <row r="58">
          <cell r="A58" t="str">
            <v>첨     부 :</v>
          </cell>
        </row>
      </sheetData>
      <sheetData sheetId="402">
        <row r="58">
          <cell r="A58" t="str">
            <v>첨     부 :</v>
          </cell>
        </row>
      </sheetData>
      <sheetData sheetId="403">
        <row r="58">
          <cell r="A58" t="str">
            <v>첨     부 :</v>
          </cell>
        </row>
      </sheetData>
      <sheetData sheetId="404">
        <row r="58">
          <cell r="A58" t="str">
            <v>첨     부 :</v>
          </cell>
        </row>
      </sheetData>
      <sheetData sheetId="405">
        <row r="58">
          <cell r="A58" t="str">
            <v>첨     부 :</v>
          </cell>
        </row>
      </sheetData>
      <sheetData sheetId="406">
        <row r="58">
          <cell r="A58" t="str">
            <v>첨     부 :</v>
          </cell>
        </row>
      </sheetData>
      <sheetData sheetId="407">
        <row r="58">
          <cell r="A58" t="str">
            <v>첨     부 :</v>
          </cell>
        </row>
      </sheetData>
      <sheetData sheetId="408">
        <row r="58">
          <cell r="A58" t="str">
            <v>첨     부 :</v>
          </cell>
        </row>
      </sheetData>
      <sheetData sheetId="409">
        <row r="58">
          <cell r="A58" t="str">
            <v>첨     부 :</v>
          </cell>
        </row>
      </sheetData>
      <sheetData sheetId="410">
        <row r="58">
          <cell r="A58" t="str">
            <v>첨     부 :</v>
          </cell>
        </row>
      </sheetData>
      <sheetData sheetId="411">
        <row r="58">
          <cell r="A58" t="str">
            <v>첨     부 :</v>
          </cell>
        </row>
      </sheetData>
      <sheetData sheetId="412">
        <row r="58">
          <cell r="A58" t="str">
            <v>첨     부 :</v>
          </cell>
        </row>
      </sheetData>
      <sheetData sheetId="413">
        <row r="58">
          <cell r="A58" t="str">
            <v>첨     부 :</v>
          </cell>
        </row>
      </sheetData>
      <sheetData sheetId="414">
        <row r="58">
          <cell r="A58" t="str">
            <v>첨     부 :</v>
          </cell>
        </row>
      </sheetData>
      <sheetData sheetId="415">
        <row r="58">
          <cell r="A58" t="str">
            <v>첨     부 :</v>
          </cell>
        </row>
      </sheetData>
      <sheetData sheetId="416">
        <row r="58">
          <cell r="A58" t="str">
            <v>첨     부 :</v>
          </cell>
        </row>
      </sheetData>
      <sheetData sheetId="417">
        <row r="58">
          <cell r="A58" t="str">
            <v>첨     부 :</v>
          </cell>
        </row>
      </sheetData>
      <sheetData sheetId="418">
        <row r="58">
          <cell r="A58" t="str">
            <v>첨     부 :</v>
          </cell>
        </row>
      </sheetData>
      <sheetData sheetId="419">
        <row r="58">
          <cell r="A58" t="str">
            <v>첨     부 :</v>
          </cell>
        </row>
      </sheetData>
      <sheetData sheetId="420">
        <row r="58">
          <cell r="A58" t="str">
            <v>첨     부 :</v>
          </cell>
        </row>
      </sheetData>
      <sheetData sheetId="421">
        <row r="58">
          <cell r="A58" t="str">
            <v>첨     부 :</v>
          </cell>
        </row>
      </sheetData>
      <sheetData sheetId="422">
        <row r="58">
          <cell r="A58" t="str">
            <v>첨     부 :</v>
          </cell>
        </row>
      </sheetData>
      <sheetData sheetId="423">
        <row r="58">
          <cell r="A58" t="str">
            <v>첨     부 :</v>
          </cell>
        </row>
      </sheetData>
      <sheetData sheetId="424">
        <row r="58">
          <cell r="A58" t="str">
            <v>첨     부 :</v>
          </cell>
        </row>
      </sheetData>
      <sheetData sheetId="425">
        <row r="58">
          <cell r="A58" t="str">
            <v>첨     부 :</v>
          </cell>
        </row>
      </sheetData>
      <sheetData sheetId="426">
        <row r="58">
          <cell r="A58" t="str">
            <v>첨     부 :</v>
          </cell>
        </row>
      </sheetData>
      <sheetData sheetId="427">
        <row r="58">
          <cell r="A58" t="str">
            <v>첨     부 :</v>
          </cell>
        </row>
      </sheetData>
      <sheetData sheetId="428">
        <row r="58">
          <cell r="A58" t="str">
            <v>첨     부 :</v>
          </cell>
        </row>
      </sheetData>
      <sheetData sheetId="429">
        <row r="58">
          <cell r="A58" t="str">
            <v>첨     부 :</v>
          </cell>
        </row>
      </sheetData>
      <sheetData sheetId="430">
        <row r="58">
          <cell r="A58" t="str">
            <v>첨     부 :</v>
          </cell>
        </row>
      </sheetData>
      <sheetData sheetId="431">
        <row r="58">
          <cell r="A58" t="str">
            <v>첨     부 :</v>
          </cell>
        </row>
      </sheetData>
      <sheetData sheetId="432">
        <row r="58">
          <cell r="A58" t="str">
            <v>첨     부 :</v>
          </cell>
        </row>
      </sheetData>
      <sheetData sheetId="433">
        <row r="58">
          <cell r="A58" t="str">
            <v>첨     부 :</v>
          </cell>
        </row>
      </sheetData>
      <sheetData sheetId="434">
        <row r="58">
          <cell r="A58" t="str">
            <v>첨     부 :</v>
          </cell>
        </row>
      </sheetData>
      <sheetData sheetId="435">
        <row r="58">
          <cell r="A58" t="str">
            <v>첨     부 :</v>
          </cell>
        </row>
      </sheetData>
      <sheetData sheetId="436">
        <row r="58">
          <cell r="A58" t="str">
            <v>첨     부 :</v>
          </cell>
        </row>
      </sheetData>
      <sheetData sheetId="437">
        <row r="58">
          <cell r="A58" t="str">
            <v>첨     부 :</v>
          </cell>
        </row>
      </sheetData>
      <sheetData sheetId="438">
        <row r="58">
          <cell r="A58" t="str">
            <v>첨     부 :</v>
          </cell>
        </row>
      </sheetData>
      <sheetData sheetId="439">
        <row r="58">
          <cell r="A58" t="str">
            <v>첨     부 :</v>
          </cell>
        </row>
      </sheetData>
      <sheetData sheetId="440">
        <row r="58">
          <cell r="A58" t="str">
            <v>첨     부 :</v>
          </cell>
        </row>
      </sheetData>
      <sheetData sheetId="441">
        <row r="58">
          <cell r="A58" t="str">
            <v>첨     부 :</v>
          </cell>
        </row>
      </sheetData>
      <sheetData sheetId="442">
        <row r="58">
          <cell r="A58" t="str">
            <v>첨     부 :</v>
          </cell>
        </row>
      </sheetData>
      <sheetData sheetId="443">
        <row r="58">
          <cell r="A58" t="str">
            <v>첨     부 :</v>
          </cell>
        </row>
      </sheetData>
      <sheetData sheetId="444">
        <row r="58">
          <cell r="A58" t="str">
            <v>첨     부 :</v>
          </cell>
        </row>
      </sheetData>
      <sheetData sheetId="445">
        <row r="58">
          <cell r="A58" t="str">
            <v>첨     부 :</v>
          </cell>
        </row>
      </sheetData>
      <sheetData sheetId="446">
        <row r="58">
          <cell r="A58" t="str">
            <v>첨     부 :</v>
          </cell>
        </row>
      </sheetData>
      <sheetData sheetId="447">
        <row r="58">
          <cell r="A58" t="str">
            <v>첨     부 :</v>
          </cell>
        </row>
      </sheetData>
      <sheetData sheetId="448">
        <row r="58">
          <cell r="A58" t="str">
            <v>첨     부 :</v>
          </cell>
        </row>
      </sheetData>
      <sheetData sheetId="449">
        <row r="58">
          <cell r="A58" t="str">
            <v>첨     부 :</v>
          </cell>
        </row>
      </sheetData>
      <sheetData sheetId="450">
        <row r="58">
          <cell r="A58" t="str">
            <v>첨     부 :</v>
          </cell>
        </row>
      </sheetData>
      <sheetData sheetId="451">
        <row r="58">
          <cell r="A58" t="str">
            <v>첨     부 :</v>
          </cell>
        </row>
      </sheetData>
      <sheetData sheetId="452">
        <row r="58">
          <cell r="A58" t="str">
            <v>첨     부 :</v>
          </cell>
        </row>
      </sheetData>
      <sheetData sheetId="453">
        <row r="58">
          <cell r="A58" t="str">
            <v>첨     부 :</v>
          </cell>
        </row>
      </sheetData>
      <sheetData sheetId="454">
        <row r="58">
          <cell r="A58" t="str">
            <v>첨     부 :</v>
          </cell>
        </row>
      </sheetData>
      <sheetData sheetId="455">
        <row r="58">
          <cell r="A58" t="str">
            <v>첨     부 :</v>
          </cell>
        </row>
      </sheetData>
      <sheetData sheetId="456">
        <row r="58">
          <cell r="A58" t="str">
            <v>첨     부 :</v>
          </cell>
        </row>
      </sheetData>
      <sheetData sheetId="457">
        <row r="58">
          <cell r="A58" t="str">
            <v>첨     부 :</v>
          </cell>
        </row>
      </sheetData>
      <sheetData sheetId="458">
        <row r="58">
          <cell r="A58" t="str">
            <v>첨     부 :</v>
          </cell>
        </row>
      </sheetData>
      <sheetData sheetId="459">
        <row r="58">
          <cell r="A58" t="str">
            <v>첨     부 :</v>
          </cell>
        </row>
      </sheetData>
      <sheetData sheetId="460">
        <row r="58">
          <cell r="A58" t="str">
            <v>첨     부 :</v>
          </cell>
        </row>
      </sheetData>
      <sheetData sheetId="461">
        <row r="58">
          <cell r="A58" t="str">
            <v>첨     부 :</v>
          </cell>
        </row>
      </sheetData>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ow r="58">
          <cell r="A58" t="str">
            <v>첨     부 :</v>
          </cell>
        </row>
      </sheetData>
      <sheetData sheetId="509">
        <row r="58">
          <cell r="A58" t="str">
            <v>첨     부 :</v>
          </cell>
        </row>
      </sheetData>
      <sheetData sheetId="510">
        <row r="58">
          <cell r="A58" t="str">
            <v>첨     부 :</v>
          </cell>
        </row>
      </sheetData>
      <sheetData sheetId="511">
        <row r="58">
          <cell r="A58" t="str">
            <v>첨     부 :</v>
          </cell>
        </row>
      </sheetData>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ow r="58">
          <cell r="A58">
            <v>0</v>
          </cell>
        </row>
      </sheetData>
      <sheetData sheetId="529" refreshError="1"/>
      <sheetData sheetId="530" refreshError="1"/>
      <sheetData sheetId="531">
        <row r="58">
          <cell r="A58">
            <v>0</v>
          </cell>
        </row>
      </sheetData>
      <sheetData sheetId="532">
        <row r="58">
          <cell r="A58">
            <v>0</v>
          </cell>
        </row>
      </sheetData>
      <sheetData sheetId="533">
        <row r="58">
          <cell r="A58">
            <v>0</v>
          </cell>
        </row>
      </sheetData>
      <sheetData sheetId="534">
        <row r="58">
          <cell r="A58">
            <v>0</v>
          </cell>
        </row>
      </sheetData>
      <sheetData sheetId="535">
        <row r="58">
          <cell r="A58">
            <v>0</v>
          </cell>
        </row>
      </sheetData>
      <sheetData sheetId="536">
        <row r="58">
          <cell r="A58">
            <v>0</v>
          </cell>
        </row>
      </sheetData>
      <sheetData sheetId="537">
        <row r="58">
          <cell r="A58">
            <v>0</v>
          </cell>
        </row>
      </sheetData>
      <sheetData sheetId="538">
        <row r="58">
          <cell r="A58">
            <v>0</v>
          </cell>
        </row>
      </sheetData>
      <sheetData sheetId="539">
        <row r="58">
          <cell r="A58" t="str">
            <v>첨     부 :</v>
          </cell>
        </row>
      </sheetData>
      <sheetData sheetId="540">
        <row r="58">
          <cell r="A58">
            <v>0</v>
          </cell>
        </row>
      </sheetData>
      <sheetData sheetId="541">
        <row r="58">
          <cell r="A58">
            <v>0</v>
          </cell>
        </row>
      </sheetData>
      <sheetData sheetId="542">
        <row r="58">
          <cell r="A58" t="str">
            <v>첨     부 :</v>
          </cell>
        </row>
      </sheetData>
      <sheetData sheetId="543">
        <row r="58">
          <cell r="A58">
            <v>0</v>
          </cell>
        </row>
      </sheetData>
      <sheetData sheetId="544">
        <row r="58">
          <cell r="A58" t="str">
            <v>첨     부 :</v>
          </cell>
        </row>
      </sheetData>
      <sheetData sheetId="545">
        <row r="58">
          <cell r="A58" t="str">
            <v>첨     부 :</v>
          </cell>
        </row>
      </sheetData>
      <sheetData sheetId="546">
        <row r="58">
          <cell r="A58">
            <v>0</v>
          </cell>
        </row>
      </sheetData>
      <sheetData sheetId="547">
        <row r="58">
          <cell r="A58">
            <v>0</v>
          </cell>
        </row>
      </sheetData>
      <sheetData sheetId="548">
        <row r="58">
          <cell r="A58">
            <v>0</v>
          </cell>
        </row>
      </sheetData>
      <sheetData sheetId="549">
        <row r="58">
          <cell r="A58" t="str">
            <v>첨     부 :</v>
          </cell>
        </row>
      </sheetData>
      <sheetData sheetId="550">
        <row r="58">
          <cell r="A58">
            <v>0</v>
          </cell>
        </row>
      </sheetData>
      <sheetData sheetId="551">
        <row r="58">
          <cell r="A58" t="str">
            <v>첨     부 :</v>
          </cell>
        </row>
      </sheetData>
      <sheetData sheetId="552">
        <row r="58">
          <cell r="A58" t="str">
            <v>첨     부 :</v>
          </cell>
        </row>
      </sheetData>
      <sheetData sheetId="553">
        <row r="58">
          <cell r="A58">
            <v>0</v>
          </cell>
        </row>
      </sheetData>
      <sheetData sheetId="554">
        <row r="58">
          <cell r="A58" t="str">
            <v>첨     부 :</v>
          </cell>
        </row>
      </sheetData>
      <sheetData sheetId="555">
        <row r="58">
          <cell r="A58" t="str">
            <v>첨     부 :</v>
          </cell>
        </row>
      </sheetData>
      <sheetData sheetId="556">
        <row r="58">
          <cell r="A58" t="str">
            <v>첨     부 :</v>
          </cell>
        </row>
      </sheetData>
      <sheetData sheetId="557">
        <row r="58">
          <cell r="A58" t="str">
            <v>첨     부 :</v>
          </cell>
        </row>
      </sheetData>
      <sheetData sheetId="558">
        <row r="58">
          <cell r="A58" t="str">
            <v>첨     부 :</v>
          </cell>
        </row>
      </sheetData>
      <sheetData sheetId="559">
        <row r="58">
          <cell r="A58" t="str">
            <v>첨     부 :</v>
          </cell>
        </row>
      </sheetData>
      <sheetData sheetId="560">
        <row r="58">
          <cell r="A58" t="str">
            <v>첨     부 :</v>
          </cell>
        </row>
      </sheetData>
      <sheetData sheetId="561">
        <row r="58">
          <cell r="A58" t="str">
            <v>첨     부 :</v>
          </cell>
        </row>
      </sheetData>
      <sheetData sheetId="562">
        <row r="58">
          <cell r="A58" t="str">
            <v>첨     부 :</v>
          </cell>
        </row>
      </sheetData>
      <sheetData sheetId="563">
        <row r="58">
          <cell r="A58" t="str">
            <v>첨     부 :</v>
          </cell>
        </row>
      </sheetData>
      <sheetData sheetId="564">
        <row r="58">
          <cell r="A58" t="str">
            <v>첨     부 :</v>
          </cell>
        </row>
      </sheetData>
      <sheetData sheetId="565">
        <row r="58">
          <cell r="A58" t="str">
            <v>첨     부 :</v>
          </cell>
        </row>
      </sheetData>
      <sheetData sheetId="566">
        <row r="58">
          <cell r="A58" t="str">
            <v>첨     부 :</v>
          </cell>
        </row>
      </sheetData>
      <sheetData sheetId="567">
        <row r="58">
          <cell r="A58" t="str">
            <v>첨     부 :</v>
          </cell>
        </row>
      </sheetData>
      <sheetData sheetId="568">
        <row r="58">
          <cell r="A58" t="str">
            <v>첨     부 :</v>
          </cell>
        </row>
      </sheetData>
      <sheetData sheetId="569">
        <row r="58">
          <cell r="A58" t="str">
            <v>첨     부 :</v>
          </cell>
        </row>
      </sheetData>
      <sheetData sheetId="570">
        <row r="58">
          <cell r="A58">
            <v>0</v>
          </cell>
        </row>
      </sheetData>
      <sheetData sheetId="571">
        <row r="58">
          <cell r="A58" t="str">
            <v>첨     부 :</v>
          </cell>
        </row>
      </sheetData>
      <sheetData sheetId="572">
        <row r="58">
          <cell r="A58" t="str">
            <v>첨     부 :</v>
          </cell>
        </row>
      </sheetData>
      <sheetData sheetId="573">
        <row r="58">
          <cell r="A58" t="str">
            <v>첨     부 :</v>
          </cell>
        </row>
      </sheetData>
      <sheetData sheetId="574">
        <row r="58">
          <cell r="A58" t="str">
            <v>첨     부 :</v>
          </cell>
        </row>
      </sheetData>
      <sheetData sheetId="575">
        <row r="58">
          <cell r="A58" t="str">
            <v>첨     부 :</v>
          </cell>
        </row>
      </sheetData>
      <sheetData sheetId="576">
        <row r="58">
          <cell r="A58" t="str">
            <v>첨     부 :</v>
          </cell>
        </row>
      </sheetData>
      <sheetData sheetId="577">
        <row r="58">
          <cell r="A58">
            <v>0</v>
          </cell>
        </row>
      </sheetData>
      <sheetData sheetId="578">
        <row r="58">
          <cell r="A58">
            <v>0</v>
          </cell>
        </row>
      </sheetData>
      <sheetData sheetId="579">
        <row r="58">
          <cell r="A58" t="str">
            <v>첨     부 :</v>
          </cell>
        </row>
      </sheetData>
      <sheetData sheetId="580">
        <row r="58">
          <cell r="A58" t="str">
            <v>첨     부 :</v>
          </cell>
        </row>
      </sheetData>
      <sheetData sheetId="581">
        <row r="58">
          <cell r="A58">
            <v>0</v>
          </cell>
        </row>
      </sheetData>
      <sheetData sheetId="582">
        <row r="58">
          <cell r="A58" t="str">
            <v>첨     부 :</v>
          </cell>
        </row>
      </sheetData>
      <sheetData sheetId="583">
        <row r="58">
          <cell r="A58">
            <v>0</v>
          </cell>
        </row>
      </sheetData>
      <sheetData sheetId="584">
        <row r="58">
          <cell r="A58">
            <v>0</v>
          </cell>
        </row>
      </sheetData>
      <sheetData sheetId="585">
        <row r="58">
          <cell r="A58">
            <v>0</v>
          </cell>
        </row>
      </sheetData>
      <sheetData sheetId="586">
        <row r="58">
          <cell r="A58">
            <v>0</v>
          </cell>
        </row>
      </sheetData>
      <sheetData sheetId="587">
        <row r="58">
          <cell r="A58">
            <v>0</v>
          </cell>
        </row>
      </sheetData>
      <sheetData sheetId="588">
        <row r="58">
          <cell r="A58">
            <v>0</v>
          </cell>
        </row>
      </sheetData>
      <sheetData sheetId="589">
        <row r="58">
          <cell r="A58">
            <v>0</v>
          </cell>
        </row>
      </sheetData>
      <sheetData sheetId="590">
        <row r="58">
          <cell r="A58">
            <v>0</v>
          </cell>
        </row>
      </sheetData>
      <sheetData sheetId="591">
        <row r="58">
          <cell r="A58">
            <v>0</v>
          </cell>
        </row>
      </sheetData>
      <sheetData sheetId="592">
        <row r="58">
          <cell r="A58">
            <v>0</v>
          </cell>
        </row>
      </sheetData>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row r="58">
          <cell r="A58" t="str">
            <v>첨     부 :</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ow r="58">
          <cell r="A58" t="str">
            <v>첨     부 :</v>
          </cell>
        </row>
      </sheetData>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row r="58">
          <cell r="A58" t="str">
            <v>첨     부 :</v>
          </cell>
        </row>
      </sheetData>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수입"/>
      <sheetName val="유림골조"/>
      <sheetName val="Sheet1"/>
      <sheetName val="VC2 9.98"/>
      <sheetName val="공통비총괄표"/>
      <sheetName val="11월 실적"/>
      <sheetName val="내역서"/>
      <sheetName val="h-013211-2"/>
      <sheetName val="slipsumpR"/>
      <sheetName val="TUAS"/>
      <sheetName val="STAND20"/>
      <sheetName val="직원동원SCH"/>
      <sheetName val="#REF"/>
      <sheetName val="Cash2"/>
      <sheetName val="Z"/>
      <sheetName val="간접비 총괄표"/>
      <sheetName val="잡비계산"/>
      <sheetName val="손익차9월2"/>
      <sheetName val="VC2 8.98"/>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집계표(육상)"/>
      <sheetName val="지급자재"/>
      <sheetName val="집계표"/>
      <sheetName val="P.M 별"/>
      <sheetName val="개시전표"/>
      <sheetName val="공사집계"/>
      <sheetName val="카메라"/>
      <sheetName val="BM"/>
      <sheetName val="TOWER 12TON"/>
      <sheetName val="TOWER 10TON"/>
      <sheetName val="JIB CRANE,HOIST"/>
      <sheetName val="사업부배부A"/>
      <sheetName val="청산공사"/>
      <sheetName val="금액내역서"/>
      <sheetName val="8.PILE  (돌출)"/>
      <sheetName val="6PILE  (돌출)"/>
      <sheetName val="예정(3)"/>
      <sheetName val="기준"/>
      <sheetName val="PRO_DCI"/>
      <sheetName val="ELEC_DCI"/>
      <sheetName val="INST_DCI"/>
      <sheetName val="2000.11월설계내역"/>
      <sheetName val="발주코드"/>
      <sheetName val="주관사업"/>
      <sheetName val="수주추진리스트"/>
      <sheetName val="TK판매비impact"/>
      <sheetName val="TK판매비"/>
      <sheetName val="수주집계"/>
      <sheetName val="TK외판매비impact"/>
      <sheetName val="Vendors"/>
      <sheetName val="운반"/>
      <sheetName val="단중"/>
      <sheetName val="품셈표"/>
      <sheetName val="을지"/>
      <sheetName val="안전장치"/>
      <sheetName val="HKDSUMM"/>
      <sheetName val="산거각호표"/>
      <sheetName val="Sheet4"/>
      <sheetName val="2.1.2예정공정율(칼라)"/>
      <sheetName val="D-623D"/>
      <sheetName val="TTL"/>
      <sheetName val="산근"/>
      <sheetName val="연돌일위집계"/>
      <sheetName val="업체별SV단가"/>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4.0 (2)"/>
      <sheetName val="대비표"/>
      <sheetName val="집계표(OPTION)"/>
      <sheetName val="당초"/>
      <sheetName val="예가표"/>
      <sheetName val="지급제한자"/>
      <sheetName val="부대집계표(목표반영)"/>
      <sheetName val="단가대비표"/>
      <sheetName val="일위대가(가설)"/>
      <sheetName val="노임단가"/>
      <sheetName val="개요"/>
      <sheetName val="배수내역"/>
      <sheetName val="BQMPALOC"/>
      <sheetName val="15 문제점"/>
      <sheetName val="공사비집계"/>
      <sheetName val="_"/>
      <sheetName val="M-EQPT-Z"/>
      <sheetName val="B"/>
      <sheetName val="찍기"/>
      <sheetName val="REPORT07"/>
      <sheetName val="소화실적"/>
      <sheetName val="단가비교"/>
      <sheetName val="99년하반기"/>
      <sheetName val="매각(6)"/>
      <sheetName val="공문"/>
      <sheetName val="상반기손익차2총괄"/>
      <sheetName val="과제정의서"/>
      <sheetName val="Sheet7"/>
      <sheetName val="노동부"/>
      <sheetName val="5사남"/>
      <sheetName val="드롭다운"/>
      <sheetName val="BQMP"/>
      <sheetName val="Rate Analysis"/>
      <sheetName val="산출근거"/>
      <sheetName val="Disc WF (최종)"/>
      <sheetName val="Weekly WV %"/>
      <sheetName val="등급기준"/>
      <sheetName val="구분정의"/>
      <sheetName val="수지계산"/>
      <sheetName val="안산기계장치"/>
      <sheetName val="95삼성급(본사)"/>
      <sheetName val="차트 (2)"/>
      <sheetName val=""/>
      <sheetName val="업무분장"/>
      <sheetName val="Work Trade Code"/>
      <sheetName val="Sheet3"/>
      <sheetName val="목록 &amp; 환율표"/>
      <sheetName val="DHEQSUPT"/>
      <sheetName val="건설기계"/>
      <sheetName val="노임"/>
      <sheetName val="단가산출"/>
      <sheetName val="사급자재"/>
      <sheetName val="SHEET"/>
      <sheetName val="표지"/>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토목"/>
      <sheetName val="인원계획"/>
      <sheetName val="연수원"/>
      <sheetName val="97년 SEACO예산"/>
      <sheetName val="영업소실적"/>
      <sheetName val="MEED"/>
      <sheetName val="목록"/>
      <sheetName val="DRUM"/>
      <sheetName val="4.3물량INDEX검토"/>
      <sheetName val="명부(최종)"/>
      <sheetName val="조합원세부항목(작업)"/>
      <sheetName val="50%"/>
      <sheetName val="명부"/>
      <sheetName val="공통부대비"/>
      <sheetName val="선택목록"/>
      <sheetName val="인력(현장,직원)"/>
      <sheetName val="실행내역"/>
      <sheetName val="제출계산서"/>
      <sheetName val="12CGOU"/>
      <sheetName val="Embank"/>
      <sheetName val="1.설계조건"/>
      <sheetName val="G.R300경비"/>
      <sheetName val="A-4"/>
      <sheetName val="8-31-98"/>
      <sheetName val="worksheet inchican"/>
      <sheetName val="combined 9-30"/>
      <sheetName val="입찰내역 발주처 양식"/>
      <sheetName val="0.간접비기준"/>
      <sheetName val="Lumpsum-1"/>
      <sheetName val="Lumpsum-3"/>
      <sheetName val="간접비(1)"/>
      <sheetName val="종후자산호수별가격"/>
      <sheetName val="경영현황"/>
      <sheetName val="내역"/>
      <sheetName val="BOJUNGGM"/>
      <sheetName val="A"/>
      <sheetName val="AC"/>
      <sheetName val="정형의견"/>
      <sheetName val="은행"/>
      <sheetName val="실행철강하도"/>
      <sheetName val="상 부"/>
      <sheetName val="목표세부명세"/>
      <sheetName val="수주현황2월"/>
      <sheetName val="환율"/>
      <sheetName val="4KEB"/>
      <sheetName val="4. 해외출장비"/>
      <sheetName val="p&amp;m"/>
      <sheetName val="1"/>
      <sheetName val="FitOutConfCentre"/>
      <sheetName val="BOQ"/>
      <sheetName val="PROGRAM"/>
      <sheetName val="CASHFLOW"/>
      <sheetName val="Perm. Test"/>
      <sheetName val="Daftar Sewa"/>
      <sheetName val="Peralatan"/>
      <sheetName val="Peralatan (2)"/>
      <sheetName val="Analisa Alat"/>
      <sheetName val="Option"/>
      <sheetName val="97 사업추정(WEKI)"/>
      <sheetName val="통합"/>
      <sheetName val="7.4 유가 변동 예비비"/>
      <sheetName val="공사비총괄표"/>
      <sheetName val="inter"/>
      <sheetName val="Parameter"/>
      <sheetName val="piedathot"/>
      <sheetName val="projcasflo"/>
      <sheetName val="금융"/>
      <sheetName val="jadw"/>
      <sheetName val="Dropdown"/>
      <sheetName val="Database"/>
      <sheetName val="Rate_Analysis"/>
      <sheetName val="15_문제점"/>
      <sheetName val="ESCON"/>
      <sheetName val="EE-PROP"/>
      <sheetName val="SG"/>
      <sheetName val="조도"/>
      <sheetName val="Grf"/>
      <sheetName val="1-Schedule"/>
      <sheetName val="0-Quantity"/>
      <sheetName val="실행예산SHEET도장재검토"/>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1-G1"/>
      <sheetName val="CTEMCOST"/>
      <sheetName val="자바라1"/>
      <sheetName val="해외 연수비용 계산-삭제"/>
      <sheetName val="Wind Load(3.1) (2)"/>
      <sheetName val="Wind Load(3.2)"/>
      <sheetName val="Wind Load(3.4)"/>
      <sheetName val="Ord"/>
      <sheetName val="Key Data"/>
      <sheetName val="금융비용"/>
      <sheetName val="교각계산"/>
      <sheetName val="INPUT"/>
      <sheetName val="터파기및재료"/>
      <sheetName val="수안보-MBR1"/>
      <sheetName val="2.2 띠장의 설계"/>
      <sheetName val="시산표"/>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Labour"/>
      <sheetName val="Material"/>
      <sheetName val="Plant &amp;  Machinery"/>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Benchmark"/>
      <sheetName val="MOS"/>
      <sheetName val="지원시설 내역서(154kV)"/>
      <sheetName val="카5"/>
      <sheetName val="ELECTRIC"/>
      <sheetName val="page 6"/>
      <sheetName val="INSTR"/>
      <sheetName val="Piping Design Data"/>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石炭性状"/>
      <sheetName val="Takeoff"/>
      <sheetName val="N賃率-職"/>
      <sheetName val="Analisa (me)"/>
      <sheetName val="pro ra op"/>
      <sheetName val="grafik"/>
      <sheetName val="Indirect"/>
      <sheetName val="Rekap (2)"/>
      <sheetName val="Analisa Transport"/>
      <sheetName val="electrical Work Price List (2)"/>
      <sheetName val="ANALISA CABLE"/>
      <sheetName val="갑지(추정)"/>
      <sheetName val="조명시설"/>
      <sheetName val="TB"/>
      <sheetName val="BS"/>
      <sheetName val="부산제일극장"/>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110919)부산정관집단에너지사업차환현안검토.xlsx"/>
      <sheetName val="코드"/>
      <sheetName val="조정사유"/>
      <sheetName val="1-1"/>
      <sheetName val="Trade Summary"/>
      <sheetName val="BUR "/>
      <sheetName val="TSA"/>
      <sheetName val="15.Rd"/>
      <sheetName val="본선 토공 분배표"/>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Cost Summary"/>
      <sheetName val="Sheet179"/>
      <sheetName val="지가변동률계산(2021.07"/>
      <sheetName val="FAB별"/>
      <sheetName val="수급집계"/>
      <sheetName val="전선봉양3호"/>
      <sheetName val="본사운영비"/>
      <sheetName val="2. 계정별 집계표"/>
      <sheetName val="Existing PC Pavem¬_x0000_Ԁ"/>
      <sheetName val="4_3물량INDEX검_x0000_"/>
      <sheetName val="단면 (2)"/>
      <sheetName val="Status by Codes"/>
      <sheetName val="MHRS"/>
      <sheetName val="UPH,BHN,ALT"/>
      <sheetName val="Analis harga"/>
      <sheetName val="UNIT 3"/>
      <sheetName val="Utility and Fire flange"/>
      <sheetName val="intr stool brkup"/>
      <sheetName val="대로근거"/>
      <sheetName val="중로근거"/>
      <sheetName val="1,2,3,4,5단위수량"/>
      <sheetName val="변경내역대비표(2)"/>
      <sheetName val="유림콘도"/>
      <sheetName val="Trans"/>
      <sheetName val="Raw Data"/>
      <sheetName val="cash budget"/>
      <sheetName val="Referencias"/>
      <sheetName val="OCT"/>
      <sheetName val="Material Selections"/>
      <sheetName val="Rates"/>
      <sheetName val="전기 BM_revA('090624).xls"/>
      <sheetName val="表二"/>
      <sheetName val="실행"/>
      <sheetName val="Sheet17"/>
      <sheetName val="PI"/>
      <sheetName val="Settings"/>
      <sheetName val="DWTables"/>
      <sheetName val="백분율"/>
      <sheetName val="D-3109"/>
      <sheetName val="4-Lane bridge"/>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경비2내역"/>
      <sheetName val="2.내역서"/>
      <sheetName val="REQ_REMARKS"/>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손익차총괄2"/>
      <sheetName val="기성내역"/>
      <sheetName val="Bill summary of cost"/>
      <sheetName val="DL"/>
      <sheetName val="RFP002"/>
      <sheetName val="분석"/>
      <sheetName val="ENE-CAL"/>
      <sheetName val="CAL1"/>
      <sheetName val="단면치수"/>
      <sheetName val="Sheet13"/>
      <sheetName val="A3"/>
      <sheetName val="Sheet14"/>
      <sheetName val="P-J"/>
      <sheetName val="Plant_&amp;__Machinery"/>
      <sheetName val="A.O.R."/>
      <sheetName val="U-RATE"/>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L3 -13FF (2)"/>
      <sheetName val="개시대사 (2)"/>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단가"/>
      <sheetName val="집계"/>
      <sheetName val="전 기"/>
      <sheetName val="간접비계산"/>
      <sheetName val="총괄내역서"/>
      <sheetName val="4334-Summary"/>
      <sheetName val="II손익관리"/>
      <sheetName val="0226"/>
      <sheetName val="Wind Load(3.1) (_x0000__x0000_"/>
      <sheetName val="프랜트면허"/>
      <sheetName val="토목주소"/>
      <sheetName val="4_3물량INDE_x0000__x0000_Ԁ"/>
      <sheetName val="Existing PC Pavem¬"/>
      <sheetName val="공사비예산서(토목분)"/>
      <sheetName val="10"/>
      <sheetName val="5"/>
      <sheetName val="Sheet472"/>
      <sheetName val="Wall1"/>
      <sheetName val="포설list원본"/>
      <sheetName val="화전내"/>
      <sheetName val="design load"/>
      <sheetName val="working load at the btm ft."/>
      <sheetName val="stability check"/>
      <sheetName val="design criteria"/>
      <sheetName val="plan&amp;section of foundation"/>
      <sheetName val="기계내역서"/>
      <sheetName val="건축내역"/>
      <sheetName val="물량표"/>
      <sheetName val="MAIN GATE HOUSE"/>
      <sheetName val="CT Thang Mo"/>
      <sheetName val="CT  PL"/>
      <sheetName val="Memb Schd"/>
      <sheetName val="소방사항"/>
      <sheetName val="간접비"/>
      <sheetName val="카드채권(대출포함)"/>
      <sheetName val="Overall"/>
      <sheetName val="4_3물량I刀_x0010__x0000__x0000__x0000__x0000_"/>
      <sheetName val="월별사업계획_조정"/>
      <sheetName val="설비2차"/>
      <sheetName val="대공종"/>
      <sheetName val="EQT-ESTN"/>
      <sheetName val="DUT-BAT1"/>
      <sheetName val="Existing PC Pavem刀_x0010__x0000_"/>
      <sheetName val="소일위대가코드표"/>
      <sheetName val="cash_budget"/>
      <sheetName val="Material_Selections"/>
      <sheetName val="전기_BM_revA('090624)_xls"/>
      <sheetName val="Raw_Data"/>
      <sheetName val="2_내역서"/>
      <sheetName val="4-Lane_bridge"/>
      <sheetName val="(10)_Other_Costs5"/>
      <sheetName val="Cash_Out_Table"/>
      <sheetName val="Net_Cash_Table"/>
      <sheetName val="Item#9_3"/>
      <sheetName val="Item#1_9"/>
      <sheetName val="Item#6_7"/>
      <sheetName val="Item#2_6"/>
      <sheetName val="Item#4_10"/>
      <sheetName val="Item#5_8"/>
      <sheetName val="Item#7_21"/>
      <sheetName val="Item#3_8"/>
      <sheetName val="Item#8_7"/>
      <sheetName val="Equipt_Rental"/>
      <sheetName val="05__VO_Log_(Master_Data)"/>
      <sheetName val="BOQ_segment3_(Part_C-H)"/>
      <sheetName val="BOQ_segment3_(PartB)"/>
      <sheetName val="UPA(Part_C,D,E,G,H)"/>
      <sheetName val="UPA(Part_F)"/>
      <sheetName val="일위대가_(Part_C,D,E,G,H)"/>
      <sheetName val="HaulingLine_hardware"/>
      <sheetName val="WTB-STAR_CINEMA"/>
      <sheetName val="VC2_10_99"/>
      <sheetName val="personnel_loading"/>
      <sheetName val="Dir-Conc_"/>
      <sheetName val="ﾄﾞﾊﾞｲFUEL_GAS追見"/>
      <sheetName val="MATERIAL'S_PRICE"/>
      <sheetName val="4300_UTILITY_BLDG_(2)"/>
      <sheetName val="sum_mdc"/>
      <sheetName val="Division_3000"/>
      <sheetName val="Price_Summary_(1)"/>
      <sheetName val="Price_Summary_(2)"/>
      <sheetName val="4_3물량INDE"/>
      <sheetName val="CMTD"/>
      <sheetName val="2.집계표"/>
      <sheetName val="2.집계표_본사"/>
      <sheetName val="CivilwkÀ_x0000_最_x0002__x0000__x0000__x0000_"/>
      <sheetName val="노임이"/>
      <sheetName val="Total"/>
      <sheetName val="SPT vs PHI"/>
      <sheetName val="1062-X방향 "/>
      <sheetName val="공사개요"/>
      <sheetName val="국내사업실 상세 (2)"/>
      <sheetName val="bi-mnthly rep Villa"/>
      <sheetName val="SD_ELECTRICAL MH1"/>
      <sheetName val="OCC"/>
      <sheetName val="Personnel"/>
      <sheetName val="해외 기술훈련비 (합계)"/>
      <sheetName val="직간접비 집계표"/>
      <sheetName val="RCF CLAIMED"/>
      <sheetName val="Analysis"/>
      <sheetName val="MAY 00-Bobbins"/>
      <sheetName val="TOSHIBA-Structure"/>
      <sheetName val="Computed Floor Area"/>
      <sheetName val="Ex-Rate"/>
      <sheetName val="DESBAST"/>
      <sheetName val="Bill 3 -BPO1"/>
      <sheetName val="Bill 3 -BPO2"/>
      <sheetName val="Bill 2 -RETAIL"/>
      <sheetName val="Basis"/>
      <sheetName val="CIM"/>
      <sheetName val="단면가정"/>
      <sheetName val="설계조건"/>
      <sheetName val="CONTRACT-SUM"/>
      <sheetName val="mat'ls"/>
      <sheetName val="hauling"/>
      <sheetName val="N-CRAM"/>
      <sheetName val="Other"/>
      <sheetName val="TABLES"/>
      <sheetName val="공사내역"/>
      <sheetName val="Candy ee"/>
      <sheetName val="ind'l cp"/>
      <sheetName val="C_E"/>
      <sheetName val="DataSheet"/>
      <sheetName val="(실사조정)총괄"/>
      <sheetName val="Cover_Sheet5"/>
      <sheetName val="Project_Outline5"/>
      <sheetName val="Contractual_Amount5"/>
      <sheetName val="TENDER_vs_BUDGET5"/>
      <sheetName val="직영_vs_하청_-_25"/>
      <sheetName val="96_당초Schedule5"/>
      <sheetName val="96_Performance5"/>
      <sheetName val="소화-투입_분석표5"/>
      <sheetName val="STF_ORG(K)5"/>
      <sheetName val="Staff_Org__Chart5"/>
      <sheetName val="Scope_of_Work5"/>
      <sheetName val="Design_Status5"/>
      <sheetName val="DWG_Status5"/>
      <sheetName val="MAT'L_Status5"/>
      <sheetName val="Install_Status5"/>
      <sheetName val="Staff_Mob__Plan5"/>
      <sheetName val="M_P_Mob__Plan5"/>
      <sheetName val="Eq__Mobilization10"/>
      <sheetName val="Eq__Mobilization11"/>
      <sheetName val="VC2_9_985"/>
      <sheetName val="11월_실적5"/>
      <sheetName val="간접비_총괄표5"/>
      <sheetName val="VC2_8_985"/>
      <sheetName val="P_M_별4"/>
      <sheetName val="TOWER_12TON5"/>
      <sheetName val="TOWER_10TON5"/>
      <sheetName val="JIB_CRANE,HOIST5"/>
      <sheetName val="8_PILE__(돌출)4"/>
      <sheetName val="6PILE__(돌출)4"/>
      <sheetName val="2000_11월설계내역4"/>
      <sheetName val="2_1_2예정공정율(칼라)4"/>
      <sheetName val="ITC_현황4"/>
      <sheetName val="1_1_Overall_Progress4"/>
      <sheetName val="4_0_(2)4"/>
      <sheetName val="15_문제점3"/>
      <sheetName val="Rate_Analysis3"/>
      <sheetName val="Disc_WF_(최종)3"/>
      <sheetName val="Weekly_WV_%3"/>
      <sheetName val="차트_(2)3"/>
      <sheetName val="Work_Trade_Code3"/>
      <sheetName val="목록_&amp;_환율표3"/>
      <sheetName val="1_설계조건3"/>
      <sheetName val="97년_SEACO예산3"/>
      <sheetName val="4_3물량INDEX검토3"/>
      <sheetName val="G_R300경비3"/>
      <sheetName val="worksheet_inchican3"/>
      <sheetName val="combined_9-303"/>
      <sheetName val="입찰내역_발주처_양식3"/>
      <sheetName val="0_간접비기준3"/>
      <sheetName val="상_부3"/>
      <sheetName val="4__해외출장비2"/>
      <sheetName val="Perm__Test2"/>
      <sheetName val="Daftar_Sewa2"/>
      <sheetName val="Peralatan_(2)2"/>
      <sheetName val="Analisa_Alat2"/>
      <sheetName val="97_사업추정(WEKI)2"/>
      <sheetName val="7_4_유가_변동_예비비2"/>
      <sheetName val="GRP_PIPING2"/>
      <sheetName val="BM_2"/>
      <sheetName val="DWG_LIST2"/>
      <sheetName val="자격_땡겨오기2"/>
      <sheetName val="5_소재2"/>
      <sheetName val="w't_table2"/>
      <sheetName val="kich_thuoc2"/>
      <sheetName val="임율_Data2"/>
      <sheetName val="REV_42"/>
      <sheetName val="BEND_LOSS2"/>
      <sheetName val="CI_2"/>
      <sheetName val="TRUCK_HAUL_CYCLE-waste2"/>
      <sheetName val="Land_Dev't__Ph-12"/>
      <sheetName val="Shut_down2"/>
      <sheetName val="Schedule_S-Curve_Revision#32"/>
      <sheetName val="Code_072"/>
      <sheetName val="해외_연수비용_계산-삭제2"/>
      <sheetName val="Wind_Load(3_1)_(2)2"/>
      <sheetName val="Wind_Load(3_2)2"/>
      <sheetName val="Wind_Load(3_4)2"/>
      <sheetName val="Key_Data2"/>
      <sheetName val="2_2_띠장의_설계2"/>
      <sheetName val="Plant_&amp;__Machinery1"/>
      <sheetName val="Power_&amp;_control_cables2"/>
      <sheetName val="Earthing_Cables_2"/>
      <sheetName val="tabulation_of_deductions2"/>
      <sheetName val="Civilwks_Deriv2"/>
      <sheetName val="Str_Deriv2"/>
      <sheetName val="Existing_PC_Pavement2"/>
      <sheetName val="2_223M_due_to_adj_profit2"/>
      <sheetName val="CABLE_DATA2"/>
      <sheetName val="GESTION_FICHE2"/>
      <sheetName val="TRADUCTION_LISTES2"/>
      <sheetName val="Costi_di_prod__E1_022"/>
      <sheetName val="IRR_sponsor2"/>
      <sheetName val="Material_Price2"/>
      <sheetName val="Assump_(Time)_-_Project_Co_2"/>
      <sheetName val="지원시설_내역서(154kV)2"/>
      <sheetName val="page_61"/>
      <sheetName val="Piping_Design_Data1"/>
      <sheetName val="Soil_Parameter1"/>
      <sheetName val="Cashflow_Analysis1"/>
      <sheetName val="DHS_AC1"/>
      <sheetName val="iTEM_hARSAT1"/>
      <sheetName val="analis_standar(20m)1"/>
      <sheetName val="ANAL_BETON1"/>
      <sheetName val="BM_DATA_SHEET1"/>
      <sheetName val="DATA_PROYEK1"/>
      <sheetName val="BA_Evaluasi1"/>
      <sheetName val="Permhnan_CCO1"/>
      <sheetName val="Persetujuan_CCO1"/>
      <sheetName val="Rekap_MC1"/>
      <sheetName val="Penyampaian_Evaluasi1"/>
      <sheetName val="R__RapatCCO1"/>
      <sheetName val="DAFTAR_HARGA1"/>
      <sheetName val="Fill_this_out_first___1"/>
      <sheetName val="Master_1_01"/>
      <sheetName val="Rekap_Addendum1"/>
      <sheetName val="H_Satuan1"/>
      <sheetName val="7__Comparison_of_Asphalt_etc1"/>
      <sheetName val="Analisa_Harga_Satuan1"/>
      <sheetName val="Hit_Vol_Str_Jambi1"/>
      <sheetName val="PE-F-33_Rev_02_Basic_Proj_Info1"/>
      <sheetName val="PE-F-31_Rev_01_Coversheet1"/>
      <sheetName val="_PE-F-42_MR_9_Manpower1"/>
      <sheetName val="AT_21"/>
      <sheetName val="DAFTAR_ISI1"/>
      <sheetName val="SUMMARY_(2)1"/>
      <sheetName val="Analisa_(me)1"/>
      <sheetName val="pro_ra_op1"/>
      <sheetName val="Rekap_(2)1"/>
      <sheetName val="Analisa_Transport1"/>
      <sheetName val="electrical_Work_Price_List_(2)1"/>
      <sheetName val="ANALISA_CABLE1"/>
      <sheetName val="(110919)부산정관집단에너지사업차환현안검토_xlsx1"/>
      <sheetName val="Cost_Summary1"/>
      <sheetName val="Trade_Summary1"/>
      <sheetName val="BUR_1"/>
      <sheetName val="15_Rd1"/>
      <sheetName val="본선_토공_분배표1"/>
      <sheetName val="지가변동률계산(2021_071"/>
      <sheetName val="2__계정별_집계표1"/>
      <sheetName val="단면_(2)1"/>
      <sheetName val="Status_by_Codes1"/>
      <sheetName val="Analis_harga1"/>
      <sheetName val="UNIT_31"/>
      <sheetName val="Utility_and_Fire_flange1"/>
      <sheetName val="intr_stool_brkup1"/>
      <sheetName val="Bill_summary_of_cost"/>
      <sheetName val="SPARE_PART"/>
      <sheetName val="A_O_R_"/>
      <sheetName val="L3_-13FF_(2)"/>
      <sheetName val="Wind_Load(3_1)_("/>
      <sheetName val="Existing_PC_Pavem¬"/>
      <sheetName val="개시대사_(2)"/>
      <sheetName val="Hac_Lots"/>
      <sheetName val="Res_Lots"/>
      <sheetName val="Spine_Road"/>
      <sheetName val="STATUS_REPORT"/>
      <sheetName val="Resource_Summary"/>
      <sheetName val="Cash_Flow_bulanan"/>
      <sheetName val="전_기"/>
      <sheetName val="design_load"/>
      <sheetName val="working_load_at_the_btm_ft_"/>
      <sheetName val="stability_check"/>
      <sheetName val="design_criteria"/>
      <sheetName val="plan&amp;section_of_foundation"/>
      <sheetName val="MAIN_GATE_HOUSE"/>
      <sheetName val="CT_Thang_Mo"/>
      <sheetName val="CT__PL"/>
      <sheetName val="Memb_Schd"/>
      <sheetName val="author_spending"/>
      <sheetName val="MATL"/>
      <sheetName val="BOQ(검토용)"/>
      <sheetName val="UPA"/>
      <sheetName val="EQUI"/>
      <sheetName val="LABOR"/>
      <sheetName val="Tabulation "/>
      <sheetName val="reinforce"/>
      <sheetName val="材料マスタ"/>
      <sheetName val="バルブ材質選定データ"/>
      <sheetName val="as boq list up"/>
      <sheetName val="Named Range"/>
      <sheetName val="Summary of Cost"/>
      <sheetName val="ML"/>
      <sheetName val="(COV)"/>
      <sheetName val="co-no.2"/>
      <sheetName val="LOADDAT"/>
      <sheetName val="sort"/>
      <sheetName val="SANBAISU"/>
      <sheetName val="SANTOGO"/>
      <sheetName val="Progress Tables"/>
      <sheetName val="MTO REV.2(ARMOR)"/>
      <sheetName val="LLEGADA"/>
      <sheetName val="GRSummary"/>
      <sheetName val="RFP Codes"/>
      <sheetName val="revised#1"/>
      <sheetName val="Library"/>
      <sheetName val="DPA3A-1"/>
      <sheetName val="ref"/>
      <sheetName val="세금자료"/>
      <sheetName val="비품"/>
      <sheetName val="choose"/>
      <sheetName val="Schedule S-Curve (new scheme)"/>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Bin"/>
      <sheetName val="3.현장배치"/>
      <sheetName val="prelims"/>
      <sheetName val="EquipList"/>
      <sheetName val="GenReq"/>
      <sheetName val="CWDerivation"/>
      <sheetName val="IS033106"/>
      <sheetName val="SITE-E"/>
      <sheetName val="Cash-Flow"/>
      <sheetName val="ATD"/>
      <sheetName val="性能取り纏め"/>
      <sheetName val="CONPRIS"/>
      <sheetName val="dervstruc"/>
      <sheetName val="MANHOLE"/>
      <sheetName val="Progress Curve"/>
      <sheetName val="SUM-AIR-Submit"/>
      <sheetName val="IBASE"/>
      <sheetName val="TYPE-A"/>
      <sheetName val="LOADS"/>
      <sheetName val="Testing"/>
      <sheetName val="Electrical Pricelist"/>
      <sheetName val="prod-rates2"/>
      <sheetName val="6MONTHS"/>
      <sheetName val="FINANCIAL (FLR)"/>
      <sheetName val="Derive"/>
      <sheetName val="SC Cost FEB 03"/>
      <sheetName val="HRG BAHAN &amp; UPAH okk"/>
      <sheetName val="Analisa SNI STANDART "/>
      <sheetName val="Analis Kusen okk"/>
      <sheetName val="Direct Labor Cost"/>
      <sheetName val="GC-2"/>
      <sheetName val="D-3503"/>
      <sheetName val="anal.P"/>
      <sheetName val="4-Basic Price"/>
      <sheetName val="5-ALAT(1)"/>
      <sheetName val="bq"/>
      <sheetName val="STR"/>
      <sheetName val="harga"/>
      <sheetName val="upah"/>
      <sheetName val="Rupiah"/>
      <sheetName val="Harga Dasar"/>
      <sheetName val="Alat (1)"/>
      <sheetName val="Direct Labor"/>
      <sheetName val="Basic Price"/>
      <sheetName val="Tunnel ( 8,0 x 4,6 )"/>
      <sheetName val="Harga material_1"/>
      <sheetName val="Ana. PU"/>
      <sheetName val="3 Organisasi"/>
      <sheetName val="구의33고"/>
      <sheetName val="Air Cooler-E"/>
      <sheetName val="STAND98"/>
      <sheetName val="간접비내역-1"/>
      <sheetName val="Final Certificate"/>
      <sheetName val="Civilwk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1"/>
      <sheetName val="#REF"/>
      <sheetName val="참고용"/>
      <sheetName val="참고용 (2)"/>
      <sheetName val="COMPARISON TABLE"/>
      <sheetName val="Eq. Mobilization"/>
      <sheetName val="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Final(1)summary"/>
      <sheetName val="12CGOU"/>
      <sheetName val="Chart"/>
      <sheetName val="B"/>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A"/>
      <sheetName val="Cash2"/>
      <sheetName val="Z"/>
      <sheetName val="산근"/>
      <sheetName val="PNTEXT"/>
      <sheetName val="EE-PROP"/>
      <sheetName val="Planning&amp;reporting"/>
      <sheetName val="DRUM"/>
      <sheetName val="Onerous Terms"/>
      <sheetName val="집계표"/>
      <sheetName val="INVOICE_CERT EIV'S"/>
      <sheetName val="0000"/>
      <sheetName val="EQUIPMENT"/>
      <sheetName val="자금운영"/>
      <sheetName val="도"/>
      <sheetName val="Basic"/>
      <sheetName val="Building BD"/>
      <sheetName val="jobhist"/>
      <sheetName val=" Sum"/>
      <sheetName val="TTL"/>
      <sheetName val="MTP"/>
      <sheetName val="INSTR"/>
      <sheetName val="실제 도면출도"/>
      <sheetName val="SOHAR(2nd)"/>
      <sheetName val="공사비 내역 (가)"/>
      <sheetName val="嗔5喸5"/>
      <sheetName val="ENE-CAL"/>
      <sheetName val="plan&amp;section of foundation"/>
      <sheetName val="design criteria"/>
      <sheetName val="CAL"/>
      <sheetName val="#REF"/>
      <sheetName val="대비표"/>
      <sheetName val="w't table"/>
      <sheetName val="BQMP"/>
      <sheetName val="DESCRIPTION"/>
      <sheetName val="BM DATA SHEET"/>
      <sheetName val="Eq. Mobilization"/>
      <sheetName val="당초"/>
      <sheetName val="표지"/>
      <sheetName val="D-623D"/>
      <sheetName val="33628-Rev. A"/>
      <sheetName val="Progress Tab"/>
      <sheetName val="BATCH"/>
      <sheetName val="具志川H社"/>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ORIGINAL"/>
      <sheetName val="입찰내역 발주처 양식"/>
      <sheetName val="기계내역서"/>
      <sheetName val="CASH"/>
      <sheetName val=""/>
      <sheetName val="BM"/>
      <sheetName val="집계표(OPTION)"/>
      <sheetName val="Sheet1"/>
      <sheetName val="合成単価作成表-BLDG"/>
      <sheetName val="Kuan&amp;Har(PT)"/>
      <sheetName val="Alat"/>
      <sheetName val="WIP"/>
      <sheetName val="AC"/>
      <sheetName val="LinerWt"/>
      <sheetName val="Sheet4"/>
      <sheetName val="M 11"/>
      <sheetName val="PIPING"/>
      <sheetName val="기둥(원형)"/>
      <sheetName val="목표세부명세"/>
      <sheetName val="member design"/>
      <sheetName val="Sheet13"/>
      <sheetName val="Sheet14"/>
      <sheetName val="공사비SUM"/>
      <sheetName val="PC CATCH PIT 1X1X1.2M"/>
      <sheetName val="PC CATCH PIT .6X.6X1.0M"/>
      <sheetName val="PC COVER 100MM THK .95x.3"/>
      <sheetName val="PC COVER 250MM THK 2.2x.3"/>
      <sheetName val="PRO_DCI"/>
      <sheetName val="INST_DCI"/>
      <sheetName val="HVAC_DCI"/>
      <sheetName val="PIPE_DCI"/>
      <sheetName val="기성내역"/>
      <sheetName val="INVOICE_CERT_EIV'S"/>
      <sheetName val="REINF."/>
      <sheetName val="SKETCH"/>
      <sheetName val="3. GROUNDING SYSTEM"/>
      <sheetName val="7102"/>
      <sheetName val="Running compatibility check _x0000_A_x0000_"/>
      <sheetName val="상반기손익차2총괄"/>
      <sheetName val="Adjusted Bids"/>
      <sheetName val="working load at the btm ft."/>
      <sheetName val="soil bearing check"/>
      <sheetName val="Chiet tinh dz35"/>
      <sheetName val="Proposal"/>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Hoja1"/>
      <sheetName val="Auxi"/>
      <sheetName val="Building_BD1"/>
      <sheetName val="Onerous_Terms1"/>
      <sheetName val="_Sum1"/>
      <sheetName val="설비"/>
      <sheetName val="공문"/>
      <sheetName val="A(Rev.3)"/>
      <sheetName val="뜃맟뭁돽띿맟?-BLDG"/>
      <sheetName val="Running compatibility check "/>
      <sheetName val="Running_compatibility_check_A"/>
      <sheetName val="3__GROUNDING_SYSTEM"/>
      <sheetName val="基数"/>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Breakdown-1"/>
      <sheetName val="Pipe"/>
      <sheetName val="Add"/>
      <sheetName val="산출내역서"/>
      <sheetName val="MCCSUM"/>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코드"/>
      <sheetName val="자바라1"/>
      <sheetName val="FitOutConfCentre"/>
      <sheetName val="[Planning&amp;reporting.xlsM9000-A"/>
      <sheetName val="Running compatibility check _x0"/>
      <sheetName val="RFP002"/>
      <sheetName val="A (2)"/>
      <sheetName val="1100"/>
      <sheetName val="datasheet"/>
      <sheetName val="C,E"/>
      <sheetName val="CALCULATION"/>
      <sheetName val="설계내역서"/>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Running compatibility check ?A?"/>
      <sheetName val="salary"/>
      <sheetName val="Cashflow Analysis"/>
      <sheetName val="Running compatibility check _A_"/>
      <sheetName val="Sheet"/>
      <sheetName val="Backup"/>
      <sheetName val="MTO"/>
      <sheetName val="Direct Prices"/>
      <sheetName val="Лист1"/>
      <sheetName val="뜃맟뭁돽띿맟_-BLDG"/>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00-Summary Information-ABB"/>
      <sheetName val="DO NOT Delete"/>
      <sheetName val="WORKSHEET CS"/>
      <sheetName val="DATA"/>
      <sheetName val="Petty"/>
      <sheetName val="page 6"/>
      <sheetName val="_Planning&amp;reporting.xlsM9000-A"/>
      <sheetName val="CODE"/>
      <sheetName val="J"/>
      <sheetName val="DATOS"/>
      <sheetName val="BAG-2"/>
      <sheetName val="[Planning&amp;reporting_xlsM9000-A"/>
      <sheetName val="Running_compatibility_check_?A?"/>
      <sheetName val="Running_compatibility_check__A_"/>
      <sheetName val="Running_compatibility_check__x0"/>
      <sheetName val="BID"/>
      <sheetName val="Cashflow_Analysis"/>
      <sheetName val="List_of_WorkPacks"/>
      <sheetName val="List_of_Dates"/>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A_(2)"/>
      <sheetName val="P-Ins &amp; Bonds"/>
      <sheetName val="P-Site fac"/>
      <sheetName val="P-Clients fac"/>
      <sheetName val="P Staff fac"/>
      <sheetName val="factor "/>
      <sheetName val="CASHFLOWS"/>
      <sheetName val="Structural Comp"/>
      <sheetName val="차액보증"/>
      <sheetName val="19.05.2010"/>
      <sheetName val="Earthworks ERP"/>
      <sheetName val="24.06.2010"/>
      <sheetName val="Small Structures ERP"/>
      <sheetName val="Large Structures ERP"/>
      <sheetName val="Tunnelling ERP"/>
      <sheetName val="0124"/>
      <sheetName val="vlookup - do not print"/>
      <sheetName val="Notes"/>
      <sheetName val="Structural_Comp"/>
      <sheetName val="Orçamento"/>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INVOICE_CERT_EIV'S7"/>
      <sheetName val="Onerous_Terms7"/>
      <sheetName val="Building_BD7"/>
      <sheetName val="_Sum7"/>
      <sheetName val="실제_도면출도6"/>
      <sheetName val="공사비_내역_(가)6"/>
      <sheetName val="plan&amp;section_of_foundation6"/>
      <sheetName val="design_criteria6"/>
      <sheetName val="Eq__Mobilization6"/>
      <sheetName val="w't_table6"/>
      <sheetName val="BM_DATA_SHEET6"/>
      <sheetName val="33628-Rev__A6"/>
      <sheetName val="입찰내역_발주처_양식6"/>
      <sheetName val="Progress_Tab6"/>
      <sheetName val="M_116"/>
      <sheetName val="REINF_6"/>
      <sheetName val="3__GROUNDING_SYSTEM6"/>
      <sheetName val="member_design5"/>
      <sheetName val="PC_CATCH_PIT_1X1X1_2M5"/>
      <sheetName val="PC_CATCH_PIT__6X_6X1_0M5"/>
      <sheetName val="PC_COVER_100MM_THK__95x_35"/>
      <sheetName val="PC_COVER_250MM_THK_2_2x_35"/>
      <sheetName val="Adjusted_Bids5"/>
      <sheetName val="working_load_at_the_btm_ft_5"/>
      <sheetName val="soil_bearing_check5"/>
      <sheetName val="Concept_Offshore5"/>
      <sheetName val="Chiet_tinh_dz355"/>
      <sheetName val="Running_compatibility_check_5"/>
      <sheetName val="A(Rev_3)5"/>
      <sheetName val="Calendar"/>
      <sheetName val="Rate Analysis"/>
      <sheetName val="COMPLEXALL"/>
      <sheetName val="EmpList"/>
      <sheetName val="Personnel"/>
      <sheetName val="Lists"/>
      <sheetName val="Time Rates "/>
      <sheetName val="Depreciation"/>
      <sheetName val="_Planning&amp;reporting_xlsM9000-A"/>
      <sheetName val="Pricing Summary"/>
      <sheetName val="Net Cost - Final Base"/>
      <sheetName val="7.6Net Cost Agreed on Dec-04 R1"/>
      <sheetName val="Net Cost Agreed on Dec-04 Rev1"/>
      <sheetName val="7.6 Net Cost Agreed on Dec-04"/>
      <sheetName val="Net Cost Agreed on Dec-04"/>
      <sheetName val="Total for Check"/>
      <sheetName val="ITB COST"/>
      <sheetName val="Civil Weekly"/>
      <sheetName val="유림콘도"/>
      <sheetName val="inter"/>
      <sheetName val="예산M11A"/>
      <sheetName val="drop down"/>
      <sheetName val="Sheet16"/>
      <sheetName val="CAPEX Categories"/>
      <sheetName val=" N Finansal Eğri"/>
      <sheetName val="1"/>
      <sheetName val="손익차9월2"/>
      <sheetName val="Menu"/>
      <sheetName val="Source Data"/>
      <sheetName val="0.0 Cover"/>
      <sheetName val="Hoja 3"/>
      <sheetName val="Cutoff"/>
      <sheetName val="MOS"/>
      <sheetName val="총괄"/>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sum"/>
      <sheetName val="Benchmark"/>
      <sheetName val="견적서표지0204-2 (2)"/>
      <sheetName val="Piping Spool"/>
      <sheetName val="Cost Definition"/>
      <sheetName val="견적 원가 "/>
      <sheetName val="부산제일극장"/>
      <sheetName val="유림골조"/>
      <sheetName val="FAB별"/>
      <sheetName val="Settings"/>
      <sheetName val="Sand"/>
      <sheetName val="Geotextile for geotube"/>
      <sheetName val="Geotube"/>
      <sheetName val="Hohlquader"/>
      <sheetName val="RD01"/>
      <sheetName val="WORKSHEET_CS"/>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S3-Costing"/>
      <sheetName val="S4-Costing"/>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Direct_Prices"/>
      <sheetName val="page_6"/>
      <sheetName val="DO_NOT_Delete"/>
      <sheetName val="00-Summary_Information-ABB"/>
      <sheetName val="1.INV"/>
      <sheetName val="2.Calculation Sheet"/>
      <sheetName val="Price Sheet"/>
      <sheetName val="3. Progress"/>
      <sheetName val="4. EDR"/>
      <sheetName val="sheet6"/>
      <sheetName val="DATA-DEP.(13-17)"/>
      <sheetName val="DATA-KBPL(17-25)"/>
      <sheetName val="DATA-GCC(25-34.7)"/>
      <sheetName val="St.-Con(0-17)"/>
      <sheetName val="St.-Con.(17-34)"/>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Summary (3)"/>
      <sheetName val="RRW Scaff"/>
      <sheetName val="RRW Oct-2019-1st Lot-13-10-19"/>
      <sheetName val="RRW Oct-2019-2st Lot-15-10-19"/>
      <sheetName val="GRAPH_DATA"/>
      <sheetName val="PERHITUNGAN  KEEKONOMIAN"/>
      <sheetName val="SENSITIVITAS"/>
      <sheetName val="RFP003_Building - B"/>
      <sheetName val="RFP005"/>
      <sheetName val="RFP006"/>
      <sheetName val="RFP012"/>
      <sheetName val="RFP009"/>
      <sheetName val="RFP004"/>
      <sheetName val="Salary 2013"/>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S"/>
      <sheetName val="Tgh JGC-Inv I clp"/>
      <sheetName val="PCS "/>
      <sheetName val="Progress Statement-SI"/>
      <sheetName val="Progress Payment-3110"/>
      <sheetName val="EQUI"/>
      <sheetName val="PROGRAM"/>
      <sheetName val="CASHFLOW"/>
      <sheetName val="[Planning&amp;reporting_xlsM9000-A1"/>
      <sheetName val="Cashflow_Analysis1"/>
      <sheetName val="Running_compatibility_check__x1"/>
      <sheetName val="List_of_WorkPacks1"/>
      <sheetName val="List_of_Dates1"/>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Running_compatibility_check_?A1"/>
      <sheetName val="Running_compatibility_check__A1"/>
      <sheetName val="A_(2)1"/>
      <sheetName val="Finansal tamamlanma Eğrisi"/>
      <sheetName val="INDIRECT OH&amp;P "/>
      <sheetName val="Hoja2"/>
      <sheetName val="Horas"/>
      <sheetName val="ABBR"/>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Cashflow_Analysis2"/>
      <sheetName val="Direct_Prices1"/>
      <sheetName val="WORKSHEET_CS1"/>
      <sheetName val="_Planning&amp;reporting_xlsM9000-A1"/>
      <sheetName val="00-Summary_Information-ABB1"/>
      <sheetName val="DO_NOT_DELETE1"/>
      <sheetName val="Time_Rates_1"/>
      <sheetName val="Structural_Comp1"/>
      <sheetName val="Time_Rates_"/>
      <sheetName val="목록박스"/>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97 사업추정(WEKI)"/>
      <sheetName val="BOM SUM"/>
      <sheetName val="Eng. Boq -1"/>
      <sheetName val="PFP,TIE COAT &amp; TOP FLG PAINTED"/>
      <sheetName val="Shop Modifications"/>
      <sheetName val="JI-2036 - Preservation"/>
      <sheetName val="Re-Application "/>
      <sheetName val="Sheet3"/>
      <sheetName val="L-FRAMES"/>
      <sheetName val="MM"/>
      <sheetName val="OLD (2)"/>
      <sheetName val="회사99"/>
      <sheetName val="Cable Schedule"/>
      <sheetName val="배5월출고"/>
      <sheetName val="Report Wizard"/>
      <sheetName val="Initial Plan"/>
      <sheetName val="Progress"/>
      <sheetName val="7422CW00"/>
      <sheetName val="LOADDAT"/>
      <sheetName val="개시대사 (2)"/>
      <sheetName val="BLDG_DCI"/>
      <sheetName val="BLDG_MCI"/>
      <sheetName val="P-산#1-1(WOWA1)"/>
      <sheetName val="부하계산서"/>
      <sheetName val="BQ-E20-02(Rp)"/>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Part"/>
      <sheetName val="Setup"/>
      <sheetName val="BOQ LIST"/>
      <sheetName val="17安"/>
      <sheetName val="P-Ins_&amp;_Bonds"/>
      <sheetName val="P-Site_fac"/>
      <sheetName val="P-Clients_fac"/>
      <sheetName val="P_Staff_fac"/>
      <sheetName val="factor_"/>
      <sheetName val="vlookup_-_do_not_print"/>
      <sheetName val="19_05_2010"/>
      <sheetName val="Earthworks_ERP"/>
      <sheetName val="24_06_2010"/>
      <sheetName val="Small_Structures_ERP"/>
      <sheetName val="Large_Structures_ERP"/>
      <sheetName val="Tunnelling_ERP"/>
      <sheetName val="Pricing_Summary"/>
      <sheetName val="Net_Cost_-_Final_Base"/>
      <sheetName val="7_6Net_Cost_Agreed_on_Dec-04_R1"/>
      <sheetName val="Net_Cost_Agreed_on_Dec-04_Rev1"/>
      <sheetName val="7_6_Net_Cost_Agreed_on_Dec-04"/>
      <sheetName val="Net_Cost_Agreed_on_Dec-04"/>
      <sheetName val="Total_for_Check"/>
      <sheetName val="Rate_Analysis"/>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SOS_PLC &amp; Panel"/>
      <sheetName val="2000년_#1_HB"/>
      <sheetName val="INSULATION R1"/>
      <sheetName val="L V Separator"/>
      <sheetName val="TACE"/>
      <sheetName val="MIBK원단위"/>
      <sheetName val="BAND(200)"/>
      <sheetName val="OUTER AREA(겹침없음)"/>
      <sheetName val="EG-09"/>
      <sheetName val="conta_rapor"/>
      <sheetName val="sonuç"/>
      <sheetName val="Follow-up"/>
      <sheetName val="Sayfa1"/>
      <sheetName val="Insulatıon_status"/>
      <sheetName val="APP-9"/>
      <sheetName val="MAPP"/>
      <sheetName val="rek det 1-3"/>
      <sheetName val="BP"/>
      <sheetName val="Inert Balls"/>
      <sheetName val="Fig 4-14"/>
      <sheetName val="Fig 5-17"/>
      <sheetName val="전체계좌"/>
      <sheetName val="8104"/>
      <sheetName val="1771"/>
      <sheetName val="Manpower List-1"/>
      <sheetName val="DAILY"/>
      <sheetName val="SUMMARY FOR DPR"/>
      <sheetName val="Index Daily Alloaction"/>
      <sheetName val="Manpower List"/>
      <sheetName val="A &amp; B"/>
      <sheetName val="breakdown"/>
      <sheetName val="마감물량"/>
      <sheetName val="Substation Column"/>
      <sheetName val="laborrates"/>
      <sheetName val="100(4)"/>
      <sheetName val="合成単価作成表_BLDG"/>
      <sheetName val="RefG"/>
      <sheetName val="IRR sponsor"/>
      <sheetName val="SG"/>
      <sheetName val="SPT vs PHI"/>
      <sheetName val="01-D.PERS"/>
      <sheetName val="Comp equip"/>
      <sheetName val="Mach &amp; equip"/>
      <sheetName val="STR"/>
      <sheetName val="NP"/>
      <sheetName val="BILL"/>
      <sheetName val="Komponen Upah"/>
      <sheetName val="Inkindo 2015"/>
      <sheetName val="노임이"/>
      <sheetName val="Estimate"/>
      <sheetName val="뜃맟뭁돽띿맟_r_x0000_蠀擿㤁"/>
      <sheetName val="뜃맟뭁돽띿맟_r_x0000_蠀䛿㤂"/>
      <sheetName val="뜃맟뭁돽띿맟_㥲ꖄ쐀㬣ꠂ"/>
      <sheetName val="뜃맟뭁돽띿맟_衲裿㤁䲄쐀"/>
      <sheetName val="노임단가"/>
      <sheetName val="교량대비"/>
      <sheetName val="내역서"/>
      <sheetName val="COLUMNS"/>
      <sheetName val="VESSELS "/>
      <sheetName val="95삼성급(본사)"/>
      <sheetName val="CASH-FLOW"/>
      <sheetName val="Table_Rates Data"/>
      <sheetName val="IMPULSE"/>
      <sheetName val="PDS U-1400"/>
      <sheetName val="Planilla CND"/>
      <sheetName val="Restricted"/>
      <sheetName val="Prec.OTS"/>
      <sheetName val="SUM_FSBLT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900010"/>
      <sheetName val="FWBS_A00010"/>
      <sheetName val="FWBS_B00010"/>
      <sheetName val="FWBS_Z00010"/>
      <sheetName val="member_design7"/>
      <sheetName val="Onerous_Terms9"/>
      <sheetName val="Building_BD9"/>
      <sheetName val="INVOICE_CERT_EIV'S9"/>
      <sheetName val="실제_도면출도8"/>
      <sheetName val="_Sum9"/>
      <sheetName val="plan&amp;section_of_foundation8"/>
      <sheetName val="design_criteria8"/>
      <sheetName val="공사비_내역_(가)8"/>
      <sheetName val="33628-Rev__A8"/>
      <sheetName val="w't_table8"/>
      <sheetName val="Eq__Mobilization8"/>
      <sheetName val="BM_DATA_SHEET8"/>
      <sheetName val="Progress_Tab8"/>
      <sheetName val="입찰내역_발주처_양식8"/>
      <sheetName val="REINF_8"/>
      <sheetName val="working_load_at_the_btm_ft_7"/>
      <sheetName val="soil_bearing_check7"/>
      <sheetName val="M_118"/>
      <sheetName val="PC_CATCH_PIT_1X1X1_2M7"/>
      <sheetName val="PC_CATCH_PIT__6X_6X1_0M7"/>
      <sheetName val="PC_COVER_100MM_THK__95x_37"/>
      <sheetName val="PC_COVER_250MM_THK_2_2x_37"/>
      <sheetName val="Adjusted_Bids7"/>
      <sheetName val="Running_compatibility_check_7"/>
      <sheetName val="Concept_Offshore7"/>
      <sheetName val="3__GROUNDING_SYSTEM8"/>
      <sheetName val="Chiet_tinh_dz357"/>
      <sheetName val="A(Rev_3)7"/>
      <sheetName val="[Planning&amp;reporting_xlsM9000-A3"/>
      <sheetName val="Running_compatibility_check__x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Running_compatibility_check_?A2"/>
      <sheetName val="Cashflow_Analysis3"/>
      <sheetName val="A_(2)2"/>
      <sheetName val="Running_compatibility_check__A2"/>
      <sheetName val="_Planning&amp;reporting_xlsM9000-A2"/>
      <sheetName val="WORKSHEET_CS2"/>
      <sheetName val="Direct_Prices2"/>
      <sheetName val="00-Summary_Information-ABB2"/>
      <sheetName val="page_61"/>
      <sheetName val="Structural_Comp3"/>
      <sheetName val="Time_Rates_2"/>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PLSt 03  "/>
      <sheetName val="П 7 курс аванса"/>
      <sheetName val="견적의뢰"/>
      <sheetName val="Price Schedule"/>
      <sheetName val="Working Materials"/>
      <sheetName val="Working sheet"/>
      <sheetName val="Table_Rates_Data"/>
      <sheetName val="DO_NOT_Delete2"/>
      <sheetName val="page_62"/>
      <sheetName val="P-Ins_&amp;_Bonds1"/>
      <sheetName val="P-Site_fac1"/>
      <sheetName val="P-Clients_fac1"/>
      <sheetName val="P_Staff_fac1"/>
      <sheetName val="factor_1"/>
      <sheetName val="vlookup_-_do_not_print1"/>
      <sheetName val="Rate_Analysis1"/>
      <sheetName val="ITB_COST1"/>
      <sheetName val="19_05_20101"/>
      <sheetName val="Earthworks_ERP1"/>
      <sheetName val="24_06_20101"/>
      <sheetName val="Small_Structures_ERP1"/>
      <sheetName val="Large_Structures_ERP1"/>
      <sheetName val="Tunnelling_ERP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실제_도면출도9"/>
      <sheetName val="공사비_내역_(가)9"/>
      <sheetName val="plan&amp;section_of_foundation9"/>
      <sheetName val="design_criteria9"/>
      <sheetName val="w't_table9"/>
      <sheetName val="33628-Rev__A9"/>
      <sheetName val="Progress_Tab9"/>
      <sheetName val="BM_DATA_SHEET9"/>
      <sheetName val="Eq__Mobilization9"/>
      <sheetName val="입찰내역_발주처_양식9"/>
      <sheetName val="M_119"/>
      <sheetName val="REINF_9"/>
      <sheetName val="PC_CATCH_PIT_1X1X1_2M8"/>
      <sheetName val="PC_CATCH_PIT__6X_6X1_0M8"/>
      <sheetName val="PC_COVER_100MM_THK__95x_38"/>
      <sheetName val="PC_COVER_250MM_THK_2_2x_38"/>
      <sheetName val="Chiet_tinh_dz358"/>
      <sheetName val="member_design8"/>
      <sheetName val="3__GROUNDING_SYSTEM9"/>
      <sheetName val="working_load_at_the_btm_ft_8"/>
      <sheetName val="soil_bearing_check8"/>
      <sheetName val="Adjusted_Bids8"/>
      <sheetName val="Concept_Offshore8"/>
      <sheetName val="A(Rev_3)8"/>
      <sheetName val="Running_compatibility_check_8"/>
      <sheetName val="Running_compatibility_check__x3"/>
      <sheetName val="Running_compatibility_check_?A3"/>
      <sheetName val="Running_compatibility_check__A3"/>
      <sheetName val="List_of_WorkPacks3"/>
      <sheetName val="List_of_Dates3"/>
      <sheetName val="A_(2)3"/>
      <sheetName val="WORKSHEET_CS3"/>
      <sheetName val="DO_NOT_Delete3"/>
      <sheetName val="00-Summary_Information-ABB3"/>
      <sheetName val="Direct_Prices3"/>
      <sheetName val="_Planning&amp;reporting_xlsM9000-A3"/>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Planning&amp;reporting_xlsM9000-A4"/>
      <sheetName val="Cashflow_Analysis4"/>
      <sheetName val="Running_compatibility_check__x4"/>
      <sheetName val="Running_compatibility_check_?A4"/>
      <sheetName val="Running_compatibility_check__A4"/>
      <sheetName val="List_of_WorkPacks4"/>
      <sheetName val="List_of_Dates4"/>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Structural_Comp4"/>
      <sheetName val="Time_Rates_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Table"/>
      <sheetName val="Riesgos y Oportunidades"/>
      <sheetName val="6PILE  (돌출)"/>
      <sheetName val="0.품의서(전체)"/>
      <sheetName val="LAST UPDATE"/>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Vaccari  EST INQ-Stat. Summ "/>
      <sheetName val="SALES"/>
      <sheetName val="Page 1"/>
      <sheetName val="301A"/>
      <sheetName val="301B"/>
      <sheetName val="301C"/>
      <sheetName val="VS P-Q"/>
      <sheetName val="VS curve"/>
      <sheetName val="CS P_Q"/>
      <sheetName val="ENE-SAV"/>
      <sheetName val="PAYBACK"/>
      <sheetName val="ga801abd"/>
      <sheetName val="절감"/>
      <sheetName val="효율표"/>
      <sheetName val="절감식"/>
      <sheetName val="페인트"/>
      <sheetName val="을"/>
      <sheetName val="Foglio_Lavoro"/>
      <sheetName val="OUTER_AREA(겹침없음)"/>
      <sheetName val="Prog-Chart"/>
      <sheetName val="GeneralFeedDevices_Labels"/>
      <sheetName val="CalmingSection_Labels"/>
      <sheetName val="Welcome"/>
      <sheetName val="tifico"/>
      <sheetName val="QMS Rev 3"/>
      <sheetName val="QMS Rev 2"/>
      <sheetName val="Rebar Assembly Progress"/>
      <sheetName val="GI Steps Progress Final"/>
      <sheetName val="QW Trench"/>
      <sheetName val="MC-1"/>
      <sheetName val="Retaining wall &amp; Top Up"/>
      <sheetName val="매립"/>
      <sheetName val="CIM"/>
      <sheetName val="4 Annex 1 Basic rate"/>
      <sheetName val="Intro"/>
      <sheetName val="운반"/>
      <sheetName val="kalibrasi-Tank"/>
      <sheetName val="뜃맟뭁돽띿맟_r"/>
      <sheetName val="Rekapitulasi"/>
      <sheetName val="TOTAL SCHEDULE"/>
      <sheetName val="INFO UMUM"/>
      <sheetName val="DET 1"/>
      <sheetName val="DET 2"/>
      <sheetName val="BASIC PRICE"/>
      <sheetName val="QUARRY"/>
      <sheetName val=" GULF"/>
      <sheetName val="ENG-101"/>
      <sheetName val="DIV.1"/>
      <sheetName val="Fig_4-14"/>
      <sheetName val="Fig_5-17"/>
      <sheetName val="HRG BAHAN &amp; UPAH okk"/>
      <sheetName val="Analis Kusen okk"/>
      <sheetName val="Inputs_Sens"/>
      <sheetName val="IS_Sum_CM"/>
      <sheetName val="RAB"/>
      <sheetName val="Bahan"/>
      <sheetName val="BUL"/>
      <sheetName val="U_A Input"/>
      <sheetName val="Equipt Rental"/>
      <sheetName val="personnel loading"/>
      <sheetName val="MAY 00-Bobbins"/>
      <sheetName val="Activity(new)"/>
      <sheetName val="Total(new)"/>
      <sheetName val="UPA(Part C,D,E,G,H)"/>
      <sheetName val="UPA(Part F)"/>
      <sheetName val="Materials"/>
      <sheetName val="일위대가 (Part C,D,E,G,H)"/>
      <sheetName val="실행철강하도"/>
      <sheetName val="손익차총괄2"/>
      <sheetName val="BOQ건축"/>
      <sheetName val="Parameters"/>
      <sheetName val="h-013211-2"/>
      <sheetName val="단면가정"/>
      <sheetName val="CABLE DATA"/>
      <sheetName val="설계조건"/>
      <sheetName val="Raw Data"/>
      <sheetName val="AOP Summary-2"/>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ANX3A65"/>
      <sheetName val="石炭性状"/>
      <sheetName val="MEASURE LIST"/>
      <sheetName val="실행"/>
      <sheetName val="F1.4"/>
      <sheetName val="MAT&amp;LABOR"/>
      <sheetName val="Section_by_layers_old"/>
      <sheetName val="Iuran Nopember 2002"/>
      <sheetName val="H.Satuan"/>
      <sheetName val="ocean voyage"/>
      <sheetName val="SAT-BHN"/>
      <sheetName val="SAP"/>
      <sheetName val="Perm. Test"/>
      <sheetName val="Cash Flow bulanan"/>
      <sheetName val="VA_code"/>
      <sheetName val="7. Comparison of Asphalt etc"/>
      <sheetName val="Du_lieu"/>
      <sheetName val="CTEMCOST"/>
      <sheetName val="토목주소"/>
      <sheetName val="프랜트면허"/>
      <sheetName val="은행"/>
      <sheetName val="MPR"/>
      <sheetName val="Factor"/>
      <sheetName val="WKFRM"/>
      <sheetName val="뜃맟뭁돽띿맟_ఀ⻵렀♈$"/>
      <sheetName val="뜃맟뭁돽띿맟_怀ᭋက얀ం"/>
      <sheetName val="뜃맟뭁돽띿맟_ꀀ땏ကం"/>
      <sheetName val="BOQ for HRSG &amp; BOP-mech."/>
      <sheetName val="Detail Eng"/>
      <sheetName val="DOCSTAT"/>
      <sheetName val="Urai _Resap pengikat"/>
      <sheetName val="Scope"/>
      <sheetName val="Rates"/>
      <sheetName val="FlujoTJ"/>
      <sheetName val="BD_LL"/>
      <sheetName val="Daily Forwards"/>
      <sheetName val="调价系数"/>
      <sheetName val="Condicion"/>
      <sheetName val="13-List"/>
      <sheetName val="total1"/>
      <sheetName val="sis.xlm"/>
      <sheetName val="Tipo de Cambio"/>
      <sheetName val="VESSELS_"/>
      <sheetName val="NozzleData"/>
      <sheetName val="[Planning&amp;reporting_xlsM9000-A5"/>
      <sheetName val="Running_compatibility_check_?A5"/>
      <sheetName val="Running_compatibility_check__A5"/>
      <sheetName val="Running_compatibility_check__x5"/>
      <sheetName val="List_of_WorkPacks5"/>
      <sheetName val="List_of_Dates5"/>
      <sheetName val="FWBS_codes5"/>
      <sheetName val="STANDARD_DESCRIPTION5"/>
      <sheetName val="STANDARD_DESCRIPTION_-_20150515"/>
      <sheetName val="Drawings_Summary5"/>
      <sheetName val="Instr_Drawing_List5"/>
      <sheetName val="INDEX-Areas_B000,C000,D000,E005"/>
      <sheetName val="STANDARD_DESCRIPTION_201507155"/>
      <sheetName val="DropDown_Selections5"/>
      <sheetName val="A_(2)5"/>
      <sheetName val="Cashflow_Analysis5"/>
      <sheetName val="Structural_Comp5"/>
      <sheetName val="Time_Rates_4"/>
      <sheetName val="Summary_(3)3"/>
      <sheetName val="RRW_Scaff3"/>
      <sheetName val="RRW_Oct-2019-1st_Lot-13-10-193"/>
      <sheetName val="RRW_Oct-2019-2st_Lot-15-10-193"/>
      <sheetName val="JK_Price_sheet3"/>
      <sheetName val="TP_Price_sheet3"/>
      <sheetName val="Phase_1_JK_UTSE3"/>
      <sheetName val="Phase_2_JK_UTSE3"/>
      <sheetName val="Phase_1_and_2_JK_UTSE3"/>
      <sheetName val="Phase_1_TP_UTSE3"/>
      <sheetName val="Phase_2_TP_UTSE3"/>
      <sheetName val="Phase_1_and_2_TP_UTSE3"/>
      <sheetName val="Cash_Flow_(BL)3"/>
      <sheetName val="Cash_Flow_(UTSE)3"/>
      <sheetName val="2_043"/>
      <sheetName val="2_053"/>
      <sheetName val="2_07_&amp;_2_083"/>
      <sheetName val="3_013"/>
      <sheetName val="3_023"/>
      <sheetName val="3_033"/>
      <sheetName val="ecart_Personnel3"/>
      <sheetName val="Ecart_Others3"/>
      <sheetName val="Other_costs3"/>
      <sheetName val="3000_Steel_str3"/>
      <sheetName val="5000_Equipments3"/>
      <sheetName val="6000_Piping3"/>
      <sheetName val="7000_Instrumentation3"/>
      <sheetName val="8000_Electrical3"/>
      <sheetName val="per_supplier3"/>
      <sheetName val="Pivot_ledger3"/>
      <sheetName val="Pivot_ENT3"/>
      <sheetName val="Pivot_MAD3"/>
      <sheetName val="PERHITUNGAN__KEEKONOMIAN3"/>
      <sheetName val="Total_Staff3"/>
      <sheetName val="0__SUMMARY3"/>
      <sheetName val="1__Engineering3"/>
      <sheetName val="2__Check_point3"/>
      <sheetName val="II_Changes_13"/>
      <sheetName val="III_Changes_23"/>
      <sheetName val="Qty_3"/>
      <sheetName val="OQC_Summary3"/>
      <sheetName val="6_Unit_Rates3"/>
      <sheetName val="AEROGEL_CAL3"/>
      <sheetName val="CRYG_THKMM3"/>
      <sheetName val="ITB_REVIEW3"/>
      <sheetName val="SPCS_SUMM_3"/>
      <sheetName val="ESTI__SUMM_3"/>
      <sheetName val="Price_Summary3"/>
      <sheetName val="Acc_Stock-INSUL3"/>
      <sheetName val="97_사업추정(WEKI)3"/>
      <sheetName val="Overall_MTO_-_20191001_(old)3"/>
      <sheetName val="MTO_for_BMBQ3"/>
      <sheetName val="BQ_Reff3"/>
      <sheetName val="Sum_of_Comparison-201910073"/>
      <sheetName val="Joint_No_3"/>
      <sheetName val="Unit_Weight3"/>
      <sheetName val="Detail_PMC3"/>
      <sheetName val="Detail_PMC_(for_full_desc)3"/>
      <sheetName val="Bolt_Size3"/>
      <sheetName val="NDE_Req3"/>
      <sheetName val="Tgh_JGC-Inv_I_clp3"/>
      <sheetName val="PCS_3"/>
      <sheetName val="Progress_Statement-SI3"/>
      <sheetName val="Progress_Payment-31103"/>
      <sheetName val="Manpower_List-13"/>
      <sheetName val="SUMMARY_FOR_DPR3"/>
      <sheetName val="Index_Daily_Alloaction3"/>
      <sheetName val="Manpower_List3"/>
      <sheetName val="A_&amp;_B3"/>
      <sheetName val="Salary_20132"/>
      <sheetName val="INDIRECT_OH&amp;P_2"/>
      <sheetName val="Cable_Schedule2"/>
      <sheetName val="Report_Wizard2"/>
      <sheetName val="Initial_Plan2"/>
      <sheetName val="1_INV1"/>
      <sheetName val="2_Calculation_Sheet1"/>
      <sheetName val="Price_Sheet1"/>
      <sheetName val="3__Progress1"/>
      <sheetName val="4__EDR1"/>
      <sheetName val="DATA-DEP_(13-17)1"/>
      <sheetName val="DATA-GCC(25-34_7)1"/>
      <sheetName val="St_-Con(0-17)1"/>
      <sheetName val="St_-Con_(17-34)1"/>
      <sheetName val="Finansal_tamamlanma_Eğrisi1"/>
      <sheetName val="BOM_SUM1"/>
      <sheetName val="Eng__Boq_-11"/>
      <sheetName val="PFP,TIE_COAT_&amp;_TOP_FLG_PAINTED1"/>
      <sheetName val="Shop_Modifications1"/>
      <sheetName val="JI-2036_-_Preservation1"/>
      <sheetName val="Re-Application_1"/>
      <sheetName val="OLD_(2)1"/>
      <sheetName val="Geotextile_for_geotube1"/>
      <sheetName val="DB-BOLT_SIZE1"/>
      <sheetName val="REQ_LIST1"/>
      <sheetName val="DESC_NEW_PMC1"/>
      <sheetName val="MTO_2020_03_111"/>
      <sheetName val="BQ_2020_03_031"/>
      <sheetName val="MTO_2020_03_03_(VDR)1"/>
      <sheetName val="BQ_2020_03_03_(VDR)1"/>
      <sheetName val="WEIGHT_&amp;_PAINT1"/>
      <sheetName val="FW_JGC1"/>
      <sheetName val="FW_VENDOR1"/>
      <sheetName val="BQ_2020_02_251"/>
      <sheetName val="BM_BOLT_&amp;_NUT1"/>
      <sheetName val="RT_TABLE1"/>
      <sheetName val="BRANCH_&amp;_REDUCING_TABLE1"/>
      <sheetName val="DESC_OLD_PMC1"/>
      <sheetName val="SHORT_CODE_LIST1"/>
      <sheetName val="12_-_MAT'L_CLASSIFIC__FACTORS"/>
      <sheetName val="1_-_PREFAB_STR_STEEL"/>
      <sheetName val="8_-_SKIDS,_VESSELS_&amp;_EQPT"/>
      <sheetName val="5_-_STG_PLANT_-_MISC__ITEMS"/>
      <sheetName val="14_-_HEIGHT_FACTORS"/>
      <sheetName val="10_-_STEAM_TURBINE_PUMPS"/>
      <sheetName val="16_-_ASTM_CS_PIPE_ERECT"/>
      <sheetName val="15_-_ASTM_CS_PIPE_FAB"/>
      <sheetName val="7_-_SAND_BLAST_&amp;_PAINT"/>
      <sheetName val="BOQ_LIST"/>
      <sheetName val="SPT_vs_PHI"/>
      <sheetName val="01-D_PERS"/>
      <sheetName val="L_V_Separator"/>
      <sheetName val="SUM_FSBLT13"/>
      <sheetName val="Overall_Project13"/>
      <sheetName val="Overall_Process13"/>
      <sheetName val="Overall_Utility13"/>
      <sheetName val="FWBS_100013"/>
      <sheetName val="FWBS_200013"/>
      <sheetName val="FWBS_300013"/>
      <sheetName val="FWBS_500013"/>
      <sheetName val="FWBS_600013"/>
      <sheetName val="FWBS_700013"/>
      <sheetName val="FWBS_800013"/>
      <sheetName val="FWBS_900013"/>
      <sheetName val="FWBS_A00013"/>
      <sheetName val="FWBS_B00013"/>
      <sheetName val="FWBS_Z00013"/>
      <sheetName val="Onerous_Terms12"/>
      <sheetName val="INVOICE_CERT_EIV'S12"/>
      <sheetName val="Building_BD12"/>
      <sheetName val="_Sum12"/>
      <sheetName val="실제_도면출도11"/>
      <sheetName val="공사비_내역_(가)11"/>
      <sheetName val="33628-Rev__A11"/>
      <sheetName val="plan&amp;section_of_foundation11"/>
      <sheetName val="design_criteria11"/>
      <sheetName val="w't_table11"/>
      <sheetName val="Progress_Tab11"/>
      <sheetName val="BM_DATA_SHEET11"/>
      <sheetName val="Eq__Mobilization11"/>
      <sheetName val="입찰내역_발주처_양식11"/>
      <sheetName val="REINF_11"/>
      <sheetName val="M_1111"/>
      <sheetName val="PC_CATCH_PIT_1X1X1_2M10"/>
      <sheetName val="PC_CATCH_PIT__6X_6X1_0M10"/>
      <sheetName val="PC_COVER_100MM_THK__95x_310"/>
      <sheetName val="PC_COVER_250MM_THK_2_2x_310"/>
      <sheetName val="member_design10"/>
      <sheetName val="working_load_at_the_btm_ft_10"/>
      <sheetName val="soil_bearing_check10"/>
      <sheetName val="3__GROUNDING_SYSTEM11"/>
      <sheetName val="Concept_Offshore10"/>
      <sheetName val="Chiet_tinh_dz3510"/>
      <sheetName val="Adjusted_Bids10"/>
      <sheetName val="A(Rev_3)10"/>
      <sheetName val="Running_compatibility_check_10"/>
      <sheetName val="[Planning&amp;reporting_xlsM9000-A6"/>
      <sheetName val="Running_compatibility_check_?A6"/>
      <sheetName val="Running_compatibility_check__A6"/>
      <sheetName val="Running_compatibility_check__x6"/>
      <sheetName val="List_of_WorkPacks6"/>
      <sheetName val="List_of_Dates6"/>
      <sheetName val="FWBS_codes6"/>
      <sheetName val="STANDARD_DESCRIPTION6"/>
      <sheetName val="STANDARD_DESCRIPTION_-_20150516"/>
      <sheetName val="Drawings_Summary6"/>
      <sheetName val="Instr_Drawing_List6"/>
      <sheetName val="INDEX-Areas_B000,C000,D000,E006"/>
      <sheetName val="STANDARD_DESCRIPTION_201507156"/>
      <sheetName val="DropDown_Selections6"/>
      <sheetName val="A_(2)6"/>
      <sheetName val="Cashflow_Analysis6"/>
      <sheetName val="WORKSHEET_CS5"/>
      <sheetName val="00-Summary_Information-ABB5"/>
      <sheetName val="Direct_Prices5"/>
      <sheetName val="_Planning&amp;reporting_xlsM9000-A5"/>
      <sheetName val="page_65"/>
      <sheetName val="P-Ins_&amp;_Bonds4"/>
      <sheetName val="P-Site_fac4"/>
      <sheetName val="P-Clients_fac4"/>
      <sheetName val="P_Staff_fac4"/>
      <sheetName val="factor_4"/>
      <sheetName val="Structural_Comp6"/>
      <sheetName val="Rate_Analysis4"/>
      <sheetName val="ITB_COST4"/>
      <sheetName val="19_05_20104"/>
      <sheetName val="Earthworks_ERP4"/>
      <sheetName val="24_06_20104"/>
      <sheetName val="Small_Structures_ERP4"/>
      <sheetName val="Large_Structures_ERP4"/>
      <sheetName val="Tunnelling_ERP4"/>
      <sheetName val="vlookup_-_do_not_print4"/>
      <sheetName val="Civil_Weekly4"/>
      <sheetName val="Time_Rates_5"/>
      <sheetName val="_N_Finansal_Eğri4"/>
      <sheetName val="Pricing_Summary4"/>
      <sheetName val="Net_Cost_-_Final_Base4"/>
      <sheetName val="7_6Net_Cost_Agreed_on_Dec-04_R5"/>
      <sheetName val="Net_Cost_Agreed_on_Dec-04_Rev14"/>
      <sheetName val="7_6_Net_Cost_Agreed_on_Dec-044"/>
      <sheetName val="Net_Cost_Agreed_on_Dec-044"/>
      <sheetName val="Total_for_Check4"/>
      <sheetName val="0_0_Cover4"/>
      <sheetName val="Hoja_34"/>
      <sheetName val="Drop_Down4"/>
      <sheetName val="Source_Data4"/>
      <sheetName val="CAPEX_Categories4"/>
      <sheetName val="Summary_(3)4"/>
      <sheetName val="RRW_Scaff4"/>
      <sheetName val="RRW_Oct-2019-1st_Lot-13-10-194"/>
      <sheetName val="RRW_Oct-2019-2st_Lot-15-10-19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pg_46"/>
      <sheetName val="Subcon_A6"/>
      <sheetName val="bill_25"/>
      <sheetName val="MATERIAL'S_PRICE5"/>
      <sheetName val="JK_Price_sheet4"/>
      <sheetName val="TP_Price_sheet4"/>
      <sheetName val="Phase_1_JK_UTSE4"/>
      <sheetName val="Phase_2_JK_UTSE4"/>
      <sheetName val="Phase_1_and_2_JK_UTSE4"/>
      <sheetName val="Phase_1_TP_UTSE4"/>
      <sheetName val="Phase_2_TP_UTSE4"/>
      <sheetName val="Phase_1_and_2_TP_UTSE4"/>
      <sheetName val="Cash_Flow_(BL)4"/>
      <sheetName val="Cash_Flow_(UTSE)4"/>
      <sheetName val="견적서표지0204-2_(2)4"/>
      <sheetName val="Piping_Spool4"/>
      <sheetName val="Cost_Definition4"/>
      <sheetName val="견적_원가_4"/>
      <sheetName val="2_044"/>
      <sheetName val="2_054"/>
      <sheetName val="2_07_&amp;_2_084"/>
      <sheetName val="3_014"/>
      <sheetName val="3_024"/>
      <sheetName val="3_034"/>
      <sheetName val="ecart_Personnel4"/>
      <sheetName val="Ecart_Others4"/>
      <sheetName val="Other_costs4"/>
      <sheetName val="3000_Steel_str4"/>
      <sheetName val="5000_Equipments4"/>
      <sheetName val="6000_Piping4"/>
      <sheetName val="7000_Instrumentation4"/>
      <sheetName val="8000_Electrical4"/>
      <sheetName val="per_supplier4"/>
      <sheetName val="Pivot_ledger4"/>
      <sheetName val="Pivot_ENT4"/>
      <sheetName val="Pivot_MAD4"/>
      <sheetName val="RFP003_Building_-_B4"/>
      <sheetName val="PERHITUNGAN__KEEKONOMIAN4"/>
      <sheetName val="Total_Staff4"/>
      <sheetName val="0__SUMMARY4"/>
      <sheetName val="1__Engineering4"/>
      <sheetName val="2__Check_point4"/>
      <sheetName val="II_Changes_14"/>
      <sheetName val="III_Changes_24"/>
      <sheetName val="Qty_4"/>
      <sheetName val="OQC_Summary4"/>
      <sheetName val="6_Unit_Rates4"/>
      <sheetName val="AEROGEL_CAL4"/>
      <sheetName val="CRYG_THKMM4"/>
      <sheetName val="ITB_REVIEW4"/>
      <sheetName val="SPCS_SUMM_4"/>
      <sheetName val="ESTI__SUMM_4"/>
      <sheetName val="Price_Summary4"/>
      <sheetName val="Acc_Stock-INSUL4"/>
      <sheetName val="97_사업추정(WEKI)4"/>
      <sheetName val="Overall_MTO_-_20191001_(old)4"/>
      <sheetName val="MTO_for_BMBQ4"/>
      <sheetName val="BQ_Reff4"/>
      <sheetName val="Sum_of_Comparison-201910074"/>
      <sheetName val="Joint_No_4"/>
      <sheetName val="Unit_Weight4"/>
      <sheetName val="Detail_PMC4"/>
      <sheetName val="Detail_PMC_(for_full_desc)4"/>
      <sheetName val="Bolt_Size4"/>
      <sheetName val="NDE_Req4"/>
      <sheetName val="Tgh_JGC-Inv_I_clp4"/>
      <sheetName val="PCS_4"/>
      <sheetName val="Progress_Statement-SI4"/>
      <sheetName val="Progress_Payment-31104"/>
      <sheetName val="Manpower_List-14"/>
      <sheetName val="SUMMARY_FOR_DPR4"/>
      <sheetName val="Index_Daily_Alloaction4"/>
      <sheetName val="Manpower_List4"/>
      <sheetName val="A_&amp;_B4"/>
      <sheetName val="Salary_20133"/>
      <sheetName val="INDIRECT_OH&amp;P_3"/>
      <sheetName val="Cable_Schedule3"/>
      <sheetName val="Report_Wizard3"/>
      <sheetName val="Initial_Plan3"/>
      <sheetName val="1_INV2"/>
      <sheetName val="2_Calculation_Sheet2"/>
      <sheetName val="Price_Sheet2"/>
      <sheetName val="3__Progress2"/>
      <sheetName val="4__EDR2"/>
      <sheetName val="DATA-DEP_(13-17)2"/>
      <sheetName val="DATA-GCC(25-34_7)2"/>
      <sheetName val="St_-Con(0-17)2"/>
      <sheetName val="St_-Con_(17-34)2"/>
      <sheetName val="Finansal_tamamlanma_Eğrisi2"/>
      <sheetName val="BOM_SUM2"/>
      <sheetName val="Eng__Boq_-12"/>
      <sheetName val="PFP,TIE_COAT_&amp;_TOP_FLG_PAINTED2"/>
      <sheetName val="Shop_Modifications2"/>
      <sheetName val="JI-2036_-_Preservation2"/>
      <sheetName val="Re-Application_2"/>
      <sheetName val="OLD_(2)2"/>
      <sheetName val="Geotextile_for_geotube2"/>
      <sheetName val="DB-BOLT_SIZE2"/>
      <sheetName val="REQ_LIST2"/>
      <sheetName val="DESC_NEW_PMC2"/>
      <sheetName val="MTO_2020_03_112"/>
      <sheetName val="BQ_2020_03_032"/>
      <sheetName val="MTO_2020_03_03_(VDR)2"/>
      <sheetName val="BQ_2020_03_03_(VDR)2"/>
      <sheetName val="WEIGHT_&amp;_PAINT2"/>
      <sheetName val="FW_JGC2"/>
      <sheetName val="FW_VENDOR2"/>
      <sheetName val="BQ_2020_02_252"/>
      <sheetName val="BM_BOLT_&amp;_NUT2"/>
      <sheetName val="RT_TABLE2"/>
      <sheetName val="BRANCH_&amp;_REDUCING_TABLE2"/>
      <sheetName val="DESC_OLD_PMC2"/>
      <sheetName val="SHORT_CODE_LIST2"/>
      <sheetName val="개시대사_(2)1"/>
      <sheetName val="Equiv_Length1"/>
      <sheetName val="S-Curve_(Weekly)1"/>
      <sheetName val="Price_Summary_(1)1"/>
      <sheetName val="Price_Summary_(2)1"/>
      <sheetName val="Item#9_31"/>
      <sheetName val="Item#1_91"/>
      <sheetName val="Item#2_61"/>
      <sheetName val="Item#3_81"/>
      <sheetName val="Item#4_101"/>
      <sheetName val="Item#5_81"/>
      <sheetName val="Item#6_71"/>
      <sheetName val="Item#7_211"/>
      <sheetName val="Item#8_71"/>
      <sheetName val="worksheet_inchican1"/>
      <sheetName val="2_2_띠장의_설계1"/>
      <sheetName val="2_223M_due_to_adj_profit1"/>
      <sheetName val="Land_Dev't__Ph-11"/>
      <sheetName val="INTERIOR_WALLS1"/>
      <sheetName val="Material_Price1"/>
      <sheetName val="combined_9-301"/>
      <sheetName val="GESTION_FICHE1"/>
      <sheetName val="TRADUCTION_LISTES1"/>
      <sheetName val="12_-_MAT'L_CLASSIFIC__FACTORS1"/>
      <sheetName val="1_-_PREFAB_STR_STEEL1"/>
      <sheetName val="8_-_SKIDS,_VESSELS_&amp;_EQPT1"/>
      <sheetName val="5_-_STG_PLANT_-_MISC__ITEMS1"/>
      <sheetName val="14_-_HEIGHT_FACTORS1"/>
      <sheetName val="10_-_STEAM_TURBINE_PUMPS1"/>
      <sheetName val="16_-_ASTM_CS_PIPE_ERECT1"/>
      <sheetName val="15_-_ASTM_CS_PIPE_FAB1"/>
      <sheetName val="7_-_SAND_BLAST_&amp;_PAINT1"/>
      <sheetName val="BOQ_LIST1"/>
      <sheetName val="INSULATION_R11"/>
      <sheetName val="SPT_vs_PHI1"/>
      <sheetName val="01-D_PERS1"/>
      <sheetName val="Fig_4-141"/>
      <sheetName val="Fig_5-171"/>
      <sheetName val="OUTER_AREA(겹침없음)1"/>
      <sheetName val="VESSELS_1"/>
      <sheetName val="Table_Rates_Data1"/>
      <sheetName val="L_V_Separator1"/>
      <sheetName val="Prec_OTS1"/>
      <sheetName val="Inert_Balls1"/>
      <sheetName val="Substation_Column"/>
      <sheetName val="IRR_sponsor"/>
      <sheetName val="SOS_PLC_&amp;_Panel"/>
      <sheetName val="Raw_Data"/>
      <sheetName val="Titles"/>
      <sheetName val="Proforma"/>
      <sheetName val="Legend"/>
      <sheetName val="hrg_sat"/>
      <sheetName val="Har-mat"/>
      <sheetName val="Jadwal"/>
      <sheetName val="4-Basic Price"/>
      <sheetName val="Material"/>
      <sheetName val="Kuantitas &amp; Harga"/>
      <sheetName val="L-4a,b"/>
      <sheetName val="DIV.3"/>
      <sheetName val="BoQ"/>
      <sheetName val="HARGA DASAR"/>
      <sheetName val="Rekap"/>
      <sheetName val="hrg sat1"/>
      <sheetName val="Data basic price jgan diprint"/>
      <sheetName val="PPC"/>
      <sheetName val="Analisa Upah &amp; Bahan Plum"/>
      <sheetName val="Sch"/>
      <sheetName val="Daftar Sewa"/>
      <sheetName val="Peralatan"/>
      <sheetName val="Peralatan (2)"/>
      <sheetName val="Analisa Alat"/>
      <sheetName val="Analisa SNI STANDART "/>
      <sheetName val="PAD-F"/>
      <sheetName val="Register"/>
      <sheetName val="Task Force Coding Abbreviations"/>
      <sheetName val="Memb Schd"/>
      <sheetName val="7-2"/>
      <sheetName val="15100"/>
      <sheetName val="DAFTAR ISI"/>
      <sheetName val="인사자료총집계"/>
      <sheetName val="UNIT 3"/>
      <sheetName val="DATASHT"/>
      <sheetName val="1.2"/>
      <sheetName val="HARGA-UPAH"/>
      <sheetName val="Conveyors"/>
      <sheetName val="INPUT"/>
      <sheetName val="5-ALAT(1)"/>
      <sheetName val="磨煤加压"/>
      <sheetName val="空分"/>
      <sheetName val="List - Components"/>
      <sheetName val="List - Equipment"/>
      <sheetName val="G2TempSheet"/>
      <sheetName val="(1)Internal Cost Report"/>
      <sheetName val="2007"/>
      <sheetName val="PSM Monthly"/>
      <sheetName val="Por"/>
      <sheetName val="非金属管道"/>
      <sheetName val="Rekap Addendum"/>
      <sheetName val="SCHEDULE"/>
      <sheetName val="HD ALAT"/>
      <sheetName val="HD BAHAN"/>
      <sheetName val="HD UPAH"/>
      <sheetName val="GAEYO"/>
      <sheetName val="음료실행"/>
      <sheetName val="rek_det_1-3"/>
      <sheetName val="Komponen_Upah"/>
      <sheetName val="Inkindo_2015"/>
      <sheetName val="Comp_equip"/>
      <sheetName val="Mach_&amp;_equip"/>
      <sheetName val="Hrg_Satuan"/>
      <sheetName val="Bill_rekap"/>
      <sheetName val="ANALIS_2"/>
      <sheetName val="ANALIS_1"/>
      <sheetName val="Harga_Satuan"/>
      <sheetName val="analis_standar(8m)"/>
      <sheetName val="bhn_"/>
      <sheetName val="DWTables"/>
      <sheetName val="Calc"/>
      <sheetName val="材料基价"/>
      <sheetName val="机械台时"/>
      <sheetName val="方案1表二"/>
      <sheetName val="HIOS 93 thru 96"/>
      <sheetName val="Assumptions"/>
      <sheetName val="LTM"/>
      <sheetName val="CREDIT STATS"/>
      <sheetName val="DropZone"/>
      <sheetName val="MAIN"/>
      <sheetName val="CAP-120mm2"/>
      <sheetName val="EXTRA"/>
      <sheetName val="1999 BUDGET"/>
      <sheetName val="PTR-Consolidated"/>
      <sheetName val="OIL SYST DATA SHTS"/>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 "/>
      <sheetName val="AnalInfo"/>
      <sheetName val="Tut 1"/>
      <sheetName val="C1 (calcolo)"/>
      <sheetName val="FIT-AREA"/>
      <sheetName val="SUM_FSBLT14"/>
      <sheetName val="Overall_Project14"/>
      <sheetName val="Overall_Process14"/>
      <sheetName val="Overall_Utility14"/>
      <sheetName val="FWBS_100014"/>
      <sheetName val="FWBS_200014"/>
      <sheetName val="FWBS_300014"/>
      <sheetName val="FWBS_500014"/>
      <sheetName val="FWBS_600014"/>
      <sheetName val="FWBS_700014"/>
      <sheetName val="FWBS_800014"/>
      <sheetName val="FWBS_900014"/>
      <sheetName val="FWBS_A00014"/>
      <sheetName val="FWBS_B00014"/>
      <sheetName val="FWBS_Z00014"/>
      <sheetName val="Onerous_Terms13"/>
      <sheetName val="INVOICE_CERT_EIV'S13"/>
      <sheetName val="Building_BD13"/>
      <sheetName val="_Sum13"/>
      <sheetName val="실제_도면출도12"/>
      <sheetName val="공사비_내역_(가)12"/>
      <sheetName val="33628-Rev__A12"/>
      <sheetName val="plan&amp;section_of_foundation12"/>
      <sheetName val="design_criteria12"/>
      <sheetName val="w't_table12"/>
      <sheetName val="Progress_Tab12"/>
      <sheetName val="BM_DATA_SHEET12"/>
      <sheetName val="Eq__Mobilization12"/>
      <sheetName val="입찰내역_발주처_양식12"/>
      <sheetName val="REINF_12"/>
      <sheetName val="M_1112"/>
      <sheetName val="PC_CATCH_PIT_1X1X1_2M11"/>
      <sheetName val="PC_CATCH_PIT__6X_6X1_0M11"/>
      <sheetName val="PC_COVER_100MM_THK__95x_311"/>
      <sheetName val="PC_COVER_250MM_THK_2_2x_311"/>
      <sheetName val="member_design11"/>
      <sheetName val="working_load_at_the_btm_ft_11"/>
      <sheetName val="soil_bearing_check11"/>
      <sheetName val="3__GROUNDING_SYSTEM12"/>
      <sheetName val="Concept_Offshore11"/>
      <sheetName val="Chiet_tinh_dz3511"/>
      <sheetName val="Adjusted_Bids11"/>
      <sheetName val="A(Rev_3)11"/>
      <sheetName val="Running_compatibility_check_11"/>
      <sheetName val="[Planning&amp;reporting_xlsM9000-A7"/>
      <sheetName val="Running_compatibility_check_?A7"/>
      <sheetName val="Running_compatibility_check__A7"/>
      <sheetName val="Running_compatibility_check__x7"/>
      <sheetName val="List_of_WorkPacks7"/>
      <sheetName val="List_of_Dates7"/>
      <sheetName val="FWBS_codes7"/>
      <sheetName val="STANDARD_DESCRIPTION7"/>
      <sheetName val="STANDARD_DESCRIPTION_-_20150517"/>
      <sheetName val="Drawings_Summary7"/>
      <sheetName val="Instr_Drawing_List7"/>
      <sheetName val="INDEX-Areas_B000,C000,D000,E007"/>
      <sheetName val="STANDARD_DESCRIPTION_201507157"/>
      <sheetName val="DropDown_Selections7"/>
      <sheetName val="A_(2)7"/>
      <sheetName val="Cashflow_Analysis7"/>
      <sheetName val="WORKSHEET_CS6"/>
      <sheetName val="00-Summary_Information-ABB6"/>
      <sheetName val="Direct_Prices6"/>
      <sheetName val="_Planning&amp;reporting_xlsM9000-A6"/>
      <sheetName val="page_66"/>
      <sheetName val="P-Ins_&amp;_Bonds5"/>
      <sheetName val="P-Site_fac5"/>
      <sheetName val="P-Clients_fac5"/>
      <sheetName val="P_Staff_fac5"/>
      <sheetName val="factor_5"/>
      <sheetName val="Structural_Comp7"/>
      <sheetName val="Rate_Analysis5"/>
      <sheetName val="ITB_COST5"/>
      <sheetName val="19_05_20105"/>
      <sheetName val="Earthworks_ERP5"/>
      <sheetName val="24_06_20105"/>
      <sheetName val="Small_Structures_ERP5"/>
      <sheetName val="Large_Structures_ERP5"/>
      <sheetName val="Tunnelling_ERP5"/>
      <sheetName val="vlookup_-_do_not_print5"/>
      <sheetName val="Civil_Weekly5"/>
      <sheetName val="Time_Rates_6"/>
      <sheetName val="_N_Finansal_Eğri5"/>
      <sheetName val="Pricing_Summary5"/>
      <sheetName val="Net_Cost_-_Final_Base5"/>
      <sheetName val="7_6Net_Cost_Agreed_on_Dec-04_R6"/>
      <sheetName val="Net_Cost_Agreed_on_Dec-04_Rev15"/>
      <sheetName val="7_6_Net_Cost_Agreed_on_Dec-045"/>
      <sheetName val="Net_Cost_Agreed_on_Dec-045"/>
      <sheetName val="Total_for_Check5"/>
      <sheetName val="0_0_Cover5"/>
      <sheetName val="Hoja_35"/>
      <sheetName val="Drop_Down5"/>
      <sheetName val="Source_Data5"/>
      <sheetName val="CAPEX_Categories5"/>
      <sheetName val="Summary_(3)5"/>
      <sheetName val="RRW_Scaff5"/>
      <sheetName val="RRW_Oct-2019-1st_Lot-13-10-195"/>
      <sheetName val="RRW_Oct-2019-2st_Lot-15-10-19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pg_47"/>
      <sheetName val="Subcon_A7"/>
      <sheetName val="bill_26"/>
      <sheetName val="MATERIAL'S_PRICE6"/>
      <sheetName val="JK_Price_sheet5"/>
      <sheetName val="TP_Price_sheet5"/>
      <sheetName val="Phase_1_JK_UTSE5"/>
      <sheetName val="Phase_2_JK_UTSE5"/>
      <sheetName val="Phase_1_and_2_JK_UTSE5"/>
      <sheetName val="Phase_1_TP_UTSE5"/>
      <sheetName val="Phase_2_TP_UTSE5"/>
      <sheetName val="Phase_1_and_2_TP_UTSE5"/>
      <sheetName val="Cash_Flow_(BL)5"/>
      <sheetName val="Cash_Flow_(UTSE)5"/>
      <sheetName val="견적서표지0204-2_(2)5"/>
      <sheetName val="Piping_Spool5"/>
      <sheetName val="Cost_Definition5"/>
      <sheetName val="견적_원가_5"/>
      <sheetName val="2_045"/>
      <sheetName val="2_055"/>
      <sheetName val="2_07_&amp;_2_085"/>
      <sheetName val="3_015"/>
      <sheetName val="3_025"/>
      <sheetName val="3_035"/>
      <sheetName val="ecart_Personnel5"/>
      <sheetName val="Ecart_Others5"/>
      <sheetName val="Other_costs5"/>
      <sheetName val="3000_Steel_str5"/>
      <sheetName val="5000_Equipments5"/>
      <sheetName val="6000_Piping5"/>
      <sheetName val="7000_Instrumentation5"/>
      <sheetName val="8000_Electrical5"/>
      <sheetName val="per_supplier5"/>
      <sheetName val="Pivot_ledger5"/>
      <sheetName val="Pivot_ENT5"/>
      <sheetName val="Pivot_MAD5"/>
      <sheetName val="RFP003_Building_-_B5"/>
      <sheetName val="PERHITUNGAN__KEEKONOMIAN5"/>
      <sheetName val="Total_Staff5"/>
      <sheetName val="0__SUMMARY5"/>
      <sheetName val="1__Engineering5"/>
      <sheetName val="2__Check_point5"/>
      <sheetName val="II_Changes_15"/>
      <sheetName val="III_Changes_25"/>
      <sheetName val="Qty_5"/>
      <sheetName val="OQC_Summary5"/>
      <sheetName val="6_Unit_Rates5"/>
      <sheetName val="AEROGEL_CAL5"/>
      <sheetName val="CRYG_THKMM5"/>
      <sheetName val="ITB_REVIEW5"/>
      <sheetName val="SPCS_SUMM_5"/>
      <sheetName val="ESTI__SUMM_5"/>
      <sheetName val="Price_Summary5"/>
      <sheetName val="Acc_Stock-INSUL5"/>
      <sheetName val="97_사업추정(WEKI)5"/>
      <sheetName val="Overall_MTO_-_20191001_(old)5"/>
      <sheetName val="MTO_for_BMBQ5"/>
      <sheetName val="BQ_Reff5"/>
      <sheetName val="Sum_of_Comparison-201910075"/>
      <sheetName val="Joint_No_5"/>
      <sheetName val="Unit_Weight5"/>
      <sheetName val="Detail_PMC5"/>
      <sheetName val="Detail_PMC_(for_full_desc)5"/>
      <sheetName val="Bolt_Size5"/>
      <sheetName val="NDE_Req5"/>
      <sheetName val="Tgh_JGC-Inv_I_clp5"/>
      <sheetName val="PCS_5"/>
      <sheetName val="Progress_Statement-SI5"/>
      <sheetName val="Progress_Payment-31105"/>
      <sheetName val="Manpower_List-15"/>
      <sheetName val="SUMMARY_FOR_DPR5"/>
      <sheetName val="Index_Daily_Alloaction5"/>
      <sheetName val="Manpower_List5"/>
      <sheetName val="A_&amp;_B5"/>
      <sheetName val="Salary_20134"/>
      <sheetName val="INDIRECT_OH&amp;P_4"/>
      <sheetName val="Cable_Schedule4"/>
      <sheetName val="Report_Wizard4"/>
      <sheetName val="Initial_Plan4"/>
      <sheetName val="1_INV3"/>
      <sheetName val="2_Calculation_Sheet3"/>
      <sheetName val="Price_Sheet3"/>
      <sheetName val="3__Progress3"/>
      <sheetName val="4__EDR3"/>
      <sheetName val="DATA-DEP_(13-17)3"/>
      <sheetName val="DATA-GCC(25-34_7)3"/>
      <sheetName val="St_-Con(0-17)3"/>
      <sheetName val="St_-Con_(17-34)3"/>
      <sheetName val="Finansal_tamamlanma_Eğrisi3"/>
      <sheetName val="BOM_SUM3"/>
      <sheetName val="Eng__Boq_-13"/>
      <sheetName val="PFP,TIE_COAT_&amp;_TOP_FLG_PAINTED3"/>
      <sheetName val="Shop_Modifications3"/>
      <sheetName val="JI-2036_-_Preservation3"/>
      <sheetName val="Re-Application_3"/>
      <sheetName val="OLD_(2)3"/>
      <sheetName val="Geotextile_for_geotube3"/>
      <sheetName val="DB-BOLT_SIZE3"/>
      <sheetName val="REQ_LIST3"/>
      <sheetName val="DESC_NEW_PMC3"/>
      <sheetName val="MTO_2020_03_113"/>
      <sheetName val="BQ_2020_03_033"/>
      <sheetName val="MTO_2020_03_03_(VDR)3"/>
      <sheetName val="BQ_2020_03_03_(VDR)3"/>
      <sheetName val="WEIGHT_&amp;_PAINT3"/>
      <sheetName val="FW_JGC3"/>
      <sheetName val="FW_VENDOR3"/>
      <sheetName val="BQ_2020_02_253"/>
      <sheetName val="BM_BOLT_&amp;_NUT3"/>
      <sheetName val="RT_TABLE3"/>
      <sheetName val="BRANCH_&amp;_REDUCING_TABLE3"/>
      <sheetName val="DESC_OLD_PMC3"/>
      <sheetName val="SHORT_CODE_LIST3"/>
      <sheetName val="개시대사_(2)2"/>
      <sheetName val="Equiv_Length2"/>
      <sheetName val="S-Curve_(Weekly)2"/>
      <sheetName val="Price_Summary_(1)2"/>
      <sheetName val="Price_Summary_(2)2"/>
      <sheetName val="Item#9_32"/>
      <sheetName val="Item#1_92"/>
      <sheetName val="Item#2_62"/>
      <sheetName val="Item#3_82"/>
      <sheetName val="Item#4_102"/>
      <sheetName val="Item#5_82"/>
      <sheetName val="Item#6_72"/>
      <sheetName val="Item#7_212"/>
      <sheetName val="Item#8_72"/>
      <sheetName val="worksheet_inchican2"/>
      <sheetName val="2_2_띠장의_설계2"/>
      <sheetName val="2_223M_due_to_adj_profit2"/>
      <sheetName val="Land_Dev't__Ph-12"/>
      <sheetName val="INTERIOR_WALLS2"/>
      <sheetName val="Material_Price2"/>
      <sheetName val="combined_9-302"/>
      <sheetName val="GESTION_FICHE2"/>
      <sheetName val="TRADUCTION_LISTES2"/>
      <sheetName val="12_-_MAT'L_CLASSIFIC__FACTORS2"/>
      <sheetName val="1_-_PREFAB_STR_STEEL2"/>
      <sheetName val="8_-_SKIDS,_VESSELS_&amp;_EQPT2"/>
      <sheetName val="5_-_STG_PLANT_-_MISC__ITEMS2"/>
      <sheetName val="14_-_HEIGHT_FACTORS2"/>
      <sheetName val="10_-_STEAM_TURBINE_PUMPS2"/>
      <sheetName val="16_-_ASTM_CS_PIPE_ERECT2"/>
      <sheetName val="15_-_ASTM_CS_PIPE_FAB2"/>
      <sheetName val="7_-_SAND_BLAST_&amp;_PAINT2"/>
      <sheetName val="BOQ_LIST2"/>
      <sheetName val="INSULATION_R12"/>
      <sheetName val="SPT_vs_PHI2"/>
      <sheetName val="01-D_PERS2"/>
      <sheetName val="Fig_4-142"/>
      <sheetName val="Fig_5-172"/>
      <sheetName val="OUTER_AREA(겹침없음)2"/>
      <sheetName val="VESSELS_2"/>
      <sheetName val="Table_Rates_Data2"/>
      <sheetName val="L_V_Separator2"/>
      <sheetName val="Prec_OTS2"/>
      <sheetName val="Inert_Balls2"/>
      <sheetName val="Substation_Column1"/>
      <sheetName val="IRR_sponsor1"/>
      <sheetName val="SOS_PLC_&amp;_Panel1"/>
      <sheetName val="Raw_Data1"/>
      <sheetName val="QMS_Rev_3"/>
      <sheetName val="QMS_Rev_2"/>
      <sheetName val="Rebar_Assembly_Progress"/>
      <sheetName val="GI_Steps_Progress_Final"/>
      <sheetName val="QW_Trench"/>
      <sheetName val="Planilla_CND"/>
      <sheetName val="PDS_U-1400"/>
      <sheetName val="Riesgos_y_Oportunidades"/>
      <sheetName val="6PILE__(돌출)"/>
      <sheetName val="0_품의서(전체)"/>
      <sheetName val="LAST_UPDATE"/>
      <sheetName val="Financ__Overview"/>
      <sheetName val="4_代码列表"/>
      <sheetName val="人工SDP_2"/>
      <sheetName val="材料SDP_1"/>
      <sheetName val="Vaccari__EST_INQ-Stat__Summ_"/>
      <sheetName val="TOTAL_SCHEDULE"/>
      <sheetName val="AOP_Summary-2"/>
      <sheetName val="SUM_FSBLT15"/>
      <sheetName val="Overall_Project15"/>
      <sheetName val="Overall_Process15"/>
      <sheetName val="Overall_Utility15"/>
      <sheetName val="FWBS_100015"/>
      <sheetName val="FWBS_200015"/>
      <sheetName val="FWBS_300015"/>
      <sheetName val="FWBS_500015"/>
      <sheetName val="FWBS_600015"/>
      <sheetName val="FWBS_700015"/>
      <sheetName val="FWBS_800015"/>
      <sheetName val="FWBS_900015"/>
      <sheetName val="FWBS_A00015"/>
      <sheetName val="FWBS_B00015"/>
      <sheetName val="FWBS_Z00015"/>
      <sheetName val="Onerous_Terms14"/>
      <sheetName val="INVOICE_CERT_EIV'S14"/>
      <sheetName val="Building_BD14"/>
      <sheetName val="_Sum14"/>
      <sheetName val="실제_도면출도13"/>
      <sheetName val="공사비_내역_(가)13"/>
      <sheetName val="33628-Rev__A13"/>
      <sheetName val="plan&amp;section_of_foundation13"/>
      <sheetName val="design_criteria13"/>
      <sheetName val="w't_table13"/>
      <sheetName val="Progress_Tab13"/>
      <sheetName val="BM_DATA_SHEET13"/>
      <sheetName val="Eq__Mobilization13"/>
      <sheetName val="입찰내역_발주처_양식13"/>
      <sheetName val="REINF_13"/>
      <sheetName val="M_1113"/>
      <sheetName val="PC_CATCH_PIT_1X1X1_2M12"/>
      <sheetName val="PC_CATCH_PIT__6X_6X1_0M12"/>
      <sheetName val="PC_COVER_100MM_THK__95x_312"/>
      <sheetName val="PC_COVER_250MM_THK_2_2x_312"/>
      <sheetName val="member_design12"/>
      <sheetName val="working_load_at_the_btm_ft_12"/>
      <sheetName val="soil_bearing_check12"/>
      <sheetName val="3__GROUNDING_SYSTEM13"/>
      <sheetName val="Concept_Offshore12"/>
      <sheetName val="Chiet_tinh_dz3512"/>
      <sheetName val="Adjusted_Bids12"/>
      <sheetName val="A(Rev_3)12"/>
      <sheetName val="Running_compatibility_check_12"/>
      <sheetName val="[Planning&amp;reporting_xlsM9000-A8"/>
      <sheetName val="Running_compatibility_check_?A8"/>
      <sheetName val="Running_compatibility_check__A8"/>
      <sheetName val="Running_compatibility_check__x8"/>
      <sheetName val="List_of_WorkPacks8"/>
      <sheetName val="List_of_Dates8"/>
      <sheetName val="FWBS_codes8"/>
      <sheetName val="STANDARD_DESCRIPTION8"/>
      <sheetName val="STANDARD_DESCRIPTION_-_20150518"/>
      <sheetName val="Drawings_Summary8"/>
      <sheetName val="Instr_Drawing_List8"/>
      <sheetName val="INDEX-Areas_B000,C000,D000,E008"/>
      <sheetName val="STANDARD_DESCRIPTION_201507158"/>
      <sheetName val="DropDown_Selections8"/>
      <sheetName val="A_(2)8"/>
      <sheetName val="Cashflow_Analysis8"/>
      <sheetName val="WORKSHEET_CS7"/>
      <sheetName val="00-Summary_Information-ABB7"/>
      <sheetName val="Direct_Prices7"/>
      <sheetName val="_Planning&amp;reporting_xlsM9000-A7"/>
      <sheetName val="page_67"/>
      <sheetName val="P-Ins_&amp;_Bonds6"/>
      <sheetName val="P-Site_fac6"/>
      <sheetName val="P-Clients_fac6"/>
      <sheetName val="P_Staff_fac6"/>
      <sheetName val="factor_6"/>
      <sheetName val="Structural_Comp8"/>
      <sheetName val="Rate_Analysis6"/>
      <sheetName val="ITB_COST6"/>
      <sheetName val="19_05_20106"/>
      <sheetName val="Earthworks_ERP6"/>
      <sheetName val="24_06_20106"/>
      <sheetName val="Small_Structures_ERP6"/>
      <sheetName val="Large_Structures_ERP6"/>
      <sheetName val="Tunnelling_ERP6"/>
      <sheetName val="vlookup_-_do_not_print6"/>
      <sheetName val="Civil_Weekly6"/>
      <sheetName val="Time_Rates_7"/>
      <sheetName val="_N_Finansal_Eğri6"/>
      <sheetName val="Pricing_Summary6"/>
      <sheetName val="Net_Cost_-_Final_Base6"/>
      <sheetName val="7_6Net_Cost_Agreed_on_Dec-04_R7"/>
      <sheetName val="Net_Cost_Agreed_on_Dec-04_Rev16"/>
      <sheetName val="7_6_Net_Cost_Agreed_on_Dec-046"/>
      <sheetName val="Net_Cost_Agreed_on_Dec-046"/>
      <sheetName val="Total_for_Check6"/>
      <sheetName val="0_0_Cover6"/>
      <sheetName val="Hoja_36"/>
      <sheetName val="Drop_Down6"/>
      <sheetName val="Source_Data6"/>
      <sheetName val="CAPEX_Categories6"/>
      <sheetName val="Summary_(3)6"/>
      <sheetName val="RRW_Scaff6"/>
      <sheetName val="RRW_Oct-2019-1st_Lot-13-10-196"/>
      <sheetName val="RRW_Oct-2019-2st_Lot-15-10-19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g_48"/>
      <sheetName val="Subcon_A8"/>
      <sheetName val="bill_27"/>
      <sheetName val="MATERIAL'S_PRICE7"/>
      <sheetName val="JK_Price_sheet6"/>
      <sheetName val="TP_Price_sheet6"/>
      <sheetName val="Phase_1_JK_UTSE6"/>
      <sheetName val="Phase_2_JK_UTSE6"/>
      <sheetName val="Phase_1_and_2_JK_UTSE6"/>
      <sheetName val="Phase_1_TP_UTSE6"/>
      <sheetName val="Phase_2_TP_UTSE6"/>
      <sheetName val="Phase_1_and_2_TP_UTSE6"/>
      <sheetName val="Cash_Flow_(BL)6"/>
      <sheetName val="Cash_Flow_(UTSE)6"/>
      <sheetName val="견적서표지0204-2_(2)6"/>
      <sheetName val="Piping_Spool6"/>
      <sheetName val="Cost_Definition6"/>
      <sheetName val="견적_원가_6"/>
      <sheetName val="2_046"/>
      <sheetName val="2_056"/>
      <sheetName val="2_07_&amp;_2_086"/>
      <sheetName val="3_016"/>
      <sheetName val="3_026"/>
      <sheetName val="3_036"/>
      <sheetName val="ecart_Personnel6"/>
      <sheetName val="Ecart_Others6"/>
      <sheetName val="Other_costs6"/>
      <sheetName val="3000_Steel_str6"/>
      <sheetName val="5000_Equipments6"/>
      <sheetName val="6000_Piping6"/>
      <sheetName val="7000_Instrumentation6"/>
      <sheetName val="8000_Electrical6"/>
      <sheetName val="per_supplier6"/>
      <sheetName val="Pivot_ledger6"/>
      <sheetName val="Pivot_ENT6"/>
      <sheetName val="Pivot_MAD6"/>
      <sheetName val="RFP003_Building_-_B6"/>
      <sheetName val="PERHITUNGAN__KEEKONOMIAN6"/>
      <sheetName val="Total_Staff6"/>
      <sheetName val="0__SUMMARY6"/>
      <sheetName val="1__Engineering6"/>
      <sheetName val="2__Check_point6"/>
      <sheetName val="II_Changes_16"/>
      <sheetName val="III_Changes_26"/>
      <sheetName val="Qty_6"/>
      <sheetName val="OQC_Summary6"/>
      <sheetName val="6_Unit_Rates6"/>
      <sheetName val="AEROGEL_CAL6"/>
      <sheetName val="CRYG_THKMM6"/>
      <sheetName val="ITB_REVIEW6"/>
      <sheetName val="SPCS_SUMM_6"/>
      <sheetName val="ESTI__SUMM_6"/>
      <sheetName val="Price_Summary6"/>
      <sheetName val="Acc_Stock-INSUL6"/>
      <sheetName val="97_사업추정(WEKI)6"/>
      <sheetName val="Overall_MTO_-_20191001_(old)6"/>
      <sheetName val="MTO_for_BMBQ6"/>
      <sheetName val="BQ_Reff6"/>
      <sheetName val="Sum_of_Comparison-201910076"/>
      <sheetName val="Joint_No_6"/>
      <sheetName val="Unit_Weight6"/>
      <sheetName val="Detail_PMC6"/>
      <sheetName val="Detail_PMC_(for_full_desc)6"/>
      <sheetName val="Bolt_Size6"/>
      <sheetName val="NDE_Req6"/>
      <sheetName val="Tgh_JGC-Inv_I_clp6"/>
      <sheetName val="PCS_6"/>
      <sheetName val="Progress_Statement-SI6"/>
      <sheetName val="Progress_Payment-31106"/>
      <sheetName val="Manpower_List-16"/>
      <sheetName val="SUMMARY_FOR_DPR6"/>
      <sheetName val="Index_Daily_Alloaction6"/>
      <sheetName val="Manpower_List6"/>
      <sheetName val="A_&amp;_B6"/>
      <sheetName val="Salary_20135"/>
      <sheetName val="INDIRECT_OH&amp;P_5"/>
      <sheetName val="Cable_Schedule5"/>
      <sheetName val="Report_Wizard5"/>
      <sheetName val="Initial_Plan5"/>
      <sheetName val="1_INV4"/>
      <sheetName val="2_Calculation_Sheet4"/>
      <sheetName val="Price_Sheet4"/>
      <sheetName val="3__Progress4"/>
      <sheetName val="4__EDR4"/>
      <sheetName val="DATA-DEP_(13-17)4"/>
      <sheetName val="DATA-GCC(25-34_7)4"/>
      <sheetName val="St_-Con(0-17)4"/>
      <sheetName val="St_-Con_(17-34)4"/>
      <sheetName val="Finansal_tamamlanma_Eğrisi4"/>
      <sheetName val="BOM_SUM4"/>
      <sheetName val="Eng__Boq_-14"/>
      <sheetName val="PFP,TIE_COAT_&amp;_TOP_FLG_PAINTED4"/>
      <sheetName val="Shop_Modifications4"/>
      <sheetName val="JI-2036_-_Preservation4"/>
      <sheetName val="Re-Application_4"/>
      <sheetName val="OLD_(2)4"/>
      <sheetName val="Geotextile_for_geotube4"/>
      <sheetName val="DB-BOLT_SIZE4"/>
      <sheetName val="REQ_LIST4"/>
      <sheetName val="DESC_NEW_PMC4"/>
      <sheetName val="MTO_2020_03_114"/>
      <sheetName val="BQ_2020_03_034"/>
      <sheetName val="MTO_2020_03_03_(VDR)4"/>
      <sheetName val="BQ_2020_03_03_(VDR)4"/>
      <sheetName val="WEIGHT_&amp;_PAINT4"/>
      <sheetName val="FW_JGC4"/>
      <sheetName val="FW_VENDOR4"/>
      <sheetName val="BQ_2020_02_254"/>
      <sheetName val="BM_BOLT_&amp;_NUT4"/>
      <sheetName val="RT_TABLE4"/>
      <sheetName val="BRANCH_&amp;_REDUCING_TABLE4"/>
      <sheetName val="DESC_OLD_PMC4"/>
      <sheetName val="SHORT_CODE_LIST4"/>
      <sheetName val="개시대사_(2)3"/>
      <sheetName val="Equiv_Length3"/>
      <sheetName val="S-Curve_(Weekly)3"/>
      <sheetName val="Price_Summary_(1)3"/>
      <sheetName val="Price_Summary_(2)3"/>
      <sheetName val="Item#9_33"/>
      <sheetName val="Item#1_93"/>
      <sheetName val="Item#2_63"/>
      <sheetName val="Item#3_83"/>
      <sheetName val="Item#4_103"/>
      <sheetName val="Item#5_83"/>
      <sheetName val="Item#6_73"/>
      <sheetName val="Item#7_213"/>
      <sheetName val="Item#8_73"/>
      <sheetName val="worksheet_inchican3"/>
      <sheetName val="2_2_띠장의_설계3"/>
      <sheetName val="2_223M_due_to_adj_profit3"/>
      <sheetName val="Land_Dev't__Ph-13"/>
      <sheetName val="INTERIOR_WALLS3"/>
      <sheetName val="Material_Price3"/>
      <sheetName val="combined_9-303"/>
      <sheetName val="GESTION_FICHE3"/>
      <sheetName val="TRADUCTION_LISTES3"/>
      <sheetName val="12_-_MAT'L_CLASSIFIC__FACTORS3"/>
      <sheetName val="1_-_PREFAB_STR_STEEL3"/>
      <sheetName val="8_-_SKIDS,_VESSELS_&amp;_EQPT3"/>
      <sheetName val="5_-_STG_PLANT_-_MISC__ITEMS3"/>
      <sheetName val="14_-_HEIGHT_FACTORS3"/>
      <sheetName val="10_-_STEAM_TURBINE_PUMPS3"/>
      <sheetName val="16_-_ASTM_CS_PIPE_ERECT3"/>
      <sheetName val="15_-_ASTM_CS_PIPE_FAB3"/>
      <sheetName val="7_-_SAND_BLAST_&amp;_PAINT3"/>
      <sheetName val="BOQ_LIST3"/>
      <sheetName val="INSULATION_R13"/>
      <sheetName val="SPT_vs_PHI3"/>
      <sheetName val="01-D_PERS3"/>
      <sheetName val="Fig_4-143"/>
      <sheetName val="Fig_5-173"/>
      <sheetName val="OUTER_AREA(겹침없음)3"/>
      <sheetName val="VESSELS_3"/>
      <sheetName val="Table_Rates_Data3"/>
      <sheetName val="L_V_Separator3"/>
      <sheetName val="Prec_OTS3"/>
      <sheetName val="Inert_Balls3"/>
      <sheetName val="Substation_Column2"/>
      <sheetName val="IRR_sponsor2"/>
      <sheetName val="SOS_PLC_&amp;_Panel2"/>
      <sheetName val="Raw_Data2"/>
      <sheetName val="QMS_Rev_31"/>
      <sheetName val="QMS_Rev_21"/>
      <sheetName val="Rebar_Assembly_Progress1"/>
      <sheetName val="GI_Steps_Progress_Final1"/>
      <sheetName val="QW_Trench1"/>
      <sheetName val="rek_det_1-31"/>
      <sheetName val="Comp_equip1"/>
      <sheetName val="Mach_&amp;_equip1"/>
      <sheetName val="Planilla_CND1"/>
      <sheetName val="PDS_U-14001"/>
      <sheetName val="Riesgos_y_Oportunidades1"/>
      <sheetName val="Hrg_Satuan1"/>
      <sheetName val="Bill_rekap1"/>
      <sheetName val="ANALIS_21"/>
      <sheetName val="ANALIS_11"/>
      <sheetName val="Harga_Satuan1"/>
      <sheetName val="analis_standar(8m)1"/>
      <sheetName val="bhn_1"/>
      <sheetName val="6PILE__(돌출)1"/>
      <sheetName val="0_품의서(전체)1"/>
      <sheetName val="LAST_UPDATE1"/>
      <sheetName val="Financ__Overview1"/>
      <sheetName val="4_代码列表1"/>
      <sheetName val="人工SDP_21"/>
      <sheetName val="材料SDP_11"/>
      <sheetName val="Vaccari__EST_INQ-Stat__Summ_1"/>
      <sheetName val="TOTAL_SCHEDULE1"/>
      <sheetName val="AOP_Summary-21"/>
      <sheetName val="Galian 1"/>
      <sheetName val="Rencana Anggaran Biaya"/>
      <sheetName val="Vibro_Roller"/>
      <sheetName val="IPL_SCHEDULE"/>
      <sheetName val="Daf Harga"/>
      <sheetName val="Rekap Bill"/>
      <sheetName val="An_ Harga"/>
      <sheetName val="BREAKDOWN(철거설치)"/>
      <sheetName val="1062-X방향 "/>
      <sheetName val="Sheet9"/>
      <sheetName val="전기자료"/>
      <sheetName val="Sheet10"/>
      <sheetName val="0226"/>
      <sheetName val="List of WorkPack_x0000_"/>
      <sheetName val="PNT-QUOT-#3"/>
      <sheetName val="COAT&amp;WRAP-QIOT-#3"/>
      <sheetName val="ALLOWANCE"/>
      <sheetName val="MH RATE"/>
      <sheetName val="PK1-1630"/>
      <sheetName val="PK2-1630"/>
      <sheetName val="analis standar(20m)"/>
      <sheetName val="ANAL BETON"/>
      <sheetName val="II손익관리"/>
      <sheetName val="품셈표"/>
      <sheetName val="단중"/>
      <sheetName val="SCHE"/>
      <sheetName val="UPRI"/>
      <sheetName val="COSTOMAT.XLS"/>
      <sheetName val="COSTOMAT_XLS"/>
      <sheetName val="Limit_ACC_A"/>
      <sheetName val="07"/>
      <sheetName val="Carat"/>
      <sheetName val="Coversheet"/>
      <sheetName val="Sumption Summary"/>
      <sheetName val="Cost Summary"/>
      <sheetName val="A-1Construction Breakdown"/>
      <sheetName val="A-2 Equipment Breakdown"/>
      <sheetName val="1-HVAC Sumption"/>
      <sheetName val="2-Fire&amp; Plumb Sumption"/>
      <sheetName val="3-Utility Sumption"/>
      <sheetName val="4-Engineering Sumption"/>
      <sheetName val="B2 Project Mangement"/>
      <sheetName val="B8 Permitting"/>
      <sheetName val="SC Cost FEB 03"/>
      <sheetName val="CONTROL"/>
      <sheetName val="POM"/>
      <sheetName val="Drilling sequence"/>
      <sheetName val="Wells"/>
      <sheetName val="Active Wells"/>
      <sheetName val="String time"/>
      <sheetName val="Type curves (bbl)"/>
      <sheetName val="Well fcst."/>
      <sheetName val="Oil prod"/>
      <sheetName val="Water prod"/>
      <sheetName val="Water inj"/>
      <sheetName val="Liquid prod"/>
      <sheetName val="Gas prod"/>
      <sheetName val="Ullage check"/>
      <sheetName val="Well CAPEX"/>
      <sheetName val="Hook Up"/>
      <sheetName val="WRM"/>
      <sheetName val="Subsurface Studies"/>
      <sheetName val="Facilities"/>
      <sheetName val="Pipelines"/>
      <sheetName val="OHL"/>
      <sheetName val="Maintenance"/>
      <sheetName val="Operations"/>
      <sheetName val="Trucking"/>
      <sheetName val="Power"/>
      <sheetName val="Fuel"/>
      <sheetName val="Camp operation"/>
      <sheetName val="Software &amp; IT"/>
      <sheetName val="Coastal Overheads"/>
      <sheetName val="Actuals"/>
      <sheetName val="2019 budget"/>
      <sheetName val="Assumptions monthly"/>
      <sheetName val="Assumptions comparison"/>
      <sheetName val="Rewards"/>
      <sheetName val="Economics (monhtly)"/>
      <sheetName val="Economics Summary"/>
      <sheetName val="Budget DELTA"/>
      <sheetName val="2019-20 Budget "/>
      <sheetName val="Budget Overview"/>
      <sheetName val="Reserves"/>
      <sheetName val="WU"/>
      <sheetName val="DTI"/>
      <sheetName val="ICV"/>
      <sheetName val="OUTPUT"/>
      <sheetName val="独资部分-10-12"/>
      <sheetName val="Task_Force_Coding_Abbreviations"/>
      <sheetName val="Task_Force_Coding_Abbreviation1"/>
      <sheetName val="PROJECT TITLE"/>
      <sheetName val="Foglio1"/>
      <sheetName val="Page_1"/>
      <sheetName val="PLSt_03__"/>
      <sheetName val="П_7_курс_аванса"/>
      <sheetName val="INFO_UMUM"/>
      <sheetName val="DET_1"/>
      <sheetName val="DET_2"/>
      <sheetName val="BASIC_PRICE"/>
      <sheetName val="_GULF"/>
      <sheetName val="DIV_1"/>
      <sheetName val="TABLA"/>
      <sheetName val="PLSt_03__1"/>
      <sheetName val="П_7_курс_аванса1"/>
      <sheetName val="Komponen_Upah1"/>
      <sheetName val="Inkindo_20151"/>
      <sheetName val="Page_11"/>
      <sheetName val="INFO_UMUM1"/>
      <sheetName val="DET_11"/>
      <sheetName val="DET_21"/>
      <sheetName val="BASIC_PRICE1"/>
      <sheetName val="_GULF1"/>
      <sheetName val="DIV_11"/>
      <sheetName val="Retaining_wall_&amp;_Top_Up"/>
      <sheetName val="U_A_Input"/>
      <sheetName val="Equipt_Rental"/>
      <sheetName val="personnel_loading"/>
      <sheetName val="MAY_00-Bobbins"/>
      <sheetName val="UPA(Part_C,D,E,G,H)"/>
      <sheetName val="UPA(Part_F)"/>
      <sheetName val="일위대가_(Part_C,D,E,G,H)"/>
      <sheetName val="CABLE_DATA"/>
      <sheetName val="Price_Schedule"/>
      <sheetName val="Working_Materials"/>
      <sheetName val="Working_sheet"/>
      <sheetName val="VS_P-Q"/>
      <sheetName val="VS_curve"/>
      <sheetName val="CS_P_Q"/>
      <sheetName val="HRG_BAHAN_&amp;_UPAH_okk"/>
      <sheetName val="Analis_Kusen_okk"/>
      <sheetName val="4_Annex_1_Basic_rate"/>
      <sheetName val="F1_4"/>
      <sheetName val="Iuran_Nopember_2002"/>
      <sheetName val="H_Satuan"/>
      <sheetName val="ocean_voyage"/>
      <sheetName val="Perm__Test"/>
      <sheetName val="Cash_Flow_bulanan"/>
      <sheetName val="7__Comparison_of_Asphalt_etc"/>
      <sheetName val="MEASURE_LIST"/>
      <sheetName val="OIL_SYST_DATA_SHTS"/>
      <sheetName val="List_-_Components"/>
      <sheetName val="List_-_Equipment"/>
      <sheetName val="BOQ_for_HRSG_&amp;_BOP-mech_"/>
      <sheetName val="Detail_Eng"/>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4-Basic_Price"/>
      <sheetName val="Kuantitas_&amp;_Harga"/>
      <sheetName val="DIV_3"/>
      <sheetName val="HARGA_DASAR"/>
      <sheetName val="hrg_sat1"/>
      <sheetName val="Data_basic_price_jgan_diprint"/>
      <sheetName val="Urai__Resap_pengikat"/>
      <sheetName val="Daily_Forwards"/>
      <sheetName val="sis_xlm"/>
      <sheetName val="Tipo_de_Cambio"/>
      <sheetName val="Analisa_Upah_&amp;_Bahan_Plum"/>
      <sheetName val="Daftar_Sewa"/>
      <sheetName val="Peralatan_(2)"/>
      <sheetName val="Analisa_Alat"/>
      <sheetName val="Analisa_SNI_STANDART_"/>
      <sheetName val="DAFTAR_ISI"/>
      <sheetName val="UNIT_3"/>
      <sheetName val="1_2"/>
      <sheetName val="(1)Internal_Cost_Report"/>
      <sheetName val="PSM_Monthly"/>
      <sheetName val="Memb_Schd"/>
      <sheetName val="Section"/>
      <sheetName val="Dynamic Query"/>
      <sheetName val="SC_Cost_FEB_03"/>
      <sheetName val="mplpro"/>
      <sheetName val="C.ALS-STR-PDS"/>
      <sheetName val="analisa GRC"/>
      <sheetName val="Q.ALS-saluran+BK"/>
      <sheetName val="조명시설"/>
      <sheetName val="TPS Performance Model"/>
      <sheetName val="PI"/>
      <sheetName val="제출계산서"/>
      <sheetName val="PointNo.5"/>
      <sheetName val="PCV"/>
      <sheetName val="Ragama"/>
      <sheetName val="Mobilisasi div-1"/>
      <sheetName val="EQUIPOS"/>
      <sheetName val="CAPEX"/>
      <sheetName val="PV.00001"/>
      <sheetName val="U.S ILD"/>
      <sheetName val="Projekt4"/>
      <sheetName val="081387T_BoM_detail "/>
      <sheetName val="P2A Execute Detailed Profile"/>
      <sheetName val="Administrative Prices"/>
      <sheetName val="XZLC003_PART1"/>
      <sheetName val="热力"/>
      <sheetName val="Shut down"/>
      <sheetName val="Building"/>
      <sheetName val="Basic Rate"/>
      <sheetName val="derive"/>
      <sheetName val="VC2 10.99"/>
      <sheetName val="UC"/>
      <sheetName val="COMPARATIVE SUMMARY"/>
      <sheetName val="BOQ (typ-accent)"/>
      <sheetName val="RecoveredExternalLink1"/>
      <sheetName val="float&amp;bear"/>
      <sheetName val="Kfracture"/>
      <sheetName val="Named Range"/>
      <sheetName val="RFP Codes"/>
      <sheetName val="Other"/>
      <sheetName val="Dico"/>
      <sheetName val="co-no.2"/>
      <sheetName val="TOSHIBA-Structure"/>
      <sheetName val="BOQp4"/>
      <sheetName val="SOBRETIEMPO"/>
      <sheetName val="HaulingLine hardware"/>
      <sheetName val="Direct Cost Summary"/>
      <sheetName val="일위대가"/>
      <sheetName val="MTO REV.2(ARMOR)"/>
      <sheetName val="4-Lane bridge"/>
      <sheetName val="Hac.Lots"/>
      <sheetName val="Res.Lots"/>
      <sheetName val="Spine Road"/>
      <sheetName val="Inputs"/>
      <sheetName val="BD"/>
      <sheetName val="다이꾸"/>
      <sheetName val="tabulation of deductions"/>
      <sheetName val="DUPA-22-NAGSAAG SS"/>
      <sheetName val="Résultats"/>
      <sheetName val="Code 07"/>
      <sheetName val="Schedule 2 and 3"/>
      <sheetName val="DATE"/>
      <sheetName val="비품"/>
      <sheetName val="choose"/>
      <sheetName val="Detail"/>
      <sheetName val="THISWORKSHEET"/>
      <sheetName val="struktur tdk dipakai"/>
      <sheetName val="sumoflaborates"/>
      <sheetName val="비계 수량산출서"/>
      <sheetName val="금융비용"/>
      <sheetName val="임차보증금"/>
      <sheetName val="ANX3A11"/>
      <sheetName val="부대내역"/>
      <sheetName val="GEN"/>
      <sheetName val="가공사"/>
      <sheetName val="의왕F사"/>
      <sheetName val="견적대비표"/>
      <sheetName val="XZLC004_PART2"/>
      <sheetName val="BQ"/>
      <sheetName val="CAT_5"/>
      <sheetName val="AILC004"/>
      <sheetName val="PBS"/>
      <sheetName val="간접비내역-1"/>
      <sheetName val="예산M12A"/>
      <sheetName val="Graph (LGEN)"/>
      <sheetName val="out_prog"/>
      <sheetName val="Piping Design Data"/>
      <sheetName val="선적schedule (2)"/>
      <sheetName val="X17-TOTAL"/>
      <sheetName val="견적을지"/>
      <sheetName val=" 갑지"/>
      <sheetName val="SHL"/>
      <sheetName val="spc 배관견적"/>
      <sheetName val="Weight"/>
      <sheetName val="RFP007"/>
      <sheetName val="Log-Log"/>
      <sheetName val="SAT-DAS"/>
      <sheetName val="HRG BHN"/>
      <sheetName val="struktur"/>
      <sheetName val="Rates Increase &amp; Loading"/>
      <sheetName val="REKAP A BESAR"/>
      <sheetName val="MTL$-INTER"/>
      <sheetName val="Sheet5"/>
      <sheetName val="Proj Cost Sumry"/>
      <sheetName val="물량 집계표"/>
      <sheetName val="비계수정작업집계"/>
      <sheetName val="안전감시자공수집계"/>
      <sheetName val="Curves"/>
      <sheetName val="Note"/>
      <sheetName val="Tables"/>
      <sheetName val="Activity Form"/>
      <sheetName val="PIPING LINE LIST"/>
      <sheetName val="coastal"/>
      <sheetName val="AN-01"/>
      <sheetName val="Angkatan Mewah"/>
      <sheetName val="Day work"/>
      <sheetName val="New Rates"/>
      <sheetName val="Period -Worksheet"/>
      <sheetName val="01"/>
      <sheetName val="02"/>
      <sheetName val="03"/>
      <sheetName val="04"/>
      <sheetName val="수량산출"/>
      <sheetName val="Sum-Solvay DOW-AIE "/>
      <sheetName val="ใบนำส่งเอกสาร ออก Invoiced"/>
      <sheetName val="SMY PG"/>
      <sheetName val="รอ"/>
      <sheetName val="PO Blanket Status"/>
      <sheetName val="UnitRate"/>
      <sheetName val="New Rate"/>
      <sheetName val="PID"/>
      <sheetName val=" 배관자재비-SKEC구매분"/>
      <sheetName val="보온자재단가표"/>
      <sheetName val="FLANGE"/>
      <sheetName val="steam table"/>
      <sheetName val="INSTLIST 1"/>
      <sheetName val="VUOTO"/>
      <sheetName val="studbolt no."/>
      <sheetName val="studbolt size"/>
      <sheetName val="item sort no"/>
      <sheetName val="Price Schedule(Piping)"/>
      <sheetName val="General Data"/>
      <sheetName val="금융"/>
      <sheetName val="IMPEADENCE MAP 취수장"/>
      <sheetName val="CB"/>
      <sheetName val="기기리스트"/>
      <sheetName val="LINE_LIST"/>
      <sheetName val="Takeoff"/>
      <sheetName val="BQ List"/>
      <sheetName val="QT003-SSY-철골3"/>
      <sheetName val="CAST INT T-S"/>
      <sheetName val="매출 현황 (본사)"/>
      <sheetName val="기타"/>
      <sheetName val="U.D.电槽运行状况 "/>
      <sheetName val="生产现况(总累计)"/>
      <sheetName val="原材料单耗(现状况)"/>
      <sheetName val="BJ电解槽运行状况 "/>
      <sheetName val="울산이전 Schedule(초안)"/>
      <sheetName val="LOADS"/>
      <sheetName val="trf(36%)"/>
      <sheetName val="Report_OOK"/>
      <sheetName val="Att1.Home Office Cost"/>
      <sheetName val="EQUIP"/>
      <sheetName val="토목 Utility Schedule (2)"/>
      <sheetName val="1. 총괄"/>
      <sheetName val="E 3367 Estimate"/>
      <sheetName val="2-Conc"/>
      <sheetName val="85m3 bulk 비교"/>
      <sheetName val="120m3 bulk 비교"/>
      <sheetName val="Ni BJ bulk 비교"/>
      <sheetName val="Back Data"/>
      <sheetName val="_배관자재비-SKEC구매분"/>
      <sheetName val="INSTLIST_1"/>
      <sheetName val="steam_table"/>
      <sheetName val="Price_Schedule(Piping)"/>
      <sheetName val="studbolt_no_"/>
      <sheetName val="studbolt_size"/>
      <sheetName val="item_sort_no"/>
      <sheetName val="TABLE-A"/>
      <sheetName val="General_Data"/>
      <sheetName val="BQ_List"/>
      <sheetName val="Project MP Plan (Home Office)"/>
      <sheetName val="CAST_INT_T-S"/>
      <sheetName val="IMPEADENCE_MAP_취수장"/>
      <sheetName val="보고서용"/>
      <sheetName val="CAL1"/>
      <sheetName val="Preise"/>
      <sheetName val="공사내역"/>
      <sheetName val="찍기"/>
      <sheetName val="토목_Utility_Schedule_(2)"/>
      <sheetName val="1__총괄"/>
      <sheetName val="매출_현황_(본사)"/>
      <sheetName val="_배관자재비-SKEC구매분1"/>
      <sheetName val="INSTLIST_11"/>
      <sheetName val="steam_table1"/>
      <sheetName val="studbolt_no_1"/>
      <sheetName val="studbolt_size1"/>
      <sheetName val="item_sort_no1"/>
      <sheetName val="Price_Schedule(Piping)1"/>
      <sheetName val="General_Data1"/>
      <sheetName val="BQ_List1"/>
      <sheetName val="CAST_INT_T-S1"/>
      <sheetName val="IMPEADENCE_MAP_취수장1"/>
      <sheetName val="E_3367_Estimate"/>
      <sheetName val="U_D_电槽运行状况_"/>
      <sheetName val="BJ电解槽运行状况_"/>
      <sheetName val="울산이전_Schedule(초안)"/>
      <sheetName val="Project_MP_Plan_(Home_Office)"/>
      <sheetName val="Att1_Home_Office_Cost"/>
      <sheetName val="_배관자재비-SKEC구매분2"/>
      <sheetName val="studbolt_no_2"/>
      <sheetName val="studbolt_size2"/>
      <sheetName val="item_sort_no2"/>
      <sheetName val="INSTLIST_12"/>
      <sheetName val="steam_table2"/>
      <sheetName val="Price_Schedule(Piping)2"/>
      <sheetName val="General_Data2"/>
      <sheetName val="매출_현황_(본사)1"/>
      <sheetName val="BQ_List2"/>
      <sheetName val="U_D_电槽运行状况_1"/>
      <sheetName val="BJ电解槽运行状况_1"/>
      <sheetName val="울산이전_Schedule(초안)1"/>
      <sheetName val="CAST_INT_T-S2"/>
      <sheetName val="IMPEADENCE_MAP_취수장2"/>
      <sheetName val="1__총괄1"/>
      <sheetName val="토목_Utility_Schedule_(2)1"/>
      <sheetName val="E_3367_Estimate1"/>
      <sheetName val="Project_MP_Plan_(Home_Office)1"/>
      <sheetName val="Att1_Home_Office_Cost1"/>
      <sheetName val="HO ENG MH CAL"/>
      <sheetName val="Schedule S-Curve Revision#3"/>
      <sheetName val="HO_ENG_MH_CAL"/>
      <sheetName val="Schedule_S-Curve_Revision#3"/>
      <sheetName val="MC-01"/>
      <sheetName val="90EL JACKET"/>
      <sheetName val="보온재"/>
      <sheetName val="Y-WORK"/>
      <sheetName val="품의"/>
      <sheetName val="TESİSAT"/>
      <sheetName val="Graph.Data"/>
      <sheetName val="G.G"/>
      <sheetName val="산출근거#2-3"/>
      <sheetName val="1062-X방향_"/>
      <sheetName val="KA6"/>
      <sheetName val="Previous Week"/>
      <sheetName val="Loop Test"/>
      <sheetName val="Weekly Quantity"/>
      <sheetName val="Static Equipment"/>
      <sheetName val="Solo Run"/>
      <sheetName val="name"/>
      <sheetName val="Insts"/>
      <sheetName val="M-EQPT-Z"/>
      <sheetName val="설계예산서"/>
      <sheetName val="조건표"/>
      <sheetName val="결과조달"/>
      <sheetName val="3.공통공사대비"/>
      <sheetName val="금액내역서"/>
      <sheetName val="장비"/>
      <sheetName val="대비"/>
      <sheetName val="전기"/>
      <sheetName val="약품공급2"/>
      <sheetName val="서∼군(2)"/>
      <sheetName val="입찰안"/>
      <sheetName val="간선계산"/>
      <sheetName val="1단계"/>
      <sheetName val="수량집계표"/>
      <sheetName val="일반공사"/>
      <sheetName val="MOTOR"/>
      <sheetName val="노무"/>
      <sheetName val="자압"/>
      <sheetName val="5.전사투자계획종함안"/>
      <sheetName val="자재"/>
      <sheetName val="2000전체분"/>
      <sheetName val="현장관리비 산출내역"/>
      <sheetName val="실행대비"/>
      <sheetName val="청천내"/>
      <sheetName val="요율"/>
      <sheetName val="노임"/>
      <sheetName val="연결임시"/>
      <sheetName val="구조물공"/>
      <sheetName val="내역"/>
      <sheetName val="2000년1차"/>
      <sheetName val="노무비"/>
      <sheetName val="산근1"/>
      <sheetName val="부대공"/>
      <sheetName val="★도급내역"/>
      <sheetName val="설계"/>
      <sheetName val="저"/>
      <sheetName val="45,46"/>
      <sheetName val="지급자재"/>
      <sheetName val="단가"/>
      <sheetName val="배수공"/>
      <sheetName val="관리,공감"/>
      <sheetName val="입찰"/>
      <sheetName val="토목"/>
      <sheetName val="원가계산서"/>
      <sheetName val="자재대"/>
      <sheetName val="200"/>
      <sheetName val="토공"/>
      <sheetName val="도급"/>
      <sheetName val="포장공"/>
      <sheetName val="현경"/>
      <sheetName val="소야공정계획표"/>
      <sheetName val=" X-2 PJT 기성내역서.xlsx"/>
      <sheetName val="TOWER 12TON"/>
      <sheetName val="TOWER 10TON"/>
      <sheetName val="_배관자재비-SKEC구매분3"/>
      <sheetName val="INSTLIST_13"/>
      <sheetName val="steam_table3"/>
      <sheetName val="studbolt_no_3"/>
      <sheetName val="studbolt_size3"/>
      <sheetName val="item_sort_no3"/>
      <sheetName val="Price_Schedule(Piping)3"/>
      <sheetName val="General_Data3"/>
      <sheetName val="BQ_List3"/>
      <sheetName val="CAST_INT_T-S3"/>
      <sheetName val="IMPEADENCE_MAP_취수장3"/>
      <sheetName val="토목_Utility_Schedule_(2)2"/>
      <sheetName val="1__총괄2"/>
      <sheetName val="E_3367_Estimate2"/>
      <sheetName val="매출_현황_(본사)2"/>
      <sheetName val="U_D_电槽运行状况_2"/>
      <sheetName val="BJ电解槽运行状况_2"/>
      <sheetName val="울산이전_Schedule(초안)2"/>
      <sheetName val="Project_MP_Plan_(Home_Office)2"/>
      <sheetName val="Att1_Home_Office_Cost2"/>
      <sheetName val="85m3_bulk_비교"/>
      <sheetName val="120m3_bulk_비교"/>
      <sheetName val="Ni_BJ_bulk_비교"/>
      <sheetName val="Back_Data"/>
      <sheetName val="90EL_JACKET"/>
      <sheetName val="HO_ENG_MH_CAL1"/>
      <sheetName val="Schedule_S-Curve_Revision#31"/>
      <sheetName val="G_G"/>
      <sheetName val="TAB &amp; Exch Rate"/>
      <sheetName val="References"/>
      <sheetName val="Vessel"/>
      <sheetName val="Exchanger"/>
      <sheetName val="Fired Heaters"/>
      <sheetName val="Air Cooler"/>
      <sheetName val="Compressors"/>
      <sheetName val="Pumps"/>
      <sheetName val="Fans"/>
      <sheetName val="Desuperheaters &amp; Silencers"/>
      <sheetName val="Packages"/>
      <sheetName val="Miscellanea"/>
      <sheetName val="_REF"/>
      <sheetName val="영동(D)"/>
      <sheetName val="수입"/>
      <sheetName val="영업소실적"/>
      <sheetName val="수주현황2월"/>
      <sheetName val="예총"/>
      <sheetName val="10현장조직"/>
      <sheetName val="인원계획"/>
      <sheetName val="할증 "/>
      <sheetName val="연돌일위집계"/>
      <sheetName val="TRNS-C1"/>
      <sheetName val="PROCURE"/>
      <sheetName val="lookup"/>
      <sheetName val="사업인력(프로포잘)"/>
      <sheetName val="물가정보"/>
      <sheetName val="정부노임"/>
      <sheetName val="9609추"/>
      <sheetName val="F4-F7"/>
      <sheetName val="COST"/>
      <sheetName val="Recovered_Sheet3"/>
      <sheetName val="Recovered_Sheet2"/>
      <sheetName val="Recovered_Sheet7"/>
      <sheetName val="Recovered_Sheet4"/>
      <sheetName val="Recovered_Sheet9"/>
      <sheetName val="Recovered_Sheet14"/>
      <sheetName val="Recovered_Sheet5"/>
      <sheetName val="Recovered_Sheet10"/>
      <sheetName val="Recovered_Sheet8"/>
      <sheetName val="Recovered_Sheet11"/>
      <sheetName val="#3_일위대가목록"/>
      <sheetName val="FM"/>
      <sheetName val="당진1,2호기전선관설치및접지4차공사내역서-을지"/>
      <sheetName val="월별생산"/>
      <sheetName val="실행(1)"/>
      <sheetName val="입상내역"/>
      <sheetName val="FC-101"/>
      <sheetName val="11월내역"/>
      <sheetName val="데이타"/>
      <sheetName val="수량산출서"/>
      <sheetName val="조명율표"/>
      <sheetName val="원가"/>
      <sheetName val="#2_일위대가목록"/>
      <sheetName val="물량입력"/>
      <sheetName val="CM 1"/>
      <sheetName val="영창26"/>
      <sheetName val="기계공사비집계(원안)"/>
      <sheetName val="2.대외공문"/>
      <sheetName val="연봉표"/>
      <sheetName val="판매브리핑"/>
      <sheetName val="LD TX"/>
      <sheetName val="조경일람"/>
      <sheetName val="101동"/>
      <sheetName val="증감내역서"/>
      <sheetName val="기준정보"/>
      <sheetName val="도기류"/>
      <sheetName val="빌딩 안내"/>
      <sheetName val="주beam"/>
      <sheetName val="계측기"/>
      <sheetName val="실행내역서(DCU)"/>
      <sheetName val="경상"/>
      <sheetName val="투입실적"/>
      <sheetName val="가설"/>
      <sheetName val="주_부자재"/>
      <sheetName val="용선 C.L"/>
      <sheetName val="실행내역서 "/>
      <sheetName val="발주내역"/>
      <sheetName val="내역_ver1.0"/>
      <sheetName val="controll"/>
      <sheetName val="기준원단위"/>
      <sheetName val="1996"/>
      <sheetName val="공량예산"/>
      <sheetName val="내역전기"/>
      <sheetName val="Weld, NDE (Pipe)"/>
      <sheetName val="附表6"/>
      <sheetName val="图形"/>
      <sheetName val="敏感性"/>
      <sheetName val="config"/>
      <sheetName val="分析"/>
      <sheetName val="综合表"/>
      <sheetName val="土建"/>
      <sheetName val="Precios"/>
      <sheetName val="Utility and Fire flange"/>
      <sheetName val="합벽,옹벽"/>
      <sheetName val="뜃맟뭁돽띿맟-BLDG"/>
      <sheetName val="Planning&amp;reporting.xlsM9000-A"/>
      <sheetName val="Planning&amp;reporting_xlsM9000-A"/>
      <sheetName val="Planning&amp;reporting_xlsM9000-A1"/>
      <sheetName val="Running_compatibility_check_A1"/>
      <sheetName val="Planning&amp;reporting_xlsM9000-A2"/>
      <sheetName val="배수내역"/>
      <sheetName val="Pump"/>
      <sheetName val="Basicrates"/>
      <sheetName val="PROG."/>
      <sheetName val="TPAD"/>
      <sheetName val="tabel berat"/>
      <sheetName val="L 1"/>
      <sheetName val="_Planning&amp;reporting_xlsM9000-A8"/>
      <sheetName val="ETHYLENE-Production"/>
      <sheetName val="budget summary"/>
      <sheetName val="BS"/>
      <sheetName val="ELM"/>
      <sheetName val="CSR Regions"/>
      <sheetName val="transf"/>
      <sheetName val="Daftar BOQ"/>
      <sheetName val="Reference"/>
      <sheetName val="Met_Pas Batu"/>
      <sheetName val="Met_ Minor"/>
      <sheetName val="10"/>
      <sheetName val="5"/>
      <sheetName val="Working_Materials1"/>
      <sheetName val="Working_sheet1"/>
      <sheetName val="SC_Cost_FEB_031"/>
      <sheetName val="Drilling_sequence"/>
      <sheetName val="Active_Wells"/>
      <sheetName val="String_time"/>
      <sheetName val="Type_curves_(bbl)"/>
      <sheetName val="Well_fcst_"/>
      <sheetName val="Oil_prod"/>
      <sheetName val="Water_prod"/>
      <sheetName val="Water_inj"/>
      <sheetName val="Liquid_prod"/>
      <sheetName val="Gas_prod"/>
      <sheetName val="Ullage_check"/>
      <sheetName val="Well_CAPEX"/>
      <sheetName val="Hook_Up"/>
      <sheetName val="Subsurface_Studies"/>
      <sheetName val="Camp_operation"/>
      <sheetName val="Software_&amp;_IT"/>
      <sheetName val="Coastal_Overheads"/>
      <sheetName val="2019_budget"/>
      <sheetName val="Assumptions_monthly"/>
      <sheetName val="Assumptions_comparison"/>
      <sheetName val="Economics_(monhtly)"/>
      <sheetName val="Economics_Summary"/>
      <sheetName val="Budget_DELTA"/>
      <sheetName val="2019-20_Budget_"/>
      <sheetName val="Budget_Overview"/>
      <sheetName val="Sumption_Summary"/>
      <sheetName val="Cost_Summary"/>
      <sheetName val="A-1Construction_Breakdown"/>
      <sheetName val="A-2_Equipment_Breakdown"/>
      <sheetName val="1-HVAC_Sumption"/>
      <sheetName val="2-Fire&amp;_Plumb_Sumption"/>
      <sheetName val="3-Utility_Sumption"/>
      <sheetName val="4-Engineering_Sumption"/>
      <sheetName val="B2_Project_Mangement"/>
      <sheetName val="B8_Permitting"/>
      <sheetName val="HIOS_93_thru_96"/>
      <sheetName val="CREDIT_STATS"/>
      <sheetName val="1999_BUDGET"/>
      <sheetName val="Rekap_Addendum"/>
      <sheetName val="Dynamic_Query"/>
      <sheetName val="REQ_REMARKS"/>
      <sheetName val="Project data"/>
      <sheetName val="PriceSummary"/>
      <sheetName val="TIE-INS"/>
      <sheetName val="COSTOMAT_XLS1"/>
      <sheetName val="QMS_Rev_32"/>
      <sheetName val="QMS_Rev_22"/>
      <sheetName val="Rebar_Assembly_Progress2"/>
      <sheetName val="GI_Steps_Progress_Final2"/>
      <sheetName val="QW_Trench2"/>
      <sheetName val="HRG_BAHAN_&amp;_UPAH_okk1"/>
      <sheetName val="Analis_Kusen_okk1"/>
      <sheetName val="4_Annex_1_Basic_rate1"/>
      <sheetName val="VS_P-Q1"/>
      <sheetName val="VS_curve1"/>
      <sheetName val="CS_P_Q1"/>
      <sheetName val="Retaining_wall_&amp;_Top_Up1"/>
      <sheetName val="personnel_loading1"/>
      <sheetName val="MAY_00-Bobbins1"/>
      <sheetName val="U_A_Input1"/>
      <sheetName val="Equipt_Rental1"/>
      <sheetName val="UPA(Part_C,D,E,G,H)1"/>
      <sheetName val="UPA(Part_F)1"/>
      <sheetName val="일위대가_(Part_C,D,E,G,H)1"/>
      <sheetName val="AOP_Summary-22"/>
      <sheetName val="Price_Schedule1"/>
      <sheetName val="OIL_SYST_DATA_SHTS1"/>
      <sheetName val="Working_Materials2"/>
      <sheetName val="Working_sheet2"/>
      <sheetName val="MEASURE_LIST1"/>
      <sheetName val="CABLE_DATA1"/>
      <sheetName val="F1_41"/>
      <sheetName val="Iuran_Nopember_20021"/>
      <sheetName val="H_Satuan1"/>
      <sheetName val="ocean_voyage1"/>
      <sheetName val="Perm__Test1"/>
      <sheetName val="Cash_Flow_bulanan1"/>
      <sheetName val="7__Comparison_of_Asphalt_etc1"/>
      <sheetName val="List_-_Components1"/>
      <sheetName val="List_-_Equipment1"/>
      <sheetName val="0_INDIRECTS1"/>
      <sheetName val="1__Civil_Works1"/>
      <sheetName val="2__Struct__Steel_SST1"/>
      <sheetName val="3__Fireproofing_SST1"/>
      <sheetName val="4_2__Fireproofing_EQU1"/>
      <sheetName val="4_1__Equipment1"/>
      <sheetName val="4_1__Equipment_(Tag)1"/>
      <sheetName val="BoQ_Equipment1"/>
      <sheetName val="4_3__Insulation_for_Equip1"/>
      <sheetName val="4_4__Structural_Steel_EQU1"/>
      <sheetName val="4_5__Heavy_Lifting1"/>
      <sheetName val="5_1__AG_PIPING1"/>
      <sheetName val="1A_AG_PIPING_PREFABRICATION1"/>
      <sheetName val="5_2_UG_PIPING1"/>
      <sheetName val="5_3a_VALVES1"/>
      <sheetName val="5_3b_INLINE_INST_1"/>
      <sheetName val="5_3c_FLANGE_BOLTED_JOINTS1"/>
      <sheetName val="5_4__SUPPORTS1"/>
      <sheetName val="5_5__WRAPPING1"/>
      <sheetName val="5_6__PAINT1"/>
      <sheetName val="5_7__INSULATION1"/>
      <sheetName val="5_8__NDT1"/>
      <sheetName val="5_9__PWHT1"/>
      <sheetName val="5_10_TIE-INS1"/>
      <sheetName val="6__Pipeline_Works1"/>
      <sheetName val="7_1__Cathodic_Protection_Erec1"/>
      <sheetName val="7_2__CP_Auxiliary_Prices1"/>
      <sheetName val="8_1__Electrical_Erection1"/>
      <sheetName val="8_2__Instruments_Erection1"/>
      <sheetName val="8_3__Telecom_Erection1"/>
      <sheetName val="9_1__HSE_-_Inside_Bldg1"/>
      <sheetName val="9_2__HSE_-_Outside_Bldg1"/>
      <sheetName val="21__MODIFICATION_PRICES1"/>
      <sheetName val="2__CHANGES-11"/>
      <sheetName val="3__CHANGES-21"/>
      <sheetName val="5__CHANGES-41"/>
      <sheetName val="BOQ_for_HRSG_&amp;_BOP-mech_1"/>
      <sheetName val="COSTOMAT_XLS2"/>
      <sheetName val="Tipo_de_Cambio1"/>
      <sheetName val="Detail_Eng1"/>
      <sheetName val="SC_Cost_FEB_032"/>
      <sheetName val="Dynamic_Query1"/>
      <sheetName val="4-Basic_Price1"/>
      <sheetName val="Kuantitas_&amp;_Harga1"/>
      <sheetName val="DIV_31"/>
      <sheetName val="HARGA_DASAR1"/>
      <sheetName val="hrg_sat11"/>
      <sheetName val="Data_basic_price_jgan_diprint1"/>
      <sheetName val="Urai__Resap_pengikat1"/>
      <sheetName val="Daily_Forwards1"/>
      <sheetName val="sis_xlm1"/>
      <sheetName val="Analisa_Upah_&amp;_Bahan_Plum1"/>
      <sheetName val="Daftar_Sewa1"/>
      <sheetName val="Peralatan_(2)1"/>
      <sheetName val="Analisa_Alat1"/>
      <sheetName val="Analisa_SNI_STANDART_1"/>
      <sheetName val="DAFTAR_ISI1"/>
      <sheetName val="UNIT_31"/>
      <sheetName val="1_21"/>
      <sheetName val="(1)Internal_Cost_Report1"/>
      <sheetName val="PSM_Monthly1"/>
      <sheetName val="HIOS_93_thru_961"/>
      <sheetName val="CREDIT_STATS1"/>
      <sheetName val="1999_BUDGET1"/>
      <sheetName val="listes"/>
      <sheetName val="三材价差限额"/>
      <sheetName val="Physical % (By Phase)"/>
      <sheetName val="Physical (by Portion)"/>
      <sheetName val="Level-1"/>
      <sheetName val="Level-2"/>
      <sheetName val="Level-3"/>
      <sheetName val="Level-4"/>
      <sheetName val="Overall"/>
      <sheetName val="Construction"/>
      <sheetName val="Procurement"/>
      <sheetName val="Welding-Curve"/>
      <sheetName val="Welding"/>
      <sheetName val="Corr-Pit"/>
      <sheetName val="SVS"/>
      <sheetName val="Pipeline"/>
      <sheetName val="CP"/>
      <sheetName val="Trenchless-Addl"/>
      <sheetName val="Trenchless"/>
      <sheetName val="Open Cut"/>
      <sheetName val="SVS-Conc."/>
      <sheetName val="SVS-Curve"/>
      <sheetName val="SVS-%"/>
      <sheetName val="Coating"/>
      <sheetName val="SVS-Summary"/>
      <sheetName val="Road-X'sing"/>
      <sheetName val="SVS-Breakdown"/>
      <sheetName val="Sheet1 (2)"/>
      <sheetName val="FOC"/>
      <sheetName val="Budgeted Cost -Orig"/>
      <sheetName val="RATE TABLE"/>
      <sheetName val="SUM_FSBLT16"/>
      <sheetName val="Overall_Project16"/>
      <sheetName val="Overall_Process16"/>
      <sheetName val="Overall_Utility16"/>
      <sheetName val="FWBS_100016"/>
      <sheetName val="FWBS_200016"/>
      <sheetName val="FWBS_300016"/>
      <sheetName val="FWBS_500016"/>
      <sheetName val="FWBS_600016"/>
      <sheetName val="FWBS_700016"/>
      <sheetName val="FWBS_800016"/>
      <sheetName val="FWBS_900016"/>
      <sheetName val="FWBS_A00016"/>
      <sheetName val="FWBS_B00016"/>
      <sheetName val="FWBS_Z00016"/>
      <sheetName val="Onerous_Terms15"/>
      <sheetName val="INVOICE_CERT_EIV'S15"/>
      <sheetName val="Building_BD15"/>
      <sheetName val="_Sum15"/>
      <sheetName val="실제_도면출도14"/>
      <sheetName val="공사비_내역_(가)14"/>
      <sheetName val="33628-Rev__A14"/>
      <sheetName val="plan&amp;section_of_foundation14"/>
      <sheetName val="design_criteria14"/>
      <sheetName val="w't_table14"/>
      <sheetName val="BM_DATA_SHEET14"/>
      <sheetName val="Eq__Mobilization14"/>
      <sheetName val="Progress_Tab14"/>
      <sheetName val="입찰내역_발주처_양식14"/>
      <sheetName val="M_1114"/>
      <sheetName val="PC_CATCH_PIT_1X1X1_2M13"/>
      <sheetName val="PC_CATCH_PIT__6X_6X1_0M13"/>
      <sheetName val="PC_COVER_100MM_THK__95x_313"/>
      <sheetName val="PC_COVER_250MM_THK_2_2x_313"/>
      <sheetName val="REINF_14"/>
      <sheetName val="Adjusted_Bids13"/>
      <sheetName val="member_design13"/>
      <sheetName val="working_load_at_the_btm_ft_13"/>
      <sheetName val="soil_bearing_check13"/>
      <sheetName val="3__GROUNDING_SYSTEM14"/>
      <sheetName val="Chiet_tinh_dz3513"/>
      <sheetName val="Concept_Offshore13"/>
      <sheetName val="A(Rev_3)13"/>
      <sheetName val="Running_compatibility_check_13"/>
      <sheetName val="[Planning&amp;reporting_xlsM9000-A9"/>
      <sheetName val="Running_compatibility_check__x9"/>
      <sheetName val="List_of_WorkPacks9"/>
      <sheetName val="List_of_Dates9"/>
      <sheetName val="FWBS_codes9"/>
      <sheetName val="STANDARD_DESCRIPTION9"/>
      <sheetName val="STANDARD_DESCRIPTION_-_20150510"/>
      <sheetName val="Drawings_Summary9"/>
      <sheetName val="Instr_Drawing_List9"/>
      <sheetName val="INDEX-Areas_B000,C000,D000,E009"/>
      <sheetName val="STANDARD_DESCRIPTION_201507159"/>
      <sheetName val="DropDown_Selections9"/>
      <sheetName val="Running_compatibility_check_?A9"/>
      <sheetName val="Cashflow_Analysis9"/>
      <sheetName val="A_(2)9"/>
      <sheetName val="Running_compatibility_check__A9"/>
      <sheetName val="Structural_Comp9"/>
      <sheetName val="WORKSHEET_CS8"/>
      <sheetName val="Direct_Prices8"/>
      <sheetName val="00-Summary_Information-ABB8"/>
      <sheetName val="page_68"/>
      <sheetName val="P-Ins_&amp;_Bonds7"/>
      <sheetName val="P-Site_fac7"/>
      <sheetName val="P-Clients_fac7"/>
      <sheetName val="P_Staff_fac7"/>
      <sheetName val="factor_7"/>
      <sheetName val="vlookup_-_do_not_print7"/>
      <sheetName val="Acc_Stock-INSUL7"/>
      <sheetName val="AEROGEL_CAL7"/>
      <sheetName val="CRYG_THKMM7"/>
      <sheetName val="ITB_REVIEW7"/>
      <sheetName val="SPCS_SUMM_7"/>
      <sheetName val="ESTI__SUMM_7"/>
      <sheetName val="Price_Summary7"/>
      <sheetName val="Rate_Analysis7"/>
      <sheetName val="19_05_20107"/>
      <sheetName val="Earthworks_ERP7"/>
      <sheetName val="24_06_20107"/>
      <sheetName val="Small_Structures_ERP7"/>
      <sheetName val="Large_Structures_ERP7"/>
      <sheetName val="Tunnelling_ERP7"/>
      <sheetName val="Pricing_Summary7"/>
      <sheetName val="Net_Cost_-_Final_Base7"/>
      <sheetName val="7_6Net_Cost_Agreed_on_Dec-04_R8"/>
      <sheetName val="Net_Cost_Agreed_on_Dec-04_Rev17"/>
      <sheetName val="7_6_Net_Cost_Agreed_on_Dec-047"/>
      <sheetName val="Net_Cost_Agreed_on_Dec-047"/>
      <sheetName val="Total_for_Check7"/>
      <sheetName val="Time_Rates_8"/>
      <sheetName val="ITB_COST7"/>
      <sheetName val="Civil_Weekly7"/>
      <sheetName val="_N_Finansal_Eğri7"/>
      <sheetName val="Cable_Schedule6"/>
      <sheetName val="견적서표지0204-2_(2)7"/>
      <sheetName val="Piping_Spool7"/>
      <sheetName val="Cost_Definition7"/>
      <sheetName val="견적_원가_7"/>
      <sheetName val="Geotextile_for_geotube5"/>
      <sheetName val="JK_Price_sheet7"/>
      <sheetName val="TP_Price_sheet7"/>
      <sheetName val="Phase_1_JK_UTSE7"/>
      <sheetName val="Phase_2_JK_UTSE7"/>
      <sheetName val="Phase_1_and_2_JK_UTSE7"/>
      <sheetName val="Phase_1_TP_UTSE7"/>
      <sheetName val="Phase_2_TP_UTSE7"/>
      <sheetName val="Phase_1_and_2_TP_UTSE7"/>
      <sheetName val="Cash_Flow_(BL)7"/>
      <sheetName val="Cash_Flow_(UTSE)7"/>
      <sheetName val="0_0_Cover7"/>
      <sheetName val="Hoja_3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g_49"/>
      <sheetName val="Subcon_A9"/>
      <sheetName val="bill_28"/>
      <sheetName val="MATERIAL'S_PRICE8"/>
      <sheetName val="RFP003_Building_-_B7"/>
      <sheetName val="Drop_Down7"/>
      <sheetName val="Source_Data7"/>
      <sheetName val="Total_Staff7"/>
      <sheetName val="0__SUMMARY7"/>
      <sheetName val="1__Engineering7"/>
      <sheetName val="2__Check_point7"/>
      <sheetName val="II_Changes_17"/>
      <sheetName val="III_Changes_27"/>
      <sheetName val="Qty_7"/>
      <sheetName val="OQC_Summary7"/>
      <sheetName val="6_Unit_Rates7"/>
      <sheetName val="INDIRECT_OH&amp;P_6"/>
      <sheetName val="2_047"/>
      <sheetName val="2_057"/>
      <sheetName val="2_07_&amp;_2_087"/>
      <sheetName val="3_017"/>
      <sheetName val="3_027"/>
      <sheetName val="3_037"/>
      <sheetName val="ecart_Personnel7"/>
      <sheetName val="Ecart_Others7"/>
      <sheetName val="Other_costs7"/>
      <sheetName val="3000_Steel_str7"/>
      <sheetName val="5000_Equipments7"/>
      <sheetName val="6000_Piping7"/>
      <sheetName val="7000_Instrumentation7"/>
      <sheetName val="8000_Electrical7"/>
      <sheetName val="per_supplier7"/>
      <sheetName val="Pivot_ledger7"/>
      <sheetName val="Pivot_ENT7"/>
      <sheetName val="Pivot_MAD7"/>
      <sheetName val="Salary_20136"/>
      <sheetName val="CAPEX_Categories7"/>
      <sheetName val="PERHITUNGAN__KEEKONOMIAN7"/>
      <sheetName val="97_사업추정(WEKI)7"/>
      <sheetName val="Overall_MTO_-_20191001_(old)7"/>
      <sheetName val="MTO_for_BMBQ7"/>
      <sheetName val="BQ_Reff7"/>
      <sheetName val="Sum_of_Comparison-201910077"/>
      <sheetName val="Joint_No_7"/>
      <sheetName val="Unit_Weight7"/>
      <sheetName val="Detail_PMC7"/>
      <sheetName val="Detail_PMC_(for_full_desc)7"/>
      <sheetName val="Bolt_Size7"/>
      <sheetName val="NDE_Req7"/>
      <sheetName val="Tgh_JGC-Inv_I_clp7"/>
      <sheetName val="PCS_7"/>
      <sheetName val="Progress_Statement-SI7"/>
      <sheetName val="Progress_Payment-31107"/>
      <sheetName val="Summary_(3)7"/>
      <sheetName val="RRW_Scaff7"/>
      <sheetName val="RRW_Oct-2019-1st_Lot-13-10-197"/>
      <sheetName val="RRW_Oct-2019-2st_Lot-15-10-197"/>
      <sheetName val="Report_Wizard6"/>
      <sheetName val="Initial_Plan6"/>
      <sheetName val="Finansal_tamamlanma_Eğrisi5"/>
      <sheetName val="1_INV5"/>
      <sheetName val="2_Calculation_Sheet5"/>
      <sheetName val="Price_Sheet5"/>
      <sheetName val="3__Progress5"/>
      <sheetName val="4__EDR5"/>
      <sheetName val="BOM_SUM5"/>
      <sheetName val="Eng__Boq_-15"/>
      <sheetName val="PFP,TIE_COAT_&amp;_TOP_FLG_PAINTED5"/>
      <sheetName val="Shop_Modifications5"/>
      <sheetName val="JI-2036_-_Preservation5"/>
      <sheetName val="Re-Application_5"/>
      <sheetName val="OLD_(2)5"/>
      <sheetName val="DB-BOLT_SIZE5"/>
      <sheetName val="REQ_LIST5"/>
      <sheetName val="DESC_NEW_PMC5"/>
      <sheetName val="MTO_2020_03_115"/>
      <sheetName val="BQ_2020_03_035"/>
      <sheetName val="MTO_2020_03_03_(VDR)5"/>
      <sheetName val="BQ_2020_03_03_(VDR)5"/>
      <sheetName val="WEIGHT_&amp;_PAINT5"/>
      <sheetName val="FW_JGC5"/>
      <sheetName val="FW_VENDOR5"/>
      <sheetName val="BQ_2020_02_255"/>
      <sheetName val="BM_BOLT_&amp;_NUT5"/>
      <sheetName val="RT_TABLE5"/>
      <sheetName val="BRANCH_&amp;_REDUCING_TABLE5"/>
      <sheetName val="DESC_OLD_PMC5"/>
      <sheetName val="SHORT_CODE_LIST5"/>
      <sheetName val="Inert_Balls4"/>
      <sheetName val="OUTER_AREA(겹침없음)4"/>
      <sheetName val="DATA-DEP_(13-17)5"/>
      <sheetName val="DATA-GCC(25-34_7)5"/>
      <sheetName val="St_-Con(0-17)5"/>
      <sheetName val="St_-Con_(17-34)5"/>
      <sheetName val="개시대사_(2)4"/>
      <sheetName val="Equiv_Length4"/>
      <sheetName val="S-Curve_(Weekly)4"/>
      <sheetName val="Price_Summary_(1)4"/>
      <sheetName val="Price_Summary_(2)4"/>
      <sheetName val="Item#9_34"/>
      <sheetName val="Item#1_94"/>
      <sheetName val="Item#2_64"/>
      <sheetName val="Item#3_84"/>
      <sheetName val="Item#4_104"/>
      <sheetName val="Item#5_84"/>
      <sheetName val="Item#6_74"/>
      <sheetName val="Item#7_214"/>
      <sheetName val="Item#8_74"/>
      <sheetName val="worksheet_inchican4"/>
      <sheetName val="2_2_띠장의_설계4"/>
      <sheetName val="2_223M_due_to_adj_profit4"/>
      <sheetName val="Land_Dev't__Ph-14"/>
      <sheetName val="INTERIOR_WALLS4"/>
      <sheetName val="Material_Price4"/>
      <sheetName val="combined_9-304"/>
      <sheetName val="GESTION_FICHE4"/>
      <sheetName val="TRADUCTION_LISTES4"/>
      <sheetName val="L_V_Separator4"/>
      <sheetName val="BOQ_LIST4"/>
      <sheetName val="12_-_MAT'L_CLASSIFIC__FACTORS4"/>
      <sheetName val="1_-_PREFAB_STR_STEEL4"/>
      <sheetName val="8_-_SKIDS,_VESSELS_&amp;_EQPT4"/>
      <sheetName val="5_-_STG_PLANT_-_MISC__ITEMS4"/>
      <sheetName val="14_-_HEIGHT_FACTORS4"/>
      <sheetName val="10_-_STEAM_TURBINE_PUMPS4"/>
      <sheetName val="16_-_ASTM_CS_PIPE_ERECT4"/>
      <sheetName val="15_-_ASTM_CS_PIPE_FAB4"/>
      <sheetName val="7_-_SAND_BLAST_&amp;_PAINT4"/>
      <sheetName val="Manpower_List-17"/>
      <sheetName val="SUMMARY_FOR_DPR7"/>
      <sheetName val="Index_Daily_Alloaction7"/>
      <sheetName val="Manpower_List7"/>
      <sheetName val="A_&amp;_B7"/>
      <sheetName val="Table_Rates_Data4"/>
      <sheetName val="INSULATION_R14"/>
      <sheetName val="SOS_PLC_&amp;_Panel3"/>
      <sheetName val="Planilla_CND2"/>
      <sheetName val="Fig_4-144"/>
      <sheetName val="Fig_5-174"/>
      <sheetName val="SPT_vs_PHI4"/>
      <sheetName val="01-D_PERS4"/>
      <sheetName val="PDS_U-14002"/>
      <sheetName val="VESSELS_4"/>
      <sheetName val="Prec_OTS4"/>
      <sheetName val="Financ__Overview2"/>
      <sheetName val="4_代码列表2"/>
      <sheetName val="人工SDP_22"/>
      <sheetName val="材料SDP_12"/>
      <sheetName val="rek_det_1-32"/>
      <sheetName val="Comp_equip2"/>
      <sheetName val="Mach_&amp;_equip2"/>
      <sheetName val="TOTAL_SCHEDULE2"/>
      <sheetName val="Substation_Column3"/>
      <sheetName val="IRR_sponsor3"/>
      <sheetName val="Hrg_Satuan2"/>
      <sheetName val="Bill_rekap2"/>
      <sheetName val="ANALIS_22"/>
      <sheetName val="ANALIS_12"/>
      <sheetName val="Harga_Satuan2"/>
      <sheetName val="analis_standar(8m)2"/>
      <sheetName val="bhn_2"/>
      <sheetName val="6PILE__(돌출)2"/>
      <sheetName val="0_품의서(전체)2"/>
      <sheetName val="LAST_UPDATE2"/>
      <sheetName val="Vaccari__EST_INQ-Stat__Summ_2"/>
      <sheetName val="Riesgos_y_Oportunidades2"/>
      <sheetName val="Raw_Data3"/>
      <sheetName val="Task_Force_Coding_Abbreviation2"/>
      <sheetName val="_"/>
      <sheetName val="Tut_1"/>
      <sheetName val="C1_(calcolo)"/>
      <sheetName val="HD_ALAT"/>
      <sheetName val="HD_BAHAN"/>
      <sheetName val="HD_UPAH"/>
      <sheetName val="MH_RATE"/>
      <sheetName val="List_of_WorkPack"/>
      <sheetName val="analis_standar(20m)"/>
      <sheetName val="ANAL_BETON"/>
      <sheetName val="Galian_1"/>
      <sheetName val="Rencana_Anggaran_Biaya"/>
      <sheetName val="Daf_Harga"/>
      <sheetName val="Rekap_Bill"/>
      <sheetName val="An__Harga"/>
      <sheetName val="DRILLING ONLY"/>
      <sheetName val="CONSOLIDATED FULL REPORT"/>
      <sheetName val="Relief Well Shallow Hazard Stud"/>
      <sheetName val="Page 1 of 5"/>
      <sheetName val="Sheet 14"/>
      <sheetName val="Joints"/>
      <sheetName val="UNIT"/>
      <sheetName val="CASE 10"/>
      <sheetName val="CASE 11"/>
      <sheetName val="CASE 9"/>
      <sheetName val="Machine Data"/>
      <sheetName val="Data Iranian"/>
      <sheetName val="Misc Data"/>
      <sheetName val="Frederick&amp;ENKA Partner"/>
      <sheetName val="Quantity"/>
      <sheetName val="中山低值"/>
      <sheetName val="Cash Flow"/>
      <sheetName val="Wellhrs"/>
      <sheetName val="D"/>
      <sheetName val="Manpower &amp; Manhours"/>
      <sheetName val="Calc A"/>
      <sheetName val="Duties Code"/>
      <sheetName val="EL"/>
      <sheetName val="HYDROTEST DIAGRAM"/>
      <sheetName val="Sheet168"/>
      <sheetName val="FAC"/>
      <sheetName val="QTF (2)"/>
      <sheetName val="WC"/>
      <sheetName val="ADJUST"/>
      <sheetName val="BS1"/>
      <sheetName val="First"/>
      <sheetName val="giathanh1"/>
      <sheetName val="经评"/>
      <sheetName val="S-Curve Weekly"/>
      <sheetName val="Electrikal"/>
      <sheetName val="Elektronik"/>
      <sheetName val="Plumbing"/>
      <sheetName val="Fire_Fighting"/>
      <sheetName val="Fire Fighting"/>
      <sheetName val="Item_Kompensasi"/>
      <sheetName val="Item Kompensasi"/>
      <sheetName val="UP_an"/>
      <sheetName val="Tunnel ( 8,0 x 4,6 )"/>
      <sheetName val="Div 9 - Harian"/>
      <sheetName val="ah sanitary"/>
      <sheetName val="harga"/>
      <sheetName val="upah"/>
      <sheetName val="JAD-PEL"/>
      <sheetName val="PkRp"/>
      <sheetName val="PESANTREN"/>
      <sheetName val="G"/>
      <sheetName val="Analisa Gabungan"/>
      <sheetName val="Sat Bah &amp; Up"/>
      <sheetName val="MU"/>
      <sheetName val="I-KAMAR"/>
      <sheetName val="ARSITEKTUR"/>
      <sheetName val="Curup"/>
      <sheetName val="Prabu"/>
      <sheetName val="TABEL BAJA"/>
      <sheetName val="PE-F-33 Rev 02 Basic Proj.Info"/>
      <sheetName val="PE-F-31 Rev 01 Coversheet"/>
      <sheetName val=" PE-F-42 MR 9 Manpower"/>
      <sheetName val="Koordinat"/>
      <sheetName val="Earthwork"/>
      <sheetName val="TRAFFIC"/>
      <sheetName val="Contingency"/>
      <sheetName val="Details"/>
      <sheetName val="Cash Flow Data"/>
      <sheetName val="Cover (sh 1)"/>
      <sheetName val="Units"/>
      <sheetName val="Instructions"/>
      <sheetName val="BMS 제어공사 (금회계약분)"/>
      <sheetName val="Slide 6 - Returns &amp; NWC"/>
      <sheetName val="U_S_ILD"/>
      <sheetName val="PV_00001"/>
      <sheetName val="PROJECT_TITLE"/>
      <sheetName val="081387T_BoM_detail_"/>
      <sheetName val="Administrative_Prices"/>
      <sheetName val="P2A_Execute_Detailed_Profile"/>
      <sheetName val="PIPING_LINE_LIST"/>
      <sheetName val="Shut_down"/>
      <sheetName val="Basic_Rate"/>
      <sheetName val="VC2_10_99"/>
      <sheetName val="COMPARATIVE_SUMMARY"/>
      <sheetName val="BOQ_(typ-accent)"/>
      <sheetName val="Named_Range"/>
      <sheetName val="RFP_Codes"/>
      <sheetName val="co-no_2"/>
      <sheetName val="M-work"/>
      <sheetName val="WORK"/>
      <sheetName val="2Piling"/>
      <sheetName val="Assessment"/>
      <sheetName val="Certificate "/>
      <sheetName val="Prelim"/>
      <sheetName val="Sub con"/>
      <sheetName val="D&amp;W"/>
      <sheetName val="ac_data"/>
      <sheetName val="W251"/>
      <sheetName val="Rate"/>
      <sheetName val="CPA33-34"/>
      <sheetName val="SFA"/>
      <sheetName val="SOURCE"/>
      <sheetName val="마감LIST-1"/>
      <sheetName val="GRSummary"/>
      <sheetName val="DC MATRIX"/>
      <sheetName val="TASK"/>
      <sheetName val="USERDATA"/>
      <sheetName val="#¡REF"/>
      <sheetName val="Page 5 of 7"/>
      <sheetName val="Кедровский"/>
      <sheetName val="Piping Spool "/>
      <sheetName val="Gaji-Bag"/>
      <sheetName val="Am III.B Complete Building"/>
      <sheetName val="USGC"/>
      <sheetName val="1-G1"/>
      <sheetName val="SUM_FSBLT17"/>
      <sheetName val="FWBS_900017"/>
      <sheetName val="Overall_Project17"/>
      <sheetName val="Overall_Process17"/>
      <sheetName val="Overall_Utility17"/>
      <sheetName val="FWBS_100017"/>
      <sheetName val="FWBS_200017"/>
      <sheetName val="FWBS_300017"/>
      <sheetName val="FWBS_500017"/>
      <sheetName val="FWBS_600017"/>
      <sheetName val="FWBS_700017"/>
      <sheetName val="FWBS_800017"/>
      <sheetName val="FWBS_A00017"/>
      <sheetName val="FWBS_B00017"/>
      <sheetName val="FWBS_Z00017"/>
      <sheetName val="INVOICE_CERT_EIV'S16"/>
      <sheetName val="Onerous_Terms16"/>
      <sheetName val="w't_table15"/>
      <sheetName val="실제_도면출도15"/>
      <sheetName val="plan&amp;section_of_foundation15"/>
      <sheetName val="design_criteria15"/>
      <sheetName val="Building_BD16"/>
      <sheetName val="_Sum16"/>
      <sheetName val="공사비_내역_(가)15"/>
      <sheetName val="입찰내역_발주처_양식15"/>
      <sheetName val="BM_DATA_SHEET15"/>
      <sheetName val="33628-Rev__A15"/>
      <sheetName val="Eq__Mobilization15"/>
      <sheetName val="M_1115"/>
      <sheetName val="Progress_Tab15"/>
      <sheetName val="member_design14"/>
      <sheetName val="PC_CATCH_PIT_1X1X1_2M14"/>
      <sheetName val="PC_CATCH_PIT__6X_6X1_0M14"/>
      <sheetName val="PC_COVER_100MM_THK__95x_314"/>
      <sheetName val="PC_COVER_250MM_THK_2_2x_314"/>
      <sheetName val="REINF_15"/>
      <sheetName val="working_load_at_the_btm_ft_14"/>
      <sheetName val="soil_bearing_check14"/>
      <sheetName val="Chiet_tinh_dz3514"/>
      <sheetName val="3__GROUNDING_SYSTEM15"/>
      <sheetName val="Adjusted_Bids14"/>
      <sheetName val="Concept_Offshore14"/>
      <sheetName val="Running_compatibility_check_14"/>
      <sheetName val="A(Rev_3)14"/>
      <sheetName val="WORKSHEET_CS9"/>
      <sheetName val="00-Summary_Information-ABB9"/>
      <sheetName val="Direct_Prices9"/>
      <sheetName val="_Planning&amp;reporting_xlsM9000-A9"/>
      <sheetName val="page_69"/>
      <sheetName val="P-Ins_&amp;_Bonds8"/>
      <sheetName val="P-Site_fac8"/>
      <sheetName val="P-Clients_fac8"/>
      <sheetName val="P_Staff_fac8"/>
      <sheetName val="factor_8"/>
      <sheetName val="vlookup_-_do_not_print8"/>
      <sheetName val="Rate_Analysis8"/>
      <sheetName val="ITB_COST8"/>
      <sheetName val="19_05_20108"/>
      <sheetName val="Earthworks_ERP8"/>
      <sheetName val="24_06_20108"/>
      <sheetName val="Small_Structures_ERP8"/>
      <sheetName val="Large_Structures_ERP8"/>
      <sheetName val="Tunnelling_ERP8"/>
      <sheetName val="Civil_Weekly8"/>
      <sheetName val="견적서표지0204-2_(2)8"/>
      <sheetName val="Piping_Spool8"/>
      <sheetName val="Cost_Definition8"/>
      <sheetName val="견적_원가_8"/>
      <sheetName val="Pricing_Summary8"/>
      <sheetName val="Net_Cost_-_Final_Base8"/>
      <sheetName val="7_6Net_Cost_Agreed_on_Dec-04_R9"/>
      <sheetName val="Net_Cost_Agreed_on_Dec-04_Rev18"/>
      <sheetName val="7_6_Net_Cost_Agreed_on_Dec-048"/>
      <sheetName val="Net_Cost_Agreed_on_Dec-048"/>
      <sheetName val="Total_for_Check8"/>
      <sheetName val="_N_Finansal_Eğri8"/>
      <sheetName val="pg_410"/>
      <sheetName val="Subcon_A10"/>
      <sheetName val="bill_29"/>
      <sheetName val="MATERIAL'S_PRICE9"/>
      <sheetName val="0_0_Cover8"/>
      <sheetName val="Hoja_3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RFP003_Building_-_B8"/>
      <sheetName val="Source_Data8"/>
      <sheetName val="CAPEX_Categories8"/>
      <sheetName val="Item#9_35"/>
      <sheetName val="Item#1_95"/>
      <sheetName val="Item#2_65"/>
      <sheetName val="Item#3_85"/>
      <sheetName val="Item#4_105"/>
      <sheetName val="Item#5_85"/>
      <sheetName val="Item#6_75"/>
      <sheetName val="Item#7_215"/>
      <sheetName val="Item#8_75"/>
      <sheetName val="worksheet_inchican5"/>
      <sheetName val="INTERIOR_WALLS5"/>
      <sheetName val="2_2_띠장의_설계5"/>
      <sheetName val="2_223M_due_to_adj_profit5"/>
      <sheetName val="Land_Dev't__Ph-15"/>
      <sheetName val="Material_Price5"/>
      <sheetName val="combined_9-305"/>
      <sheetName val="GESTION_FICHE5"/>
      <sheetName val="TRADUCTION_LISTES5"/>
      <sheetName val="개시대사_(2)5"/>
      <sheetName val="Equiv_Length5"/>
      <sheetName val="S-Curve_(Weekly)5"/>
      <sheetName val="Price_Summary_(1)5"/>
      <sheetName val="Price_Summary_(2)5"/>
      <sheetName val="INSULATION_R15"/>
      <sheetName val="SOS_PLC_&amp;_Panel4"/>
      <sheetName val="Inert_Balls5"/>
      <sheetName val="rek_det_1-34"/>
      <sheetName val="PDS_U-14004"/>
      <sheetName val="Planilla_CND4"/>
      <sheetName val="Prec_OTS5"/>
      <sheetName val="Substation_Column4"/>
      <sheetName val="IRR_sponsor4"/>
      <sheetName val="Comp_equip4"/>
      <sheetName val="Mach_&amp;_equip4"/>
      <sheetName val="Komponen_Upah2"/>
      <sheetName val="Inkindo_20152"/>
      <sheetName val="HRG_BAHAN_&amp;_UPAH_okk2"/>
      <sheetName val="Analis_Kusen_okk2"/>
      <sheetName val="Page_12"/>
      <sheetName val="VS_P-Q2"/>
      <sheetName val="VS_curve2"/>
      <sheetName val="CS_P_Q2"/>
      <sheetName val="PLSt_03__2"/>
      <sheetName val="П_7_курс_аванса2"/>
      <sheetName val="Retaining_wall_&amp;_Top_Up2"/>
      <sheetName val="INFO_UMUM2"/>
      <sheetName val="DET_12"/>
      <sheetName val="DET_22"/>
      <sheetName val="BASIC_PRICE2"/>
      <sheetName val="_GULF2"/>
      <sheetName val="DIV_12"/>
      <sheetName val="4_Annex_1_Basic_rate2"/>
      <sheetName val="Price_Schedule2"/>
      <sheetName val="MEASURE_LIST2"/>
      <sheetName val="personnel_loading2"/>
      <sheetName val="MAY_00-Bobbins2"/>
      <sheetName val="U_A_Input2"/>
      <sheetName val="Equipt_Rental2"/>
      <sheetName val="UPA(Part_C,D,E,G,H)2"/>
      <sheetName val="UPA(Part_F)2"/>
      <sheetName val="일위대가_(Part_C,D,E,G,H)2"/>
      <sheetName val="CABLE_DATA2"/>
      <sheetName val="F1_42"/>
      <sheetName val="Iuran_Nopember_20022"/>
      <sheetName val="H_Satuan2"/>
      <sheetName val="ocean_voyage2"/>
      <sheetName val="Perm__Test2"/>
      <sheetName val="Cash_Flow_bulanan2"/>
      <sheetName val="7__Comparison_of_Asphalt_etc2"/>
      <sheetName val="BOQ_for_HRSG_&amp;_BOP-mech_2"/>
      <sheetName val="Detail_Eng2"/>
      <sheetName val="PSM_Monthly2"/>
      <sheetName val="Task_Force_Coding_Abbreviation4"/>
      <sheetName val="rek_det_1-33"/>
      <sheetName val="PDS_U-14003"/>
      <sheetName val="Planilla_CND3"/>
      <sheetName val="Comp_equip3"/>
      <sheetName val="Mach_&amp;_equip3"/>
      <sheetName val="Task_Force_Coding_Abbreviation3"/>
      <sheetName val="Sum-Solvay_DOW-AIE_"/>
      <sheetName val="ใบนำส่งเอกสาร_ออก_Invoiced"/>
      <sheetName val="SMY_PG"/>
      <sheetName val="PO_Blanket_Status"/>
      <sheetName val="New_Rate"/>
      <sheetName val="Bahan "/>
      <sheetName val="HS"/>
      <sheetName val="Spin"/>
      <sheetName val="gr_val"/>
      <sheetName val="gr_sum"/>
      <sheetName val="slab"/>
      <sheetName val="LOKASI"/>
      <sheetName val="9 58&quot;_single"/>
      <sheetName val="Daf-Harga"/>
      <sheetName val="20calc"/>
      <sheetName val="958calc"/>
      <sheetName val="Masterfi|_x0000_"/>
      <sheetName val="Steel Structure(2DR0140)"/>
      <sheetName val="PW3"/>
      <sheetName val="PW4"/>
      <sheetName val="SC1"/>
      <sheetName val="DRILLING_ONLY"/>
      <sheetName val="CONSOLIDATED_FULL_REPORT"/>
      <sheetName val="Relief_Well_Shallow_Hazard_Stud"/>
      <sheetName val="WMhrs"/>
      <sheetName val="IPAMQ"/>
      <sheetName val="[Planning&amp;reporting_xlsM9000-10"/>
      <sheetName val="Running_compatibility_check_?10"/>
      <sheetName val="Running_compatibility_check__10"/>
      <sheetName val="Running_compatibility_check__11"/>
      <sheetName val="Cashflow_Analysis10"/>
      <sheetName val="List_of_WorkPacks10"/>
      <sheetName val="List_of_Dates10"/>
      <sheetName val="FWBS_codes10"/>
      <sheetName val="STANDARD_DESCRIPTION10"/>
      <sheetName val="STANDARD_DESCRIPTION_-_20150520"/>
      <sheetName val="Drawings_Summary10"/>
      <sheetName val="Instr_Drawing_List10"/>
      <sheetName val="INDEX-Areas_B000,C000,D000,E010"/>
      <sheetName val="STANDARD_DESCRIPTION_2015071510"/>
      <sheetName val="DropDown_Selections10"/>
      <sheetName val="A_(2)10"/>
      <sheetName val="Structural_Comp10"/>
      <sheetName val="Time_Rates_9"/>
      <sheetName val="Geotextile_for_geotube6"/>
      <sheetName val="JK_Price_sheet8"/>
      <sheetName val="TP_Price_sheet8"/>
      <sheetName val="Phase_1_JK_UTSE8"/>
      <sheetName val="Phase_2_JK_UTSE8"/>
      <sheetName val="Phase_1_and_2_JK_UTSE8"/>
      <sheetName val="Phase_1_TP_UTSE8"/>
      <sheetName val="Phase_2_TP_UTSE8"/>
      <sheetName val="Phase_1_and_2_TP_UTSE8"/>
      <sheetName val="Cash_Flow_(BL)8"/>
      <sheetName val="Cash_Flow_(UTSE)8"/>
      <sheetName val="PERHITUNGAN__KEEKONOMIAN8"/>
      <sheetName val="Total_Staff8"/>
      <sheetName val="0__SUMMARY8"/>
      <sheetName val="1__Engineering8"/>
      <sheetName val="2__Check_point8"/>
      <sheetName val="II_Changes_18"/>
      <sheetName val="III_Changes_28"/>
      <sheetName val="Qty_8"/>
      <sheetName val="OQC_Summary8"/>
      <sheetName val="6_Unit_Rates8"/>
      <sheetName val="AEROGEL_CAL8"/>
      <sheetName val="CRYG_THKMM8"/>
      <sheetName val="ITB_REVIEW8"/>
      <sheetName val="SPCS_SUMM_8"/>
      <sheetName val="ESTI__SUMM_8"/>
      <sheetName val="Price_Summary8"/>
      <sheetName val="Acc_Stock-INSUL8"/>
      <sheetName val="97_사업추정(WEKI)8"/>
      <sheetName val="Drop_Down8"/>
      <sheetName val="Overall_MTO_-_20191001_(old)8"/>
      <sheetName val="MTO_for_BMBQ8"/>
      <sheetName val="BQ_Reff8"/>
      <sheetName val="Sum_of_Comparison-201910078"/>
      <sheetName val="Joint_No_8"/>
      <sheetName val="Unit_Weight8"/>
      <sheetName val="Detail_PMC8"/>
      <sheetName val="Detail_PMC_(for_full_desc)8"/>
      <sheetName val="Bolt_Size8"/>
      <sheetName val="NDE_Req8"/>
      <sheetName val="Tgh_JGC-Inv_I_clp8"/>
      <sheetName val="PCS_8"/>
      <sheetName val="Progress_Statement-SI8"/>
      <sheetName val="Progress_Payment-31108"/>
      <sheetName val="Cable_Schedule7"/>
      <sheetName val="2_048"/>
      <sheetName val="2_058"/>
      <sheetName val="2_07_&amp;_2_088"/>
      <sheetName val="3_018"/>
      <sheetName val="3_028"/>
      <sheetName val="3_038"/>
      <sheetName val="ecart_Personnel8"/>
      <sheetName val="Ecart_Others8"/>
      <sheetName val="Other_costs8"/>
      <sheetName val="3000_Steel_str8"/>
      <sheetName val="5000_Equipments8"/>
      <sheetName val="6000_Piping8"/>
      <sheetName val="7000_Instrumentation8"/>
      <sheetName val="8000_Electrical8"/>
      <sheetName val="per_supplier8"/>
      <sheetName val="Pivot_ledger8"/>
      <sheetName val="Pivot_ENT8"/>
      <sheetName val="Pivot_MAD8"/>
      <sheetName val="INDIRECT_OH&amp;P_7"/>
      <sheetName val="Summary_(3)8"/>
      <sheetName val="RRW_Scaff8"/>
      <sheetName val="RRW_Oct-2019-1st_Lot-13-10-198"/>
      <sheetName val="RRW_Oct-2019-2st_Lot-15-10-198"/>
      <sheetName val="Report_Wizard7"/>
      <sheetName val="Initial_Plan7"/>
      <sheetName val="Finansal_tamamlanma_Eğrisi6"/>
      <sheetName val="1_INV6"/>
      <sheetName val="2_Calculation_Sheet6"/>
      <sheetName val="Price_Sheet6"/>
      <sheetName val="3__Progress6"/>
      <sheetName val="4__EDR6"/>
      <sheetName val="Salary_20137"/>
      <sheetName val="DB-BOLT_SIZE6"/>
      <sheetName val="REQ_LIST6"/>
      <sheetName val="DESC_NEW_PMC6"/>
      <sheetName val="MTO_2020_03_116"/>
      <sheetName val="BQ_2020_03_036"/>
      <sheetName val="MTO_2020_03_03_(VDR)6"/>
      <sheetName val="BQ_2020_03_03_(VDR)6"/>
      <sheetName val="WEIGHT_&amp;_PAINT6"/>
      <sheetName val="FW_JGC6"/>
      <sheetName val="FW_VENDOR6"/>
      <sheetName val="BQ_2020_02_256"/>
      <sheetName val="BM_BOLT_&amp;_NUT6"/>
      <sheetName val="RT_TABLE6"/>
      <sheetName val="BRANCH_&amp;_REDUCING_TABLE6"/>
      <sheetName val="DESC_OLD_PMC6"/>
      <sheetName val="SHORT_CODE_LIST6"/>
      <sheetName val="BOM_SUM6"/>
      <sheetName val="Eng__Boq_-16"/>
      <sheetName val="PFP,TIE_COAT_&amp;_TOP_FLG_PAINTED6"/>
      <sheetName val="Shop_Modifications6"/>
      <sheetName val="JI-2036_-_Preservation6"/>
      <sheetName val="Re-Application_6"/>
      <sheetName val="OLD_(2)6"/>
      <sheetName val="DATA-DEP_(13-17)6"/>
      <sheetName val="DATA-GCC(25-34_7)6"/>
      <sheetName val="St_-Con(0-17)6"/>
      <sheetName val="St_-Con_(17-34)6"/>
      <sheetName val="OUTER_AREA(겹침없음)5"/>
      <sheetName val="L_V_Separator5"/>
      <sheetName val="SPT_vs_PHI5"/>
      <sheetName val="01-D_PERS5"/>
      <sheetName val="Fig_4-145"/>
      <sheetName val="Fig_5-175"/>
      <sheetName val="Table_Rates_Data5"/>
      <sheetName val="Financ__Overview3"/>
      <sheetName val="4_代码列表3"/>
      <sheetName val="人工SDP_23"/>
      <sheetName val="材料SDP_13"/>
      <sheetName val="BOQ_LIST5"/>
      <sheetName val="12_-_MAT'L_CLASSIFIC__FACTORS5"/>
      <sheetName val="1_-_PREFAB_STR_STEEL5"/>
      <sheetName val="8_-_SKIDS,_VESSELS_&amp;_EQPT5"/>
      <sheetName val="5_-_STG_PLANT_-_MISC__ITEMS5"/>
      <sheetName val="14_-_HEIGHT_FACTORS5"/>
      <sheetName val="10_-_STEAM_TURBINE_PUMPS5"/>
      <sheetName val="16_-_ASTM_CS_PIPE_ERECT5"/>
      <sheetName val="15_-_ASTM_CS_PIPE_FAB5"/>
      <sheetName val="7_-_SAND_BLAST_&amp;_PAINT5"/>
      <sheetName val="Hrg_Satuan3"/>
      <sheetName val="Bill_rekap3"/>
      <sheetName val="ANALIS_23"/>
      <sheetName val="ANALIS_13"/>
      <sheetName val="Harga_Satuan3"/>
      <sheetName val="analis_standar(8m)3"/>
      <sheetName val="bhn_3"/>
      <sheetName val="Manpower_List-18"/>
      <sheetName val="SUMMARY_FOR_DPR8"/>
      <sheetName val="Index_Daily_Alloaction8"/>
      <sheetName val="Manpower_List8"/>
      <sheetName val="A_&amp;_B8"/>
      <sheetName val="Vaccari__EST_INQ-Stat__Summ_3"/>
      <sheetName val="VESSELS_5"/>
      <sheetName val="Riesgos_y_Oportunidades3"/>
      <sheetName val="AOP_Summary-23"/>
      <sheetName val="Raw_Data4"/>
      <sheetName val="QMS_Rev_33"/>
      <sheetName val="QMS_Rev_23"/>
      <sheetName val="Rebar_Assembly_Progress3"/>
      <sheetName val="GI_Steps_Progress_Final3"/>
      <sheetName val="QW_Trench3"/>
      <sheetName val="TOTAL_SCHEDULE3"/>
      <sheetName val="6PILE__(돌출)3"/>
      <sheetName val="0_품의서(전체)3"/>
      <sheetName val="LAST_UPDATE3"/>
      <sheetName val="Memb_Schd1"/>
      <sheetName val="Rekap_Addendum1"/>
      <sheetName val="_1"/>
      <sheetName val="Tut_11"/>
      <sheetName val="C1_(calcolo)1"/>
      <sheetName val="Drilling_sequence1"/>
      <sheetName val="Active_Wells1"/>
      <sheetName val="String_time1"/>
      <sheetName val="Type_curves_(bbl)1"/>
      <sheetName val="Well_fcst_1"/>
      <sheetName val="Oil_prod1"/>
      <sheetName val="Water_prod1"/>
      <sheetName val="Water_inj1"/>
      <sheetName val="Liquid_prod1"/>
      <sheetName val="Gas_prod1"/>
      <sheetName val="Ullage_check1"/>
      <sheetName val="Well_CAPEX1"/>
      <sheetName val="Hook_Up1"/>
      <sheetName val="Subsurface_Studies1"/>
      <sheetName val="Camp_operation1"/>
      <sheetName val="Software_&amp;_IT1"/>
      <sheetName val="Coastal_Overheads1"/>
      <sheetName val="2019_budget1"/>
      <sheetName val="Assumptions_monthly1"/>
      <sheetName val="Assumptions_comparison1"/>
      <sheetName val="Economics_(monhtly)1"/>
      <sheetName val="Economics_Summary1"/>
      <sheetName val="Budget_DELTA1"/>
      <sheetName val="2019-20_Budget_1"/>
      <sheetName val="Budget_Overview1"/>
      <sheetName val="Sumption_Summary1"/>
      <sheetName val="Cost_Summary1"/>
      <sheetName val="A-1Construction_Breakdown1"/>
      <sheetName val="A-2_Equipment_Breakdown1"/>
      <sheetName val="1-HVAC_Sumption1"/>
      <sheetName val="2-Fire&amp;_Plumb_Sumption1"/>
      <sheetName val="3-Utility_Sumption1"/>
      <sheetName val="4-Engineering_Sumption1"/>
      <sheetName val="B2_Project_Mangement1"/>
      <sheetName val="B8_Permitting1"/>
      <sheetName val="HD_ALAT1"/>
      <sheetName val="HD_BAHAN1"/>
      <sheetName val="HD_UPAH1"/>
      <sheetName val="Galian_11"/>
      <sheetName val="Rencana_Anggaran_Biaya1"/>
      <sheetName val="Daf_Harga1"/>
      <sheetName val="Rekap_Bill1"/>
      <sheetName val="An__Harga1"/>
      <sheetName val="MH_RATE1"/>
      <sheetName val="1062-X방향_1"/>
      <sheetName val="analis_standar(20m)1"/>
      <sheetName val="ANAL_BETON1"/>
      <sheetName val="TPS_Performance_Model"/>
      <sheetName val="C_ALS-STR-PDS"/>
      <sheetName val="analisa_GRC"/>
      <sheetName val="Q_ALS-saluran+BK"/>
      <sheetName val="PointNo_5"/>
      <sheetName val="Period_-Worksheet"/>
      <sheetName val="Graph_(LGEN)"/>
      <sheetName val="Piping_Design_Data"/>
      <sheetName val="선적schedule_(2)"/>
      <sheetName val="_갑지"/>
      <sheetName val="spc_배관견적"/>
      <sheetName val="HaulingLine_hardware"/>
      <sheetName val="Direct_Cost_Summary"/>
      <sheetName val="MTO_REV_2(ARMOR)"/>
      <sheetName val="4-Lane_bridge"/>
      <sheetName val="Hac_Lots"/>
      <sheetName val="Res_Lots"/>
      <sheetName val="Spine_Road"/>
      <sheetName val="tabulation_of_deductions"/>
      <sheetName val="DUPA-22-NAGSAAG_SS"/>
      <sheetName val="Code_07"/>
      <sheetName val="Schedule_2_and_3"/>
      <sheetName val="struktur_tdk_dipakai"/>
      <sheetName val="Proj_Cost_Sumry"/>
      <sheetName val="물량_집계표"/>
      <sheetName val="Planning&amp;reporting_xlsM9000-A3"/>
      <sheetName val="Mobilisasi_div-1"/>
      <sheetName val="Page_1_of_5"/>
      <sheetName val="Sheet_14"/>
      <sheetName val="CASE_10"/>
      <sheetName val="CASE_11"/>
      <sheetName val="CASE_9"/>
      <sheetName val="Machine_Data"/>
      <sheetName val="Data_Iranian"/>
      <sheetName val="Misc_Data"/>
      <sheetName val="할증_"/>
      <sheetName val="Frederick&amp;ENKA_Partner"/>
      <sheetName val="KP1590_E"/>
      <sheetName val="DIEZEL動弁相場"/>
      <sheetName val="PAGE1"/>
      <sheetName val="Spec1"/>
      <sheetName val="電源計画"/>
      <sheetName val="DAF_2"/>
      <sheetName val="AnalisaSIPIL RIIL RAP"/>
      <sheetName val="TDC COA Sumry"/>
      <sheetName val="TDC Item Dets"/>
      <sheetName val="TDC Key Qty Sumry"/>
      <sheetName val="COA Sumry - Std Imp"/>
      <sheetName val="Contr TDC - Std Imp"/>
      <sheetName val="Item Sumry - Std Imp"/>
      <sheetName val="Unit Costs - Std Imp"/>
      <sheetName val="Unit MH - Std Imp"/>
      <sheetName val="Proj TIC - Std Imp"/>
      <sheetName val="New Bld"/>
      <sheetName val="Basis"/>
      <sheetName val="Sched-Structure"/>
      <sheetName val="K"/>
      <sheetName val="ASSUMPT"/>
      <sheetName val="office"/>
      <sheetName val="Lab"/>
      <sheetName val="BASIS 01"/>
      <sheetName val="AN"/>
      <sheetName val="BC - Final Templates"/>
      <sheetName val="RCBC Reinforcement"/>
      <sheetName val="@risk rents and incentives"/>
      <sheetName val="Car park lease"/>
      <sheetName val="Net rent analysis"/>
      <sheetName val="Segment"/>
      <sheetName val="Labor abs-NMR"/>
      <sheetName val="Equip Item Dets"/>
      <sheetName val="Pipe Item Dets"/>
      <sheetName val="Civil Item Dets"/>
      <sheetName val="Inst Item Dets"/>
      <sheetName val="Elec Item Dets"/>
      <sheetName val="Paint Item Dets"/>
      <sheetName val="Profile"/>
      <sheetName val="PROG_"/>
      <sheetName val="Calc_A"/>
      <sheetName val="Duties_Code"/>
      <sheetName val="HYDROTEST_DIAGRAM"/>
      <sheetName val="3EOA INDEX"/>
      <sheetName val="Activity List"/>
      <sheetName val="Sanitary"/>
      <sheetName val="Stormwater"/>
      <sheetName val="간접비내역_1"/>
      <sheetName val="현장관리비"/>
      <sheetName val="실행내역"/>
      <sheetName val="작성기준"/>
      <sheetName val="백분율"/>
      <sheetName val="DHEQSUPT"/>
      <sheetName val="基本"/>
      <sheetName val="点表"/>
      <sheetName val="GC-2"/>
      <sheetName val="PRODN"/>
      <sheetName val="Summary Sheets"/>
      <sheetName val="Precios por Administración"/>
      <sheetName val="Equipment List"/>
      <sheetName val="Q&amp;pl-V"/>
      <sheetName val="(10) Other Costs5"/>
      <sheetName val="Existing PC Pavement"/>
      <sheetName val="Subgrade"/>
      <sheetName val="ind'l cp"/>
      <sheetName val="A1-Continuous"/>
      <sheetName val="Insulation_Utl_Off"/>
      <sheetName val="Note_Piping"/>
      <sheetName val="Cash Out Table"/>
      <sheetName val="Net Cash Table"/>
      <sheetName val="Bach Dang"/>
      <sheetName val="tabulation (comparison)"/>
      <sheetName val="Summary (overall)"/>
      <sheetName val="Floor Level"/>
      <sheetName val="BOQ_C(검토용)"/>
      <sheetName val="計画用役根拠"/>
      <sheetName val="TRUCK HAUL CYCLE-waste"/>
      <sheetName val="Running_compatibility_check_A2"/>
      <sheetName val="DO_NOT_Delete5"/>
      <sheetName val="Planning&amp;reporting_xlsM9000-A4"/>
      <sheetName val="Running_compatibility_check_A3"/>
      <sheetName val="산출(설비_공량)"/>
      <sheetName val="옹벽조금수정"/>
      <sheetName val="진주방향"/>
      <sheetName val="U-TYPE(1)"/>
      <sheetName val="토공 갑지"/>
      <sheetName val="Motor Data"/>
      <sheetName val="견적서"/>
      <sheetName val="Resumen"/>
      <sheetName val="Precios Unitarios"/>
      <sheetName val="HRB"/>
      <sheetName val="ﾄﾞﾊﾞｲFUEL GAS追見"/>
      <sheetName val="MAIN GATE HOUSE"/>
      <sheetName val="pile Fabrication"/>
      <sheetName val="1) COMMON FACILITIES"/>
      <sheetName val="Activity Assignment"/>
      <sheetName val="P3472C"/>
      <sheetName val="Civil_RTIP TDI"/>
      <sheetName val="B_down"/>
      <sheetName val="Resource"/>
      <sheetName val="Trans"/>
      <sheetName val="설계산출표지"/>
      <sheetName val="Comparison"/>
      <sheetName val="Comparison Final wo Total"/>
      <sheetName val="A_2"/>
      <sheetName val="FORMESTIMASI"/>
      <sheetName val="인력,장비동원계획"/>
      <sheetName val="M3-COS"/>
      <sheetName val="M4-Adm"/>
      <sheetName val="D.2"/>
      <sheetName val="Recap"/>
      <sheetName val=" ｹ-ﾌﾞﾙ"/>
      <sheetName val="rms listr."/>
      <sheetName val="CJI3"/>
      <sheetName val="P3"/>
      <sheetName val="PP-8000AB"/>
      <sheetName val="Data Input"/>
      <sheetName val=" DKM"/>
      <sheetName val="Price Allison Parts 2011"/>
      <sheetName val="MASTER"/>
      <sheetName val="Daftar Upah"/>
      <sheetName val="Eng_Hrs"/>
      <sheetName val="ABK.04.AWALR+CO+TAB.RUPS"/>
      <sheetName val="IsolatedFdn"/>
      <sheetName val="PE-F-42 Rev 01 Manpower"/>
      <sheetName val="Temp&amp;Site"/>
      <sheetName val="On Time"/>
      <sheetName val="upah_borong"/>
      <sheetName val="satuan_pek"/>
      <sheetName val="hub"/>
      <sheetName val="Sec I ML"/>
      <sheetName val="HB "/>
      <sheetName val="Analisa 2"/>
      <sheetName val="HSATUAN"/>
      <sheetName val="Concrete"/>
      <sheetName val="mob"/>
      <sheetName val="Unit Rate"/>
      <sheetName val="Lamp.2A Ana Sat Mata Pemb Ut"/>
      <sheetName val="skejul"/>
      <sheetName val="D6-1b"/>
      <sheetName val="guard(mac)"/>
      <sheetName val="기본대가"/>
      <sheetName val="Basis of Unit Price"/>
      <sheetName val="RAB AR&amp;STR"/>
      <sheetName val="Sheet166"/>
      <sheetName val="Sheet171"/>
      <sheetName val="cms-28"/>
      <sheetName val="AllInEst"/>
      <sheetName val="DivVI"/>
      <sheetName val="Struktur Gas"/>
      <sheetName val="Cement Contract $"/>
      <sheetName val="Cement-Add-Floats"/>
      <sheetName val="Panel"/>
      <sheetName val="Std Upah"/>
      <sheetName val="3"/>
      <sheetName val="ER10_Old"/>
      <sheetName val="P. control"/>
      <sheetName val="wast"/>
      <sheetName val="MP MOB"/>
      <sheetName val="RTW4"/>
      <sheetName val="Activity_Form"/>
      <sheetName val="비계_수량산출서"/>
      <sheetName val="Library"/>
      <sheetName val="DPA3A-1"/>
      <sheetName val="ref"/>
      <sheetName val="worksheet"/>
      <sheetName val="CONTRACT-SUM"/>
      <sheetName val="1.설계조건"/>
      <sheetName val="Total-Mem"/>
      <sheetName val="UTILITIES"/>
      <sheetName val="일위대가_HHEH"/>
      <sheetName val="March"/>
      <sheetName val="Bill 3 -BPO1"/>
      <sheetName val="Bill 3 -BPO2"/>
      <sheetName val="Bill 2 -RETAIL"/>
      <sheetName val="Division 3000"/>
      <sheetName val="COLUMN"/>
      <sheetName val="Material Cost"/>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GenReq"/>
      <sheetName val="5.1 Cost Report Detail"/>
      <sheetName val="取费表"/>
      <sheetName val="DLDTLN"/>
      <sheetName val="Detail_DC"/>
      <sheetName val="Detail_Switchgear"/>
      <sheetName val="Detail_LV-Transf"/>
      <sheetName val="EQT"/>
      <sheetName val="MTL"/>
      <sheetName val="Dir-Conc "/>
      <sheetName val="환율"/>
      <sheetName val="Poundage"/>
      <sheetName val="structural ratios"/>
      <sheetName val="ok slab on grade"/>
      <sheetName val="eqpmt"/>
      <sheetName val="mat'ls"/>
      <sheetName val="hauling"/>
      <sheetName val="labor"/>
      <sheetName val="Forecast"/>
      <sheetName val="Roon matrix"/>
      <sheetName val="C. letter 3rd QT"/>
      <sheetName val="P_ROBERTS"/>
      <sheetName val="REBAR BCL"/>
      <sheetName val="PM"/>
      <sheetName val="Coalmine"/>
      <sheetName val="prices"/>
      <sheetName val="Base_Data"/>
      <sheetName val="SE-611"/>
      <sheetName val="バルブ材質選定データ"/>
      <sheetName val="材料マスタ"/>
      <sheetName val="sc"/>
      <sheetName val="품셈"/>
      <sheetName val="HaulingLine hardware (2)"/>
      <sheetName val="Main Bldg."/>
      <sheetName val="IPMEQPT"/>
      <sheetName val="IPSPRS"/>
      <sheetName val="IPTTC"/>
      <sheetName val="3.현장배치"/>
      <sheetName val="GM 000"/>
      <sheetName val="ARBQ"/>
      <sheetName val="T2"/>
      <sheetName val="A2"/>
      <sheetName val="CO"/>
      <sheetName val="T1"/>
      <sheetName val="T3"/>
      <sheetName val="EXRATE"/>
      <sheetName val="Bill summary of cost"/>
      <sheetName val="PSV2701F"/>
      <sheetName val="Tabulation "/>
      <sheetName val="VC2 8.98"/>
      <sheetName val="MANHOLE"/>
      <sheetName val="Schedule S-Curve (new scheme)"/>
      <sheetName val="remaining billing"/>
      <sheetName val="CONPRIS"/>
      <sheetName val="소화실적"/>
      <sheetName val="Properties"/>
      <sheetName val="Stability Check"/>
      <sheetName val="formul"/>
      <sheetName val="STATUS REPORT"/>
      <sheetName val="RCF CLAIMED"/>
      <sheetName val="공정코드"/>
      <sheetName val="03-13 Anticipated"/>
      <sheetName val="costing_Misc"/>
      <sheetName val="BOQ-mdc"/>
      <sheetName val="Option D4"/>
      <sheetName val="Labor Rate"/>
      <sheetName val="MU1"/>
      <sheetName val="BOQ segment2 (PartB)"/>
      <sheetName val="Wage Input"/>
      <sheetName val="Labor-Equipment Rates"/>
      <sheetName val="crude.SLAB RE-bar"/>
      <sheetName val="Front Page"/>
      <sheetName val="ICA2007-BOQ-Revised (5-7-2007)"/>
      <sheetName val="Assump (Static)"/>
      <sheetName val="PipWT"/>
      <sheetName val="derivation"/>
      <sheetName val="Matls"/>
      <sheetName val="4300 UTILITY BLDG (2)"/>
      <sheetName val="DESIGN"/>
      <sheetName val="UPA-arch"/>
      <sheetName val="주식"/>
      <sheetName val="設計条件"/>
      <sheetName val="Electrical Pricelist"/>
      <sheetName val="Computed Floor Area"/>
      <sheetName val="날개벽수량표"/>
      <sheetName val="Kalk_90_H2"/>
      <sheetName val="BQ_Equip_Pipe"/>
      <sheetName val="Process Piping"/>
      <sheetName val="Progress Tables"/>
      <sheetName val="AREA"/>
      <sheetName val="220Kv (2)"/>
      <sheetName val="220Kv"/>
      <sheetName val="Final Certificate"/>
      <sheetName val="SUMMARY QUANTITIES"/>
      <sheetName val="EXR"/>
      <sheetName val="DUT-BAT1"/>
      <sheetName val="Procurement (MR PO Del) S-C (2)"/>
      <sheetName val="Procurement backup"/>
      <sheetName val="Slurry"/>
      <sheetName val="2. Steel Structural"/>
      <sheetName val="bkg"/>
      <sheetName val="cbrd460"/>
      <sheetName val="bcl"/>
      <sheetName val="BORDGC"/>
      <sheetName val="LTG-STG"/>
      <sheetName val="SEW4"/>
      <sheetName val="beam-reinft-machine rm"/>
      <sheetName val="CANDY BOQ"/>
      <sheetName val="Combined Results "/>
      <sheetName val="Set"/>
      <sheetName val="Costing"/>
      <sheetName val="hist&amp;proj"/>
      <sheetName val="Headings"/>
      <sheetName val="TB"/>
      <sheetName val="SILICATE"/>
      <sheetName val="Key Ratios"/>
      <sheetName val="Core Data"/>
      <sheetName val="Sales &amp; Prod"/>
      <sheetName val="11-hsd"/>
      <sheetName val="13-septic"/>
      <sheetName val="7-ug"/>
      <sheetName val="2-utility"/>
      <sheetName val="18-misc"/>
      <sheetName val="5-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sheetData sheetId="206"/>
      <sheetData sheetId="207" refreshError="1"/>
      <sheetData sheetId="208" refreshError="1"/>
      <sheetData sheetId="209" refreshError="1"/>
      <sheetData sheetId="210"/>
      <sheetData sheetId="211"/>
      <sheetData sheetId="212" refreshError="1"/>
      <sheetData sheetId="213"/>
      <sheetData sheetId="214"/>
      <sheetData sheetId="215"/>
      <sheetData sheetId="216"/>
      <sheetData sheetId="217"/>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ow r="2">
          <cell r="F2" t="str">
            <v>INCH</v>
          </cell>
        </row>
      </sheetData>
      <sheetData sheetId="237">
        <row r="2">
          <cell r="F2" t="str">
            <v>INCH</v>
          </cell>
        </row>
      </sheetData>
      <sheetData sheetId="238" refreshError="1"/>
      <sheetData sheetId="239" refreshError="1"/>
      <sheetData sheetId="240"/>
      <sheetData sheetId="241"/>
      <sheetData sheetId="242" refreshError="1"/>
      <sheetData sheetId="243" refreshError="1"/>
      <sheetData sheetId="244" refreshError="1"/>
      <sheetData sheetId="245" refreshError="1"/>
      <sheetData sheetId="246"/>
      <sheetData sheetId="247" refreshError="1"/>
      <sheetData sheetId="248"/>
      <sheetData sheetId="249"/>
      <sheetData sheetId="250" refreshError="1"/>
      <sheetData sheetId="251">
        <row r="2">
          <cell r="F2" t="str">
            <v>INCH</v>
          </cell>
        </row>
      </sheetData>
      <sheetData sheetId="252">
        <row r="2">
          <cell r="F2" t="str">
            <v>INCH</v>
          </cell>
        </row>
      </sheetData>
      <sheetData sheetId="253">
        <row r="2">
          <cell r="F2" t="str">
            <v>INCH</v>
          </cell>
        </row>
      </sheetData>
      <sheetData sheetId="254">
        <row r="2">
          <cell r="F2" t="str">
            <v>INCH</v>
          </cell>
        </row>
      </sheetData>
      <sheetData sheetId="255">
        <row r="2">
          <cell r="F2" t="str">
            <v>INCH</v>
          </cell>
        </row>
      </sheetData>
      <sheetData sheetId="256">
        <row r="2">
          <cell r="F2" t="str">
            <v>INCH</v>
          </cell>
        </row>
      </sheetData>
      <sheetData sheetId="257">
        <row r="2">
          <cell r="F2" t="str">
            <v>INCH</v>
          </cell>
        </row>
      </sheetData>
      <sheetData sheetId="258">
        <row r="2">
          <cell r="F2" t="str">
            <v>INCH</v>
          </cell>
        </row>
      </sheetData>
      <sheetData sheetId="259">
        <row r="2">
          <cell r="F2" t="str">
            <v>INCH</v>
          </cell>
        </row>
      </sheetData>
      <sheetData sheetId="260">
        <row r="2">
          <cell r="F2" t="str">
            <v>INCH</v>
          </cell>
        </row>
      </sheetData>
      <sheetData sheetId="261">
        <row r="2">
          <cell r="F2" t="str">
            <v>INCH</v>
          </cell>
        </row>
      </sheetData>
      <sheetData sheetId="262">
        <row r="2">
          <cell r="F2" t="str">
            <v>INCH</v>
          </cell>
        </row>
      </sheetData>
      <sheetData sheetId="263">
        <row r="2">
          <cell r="F2" t="str">
            <v>INCH</v>
          </cell>
        </row>
      </sheetData>
      <sheetData sheetId="264">
        <row r="2">
          <cell r="F2" t="str">
            <v>INCH</v>
          </cell>
        </row>
      </sheetData>
      <sheetData sheetId="265">
        <row r="2">
          <cell r="F2" t="str">
            <v>INCH</v>
          </cell>
        </row>
      </sheetData>
      <sheetData sheetId="266">
        <row r="2">
          <cell r="F2" t="str">
            <v>INCH</v>
          </cell>
        </row>
      </sheetData>
      <sheetData sheetId="267">
        <row r="2">
          <cell r="F2" t="str">
            <v>INCH</v>
          </cell>
        </row>
      </sheetData>
      <sheetData sheetId="268">
        <row r="2">
          <cell r="F2" t="str">
            <v>INCH</v>
          </cell>
        </row>
      </sheetData>
      <sheetData sheetId="269">
        <row r="2">
          <cell r="F2" t="str">
            <v>INCH</v>
          </cell>
        </row>
      </sheetData>
      <sheetData sheetId="270">
        <row r="2">
          <cell r="F2" t="str">
            <v>INCH</v>
          </cell>
        </row>
      </sheetData>
      <sheetData sheetId="271">
        <row r="2">
          <cell r="F2" t="str">
            <v>INCH</v>
          </cell>
        </row>
      </sheetData>
      <sheetData sheetId="272">
        <row r="2">
          <cell r="F2" t="str">
            <v>INCH</v>
          </cell>
        </row>
      </sheetData>
      <sheetData sheetId="273">
        <row r="2">
          <cell r="F2" t="str">
            <v>INCH</v>
          </cell>
        </row>
      </sheetData>
      <sheetData sheetId="274">
        <row r="2">
          <cell r="F2" t="str">
            <v>INCH</v>
          </cell>
        </row>
      </sheetData>
      <sheetData sheetId="275">
        <row r="2">
          <cell r="F2" t="str">
            <v>INCH</v>
          </cell>
        </row>
      </sheetData>
      <sheetData sheetId="276">
        <row r="2">
          <cell r="F2" t="str">
            <v>INCH</v>
          </cell>
        </row>
      </sheetData>
      <sheetData sheetId="277">
        <row r="2">
          <cell r="F2" t="str">
            <v>INCH</v>
          </cell>
        </row>
      </sheetData>
      <sheetData sheetId="278">
        <row r="2">
          <cell r="F2" t="str">
            <v>INCH</v>
          </cell>
        </row>
      </sheetData>
      <sheetData sheetId="279">
        <row r="2">
          <cell r="F2" t="str">
            <v>INCH</v>
          </cell>
        </row>
      </sheetData>
      <sheetData sheetId="280">
        <row r="2">
          <cell r="F2" t="str">
            <v>INCH</v>
          </cell>
        </row>
      </sheetData>
      <sheetData sheetId="281">
        <row r="2">
          <cell r="F2" t="str">
            <v>INCH</v>
          </cell>
        </row>
      </sheetData>
      <sheetData sheetId="282">
        <row r="2">
          <cell r="F2" t="str">
            <v>INCH</v>
          </cell>
        </row>
      </sheetData>
      <sheetData sheetId="283">
        <row r="2">
          <cell r="F2" t="str">
            <v>INCH</v>
          </cell>
        </row>
      </sheetData>
      <sheetData sheetId="284">
        <row r="2">
          <cell r="F2" t="str">
            <v>INCH</v>
          </cell>
        </row>
      </sheetData>
      <sheetData sheetId="285">
        <row r="2">
          <cell r="F2" t="str">
            <v>INCH</v>
          </cell>
        </row>
      </sheetData>
      <sheetData sheetId="286"/>
      <sheetData sheetId="287"/>
      <sheetData sheetId="288"/>
      <sheetData sheetId="289" refreshError="1"/>
      <sheetData sheetId="290" refreshError="1"/>
      <sheetData sheetId="291" refreshError="1"/>
      <sheetData sheetId="292"/>
      <sheetData sheetId="293" refreshError="1"/>
      <sheetData sheetId="294">
        <row r="2">
          <cell r="F2" t="str">
            <v>INCH</v>
          </cell>
        </row>
      </sheetData>
      <sheetData sheetId="295">
        <row r="2">
          <cell r="F2" t="str">
            <v>INCH</v>
          </cell>
        </row>
      </sheetData>
      <sheetData sheetId="296">
        <row r="2">
          <cell r="F2" t="str">
            <v>INCH</v>
          </cell>
        </row>
      </sheetData>
      <sheetData sheetId="297">
        <row r="2">
          <cell r="F2" t="str">
            <v>INCH</v>
          </cell>
        </row>
      </sheetData>
      <sheetData sheetId="298">
        <row r="2">
          <cell r="F2" t="str">
            <v>INCH</v>
          </cell>
        </row>
      </sheetData>
      <sheetData sheetId="299">
        <row r="2">
          <cell r="F2" t="str">
            <v>INCH</v>
          </cell>
        </row>
      </sheetData>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ow r="2">
          <cell r="F2" t="str">
            <v>INCH</v>
          </cell>
        </row>
      </sheetData>
      <sheetData sheetId="354">
        <row r="2">
          <cell r="F2" t="str">
            <v>INCH</v>
          </cell>
        </row>
      </sheetData>
      <sheetData sheetId="355">
        <row r="2">
          <cell r="F2" t="str">
            <v>INCH</v>
          </cell>
        </row>
      </sheetData>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ow r="2">
          <cell r="F2" t="str">
            <v>INCH</v>
          </cell>
        </row>
      </sheetData>
      <sheetData sheetId="367" refreshError="1"/>
      <sheetData sheetId="368" refreshError="1"/>
      <sheetData sheetId="369" refreshError="1"/>
      <sheetData sheetId="370" refreshError="1"/>
      <sheetData sheetId="371" refreshError="1"/>
      <sheetData sheetId="372" refreshError="1"/>
      <sheetData sheetId="373">
        <row r="2">
          <cell r="F2" t="str">
            <v>INCH</v>
          </cell>
        </row>
      </sheetData>
      <sheetData sheetId="374">
        <row r="2">
          <cell r="F2" t="str">
            <v>INCH</v>
          </cell>
        </row>
      </sheetData>
      <sheetData sheetId="375">
        <row r="2">
          <cell r="F2" t="str">
            <v>INCH</v>
          </cell>
        </row>
      </sheetData>
      <sheetData sheetId="376">
        <row r="2">
          <cell r="F2" t="str">
            <v>INCH</v>
          </cell>
        </row>
      </sheetData>
      <sheetData sheetId="377">
        <row r="2">
          <cell r="F2" t="str">
            <v>INCH</v>
          </cell>
        </row>
      </sheetData>
      <sheetData sheetId="378">
        <row r="2">
          <cell r="F2" t="str">
            <v>INCH</v>
          </cell>
        </row>
      </sheetData>
      <sheetData sheetId="379">
        <row r="2">
          <cell r="F2" t="str">
            <v>INCH</v>
          </cell>
        </row>
      </sheetData>
      <sheetData sheetId="380">
        <row r="2">
          <cell r="F2" t="str">
            <v>INCH</v>
          </cell>
        </row>
      </sheetData>
      <sheetData sheetId="381">
        <row r="2">
          <cell r="F2" t="str">
            <v>INCH</v>
          </cell>
        </row>
      </sheetData>
      <sheetData sheetId="382">
        <row r="2">
          <cell r="F2" t="str">
            <v>INCH</v>
          </cell>
        </row>
      </sheetData>
      <sheetData sheetId="383">
        <row r="2">
          <cell r="F2" t="str">
            <v>INCH</v>
          </cell>
        </row>
      </sheetData>
      <sheetData sheetId="384">
        <row r="2">
          <cell r="F2" t="str">
            <v>INCH</v>
          </cell>
        </row>
      </sheetData>
      <sheetData sheetId="385">
        <row r="2">
          <cell r="F2" t="str">
            <v>INCH</v>
          </cell>
        </row>
      </sheetData>
      <sheetData sheetId="386">
        <row r="2">
          <cell r="F2" t="str">
            <v>INCH</v>
          </cell>
        </row>
      </sheetData>
      <sheetData sheetId="387">
        <row r="2">
          <cell r="F2" t="str">
            <v>INCH</v>
          </cell>
        </row>
      </sheetData>
      <sheetData sheetId="388">
        <row r="2">
          <cell r="F2" t="str">
            <v>INCH</v>
          </cell>
        </row>
      </sheetData>
      <sheetData sheetId="389">
        <row r="2">
          <cell r="F2" t="str">
            <v>INCH</v>
          </cell>
        </row>
      </sheetData>
      <sheetData sheetId="390">
        <row r="2">
          <cell r="F2" t="str">
            <v>INCH</v>
          </cell>
        </row>
      </sheetData>
      <sheetData sheetId="391">
        <row r="2">
          <cell r="F2" t="str">
            <v>INCH</v>
          </cell>
        </row>
      </sheetData>
      <sheetData sheetId="392">
        <row r="2">
          <cell r="F2" t="str">
            <v>INCH</v>
          </cell>
        </row>
      </sheetData>
      <sheetData sheetId="393">
        <row r="2">
          <cell r="F2" t="str">
            <v>INCH</v>
          </cell>
        </row>
      </sheetData>
      <sheetData sheetId="394">
        <row r="2">
          <cell r="F2" t="str">
            <v>INCH</v>
          </cell>
        </row>
      </sheetData>
      <sheetData sheetId="395">
        <row r="2">
          <cell r="F2" t="str">
            <v>INCH</v>
          </cell>
        </row>
      </sheetData>
      <sheetData sheetId="396">
        <row r="2">
          <cell r="F2" t="str">
            <v>INCH</v>
          </cell>
        </row>
      </sheetData>
      <sheetData sheetId="397">
        <row r="2">
          <cell r="F2" t="str">
            <v>INCH</v>
          </cell>
        </row>
      </sheetData>
      <sheetData sheetId="398">
        <row r="2">
          <cell r="F2" t="str">
            <v>INCH</v>
          </cell>
        </row>
      </sheetData>
      <sheetData sheetId="399">
        <row r="2">
          <cell r="F2" t="str">
            <v>INCH</v>
          </cell>
        </row>
      </sheetData>
      <sheetData sheetId="400">
        <row r="2">
          <cell r="F2" t="str">
            <v>INCH</v>
          </cell>
        </row>
      </sheetData>
      <sheetData sheetId="401">
        <row r="2">
          <cell r="F2" t="str">
            <v>INCH</v>
          </cell>
        </row>
      </sheetData>
      <sheetData sheetId="402">
        <row r="2">
          <cell r="F2" t="str">
            <v>INCH</v>
          </cell>
        </row>
      </sheetData>
      <sheetData sheetId="403">
        <row r="2">
          <cell r="F2" t="str">
            <v>INCH</v>
          </cell>
        </row>
      </sheetData>
      <sheetData sheetId="404">
        <row r="2">
          <cell r="F2" t="str">
            <v>INCH</v>
          </cell>
        </row>
      </sheetData>
      <sheetData sheetId="405">
        <row r="2">
          <cell r="F2" t="str">
            <v>INCH</v>
          </cell>
        </row>
      </sheetData>
      <sheetData sheetId="406">
        <row r="2">
          <cell r="F2" t="str">
            <v>INCH</v>
          </cell>
        </row>
      </sheetData>
      <sheetData sheetId="407">
        <row r="2">
          <cell r="F2" t="str">
            <v>INCH</v>
          </cell>
        </row>
      </sheetData>
      <sheetData sheetId="408">
        <row r="2">
          <cell r="F2" t="str">
            <v>INCH</v>
          </cell>
        </row>
      </sheetData>
      <sheetData sheetId="409">
        <row r="2">
          <cell r="F2" t="str">
            <v>INCH</v>
          </cell>
        </row>
      </sheetData>
      <sheetData sheetId="410">
        <row r="2">
          <cell r="F2" t="str">
            <v>INCH</v>
          </cell>
        </row>
      </sheetData>
      <sheetData sheetId="411">
        <row r="2">
          <cell r="F2" t="str">
            <v>INCH</v>
          </cell>
        </row>
      </sheetData>
      <sheetData sheetId="412">
        <row r="2">
          <cell r="F2" t="str">
            <v>INCH</v>
          </cell>
        </row>
      </sheetData>
      <sheetData sheetId="413">
        <row r="2">
          <cell r="F2" t="str">
            <v>INCH</v>
          </cell>
        </row>
      </sheetData>
      <sheetData sheetId="414">
        <row r="2">
          <cell r="F2" t="str">
            <v>INCH</v>
          </cell>
        </row>
      </sheetData>
      <sheetData sheetId="415">
        <row r="2">
          <cell r="F2" t="str">
            <v>INCH</v>
          </cell>
        </row>
      </sheetData>
      <sheetData sheetId="416">
        <row r="2">
          <cell r="F2" t="str">
            <v>INCH</v>
          </cell>
        </row>
      </sheetData>
      <sheetData sheetId="417">
        <row r="2">
          <cell r="F2" t="str">
            <v>INCH</v>
          </cell>
        </row>
      </sheetData>
      <sheetData sheetId="418">
        <row r="2">
          <cell r="F2" t="str">
            <v>INCH</v>
          </cell>
        </row>
      </sheetData>
      <sheetData sheetId="419">
        <row r="2">
          <cell r="F2" t="str">
            <v>INCH</v>
          </cell>
        </row>
      </sheetData>
      <sheetData sheetId="420">
        <row r="2">
          <cell r="F2" t="str">
            <v>INCH</v>
          </cell>
        </row>
      </sheetData>
      <sheetData sheetId="421">
        <row r="2">
          <cell r="F2" t="str">
            <v>INCH</v>
          </cell>
        </row>
      </sheetData>
      <sheetData sheetId="422">
        <row r="2">
          <cell r="F2" t="str">
            <v>INCH</v>
          </cell>
        </row>
      </sheetData>
      <sheetData sheetId="423">
        <row r="2">
          <cell r="F2" t="str">
            <v>INCH</v>
          </cell>
        </row>
      </sheetData>
      <sheetData sheetId="424">
        <row r="2">
          <cell r="F2" t="str">
            <v>INCH</v>
          </cell>
        </row>
      </sheetData>
      <sheetData sheetId="425">
        <row r="2">
          <cell r="F2" t="str">
            <v>INCH</v>
          </cell>
        </row>
      </sheetData>
      <sheetData sheetId="426">
        <row r="2">
          <cell r="F2" t="str">
            <v>INCH</v>
          </cell>
        </row>
      </sheetData>
      <sheetData sheetId="427">
        <row r="2">
          <cell r="F2" t="str">
            <v>INCH</v>
          </cell>
        </row>
      </sheetData>
      <sheetData sheetId="428">
        <row r="2">
          <cell r="F2" t="str">
            <v>INCH</v>
          </cell>
        </row>
      </sheetData>
      <sheetData sheetId="429">
        <row r="2">
          <cell r="F2" t="str">
            <v>INCH</v>
          </cell>
        </row>
      </sheetData>
      <sheetData sheetId="430">
        <row r="2">
          <cell r="F2" t="str">
            <v>INCH</v>
          </cell>
        </row>
      </sheetData>
      <sheetData sheetId="431">
        <row r="2">
          <cell r="F2" t="str">
            <v>INCH</v>
          </cell>
        </row>
      </sheetData>
      <sheetData sheetId="432">
        <row r="2">
          <cell r="F2" t="str">
            <v>INCH</v>
          </cell>
        </row>
      </sheetData>
      <sheetData sheetId="433">
        <row r="2">
          <cell r="F2" t="str">
            <v>INCH</v>
          </cell>
        </row>
      </sheetData>
      <sheetData sheetId="434">
        <row r="2">
          <cell r="F2" t="str">
            <v>INCH</v>
          </cell>
        </row>
      </sheetData>
      <sheetData sheetId="435">
        <row r="2">
          <cell r="F2" t="str">
            <v>INCH</v>
          </cell>
        </row>
      </sheetData>
      <sheetData sheetId="436">
        <row r="2">
          <cell r="F2" t="str">
            <v>INCH</v>
          </cell>
        </row>
      </sheetData>
      <sheetData sheetId="437">
        <row r="2">
          <cell r="F2" t="str">
            <v>INCH</v>
          </cell>
        </row>
      </sheetData>
      <sheetData sheetId="438">
        <row r="2">
          <cell r="F2" t="str">
            <v>INCH</v>
          </cell>
        </row>
      </sheetData>
      <sheetData sheetId="439">
        <row r="2">
          <cell r="F2" t="str">
            <v>INCH</v>
          </cell>
        </row>
      </sheetData>
      <sheetData sheetId="440">
        <row r="2">
          <cell r="F2" t="str">
            <v>INCH</v>
          </cell>
        </row>
      </sheetData>
      <sheetData sheetId="441">
        <row r="2">
          <cell r="F2" t="str">
            <v>INCH</v>
          </cell>
        </row>
      </sheetData>
      <sheetData sheetId="442">
        <row r="2">
          <cell r="F2" t="str">
            <v>INCH</v>
          </cell>
        </row>
      </sheetData>
      <sheetData sheetId="443">
        <row r="2">
          <cell r="F2" t="str">
            <v>INCH</v>
          </cell>
        </row>
      </sheetData>
      <sheetData sheetId="444">
        <row r="2">
          <cell r="F2" t="str">
            <v>INCH</v>
          </cell>
        </row>
      </sheetData>
      <sheetData sheetId="445">
        <row r="2">
          <cell r="F2" t="str">
            <v>INCH</v>
          </cell>
        </row>
      </sheetData>
      <sheetData sheetId="446">
        <row r="2">
          <cell r="F2" t="str">
            <v>INCH</v>
          </cell>
        </row>
      </sheetData>
      <sheetData sheetId="447">
        <row r="2">
          <cell r="F2" t="str">
            <v>INCH</v>
          </cell>
        </row>
      </sheetData>
      <sheetData sheetId="448">
        <row r="2">
          <cell r="F2" t="str">
            <v>INCH</v>
          </cell>
        </row>
      </sheetData>
      <sheetData sheetId="449">
        <row r="2">
          <cell r="F2" t="str">
            <v>INCH</v>
          </cell>
        </row>
      </sheetData>
      <sheetData sheetId="450">
        <row r="2">
          <cell r="F2" t="str">
            <v>INCH</v>
          </cell>
        </row>
      </sheetData>
      <sheetData sheetId="451">
        <row r="2">
          <cell r="F2" t="str">
            <v>INCH</v>
          </cell>
        </row>
      </sheetData>
      <sheetData sheetId="452">
        <row r="2">
          <cell r="F2" t="str">
            <v>INCH</v>
          </cell>
        </row>
      </sheetData>
      <sheetData sheetId="453">
        <row r="2">
          <cell r="F2" t="str">
            <v>INCH</v>
          </cell>
        </row>
      </sheetData>
      <sheetData sheetId="454">
        <row r="2">
          <cell r="F2" t="str">
            <v>INCH</v>
          </cell>
        </row>
      </sheetData>
      <sheetData sheetId="455">
        <row r="2">
          <cell r="F2" t="str">
            <v>INCH</v>
          </cell>
        </row>
      </sheetData>
      <sheetData sheetId="456">
        <row r="2">
          <cell r="F2" t="str">
            <v>INCH</v>
          </cell>
        </row>
      </sheetData>
      <sheetData sheetId="457">
        <row r="2">
          <cell r="F2" t="str">
            <v>INCH</v>
          </cell>
        </row>
      </sheetData>
      <sheetData sheetId="458">
        <row r="2">
          <cell r="F2" t="str">
            <v>INCH</v>
          </cell>
        </row>
      </sheetData>
      <sheetData sheetId="459">
        <row r="2">
          <cell r="F2" t="str">
            <v>INCH</v>
          </cell>
        </row>
      </sheetData>
      <sheetData sheetId="460">
        <row r="2">
          <cell r="F2" t="str">
            <v>INCH</v>
          </cell>
        </row>
      </sheetData>
      <sheetData sheetId="461">
        <row r="2">
          <cell r="F2" t="str">
            <v>INCH</v>
          </cell>
        </row>
      </sheetData>
      <sheetData sheetId="462">
        <row r="2">
          <cell r="F2" t="str">
            <v>INCH</v>
          </cell>
        </row>
      </sheetData>
      <sheetData sheetId="463">
        <row r="2">
          <cell r="F2" t="str">
            <v>INCH</v>
          </cell>
        </row>
      </sheetData>
      <sheetData sheetId="464">
        <row r="2">
          <cell r="F2" t="str">
            <v>INCH</v>
          </cell>
        </row>
      </sheetData>
      <sheetData sheetId="465">
        <row r="2">
          <cell r="F2" t="str">
            <v>INCH</v>
          </cell>
        </row>
      </sheetData>
      <sheetData sheetId="466">
        <row r="2">
          <cell r="F2" t="str">
            <v>INCH</v>
          </cell>
        </row>
      </sheetData>
      <sheetData sheetId="467">
        <row r="2">
          <cell r="F2" t="str">
            <v>INCH</v>
          </cell>
        </row>
      </sheetData>
      <sheetData sheetId="468">
        <row r="2">
          <cell r="F2" t="str">
            <v>INCH</v>
          </cell>
        </row>
      </sheetData>
      <sheetData sheetId="469">
        <row r="2">
          <cell r="F2" t="str">
            <v>INCH</v>
          </cell>
        </row>
      </sheetData>
      <sheetData sheetId="470">
        <row r="2">
          <cell r="F2" t="str">
            <v>INCH</v>
          </cell>
        </row>
      </sheetData>
      <sheetData sheetId="471">
        <row r="2">
          <cell r="F2" t="str">
            <v>INCH</v>
          </cell>
        </row>
      </sheetData>
      <sheetData sheetId="472">
        <row r="2">
          <cell r="F2" t="str">
            <v>INCH</v>
          </cell>
        </row>
      </sheetData>
      <sheetData sheetId="473">
        <row r="2">
          <cell r="F2" t="str">
            <v>INCH</v>
          </cell>
        </row>
      </sheetData>
      <sheetData sheetId="474">
        <row r="2">
          <cell r="F2" t="str">
            <v>INCH</v>
          </cell>
        </row>
      </sheetData>
      <sheetData sheetId="475">
        <row r="2">
          <cell r="F2" t="str">
            <v>INCH</v>
          </cell>
        </row>
      </sheetData>
      <sheetData sheetId="476">
        <row r="2">
          <cell r="F2" t="str">
            <v>INCH</v>
          </cell>
        </row>
      </sheetData>
      <sheetData sheetId="477">
        <row r="2">
          <cell r="F2" t="str">
            <v>INCH</v>
          </cell>
        </row>
      </sheetData>
      <sheetData sheetId="478">
        <row r="2">
          <cell r="F2" t="str">
            <v>INCH</v>
          </cell>
        </row>
      </sheetData>
      <sheetData sheetId="479">
        <row r="2">
          <cell r="F2" t="str">
            <v>INCH</v>
          </cell>
        </row>
      </sheetData>
      <sheetData sheetId="480">
        <row r="2">
          <cell r="F2" t="str">
            <v>INCH</v>
          </cell>
        </row>
      </sheetData>
      <sheetData sheetId="481">
        <row r="2">
          <cell r="F2" t="str">
            <v>INCH</v>
          </cell>
        </row>
      </sheetData>
      <sheetData sheetId="482">
        <row r="2">
          <cell r="F2" t="str">
            <v>INCH</v>
          </cell>
        </row>
      </sheetData>
      <sheetData sheetId="483">
        <row r="2">
          <cell r="F2" t="str">
            <v>INCH</v>
          </cell>
        </row>
      </sheetData>
      <sheetData sheetId="484">
        <row r="2">
          <cell r="F2" t="str">
            <v>INCH</v>
          </cell>
        </row>
      </sheetData>
      <sheetData sheetId="485">
        <row r="2">
          <cell r="F2" t="str">
            <v>INCH</v>
          </cell>
        </row>
      </sheetData>
      <sheetData sheetId="486">
        <row r="2">
          <cell r="F2" t="str">
            <v>INCH</v>
          </cell>
        </row>
      </sheetData>
      <sheetData sheetId="487">
        <row r="2">
          <cell r="F2" t="str">
            <v>INCH</v>
          </cell>
        </row>
      </sheetData>
      <sheetData sheetId="488">
        <row r="2">
          <cell r="F2" t="str">
            <v>INCH</v>
          </cell>
        </row>
      </sheetData>
      <sheetData sheetId="489">
        <row r="2">
          <cell r="F2" t="str">
            <v>INCH</v>
          </cell>
        </row>
      </sheetData>
      <sheetData sheetId="490">
        <row r="2">
          <cell r="F2" t="str">
            <v>INCH</v>
          </cell>
        </row>
      </sheetData>
      <sheetData sheetId="491">
        <row r="2">
          <cell r="F2" t="str">
            <v>INCH</v>
          </cell>
        </row>
      </sheetData>
      <sheetData sheetId="492">
        <row r="2">
          <cell r="F2" t="str">
            <v>INCH</v>
          </cell>
        </row>
      </sheetData>
      <sheetData sheetId="493">
        <row r="2">
          <cell r="F2" t="str">
            <v>INCH</v>
          </cell>
        </row>
      </sheetData>
      <sheetData sheetId="494" refreshError="1"/>
      <sheetData sheetId="495">
        <row r="2">
          <cell r="F2" t="str">
            <v>INCH</v>
          </cell>
        </row>
      </sheetData>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ow r="2">
          <cell r="F2" t="str">
            <v>INCH</v>
          </cell>
        </row>
      </sheetData>
      <sheetData sheetId="525">
        <row r="2">
          <cell r="F2" t="str">
            <v>INCH</v>
          </cell>
        </row>
      </sheetData>
      <sheetData sheetId="526" refreshError="1"/>
      <sheetData sheetId="527" refreshError="1"/>
      <sheetData sheetId="528" refreshError="1"/>
      <sheetData sheetId="529" refreshError="1"/>
      <sheetData sheetId="530">
        <row r="2">
          <cell r="F2" t="str">
            <v>INCH</v>
          </cell>
        </row>
      </sheetData>
      <sheetData sheetId="531">
        <row r="2">
          <cell r="F2" t="str">
            <v>INCH</v>
          </cell>
        </row>
      </sheetData>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2">
          <cell r="F2" t="str">
            <v>INCH</v>
          </cell>
        </row>
      </sheetData>
      <sheetData sheetId="557" refreshError="1"/>
      <sheetData sheetId="558">
        <row r="2">
          <cell r="F2" t="str">
            <v>INCH</v>
          </cell>
        </row>
      </sheetData>
      <sheetData sheetId="559">
        <row r="2">
          <cell r="F2" t="str">
            <v>INCH</v>
          </cell>
        </row>
      </sheetData>
      <sheetData sheetId="560">
        <row r="2">
          <cell r="F2" t="str">
            <v>INCH</v>
          </cell>
        </row>
      </sheetData>
      <sheetData sheetId="561">
        <row r="2">
          <cell r="F2" t="str">
            <v>INCH</v>
          </cell>
        </row>
      </sheetData>
      <sheetData sheetId="562">
        <row r="2">
          <cell r="F2" t="str">
            <v>INCH</v>
          </cell>
        </row>
      </sheetData>
      <sheetData sheetId="563">
        <row r="2">
          <cell r="F2" t="str">
            <v>INCH</v>
          </cell>
        </row>
      </sheetData>
      <sheetData sheetId="564">
        <row r="2">
          <cell r="F2" t="str">
            <v>INCH</v>
          </cell>
        </row>
      </sheetData>
      <sheetData sheetId="565">
        <row r="2">
          <cell r="F2" t="str">
            <v>INCH</v>
          </cell>
        </row>
      </sheetData>
      <sheetData sheetId="566">
        <row r="2">
          <cell r="F2" t="str">
            <v>INCH</v>
          </cell>
        </row>
      </sheetData>
      <sheetData sheetId="567">
        <row r="2">
          <cell r="F2" t="str">
            <v>INCH</v>
          </cell>
        </row>
      </sheetData>
      <sheetData sheetId="568">
        <row r="2">
          <cell r="F2" t="str">
            <v>INCH</v>
          </cell>
        </row>
      </sheetData>
      <sheetData sheetId="569">
        <row r="2">
          <cell r="F2" t="str">
            <v>INCH</v>
          </cell>
        </row>
      </sheetData>
      <sheetData sheetId="570">
        <row r="2">
          <cell r="F2" t="str">
            <v>INCH</v>
          </cell>
        </row>
      </sheetData>
      <sheetData sheetId="571">
        <row r="2">
          <cell r="F2" t="str">
            <v>INCH</v>
          </cell>
        </row>
      </sheetData>
      <sheetData sheetId="572">
        <row r="2">
          <cell r="F2" t="str">
            <v>INCH</v>
          </cell>
        </row>
      </sheetData>
      <sheetData sheetId="573">
        <row r="2">
          <cell r="F2" t="str">
            <v>INCH</v>
          </cell>
        </row>
      </sheetData>
      <sheetData sheetId="574">
        <row r="2">
          <cell r="F2" t="str">
            <v>INCH</v>
          </cell>
        </row>
      </sheetData>
      <sheetData sheetId="575">
        <row r="2">
          <cell r="F2" t="str">
            <v>INCH</v>
          </cell>
        </row>
      </sheetData>
      <sheetData sheetId="576">
        <row r="2">
          <cell r="F2" t="str">
            <v>INCH</v>
          </cell>
        </row>
      </sheetData>
      <sheetData sheetId="577">
        <row r="2">
          <cell r="F2" t="str">
            <v>INCH</v>
          </cell>
        </row>
      </sheetData>
      <sheetData sheetId="578">
        <row r="2">
          <cell r="F2" t="str">
            <v>INCH</v>
          </cell>
        </row>
      </sheetData>
      <sheetData sheetId="579">
        <row r="2">
          <cell r="F2" t="str">
            <v>INCH</v>
          </cell>
        </row>
      </sheetData>
      <sheetData sheetId="580">
        <row r="2">
          <cell r="F2" t="str">
            <v>INCH</v>
          </cell>
        </row>
      </sheetData>
      <sheetData sheetId="581">
        <row r="2">
          <cell r="F2" t="str">
            <v>INCH</v>
          </cell>
        </row>
      </sheetData>
      <sheetData sheetId="582">
        <row r="2">
          <cell r="F2" t="str">
            <v>INCH</v>
          </cell>
        </row>
      </sheetData>
      <sheetData sheetId="583">
        <row r="2">
          <cell r="F2" t="str">
            <v>INCH</v>
          </cell>
        </row>
      </sheetData>
      <sheetData sheetId="584">
        <row r="2">
          <cell r="F2" t="str">
            <v>INCH</v>
          </cell>
        </row>
      </sheetData>
      <sheetData sheetId="585">
        <row r="2">
          <cell r="F2" t="str">
            <v>INCH</v>
          </cell>
        </row>
      </sheetData>
      <sheetData sheetId="586">
        <row r="2">
          <cell r="F2" t="str">
            <v>INCH</v>
          </cell>
        </row>
      </sheetData>
      <sheetData sheetId="587">
        <row r="2">
          <cell r="F2" t="str">
            <v>INCH</v>
          </cell>
        </row>
      </sheetData>
      <sheetData sheetId="588">
        <row r="2">
          <cell r="F2" t="str">
            <v>INCH</v>
          </cell>
        </row>
      </sheetData>
      <sheetData sheetId="589">
        <row r="2">
          <cell r="F2" t="str">
            <v>INCH</v>
          </cell>
        </row>
      </sheetData>
      <sheetData sheetId="590">
        <row r="2">
          <cell r="F2" t="str">
            <v>INCH</v>
          </cell>
        </row>
      </sheetData>
      <sheetData sheetId="591">
        <row r="2">
          <cell r="F2" t="str">
            <v>INCH</v>
          </cell>
        </row>
      </sheetData>
      <sheetData sheetId="592">
        <row r="2">
          <cell r="F2" t="str">
            <v>INCH</v>
          </cell>
        </row>
      </sheetData>
      <sheetData sheetId="593">
        <row r="2">
          <cell r="F2" t="str">
            <v>INCH</v>
          </cell>
        </row>
      </sheetData>
      <sheetData sheetId="594">
        <row r="2">
          <cell r="F2" t="str">
            <v>INCH</v>
          </cell>
        </row>
      </sheetData>
      <sheetData sheetId="595">
        <row r="2">
          <cell r="F2" t="str">
            <v>INCH</v>
          </cell>
        </row>
      </sheetData>
      <sheetData sheetId="596">
        <row r="2">
          <cell r="F2" t="str">
            <v>INCH</v>
          </cell>
        </row>
      </sheetData>
      <sheetData sheetId="597">
        <row r="2">
          <cell r="F2" t="str">
            <v>INCH</v>
          </cell>
        </row>
      </sheetData>
      <sheetData sheetId="598">
        <row r="2">
          <cell r="F2" t="str">
            <v>INCH</v>
          </cell>
        </row>
      </sheetData>
      <sheetData sheetId="599">
        <row r="2">
          <cell r="F2" t="str">
            <v>INCH</v>
          </cell>
        </row>
      </sheetData>
      <sheetData sheetId="600">
        <row r="2">
          <cell r="F2" t="str">
            <v>INCH</v>
          </cell>
        </row>
      </sheetData>
      <sheetData sheetId="601">
        <row r="2">
          <cell r="F2" t="str">
            <v>INCH</v>
          </cell>
        </row>
      </sheetData>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row r="2">
          <cell r="F2" t="str">
            <v>INCH</v>
          </cell>
        </row>
      </sheetData>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ow r="2">
          <cell r="F2" t="str">
            <v>INCH</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ow r="2">
          <cell r="F2" t="str">
            <v>INCH</v>
          </cell>
        </row>
      </sheetData>
      <sheetData sheetId="681">
        <row r="2">
          <cell r="F2" t="str">
            <v>INCH</v>
          </cell>
        </row>
      </sheetData>
      <sheetData sheetId="682">
        <row r="2">
          <cell r="F2" t="str">
            <v>INCH</v>
          </cell>
        </row>
      </sheetData>
      <sheetData sheetId="683">
        <row r="2">
          <cell r="F2" t="str">
            <v>INCH</v>
          </cell>
        </row>
      </sheetData>
      <sheetData sheetId="684">
        <row r="2">
          <cell r="F2" t="str">
            <v>INCH</v>
          </cell>
        </row>
      </sheetData>
      <sheetData sheetId="685">
        <row r="2">
          <cell r="F2" t="str">
            <v>INCH</v>
          </cell>
        </row>
      </sheetData>
      <sheetData sheetId="686">
        <row r="2">
          <cell r="F2" t="str">
            <v>INCH</v>
          </cell>
        </row>
      </sheetData>
      <sheetData sheetId="687">
        <row r="2">
          <cell r="F2" t="str">
            <v>INCH</v>
          </cell>
        </row>
      </sheetData>
      <sheetData sheetId="688">
        <row r="2">
          <cell r="F2" t="str">
            <v>INCH</v>
          </cell>
        </row>
      </sheetData>
      <sheetData sheetId="689">
        <row r="2">
          <cell r="F2" t="str">
            <v>INCH</v>
          </cell>
        </row>
      </sheetData>
      <sheetData sheetId="690">
        <row r="2">
          <cell r="F2" t="str">
            <v>INCH</v>
          </cell>
        </row>
      </sheetData>
      <sheetData sheetId="691">
        <row r="2">
          <cell r="F2" t="str">
            <v>INCH</v>
          </cell>
        </row>
      </sheetData>
      <sheetData sheetId="692">
        <row r="2">
          <cell r="F2" t="str">
            <v>INCH</v>
          </cell>
        </row>
      </sheetData>
      <sheetData sheetId="693">
        <row r="2">
          <cell r="F2" t="str">
            <v>INCH</v>
          </cell>
        </row>
      </sheetData>
      <sheetData sheetId="694">
        <row r="2">
          <cell r="F2" t="str">
            <v>INCH</v>
          </cell>
        </row>
      </sheetData>
      <sheetData sheetId="695">
        <row r="2">
          <cell r="F2" t="str">
            <v>INCH</v>
          </cell>
        </row>
      </sheetData>
      <sheetData sheetId="696">
        <row r="2">
          <cell r="F2" t="str">
            <v>INCH</v>
          </cell>
        </row>
      </sheetData>
      <sheetData sheetId="697">
        <row r="2">
          <cell r="F2" t="str">
            <v>INCH</v>
          </cell>
        </row>
      </sheetData>
      <sheetData sheetId="698">
        <row r="2">
          <cell r="F2" t="str">
            <v>INCH</v>
          </cell>
        </row>
      </sheetData>
      <sheetData sheetId="699">
        <row r="2">
          <cell r="F2" t="str">
            <v>INCH</v>
          </cell>
        </row>
      </sheetData>
      <sheetData sheetId="700">
        <row r="2">
          <cell r="F2" t="str">
            <v>INCH</v>
          </cell>
        </row>
      </sheetData>
      <sheetData sheetId="701">
        <row r="2">
          <cell r="F2" t="str">
            <v>INCH</v>
          </cell>
        </row>
      </sheetData>
      <sheetData sheetId="702">
        <row r="2">
          <cell r="F2" t="str">
            <v>INCH</v>
          </cell>
        </row>
      </sheetData>
      <sheetData sheetId="703">
        <row r="2">
          <cell r="F2" t="str">
            <v>INCH</v>
          </cell>
        </row>
      </sheetData>
      <sheetData sheetId="704" refreshError="1"/>
      <sheetData sheetId="705" refreshError="1"/>
      <sheetData sheetId="706" refreshError="1"/>
      <sheetData sheetId="707" refreshError="1"/>
      <sheetData sheetId="708"/>
      <sheetData sheetId="709"/>
      <sheetData sheetId="710"/>
      <sheetData sheetId="711">
        <row r="2">
          <cell r="F2" t="str">
            <v>INCH</v>
          </cell>
        </row>
      </sheetData>
      <sheetData sheetId="712">
        <row r="2">
          <cell r="F2" t="str">
            <v>INCH</v>
          </cell>
        </row>
      </sheetData>
      <sheetData sheetId="713" refreshError="1"/>
      <sheetData sheetId="714" refreshError="1"/>
      <sheetData sheetId="715" refreshError="1"/>
      <sheetData sheetId="716" refreshError="1"/>
      <sheetData sheetId="717" refreshError="1"/>
      <sheetData sheetId="718" refreshError="1"/>
      <sheetData sheetId="719" refreshError="1"/>
      <sheetData sheetId="720">
        <row r="2">
          <cell r="F2" t="str">
            <v>INCH</v>
          </cell>
        </row>
      </sheetData>
      <sheetData sheetId="721"/>
      <sheetData sheetId="722"/>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ow r="2">
          <cell r="F2" t="str">
            <v>INCH</v>
          </cell>
        </row>
      </sheetData>
      <sheetData sheetId="733">
        <row r="2">
          <cell r="F2" t="str">
            <v>INCH</v>
          </cell>
        </row>
      </sheetData>
      <sheetData sheetId="734">
        <row r="2">
          <cell r="F2" t="str">
            <v>INCH</v>
          </cell>
        </row>
      </sheetData>
      <sheetData sheetId="735">
        <row r="2">
          <cell r="F2" t="str">
            <v>INCH</v>
          </cell>
        </row>
      </sheetData>
      <sheetData sheetId="736">
        <row r="2">
          <cell r="F2" t="str">
            <v>INCH</v>
          </cell>
        </row>
      </sheetData>
      <sheetData sheetId="737">
        <row r="2">
          <cell r="F2" t="str">
            <v>INCH</v>
          </cell>
        </row>
      </sheetData>
      <sheetData sheetId="738">
        <row r="2">
          <cell r="F2" t="str">
            <v>INCH</v>
          </cell>
        </row>
      </sheetData>
      <sheetData sheetId="739">
        <row r="2">
          <cell r="F2" t="str">
            <v>INCH</v>
          </cell>
        </row>
      </sheetData>
      <sheetData sheetId="740">
        <row r="2">
          <cell r="F2" t="str">
            <v>INCH</v>
          </cell>
        </row>
      </sheetData>
      <sheetData sheetId="741">
        <row r="2">
          <cell r="F2" t="str">
            <v>INCH</v>
          </cell>
        </row>
      </sheetData>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ow r="2">
          <cell r="F2" t="str">
            <v>INCH</v>
          </cell>
        </row>
      </sheetData>
      <sheetData sheetId="755">
        <row r="2">
          <cell r="F2" t="str">
            <v>INCH</v>
          </cell>
        </row>
      </sheetData>
      <sheetData sheetId="756">
        <row r="2">
          <cell r="F2" t="str">
            <v>INCH</v>
          </cell>
        </row>
      </sheetData>
      <sheetData sheetId="757">
        <row r="2">
          <cell r="F2" t="str">
            <v>INCH</v>
          </cell>
        </row>
      </sheetData>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ow r="2">
          <cell r="F2" t="str">
            <v>INCH</v>
          </cell>
        </row>
      </sheetData>
      <sheetData sheetId="786">
        <row r="2">
          <cell r="F2" t="str">
            <v>INCH</v>
          </cell>
        </row>
      </sheetData>
      <sheetData sheetId="787">
        <row r="2">
          <cell r="F2" t="str">
            <v>INCH</v>
          </cell>
        </row>
      </sheetData>
      <sheetData sheetId="788">
        <row r="2">
          <cell r="F2" t="str">
            <v>INCH</v>
          </cell>
        </row>
      </sheetData>
      <sheetData sheetId="789">
        <row r="2">
          <cell r="F2" t="str">
            <v>INCH</v>
          </cell>
        </row>
      </sheetData>
      <sheetData sheetId="790">
        <row r="2">
          <cell r="F2" t="str">
            <v>INCH</v>
          </cell>
        </row>
      </sheetData>
      <sheetData sheetId="791">
        <row r="2">
          <cell r="F2" t="str">
            <v>INCH</v>
          </cell>
        </row>
      </sheetData>
      <sheetData sheetId="792">
        <row r="2">
          <cell r="F2" t="str">
            <v>INCH</v>
          </cell>
        </row>
      </sheetData>
      <sheetData sheetId="793">
        <row r="2">
          <cell r="F2" t="str">
            <v>INCH</v>
          </cell>
        </row>
      </sheetData>
      <sheetData sheetId="794">
        <row r="2">
          <cell r="F2" t="str">
            <v>INCH</v>
          </cell>
        </row>
      </sheetData>
      <sheetData sheetId="795">
        <row r="2">
          <cell r="F2" t="str">
            <v>INCH</v>
          </cell>
        </row>
      </sheetData>
      <sheetData sheetId="796">
        <row r="2">
          <cell r="F2" t="str">
            <v>INCH</v>
          </cell>
        </row>
      </sheetData>
      <sheetData sheetId="797">
        <row r="2">
          <cell r="F2" t="str">
            <v>INCH</v>
          </cell>
        </row>
      </sheetData>
      <sheetData sheetId="798">
        <row r="2">
          <cell r="F2" t="str">
            <v>INCH</v>
          </cell>
        </row>
      </sheetData>
      <sheetData sheetId="799">
        <row r="2">
          <cell r="F2" t="str">
            <v>INCH</v>
          </cell>
        </row>
      </sheetData>
      <sheetData sheetId="800">
        <row r="2">
          <cell r="F2" t="str">
            <v>INCH</v>
          </cell>
        </row>
      </sheetData>
      <sheetData sheetId="801">
        <row r="2">
          <cell r="F2" t="str">
            <v>INCH</v>
          </cell>
        </row>
      </sheetData>
      <sheetData sheetId="802">
        <row r="2">
          <cell r="F2" t="str">
            <v>INCH</v>
          </cell>
        </row>
      </sheetData>
      <sheetData sheetId="803">
        <row r="2">
          <cell r="F2" t="str">
            <v>INCH</v>
          </cell>
        </row>
      </sheetData>
      <sheetData sheetId="804">
        <row r="2">
          <cell r="F2" t="str">
            <v>INCH</v>
          </cell>
        </row>
      </sheetData>
      <sheetData sheetId="805">
        <row r="2">
          <cell r="F2" t="str">
            <v>INCH</v>
          </cell>
        </row>
      </sheetData>
      <sheetData sheetId="806">
        <row r="2">
          <cell r="F2" t="str">
            <v>INCH</v>
          </cell>
        </row>
      </sheetData>
      <sheetData sheetId="807">
        <row r="2">
          <cell r="F2" t="str">
            <v>INCH</v>
          </cell>
        </row>
      </sheetData>
      <sheetData sheetId="808">
        <row r="2">
          <cell r="F2" t="str">
            <v>INCH</v>
          </cell>
        </row>
      </sheetData>
      <sheetData sheetId="809" refreshError="1"/>
      <sheetData sheetId="810" refreshError="1"/>
      <sheetData sheetId="811" refreshError="1"/>
      <sheetData sheetId="812" refreshError="1"/>
      <sheetData sheetId="813" refreshError="1"/>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ow r="2">
          <cell r="F2" t="str">
            <v>INCH</v>
          </cell>
        </row>
      </sheetData>
      <sheetData sheetId="839">
        <row r="2">
          <cell r="F2" t="str">
            <v>INCH</v>
          </cell>
        </row>
      </sheetData>
      <sheetData sheetId="840">
        <row r="2">
          <cell r="F2" t="str">
            <v>INCH</v>
          </cell>
        </row>
      </sheetData>
      <sheetData sheetId="841">
        <row r="2">
          <cell r="F2" t="str">
            <v>INCH</v>
          </cell>
        </row>
      </sheetData>
      <sheetData sheetId="842">
        <row r="2">
          <cell r="F2" t="str">
            <v>INCH</v>
          </cell>
        </row>
      </sheetData>
      <sheetData sheetId="843">
        <row r="2">
          <cell r="F2" t="str">
            <v>INCH</v>
          </cell>
        </row>
      </sheetData>
      <sheetData sheetId="844">
        <row r="2">
          <cell r="F2" t="str">
            <v>INCH</v>
          </cell>
        </row>
      </sheetData>
      <sheetData sheetId="845">
        <row r="2">
          <cell r="F2" t="str">
            <v>INCH</v>
          </cell>
        </row>
      </sheetData>
      <sheetData sheetId="846">
        <row r="2">
          <cell r="F2" t="str">
            <v>INCH</v>
          </cell>
        </row>
      </sheetData>
      <sheetData sheetId="847">
        <row r="2">
          <cell r="F2" t="str">
            <v>INCH</v>
          </cell>
        </row>
      </sheetData>
      <sheetData sheetId="848">
        <row r="2">
          <cell r="F2" t="str">
            <v>INCH</v>
          </cell>
        </row>
      </sheetData>
      <sheetData sheetId="849">
        <row r="2">
          <cell r="F2" t="str">
            <v>INCH</v>
          </cell>
        </row>
      </sheetData>
      <sheetData sheetId="850">
        <row r="2">
          <cell r="F2" t="str">
            <v>INCH</v>
          </cell>
        </row>
      </sheetData>
      <sheetData sheetId="851">
        <row r="2">
          <cell r="F2" t="str">
            <v>INCH</v>
          </cell>
        </row>
      </sheetData>
      <sheetData sheetId="852">
        <row r="2">
          <cell r="F2" t="str">
            <v>INCH</v>
          </cell>
        </row>
      </sheetData>
      <sheetData sheetId="853">
        <row r="2">
          <cell r="F2" t="str">
            <v>INCH</v>
          </cell>
        </row>
      </sheetData>
      <sheetData sheetId="854">
        <row r="2">
          <cell r="F2" t="str">
            <v>INCH</v>
          </cell>
        </row>
      </sheetData>
      <sheetData sheetId="855">
        <row r="2">
          <cell r="F2" t="str">
            <v>INCH</v>
          </cell>
        </row>
      </sheetData>
      <sheetData sheetId="856">
        <row r="2">
          <cell r="F2" t="str">
            <v>INCH</v>
          </cell>
        </row>
      </sheetData>
      <sheetData sheetId="857">
        <row r="2">
          <cell r="F2" t="str">
            <v>INCH</v>
          </cell>
        </row>
      </sheetData>
      <sheetData sheetId="858">
        <row r="2">
          <cell r="F2" t="str">
            <v>INCH</v>
          </cell>
        </row>
      </sheetData>
      <sheetData sheetId="859">
        <row r="2">
          <cell r="F2" t="str">
            <v>INCH</v>
          </cell>
        </row>
      </sheetData>
      <sheetData sheetId="860">
        <row r="2">
          <cell r="F2" t="str">
            <v>INCH</v>
          </cell>
        </row>
      </sheetData>
      <sheetData sheetId="861">
        <row r="2">
          <cell r="F2" t="str">
            <v>INCH</v>
          </cell>
        </row>
      </sheetData>
      <sheetData sheetId="862">
        <row r="2">
          <cell r="F2" t="str">
            <v>INCH</v>
          </cell>
        </row>
      </sheetData>
      <sheetData sheetId="863">
        <row r="2">
          <cell r="F2" t="str">
            <v>INCH</v>
          </cell>
        </row>
      </sheetData>
      <sheetData sheetId="864">
        <row r="2">
          <cell r="F2" t="str">
            <v>INCH</v>
          </cell>
        </row>
      </sheetData>
      <sheetData sheetId="865">
        <row r="2">
          <cell r="F2" t="str">
            <v>INCH</v>
          </cell>
        </row>
      </sheetData>
      <sheetData sheetId="866">
        <row r="2">
          <cell r="F2" t="str">
            <v>INCH</v>
          </cell>
        </row>
      </sheetData>
      <sheetData sheetId="867">
        <row r="2">
          <cell r="F2" t="str">
            <v>INCH</v>
          </cell>
        </row>
      </sheetData>
      <sheetData sheetId="868">
        <row r="2">
          <cell r="F2" t="str">
            <v>INCH</v>
          </cell>
        </row>
      </sheetData>
      <sheetData sheetId="869">
        <row r="2">
          <cell r="F2" t="str">
            <v>INCH</v>
          </cell>
        </row>
      </sheetData>
      <sheetData sheetId="870">
        <row r="2">
          <cell r="F2" t="str">
            <v>INCH</v>
          </cell>
        </row>
      </sheetData>
      <sheetData sheetId="871">
        <row r="2">
          <cell r="F2" t="str">
            <v>INCH</v>
          </cell>
        </row>
      </sheetData>
      <sheetData sheetId="872">
        <row r="2">
          <cell r="F2" t="str">
            <v>INCH</v>
          </cell>
        </row>
      </sheetData>
      <sheetData sheetId="873">
        <row r="2">
          <cell r="F2" t="str">
            <v>INCH</v>
          </cell>
        </row>
      </sheetData>
      <sheetData sheetId="874">
        <row r="2">
          <cell r="F2" t="str">
            <v>INCH</v>
          </cell>
        </row>
      </sheetData>
      <sheetData sheetId="875">
        <row r="2">
          <cell r="F2" t="str">
            <v>INCH</v>
          </cell>
        </row>
      </sheetData>
      <sheetData sheetId="876">
        <row r="2">
          <cell r="F2" t="str">
            <v>INCH</v>
          </cell>
        </row>
      </sheetData>
      <sheetData sheetId="877">
        <row r="2">
          <cell r="F2" t="str">
            <v>INCH</v>
          </cell>
        </row>
      </sheetData>
      <sheetData sheetId="878">
        <row r="2">
          <cell r="F2" t="str">
            <v>INCH</v>
          </cell>
        </row>
      </sheetData>
      <sheetData sheetId="879">
        <row r="2">
          <cell r="F2" t="str">
            <v>INCH</v>
          </cell>
        </row>
      </sheetData>
      <sheetData sheetId="880">
        <row r="2">
          <cell r="F2" t="str">
            <v>INCH</v>
          </cell>
        </row>
      </sheetData>
      <sheetData sheetId="881">
        <row r="2">
          <cell r="F2" t="str">
            <v>INCH</v>
          </cell>
        </row>
      </sheetData>
      <sheetData sheetId="882">
        <row r="2">
          <cell r="F2" t="str">
            <v>INCH</v>
          </cell>
        </row>
      </sheetData>
      <sheetData sheetId="883">
        <row r="2">
          <cell r="F2" t="str">
            <v>INCH</v>
          </cell>
        </row>
      </sheetData>
      <sheetData sheetId="884">
        <row r="2">
          <cell r="F2" t="str">
            <v>INCH</v>
          </cell>
        </row>
      </sheetData>
      <sheetData sheetId="885">
        <row r="2">
          <cell r="F2" t="str">
            <v>INCH</v>
          </cell>
        </row>
      </sheetData>
      <sheetData sheetId="886">
        <row r="2">
          <cell r="F2" t="str">
            <v>INCH</v>
          </cell>
        </row>
      </sheetData>
      <sheetData sheetId="887">
        <row r="2">
          <cell r="F2" t="str">
            <v>INCH</v>
          </cell>
        </row>
      </sheetData>
      <sheetData sheetId="888">
        <row r="2">
          <cell r="F2" t="str">
            <v>INCH</v>
          </cell>
        </row>
      </sheetData>
      <sheetData sheetId="889">
        <row r="2">
          <cell r="F2" t="str">
            <v>INCH</v>
          </cell>
        </row>
      </sheetData>
      <sheetData sheetId="890">
        <row r="2">
          <cell r="F2" t="str">
            <v>INCH</v>
          </cell>
        </row>
      </sheetData>
      <sheetData sheetId="891">
        <row r="2">
          <cell r="F2" t="str">
            <v>INCH</v>
          </cell>
        </row>
      </sheetData>
      <sheetData sheetId="892">
        <row r="2">
          <cell r="F2" t="str">
            <v>INCH</v>
          </cell>
        </row>
      </sheetData>
      <sheetData sheetId="893">
        <row r="2">
          <cell r="F2" t="str">
            <v>INCH</v>
          </cell>
        </row>
      </sheetData>
      <sheetData sheetId="894">
        <row r="2">
          <cell r="F2" t="str">
            <v>INCH</v>
          </cell>
        </row>
      </sheetData>
      <sheetData sheetId="895">
        <row r="2">
          <cell r="F2" t="str">
            <v>INCH</v>
          </cell>
        </row>
      </sheetData>
      <sheetData sheetId="896">
        <row r="2">
          <cell r="F2" t="str">
            <v>INCH</v>
          </cell>
        </row>
      </sheetData>
      <sheetData sheetId="897">
        <row r="2">
          <cell r="F2" t="str">
            <v>INCH</v>
          </cell>
        </row>
      </sheetData>
      <sheetData sheetId="898">
        <row r="2">
          <cell r="F2" t="str">
            <v>INCH</v>
          </cell>
        </row>
      </sheetData>
      <sheetData sheetId="899">
        <row r="2">
          <cell r="F2" t="str">
            <v>INCH</v>
          </cell>
        </row>
      </sheetData>
      <sheetData sheetId="900">
        <row r="2">
          <cell r="F2" t="str">
            <v>INCH</v>
          </cell>
        </row>
      </sheetData>
      <sheetData sheetId="901" refreshError="1"/>
      <sheetData sheetId="902">
        <row r="2">
          <cell r="F2" t="str">
            <v>INCH</v>
          </cell>
        </row>
      </sheetData>
      <sheetData sheetId="903">
        <row r="2">
          <cell r="F2" t="str">
            <v>INCH</v>
          </cell>
        </row>
      </sheetData>
      <sheetData sheetId="904">
        <row r="2">
          <cell r="F2" t="str">
            <v>INCH</v>
          </cell>
        </row>
      </sheetData>
      <sheetData sheetId="905">
        <row r="2">
          <cell r="F2" t="str">
            <v>INCH</v>
          </cell>
        </row>
      </sheetData>
      <sheetData sheetId="906">
        <row r="2">
          <cell r="F2" t="str">
            <v>INCH</v>
          </cell>
        </row>
      </sheetData>
      <sheetData sheetId="907">
        <row r="2">
          <cell r="F2" t="str">
            <v>INCH</v>
          </cell>
        </row>
      </sheetData>
      <sheetData sheetId="908">
        <row r="2">
          <cell r="F2" t="str">
            <v>INCH</v>
          </cell>
        </row>
      </sheetData>
      <sheetData sheetId="909">
        <row r="2">
          <cell r="F2" t="str">
            <v>INCH</v>
          </cell>
        </row>
      </sheetData>
      <sheetData sheetId="910">
        <row r="2">
          <cell r="F2" t="str">
            <v>INCH</v>
          </cell>
        </row>
      </sheetData>
      <sheetData sheetId="911">
        <row r="2">
          <cell r="F2" t="str">
            <v>INCH</v>
          </cell>
        </row>
      </sheetData>
      <sheetData sheetId="912">
        <row r="2">
          <cell r="F2" t="str">
            <v>INCH</v>
          </cell>
        </row>
      </sheetData>
      <sheetData sheetId="913">
        <row r="2">
          <cell r="F2" t="str">
            <v>INCH</v>
          </cell>
        </row>
      </sheetData>
      <sheetData sheetId="914">
        <row r="2">
          <cell r="F2" t="str">
            <v>INCH</v>
          </cell>
        </row>
      </sheetData>
      <sheetData sheetId="915">
        <row r="2">
          <cell r="F2" t="str">
            <v>INCH</v>
          </cell>
        </row>
      </sheetData>
      <sheetData sheetId="916">
        <row r="2">
          <cell r="F2" t="str">
            <v>INCH</v>
          </cell>
        </row>
      </sheetData>
      <sheetData sheetId="917">
        <row r="2">
          <cell r="F2" t="str">
            <v>INCH</v>
          </cell>
        </row>
      </sheetData>
      <sheetData sheetId="918">
        <row r="2">
          <cell r="F2" t="str">
            <v>INCH</v>
          </cell>
        </row>
      </sheetData>
      <sheetData sheetId="919">
        <row r="2">
          <cell r="F2" t="str">
            <v>INCH</v>
          </cell>
        </row>
      </sheetData>
      <sheetData sheetId="920">
        <row r="2">
          <cell r="F2" t="str">
            <v>INCH</v>
          </cell>
        </row>
      </sheetData>
      <sheetData sheetId="921">
        <row r="2">
          <cell r="F2" t="str">
            <v>INCH</v>
          </cell>
        </row>
      </sheetData>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ow r="2">
          <cell r="F2" t="str">
            <v>INCH</v>
          </cell>
        </row>
      </sheetData>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ow r="2">
          <cell r="F2" t="str">
            <v>INCH</v>
          </cell>
        </row>
      </sheetData>
      <sheetData sheetId="1001">
        <row r="2">
          <cell r="F2" t="str">
            <v>INCH</v>
          </cell>
        </row>
      </sheetData>
      <sheetData sheetId="1002">
        <row r="2">
          <cell r="F2" t="str">
            <v>INCH</v>
          </cell>
        </row>
      </sheetData>
      <sheetData sheetId="1003">
        <row r="2">
          <cell r="F2" t="str">
            <v>INCH</v>
          </cell>
        </row>
      </sheetData>
      <sheetData sheetId="1004">
        <row r="2">
          <cell r="F2" t="str">
            <v>INCH</v>
          </cell>
        </row>
      </sheetData>
      <sheetData sheetId="1005">
        <row r="2">
          <cell r="F2" t="str">
            <v>INCH</v>
          </cell>
        </row>
      </sheetData>
      <sheetData sheetId="1006">
        <row r="2">
          <cell r="F2" t="str">
            <v>INCH</v>
          </cell>
        </row>
      </sheetData>
      <sheetData sheetId="1007">
        <row r="2">
          <cell r="F2" t="str">
            <v>INCH</v>
          </cell>
        </row>
      </sheetData>
      <sheetData sheetId="1008">
        <row r="2">
          <cell r="F2" t="str">
            <v>INCH</v>
          </cell>
        </row>
      </sheetData>
      <sheetData sheetId="1009">
        <row r="2">
          <cell r="F2" t="str">
            <v>INCH</v>
          </cell>
        </row>
      </sheetData>
      <sheetData sheetId="1010">
        <row r="2">
          <cell r="F2" t="str">
            <v>INCH</v>
          </cell>
        </row>
      </sheetData>
      <sheetData sheetId="1011">
        <row r="2">
          <cell r="F2" t="str">
            <v>INCH</v>
          </cell>
        </row>
      </sheetData>
      <sheetData sheetId="1012">
        <row r="2">
          <cell r="F2" t="str">
            <v>INCH</v>
          </cell>
        </row>
      </sheetData>
      <sheetData sheetId="1013">
        <row r="2">
          <cell r="F2" t="str">
            <v>INCH</v>
          </cell>
        </row>
      </sheetData>
      <sheetData sheetId="1014">
        <row r="2">
          <cell r="F2" t="str">
            <v>INCH</v>
          </cell>
        </row>
      </sheetData>
      <sheetData sheetId="1015">
        <row r="2">
          <cell r="F2" t="str">
            <v>INCH</v>
          </cell>
        </row>
      </sheetData>
      <sheetData sheetId="1016">
        <row r="2">
          <cell r="F2" t="str">
            <v>INCH</v>
          </cell>
        </row>
      </sheetData>
      <sheetData sheetId="1017">
        <row r="2">
          <cell r="F2" t="str">
            <v>INCH</v>
          </cell>
        </row>
      </sheetData>
      <sheetData sheetId="1018">
        <row r="2">
          <cell r="F2" t="str">
            <v>INCH</v>
          </cell>
        </row>
      </sheetData>
      <sheetData sheetId="1019">
        <row r="2">
          <cell r="F2" t="str">
            <v>INCH</v>
          </cell>
        </row>
      </sheetData>
      <sheetData sheetId="1020">
        <row r="2">
          <cell r="F2" t="str">
            <v>INCH</v>
          </cell>
        </row>
      </sheetData>
      <sheetData sheetId="1021">
        <row r="2">
          <cell r="F2" t="str">
            <v>INCH</v>
          </cell>
        </row>
      </sheetData>
      <sheetData sheetId="1022">
        <row r="2">
          <cell r="F2" t="str">
            <v>INCH</v>
          </cell>
        </row>
      </sheetData>
      <sheetData sheetId="1023">
        <row r="2">
          <cell r="F2" t="str">
            <v>INCH</v>
          </cell>
        </row>
      </sheetData>
      <sheetData sheetId="1024">
        <row r="2">
          <cell r="F2" t="str">
            <v>INCH</v>
          </cell>
        </row>
      </sheetData>
      <sheetData sheetId="1025">
        <row r="2">
          <cell r="F2" t="str">
            <v>INCH</v>
          </cell>
        </row>
      </sheetData>
      <sheetData sheetId="1026">
        <row r="2">
          <cell r="F2" t="str">
            <v>INCH</v>
          </cell>
        </row>
      </sheetData>
      <sheetData sheetId="1027">
        <row r="2">
          <cell r="F2" t="str">
            <v>INCH</v>
          </cell>
        </row>
      </sheetData>
      <sheetData sheetId="1028">
        <row r="2">
          <cell r="F2" t="str">
            <v>INCH</v>
          </cell>
        </row>
      </sheetData>
      <sheetData sheetId="1029">
        <row r="2">
          <cell r="F2" t="str">
            <v>INCH</v>
          </cell>
        </row>
      </sheetData>
      <sheetData sheetId="1030">
        <row r="2">
          <cell r="F2" t="str">
            <v>INCH</v>
          </cell>
        </row>
      </sheetData>
      <sheetData sheetId="1031">
        <row r="2">
          <cell r="F2" t="str">
            <v>INCH</v>
          </cell>
        </row>
      </sheetData>
      <sheetData sheetId="1032">
        <row r="2">
          <cell r="F2" t="str">
            <v>INCH</v>
          </cell>
        </row>
      </sheetData>
      <sheetData sheetId="1033">
        <row r="2">
          <cell r="F2" t="str">
            <v>INCH</v>
          </cell>
        </row>
      </sheetData>
      <sheetData sheetId="1034">
        <row r="2">
          <cell r="F2" t="str">
            <v>INCH</v>
          </cell>
        </row>
      </sheetData>
      <sheetData sheetId="1035">
        <row r="2">
          <cell r="F2" t="str">
            <v>INCH</v>
          </cell>
        </row>
      </sheetData>
      <sheetData sheetId="1036">
        <row r="2">
          <cell r="F2" t="str">
            <v>INCH</v>
          </cell>
        </row>
      </sheetData>
      <sheetData sheetId="1037">
        <row r="2">
          <cell r="F2" t="str">
            <v>INCH</v>
          </cell>
        </row>
      </sheetData>
      <sheetData sheetId="1038">
        <row r="2">
          <cell r="F2" t="str">
            <v>INCH</v>
          </cell>
        </row>
      </sheetData>
      <sheetData sheetId="1039">
        <row r="2">
          <cell r="F2" t="str">
            <v>INCH</v>
          </cell>
        </row>
      </sheetData>
      <sheetData sheetId="1040">
        <row r="2">
          <cell r="F2" t="str">
            <v>INCH</v>
          </cell>
        </row>
      </sheetData>
      <sheetData sheetId="1041">
        <row r="2">
          <cell r="F2" t="str">
            <v>INCH</v>
          </cell>
        </row>
      </sheetData>
      <sheetData sheetId="1042">
        <row r="2">
          <cell r="F2" t="str">
            <v>INCH</v>
          </cell>
        </row>
      </sheetData>
      <sheetData sheetId="1043">
        <row r="2">
          <cell r="F2" t="str">
            <v>INCH</v>
          </cell>
        </row>
      </sheetData>
      <sheetData sheetId="1044">
        <row r="2">
          <cell r="F2" t="str">
            <v>INCH</v>
          </cell>
        </row>
      </sheetData>
      <sheetData sheetId="1045">
        <row r="2">
          <cell r="F2" t="str">
            <v>INCH</v>
          </cell>
        </row>
      </sheetData>
      <sheetData sheetId="1046">
        <row r="2">
          <cell r="F2" t="str">
            <v>INCH</v>
          </cell>
        </row>
      </sheetData>
      <sheetData sheetId="1047">
        <row r="2">
          <cell r="F2" t="str">
            <v>INCH</v>
          </cell>
        </row>
      </sheetData>
      <sheetData sheetId="1048">
        <row r="2">
          <cell r="F2" t="str">
            <v>INCH</v>
          </cell>
        </row>
      </sheetData>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ow r="2">
          <cell r="F2" t="str">
            <v>INCH</v>
          </cell>
        </row>
      </sheetData>
      <sheetData sheetId="1071">
        <row r="2">
          <cell r="F2" t="str">
            <v>INCH</v>
          </cell>
        </row>
      </sheetData>
      <sheetData sheetId="1072">
        <row r="2">
          <cell r="F2" t="str">
            <v>INCH</v>
          </cell>
        </row>
      </sheetData>
      <sheetData sheetId="1073">
        <row r="2">
          <cell r="F2" t="str">
            <v>INCH</v>
          </cell>
        </row>
      </sheetData>
      <sheetData sheetId="1074">
        <row r="2">
          <cell r="F2" t="str">
            <v>INCH</v>
          </cell>
        </row>
      </sheetData>
      <sheetData sheetId="1075">
        <row r="2">
          <cell r="F2" t="str">
            <v>INCH</v>
          </cell>
        </row>
      </sheetData>
      <sheetData sheetId="1076">
        <row r="2">
          <cell r="F2" t="str">
            <v>INCH</v>
          </cell>
        </row>
      </sheetData>
      <sheetData sheetId="1077">
        <row r="2">
          <cell r="F2" t="str">
            <v>INCH</v>
          </cell>
        </row>
      </sheetData>
      <sheetData sheetId="1078">
        <row r="2">
          <cell r="F2" t="str">
            <v>INCH</v>
          </cell>
        </row>
      </sheetData>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ow r="2">
          <cell r="F2" t="str">
            <v>INCH</v>
          </cell>
        </row>
      </sheetData>
      <sheetData sheetId="1117">
        <row r="2">
          <cell r="F2" t="str">
            <v>INCH</v>
          </cell>
        </row>
      </sheetData>
      <sheetData sheetId="1118">
        <row r="2">
          <cell r="F2" t="str">
            <v>INCH</v>
          </cell>
        </row>
      </sheetData>
      <sheetData sheetId="1119">
        <row r="2">
          <cell r="F2" t="str">
            <v>INCH</v>
          </cell>
        </row>
      </sheetData>
      <sheetData sheetId="1120">
        <row r="2">
          <cell r="F2" t="str">
            <v>INCH</v>
          </cell>
        </row>
      </sheetData>
      <sheetData sheetId="1121">
        <row r="2">
          <cell r="F2" t="str">
            <v>INCH</v>
          </cell>
        </row>
      </sheetData>
      <sheetData sheetId="1122">
        <row r="2">
          <cell r="F2" t="str">
            <v>INCH</v>
          </cell>
        </row>
      </sheetData>
      <sheetData sheetId="1123">
        <row r="2">
          <cell r="F2" t="str">
            <v>INCH</v>
          </cell>
        </row>
      </sheetData>
      <sheetData sheetId="1124">
        <row r="2">
          <cell r="F2" t="str">
            <v>INCH</v>
          </cell>
        </row>
      </sheetData>
      <sheetData sheetId="1125">
        <row r="2">
          <cell r="F2" t="str">
            <v>INCH</v>
          </cell>
        </row>
      </sheetData>
      <sheetData sheetId="1126">
        <row r="2">
          <cell r="F2" t="str">
            <v>INCH</v>
          </cell>
        </row>
      </sheetData>
      <sheetData sheetId="1127">
        <row r="2">
          <cell r="F2" t="str">
            <v>INCH</v>
          </cell>
        </row>
      </sheetData>
      <sheetData sheetId="1128">
        <row r="2">
          <cell r="F2" t="str">
            <v>INCH</v>
          </cell>
        </row>
      </sheetData>
      <sheetData sheetId="1129">
        <row r="2">
          <cell r="F2" t="str">
            <v>INCH</v>
          </cell>
        </row>
      </sheetData>
      <sheetData sheetId="1130">
        <row r="2">
          <cell r="F2" t="str">
            <v>INCH</v>
          </cell>
        </row>
      </sheetData>
      <sheetData sheetId="1131">
        <row r="2">
          <cell r="F2" t="str">
            <v>INCH</v>
          </cell>
        </row>
      </sheetData>
      <sheetData sheetId="1132">
        <row r="2">
          <cell r="F2" t="str">
            <v>INCH</v>
          </cell>
        </row>
      </sheetData>
      <sheetData sheetId="1133">
        <row r="2">
          <cell r="F2" t="str">
            <v>INCH</v>
          </cell>
        </row>
      </sheetData>
      <sheetData sheetId="1134">
        <row r="2">
          <cell r="F2" t="str">
            <v>INCH</v>
          </cell>
        </row>
      </sheetData>
      <sheetData sheetId="1135">
        <row r="2">
          <cell r="F2" t="str">
            <v>INCH</v>
          </cell>
        </row>
      </sheetData>
      <sheetData sheetId="1136">
        <row r="2">
          <cell r="F2" t="str">
            <v>INCH</v>
          </cell>
        </row>
      </sheetData>
      <sheetData sheetId="1137">
        <row r="2">
          <cell r="F2" t="str">
            <v>INCH</v>
          </cell>
        </row>
      </sheetData>
      <sheetData sheetId="1138">
        <row r="2">
          <cell r="F2" t="str">
            <v>INCH</v>
          </cell>
        </row>
      </sheetData>
      <sheetData sheetId="1139">
        <row r="2">
          <cell r="F2" t="str">
            <v>INCH</v>
          </cell>
        </row>
      </sheetData>
      <sheetData sheetId="1140">
        <row r="2">
          <cell r="F2" t="str">
            <v>INCH</v>
          </cell>
        </row>
      </sheetData>
      <sheetData sheetId="1141">
        <row r="2">
          <cell r="F2" t="str">
            <v>INCH</v>
          </cell>
        </row>
      </sheetData>
      <sheetData sheetId="1142">
        <row r="2">
          <cell r="F2" t="str">
            <v>INCH</v>
          </cell>
        </row>
      </sheetData>
      <sheetData sheetId="1143">
        <row r="2">
          <cell r="F2" t="str">
            <v>INCH</v>
          </cell>
        </row>
      </sheetData>
      <sheetData sheetId="1144">
        <row r="2">
          <cell r="F2" t="str">
            <v>INCH</v>
          </cell>
        </row>
      </sheetData>
      <sheetData sheetId="1145">
        <row r="2">
          <cell r="F2" t="str">
            <v>INCH</v>
          </cell>
        </row>
      </sheetData>
      <sheetData sheetId="1146">
        <row r="2">
          <cell r="F2" t="str">
            <v>INCH</v>
          </cell>
        </row>
      </sheetData>
      <sheetData sheetId="1147">
        <row r="2">
          <cell r="F2" t="str">
            <v>INCH</v>
          </cell>
        </row>
      </sheetData>
      <sheetData sheetId="1148">
        <row r="2">
          <cell r="F2" t="str">
            <v>INCH</v>
          </cell>
        </row>
      </sheetData>
      <sheetData sheetId="1149">
        <row r="2">
          <cell r="F2" t="str">
            <v>INCH</v>
          </cell>
        </row>
      </sheetData>
      <sheetData sheetId="1150">
        <row r="2">
          <cell r="F2" t="str">
            <v>INCH</v>
          </cell>
        </row>
      </sheetData>
      <sheetData sheetId="1151">
        <row r="2">
          <cell r="F2" t="str">
            <v>INCH</v>
          </cell>
        </row>
      </sheetData>
      <sheetData sheetId="1152">
        <row r="2">
          <cell r="F2" t="str">
            <v>INCH</v>
          </cell>
        </row>
      </sheetData>
      <sheetData sheetId="1153">
        <row r="2">
          <cell r="F2" t="str">
            <v>INCH</v>
          </cell>
        </row>
      </sheetData>
      <sheetData sheetId="1154">
        <row r="2">
          <cell r="F2" t="str">
            <v>INCH</v>
          </cell>
        </row>
      </sheetData>
      <sheetData sheetId="1155">
        <row r="2">
          <cell r="F2" t="str">
            <v>INCH</v>
          </cell>
        </row>
      </sheetData>
      <sheetData sheetId="1156">
        <row r="2">
          <cell r="F2" t="str">
            <v>INCH</v>
          </cell>
        </row>
      </sheetData>
      <sheetData sheetId="1157">
        <row r="2">
          <cell r="F2" t="str">
            <v>INCH</v>
          </cell>
        </row>
      </sheetData>
      <sheetData sheetId="1158">
        <row r="2">
          <cell r="F2" t="str">
            <v>INCH</v>
          </cell>
        </row>
      </sheetData>
      <sheetData sheetId="1159">
        <row r="2">
          <cell r="F2" t="str">
            <v>INCH</v>
          </cell>
        </row>
      </sheetData>
      <sheetData sheetId="1160">
        <row r="2">
          <cell r="F2" t="str">
            <v>INCH</v>
          </cell>
        </row>
      </sheetData>
      <sheetData sheetId="1161">
        <row r="2">
          <cell r="F2" t="str">
            <v>INCH</v>
          </cell>
        </row>
      </sheetData>
      <sheetData sheetId="1162">
        <row r="2">
          <cell r="F2" t="str">
            <v>INCH</v>
          </cell>
        </row>
      </sheetData>
      <sheetData sheetId="1163">
        <row r="2">
          <cell r="F2" t="str">
            <v>INCH</v>
          </cell>
        </row>
      </sheetData>
      <sheetData sheetId="1164">
        <row r="2">
          <cell r="F2" t="str">
            <v>INCH</v>
          </cell>
        </row>
      </sheetData>
      <sheetData sheetId="1165">
        <row r="2">
          <cell r="F2" t="str">
            <v>INCH</v>
          </cell>
        </row>
      </sheetData>
      <sheetData sheetId="1166">
        <row r="2">
          <cell r="F2" t="str">
            <v>INCH</v>
          </cell>
        </row>
      </sheetData>
      <sheetData sheetId="1167">
        <row r="2">
          <cell r="F2" t="str">
            <v>INCH</v>
          </cell>
        </row>
      </sheetData>
      <sheetData sheetId="1168">
        <row r="2">
          <cell r="F2" t="str">
            <v>INCH</v>
          </cell>
        </row>
      </sheetData>
      <sheetData sheetId="1169">
        <row r="2">
          <cell r="F2" t="str">
            <v>INCH</v>
          </cell>
        </row>
      </sheetData>
      <sheetData sheetId="1170">
        <row r="2">
          <cell r="F2" t="str">
            <v>INCH</v>
          </cell>
        </row>
      </sheetData>
      <sheetData sheetId="1171">
        <row r="2">
          <cell r="F2" t="str">
            <v>INCH</v>
          </cell>
        </row>
      </sheetData>
      <sheetData sheetId="1172">
        <row r="2">
          <cell r="F2" t="str">
            <v>INCH</v>
          </cell>
        </row>
      </sheetData>
      <sheetData sheetId="1173">
        <row r="2">
          <cell r="F2" t="str">
            <v>INCH</v>
          </cell>
        </row>
      </sheetData>
      <sheetData sheetId="1174">
        <row r="2">
          <cell r="F2" t="str">
            <v>INCH</v>
          </cell>
        </row>
      </sheetData>
      <sheetData sheetId="1175">
        <row r="2">
          <cell r="F2" t="str">
            <v>INCH</v>
          </cell>
        </row>
      </sheetData>
      <sheetData sheetId="1176">
        <row r="2">
          <cell r="F2" t="str">
            <v>INCH</v>
          </cell>
        </row>
      </sheetData>
      <sheetData sheetId="1177">
        <row r="2">
          <cell r="F2" t="str">
            <v>INCH</v>
          </cell>
        </row>
      </sheetData>
      <sheetData sheetId="1178">
        <row r="2">
          <cell r="F2" t="str">
            <v>INCH</v>
          </cell>
        </row>
      </sheetData>
      <sheetData sheetId="1179">
        <row r="2">
          <cell r="F2" t="str">
            <v>INCH</v>
          </cell>
        </row>
      </sheetData>
      <sheetData sheetId="1180">
        <row r="2">
          <cell r="F2" t="str">
            <v>INCH</v>
          </cell>
        </row>
      </sheetData>
      <sheetData sheetId="1181">
        <row r="2">
          <cell r="F2" t="str">
            <v>INCH</v>
          </cell>
        </row>
      </sheetData>
      <sheetData sheetId="1182">
        <row r="2">
          <cell r="F2" t="str">
            <v>INCH</v>
          </cell>
        </row>
      </sheetData>
      <sheetData sheetId="1183">
        <row r="2">
          <cell r="F2" t="str">
            <v>INCH</v>
          </cell>
        </row>
      </sheetData>
      <sheetData sheetId="1184">
        <row r="2">
          <cell r="F2" t="str">
            <v>INCH</v>
          </cell>
        </row>
      </sheetData>
      <sheetData sheetId="1185">
        <row r="2">
          <cell r="F2" t="str">
            <v>INCH</v>
          </cell>
        </row>
      </sheetData>
      <sheetData sheetId="1186">
        <row r="2">
          <cell r="F2" t="str">
            <v>INCH</v>
          </cell>
        </row>
      </sheetData>
      <sheetData sheetId="1187">
        <row r="2">
          <cell r="F2" t="str">
            <v>INCH</v>
          </cell>
        </row>
      </sheetData>
      <sheetData sheetId="1188">
        <row r="2">
          <cell r="F2" t="str">
            <v>INCH</v>
          </cell>
        </row>
      </sheetData>
      <sheetData sheetId="1189">
        <row r="2">
          <cell r="F2" t="str">
            <v>INCH</v>
          </cell>
        </row>
      </sheetData>
      <sheetData sheetId="1190">
        <row r="2">
          <cell r="F2" t="str">
            <v>INCH</v>
          </cell>
        </row>
      </sheetData>
      <sheetData sheetId="1191">
        <row r="2">
          <cell r="F2" t="str">
            <v>INCH</v>
          </cell>
        </row>
      </sheetData>
      <sheetData sheetId="1192">
        <row r="2">
          <cell r="F2" t="str">
            <v>INCH</v>
          </cell>
        </row>
      </sheetData>
      <sheetData sheetId="1193">
        <row r="2">
          <cell r="F2" t="str">
            <v>INCH</v>
          </cell>
        </row>
      </sheetData>
      <sheetData sheetId="1194">
        <row r="2">
          <cell r="F2" t="str">
            <v>INCH</v>
          </cell>
        </row>
      </sheetData>
      <sheetData sheetId="1195">
        <row r="2">
          <cell r="F2" t="str">
            <v>INCH</v>
          </cell>
        </row>
      </sheetData>
      <sheetData sheetId="1196">
        <row r="2">
          <cell r="F2" t="str">
            <v>INCH</v>
          </cell>
        </row>
      </sheetData>
      <sheetData sheetId="1197">
        <row r="2">
          <cell r="F2" t="str">
            <v>INCH</v>
          </cell>
        </row>
      </sheetData>
      <sheetData sheetId="1198">
        <row r="2">
          <cell r="F2" t="str">
            <v>INCH</v>
          </cell>
        </row>
      </sheetData>
      <sheetData sheetId="1199">
        <row r="2">
          <cell r="F2" t="str">
            <v>INCH</v>
          </cell>
        </row>
      </sheetData>
      <sheetData sheetId="1200">
        <row r="2">
          <cell r="F2" t="str">
            <v>INCH</v>
          </cell>
        </row>
      </sheetData>
      <sheetData sheetId="1201">
        <row r="2">
          <cell r="F2" t="str">
            <v>INCH</v>
          </cell>
        </row>
      </sheetData>
      <sheetData sheetId="1202" refreshError="1"/>
      <sheetData sheetId="1203" refreshError="1"/>
      <sheetData sheetId="1204">
        <row r="2">
          <cell r="F2" t="str">
            <v>INCH</v>
          </cell>
        </row>
      </sheetData>
      <sheetData sheetId="1205">
        <row r="2">
          <cell r="F2" t="str">
            <v>INCH</v>
          </cell>
        </row>
      </sheetData>
      <sheetData sheetId="1206">
        <row r="2">
          <cell r="F2" t="str">
            <v>INCH</v>
          </cell>
        </row>
      </sheetData>
      <sheetData sheetId="1207">
        <row r="2">
          <cell r="F2" t="str">
            <v>INCH</v>
          </cell>
        </row>
      </sheetData>
      <sheetData sheetId="1208">
        <row r="2">
          <cell r="F2" t="str">
            <v>INCH</v>
          </cell>
        </row>
      </sheetData>
      <sheetData sheetId="1209">
        <row r="2">
          <cell r="F2" t="str">
            <v>INCH</v>
          </cell>
        </row>
      </sheetData>
      <sheetData sheetId="1210">
        <row r="2">
          <cell r="F2" t="str">
            <v>INCH</v>
          </cell>
        </row>
      </sheetData>
      <sheetData sheetId="1211">
        <row r="2">
          <cell r="F2" t="str">
            <v>INCH</v>
          </cell>
        </row>
      </sheetData>
      <sheetData sheetId="1212">
        <row r="2">
          <cell r="F2" t="str">
            <v>INCH</v>
          </cell>
        </row>
      </sheetData>
      <sheetData sheetId="1213">
        <row r="2">
          <cell r="F2" t="str">
            <v>INCH</v>
          </cell>
        </row>
      </sheetData>
      <sheetData sheetId="1214">
        <row r="2">
          <cell r="F2" t="str">
            <v>INCH</v>
          </cell>
        </row>
      </sheetData>
      <sheetData sheetId="1215">
        <row r="2">
          <cell r="F2" t="str">
            <v>INCH</v>
          </cell>
        </row>
      </sheetData>
      <sheetData sheetId="1216">
        <row r="2">
          <cell r="F2" t="str">
            <v>INCH</v>
          </cell>
        </row>
      </sheetData>
      <sheetData sheetId="1217">
        <row r="2">
          <cell r="F2" t="str">
            <v>INCH</v>
          </cell>
        </row>
      </sheetData>
      <sheetData sheetId="1218">
        <row r="2">
          <cell r="F2" t="str">
            <v>INCH</v>
          </cell>
        </row>
      </sheetData>
      <sheetData sheetId="1219">
        <row r="2">
          <cell r="F2" t="str">
            <v>INCH</v>
          </cell>
        </row>
      </sheetData>
      <sheetData sheetId="1220">
        <row r="2">
          <cell r="F2" t="str">
            <v>INCH</v>
          </cell>
        </row>
      </sheetData>
      <sheetData sheetId="1221">
        <row r="2">
          <cell r="F2" t="str">
            <v>INCH</v>
          </cell>
        </row>
      </sheetData>
      <sheetData sheetId="1222">
        <row r="2">
          <cell r="F2" t="str">
            <v>INCH</v>
          </cell>
        </row>
      </sheetData>
      <sheetData sheetId="1223">
        <row r="2">
          <cell r="F2" t="str">
            <v>INCH</v>
          </cell>
        </row>
      </sheetData>
      <sheetData sheetId="1224">
        <row r="2">
          <cell r="F2" t="str">
            <v>INCH</v>
          </cell>
        </row>
      </sheetData>
      <sheetData sheetId="1225">
        <row r="2">
          <cell r="F2" t="str">
            <v>INCH</v>
          </cell>
        </row>
      </sheetData>
      <sheetData sheetId="1226">
        <row r="2">
          <cell r="F2" t="str">
            <v>INCH</v>
          </cell>
        </row>
      </sheetData>
      <sheetData sheetId="1227">
        <row r="2">
          <cell r="F2" t="str">
            <v>INCH</v>
          </cell>
        </row>
      </sheetData>
      <sheetData sheetId="1228">
        <row r="2">
          <cell r="F2" t="str">
            <v>INCH</v>
          </cell>
        </row>
      </sheetData>
      <sheetData sheetId="1229">
        <row r="2">
          <cell r="F2" t="str">
            <v>INCH</v>
          </cell>
        </row>
      </sheetData>
      <sheetData sheetId="1230">
        <row r="2">
          <cell r="F2" t="str">
            <v>INCH</v>
          </cell>
        </row>
      </sheetData>
      <sheetData sheetId="1231">
        <row r="2">
          <cell r="F2" t="str">
            <v>INCH</v>
          </cell>
        </row>
      </sheetData>
      <sheetData sheetId="1232">
        <row r="2">
          <cell r="F2" t="str">
            <v>INCH</v>
          </cell>
        </row>
      </sheetData>
      <sheetData sheetId="1233">
        <row r="2">
          <cell r="F2" t="str">
            <v>INCH</v>
          </cell>
        </row>
      </sheetData>
      <sheetData sheetId="1234">
        <row r="2">
          <cell r="F2" t="str">
            <v>INCH</v>
          </cell>
        </row>
      </sheetData>
      <sheetData sheetId="1235">
        <row r="2">
          <cell r="F2" t="str">
            <v>INCH</v>
          </cell>
        </row>
      </sheetData>
      <sheetData sheetId="1236">
        <row r="2">
          <cell r="F2" t="str">
            <v>INCH</v>
          </cell>
        </row>
      </sheetData>
      <sheetData sheetId="1237">
        <row r="2">
          <cell r="F2" t="str">
            <v>INCH</v>
          </cell>
        </row>
      </sheetData>
      <sheetData sheetId="1238">
        <row r="2">
          <cell r="F2" t="str">
            <v>INCH</v>
          </cell>
        </row>
      </sheetData>
      <sheetData sheetId="1239">
        <row r="2">
          <cell r="F2" t="str">
            <v>INCH</v>
          </cell>
        </row>
      </sheetData>
      <sheetData sheetId="1240">
        <row r="2">
          <cell r="F2" t="str">
            <v>INCH</v>
          </cell>
        </row>
      </sheetData>
      <sheetData sheetId="1241">
        <row r="2">
          <cell r="F2" t="str">
            <v>INCH</v>
          </cell>
        </row>
      </sheetData>
      <sheetData sheetId="1242">
        <row r="2">
          <cell r="F2" t="str">
            <v>INCH</v>
          </cell>
        </row>
      </sheetData>
      <sheetData sheetId="1243">
        <row r="2">
          <cell r="F2" t="str">
            <v>INCH</v>
          </cell>
        </row>
      </sheetData>
      <sheetData sheetId="1244">
        <row r="2">
          <cell r="F2" t="str">
            <v>INCH</v>
          </cell>
        </row>
      </sheetData>
      <sheetData sheetId="1245">
        <row r="2">
          <cell r="F2" t="str">
            <v>INCH</v>
          </cell>
        </row>
      </sheetData>
      <sheetData sheetId="1246">
        <row r="2">
          <cell r="F2" t="str">
            <v>INCH</v>
          </cell>
        </row>
      </sheetData>
      <sheetData sheetId="1247">
        <row r="2">
          <cell r="F2" t="str">
            <v>INCH</v>
          </cell>
        </row>
      </sheetData>
      <sheetData sheetId="1248">
        <row r="2">
          <cell r="F2" t="str">
            <v>INCH</v>
          </cell>
        </row>
      </sheetData>
      <sheetData sheetId="1249">
        <row r="2">
          <cell r="F2" t="str">
            <v>INCH</v>
          </cell>
        </row>
      </sheetData>
      <sheetData sheetId="1250">
        <row r="2">
          <cell r="F2" t="str">
            <v>INCH</v>
          </cell>
        </row>
      </sheetData>
      <sheetData sheetId="1251">
        <row r="2">
          <cell r="F2" t="str">
            <v>INCH</v>
          </cell>
        </row>
      </sheetData>
      <sheetData sheetId="1252">
        <row r="2">
          <cell r="F2" t="str">
            <v>INCH</v>
          </cell>
        </row>
      </sheetData>
      <sheetData sheetId="1253">
        <row r="2">
          <cell r="F2" t="str">
            <v>INCH</v>
          </cell>
        </row>
      </sheetData>
      <sheetData sheetId="1254">
        <row r="2">
          <cell r="F2" t="str">
            <v>INCH</v>
          </cell>
        </row>
      </sheetData>
      <sheetData sheetId="1255">
        <row r="2">
          <cell r="F2" t="str">
            <v>INCH</v>
          </cell>
        </row>
      </sheetData>
      <sheetData sheetId="1256">
        <row r="2">
          <cell r="F2" t="str">
            <v>INCH</v>
          </cell>
        </row>
      </sheetData>
      <sheetData sheetId="1257">
        <row r="2">
          <cell r="F2" t="str">
            <v>INCH</v>
          </cell>
        </row>
      </sheetData>
      <sheetData sheetId="1258">
        <row r="2">
          <cell r="F2" t="str">
            <v>INCH</v>
          </cell>
        </row>
      </sheetData>
      <sheetData sheetId="1259">
        <row r="2">
          <cell r="F2" t="str">
            <v>INCH</v>
          </cell>
        </row>
      </sheetData>
      <sheetData sheetId="1260">
        <row r="2">
          <cell r="F2" t="str">
            <v>INCH</v>
          </cell>
        </row>
      </sheetData>
      <sheetData sheetId="1261">
        <row r="2">
          <cell r="F2" t="str">
            <v>INCH</v>
          </cell>
        </row>
      </sheetData>
      <sheetData sheetId="1262">
        <row r="2">
          <cell r="F2" t="str">
            <v>INCH</v>
          </cell>
        </row>
      </sheetData>
      <sheetData sheetId="1263">
        <row r="2">
          <cell r="F2" t="str">
            <v>INCH</v>
          </cell>
        </row>
      </sheetData>
      <sheetData sheetId="1264">
        <row r="2">
          <cell r="F2" t="str">
            <v>INCH</v>
          </cell>
        </row>
      </sheetData>
      <sheetData sheetId="1265">
        <row r="2">
          <cell r="F2" t="str">
            <v>INCH</v>
          </cell>
        </row>
      </sheetData>
      <sheetData sheetId="1266">
        <row r="2">
          <cell r="F2" t="str">
            <v>INCH</v>
          </cell>
        </row>
      </sheetData>
      <sheetData sheetId="1267">
        <row r="2">
          <cell r="F2" t="str">
            <v>INCH</v>
          </cell>
        </row>
      </sheetData>
      <sheetData sheetId="1268">
        <row r="2">
          <cell r="F2" t="str">
            <v>INCH</v>
          </cell>
        </row>
      </sheetData>
      <sheetData sheetId="1269">
        <row r="2">
          <cell r="F2" t="str">
            <v>INCH</v>
          </cell>
        </row>
      </sheetData>
      <sheetData sheetId="1270">
        <row r="2">
          <cell r="F2" t="str">
            <v>INCH</v>
          </cell>
        </row>
      </sheetData>
      <sheetData sheetId="1271">
        <row r="2">
          <cell r="F2" t="str">
            <v>INCH</v>
          </cell>
        </row>
      </sheetData>
      <sheetData sheetId="1272">
        <row r="2">
          <cell r="F2" t="str">
            <v>INCH</v>
          </cell>
        </row>
      </sheetData>
      <sheetData sheetId="1273">
        <row r="2">
          <cell r="F2" t="str">
            <v>INCH</v>
          </cell>
        </row>
      </sheetData>
      <sheetData sheetId="1274">
        <row r="2">
          <cell r="F2" t="str">
            <v>INCH</v>
          </cell>
        </row>
      </sheetData>
      <sheetData sheetId="1275">
        <row r="2">
          <cell r="F2" t="str">
            <v>INCH</v>
          </cell>
        </row>
      </sheetData>
      <sheetData sheetId="1276">
        <row r="2">
          <cell r="F2" t="str">
            <v>INCH</v>
          </cell>
        </row>
      </sheetData>
      <sheetData sheetId="1277">
        <row r="2">
          <cell r="F2" t="str">
            <v>INCH</v>
          </cell>
        </row>
      </sheetData>
      <sheetData sheetId="1278">
        <row r="2">
          <cell r="F2" t="str">
            <v>INCH</v>
          </cell>
        </row>
      </sheetData>
      <sheetData sheetId="1279">
        <row r="2">
          <cell r="F2" t="str">
            <v>INCH</v>
          </cell>
        </row>
      </sheetData>
      <sheetData sheetId="1280">
        <row r="2">
          <cell r="F2" t="str">
            <v>INCH</v>
          </cell>
        </row>
      </sheetData>
      <sheetData sheetId="1281">
        <row r="2">
          <cell r="F2" t="str">
            <v>INCH</v>
          </cell>
        </row>
      </sheetData>
      <sheetData sheetId="1282">
        <row r="2">
          <cell r="F2" t="str">
            <v>INCH</v>
          </cell>
        </row>
      </sheetData>
      <sheetData sheetId="1283">
        <row r="2">
          <cell r="F2" t="str">
            <v>INCH</v>
          </cell>
        </row>
      </sheetData>
      <sheetData sheetId="1284">
        <row r="2">
          <cell r="F2" t="str">
            <v>INCH</v>
          </cell>
        </row>
      </sheetData>
      <sheetData sheetId="1285">
        <row r="2">
          <cell r="F2" t="str">
            <v>INCH</v>
          </cell>
        </row>
      </sheetData>
      <sheetData sheetId="1286">
        <row r="2">
          <cell r="F2" t="str">
            <v>INCH</v>
          </cell>
        </row>
      </sheetData>
      <sheetData sheetId="1287">
        <row r="2">
          <cell r="F2" t="str">
            <v>INCH</v>
          </cell>
        </row>
      </sheetData>
      <sheetData sheetId="1288">
        <row r="2">
          <cell r="F2" t="str">
            <v>INCH</v>
          </cell>
        </row>
      </sheetData>
      <sheetData sheetId="1289">
        <row r="2">
          <cell r="F2" t="str">
            <v>INCH</v>
          </cell>
        </row>
      </sheetData>
      <sheetData sheetId="1290">
        <row r="2">
          <cell r="F2" t="str">
            <v>INCH</v>
          </cell>
        </row>
      </sheetData>
      <sheetData sheetId="1291">
        <row r="2">
          <cell r="F2" t="str">
            <v>INCH</v>
          </cell>
        </row>
      </sheetData>
      <sheetData sheetId="1292">
        <row r="2">
          <cell r="F2" t="str">
            <v>INCH</v>
          </cell>
        </row>
      </sheetData>
      <sheetData sheetId="1293">
        <row r="2">
          <cell r="F2" t="str">
            <v>INCH</v>
          </cell>
        </row>
      </sheetData>
      <sheetData sheetId="1294">
        <row r="2">
          <cell r="F2" t="str">
            <v>INCH</v>
          </cell>
        </row>
      </sheetData>
      <sheetData sheetId="1295">
        <row r="2">
          <cell r="F2" t="str">
            <v>INCH</v>
          </cell>
        </row>
      </sheetData>
      <sheetData sheetId="1296">
        <row r="2">
          <cell r="F2" t="str">
            <v>INCH</v>
          </cell>
        </row>
      </sheetData>
      <sheetData sheetId="1297">
        <row r="2">
          <cell r="F2" t="str">
            <v>INCH</v>
          </cell>
        </row>
      </sheetData>
      <sheetData sheetId="1298">
        <row r="2">
          <cell r="F2" t="str">
            <v>INCH</v>
          </cell>
        </row>
      </sheetData>
      <sheetData sheetId="1299">
        <row r="2">
          <cell r="F2" t="str">
            <v>INCH</v>
          </cell>
        </row>
      </sheetData>
      <sheetData sheetId="1300">
        <row r="2">
          <cell r="F2" t="str">
            <v>INCH</v>
          </cell>
        </row>
      </sheetData>
      <sheetData sheetId="1301">
        <row r="2">
          <cell r="F2" t="str">
            <v>INCH</v>
          </cell>
        </row>
      </sheetData>
      <sheetData sheetId="1302">
        <row r="2">
          <cell r="F2" t="str">
            <v>INCH</v>
          </cell>
        </row>
      </sheetData>
      <sheetData sheetId="1303">
        <row r="2">
          <cell r="F2" t="str">
            <v>INCH</v>
          </cell>
        </row>
      </sheetData>
      <sheetData sheetId="1304">
        <row r="2">
          <cell r="F2" t="str">
            <v>INCH</v>
          </cell>
        </row>
      </sheetData>
      <sheetData sheetId="1305">
        <row r="2">
          <cell r="F2" t="str">
            <v>INCH</v>
          </cell>
        </row>
      </sheetData>
      <sheetData sheetId="1306">
        <row r="2">
          <cell r="F2" t="str">
            <v>INCH</v>
          </cell>
        </row>
      </sheetData>
      <sheetData sheetId="1307">
        <row r="2">
          <cell r="F2" t="str">
            <v>INCH</v>
          </cell>
        </row>
      </sheetData>
      <sheetData sheetId="1308">
        <row r="2">
          <cell r="F2" t="str">
            <v>INCH</v>
          </cell>
        </row>
      </sheetData>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ow r="2">
          <cell r="F2" t="str">
            <v>INCH</v>
          </cell>
        </row>
      </sheetData>
      <sheetData sheetId="1347">
        <row r="2">
          <cell r="F2" t="str">
            <v>INCH</v>
          </cell>
        </row>
      </sheetData>
      <sheetData sheetId="1348">
        <row r="2">
          <cell r="F2" t="str">
            <v>INCH</v>
          </cell>
        </row>
      </sheetData>
      <sheetData sheetId="1349">
        <row r="2">
          <cell r="F2" t="str">
            <v>INCH</v>
          </cell>
        </row>
      </sheetData>
      <sheetData sheetId="1350">
        <row r="2">
          <cell r="F2" t="str">
            <v>INCH</v>
          </cell>
        </row>
      </sheetData>
      <sheetData sheetId="1351">
        <row r="2">
          <cell r="F2" t="str">
            <v>INCH</v>
          </cell>
        </row>
      </sheetData>
      <sheetData sheetId="1352">
        <row r="2">
          <cell r="F2" t="str">
            <v>INCH</v>
          </cell>
        </row>
      </sheetData>
      <sheetData sheetId="1353">
        <row r="2">
          <cell r="F2" t="str">
            <v>INCH</v>
          </cell>
        </row>
      </sheetData>
      <sheetData sheetId="1354">
        <row r="2">
          <cell r="F2" t="str">
            <v>INCH</v>
          </cell>
        </row>
      </sheetData>
      <sheetData sheetId="1355">
        <row r="2">
          <cell r="F2" t="str">
            <v>INCH</v>
          </cell>
        </row>
      </sheetData>
      <sheetData sheetId="1356">
        <row r="2">
          <cell r="F2" t="str">
            <v>INCH</v>
          </cell>
        </row>
      </sheetData>
      <sheetData sheetId="1357">
        <row r="2">
          <cell r="F2" t="str">
            <v>INCH</v>
          </cell>
        </row>
      </sheetData>
      <sheetData sheetId="1358">
        <row r="2">
          <cell r="F2" t="str">
            <v>INCH</v>
          </cell>
        </row>
      </sheetData>
      <sheetData sheetId="1359">
        <row r="2">
          <cell r="F2" t="str">
            <v>INCH</v>
          </cell>
        </row>
      </sheetData>
      <sheetData sheetId="1360">
        <row r="2">
          <cell r="F2" t="str">
            <v>INCH</v>
          </cell>
        </row>
      </sheetData>
      <sheetData sheetId="1361">
        <row r="2">
          <cell r="F2" t="str">
            <v>INCH</v>
          </cell>
        </row>
      </sheetData>
      <sheetData sheetId="1362">
        <row r="2">
          <cell r="F2" t="str">
            <v>INCH</v>
          </cell>
        </row>
      </sheetData>
      <sheetData sheetId="1363">
        <row r="2">
          <cell r="F2" t="str">
            <v>INCH</v>
          </cell>
        </row>
      </sheetData>
      <sheetData sheetId="1364">
        <row r="2">
          <cell r="F2" t="str">
            <v>INCH</v>
          </cell>
        </row>
      </sheetData>
      <sheetData sheetId="1365">
        <row r="2">
          <cell r="F2" t="str">
            <v>INCH</v>
          </cell>
        </row>
      </sheetData>
      <sheetData sheetId="1366">
        <row r="2">
          <cell r="F2" t="str">
            <v>INCH</v>
          </cell>
        </row>
      </sheetData>
      <sheetData sheetId="1367">
        <row r="2">
          <cell r="F2" t="str">
            <v>INCH</v>
          </cell>
        </row>
      </sheetData>
      <sheetData sheetId="1368">
        <row r="2">
          <cell r="F2" t="str">
            <v>INCH</v>
          </cell>
        </row>
      </sheetData>
      <sheetData sheetId="1369">
        <row r="2">
          <cell r="F2" t="str">
            <v>INCH</v>
          </cell>
        </row>
      </sheetData>
      <sheetData sheetId="1370">
        <row r="2">
          <cell r="F2" t="str">
            <v>INCH</v>
          </cell>
        </row>
      </sheetData>
      <sheetData sheetId="1371">
        <row r="2">
          <cell r="F2" t="str">
            <v>INCH</v>
          </cell>
        </row>
      </sheetData>
      <sheetData sheetId="1372">
        <row r="2">
          <cell r="F2" t="str">
            <v>INCH</v>
          </cell>
        </row>
      </sheetData>
      <sheetData sheetId="1373">
        <row r="2">
          <cell r="F2" t="str">
            <v>INCH</v>
          </cell>
        </row>
      </sheetData>
      <sheetData sheetId="1374">
        <row r="2">
          <cell r="F2" t="str">
            <v>INCH</v>
          </cell>
        </row>
      </sheetData>
      <sheetData sheetId="1375">
        <row r="2">
          <cell r="F2" t="str">
            <v>INCH</v>
          </cell>
        </row>
      </sheetData>
      <sheetData sheetId="1376">
        <row r="2">
          <cell r="F2" t="str">
            <v>INCH</v>
          </cell>
        </row>
      </sheetData>
      <sheetData sheetId="1377">
        <row r="2">
          <cell r="F2" t="str">
            <v>INCH</v>
          </cell>
        </row>
      </sheetData>
      <sheetData sheetId="1378">
        <row r="2">
          <cell r="F2" t="str">
            <v>INCH</v>
          </cell>
        </row>
      </sheetData>
      <sheetData sheetId="1379">
        <row r="2">
          <cell r="F2" t="str">
            <v>INCH</v>
          </cell>
        </row>
      </sheetData>
      <sheetData sheetId="1380">
        <row r="2">
          <cell r="F2" t="str">
            <v>INCH</v>
          </cell>
        </row>
      </sheetData>
      <sheetData sheetId="1381">
        <row r="2">
          <cell r="F2" t="str">
            <v>INCH</v>
          </cell>
        </row>
      </sheetData>
      <sheetData sheetId="1382">
        <row r="2">
          <cell r="F2" t="str">
            <v>INCH</v>
          </cell>
        </row>
      </sheetData>
      <sheetData sheetId="1383">
        <row r="2">
          <cell r="F2" t="str">
            <v>INCH</v>
          </cell>
        </row>
      </sheetData>
      <sheetData sheetId="1384">
        <row r="2">
          <cell r="F2" t="str">
            <v>INCH</v>
          </cell>
        </row>
      </sheetData>
      <sheetData sheetId="1385">
        <row r="2">
          <cell r="F2" t="str">
            <v>INCH</v>
          </cell>
        </row>
      </sheetData>
      <sheetData sheetId="1386">
        <row r="2">
          <cell r="F2" t="str">
            <v>INCH</v>
          </cell>
        </row>
      </sheetData>
      <sheetData sheetId="1387">
        <row r="2">
          <cell r="F2" t="str">
            <v>INCH</v>
          </cell>
        </row>
      </sheetData>
      <sheetData sheetId="1388">
        <row r="2">
          <cell r="F2" t="str">
            <v>INCH</v>
          </cell>
        </row>
      </sheetData>
      <sheetData sheetId="1389">
        <row r="2">
          <cell r="F2" t="str">
            <v>INCH</v>
          </cell>
        </row>
      </sheetData>
      <sheetData sheetId="1390">
        <row r="2">
          <cell r="F2" t="str">
            <v>INCH</v>
          </cell>
        </row>
      </sheetData>
      <sheetData sheetId="1391">
        <row r="2">
          <cell r="F2" t="str">
            <v>INCH</v>
          </cell>
        </row>
      </sheetData>
      <sheetData sheetId="1392">
        <row r="2">
          <cell r="F2" t="str">
            <v>INCH</v>
          </cell>
        </row>
      </sheetData>
      <sheetData sheetId="1393">
        <row r="2">
          <cell r="F2" t="str">
            <v>INCH</v>
          </cell>
        </row>
      </sheetData>
      <sheetData sheetId="1394">
        <row r="2">
          <cell r="F2" t="str">
            <v>INCH</v>
          </cell>
        </row>
      </sheetData>
      <sheetData sheetId="1395">
        <row r="2">
          <cell r="F2" t="str">
            <v>INCH</v>
          </cell>
        </row>
      </sheetData>
      <sheetData sheetId="1396">
        <row r="2">
          <cell r="F2" t="str">
            <v>INCH</v>
          </cell>
        </row>
      </sheetData>
      <sheetData sheetId="1397">
        <row r="2">
          <cell r="F2" t="str">
            <v>INCH</v>
          </cell>
        </row>
      </sheetData>
      <sheetData sheetId="1398">
        <row r="2">
          <cell r="F2" t="str">
            <v>INCH</v>
          </cell>
        </row>
      </sheetData>
      <sheetData sheetId="1399">
        <row r="2">
          <cell r="F2" t="str">
            <v>INCH</v>
          </cell>
        </row>
      </sheetData>
      <sheetData sheetId="1400">
        <row r="2">
          <cell r="F2" t="str">
            <v>INCH</v>
          </cell>
        </row>
      </sheetData>
      <sheetData sheetId="1401">
        <row r="2">
          <cell r="F2" t="str">
            <v>INCH</v>
          </cell>
        </row>
      </sheetData>
      <sheetData sheetId="1402">
        <row r="2">
          <cell r="F2" t="str">
            <v>INCH</v>
          </cell>
        </row>
      </sheetData>
      <sheetData sheetId="1403">
        <row r="2">
          <cell r="F2" t="str">
            <v>INCH</v>
          </cell>
        </row>
      </sheetData>
      <sheetData sheetId="1404">
        <row r="2">
          <cell r="F2" t="str">
            <v>INCH</v>
          </cell>
        </row>
      </sheetData>
      <sheetData sheetId="1405">
        <row r="2">
          <cell r="F2" t="str">
            <v>INCH</v>
          </cell>
        </row>
      </sheetData>
      <sheetData sheetId="1406">
        <row r="2">
          <cell r="F2" t="str">
            <v>INCH</v>
          </cell>
        </row>
      </sheetData>
      <sheetData sheetId="1407">
        <row r="2">
          <cell r="F2" t="str">
            <v>INCH</v>
          </cell>
        </row>
      </sheetData>
      <sheetData sheetId="1408">
        <row r="2">
          <cell r="F2" t="str">
            <v>INCH</v>
          </cell>
        </row>
      </sheetData>
      <sheetData sheetId="1409">
        <row r="2">
          <cell r="F2" t="str">
            <v>INCH</v>
          </cell>
        </row>
      </sheetData>
      <sheetData sheetId="1410">
        <row r="2">
          <cell r="F2" t="str">
            <v>INCH</v>
          </cell>
        </row>
      </sheetData>
      <sheetData sheetId="1411">
        <row r="2">
          <cell r="F2" t="str">
            <v>INCH</v>
          </cell>
        </row>
      </sheetData>
      <sheetData sheetId="1412">
        <row r="2">
          <cell r="F2" t="str">
            <v>INCH</v>
          </cell>
        </row>
      </sheetData>
      <sheetData sheetId="1413">
        <row r="2">
          <cell r="F2" t="str">
            <v>INCH</v>
          </cell>
        </row>
      </sheetData>
      <sheetData sheetId="1414">
        <row r="2">
          <cell r="F2" t="str">
            <v>INCH</v>
          </cell>
        </row>
      </sheetData>
      <sheetData sheetId="1415">
        <row r="2">
          <cell r="F2" t="str">
            <v>INCH</v>
          </cell>
        </row>
      </sheetData>
      <sheetData sheetId="1416">
        <row r="2">
          <cell r="F2" t="str">
            <v>INCH</v>
          </cell>
        </row>
      </sheetData>
      <sheetData sheetId="1417">
        <row r="2">
          <cell r="F2" t="str">
            <v>INCH</v>
          </cell>
        </row>
      </sheetData>
      <sheetData sheetId="1418">
        <row r="2">
          <cell r="F2" t="str">
            <v>INCH</v>
          </cell>
        </row>
      </sheetData>
      <sheetData sheetId="1419">
        <row r="2">
          <cell r="F2" t="str">
            <v>INCH</v>
          </cell>
        </row>
      </sheetData>
      <sheetData sheetId="1420">
        <row r="2">
          <cell r="F2" t="str">
            <v>INCH</v>
          </cell>
        </row>
      </sheetData>
      <sheetData sheetId="1421">
        <row r="2">
          <cell r="F2" t="str">
            <v>INCH</v>
          </cell>
        </row>
      </sheetData>
      <sheetData sheetId="1422">
        <row r="2">
          <cell r="F2" t="str">
            <v>INCH</v>
          </cell>
        </row>
      </sheetData>
      <sheetData sheetId="1423">
        <row r="2">
          <cell r="F2" t="str">
            <v>INCH</v>
          </cell>
        </row>
      </sheetData>
      <sheetData sheetId="1424">
        <row r="2">
          <cell r="F2" t="str">
            <v>INCH</v>
          </cell>
        </row>
      </sheetData>
      <sheetData sheetId="1425">
        <row r="2">
          <cell r="F2" t="str">
            <v>INCH</v>
          </cell>
        </row>
      </sheetData>
      <sheetData sheetId="1426">
        <row r="2">
          <cell r="F2" t="str">
            <v>INCH</v>
          </cell>
        </row>
      </sheetData>
      <sheetData sheetId="1427">
        <row r="2">
          <cell r="F2" t="str">
            <v>INCH</v>
          </cell>
        </row>
      </sheetData>
      <sheetData sheetId="1428">
        <row r="2">
          <cell r="F2" t="str">
            <v>INCH</v>
          </cell>
        </row>
      </sheetData>
      <sheetData sheetId="1429">
        <row r="2">
          <cell r="F2" t="str">
            <v>INCH</v>
          </cell>
        </row>
      </sheetData>
      <sheetData sheetId="1430">
        <row r="2">
          <cell r="F2" t="str">
            <v>INCH</v>
          </cell>
        </row>
      </sheetData>
      <sheetData sheetId="1431">
        <row r="2">
          <cell r="F2" t="str">
            <v>INCH</v>
          </cell>
        </row>
      </sheetData>
      <sheetData sheetId="1432">
        <row r="2">
          <cell r="F2" t="str">
            <v>INCH</v>
          </cell>
        </row>
      </sheetData>
      <sheetData sheetId="1433">
        <row r="2">
          <cell r="F2" t="str">
            <v>INCH</v>
          </cell>
        </row>
      </sheetData>
      <sheetData sheetId="1434">
        <row r="2">
          <cell r="F2" t="str">
            <v>INCH</v>
          </cell>
        </row>
      </sheetData>
      <sheetData sheetId="1435">
        <row r="2">
          <cell r="F2" t="str">
            <v>INCH</v>
          </cell>
        </row>
      </sheetData>
      <sheetData sheetId="1436">
        <row r="2">
          <cell r="F2" t="str">
            <v>INCH</v>
          </cell>
        </row>
      </sheetData>
      <sheetData sheetId="1437">
        <row r="2">
          <cell r="F2" t="str">
            <v>INCH</v>
          </cell>
        </row>
      </sheetData>
      <sheetData sheetId="1438">
        <row r="2">
          <cell r="F2" t="str">
            <v>INCH</v>
          </cell>
        </row>
      </sheetData>
      <sheetData sheetId="1439">
        <row r="2">
          <cell r="F2" t="str">
            <v>INCH</v>
          </cell>
        </row>
      </sheetData>
      <sheetData sheetId="1440">
        <row r="2">
          <cell r="F2" t="str">
            <v>INCH</v>
          </cell>
        </row>
      </sheetData>
      <sheetData sheetId="1441">
        <row r="2">
          <cell r="F2" t="str">
            <v>INCH</v>
          </cell>
        </row>
      </sheetData>
      <sheetData sheetId="1442">
        <row r="2">
          <cell r="F2" t="str">
            <v>INCH</v>
          </cell>
        </row>
      </sheetData>
      <sheetData sheetId="1443">
        <row r="2">
          <cell r="F2" t="str">
            <v>INCH</v>
          </cell>
        </row>
      </sheetData>
      <sheetData sheetId="1444">
        <row r="2">
          <cell r="F2" t="str">
            <v>INCH</v>
          </cell>
        </row>
      </sheetData>
      <sheetData sheetId="1445">
        <row r="2">
          <cell r="F2" t="str">
            <v>INCH</v>
          </cell>
        </row>
      </sheetData>
      <sheetData sheetId="1446">
        <row r="2">
          <cell r="F2" t="str">
            <v>INCH</v>
          </cell>
        </row>
      </sheetData>
      <sheetData sheetId="1447">
        <row r="2">
          <cell r="F2" t="str">
            <v>INCH</v>
          </cell>
        </row>
      </sheetData>
      <sheetData sheetId="1448">
        <row r="2">
          <cell r="F2" t="str">
            <v>INCH</v>
          </cell>
        </row>
      </sheetData>
      <sheetData sheetId="1449">
        <row r="2">
          <cell r="F2" t="str">
            <v>INCH</v>
          </cell>
        </row>
      </sheetData>
      <sheetData sheetId="1450">
        <row r="2">
          <cell r="F2" t="str">
            <v>INCH</v>
          </cell>
        </row>
      </sheetData>
      <sheetData sheetId="1451">
        <row r="2">
          <cell r="F2" t="str">
            <v>INCH</v>
          </cell>
        </row>
      </sheetData>
      <sheetData sheetId="1452">
        <row r="2">
          <cell r="F2" t="str">
            <v>INCH</v>
          </cell>
        </row>
      </sheetData>
      <sheetData sheetId="1453">
        <row r="2">
          <cell r="F2" t="str">
            <v>INCH</v>
          </cell>
        </row>
      </sheetData>
      <sheetData sheetId="1454">
        <row r="2">
          <cell r="F2" t="str">
            <v>INCH</v>
          </cell>
        </row>
      </sheetData>
      <sheetData sheetId="1455">
        <row r="2">
          <cell r="F2" t="str">
            <v>INCH</v>
          </cell>
        </row>
      </sheetData>
      <sheetData sheetId="1456">
        <row r="2">
          <cell r="F2" t="str">
            <v>INCH</v>
          </cell>
        </row>
      </sheetData>
      <sheetData sheetId="1457">
        <row r="2">
          <cell r="F2" t="str">
            <v>INCH</v>
          </cell>
        </row>
      </sheetData>
      <sheetData sheetId="1458">
        <row r="2">
          <cell r="F2" t="str">
            <v>INCH</v>
          </cell>
        </row>
      </sheetData>
      <sheetData sheetId="1459">
        <row r="2">
          <cell r="F2" t="str">
            <v>INCH</v>
          </cell>
        </row>
      </sheetData>
      <sheetData sheetId="1460">
        <row r="2">
          <cell r="F2" t="str">
            <v>INCH</v>
          </cell>
        </row>
      </sheetData>
      <sheetData sheetId="1461">
        <row r="2">
          <cell r="F2" t="str">
            <v>INCH</v>
          </cell>
        </row>
      </sheetData>
      <sheetData sheetId="1462">
        <row r="2">
          <cell r="F2" t="str">
            <v>INCH</v>
          </cell>
        </row>
      </sheetData>
      <sheetData sheetId="1463">
        <row r="2">
          <cell r="F2" t="str">
            <v>INCH</v>
          </cell>
        </row>
      </sheetData>
      <sheetData sheetId="1464">
        <row r="2">
          <cell r="F2" t="str">
            <v>INCH</v>
          </cell>
        </row>
      </sheetData>
      <sheetData sheetId="1465">
        <row r="2">
          <cell r="F2" t="str">
            <v>INCH</v>
          </cell>
        </row>
      </sheetData>
      <sheetData sheetId="1466">
        <row r="2">
          <cell r="F2" t="str">
            <v>INCH</v>
          </cell>
        </row>
      </sheetData>
      <sheetData sheetId="1467">
        <row r="2">
          <cell r="F2" t="str">
            <v>INCH</v>
          </cell>
        </row>
      </sheetData>
      <sheetData sheetId="1468">
        <row r="2">
          <cell r="F2" t="str">
            <v>INCH</v>
          </cell>
        </row>
      </sheetData>
      <sheetData sheetId="1469">
        <row r="2">
          <cell r="F2" t="str">
            <v>INCH</v>
          </cell>
        </row>
      </sheetData>
      <sheetData sheetId="1470">
        <row r="2">
          <cell r="F2" t="str">
            <v>INCH</v>
          </cell>
        </row>
      </sheetData>
      <sheetData sheetId="1471">
        <row r="2">
          <cell r="F2" t="str">
            <v>INCH</v>
          </cell>
        </row>
      </sheetData>
      <sheetData sheetId="1472">
        <row r="2">
          <cell r="F2" t="str">
            <v>INCH</v>
          </cell>
        </row>
      </sheetData>
      <sheetData sheetId="1473">
        <row r="2">
          <cell r="F2" t="str">
            <v>INCH</v>
          </cell>
        </row>
      </sheetData>
      <sheetData sheetId="1474">
        <row r="2">
          <cell r="F2" t="str">
            <v>INCH</v>
          </cell>
        </row>
      </sheetData>
      <sheetData sheetId="1475">
        <row r="2">
          <cell r="F2" t="str">
            <v>INCH</v>
          </cell>
        </row>
      </sheetData>
      <sheetData sheetId="1476">
        <row r="2">
          <cell r="F2" t="str">
            <v>INCH</v>
          </cell>
        </row>
      </sheetData>
      <sheetData sheetId="1477">
        <row r="2">
          <cell r="F2" t="str">
            <v>INCH</v>
          </cell>
        </row>
      </sheetData>
      <sheetData sheetId="1478">
        <row r="2">
          <cell r="F2" t="str">
            <v>INCH</v>
          </cell>
        </row>
      </sheetData>
      <sheetData sheetId="1479">
        <row r="2">
          <cell r="F2" t="str">
            <v>INCH</v>
          </cell>
        </row>
      </sheetData>
      <sheetData sheetId="1480">
        <row r="2">
          <cell r="F2" t="str">
            <v>INCH</v>
          </cell>
        </row>
      </sheetData>
      <sheetData sheetId="1481">
        <row r="2">
          <cell r="F2" t="str">
            <v>INCH</v>
          </cell>
        </row>
      </sheetData>
      <sheetData sheetId="1482">
        <row r="2">
          <cell r="F2" t="str">
            <v>INCH</v>
          </cell>
        </row>
      </sheetData>
      <sheetData sheetId="1483">
        <row r="2">
          <cell r="F2" t="str">
            <v>INCH</v>
          </cell>
        </row>
      </sheetData>
      <sheetData sheetId="1484">
        <row r="2">
          <cell r="F2" t="str">
            <v>INCH</v>
          </cell>
        </row>
      </sheetData>
      <sheetData sheetId="1485">
        <row r="2">
          <cell r="F2" t="str">
            <v>INCH</v>
          </cell>
        </row>
      </sheetData>
      <sheetData sheetId="1486">
        <row r="2">
          <cell r="F2" t="str">
            <v>INCH</v>
          </cell>
        </row>
      </sheetData>
      <sheetData sheetId="1487">
        <row r="2">
          <cell r="F2" t="str">
            <v>INCH</v>
          </cell>
        </row>
      </sheetData>
      <sheetData sheetId="1488">
        <row r="2">
          <cell r="F2" t="str">
            <v>INCH</v>
          </cell>
        </row>
      </sheetData>
      <sheetData sheetId="1489">
        <row r="2">
          <cell r="F2" t="str">
            <v>INCH</v>
          </cell>
        </row>
      </sheetData>
      <sheetData sheetId="1490">
        <row r="2">
          <cell r="F2" t="str">
            <v>INCH</v>
          </cell>
        </row>
      </sheetData>
      <sheetData sheetId="1491">
        <row r="2">
          <cell r="F2" t="str">
            <v>INCH</v>
          </cell>
        </row>
      </sheetData>
      <sheetData sheetId="1492">
        <row r="2">
          <cell r="F2" t="str">
            <v>INCH</v>
          </cell>
        </row>
      </sheetData>
      <sheetData sheetId="1493">
        <row r="2">
          <cell r="F2" t="str">
            <v>INCH</v>
          </cell>
        </row>
      </sheetData>
      <sheetData sheetId="1494">
        <row r="2">
          <cell r="F2" t="str">
            <v>INCH</v>
          </cell>
        </row>
      </sheetData>
      <sheetData sheetId="1495">
        <row r="2">
          <cell r="F2" t="str">
            <v>INCH</v>
          </cell>
        </row>
      </sheetData>
      <sheetData sheetId="1496">
        <row r="2">
          <cell r="F2" t="str">
            <v>INCH</v>
          </cell>
        </row>
      </sheetData>
      <sheetData sheetId="1497">
        <row r="2">
          <cell r="F2" t="str">
            <v>INCH</v>
          </cell>
        </row>
      </sheetData>
      <sheetData sheetId="1498">
        <row r="2">
          <cell r="F2" t="str">
            <v>INCH</v>
          </cell>
        </row>
      </sheetData>
      <sheetData sheetId="1499">
        <row r="2">
          <cell r="F2" t="str">
            <v>INCH</v>
          </cell>
        </row>
      </sheetData>
      <sheetData sheetId="1500">
        <row r="2">
          <cell r="F2" t="str">
            <v>INCH</v>
          </cell>
        </row>
      </sheetData>
      <sheetData sheetId="1501">
        <row r="2">
          <cell r="F2" t="str">
            <v>INCH</v>
          </cell>
        </row>
      </sheetData>
      <sheetData sheetId="1502">
        <row r="2">
          <cell r="F2" t="str">
            <v>INCH</v>
          </cell>
        </row>
      </sheetData>
      <sheetData sheetId="1503">
        <row r="2">
          <cell r="F2" t="str">
            <v>INCH</v>
          </cell>
        </row>
      </sheetData>
      <sheetData sheetId="1504">
        <row r="2">
          <cell r="F2" t="str">
            <v>INCH</v>
          </cell>
        </row>
      </sheetData>
      <sheetData sheetId="1505">
        <row r="2">
          <cell r="F2" t="str">
            <v>INCH</v>
          </cell>
        </row>
      </sheetData>
      <sheetData sheetId="1506">
        <row r="2">
          <cell r="F2" t="str">
            <v>INCH</v>
          </cell>
        </row>
      </sheetData>
      <sheetData sheetId="1507">
        <row r="2">
          <cell r="F2" t="str">
            <v>INCH</v>
          </cell>
        </row>
      </sheetData>
      <sheetData sheetId="1508">
        <row r="2">
          <cell r="F2" t="str">
            <v>INCH</v>
          </cell>
        </row>
      </sheetData>
      <sheetData sheetId="1509">
        <row r="2">
          <cell r="F2" t="str">
            <v>INCH</v>
          </cell>
        </row>
      </sheetData>
      <sheetData sheetId="1510">
        <row r="2">
          <cell r="F2" t="str">
            <v>INCH</v>
          </cell>
        </row>
      </sheetData>
      <sheetData sheetId="1511">
        <row r="2">
          <cell r="F2" t="str">
            <v>INCH</v>
          </cell>
        </row>
      </sheetData>
      <sheetData sheetId="1512">
        <row r="2">
          <cell r="F2" t="str">
            <v>INCH</v>
          </cell>
        </row>
      </sheetData>
      <sheetData sheetId="1513">
        <row r="2">
          <cell r="F2" t="str">
            <v>INCH</v>
          </cell>
        </row>
      </sheetData>
      <sheetData sheetId="1514">
        <row r="2">
          <cell r="F2" t="str">
            <v>INCH</v>
          </cell>
        </row>
      </sheetData>
      <sheetData sheetId="1515">
        <row r="2">
          <cell r="F2" t="str">
            <v>INCH</v>
          </cell>
        </row>
      </sheetData>
      <sheetData sheetId="1516">
        <row r="2">
          <cell r="F2" t="str">
            <v>INCH</v>
          </cell>
        </row>
      </sheetData>
      <sheetData sheetId="1517">
        <row r="2">
          <cell r="F2" t="str">
            <v>INCH</v>
          </cell>
        </row>
      </sheetData>
      <sheetData sheetId="1518">
        <row r="2">
          <cell r="F2" t="str">
            <v>INCH</v>
          </cell>
        </row>
      </sheetData>
      <sheetData sheetId="1519">
        <row r="2">
          <cell r="F2" t="str">
            <v>INCH</v>
          </cell>
        </row>
      </sheetData>
      <sheetData sheetId="1520">
        <row r="2">
          <cell r="F2" t="str">
            <v>INCH</v>
          </cell>
        </row>
      </sheetData>
      <sheetData sheetId="1521">
        <row r="2">
          <cell r="F2" t="str">
            <v>INCH</v>
          </cell>
        </row>
      </sheetData>
      <sheetData sheetId="1522">
        <row r="2">
          <cell r="F2" t="str">
            <v>INCH</v>
          </cell>
        </row>
      </sheetData>
      <sheetData sheetId="1523">
        <row r="2">
          <cell r="F2" t="str">
            <v>INCH</v>
          </cell>
        </row>
      </sheetData>
      <sheetData sheetId="1524">
        <row r="2">
          <cell r="F2" t="str">
            <v>INCH</v>
          </cell>
        </row>
      </sheetData>
      <sheetData sheetId="1525">
        <row r="2">
          <cell r="F2" t="str">
            <v>INCH</v>
          </cell>
        </row>
      </sheetData>
      <sheetData sheetId="1526">
        <row r="2">
          <cell r="F2" t="str">
            <v>INCH</v>
          </cell>
        </row>
      </sheetData>
      <sheetData sheetId="1527">
        <row r="2">
          <cell r="F2" t="str">
            <v>INCH</v>
          </cell>
        </row>
      </sheetData>
      <sheetData sheetId="1528">
        <row r="2">
          <cell r="F2" t="str">
            <v>INCH</v>
          </cell>
        </row>
      </sheetData>
      <sheetData sheetId="1529">
        <row r="2">
          <cell r="F2" t="str">
            <v>INCH</v>
          </cell>
        </row>
      </sheetData>
      <sheetData sheetId="1530">
        <row r="2">
          <cell r="F2" t="str">
            <v>INCH</v>
          </cell>
        </row>
      </sheetData>
      <sheetData sheetId="1531">
        <row r="2">
          <cell r="F2" t="str">
            <v>INCH</v>
          </cell>
        </row>
      </sheetData>
      <sheetData sheetId="1532">
        <row r="2">
          <cell r="F2" t="str">
            <v>INCH</v>
          </cell>
        </row>
      </sheetData>
      <sheetData sheetId="1533">
        <row r="2">
          <cell r="F2" t="str">
            <v>INCH</v>
          </cell>
        </row>
      </sheetData>
      <sheetData sheetId="1534">
        <row r="2">
          <cell r="F2" t="str">
            <v>INCH</v>
          </cell>
        </row>
      </sheetData>
      <sheetData sheetId="1535">
        <row r="2">
          <cell r="F2" t="str">
            <v>INCH</v>
          </cell>
        </row>
      </sheetData>
      <sheetData sheetId="1536">
        <row r="2">
          <cell r="F2" t="str">
            <v>INCH</v>
          </cell>
        </row>
      </sheetData>
      <sheetData sheetId="1537">
        <row r="2">
          <cell r="F2" t="str">
            <v>INCH</v>
          </cell>
        </row>
      </sheetData>
      <sheetData sheetId="1538">
        <row r="2">
          <cell r="F2" t="str">
            <v>INCH</v>
          </cell>
        </row>
      </sheetData>
      <sheetData sheetId="1539">
        <row r="2">
          <cell r="F2" t="str">
            <v>INCH</v>
          </cell>
        </row>
      </sheetData>
      <sheetData sheetId="1540">
        <row r="2">
          <cell r="F2" t="str">
            <v>INCH</v>
          </cell>
        </row>
      </sheetData>
      <sheetData sheetId="1541">
        <row r="2">
          <cell r="F2" t="str">
            <v>INCH</v>
          </cell>
        </row>
      </sheetData>
      <sheetData sheetId="1542">
        <row r="2">
          <cell r="F2" t="str">
            <v>INCH</v>
          </cell>
        </row>
      </sheetData>
      <sheetData sheetId="1543">
        <row r="2">
          <cell r="F2" t="str">
            <v>INCH</v>
          </cell>
        </row>
      </sheetData>
      <sheetData sheetId="1544">
        <row r="2">
          <cell r="F2" t="str">
            <v>INCH</v>
          </cell>
        </row>
      </sheetData>
      <sheetData sheetId="1545">
        <row r="2">
          <cell r="F2" t="str">
            <v>INCH</v>
          </cell>
        </row>
      </sheetData>
      <sheetData sheetId="1546">
        <row r="2">
          <cell r="F2" t="str">
            <v>INCH</v>
          </cell>
        </row>
      </sheetData>
      <sheetData sheetId="1547">
        <row r="2">
          <cell r="F2" t="str">
            <v>INCH</v>
          </cell>
        </row>
      </sheetData>
      <sheetData sheetId="1548">
        <row r="2">
          <cell r="F2" t="str">
            <v>INCH</v>
          </cell>
        </row>
      </sheetData>
      <sheetData sheetId="1549">
        <row r="2">
          <cell r="F2" t="str">
            <v>INCH</v>
          </cell>
        </row>
      </sheetData>
      <sheetData sheetId="1550">
        <row r="2">
          <cell r="F2" t="str">
            <v>INCH</v>
          </cell>
        </row>
      </sheetData>
      <sheetData sheetId="1551">
        <row r="2">
          <cell r="F2" t="str">
            <v>INCH</v>
          </cell>
        </row>
      </sheetData>
      <sheetData sheetId="1552">
        <row r="2">
          <cell r="F2" t="str">
            <v>INCH</v>
          </cell>
        </row>
      </sheetData>
      <sheetData sheetId="1553">
        <row r="2">
          <cell r="F2" t="str">
            <v>INCH</v>
          </cell>
        </row>
      </sheetData>
      <sheetData sheetId="1554">
        <row r="2">
          <cell r="F2" t="str">
            <v>INCH</v>
          </cell>
        </row>
      </sheetData>
      <sheetData sheetId="1555">
        <row r="2">
          <cell r="F2" t="str">
            <v>INCH</v>
          </cell>
        </row>
      </sheetData>
      <sheetData sheetId="1556">
        <row r="2">
          <cell r="F2" t="str">
            <v>INCH</v>
          </cell>
        </row>
      </sheetData>
      <sheetData sheetId="1557">
        <row r="2">
          <cell r="F2" t="str">
            <v>INCH</v>
          </cell>
        </row>
      </sheetData>
      <sheetData sheetId="1558">
        <row r="2">
          <cell r="F2" t="str">
            <v>INCH</v>
          </cell>
        </row>
      </sheetData>
      <sheetData sheetId="1559">
        <row r="2">
          <cell r="F2" t="str">
            <v>INCH</v>
          </cell>
        </row>
      </sheetData>
      <sheetData sheetId="1560">
        <row r="2">
          <cell r="F2" t="str">
            <v>INCH</v>
          </cell>
        </row>
      </sheetData>
      <sheetData sheetId="1561">
        <row r="2">
          <cell r="F2" t="str">
            <v>INCH</v>
          </cell>
        </row>
      </sheetData>
      <sheetData sheetId="1562">
        <row r="2">
          <cell r="F2" t="str">
            <v>INCH</v>
          </cell>
        </row>
      </sheetData>
      <sheetData sheetId="1563">
        <row r="2">
          <cell r="F2" t="str">
            <v>INCH</v>
          </cell>
        </row>
      </sheetData>
      <sheetData sheetId="1564">
        <row r="2">
          <cell r="F2" t="str">
            <v>INCH</v>
          </cell>
        </row>
      </sheetData>
      <sheetData sheetId="1565">
        <row r="2">
          <cell r="F2" t="str">
            <v>INCH</v>
          </cell>
        </row>
      </sheetData>
      <sheetData sheetId="1566">
        <row r="2">
          <cell r="F2" t="str">
            <v>INCH</v>
          </cell>
        </row>
      </sheetData>
      <sheetData sheetId="1567">
        <row r="2">
          <cell r="F2" t="str">
            <v>INCH</v>
          </cell>
        </row>
      </sheetData>
      <sheetData sheetId="1568">
        <row r="2">
          <cell r="F2" t="str">
            <v>INCH</v>
          </cell>
        </row>
      </sheetData>
      <sheetData sheetId="1569">
        <row r="2">
          <cell r="F2" t="str">
            <v>INCH</v>
          </cell>
        </row>
      </sheetData>
      <sheetData sheetId="1570">
        <row r="2">
          <cell r="F2" t="str">
            <v>INCH</v>
          </cell>
        </row>
      </sheetData>
      <sheetData sheetId="1571">
        <row r="2">
          <cell r="F2" t="str">
            <v>INCH</v>
          </cell>
        </row>
      </sheetData>
      <sheetData sheetId="1572">
        <row r="2">
          <cell r="F2" t="str">
            <v>INCH</v>
          </cell>
        </row>
      </sheetData>
      <sheetData sheetId="1573">
        <row r="2">
          <cell r="F2" t="str">
            <v>INCH</v>
          </cell>
        </row>
      </sheetData>
      <sheetData sheetId="1574">
        <row r="2">
          <cell r="F2" t="str">
            <v>INCH</v>
          </cell>
        </row>
      </sheetData>
      <sheetData sheetId="1575">
        <row r="2">
          <cell r="F2" t="str">
            <v>INCH</v>
          </cell>
        </row>
      </sheetData>
      <sheetData sheetId="1576">
        <row r="2">
          <cell r="F2" t="str">
            <v>INCH</v>
          </cell>
        </row>
      </sheetData>
      <sheetData sheetId="1577">
        <row r="2">
          <cell r="F2" t="str">
            <v>INCH</v>
          </cell>
        </row>
      </sheetData>
      <sheetData sheetId="1578">
        <row r="2">
          <cell r="F2" t="str">
            <v>INCH</v>
          </cell>
        </row>
      </sheetData>
      <sheetData sheetId="1579">
        <row r="2">
          <cell r="F2" t="str">
            <v>INCH</v>
          </cell>
        </row>
      </sheetData>
      <sheetData sheetId="1580">
        <row r="2">
          <cell r="F2" t="str">
            <v>INCH</v>
          </cell>
        </row>
      </sheetData>
      <sheetData sheetId="1581">
        <row r="2">
          <cell r="F2" t="str">
            <v>INCH</v>
          </cell>
        </row>
      </sheetData>
      <sheetData sheetId="1582">
        <row r="2">
          <cell r="F2" t="str">
            <v>INCH</v>
          </cell>
        </row>
      </sheetData>
      <sheetData sheetId="1583">
        <row r="2">
          <cell r="F2" t="str">
            <v>INCH</v>
          </cell>
        </row>
      </sheetData>
      <sheetData sheetId="1584">
        <row r="2">
          <cell r="F2" t="str">
            <v>INCH</v>
          </cell>
        </row>
      </sheetData>
      <sheetData sheetId="1585">
        <row r="2">
          <cell r="F2" t="str">
            <v>INCH</v>
          </cell>
        </row>
      </sheetData>
      <sheetData sheetId="1586">
        <row r="2">
          <cell r="F2" t="str">
            <v>INCH</v>
          </cell>
        </row>
      </sheetData>
      <sheetData sheetId="1587">
        <row r="2">
          <cell r="F2" t="str">
            <v>INCH</v>
          </cell>
        </row>
      </sheetData>
      <sheetData sheetId="1588">
        <row r="2">
          <cell r="F2" t="str">
            <v>INCH</v>
          </cell>
        </row>
      </sheetData>
      <sheetData sheetId="1589">
        <row r="2">
          <cell r="F2" t="str">
            <v>INCH</v>
          </cell>
        </row>
      </sheetData>
      <sheetData sheetId="1590">
        <row r="2">
          <cell r="F2" t="str">
            <v>INCH</v>
          </cell>
        </row>
      </sheetData>
      <sheetData sheetId="1591">
        <row r="2">
          <cell r="F2" t="str">
            <v>INCH</v>
          </cell>
        </row>
      </sheetData>
      <sheetData sheetId="1592">
        <row r="2">
          <cell r="F2" t="str">
            <v>INCH</v>
          </cell>
        </row>
      </sheetData>
      <sheetData sheetId="1593">
        <row r="2">
          <cell r="F2" t="str">
            <v>INCH</v>
          </cell>
        </row>
      </sheetData>
      <sheetData sheetId="1594">
        <row r="2">
          <cell r="F2" t="str">
            <v>INCH</v>
          </cell>
        </row>
      </sheetData>
      <sheetData sheetId="1595">
        <row r="2">
          <cell r="F2" t="str">
            <v>INCH</v>
          </cell>
        </row>
      </sheetData>
      <sheetData sheetId="1596">
        <row r="2">
          <cell r="F2" t="str">
            <v>INCH</v>
          </cell>
        </row>
      </sheetData>
      <sheetData sheetId="1597">
        <row r="2">
          <cell r="F2" t="str">
            <v>INCH</v>
          </cell>
        </row>
      </sheetData>
      <sheetData sheetId="1598">
        <row r="2">
          <cell r="F2" t="str">
            <v>INCH</v>
          </cell>
        </row>
      </sheetData>
      <sheetData sheetId="1599">
        <row r="2">
          <cell r="F2" t="str">
            <v>INCH</v>
          </cell>
        </row>
      </sheetData>
      <sheetData sheetId="1600">
        <row r="2">
          <cell r="F2" t="str">
            <v>INCH</v>
          </cell>
        </row>
      </sheetData>
      <sheetData sheetId="1601">
        <row r="2">
          <cell r="F2" t="str">
            <v>INCH</v>
          </cell>
        </row>
      </sheetData>
      <sheetData sheetId="1602">
        <row r="2">
          <cell r="F2" t="str">
            <v>INCH</v>
          </cell>
        </row>
      </sheetData>
      <sheetData sheetId="1603">
        <row r="2">
          <cell r="F2" t="str">
            <v>INCH</v>
          </cell>
        </row>
      </sheetData>
      <sheetData sheetId="1604">
        <row r="2">
          <cell r="F2" t="str">
            <v>INCH</v>
          </cell>
        </row>
      </sheetData>
      <sheetData sheetId="1605">
        <row r="2">
          <cell r="F2" t="str">
            <v>INCH</v>
          </cell>
        </row>
      </sheetData>
      <sheetData sheetId="1606">
        <row r="2">
          <cell r="F2" t="str">
            <v>INCH</v>
          </cell>
        </row>
      </sheetData>
      <sheetData sheetId="1607">
        <row r="2">
          <cell r="F2" t="str">
            <v>INCH</v>
          </cell>
        </row>
      </sheetData>
      <sheetData sheetId="1608">
        <row r="2">
          <cell r="F2" t="str">
            <v>INCH</v>
          </cell>
        </row>
      </sheetData>
      <sheetData sheetId="1609">
        <row r="2">
          <cell r="F2" t="str">
            <v>INCH</v>
          </cell>
        </row>
      </sheetData>
      <sheetData sheetId="1610">
        <row r="2">
          <cell r="F2" t="str">
            <v>INCH</v>
          </cell>
        </row>
      </sheetData>
      <sheetData sheetId="1611">
        <row r="2">
          <cell r="F2" t="str">
            <v>INCH</v>
          </cell>
        </row>
      </sheetData>
      <sheetData sheetId="1612">
        <row r="2">
          <cell r="F2" t="str">
            <v>INCH</v>
          </cell>
        </row>
      </sheetData>
      <sheetData sheetId="1613">
        <row r="2">
          <cell r="F2" t="str">
            <v>INCH</v>
          </cell>
        </row>
      </sheetData>
      <sheetData sheetId="1614">
        <row r="2">
          <cell r="F2" t="str">
            <v>INCH</v>
          </cell>
        </row>
      </sheetData>
      <sheetData sheetId="1615">
        <row r="2">
          <cell r="F2" t="str">
            <v>INCH</v>
          </cell>
        </row>
      </sheetData>
      <sheetData sheetId="1616">
        <row r="2">
          <cell r="F2" t="str">
            <v>INCH</v>
          </cell>
        </row>
      </sheetData>
      <sheetData sheetId="1617">
        <row r="2">
          <cell r="F2" t="str">
            <v>INCH</v>
          </cell>
        </row>
      </sheetData>
      <sheetData sheetId="1618">
        <row r="2">
          <cell r="F2" t="str">
            <v>INCH</v>
          </cell>
        </row>
      </sheetData>
      <sheetData sheetId="1619">
        <row r="2">
          <cell r="F2" t="str">
            <v>INCH</v>
          </cell>
        </row>
      </sheetData>
      <sheetData sheetId="1620">
        <row r="2">
          <cell r="F2" t="str">
            <v>INCH</v>
          </cell>
        </row>
      </sheetData>
      <sheetData sheetId="1621">
        <row r="2">
          <cell r="F2" t="str">
            <v>INCH</v>
          </cell>
        </row>
      </sheetData>
      <sheetData sheetId="1622">
        <row r="2">
          <cell r="F2" t="str">
            <v>INCH</v>
          </cell>
        </row>
      </sheetData>
      <sheetData sheetId="1623">
        <row r="2">
          <cell r="F2" t="str">
            <v>INCH</v>
          </cell>
        </row>
      </sheetData>
      <sheetData sheetId="1624">
        <row r="2">
          <cell r="F2" t="str">
            <v>INCH</v>
          </cell>
        </row>
      </sheetData>
      <sheetData sheetId="1625">
        <row r="2">
          <cell r="F2" t="str">
            <v>INCH</v>
          </cell>
        </row>
      </sheetData>
      <sheetData sheetId="1626">
        <row r="2">
          <cell r="F2" t="str">
            <v>INCH</v>
          </cell>
        </row>
      </sheetData>
      <sheetData sheetId="1627">
        <row r="2">
          <cell r="F2" t="str">
            <v>INCH</v>
          </cell>
        </row>
      </sheetData>
      <sheetData sheetId="1628">
        <row r="2">
          <cell r="F2" t="str">
            <v>INCH</v>
          </cell>
        </row>
      </sheetData>
      <sheetData sheetId="1629">
        <row r="2">
          <cell r="F2" t="str">
            <v>INCH</v>
          </cell>
        </row>
      </sheetData>
      <sheetData sheetId="1630">
        <row r="2">
          <cell r="F2" t="str">
            <v>INCH</v>
          </cell>
        </row>
      </sheetData>
      <sheetData sheetId="1631">
        <row r="2">
          <cell r="F2" t="str">
            <v>INCH</v>
          </cell>
        </row>
      </sheetData>
      <sheetData sheetId="1632">
        <row r="2">
          <cell r="F2" t="str">
            <v>INCH</v>
          </cell>
        </row>
      </sheetData>
      <sheetData sheetId="1633">
        <row r="2">
          <cell r="F2" t="str">
            <v>INCH</v>
          </cell>
        </row>
      </sheetData>
      <sheetData sheetId="1634">
        <row r="2">
          <cell r="F2" t="str">
            <v>INCH</v>
          </cell>
        </row>
      </sheetData>
      <sheetData sheetId="1635">
        <row r="2">
          <cell r="F2" t="str">
            <v>INCH</v>
          </cell>
        </row>
      </sheetData>
      <sheetData sheetId="1636">
        <row r="2">
          <cell r="F2" t="str">
            <v>INCH</v>
          </cell>
        </row>
      </sheetData>
      <sheetData sheetId="1637">
        <row r="2">
          <cell r="F2" t="str">
            <v>INCH</v>
          </cell>
        </row>
      </sheetData>
      <sheetData sheetId="1638">
        <row r="2">
          <cell r="F2" t="str">
            <v>INCH</v>
          </cell>
        </row>
      </sheetData>
      <sheetData sheetId="1639">
        <row r="2">
          <cell r="F2" t="str">
            <v>INCH</v>
          </cell>
        </row>
      </sheetData>
      <sheetData sheetId="1640">
        <row r="2">
          <cell r="F2" t="str">
            <v>INCH</v>
          </cell>
        </row>
      </sheetData>
      <sheetData sheetId="1641">
        <row r="2">
          <cell r="F2" t="str">
            <v>INCH</v>
          </cell>
        </row>
      </sheetData>
      <sheetData sheetId="1642">
        <row r="2">
          <cell r="F2" t="str">
            <v>INCH</v>
          </cell>
        </row>
      </sheetData>
      <sheetData sheetId="1643">
        <row r="2">
          <cell r="F2" t="str">
            <v>INCH</v>
          </cell>
        </row>
      </sheetData>
      <sheetData sheetId="1644">
        <row r="2">
          <cell r="F2" t="str">
            <v>INCH</v>
          </cell>
        </row>
      </sheetData>
      <sheetData sheetId="1645">
        <row r="2">
          <cell r="F2" t="str">
            <v>INCH</v>
          </cell>
        </row>
      </sheetData>
      <sheetData sheetId="1646">
        <row r="2">
          <cell r="F2" t="str">
            <v>INCH</v>
          </cell>
        </row>
      </sheetData>
      <sheetData sheetId="1647">
        <row r="2">
          <cell r="F2" t="str">
            <v>INCH</v>
          </cell>
        </row>
      </sheetData>
      <sheetData sheetId="1648">
        <row r="2">
          <cell r="F2" t="str">
            <v>INCH</v>
          </cell>
        </row>
      </sheetData>
      <sheetData sheetId="1649">
        <row r="2">
          <cell r="F2" t="str">
            <v>INCH</v>
          </cell>
        </row>
      </sheetData>
      <sheetData sheetId="1650">
        <row r="2">
          <cell r="F2" t="str">
            <v>INCH</v>
          </cell>
        </row>
      </sheetData>
      <sheetData sheetId="1651">
        <row r="2">
          <cell r="F2" t="str">
            <v>INCH</v>
          </cell>
        </row>
      </sheetData>
      <sheetData sheetId="1652">
        <row r="2">
          <cell r="F2" t="str">
            <v>INCH</v>
          </cell>
        </row>
      </sheetData>
      <sheetData sheetId="1653">
        <row r="2">
          <cell r="F2" t="str">
            <v>INCH</v>
          </cell>
        </row>
      </sheetData>
      <sheetData sheetId="1654">
        <row r="2">
          <cell r="F2" t="str">
            <v>INCH</v>
          </cell>
        </row>
      </sheetData>
      <sheetData sheetId="1655">
        <row r="2">
          <cell r="F2" t="str">
            <v>INCH</v>
          </cell>
        </row>
      </sheetData>
      <sheetData sheetId="1656">
        <row r="2">
          <cell r="F2" t="str">
            <v>INCH</v>
          </cell>
        </row>
      </sheetData>
      <sheetData sheetId="1657">
        <row r="2">
          <cell r="F2" t="str">
            <v>INCH</v>
          </cell>
        </row>
      </sheetData>
      <sheetData sheetId="1658">
        <row r="2">
          <cell r="F2" t="str">
            <v>INCH</v>
          </cell>
        </row>
      </sheetData>
      <sheetData sheetId="1659">
        <row r="2">
          <cell r="F2" t="str">
            <v>INCH</v>
          </cell>
        </row>
      </sheetData>
      <sheetData sheetId="1660">
        <row r="2">
          <cell r="F2" t="str">
            <v>INCH</v>
          </cell>
        </row>
      </sheetData>
      <sheetData sheetId="1661">
        <row r="2">
          <cell r="F2" t="str">
            <v>INCH</v>
          </cell>
        </row>
      </sheetData>
      <sheetData sheetId="1662">
        <row r="2">
          <cell r="F2" t="str">
            <v>INCH</v>
          </cell>
        </row>
      </sheetData>
      <sheetData sheetId="1663">
        <row r="2">
          <cell r="F2" t="str">
            <v>INCH</v>
          </cell>
        </row>
      </sheetData>
      <sheetData sheetId="1664">
        <row r="2">
          <cell r="F2" t="str">
            <v>INCH</v>
          </cell>
        </row>
      </sheetData>
      <sheetData sheetId="1665">
        <row r="2">
          <cell r="F2" t="str">
            <v>INCH</v>
          </cell>
        </row>
      </sheetData>
      <sheetData sheetId="1666">
        <row r="2">
          <cell r="F2" t="str">
            <v>INCH</v>
          </cell>
        </row>
      </sheetData>
      <sheetData sheetId="1667">
        <row r="2">
          <cell r="F2" t="str">
            <v>INCH</v>
          </cell>
        </row>
      </sheetData>
      <sheetData sheetId="1668">
        <row r="2">
          <cell r="F2" t="str">
            <v>INCH</v>
          </cell>
        </row>
      </sheetData>
      <sheetData sheetId="1669">
        <row r="2">
          <cell r="F2" t="str">
            <v>INCH</v>
          </cell>
        </row>
      </sheetData>
      <sheetData sheetId="1670">
        <row r="2">
          <cell r="F2" t="str">
            <v>INCH</v>
          </cell>
        </row>
      </sheetData>
      <sheetData sheetId="1671">
        <row r="2">
          <cell r="F2" t="str">
            <v>INCH</v>
          </cell>
        </row>
      </sheetData>
      <sheetData sheetId="1672">
        <row r="2">
          <cell r="F2" t="str">
            <v>INCH</v>
          </cell>
        </row>
      </sheetData>
      <sheetData sheetId="1673">
        <row r="2">
          <cell r="F2" t="str">
            <v>INCH</v>
          </cell>
        </row>
      </sheetData>
      <sheetData sheetId="1674">
        <row r="2">
          <cell r="F2" t="str">
            <v>INCH</v>
          </cell>
        </row>
      </sheetData>
      <sheetData sheetId="1675">
        <row r="2">
          <cell r="F2" t="str">
            <v>INCH</v>
          </cell>
        </row>
      </sheetData>
      <sheetData sheetId="1676">
        <row r="2">
          <cell r="F2" t="str">
            <v>INCH</v>
          </cell>
        </row>
      </sheetData>
      <sheetData sheetId="1677">
        <row r="2">
          <cell r="F2" t="str">
            <v>INCH</v>
          </cell>
        </row>
      </sheetData>
      <sheetData sheetId="1678">
        <row r="2">
          <cell r="F2" t="str">
            <v>INCH</v>
          </cell>
        </row>
      </sheetData>
      <sheetData sheetId="1679">
        <row r="2">
          <cell r="F2" t="str">
            <v>INCH</v>
          </cell>
        </row>
      </sheetData>
      <sheetData sheetId="1680" refreshError="1"/>
      <sheetData sheetId="1681" refreshError="1"/>
      <sheetData sheetId="1682" refreshError="1"/>
      <sheetData sheetId="1683" refreshError="1"/>
      <sheetData sheetId="1684" refreshError="1"/>
      <sheetData sheetId="1685" refreshError="1"/>
      <sheetData sheetId="1686">
        <row r="2">
          <cell r="F2" t="str">
            <v>INCH</v>
          </cell>
        </row>
      </sheetData>
      <sheetData sheetId="1687">
        <row r="2">
          <cell r="F2" t="str">
            <v>INCH</v>
          </cell>
        </row>
      </sheetData>
      <sheetData sheetId="1688">
        <row r="2">
          <cell r="F2" t="str">
            <v>INCH</v>
          </cell>
        </row>
      </sheetData>
      <sheetData sheetId="1689">
        <row r="2">
          <cell r="F2" t="str">
            <v>INCH</v>
          </cell>
        </row>
      </sheetData>
      <sheetData sheetId="1690">
        <row r="2">
          <cell r="F2" t="str">
            <v>INCH</v>
          </cell>
        </row>
      </sheetData>
      <sheetData sheetId="1691">
        <row r="2">
          <cell r="F2" t="str">
            <v>INCH</v>
          </cell>
        </row>
      </sheetData>
      <sheetData sheetId="1692">
        <row r="2">
          <cell r="F2" t="str">
            <v>INCH</v>
          </cell>
        </row>
      </sheetData>
      <sheetData sheetId="1693">
        <row r="2">
          <cell r="F2" t="str">
            <v>INCH</v>
          </cell>
        </row>
      </sheetData>
      <sheetData sheetId="1694">
        <row r="2">
          <cell r="F2" t="str">
            <v>INCH</v>
          </cell>
        </row>
      </sheetData>
      <sheetData sheetId="1695">
        <row r="2">
          <cell r="F2" t="str">
            <v>INCH</v>
          </cell>
        </row>
      </sheetData>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ow r="2">
          <cell r="F2" t="str">
            <v>INCH</v>
          </cell>
        </row>
      </sheetData>
      <sheetData sheetId="1714" refreshError="1"/>
      <sheetData sheetId="1715" refreshError="1"/>
      <sheetData sheetId="1716" refreshError="1"/>
      <sheetData sheetId="1717" refreshError="1"/>
      <sheetData sheetId="1718" refreshError="1"/>
      <sheetData sheetId="1719">
        <row r="2">
          <cell r="F2" t="str">
            <v>INCH</v>
          </cell>
        </row>
      </sheetData>
      <sheetData sheetId="1720" refreshError="1"/>
      <sheetData sheetId="1721" refreshError="1"/>
      <sheetData sheetId="1722" refreshError="1"/>
      <sheetData sheetId="1723">
        <row r="2">
          <cell r="F2" t="str">
            <v>INCH</v>
          </cell>
        </row>
      </sheetData>
      <sheetData sheetId="1724">
        <row r="2">
          <cell r="F2" t="str">
            <v>INCH</v>
          </cell>
        </row>
      </sheetData>
      <sheetData sheetId="1725">
        <row r="2">
          <cell r="F2" t="str">
            <v>INCH</v>
          </cell>
        </row>
      </sheetData>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ow r="2">
          <cell r="F2" t="str">
            <v>INCH</v>
          </cell>
        </row>
      </sheetData>
      <sheetData sheetId="1738">
        <row r="2">
          <cell r="F2" t="str">
            <v>INCH</v>
          </cell>
        </row>
      </sheetData>
      <sheetData sheetId="1739">
        <row r="2">
          <cell r="F2" t="str">
            <v>INCH</v>
          </cell>
        </row>
      </sheetData>
      <sheetData sheetId="1740">
        <row r="2">
          <cell r="F2" t="str">
            <v>INCH</v>
          </cell>
        </row>
      </sheetData>
      <sheetData sheetId="1741">
        <row r="2">
          <cell r="F2" t="str">
            <v>INCH</v>
          </cell>
        </row>
      </sheetData>
      <sheetData sheetId="1742" refreshError="1"/>
      <sheetData sheetId="1743" refreshError="1"/>
      <sheetData sheetId="1744" refreshError="1"/>
      <sheetData sheetId="1745" refreshError="1"/>
      <sheetData sheetId="1746" refreshError="1"/>
      <sheetData sheetId="1747" refreshError="1"/>
      <sheetData sheetId="1748">
        <row r="2">
          <cell r="F2" t="str">
            <v>INCH</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ow r="2">
          <cell r="F2" t="str">
            <v>INCH</v>
          </cell>
        </row>
      </sheetData>
      <sheetData sheetId="1762">
        <row r="2">
          <cell r="F2" t="str">
            <v>INCH</v>
          </cell>
        </row>
      </sheetData>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ow r="2">
          <cell r="F2" t="str">
            <v>INCH</v>
          </cell>
        </row>
      </sheetData>
      <sheetData sheetId="1791">
        <row r="2">
          <cell r="F2" t="str">
            <v>INCH</v>
          </cell>
        </row>
      </sheetData>
      <sheetData sheetId="1792">
        <row r="2">
          <cell r="F2" t="str">
            <v>INCH</v>
          </cell>
        </row>
      </sheetData>
      <sheetData sheetId="1793">
        <row r="2">
          <cell r="F2" t="str">
            <v>INCH</v>
          </cell>
        </row>
      </sheetData>
      <sheetData sheetId="1794">
        <row r="2">
          <cell r="F2" t="str">
            <v>INCH</v>
          </cell>
        </row>
      </sheetData>
      <sheetData sheetId="1795">
        <row r="2">
          <cell r="F2" t="str">
            <v>INCH</v>
          </cell>
        </row>
      </sheetData>
      <sheetData sheetId="1796">
        <row r="2">
          <cell r="F2" t="str">
            <v>INCH</v>
          </cell>
        </row>
      </sheetData>
      <sheetData sheetId="1797">
        <row r="2">
          <cell r="F2" t="str">
            <v>INCH</v>
          </cell>
        </row>
      </sheetData>
      <sheetData sheetId="1798">
        <row r="2">
          <cell r="F2" t="str">
            <v>INCH</v>
          </cell>
        </row>
      </sheetData>
      <sheetData sheetId="1799">
        <row r="2">
          <cell r="F2" t="str">
            <v>INCH</v>
          </cell>
        </row>
      </sheetData>
      <sheetData sheetId="1800">
        <row r="2">
          <cell r="F2" t="str">
            <v>INCH</v>
          </cell>
        </row>
      </sheetData>
      <sheetData sheetId="1801">
        <row r="2">
          <cell r="F2" t="str">
            <v>INCH</v>
          </cell>
        </row>
      </sheetData>
      <sheetData sheetId="1802">
        <row r="2">
          <cell r="F2" t="str">
            <v>INCH</v>
          </cell>
        </row>
      </sheetData>
      <sheetData sheetId="1803">
        <row r="2">
          <cell r="F2" t="str">
            <v>INCH</v>
          </cell>
        </row>
      </sheetData>
      <sheetData sheetId="1804">
        <row r="2">
          <cell r="F2" t="str">
            <v>INCH</v>
          </cell>
        </row>
      </sheetData>
      <sheetData sheetId="1805">
        <row r="2">
          <cell r="F2" t="str">
            <v>INCH</v>
          </cell>
        </row>
      </sheetData>
      <sheetData sheetId="1806">
        <row r="2">
          <cell r="F2" t="str">
            <v>INCH</v>
          </cell>
        </row>
      </sheetData>
      <sheetData sheetId="1807">
        <row r="2">
          <cell r="F2" t="str">
            <v>INCH</v>
          </cell>
        </row>
      </sheetData>
      <sheetData sheetId="1808">
        <row r="2">
          <cell r="F2" t="str">
            <v>INCH</v>
          </cell>
        </row>
      </sheetData>
      <sheetData sheetId="1809">
        <row r="2">
          <cell r="F2" t="str">
            <v>INCH</v>
          </cell>
        </row>
      </sheetData>
      <sheetData sheetId="1810">
        <row r="2">
          <cell r="F2" t="str">
            <v>INCH</v>
          </cell>
        </row>
      </sheetData>
      <sheetData sheetId="1811">
        <row r="2">
          <cell r="F2" t="str">
            <v>INCH</v>
          </cell>
        </row>
      </sheetData>
      <sheetData sheetId="1812">
        <row r="2">
          <cell r="F2" t="str">
            <v>INCH</v>
          </cell>
        </row>
      </sheetData>
      <sheetData sheetId="1813">
        <row r="2">
          <cell r="F2" t="str">
            <v>INCH</v>
          </cell>
        </row>
      </sheetData>
      <sheetData sheetId="1814">
        <row r="2">
          <cell r="F2" t="str">
            <v>INCH</v>
          </cell>
        </row>
      </sheetData>
      <sheetData sheetId="1815">
        <row r="2">
          <cell r="F2" t="str">
            <v>INCH</v>
          </cell>
        </row>
      </sheetData>
      <sheetData sheetId="1816">
        <row r="2">
          <cell r="F2" t="str">
            <v>INCH</v>
          </cell>
        </row>
      </sheetData>
      <sheetData sheetId="1817">
        <row r="2">
          <cell r="F2" t="str">
            <v>INCH</v>
          </cell>
        </row>
      </sheetData>
      <sheetData sheetId="1818">
        <row r="2">
          <cell r="F2" t="str">
            <v>INCH</v>
          </cell>
        </row>
      </sheetData>
      <sheetData sheetId="1819">
        <row r="2">
          <cell r="F2" t="str">
            <v>INCH</v>
          </cell>
        </row>
      </sheetData>
      <sheetData sheetId="1820">
        <row r="2">
          <cell r="F2" t="str">
            <v>INCH</v>
          </cell>
        </row>
      </sheetData>
      <sheetData sheetId="1821">
        <row r="2">
          <cell r="F2" t="str">
            <v>INCH</v>
          </cell>
        </row>
      </sheetData>
      <sheetData sheetId="1822">
        <row r="2">
          <cell r="F2" t="str">
            <v>INCH</v>
          </cell>
        </row>
      </sheetData>
      <sheetData sheetId="1823">
        <row r="2">
          <cell r="F2" t="str">
            <v>INCH</v>
          </cell>
        </row>
      </sheetData>
      <sheetData sheetId="1824">
        <row r="2">
          <cell r="F2" t="str">
            <v>INCH</v>
          </cell>
        </row>
      </sheetData>
      <sheetData sheetId="1825">
        <row r="2">
          <cell r="F2" t="str">
            <v>INCH</v>
          </cell>
        </row>
      </sheetData>
      <sheetData sheetId="1826">
        <row r="2">
          <cell r="F2" t="str">
            <v>INCH</v>
          </cell>
        </row>
      </sheetData>
      <sheetData sheetId="1827">
        <row r="2">
          <cell r="F2" t="str">
            <v>INCH</v>
          </cell>
        </row>
      </sheetData>
      <sheetData sheetId="1828">
        <row r="2">
          <cell r="F2" t="str">
            <v>INCH</v>
          </cell>
        </row>
      </sheetData>
      <sheetData sheetId="1829">
        <row r="2">
          <cell r="F2" t="str">
            <v>INCH</v>
          </cell>
        </row>
      </sheetData>
      <sheetData sheetId="1830">
        <row r="2">
          <cell r="F2" t="str">
            <v>INCH</v>
          </cell>
        </row>
      </sheetData>
      <sheetData sheetId="1831">
        <row r="2">
          <cell r="F2" t="str">
            <v>INCH</v>
          </cell>
        </row>
      </sheetData>
      <sheetData sheetId="1832">
        <row r="2">
          <cell r="F2" t="str">
            <v>INCH</v>
          </cell>
        </row>
      </sheetData>
      <sheetData sheetId="1833">
        <row r="2">
          <cell r="F2" t="str">
            <v>INCH</v>
          </cell>
        </row>
      </sheetData>
      <sheetData sheetId="1834">
        <row r="2">
          <cell r="F2" t="str">
            <v>INCH</v>
          </cell>
        </row>
      </sheetData>
      <sheetData sheetId="1835">
        <row r="2">
          <cell r="F2" t="str">
            <v>INCH</v>
          </cell>
        </row>
      </sheetData>
      <sheetData sheetId="1836">
        <row r="2">
          <cell r="F2" t="str">
            <v>INCH</v>
          </cell>
        </row>
      </sheetData>
      <sheetData sheetId="1837">
        <row r="2">
          <cell r="F2" t="str">
            <v>INCH</v>
          </cell>
        </row>
      </sheetData>
      <sheetData sheetId="1838">
        <row r="2">
          <cell r="F2" t="str">
            <v>INCH</v>
          </cell>
        </row>
      </sheetData>
      <sheetData sheetId="1839">
        <row r="2">
          <cell r="F2" t="str">
            <v>INCH</v>
          </cell>
        </row>
      </sheetData>
      <sheetData sheetId="1840">
        <row r="2">
          <cell r="F2" t="str">
            <v>INCH</v>
          </cell>
        </row>
      </sheetData>
      <sheetData sheetId="1841">
        <row r="2">
          <cell r="F2" t="str">
            <v>INCH</v>
          </cell>
        </row>
      </sheetData>
      <sheetData sheetId="1842">
        <row r="2">
          <cell r="F2" t="str">
            <v>INCH</v>
          </cell>
        </row>
      </sheetData>
      <sheetData sheetId="1843">
        <row r="2">
          <cell r="F2" t="str">
            <v>INCH</v>
          </cell>
        </row>
      </sheetData>
      <sheetData sheetId="1844">
        <row r="2">
          <cell r="F2" t="str">
            <v>INCH</v>
          </cell>
        </row>
      </sheetData>
      <sheetData sheetId="1845">
        <row r="2">
          <cell r="F2" t="str">
            <v>INCH</v>
          </cell>
        </row>
      </sheetData>
      <sheetData sheetId="1846">
        <row r="2">
          <cell r="F2" t="str">
            <v>INCH</v>
          </cell>
        </row>
      </sheetData>
      <sheetData sheetId="1847">
        <row r="2">
          <cell r="F2" t="str">
            <v>INCH</v>
          </cell>
        </row>
      </sheetData>
      <sheetData sheetId="1848">
        <row r="2">
          <cell r="F2" t="str">
            <v>INCH</v>
          </cell>
        </row>
      </sheetData>
      <sheetData sheetId="1849">
        <row r="2">
          <cell r="F2" t="str">
            <v>INCH</v>
          </cell>
        </row>
      </sheetData>
      <sheetData sheetId="1850">
        <row r="2">
          <cell r="F2" t="str">
            <v>INCH</v>
          </cell>
        </row>
      </sheetData>
      <sheetData sheetId="1851">
        <row r="2">
          <cell r="F2" t="str">
            <v>INCH</v>
          </cell>
        </row>
      </sheetData>
      <sheetData sheetId="1852">
        <row r="2">
          <cell r="F2" t="str">
            <v>INCH</v>
          </cell>
        </row>
      </sheetData>
      <sheetData sheetId="1853">
        <row r="2">
          <cell r="F2" t="str">
            <v>INCH</v>
          </cell>
        </row>
      </sheetData>
      <sheetData sheetId="1854">
        <row r="2">
          <cell r="F2" t="str">
            <v>INCH</v>
          </cell>
        </row>
      </sheetData>
      <sheetData sheetId="1855">
        <row r="2">
          <cell r="F2" t="str">
            <v>INCH</v>
          </cell>
        </row>
      </sheetData>
      <sheetData sheetId="1856">
        <row r="2">
          <cell r="F2" t="str">
            <v>INCH</v>
          </cell>
        </row>
      </sheetData>
      <sheetData sheetId="1857">
        <row r="2">
          <cell r="F2" t="str">
            <v>INCH</v>
          </cell>
        </row>
      </sheetData>
      <sheetData sheetId="1858">
        <row r="2">
          <cell r="F2" t="str">
            <v>INCH</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ow r="2">
          <cell r="F2" t="str">
            <v>INCH</v>
          </cell>
        </row>
      </sheetData>
      <sheetData sheetId="1891">
        <row r="2">
          <cell r="F2" t="str">
            <v>INCH</v>
          </cell>
        </row>
      </sheetData>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ow r="2">
          <cell r="F2" t="str">
            <v>INCH</v>
          </cell>
        </row>
      </sheetData>
      <sheetData sheetId="2043">
        <row r="2">
          <cell r="F2" t="str">
            <v>INCH</v>
          </cell>
        </row>
      </sheetData>
      <sheetData sheetId="2044">
        <row r="2">
          <cell r="F2" t="str">
            <v>INCH</v>
          </cell>
        </row>
      </sheetData>
      <sheetData sheetId="2045">
        <row r="2">
          <cell r="F2" t="str">
            <v>INCH</v>
          </cell>
        </row>
      </sheetData>
      <sheetData sheetId="2046">
        <row r="2">
          <cell r="F2" t="str">
            <v>INCH</v>
          </cell>
        </row>
      </sheetData>
      <sheetData sheetId="2047">
        <row r="2">
          <cell r="F2" t="str">
            <v>INCH</v>
          </cell>
        </row>
      </sheetData>
      <sheetData sheetId="2048">
        <row r="2">
          <cell r="F2" t="str">
            <v>INCH</v>
          </cell>
        </row>
      </sheetData>
      <sheetData sheetId="2049">
        <row r="2">
          <cell r="F2" t="str">
            <v>INCH</v>
          </cell>
        </row>
      </sheetData>
      <sheetData sheetId="2050">
        <row r="2">
          <cell r="F2" t="str">
            <v>INCH</v>
          </cell>
        </row>
      </sheetData>
      <sheetData sheetId="2051">
        <row r="2">
          <cell r="F2" t="str">
            <v>INCH</v>
          </cell>
        </row>
      </sheetData>
      <sheetData sheetId="2052">
        <row r="2">
          <cell r="F2" t="str">
            <v>INCH</v>
          </cell>
        </row>
      </sheetData>
      <sheetData sheetId="2053">
        <row r="2">
          <cell r="F2" t="str">
            <v>INCH</v>
          </cell>
        </row>
      </sheetData>
      <sheetData sheetId="2054">
        <row r="2">
          <cell r="F2" t="str">
            <v>INCH</v>
          </cell>
        </row>
      </sheetData>
      <sheetData sheetId="2055">
        <row r="2">
          <cell r="F2" t="str">
            <v>INCH</v>
          </cell>
        </row>
      </sheetData>
      <sheetData sheetId="2056">
        <row r="2">
          <cell r="F2" t="str">
            <v>INCH</v>
          </cell>
        </row>
      </sheetData>
      <sheetData sheetId="2057">
        <row r="2">
          <cell r="F2" t="str">
            <v>INCH</v>
          </cell>
        </row>
      </sheetData>
      <sheetData sheetId="2058">
        <row r="2">
          <cell r="F2" t="str">
            <v>INCH</v>
          </cell>
        </row>
      </sheetData>
      <sheetData sheetId="2059">
        <row r="2">
          <cell r="F2" t="str">
            <v>INCH</v>
          </cell>
        </row>
      </sheetData>
      <sheetData sheetId="2060">
        <row r="2">
          <cell r="F2" t="str">
            <v>INCH</v>
          </cell>
        </row>
      </sheetData>
      <sheetData sheetId="2061">
        <row r="2">
          <cell r="F2" t="str">
            <v>INCH</v>
          </cell>
        </row>
      </sheetData>
      <sheetData sheetId="2062">
        <row r="2">
          <cell r="F2" t="str">
            <v>INCH</v>
          </cell>
        </row>
      </sheetData>
      <sheetData sheetId="2063">
        <row r="2">
          <cell r="F2" t="str">
            <v>INCH</v>
          </cell>
        </row>
      </sheetData>
      <sheetData sheetId="2064">
        <row r="2">
          <cell r="F2" t="str">
            <v>INCH</v>
          </cell>
        </row>
      </sheetData>
      <sheetData sheetId="2065">
        <row r="2">
          <cell r="F2" t="str">
            <v>INCH</v>
          </cell>
        </row>
      </sheetData>
      <sheetData sheetId="2066">
        <row r="2">
          <cell r="F2" t="str">
            <v>INCH</v>
          </cell>
        </row>
      </sheetData>
      <sheetData sheetId="2067">
        <row r="2">
          <cell r="F2" t="str">
            <v>INCH</v>
          </cell>
        </row>
      </sheetData>
      <sheetData sheetId="2068">
        <row r="2">
          <cell r="F2" t="str">
            <v>INCH</v>
          </cell>
        </row>
      </sheetData>
      <sheetData sheetId="2069">
        <row r="2">
          <cell r="F2" t="str">
            <v>INCH</v>
          </cell>
        </row>
      </sheetData>
      <sheetData sheetId="2070">
        <row r="2">
          <cell r="F2" t="str">
            <v>INCH</v>
          </cell>
        </row>
      </sheetData>
      <sheetData sheetId="2071">
        <row r="2">
          <cell r="F2" t="str">
            <v>INCH</v>
          </cell>
        </row>
      </sheetData>
      <sheetData sheetId="2072">
        <row r="2">
          <cell r="F2" t="str">
            <v>INCH</v>
          </cell>
        </row>
      </sheetData>
      <sheetData sheetId="2073">
        <row r="2">
          <cell r="F2" t="str">
            <v>INCH</v>
          </cell>
        </row>
      </sheetData>
      <sheetData sheetId="2074">
        <row r="2">
          <cell r="F2" t="str">
            <v>INCH</v>
          </cell>
        </row>
      </sheetData>
      <sheetData sheetId="2075">
        <row r="2">
          <cell r="F2" t="str">
            <v>INCH</v>
          </cell>
        </row>
      </sheetData>
      <sheetData sheetId="2076">
        <row r="2">
          <cell r="F2" t="str">
            <v>INCH</v>
          </cell>
        </row>
      </sheetData>
      <sheetData sheetId="2077">
        <row r="2">
          <cell r="F2" t="str">
            <v>INCH</v>
          </cell>
        </row>
      </sheetData>
      <sheetData sheetId="2078">
        <row r="2">
          <cell r="F2" t="str">
            <v>INCH</v>
          </cell>
        </row>
      </sheetData>
      <sheetData sheetId="2079">
        <row r="2">
          <cell r="F2" t="str">
            <v>INCH</v>
          </cell>
        </row>
      </sheetData>
      <sheetData sheetId="2080">
        <row r="2">
          <cell r="F2" t="str">
            <v>INCH</v>
          </cell>
        </row>
      </sheetData>
      <sheetData sheetId="2081">
        <row r="2">
          <cell r="F2" t="str">
            <v>INCH</v>
          </cell>
        </row>
      </sheetData>
      <sheetData sheetId="2082">
        <row r="2">
          <cell r="F2" t="str">
            <v>INCH</v>
          </cell>
        </row>
      </sheetData>
      <sheetData sheetId="2083">
        <row r="2">
          <cell r="F2" t="str">
            <v>INCH</v>
          </cell>
        </row>
      </sheetData>
      <sheetData sheetId="2084">
        <row r="2">
          <cell r="F2" t="str">
            <v>INCH</v>
          </cell>
        </row>
      </sheetData>
      <sheetData sheetId="2085">
        <row r="2">
          <cell r="F2" t="str">
            <v>INCH</v>
          </cell>
        </row>
      </sheetData>
      <sheetData sheetId="2086">
        <row r="2">
          <cell r="F2" t="str">
            <v>INCH</v>
          </cell>
        </row>
      </sheetData>
      <sheetData sheetId="2087">
        <row r="2">
          <cell r="F2" t="str">
            <v>INCH</v>
          </cell>
        </row>
      </sheetData>
      <sheetData sheetId="2088">
        <row r="2">
          <cell r="F2" t="str">
            <v>INCH</v>
          </cell>
        </row>
      </sheetData>
      <sheetData sheetId="2089">
        <row r="2">
          <cell r="F2" t="str">
            <v>INCH</v>
          </cell>
        </row>
      </sheetData>
      <sheetData sheetId="2090">
        <row r="2">
          <cell r="F2" t="str">
            <v>INCH</v>
          </cell>
        </row>
      </sheetData>
      <sheetData sheetId="2091">
        <row r="2">
          <cell r="F2" t="str">
            <v>INCH</v>
          </cell>
        </row>
      </sheetData>
      <sheetData sheetId="2092">
        <row r="2">
          <cell r="F2" t="str">
            <v>INCH</v>
          </cell>
        </row>
      </sheetData>
      <sheetData sheetId="2093">
        <row r="2">
          <cell r="F2" t="str">
            <v>INCH</v>
          </cell>
        </row>
      </sheetData>
      <sheetData sheetId="2094">
        <row r="2">
          <cell r="F2" t="str">
            <v>INCH</v>
          </cell>
        </row>
      </sheetData>
      <sheetData sheetId="2095">
        <row r="2">
          <cell r="F2" t="str">
            <v>INCH</v>
          </cell>
        </row>
      </sheetData>
      <sheetData sheetId="2096">
        <row r="2">
          <cell r="F2" t="str">
            <v>INCH</v>
          </cell>
        </row>
      </sheetData>
      <sheetData sheetId="2097">
        <row r="2">
          <cell r="F2" t="str">
            <v>INCH</v>
          </cell>
        </row>
      </sheetData>
      <sheetData sheetId="2098">
        <row r="2">
          <cell r="F2" t="str">
            <v>INCH</v>
          </cell>
        </row>
      </sheetData>
      <sheetData sheetId="2099">
        <row r="2">
          <cell r="F2" t="str">
            <v>INCH</v>
          </cell>
        </row>
      </sheetData>
      <sheetData sheetId="2100">
        <row r="2">
          <cell r="F2" t="str">
            <v>INCH</v>
          </cell>
        </row>
      </sheetData>
      <sheetData sheetId="2101">
        <row r="2">
          <cell r="F2" t="str">
            <v>INCH</v>
          </cell>
        </row>
      </sheetData>
      <sheetData sheetId="2102">
        <row r="2">
          <cell r="F2" t="str">
            <v>INCH</v>
          </cell>
        </row>
      </sheetData>
      <sheetData sheetId="2103">
        <row r="2">
          <cell r="F2" t="str">
            <v>INCH</v>
          </cell>
        </row>
      </sheetData>
      <sheetData sheetId="2104">
        <row r="2">
          <cell r="F2" t="str">
            <v>INCH</v>
          </cell>
        </row>
      </sheetData>
      <sheetData sheetId="2105">
        <row r="2">
          <cell r="F2" t="str">
            <v>INCH</v>
          </cell>
        </row>
      </sheetData>
      <sheetData sheetId="2106">
        <row r="2">
          <cell r="F2" t="str">
            <v>INCH</v>
          </cell>
        </row>
      </sheetData>
      <sheetData sheetId="2107">
        <row r="2">
          <cell r="F2" t="str">
            <v>INCH</v>
          </cell>
        </row>
      </sheetData>
      <sheetData sheetId="2108">
        <row r="2">
          <cell r="F2" t="str">
            <v>INCH</v>
          </cell>
        </row>
      </sheetData>
      <sheetData sheetId="2109">
        <row r="2">
          <cell r="F2" t="str">
            <v>INCH</v>
          </cell>
        </row>
      </sheetData>
      <sheetData sheetId="2110">
        <row r="2">
          <cell r="F2" t="str">
            <v>INCH</v>
          </cell>
        </row>
      </sheetData>
      <sheetData sheetId="2111">
        <row r="2">
          <cell r="F2" t="str">
            <v>INCH</v>
          </cell>
        </row>
      </sheetData>
      <sheetData sheetId="2112">
        <row r="2">
          <cell r="F2" t="str">
            <v>INCH</v>
          </cell>
        </row>
      </sheetData>
      <sheetData sheetId="2113">
        <row r="2">
          <cell r="F2" t="str">
            <v>INCH</v>
          </cell>
        </row>
      </sheetData>
      <sheetData sheetId="2114">
        <row r="2">
          <cell r="F2" t="str">
            <v>INCH</v>
          </cell>
        </row>
      </sheetData>
      <sheetData sheetId="2115">
        <row r="2">
          <cell r="F2" t="str">
            <v>INCH</v>
          </cell>
        </row>
      </sheetData>
      <sheetData sheetId="2116">
        <row r="2">
          <cell r="F2" t="str">
            <v>INCH</v>
          </cell>
        </row>
      </sheetData>
      <sheetData sheetId="2117">
        <row r="2">
          <cell r="F2" t="str">
            <v>INCH</v>
          </cell>
        </row>
      </sheetData>
      <sheetData sheetId="2118">
        <row r="2">
          <cell r="F2" t="str">
            <v>INCH</v>
          </cell>
        </row>
      </sheetData>
      <sheetData sheetId="2119">
        <row r="2">
          <cell r="F2" t="str">
            <v>INCH</v>
          </cell>
        </row>
      </sheetData>
      <sheetData sheetId="2120">
        <row r="2">
          <cell r="F2" t="str">
            <v>INCH</v>
          </cell>
        </row>
      </sheetData>
      <sheetData sheetId="2121">
        <row r="2">
          <cell r="F2" t="str">
            <v>INCH</v>
          </cell>
        </row>
      </sheetData>
      <sheetData sheetId="2122">
        <row r="2">
          <cell r="F2" t="str">
            <v>INCH</v>
          </cell>
        </row>
      </sheetData>
      <sheetData sheetId="2123">
        <row r="2">
          <cell r="F2" t="str">
            <v>INCH</v>
          </cell>
        </row>
      </sheetData>
      <sheetData sheetId="2124">
        <row r="2">
          <cell r="F2" t="str">
            <v>INCH</v>
          </cell>
        </row>
      </sheetData>
      <sheetData sheetId="2125">
        <row r="2">
          <cell r="F2" t="str">
            <v>INCH</v>
          </cell>
        </row>
      </sheetData>
      <sheetData sheetId="2126">
        <row r="2">
          <cell r="F2" t="str">
            <v>INCH</v>
          </cell>
        </row>
      </sheetData>
      <sheetData sheetId="2127">
        <row r="2">
          <cell r="F2" t="str">
            <v>INCH</v>
          </cell>
        </row>
      </sheetData>
      <sheetData sheetId="2128">
        <row r="2">
          <cell r="F2" t="str">
            <v>INCH</v>
          </cell>
        </row>
      </sheetData>
      <sheetData sheetId="2129">
        <row r="2">
          <cell r="F2" t="str">
            <v>INCH</v>
          </cell>
        </row>
      </sheetData>
      <sheetData sheetId="2130">
        <row r="2">
          <cell r="F2" t="str">
            <v>INCH</v>
          </cell>
        </row>
      </sheetData>
      <sheetData sheetId="2131">
        <row r="2">
          <cell r="F2" t="str">
            <v>INCH</v>
          </cell>
        </row>
      </sheetData>
      <sheetData sheetId="2132">
        <row r="2">
          <cell r="F2" t="str">
            <v>INCH</v>
          </cell>
        </row>
      </sheetData>
      <sheetData sheetId="2133">
        <row r="2">
          <cell r="F2" t="str">
            <v>INCH</v>
          </cell>
        </row>
      </sheetData>
      <sheetData sheetId="2134">
        <row r="2">
          <cell r="F2" t="str">
            <v>INCH</v>
          </cell>
        </row>
      </sheetData>
      <sheetData sheetId="2135">
        <row r="2">
          <cell r="F2" t="str">
            <v>INCH</v>
          </cell>
        </row>
      </sheetData>
      <sheetData sheetId="2136">
        <row r="2">
          <cell r="F2" t="str">
            <v>INCH</v>
          </cell>
        </row>
      </sheetData>
      <sheetData sheetId="2137">
        <row r="2">
          <cell r="F2" t="str">
            <v>INCH</v>
          </cell>
        </row>
      </sheetData>
      <sheetData sheetId="2138">
        <row r="2">
          <cell r="F2" t="str">
            <v>INCH</v>
          </cell>
        </row>
      </sheetData>
      <sheetData sheetId="2139">
        <row r="2">
          <cell r="F2" t="str">
            <v>INCH</v>
          </cell>
        </row>
      </sheetData>
      <sheetData sheetId="2140">
        <row r="2">
          <cell r="F2" t="str">
            <v>INCH</v>
          </cell>
        </row>
      </sheetData>
      <sheetData sheetId="2141">
        <row r="2">
          <cell r="F2" t="str">
            <v>INCH</v>
          </cell>
        </row>
      </sheetData>
      <sheetData sheetId="2142">
        <row r="2">
          <cell r="F2" t="str">
            <v>INCH</v>
          </cell>
        </row>
      </sheetData>
      <sheetData sheetId="2143">
        <row r="2">
          <cell r="F2" t="str">
            <v>INCH</v>
          </cell>
        </row>
      </sheetData>
      <sheetData sheetId="2144">
        <row r="2">
          <cell r="F2" t="str">
            <v>INCH</v>
          </cell>
        </row>
      </sheetData>
      <sheetData sheetId="2145">
        <row r="2">
          <cell r="F2" t="str">
            <v>INCH</v>
          </cell>
        </row>
      </sheetData>
      <sheetData sheetId="2146">
        <row r="2">
          <cell r="F2" t="str">
            <v>INCH</v>
          </cell>
        </row>
      </sheetData>
      <sheetData sheetId="2147">
        <row r="2">
          <cell r="F2" t="str">
            <v>INCH</v>
          </cell>
        </row>
      </sheetData>
      <sheetData sheetId="2148">
        <row r="2">
          <cell r="F2" t="str">
            <v>INCH</v>
          </cell>
        </row>
      </sheetData>
      <sheetData sheetId="2149">
        <row r="2">
          <cell r="F2" t="str">
            <v>INCH</v>
          </cell>
        </row>
      </sheetData>
      <sheetData sheetId="2150">
        <row r="2">
          <cell r="F2" t="str">
            <v>INCH</v>
          </cell>
        </row>
      </sheetData>
      <sheetData sheetId="2151">
        <row r="2">
          <cell r="F2" t="str">
            <v>INCH</v>
          </cell>
        </row>
      </sheetData>
      <sheetData sheetId="2152">
        <row r="2">
          <cell r="F2" t="str">
            <v>INCH</v>
          </cell>
        </row>
      </sheetData>
      <sheetData sheetId="2153">
        <row r="2">
          <cell r="F2" t="str">
            <v>INCH</v>
          </cell>
        </row>
      </sheetData>
      <sheetData sheetId="2154">
        <row r="2">
          <cell r="F2" t="str">
            <v>INCH</v>
          </cell>
        </row>
      </sheetData>
      <sheetData sheetId="2155">
        <row r="2">
          <cell r="F2" t="str">
            <v>INCH</v>
          </cell>
        </row>
      </sheetData>
      <sheetData sheetId="2156">
        <row r="2">
          <cell r="F2" t="str">
            <v>INCH</v>
          </cell>
        </row>
      </sheetData>
      <sheetData sheetId="2157">
        <row r="2">
          <cell r="F2" t="str">
            <v>INCH</v>
          </cell>
        </row>
      </sheetData>
      <sheetData sheetId="2158">
        <row r="2">
          <cell r="F2" t="str">
            <v>INCH</v>
          </cell>
        </row>
      </sheetData>
      <sheetData sheetId="2159">
        <row r="2">
          <cell r="F2" t="str">
            <v>INCH</v>
          </cell>
        </row>
      </sheetData>
      <sheetData sheetId="2160">
        <row r="2">
          <cell r="F2" t="str">
            <v>INCH</v>
          </cell>
        </row>
      </sheetData>
      <sheetData sheetId="2161">
        <row r="2">
          <cell r="F2" t="str">
            <v>INCH</v>
          </cell>
        </row>
      </sheetData>
      <sheetData sheetId="2162">
        <row r="2">
          <cell r="F2" t="str">
            <v>INCH</v>
          </cell>
        </row>
      </sheetData>
      <sheetData sheetId="2163">
        <row r="2">
          <cell r="F2" t="str">
            <v>INCH</v>
          </cell>
        </row>
      </sheetData>
      <sheetData sheetId="2164">
        <row r="2">
          <cell r="F2" t="str">
            <v>INCH</v>
          </cell>
        </row>
      </sheetData>
      <sheetData sheetId="2165">
        <row r="2">
          <cell r="F2" t="str">
            <v>INCH</v>
          </cell>
        </row>
      </sheetData>
      <sheetData sheetId="2166">
        <row r="2">
          <cell r="F2" t="str">
            <v>INCH</v>
          </cell>
        </row>
      </sheetData>
      <sheetData sheetId="2167">
        <row r="2">
          <cell r="F2" t="str">
            <v>INCH</v>
          </cell>
        </row>
      </sheetData>
      <sheetData sheetId="2168">
        <row r="2">
          <cell r="F2" t="str">
            <v>INCH</v>
          </cell>
        </row>
      </sheetData>
      <sheetData sheetId="2169">
        <row r="2">
          <cell r="F2" t="str">
            <v>INCH</v>
          </cell>
        </row>
      </sheetData>
      <sheetData sheetId="2170">
        <row r="2">
          <cell r="F2" t="str">
            <v>INCH</v>
          </cell>
        </row>
      </sheetData>
      <sheetData sheetId="2171">
        <row r="2">
          <cell r="F2" t="str">
            <v>INCH</v>
          </cell>
        </row>
      </sheetData>
      <sheetData sheetId="2172">
        <row r="2">
          <cell r="F2" t="str">
            <v>INCH</v>
          </cell>
        </row>
      </sheetData>
      <sheetData sheetId="2173">
        <row r="2">
          <cell r="F2" t="str">
            <v>INCH</v>
          </cell>
        </row>
      </sheetData>
      <sheetData sheetId="2174">
        <row r="2">
          <cell r="F2" t="str">
            <v>INCH</v>
          </cell>
        </row>
      </sheetData>
      <sheetData sheetId="2175">
        <row r="2">
          <cell r="F2" t="str">
            <v>INCH</v>
          </cell>
        </row>
      </sheetData>
      <sheetData sheetId="2176">
        <row r="2">
          <cell r="F2" t="str">
            <v>INCH</v>
          </cell>
        </row>
      </sheetData>
      <sheetData sheetId="2177">
        <row r="2">
          <cell r="F2" t="str">
            <v>INCH</v>
          </cell>
        </row>
      </sheetData>
      <sheetData sheetId="2178">
        <row r="2">
          <cell r="F2" t="str">
            <v>INCH</v>
          </cell>
        </row>
      </sheetData>
      <sheetData sheetId="2179">
        <row r="2">
          <cell r="F2" t="str">
            <v>INCH</v>
          </cell>
        </row>
      </sheetData>
      <sheetData sheetId="2180">
        <row r="2">
          <cell r="F2" t="str">
            <v>INCH</v>
          </cell>
        </row>
      </sheetData>
      <sheetData sheetId="2181">
        <row r="2">
          <cell r="F2" t="str">
            <v>INCH</v>
          </cell>
        </row>
      </sheetData>
      <sheetData sheetId="2182">
        <row r="2">
          <cell r="F2" t="str">
            <v>INCH</v>
          </cell>
        </row>
      </sheetData>
      <sheetData sheetId="2183">
        <row r="2">
          <cell r="F2" t="str">
            <v>INCH</v>
          </cell>
        </row>
      </sheetData>
      <sheetData sheetId="2184">
        <row r="2">
          <cell r="F2" t="str">
            <v>INCH</v>
          </cell>
        </row>
      </sheetData>
      <sheetData sheetId="2185">
        <row r="2">
          <cell r="F2" t="str">
            <v>INCH</v>
          </cell>
        </row>
      </sheetData>
      <sheetData sheetId="2186">
        <row r="2">
          <cell r="F2" t="str">
            <v>INCH</v>
          </cell>
        </row>
      </sheetData>
      <sheetData sheetId="2187">
        <row r="2">
          <cell r="F2" t="str">
            <v>INCH</v>
          </cell>
        </row>
      </sheetData>
      <sheetData sheetId="2188">
        <row r="2">
          <cell r="F2" t="str">
            <v>INCH</v>
          </cell>
        </row>
      </sheetData>
      <sheetData sheetId="2189">
        <row r="2">
          <cell r="F2" t="str">
            <v>INCH</v>
          </cell>
        </row>
      </sheetData>
      <sheetData sheetId="2190">
        <row r="2">
          <cell r="F2" t="str">
            <v>INCH</v>
          </cell>
        </row>
      </sheetData>
      <sheetData sheetId="2191">
        <row r="2">
          <cell r="F2" t="str">
            <v>INCH</v>
          </cell>
        </row>
      </sheetData>
      <sheetData sheetId="2192">
        <row r="2">
          <cell r="F2" t="str">
            <v>INCH</v>
          </cell>
        </row>
      </sheetData>
      <sheetData sheetId="2193">
        <row r="2">
          <cell r="F2" t="str">
            <v>INCH</v>
          </cell>
        </row>
      </sheetData>
      <sheetData sheetId="2194">
        <row r="2">
          <cell r="F2" t="str">
            <v>INCH</v>
          </cell>
        </row>
      </sheetData>
      <sheetData sheetId="2195">
        <row r="2">
          <cell r="F2" t="str">
            <v>INCH</v>
          </cell>
        </row>
      </sheetData>
      <sheetData sheetId="2196">
        <row r="2">
          <cell r="F2" t="str">
            <v>INCH</v>
          </cell>
        </row>
      </sheetData>
      <sheetData sheetId="2197">
        <row r="2">
          <cell r="F2" t="str">
            <v>INCH</v>
          </cell>
        </row>
      </sheetData>
      <sheetData sheetId="2198">
        <row r="2">
          <cell r="F2" t="str">
            <v>INCH</v>
          </cell>
        </row>
      </sheetData>
      <sheetData sheetId="2199">
        <row r="2">
          <cell r="F2" t="str">
            <v>INCH</v>
          </cell>
        </row>
      </sheetData>
      <sheetData sheetId="2200">
        <row r="2">
          <cell r="F2" t="str">
            <v>INCH</v>
          </cell>
        </row>
      </sheetData>
      <sheetData sheetId="2201">
        <row r="2">
          <cell r="F2" t="str">
            <v>INCH</v>
          </cell>
        </row>
      </sheetData>
      <sheetData sheetId="2202">
        <row r="2">
          <cell r="F2" t="str">
            <v>INCH</v>
          </cell>
        </row>
      </sheetData>
      <sheetData sheetId="2203">
        <row r="2">
          <cell r="F2" t="str">
            <v>INCH</v>
          </cell>
        </row>
      </sheetData>
      <sheetData sheetId="2204">
        <row r="2">
          <cell r="F2" t="str">
            <v>INCH</v>
          </cell>
        </row>
      </sheetData>
      <sheetData sheetId="2205">
        <row r="2">
          <cell r="F2" t="str">
            <v>INCH</v>
          </cell>
        </row>
      </sheetData>
      <sheetData sheetId="2206">
        <row r="2">
          <cell r="F2" t="str">
            <v>INCH</v>
          </cell>
        </row>
      </sheetData>
      <sheetData sheetId="2207">
        <row r="2">
          <cell r="F2" t="str">
            <v>INCH</v>
          </cell>
        </row>
      </sheetData>
      <sheetData sheetId="2208">
        <row r="2">
          <cell r="F2" t="str">
            <v>INCH</v>
          </cell>
        </row>
      </sheetData>
      <sheetData sheetId="2209">
        <row r="2">
          <cell r="F2" t="str">
            <v>INCH</v>
          </cell>
        </row>
      </sheetData>
      <sheetData sheetId="2210">
        <row r="2">
          <cell r="F2" t="str">
            <v>INCH</v>
          </cell>
        </row>
      </sheetData>
      <sheetData sheetId="2211">
        <row r="2">
          <cell r="F2" t="str">
            <v>INCH</v>
          </cell>
        </row>
      </sheetData>
      <sheetData sheetId="2212">
        <row r="2">
          <cell r="F2" t="str">
            <v>INCH</v>
          </cell>
        </row>
      </sheetData>
      <sheetData sheetId="2213">
        <row r="2">
          <cell r="F2" t="str">
            <v>INCH</v>
          </cell>
        </row>
      </sheetData>
      <sheetData sheetId="2214">
        <row r="2">
          <cell r="F2" t="str">
            <v>INCH</v>
          </cell>
        </row>
      </sheetData>
      <sheetData sheetId="2215">
        <row r="2">
          <cell r="F2" t="str">
            <v>INCH</v>
          </cell>
        </row>
      </sheetData>
      <sheetData sheetId="2216">
        <row r="2">
          <cell r="F2" t="str">
            <v>INCH</v>
          </cell>
        </row>
      </sheetData>
      <sheetData sheetId="2217">
        <row r="2">
          <cell r="F2" t="str">
            <v>INCH</v>
          </cell>
        </row>
      </sheetData>
      <sheetData sheetId="2218">
        <row r="2">
          <cell r="F2" t="str">
            <v>INCH</v>
          </cell>
        </row>
      </sheetData>
      <sheetData sheetId="2219">
        <row r="2">
          <cell r="F2" t="str">
            <v>INCH</v>
          </cell>
        </row>
      </sheetData>
      <sheetData sheetId="2220">
        <row r="2">
          <cell r="F2" t="str">
            <v>INCH</v>
          </cell>
        </row>
      </sheetData>
      <sheetData sheetId="2221">
        <row r="2">
          <cell r="F2" t="str">
            <v>INCH</v>
          </cell>
        </row>
      </sheetData>
      <sheetData sheetId="2222">
        <row r="2">
          <cell r="F2" t="str">
            <v>INCH</v>
          </cell>
        </row>
      </sheetData>
      <sheetData sheetId="2223">
        <row r="2">
          <cell r="F2" t="str">
            <v>INCH</v>
          </cell>
        </row>
      </sheetData>
      <sheetData sheetId="2224">
        <row r="2">
          <cell r="F2" t="str">
            <v>INCH</v>
          </cell>
        </row>
      </sheetData>
      <sheetData sheetId="2225">
        <row r="2">
          <cell r="F2" t="str">
            <v>INCH</v>
          </cell>
        </row>
      </sheetData>
      <sheetData sheetId="2226">
        <row r="2">
          <cell r="F2" t="str">
            <v>INCH</v>
          </cell>
        </row>
      </sheetData>
      <sheetData sheetId="2227">
        <row r="2">
          <cell r="F2" t="str">
            <v>INCH</v>
          </cell>
        </row>
      </sheetData>
      <sheetData sheetId="2228">
        <row r="2">
          <cell r="F2" t="str">
            <v>INCH</v>
          </cell>
        </row>
      </sheetData>
      <sheetData sheetId="2229">
        <row r="2">
          <cell r="F2" t="str">
            <v>INCH</v>
          </cell>
        </row>
      </sheetData>
      <sheetData sheetId="2230">
        <row r="2">
          <cell r="F2" t="str">
            <v>INCH</v>
          </cell>
        </row>
      </sheetData>
      <sheetData sheetId="2231">
        <row r="2">
          <cell r="F2" t="str">
            <v>INCH</v>
          </cell>
        </row>
      </sheetData>
      <sheetData sheetId="2232">
        <row r="2">
          <cell r="F2" t="str">
            <v>INCH</v>
          </cell>
        </row>
      </sheetData>
      <sheetData sheetId="2233">
        <row r="2">
          <cell r="F2" t="str">
            <v>INCH</v>
          </cell>
        </row>
      </sheetData>
      <sheetData sheetId="2234">
        <row r="2">
          <cell r="F2" t="str">
            <v>INCH</v>
          </cell>
        </row>
      </sheetData>
      <sheetData sheetId="2235">
        <row r="2">
          <cell r="F2" t="str">
            <v>INCH</v>
          </cell>
        </row>
      </sheetData>
      <sheetData sheetId="2236">
        <row r="2">
          <cell r="F2" t="str">
            <v>INCH</v>
          </cell>
        </row>
      </sheetData>
      <sheetData sheetId="2237">
        <row r="2">
          <cell r="F2" t="str">
            <v>INCH</v>
          </cell>
        </row>
      </sheetData>
      <sheetData sheetId="2238">
        <row r="2">
          <cell r="F2" t="str">
            <v>INCH</v>
          </cell>
        </row>
      </sheetData>
      <sheetData sheetId="2239">
        <row r="2">
          <cell r="F2" t="str">
            <v>INCH</v>
          </cell>
        </row>
      </sheetData>
      <sheetData sheetId="2240">
        <row r="2">
          <cell r="F2" t="str">
            <v>INCH</v>
          </cell>
        </row>
      </sheetData>
      <sheetData sheetId="2241">
        <row r="2">
          <cell r="F2" t="str">
            <v>INCH</v>
          </cell>
        </row>
      </sheetData>
      <sheetData sheetId="2242">
        <row r="2">
          <cell r="F2" t="str">
            <v>INCH</v>
          </cell>
        </row>
      </sheetData>
      <sheetData sheetId="2243">
        <row r="2">
          <cell r="F2" t="str">
            <v>INCH</v>
          </cell>
        </row>
      </sheetData>
      <sheetData sheetId="2244">
        <row r="2">
          <cell r="F2" t="str">
            <v>INCH</v>
          </cell>
        </row>
      </sheetData>
      <sheetData sheetId="2245">
        <row r="2">
          <cell r="F2" t="str">
            <v>INCH</v>
          </cell>
        </row>
      </sheetData>
      <sheetData sheetId="2246">
        <row r="2">
          <cell r="F2" t="str">
            <v>INCH</v>
          </cell>
        </row>
      </sheetData>
      <sheetData sheetId="2247">
        <row r="2">
          <cell r="F2" t="str">
            <v>INCH</v>
          </cell>
        </row>
      </sheetData>
      <sheetData sheetId="2248">
        <row r="2">
          <cell r="F2" t="str">
            <v>INCH</v>
          </cell>
        </row>
      </sheetData>
      <sheetData sheetId="2249">
        <row r="2">
          <cell r="F2" t="str">
            <v>INCH</v>
          </cell>
        </row>
      </sheetData>
      <sheetData sheetId="2250">
        <row r="2">
          <cell r="F2" t="str">
            <v>INCH</v>
          </cell>
        </row>
      </sheetData>
      <sheetData sheetId="2251">
        <row r="2">
          <cell r="F2" t="str">
            <v>INCH</v>
          </cell>
        </row>
      </sheetData>
      <sheetData sheetId="2252">
        <row r="2">
          <cell r="F2" t="str">
            <v>INCH</v>
          </cell>
        </row>
      </sheetData>
      <sheetData sheetId="2253">
        <row r="2">
          <cell r="F2" t="str">
            <v>INCH</v>
          </cell>
        </row>
      </sheetData>
      <sheetData sheetId="2254">
        <row r="2">
          <cell r="F2" t="str">
            <v>INCH</v>
          </cell>
        </row>
      </sheetData>
      <sheetData sheetId="2255">
        <row r="2">
          <cell r="F2" t="str">
            <v>INCH</v>
          </cell>
        </row>
      </sheetData>
      <sheetData sheetId="2256">
        <row r="2">
          <cell r="F2" t="str">
            <v>INCH</v>
          </cell>
        </row>
      </sheetData>
      <sheetData sheetId="2257">
        <row r="2">
          <cell r="F2" t="str">
            <v>INCH</v>
          </cell>
        </row>
      </sheetData>
      <sheetData sheetId="2258">
        <row r="2">
          <cell r="F2" t="str">
            <v>INCH</v>
          </cell>
        </row>
      </sheetData>
      <sheetData sheetId="2259">
        <row r="2">
          <cell r="F2" t="str">
            <v>INCH</v>
          </cell>
        </row>
      </sheetData>
      <sheetData sheetId="2260">
        <row r="2">
          <cell r="F2" t="str">
            <v>INCH</v>
          </cell>
        </row>
      </sheetData>
      <sheetData sheetId="2261">
        <row r="2">
          <cell r="F2" t="str">
            <v>INCH</v>
          </cell>
        </row>
      </sheetData>
      <sheetData sheetId="2262">
        <row r="2">
          <cell r="F2" t="str">
            <v>INCH</v>
          </cell>
        </row>
      </sheetData>
      <sheetData sheetId="2263">
        <row r="2">
          <cell r="F2" t="str">
            <v>INCH</v>
          </cell>
        </row>
      </sheetData>
      <sheetData sheetId="2264">
        <row r="2">
          <cell r="F2" t="str">
            <v>INCH</v>
          </cell>
        </row>
      </sheetData>
      <sheetData sheetId="2265">
        <row r="2">
          <cell r="F2" t="str">
            <v>INCH</v>
          </cell>
        </row>
      </sheetData>
      <sheetData sheetId="2266">
        <row r="2">
          <cell r="F2" t="str">
            <v>INCH</v>
          </cell>
        </row>
      </sheetData>
      <sheetData sheetId="2267">
        <row r="2">
          <cell r="F2" t="str">
            <v>INCH</v>
          </cell>
        </row>
      </sheetData>
      <sheetData sheetId="2268">
        <row r="2">
          <cell r="F2" t="str">
            <v>INCH</v>
          </cell>
        </row>
      </sheetData>
      <sheetData sheetId="2269">
        <row r="2">
          <cell r="F2" t="str">
            <v>INCH</v>
          </cell>
        </row>
      </sheetData>
      <sheetData sheetId="2270">
        <row r="2">
          <cell r="F2" t="str">
            <v>INCH</v>
          </cell>
        </row>
      </sheetData>
      <sheetData sheetId="2271">
        <row r="2">
          <cell r="F2" t="str">
            <v>INCH</v>
          </cell>
        </row>
      </sheetData>
      <sheetData sheetId="2272">
        <row r="2">
          <cell r="F2" t="str">
            <v>INCH</v>
          </cell>
        </row>
      </sheetData>
      <sheetData sheetId="2273">
        <row r="2">
          <cell r="F2" t="str">
            <v>INCH</v>
          </cell>
        </row>
      </sheetData>
      <sheetData sheetId="2274">
        <row r="2">
          <cell r="F2" t="str">
            <v>INCH</v>
          </cell>
        </row>
      </sheetData>
      <sheetData sheetId="2275">
        <row r="2">
          <cell r="F2" t="str">
            <v>INCH</v>
          </cell>
        </row>
      </sheetData>
      <sheetData sheetId="2276">
        <row r="2">
          <cell r="F2" t="str">
            <v>INCH</v>
          </cell>
        </row>
      </sheetData>
      <sheetData sheetId="2277">
        <row r="2">
          <cell r="F2" t="str">
            <v>INCH</v>
          </cell>
        </row>
      </sheetData>
      <sheetData sheetId="2278">
        <row r="2">
          <cell r="F2" t="str">
            <v>INCH</v>
          </cell>
        </row>
      </sheetData>
      <sheetData sheetId="2279">
        <row r="2">
          <cell r="F2" t="str">
            <v>INCH</v>
          </cell>
        </row>
      </sheetData>
      <sheetData sheetId="2280">
        <row r="2">
          <cell r="F2" t="str">
            <v>INCH</v>
          </cell>
        </row>
      </sheetData>
      <sheetData sheetId="2281">
        <row r="2">
          <cell r="F2" t="str">
            <v>INCH</v>
          </cell>
        </row>
      </sheetData>
      <sheetData sheetId="2282">
        <row r="2">
          <cell r="F2" t="str">
            <v>INCH</v>
          </cell>
        </row>
      </sheetData>
      <sheetData sheetId="2283">
        <row r="2">
          <cell r="F2" t="str">
            <v>INCH</v>
          </cell>
        </row>
      </sheetData>
      <sheetData sheetId="2284">
        <row r="2">
          <cell r="F2" t="str">
            <v>INCH</v>
          </cell>
        </row>
      </sheetData>
      <sheetData sheetId="2285">
        <row r="2">
          <cell r="F2" t="str">
            <v>INCH</v>
          </cell>
        </row>
      </sheetData>
      <sheetData sheetId="2286">
        <row r="2">
          <cell r="F2" t="str">
            <v>INCH</v>
          </cell>
        </row>
      </sheetData>
      <sheetData sheetId="2287">
        <row r="2">
          <cell r="F2" t="str">
            <v>INCH</v>
          </cell>
        </row>
      </sheetData>
      <sheetData sheetId="2288">
        <row r="2">
          <cell r="F2" t="str">
            <v>INCH</v>
          </cell>
        </row>
      </sheetData>
      <sheetData sheetId="2289">
        <row r="2">
          <cell r="F2" t="str">
            <v>INCH</v>
          </cell>
        </row>
      </sheetData>
      <sheetData sheetId="2290">
        <row r="2">
          <cell r="F2" t="str">
            <v>INCH</v>
          </cell>
        </row>
      </sheetData>
      <sheetData sheetId="2291">
        <row r="2">
          <cell r="F2" t="str">
            <v>INCH</v>
          </cell>
        </row>
      </sheetData>
      <sheetData sheetId="2292">
        <row r="2">
          <cell r="F2" t="str">
            <v>INCH</v>
          </cell>
        </row>
      </sheetData>
      <sheetData sheetId="2293">
        <row r="2">
          <cell r="F2" t="str">
            <v>INCH</v>
          </cell>
        </row>
      </sheetData>
      <sheetData sheetId="2294">
        <row r="2">
          <cell r="F2" t="str">
            <v>INCH</v>
          </cell>
        </row>
      </sheetData>
      <sheetData sheetId="2295">
        <row r="2">
          <cell r="F2" t="str">
            <v>INCH</v>
          </cell>
        </row>
      </sheetData>
      <sheetData sheetId="2296">
        <row r="2">
          <cell r="F2" t="str">
            <v>INCH</v>
          </cell>
        </row>
      </sheetData>
      <sheetData sheetId="2297">
        <row r="2">
          <cell r="F2" t="str">
            <v>INCH</v>
          </cell>
        </row>
      </sheetData>
      <sheetData sheetId="2298">
        <row r="2">
          <cell r="F2" t="str">
            <v>INCH</v>
          </cell>
        </row>
      </sheetData>
      <sheetData sheetId="2299">
        <row r="2">
          <cell r="F2" t="str">
            <v>INCH</v>
          </cell>
        </row>
      </sheetData>
      <sheetData sheetId="2300">
        <row r="2">
          <cell r="F2" t="str">
            <v>INCH</v>
          </cell>
        </row>
      </sheetData>
      <sheetData sheetId="2301">
        <row r="2">
          <cell r="F2" t="str">
            <v>INCH</v>
          </cell>
        </row>
      </sheetData>
      <sheetData sheetId="2302">
        <row r="2">
          <cell r="F2" t="str">
            <v>INCH</v>
          </cell>
        </row>
      </sheetData>
      <sheetData sheetId="2303">
        <row r="2">
          <cell r="F2" t="str">
            <v>INCH</v>
          </cell>
        </row>
      </sheetData>
      <sheetData sheetId="2304">
        <row r="2">
          <cell r="F2" t="str">
            <v>INCH</v>
          </cell>
        </row>
      </sheetData>
      <sheetData sheetId="2305">
        <row r="2">
          <cell r="F2" t="str">
            <v>INCH</v>
          </cell>
        </row>
      </sheetData>
      <sheetData sheetId="2306">
        <row r="2">
          <cell r="F2" t="str">
            <v>INCH</v>
          </cell>
        </row>
      </sheetData>
      <sheetData sheetId="2307">
        <row r="2">
          <cell r="F2" t="str">
            <v>INCH</v>
          </cell>
        </row>
      </sheetData>
      <sheetData sheetId="2308">
        <row r="2">
          <cell r="F2" t="str">
            <v>INCH</v>
          </cell>
        </row>
      </sheetData>
      <sheetData sheetId="2309">
        <row r="2">
          <cell r="F2" t="str">
            <v>INCH</v>
          </cell>
        </row>
      </sheetData>
      <sheetData sheetId="2310">
        <row r="2">
          <cell r="F2" t="str">
            <v>INCH</v>
          </cell>
        </row>
      </sheetData>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ow r="2">
          <cell r="F2" t="str">
            <v>INCH</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ow r="2">
          <cell r="F2" t="str">
            <v>INCH</v>
          </cell>
        </row>
      </sheetData>
      <sheetData sheetId="2368">
        <row r="2">
          <cell r="F2" t="str">
            <v>INCH</v>
          </cell>
        </row>
      </sheetData>
      <sheetData sheetId="2369">
        <row r="2">
          <cell r="F2" t="str">
            <v>INCH</v>
          </cell>
        </row>
      </sheetData>
      <sheetData sheetId="2370">
        <row r="2">
          <cell r="F2" t="str">
            <v>INCH</v>
          </cell>
        </row>
      </sheetData>
      <sheetData sheetId="2371">
        <row r="2">
          <cell r="F2" t="str">
            <v>INCH</v>
          </cell>
        </row>
      </sheetData>
      <sheetData sheetId="2372">
        <row r="2">
          <cell r="F2" t="str">
            <v>INCH</v>
          </cell>
        </row>
      </sheetData>
      <sheetData sheetId="2373">
        <row r="2">
          <cell r="F2" t="str">
            <v>INCH</v>
          </cell>
        </row>
      </sheetData>
      <sheetData sheetId="2374">
        <row r="2">
          <cell r="F2" t="str">
            <v>INCH</v>
          </cell>
        </row>
      </sheetData>
      <sheetData sheetId="2375">
        <row r="2">
          <cell r="F2" t="str">
            <v>INCH</v>
          </cell>
        </row>
      </sheetData>
      <sheetData sheetId="2376">
        <row r="2">
          <cell r="F2" t="str">
            <v>INCH</v>
          </cell>
        </row>
      </sheetData>
      <sheetData sheetId="2377">
        <row r="2">
          <cell r="F2" t="str">
            <v>INCH</v>
          </cell>
        </row>
      </sheetData>
      <sheetData sheetId="2378">
        <row r="2">
          <cell r="F2" t="str">
            <v>INCH</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ow r="2">
          <cell r="F2" t="str">
            <v>INCH</v>
          </cell>
        </row>
      </sheetData>
      <sheetData sheetId="2396">
        <row r="2">
          <cell r="F2" t="str">
            <v>INCH</v>
          </cell>
        </row>
      </sheetData>
      <sheetData sheetId="2397">
        <row r="2">
          <cell r="F2" t="str">
            <v>INCH</v>
          </cell>
        </row>
      </sheetData>
      <sheetData sheetId="2398">
        <row r="2">
          <cell r="F2" t="str">
            <v>INCH</v>
          </cell>
        </row>
      </sheetData>
      <sheetData sheetId="2399">
        <row r="2">
          <cell r="F2" t="str">
            <v>INCH</v>
          </cell>
        </row>
      </sheetData>
      <sheetData sheetId="2400">
        <row r="2">
          <cell r="F2" t="str">
            <v>INCH</v>
          </cell>
        </row>
      </sheetData>
      <sheetData sheetId="2401">
        <row r="2">
          <cell r="F2" t="str">
            <v>INCH</v>
          </cell>
        </row>
      </sheetData>
      <sheetData sheetId="2402">
        <row r="2">
          <cell r="F2" t="str">
            <v>INCH</v>
          </cell>
        </row>
      </sheetData>
      <sheetData sheetId="2403">
        <row r="2">
          <cell r="F2" t="str">
            <v>INCH</v>
          </cell>
        </row>
      </sheetData>
      <sheetData sheetId="2404">
        <row r="2">
          <cell r="F2" t="str">
            <v>INCH</v>
          </cell>
        </row>
      </sheetData>
      <sheetData sheetId="2405">
        <row r="2">
          <cell r="F2" t="str">
            <v>INCH</v>
          </cell>
        </row>
      </sheetData>
      <sheetData sheetId="2406">
        <row r="2">
          <cell r="F2" t="str">
            <v>INCH</v>
          </cell>
        </row>
      </sheetData>
      <sheetData sheetId="2407">
        <row r="2">
          <cell r="F2" t="str">
            <v>INCH</v>
          </cell>
        </row>
      </sheetData>
      <sheetData sheetId="2408">
        <row r="2">
          <cell r="F2" t="str">
            <v>INCH</v>
          </cell>
        </row>
      </sheetData>
      <sheetData sheetId="2409">
        <row r="2">
          <cell r="F2" t="str">
            <v>INCH</v>
          </cell>
        </row>
      </sheetData>
      <sheetData sheetId="2410">
        <row r="2">
          <cell r="F2" t="str">
            <v>INCH</v>
          </cell>
        </row>
      </sheetData>
      <sheetData sheetId="2411">
        <row r="2">
          <cell r="F2" t="str">
            <v>INCH</v>
          </cell>
        </row>
      </sheetData>
      <sheetData sheetId="2412">
        <row r="2">
          <cell r="F2" t="str">
            <v>INCH</v>
          </cell>
        </row>
      </sheetData>
      <sheetData sheetId="2413">
        <row r="2">
          <cell r="F2" t="str">
            <v>INCH</v>
          </cell>
        </row>
      </sheetData>
      <sheetData sheetId="2414">
        <row r="2">
          <cell r="F2" t="str">
            <v>INCH</v>
          </cell>
        </row>
      </sheetData>
      <sheetData sheetId="2415">
        <row r="2">
          <cell r="F2" t="str">
            <v>INCH</v>
          </cell>
        </row>
      </sheetData>
      <sheetData sheetId="2416">
        <row r="2">
          <cell r="F2" t="str">
            <v>INCH</v>
          </cell>
        </row>
      </sheetData>
      <sheetData sheetId="2417">
        <row r="2">
          <cell r="F2" t="str">
            <v>INCH</v>
          </cell>
        </row>
      </sheetData>
      <sheetData sheetId="2418">
        <row r="2">
          <cell r="F2" t="str">
            <v>INCH</v>
          </cell>
        </row>
      </sheetData>
      <sheetData sheetId="2419">
        <row r="2">
          <cell r="F2" t="str">
            <v>INCH</v>
          </cell>
        </row>
      </sheetData>
      <sheetData sheetId="2420">
        <row r="2">
          <cell r="F2" t="str">
            <v>INCH</v>
          </cell>
        </row>
      </sheetData>
      <sheetData sheetId="2421">
        <row r="2">
          <cell r="F2" t="str">
            <v>INCH</v>
          </cell>
        </row>
      </sheetData>
      <sheetData sheetId="2422">
        <row r="2">
          <cell r="F2" t="str">
            <v>INCH</v>
          </cell>
        </row>
      </sheetData>
      <sheetData sheetId="2423">
        <row r="2">
          <cell r="F2" t="str">
            <v>INCH</v>
          </cell>
        </row>
      </sheetData>
      <sheetData sheetId="2424">
        <row r="2">
          <cell r="F2" t="str">
            <v>INCH</v>
          </cell>
        </row>
      </sheetData>
      <sheetData sheetId="2425">
        <row r="2">
          <cell r="F2" t="str">
            <v>INCH</v>
          </cell>
        </row>
      </sheetData>
      <sheetData sheetId="2426">
        <row r="2">
          <cell r="F2" t="str">
            <v>INCH</v>
          </cell>
        </row>
      </sheetData>
      <sheetData sheetId="2427">
        <row r="2">
          <cell r="F2" t="str">
            <v>INCH</v>
          </cell>
        </row>
      </sheetData>
      <sheetData sheetId="2428">
        <row r="2">
          <cell r="F2" t="str">
            <v>INCH</v>
          </cell>
        </row>
      </sheetData>
      <sheetData sheetId="2429">
        <row r="2">
          <cell r="F2" t="str">
            <v>INCH</v>
          </cell>
        </row>
      </sheetData>
      <sheetData sheetId="2430">
        <row r="2">
          <cell r="F2" t="str">
            <v>INCH</v>
          </cell>
        </row>
      </sheetData>
      <sheetData sheetId="2431" refreshError="1"/>
      <sheetData sheetId="2432" refreshError="1"/>
      <sheetData sheetId="2433" refreshError="1"/>
      <sheetData sheetId="2434" refreshError="1"/>
      <sheetData sheetId="2435" refreshError="1"/>
      <sheetData sheetId="2436">
        <row r="2">
          <cell r="F2" t="str">
            <v>INCH</v>
          </cell>
        </row>
      </sheetData>
      <sheetData sheetId="2437">
        <row r="2">
          <cell r="F2" t="str">
            <v>INCH</v>
          </cell>
        </row>
      </sheetData>
      <sheetData sheetId="2438">
        <row r="2">
          <cell r="F2" t="str">
            <v>INCH</v>
          </cell>
        </row>
      </sheetData>
      <sheetData sheetId="2439">
        <row r="2">
          <cell r="F2" t="str">
            <v>INCH</v>
          </cell>
        </row>
      </sheetData>
      <sheetData sheetId="2440">
        <row r="2">
          <cell r="F2" t="str">
            <v>INCH</v>
          </cell>
        </row>
      </sheetData>
      <sheetData sheetId="2441">
        <row r="2">
          <cell r="F2" t="str">
            <v>INCH</v>
          </cell>
        </row>
      </sheetData>
      <sheetData sheetId="2442">
        <row r="2">
          <cell r="F2" t="str">
            <v>INCH</v>
          </cell>
        </row>
      </sheetData>
      <sheetData sheetId="2443">
        <row r="2">
          <cell r="F2" t="str">
            <v>INCH</v>
          </cell>
        </row>
      </sheetData>
      <sheetData sheetId="2444">
        <row r="2">
          <cell r="F2" t="str">
            <v>INCH</v>
          </cell>
        </row>
      </sheetData>
      <sheetData sheetId="2445">
        <row r="2">
          <cell r="F2" t="str">
            <v>INCH</v>
          </cell>
        </row>
      </sheetData>
      <sheetData sheetId="2446">
        <row r="2">
          <cell r="F2" t="str">
            <v>INCH</v>
          </cell>
        </row>
      </sheetData>
      <sheetData sheetId="2447">
        <row r="2">
          <cell r="F2" t="str">
            <v>INCH</v>
          </cell>
        </row>
      </sheetData>
      <sheetData sheetId="2448">
        <row r="2">
          <cell r="F2" t="str">
            <v>INCH</v>
          </cell>
        </row>
      </sheetData>
      <sheetData sheetId="2449">
        <row r="2">
          <cell r="F2" t="str">
            <v>INCH</v>
          </cell>
        </row>
      </sheetData>
      <sheetData sheetId="2450">
        <row r="2">
          <cell r="F2" t="str">
            <v>INCH</v>
          </cell>
        </row>
      </sheetData>
      <sheetData sheetId="2451">
        <row r="2">
          <cell r="F2" t="str">
            <v>INCH</v>
          </cell>
        </row>
      </sheetData>
      <sheetData sheetId="2452">
        <row r="2">
          <cell r="F2" t="str">
            <v>INCH</v>
          </cell>
        </row>
      </sheetData>
      <sheetData sheetId="2453">
        <row r="2">
          <cell r="F2" t="str">
            <v>INCH</v>
          </cell>
        </row>
      </sheetData>
      <sheetData sheetId="2454">
        <row r="2">
          <cell r="F2" t="str">
            <v>INCH</v>
          </cell>
        </row>
      </sheetData>
      <sheetData sheetId="2455">
        <row r="2">
          <cell r="F2" t="str">
            <v>INCH</v>
          </cell>
        </row>
      </sheetData>
      <sheetData sheetId="2456">
        <row r="2">
          <cell r="F2" t="str">
            <v>INCH</v>
          </cell>
        </row>
      </sheetData>
      <sheetData sheetId="2457">
        <row r="2">
          <cell r="F2" t="str">
            <v>INCH</v>
          </cell>
        </row>
      </sheetData>
      <sheetData sheetId="2458">
        <row r="2">
          <cell r="F2" t="str">
            <v>INCH</v>
          </cell>
        </row>
      </sheetData>
      <sheetData sheetId="2459">
        <row r="2">
          <cell r="F2" t="str">
            <v>INCH</v>
          </cell>
        </row>
      </sheetData>
      <sheetData sheetId="2460">
        <row r="2">
          <cell r="F2" t="str">
            <v>INCH</v>
          </cell>
        </row>
      </sheetData>
      <sheetData sheetId="2461">
        <row r="2">
          <cell r="F2" t="str">
            <v>INCH</v>
          </cell>
        </row>
      </sheetData>
      <sheetData sheetId="2462">
        <row r="2">
          <cell r="F2" t="str">
            <v>INCH</v>
          </cell>
        </row>
      </sheetData>
      <sheetData sheetId="2463">
        <row r="2">
          <cell r="F2" t="str">
            <v>INCH</v>
          </cell>
        </row>
      </sheetData>
      <sheetData sheetId="2464">
        <row r="2">
          <cell r="F2" t="str">
            <v>INCH</v>
          </cell>
        </row>
      </sheetData>
      <sheetData sheetId="2465">
        <row r="2">
          <cell r="F2" t="str">
            <v>INCH</v>
          </cell>
        </row>
      </sheetData>
      <sheetData sheetId="2466">
        <row r="2">
          <cell r="F2" t="str">
            <v>INCH</v>
          </cell>
        </row>
      </sheetData>
      <sheetData sheetId="2467">
        <row r="2">
          <cell r="F2" t="str">
            <v>INCH</v>
          </cell>
        </row>
      </sheetData>
      <sheetData sheetId="2468">
        <row r="2">
          <cell r="F2" t="str">
            <v>INCH</v>
          </cell>
        </row>
      </sheetData>
      <sheetData sheetId="2469">
        <row r="2">
          <cell r="F2" t="str">
            <v>INCH</v>
          </cell>
        </row>
      </sheetData>
      <sheetData sheetId="2470">
        <row r="2">
          <cell r="F2" t="str">
            <v>INCH</v>
          </cell>
        </row>
      </sheetData>
      <sheetData sheetId="2471">
        <row r="2">
          <cell r="F2" t="str">
            <v>INCH</v>
          </cell>
        </row>
      </sheetData>
      <sheetData sheetId="2472">
        <row r="2">
          <cell r="F2" t="str">
            <v>INCH</v>
          </cell>
        </row>
      </sheetData>
      <sheetData sheetId="2473">
        <row r="2">
          <cell r="F2" t="str">
            <v>INCH</v>
          </cell>
        </row>
      </sheetData>
      <sheetData sheetId="2474">
        <row r="2">
          <cell r="F2" t="str">
            <v>INCH</v>
          </cell>
        </row>
      </sheetData>
      <sheetData sheetId="2475">
        <row r="2">
          <cell r="F2" t="str">
            <v>INCH</v>
          </cell>
        </row>
      </sheetData>
      <sheetData sheetId="2476">
        <row r="2">
          <cell r="F2" t="str">
            <v>INCH</v>
          </cell>
        </row>
      </sheetData>
      <sheetData sheetId="2477">
        <row r="2">
          <cell r="F2" t="str">
            <v>INCH</v>
          </cell>
        </row>
      </sheetData>
      <sheetData sheetId="2478">
        <row r="2">
          <cell r="F2" t="str">
            <v>INCH</v>
          </cell>
        </row>
      </sheetData>
      <sheetData sheetId="2479">
        <row r="2">
          <cell r="F2" t="str">
            <v>INCH</v>
          </cell>
        </row>
      </sheetData>
      <sheetData sheetId="2480">
        <row r="2">
          <cell r="F2" t="str">
            <v>INCH</v>
          </cell>
        </row>
      </sheetData>
      <sheetData sheetId="2481">
        <row r="2">
          <cell r="F2" t="str">
            <v>INCH</v>
          </cell>
        </row>
      </sheetData>
      <sheetData sheetId="2482">
        <row r="2">
          <cell r="F2" t="str">
            <v>INCH</v>
          </cell>
        </row>
      </sheetData>
      <sheetData sheetId="2483">
        <row r="2">
          <cell r="F2" t="str">
            <v>INCH</v>
          </cell>
        </row>
      </sheetData>
      <sheetData sheetId="2484">
        <row r="2">
          <cell r="F2" t="str">
            <v>INCH</v>
          </cell>
        </row>
      </sheetData>
      <sheetData sheetId="2485">
        <row r="2">
          <cell r="F2" t="str">
            <v>INCH</v>
          </cell>
        </row>
      </sheetData>
      <sheetData sheetId="2486">
        <row r="2">
          <cell r="F2" t="str">
            <v>INCH</v>
          </cell>
        </row>
      </sheetData>
      <sheetData sheetId="2487">
        <row r="2">
          <cell r="F2" t="str">
            <v>INCH</v>
          </cell>
        </row>
      </sheetData>
      <sheetData sheetId="2488">
        <row r="2">
          <cell r="F2" t="str">
            <v>INCH</v>
          </cell>
        </row>
      </sheetData>
      <sheetData sheetId="2489">
        <row r="2">
          <cell r="F2" t="str">
            <v>INCH</v>
          </cell>
        </row>
      </sheetData>
      <sheetData sheetId="2490">
        <row r="2">
          <cell r="F2" t="str">
            <v>INCH</v>
          </cell>
        </row>
      </sheetData>
      <sheetData sheetId="2491">
        <row r="2">
          <cell r="F2" t="str">
            <v>INCH</v>
          </cell>
        </row>
      </sheetData>
      <sheetData sheetId="2492">
        <row r="2">
          <cell r="F2" t="str">
            <v>INCH</v>
          </cell>
        </row>
      </sheetData>
      <sheetData sheetId="2493">
        <row r="2">
          <cell r="F2" t="str">
            <v>INCH</v>
          </cell>
        </row>
      </sheetData>
      <sheetData sheetId="2494">
        <row r="2">
          <cell r="F2" t="str">
            <v>INCH</v>
          </cell>
        </row>
      </sheetData>
      <sheetData sheetId="2495">
        <row r="2">
          <cell r="F2" t="str">
            <v>INCH</v>
          </cell>
        </row>
      </sheetData>
      <sheetData sheetId="2496">
        <row r="2">
          <cell r="F2" t="str">
            <v>INCH</v>
          </cell>
        </row>
      </sheetData>
      <sheetData sheetId="2497">
        <row r="2">
          <cell r="F2" t="str">
            <v>INCH</v>
          </cell>
        </row>
      </sheetData>
      <sheetData sheetId="2498">
        <row r="2">
          <cell r="F2" t="str">
            <v>INCH</v>
          </cell>
        </row>
      </sheetData>
      <sheetData sheetId="2499">
        <row r="2">
          <cell r="F2" t="str">
            <v>INCH</v>
          </cell>
        </row>
      </sheetData>
      <sheetData sheetId="2500">
        <row r="2">
          <cell r="F2" t="str">
            <v>INCH</v>
          </cell>
        </row>
      </sheetData>
      <sheetData sheetId="2501">
        <row r="2">
          <cell r="F2" t="str">
            <v>INCH</v>
          </cell>
        </row>
      </sheetData>
      <sheetData sheetId="2502">
        <row r="2">
          <cell r="F2" t="str">
            <v>INCH</v>
          </cell>
        </row>
      </sheetData>
      <sheetData sheetId="2503">
        <row r="2">
          <cell r="F2" t="str">
            <v>INCH</v>
          </cell>
        </row>
      </sheetData>
      <sheetData sheetId="2504">
        <row r="2">
          <cell r="F2" t="str">
            <v>INCH</v>
          </cell>
        </row>
      </sheetData>
      <sheetData sheetId="2505">
        <row r="2">
          <cell r="F2" t="str">
            <v>INCH</v>
          </cell>
        </row>
      </sheetData>
      <sheetData sheetId="2506">
        <row r="2">
          <cell r="F2" t="str">
            <v>INCH</v>
          </cell>
        </row>
      </sheetData>
      <sheetData sheetId="2507">
        <row r="2">
          <cell r="F2" t="str">
            <v>INCH</v>
          </cell>
        </row>
      </sheetData>
      <sheetData sheetId="2508">
        <row r="2">
          <cell r="F2" t="str">
            <v>INCH</v>
          </cell>
        </row>
      </sheetData>
      <sheetData sheetId="2509">
        <row r="2">
          <cell r="F2" t="str">
            <v>INCH</v>
          </cell>
        </row>
      </sheetData>
      <sheetData sheetId="2510">
        <row r="2">
          <cell r="F2" t="str">
            <v>INCH</v>
          </cell>
        </row>
      </sheetData>
      <sheetData sheetId="2511">
        <row r="2">
          <cell r="F2" t="str">
            <v>INCH</v>
          </cell>
        </row>
      </sheetData>
      <sheetData sheetId="2512">
        <row r="2">
          <cell r="F2" t="str">
            <v>INCH</v>
          </cell>
        </row>
      </sheetData>
      <sheetData sheetId="2513">
        <row r="2">
          <cell r="F2" t="str">
            <v>INCH</v>
          </cell>
        </row>
      </sheetData>
      <sheetData sheetId="2514">
        <row r="2">
          <cell r="F2" t="str">
            <v>INCH</v>
          </cell>
        </row>
      </sheetData>
      <sheetData sheetId="2515">
        <row r="2">
          <cell r="F2" t="str">
            <v>INCH</v>
          </cell>
        </row>
      </sheetData>
      <sheetData sheetId="2516">
        <row r="2">
          <cell r="F2" t="str">
            <v>INCH</v>
          </cell>
        </row>
      </sheetData>
      <sheetData sheetId="2517">
        <row r="2">
          <cell r="F2" t="str">
            <v>INCH</v>
          </cell>
        </row>
      </sheetData>
      <sheetData sheetId="2518">
        <row r="2">
          <cell r="F2" t="str">
            <v>INCH</v>
          </cell>
        </row>
      </sheetData>
      <sheetData sheetId="2519">
        <row r="2">
          <cell r="F2" t="str">
            <v>INCH</v>
          </cell>
        </row>
      </sheetData>
      <sheetData sheetId="2520">
        <row r="2">
          <cell r="F2" t="str">
            <v>INCH</v>
          </cell>
        </row>
      </sheetData>
      <sheetData sheetId="2521">
        <row r="2">
          <cell r="F2" t="str">
            <v>INCH</v>
          </cell>
        </row>
      </sheetData>
      <sheetData sheetId="2522">
        <row r="2">
          <cell r="F2" t="str">
            <v>INCH</v>
          </cell>
        </row>
      </sheetData>
      <sheetData sheetId="2523">
        <row r="2">
          <cell r="F2" t="str">
            <v>INCH</v>
          </cell>
        </row>
      </sheetData>
      <sheetData sheetId="2524">
        <row r="2">
          <cell r="F2" t="str">
            <v>INCH</v>
          </cell>
        </row>
      </sheetData>
      <sheetData sheetId="2525">
        <row r="2">
          <cell r="F2" t="str">
            <v>INCH</v>
          </cell>
        </row>
      </sheetData>
      <sheetData sheetId="2526">
        <row r="2">
          <cell r="F2" t="str">
            <v>INCH</v>
          </cell>
        </row>
      </sheetData>
      <sheetData sheetId="2527">
        <row r="2">
          <cell r="F2" t="str">
            <v>INCH</v>
          </cell>
        </row>
      </sheetData>
      <sheetData sheetId="2528">
        <row r="2">
          <cell r="F2" t="str">
            <v>INCH</v>
          </cell>
        </row>
      </sheetData>
      <sheetData sheetId="2529">
        <row r="2">
          <cell r="F2" t="str">
            <v>INCH</v>
          </cell>
        </row>
      </sheetData>
      <sheetData sheetId="2530">
        <row r="2">
          <cell r="F2" t="str">
            <v>INCH</v>
          </cell>
        </row>
      </sheetData>
      <sheetData sheetId="2531">
        <row r="2">
          <cell r="F2" t="str">
            <v>INCH</v>
          </cell>
        </row>
      </sheetData>
      <sheetData sheetId="2532">
        <row r="2">
          <cell r="F2" t="str">
            <v>INCH</v>
          </cell>
        </row>
      </sheetData>
      <sheetData sheetId="2533">
        <row r="2">
          <cell r="F2" t="str">
            <v>INCH</v>
          </cell>
        </row>
      </sheetData>
      <sheetData sheetId="2534">
        <row r="2">
          <cell r="F2" t="str">
            <v>INCH</v>
          </cell>
        </row>
      </sheetData>
      <sheetData sheetId="2535">
        <row r="2">
          <cell r="F2" t="str">
            <v>INCH</v>
          </cell>
        </row>
      </sheetData>
      <sheetData sheetId="2536">
        <row r="2">
          <cell r="F2" t="str">
            <v>INCH</v>
          </cell>
        </row>
      </sheetData>
      <sheetData sheetId="2537">
        <row r="2">
          <cell r="F2" t="str">
            <v>INCH</v>
          </cell>
        </row>
      </sheetData>
      <sheetData sheetId="2538">
        <row r="2">
          <cell r="F2" t="str">
            <v>INCH</v>
          </cell>
        </row>
      </sheetData>
      <sheetData sheetId="2539">
        <row r="2">
          <cell r="F2" t="str">
            <v>INCH</v>
          </cell>
        </row>
      </sheetData>
      <sheetData sheetId="2540">
        <row r="2">
          <cell r="F2" t="str">
            <v>INCH</v>
          </cell>
        </row>
      </sheetData>
      <sheetData sheetId="2541">
        <row r="2">
          <cell r="F2" t="str">
            <v>INCH</v>
          </cell>
        </row>
      </sheetData>
      <sheetData sheetId="2542">
        <row r="2">
          <cell r="F2" t="str">
            <v>INCH</v>
          </cell>
        </row>
      </sheetData>
      <sheetData sheetId="2543">
        <row r="2">
          <cell r="F2" t="str">
            <v>INCH</v>
          </cell>
        </row>
      </sheetData>
      <sheetData sheetId="2544">
        <row r="2">
          <cell r="F2" t="str">
            <v>INCH</v>
          </cell>
        </row>
      </sheetData>
      <sheetData sheetId="2545">
        <row r="2">
          <cell r="F2" t="str">
            <v>INCH</v>
          </cell>
        </row>
      </sheetData>
      <sheetData sheetId="2546">
        <row r="2">
          <cell r="F2" t="str">
            <v>INCH</v>
          </cell>
        </row>
      </sheetData>
      <sheetData sheetId="2547">
        <row r="2">
          <cell r="F2" t="str">
            <v>INCH</v>
          </cell>
        </row>
      </sheetData>
      <sheetData sheetId="2548">
        <row r="2">
          <cell r="F2" t="str">
            <v>INCH</v>
          </cell>
        </row>
      </sheetData>
      <sheetData sheetId="2549">
        <row r="2">
          <cell r="F2" t="str">
            <v>INCH</v>
          </cell>
        </row>
      </sheetData>
      <sheetData sheetId="2550">
        <row r="2">
          <cell r="F2" t="str">
            <v>INCH</v>
          </cell>
        </row>
      </sheetData>
      <sheetData sheetId="2551">
        <row r="2">
          <cell r="F2" t="str">
            <v>INCH</v>
          </cell>
        </row>
      </sheetData>
      <sheetData sheetId="2552">
        <row r="2">
          <cell r="F2" t="str">
            <v>INCH</v>
          </cell>
        </row>
      </sheetData>
      <sheetData sheetId="2553">
        <row r="2">
          <cell r="F2" t="str">
            <v>INCH</v>
          </cell>
        </row>
      </sheetData>
      <sheetData sheetId="2554">
        <row r="2">
          <cell r="F2" t="str">
            <v>INCH</v>
          </cell>
        </row>
      </sheetData>
      <sheetData sheetId="2555">
        <row r="2">
          <cell r="F2" t="str">
            <v>INCH</v>
          </cell>
        </row>
      </sheetData>
      <sheetData sheetId="2556">
        <row r="2">
          <cell r="F2" t="str">
            <v>INCH</v>
          </cell>
        </row>
      </sheetData>
      <sheetData sheetId="2557">
        <row r="2">
          <cell r="F2" t="str">
            <v>INCH</v>
          </cell>
        </row>
      </sheetData>
      <sheetData sheetId="2558">
        <row r="2">
          <cell r="F2" t="str">
            <v>INCH</v>
          </cell>
        </row>
      </sheetData>
      <sheetData sheetId="2559">
        <row r="2">
          <cell r="F2" t="str">
            <v>INCH</v>
          </cell>
        </row>
      </sheetData>
      <sheetData sheetId="2560">
        <row r="2">
          <cell r="F2" t="str">
            <v>INCH</v>
          </cell>
        </row>
      </sheetData>
      <sheetData sheetId="2561">
        <row r="2">
          <cell r="F2" t="str">
            <v>INCH</v>
          </cell>
        </row>
      </sheetData>
      <sheetData sheetId="2562">
        <row r="2">
          <cell r="F2" t="str">
            <v>INCH</v>
          </cell>
        </row>
      </sheetData>
      <sheetData sheetId="2563">
        <row r="2">
          <cell r="F2" t="str">
            <v>INCH</v>
          </cell>
        </row>
      </sheetData>
      <sheetData sheetId="2564">
        <row r="2">
          <cell r="F2" t="str">
            <v>INCH</v>
          </cell>
        </row>
      </sheetData>
      <sheetData sheetId="2565">
        <row r="2">
          <cell r="F2" t="str">
            <v>INCH</v>
          </cell>
        </row>
      </sheetData>
      <sheetData sheetId="2566">
        <row r="2">
          <cell r="F2" t="str">
            <v>INCH</v>
          </cell>
        </row>
      </sheetData>
      <sheetData sheetId="2567">
        <row r="2">
          <cell r="F2" t="str">
            <v>INCH</v>
          </cell>
        </row>
      </sheetData>
      <sheetData sheetId="2568">
        <row r="2">
          <cell r="F2" t="str">
            <v>INCH</v>
          </cell>
        </row>
      </sheetData>
      <sheetData sheetId="2569">
        <row r="2">
          <cell r="F2" t="str">
            <v>INCH</v>
          </cell>
        </row>
      </sheetData>
      <sheetData sheetId="2570">
        <row r="2">
          <cell r="F2" t="str">
            <v>INCH</v>
          </cell>
        </row>
      </sheetData>
      <sheetData sheetId="2571">
        <row r="2">
          <cell r="F2" t="str">
            <v>INCH</v>
          </cell>
        </row>
      </sheetData>
      <sheetData sheetId="2572">
        <row r="2">
          <cell r="F2" t="str">
            <v>INCH</v>
          </cell>
        </row>
      </sheetData>
      <sheetData sheetId="2573">
        <row r="2">
          <cell r="F2" t="str">
            <v>INCH</v>
          </cell>
        </row>
      </sheetData>
      <sheetData sheetId="2574">
        <row r="2">
          <cell r="F2" t="str">
            <v>INCH</v>
          </cell>
        </row>
      </sheetData>
      <sheetData sheetId="2575">
        <row r="2">
          <cell r="F2" t="str">
            <v>INCH</v>
          </cell>
        </row>
      </sheetData>
      <sheetData sheetId="2576">
        <row r="2">
          <cell r="F2" t="str">
            <v>INCH</v>
          </cell>
        </row>
      </sheetData>
      <sheetData sheetId="2577">
        <row r="2">
          <cell r="F2" t="str">
            <v>INCH</v>
          </cell>
        </row>
      </sheetData>
      <sheetData sheetId="2578">
        <row r="2">
          <cell r="F2" t="str">
            <v>INCH</v>
          </cell>
        </row>
      </sheetData>
      <sheetData sheetId="2579">
        <row r="2">
          <cell r="F2" t="str">
            <v>INCH</v>
          </cell>
        </row>
      </sheetData>
      <sheetData sheetId="2580">
        <row r="2">
          <cell r="F2" t="str">
            <v>INCH</v>
          </cell>
        </row>
      </sheetData>
      <sheetData sheetId="2581">
        <row r="2">
          <cell r="F2" t="str">
            <v>INCH</v>
          </cell>
        </row>
      </sheetData>
      <sheetData sheetId="2582">
        <row r="2">
          <cell r="F2" t="str">
            <v>INCH</v>
          </cell>
        </row>
      </sheetData>
      <sheetData sheetId="2583">
        <row r="2">
          <cell r="F2" t="str">
            <v>INCH</v>
          </cell>
        </row>
      </sheetData>
      <sheetData sheetId="2584">
        <row r="2">
          <cell r="F2" t="str">
            <v>INCH</v>
          </cell>
        </row>
      </sheetData>
      <sheetData sheetId="2585">
        <row r="2">
          <cell r="F2" t="str">
            <v>INCH</v>
          </cell>
        </row>
      </sheetData>
      <sheetData sheetId="2586">
        <row r="2">
          <cell r="F2" t="str">
            <v>INCH</v>
          </cell>
        </row>
      </sheetData>
      <sheetData sheetId="2587">
        <row r="2">
          <cell r="F2" t="str">
            <v>INCH</v>
          </cell>
        </row>
      </sheetData>
      <sheetData sheetId="2588">
        <row r="2">
          <cell r="F2" t="str">
            <v>INCH</v>
          </cell>
        </row>
      </sheetData>
      <sheetData sheetId="2589">
        <row r="2">
          <cell r="F2" t="str">
            <v>INCH</v>
          </cell>
        </row>
      </sheetData>
      <sheetData sheetId="2590">
        <row r="2">
          <cell r="F2" t="str">
            <v>INCH</v>
          </cell>
        </row>
      </sheetData>
      <sheetData sheetId="2591">
        <row r="2">
          <cell r="F2" t="str">
            <v>INCH</v>
          </cell>
        </row>
      </sheetData>
      <sheetData sheetId="2592">
        <row r="2">
          <cell r="F2" t="str">
            <v>INCH</v>
          </cell>
        </row>
      </sheetData>
      <sheetData sheetId="2593">
        <row r="2">
          <cell r="F2" t="str">
            <v>INCH</v>
          </cell>
        </row>
      </sheetData>
      <sheetData sheetId="2594">
        <row r="2">
          <cell r="F2" t="str">
            <v>INCH</v>
          </cell>
        </row>
      </sheetData>
      <sheetData sheetId="2595">
        <row r="2">
          <cell r="F2" t="str">
            <v>INCH</v>
          </cell>
        </row>
      </sheetData>
      <sheetData sheetId="2596">
        <row r="2">
          <cell r="F2" t="str">
            <v>INCH</v>
          </cell>
        </row>
      </sheetData>
      <sheetData sheetId="2597">
        <row r="2">
          <cell r="F2" t="str">
            <v>INCH</v>
          </cell>
        </row>
      </sheetData>
      <sheetData sheetId="2598">
        <row r="2">
          <cell r="F2" t="str">
            <v>INCH</v>
          </cell>
        </row>
      </sheetData>
      <sheetData sheetId="2599">
        <row r="2">
          <cell r="F2" t="str">
            <v>INCH</v>
          </cell>
        </row>
      </sheetData>
      <sheetData sheetId="2600">
        <row r="2">
          <cell r="F2" t="str">
            <v>INCH</v>
          </cell>
        </row>
      </sheetData>
      <sheetData sheetId="2601">
        <row r="2">
          <cell r="F2" t="str">
            <v>INCH</v>
          </cell>
        </row>
      </sheetData>
      <sheetData sheetId="2602">
        <row r="2">
          <cell r="F2" t="str">
            <v>INCH</v>
          </cell>
        </row>
      </sheetData>
      <sheetData sheetId="2603">
        <row r="2">
          <cell r="F2" t="str">
            <v>INCH</v>
          </cell>
        </row>
      </sheetData>
      <sheetData sheetId="2604">
        <row r="2">
          <cell r="F2" t="str">
            <v>INCH</v>
          </cell>
        </row>
      </sheetData>
      <sheetData sheetId="2605">
        <row r="2">
          <cell r="F2" t="str">
            <v>INCH</v>
          </cell>
        </row>
      </sheetData>
      <sheetData sheetId="2606">
        <row r="2">
          <cell r="F2" t="str">
            <v>INCH</v>
          </cell>
        </row>
      </sheetData>
      <sheetData sheetId="2607">
        <row r="2">
          <cell r="F2" t="str">
            <v>INCH</v>
          </cell>
        </row>
      </sheetData>
      <sheetData sheetId="2608">
        <row r="2">
          <cell r="F2" t="str">
            <v>INCH</v>
          </cell>
        </row>
      </sheetData>
      <sheetData sheetId="2609">
        <row r="2">
          <cell r="F2" t="str">
            <v>INCH</v>
          </cell>
        </row>
      </sheetData>
      <sheetData sheetId="2610">
        <row r="2">
          <cell r="F2" t="str">
            <v>INCH</v>
          </cell>
        </row>
      </sheetData>
      <sheetData sheetId="2611">
        <row r="2">
          <cell r="F2" t="str">
            <v>INCH</v>
          </cell>
        </row>
      </sheetData>
      <sheetData sheetId="2612">
        <row r="2">
          <cell r="F2" t="str">
            <v>INCH</v>
          </cell>
        </row>
      </sheetData>
      <sheetData sheetId="2613">
        <row r="2">
          <cell r="F2" t="str">
            <v>INCH</v>
          </cell>
        </row>
      </sheetData>
      <sheetData sheetId="2614">
        <row r="2">
          <cell r="F2" t="str">
            <v>INCH</v>
          </cell>
        </row>
      </sheetData>
      <sheetData sheetId="2615">
        <row r="2">
          <cell r="F2" t="str">
            <v>INCH</v>
          </cell>
        </row>
      </sheetData>
      <sheetData sheetId="2616">
        <row r="2">
          <cell r="F2" t="str">
            <v>INCH</v>
          </cell>
        </row>
      </sheetData>
      <sheetData sheetId="2617">
        <row r="2">
          <cell r="F2" t="str">
            <v>INCH</v>
          </cell>
        </row>
      </sheetData>
      <sheetData sheetId="2618">
        <row r="2">
          <cell r="F2" t="str">
            <v>INCH</v>
          </cell>
        </row>
      </sheetData>
      <sheetData sheetId="2619">
        <row r="2">
          <cell r="F2" t="str">
            <v>INCH</v>
          </cell>
        </row>
      </sheetData>
      <sheetData sheetId="2620">
        <row r="2">
          <cell r="F2" t="str">
            <v>INCH</v>
          </cell>
        </row>
      </sheetData>
      <sheetData sheetId="2621">
        <row r="2">
          <cell r="F2" t="str">
            <v>INCH</v>
          </cell>
        </row>
      </sheetData>
      <sheetData sheetId="2622">
        <row r="2">
          <cell r="F2" t="str">
            <v>INCH</v>
          </cell>
        </row>
      </sheetData>
      <sheetData sheetId="2623">
        <row r="2">
          <cell r="F2" t="str">
            <v>INCH</v>
          </cell>
        </row>
      </sheetData>
      <sheetData sheetId="2624">
        <row r="2">
          <cell r="F2" t="str">
            <v>INCH</v>
          </cell>
        </row>
      </sheetData>
      <sheetData sheetId="2625">
        <row r="2">
          <cell r="F2" t="str">
            <v>INCH</v>
          </cell>
        </row>
      </sheetData>
      <sheetData sheetId="2626">
        <row r="2">
          <cell r="F2" t="str">
            <v>INCH</v>
          </cell>
        </row>
      </sheetData>
      <sheetData sheetId="2627">
        <row r="2">
          <cell r="F2" t="str">
            <v>INCH</v>
          </cell>
        </row>
      </sheetData>
      <sheetData sheetId="2628">
        <row r="2">
          <cell r="F2" t="str">
            <v>INCH</v>
          </cell>
        </row>
      </sheetData>
      <sheetData sheetId="2629">
        <row r="2">
          <cell r="F2" t="str">
            <v>INCH</v>
          </cell>
        </row>
      </sheetData>
      <sheetData sheetId="2630">
        <row r="2">
          <cell r="F2" t="str">
            <v>INCH</v>
          </cell>
        </row>
      </sheetData>
      <sheetData sheetId="2631">
        <row r="2">
          <cell r="F2" t="str">
            <v>INCH</v>
          </cell>
        </row>
      </sheetData>
      <sheetData sheetId="2632">
        <row r="2">
          <cell r="F2" t="str">
            <v>INCH</v>
          </cell>
        </row>
      </sheetData>
      <sheetData sheetId="2633">
        <row r="2">
          <cell r="F2" t="str">
            <v>INCH</v>
          </cell>
        </row>
      </sheetData>
      <sheetData sheetId="2634">
        <row r="2">
          <cell r="F2" t="str">
            <v>INCH</v>
          </cell>
        </row>
      </sheetData>
      <sheetData sheetId="2635">
        <row r="2">
          <cell r="F2" t="str">
            <v>INCH</v>
          </cell>
        </row>
      </sheetData>
      <sheetData sheetId="2636">
        <row r="2">
          <cell r="F2" t="str">
            <v>INCH</v>
          </cell>
        </row>
      </sheetData>
      <sheetData sheetId="2637">
        <row r="2">
          <cell r="F2" t="str">
            <v>INCH</v>
          </cell>
        </row>
      </sheetData>
      <sheetData sheetId="2638">
        <row r="2">
          <cell r="F2" t="str">
            <v>INCH</v>
          </cell>
        </row>
      </sheetData>
      <sheetData sheetId="2639">
        <row r="2">
          <cell r="F2" t="str">
            <v>INCH</v>
          </cell>
        </row>
      </sheetData>
      <sheetData sheetId="2640">
        <row r="2">
          <cell r="F2" t="str">
            <v>INCH</v>
          </cell>
        </row>
      </sheetData>
      <sheetData sheetId="2641">
        <row r="2">
          <cell r="F2" t="str">
            <v>INCH</v>
          </cell>
        </row>
      </sheetData>
      <sheetData sheetId="2642">
        <row r="2">
          <cell r="F2" t="str">
            <v>INCH</v>
          </cell>
        </row>
      </sheetData>
      <sheetData sheetId="2643">
        <row r="2">
          <cell r="F2" t="str">
            <v>INCH</v>
          </cell>
        </row>
      </sheetData>
      <sheetData sheetId="2644">
        <row r="2">
          <cell r="F2" t="str">
            <v>INCH</v>
          </cell>
        </row>
      </sheetData>
      <sheetData sheetId="2645">
        <row r="2">
          <cell r="F2" t="str">
            <v>INCH</v>
          </cell>
        </row>
      </sheetData>
      <sheetData sheetId="2646">
        <row r="2">
          <cell r="F2" t="str">
            <v>INCH</v>
          </cell>
        </row>
      </sheetData>
      <sheetData sheetId="2647">
        <row r="2">
          <cell r="F2" t="str">
            <v>INCH</v>
          </cell>
        </row>
      </sheetData>
      <sheetData sheetId="2648">
        <row r="2">
          <cell r="F2" t="str">
            <v>INCH</v>
          </cell>
        </row>
      </sheetData>
      <sheetData sheetId="2649">
        <row r="2">
          <cell r="F2" t="str">
            <v>INCH</v>
          </cell>
        </row>
      </sheetData>
      <sheetData sheetId="2650">
        <row r="2">
          <cell r="F2" t="str">
            <v>INCH</v>
          </cell>
        </row>
      </sheetData>
      <sheetData sheetId="2651">
        <row r="2">
          <cell r="F2" t="str">
            <v>INCH</v>
          </cell>
        </row>
      </sheetData>
      <sheetData sheetId="2652">
        <row r="2">
          <cell r="F2" t="str">
            <v>INCH</v>
          </cell>
        </row>
      </sheetData>
      <sheetData sheetId="2653">
        <row r="2">
          <cell r="F2" t="str">
            <v>INCH</v>
          </cell>
        </row>
      </sheetData>
      <sheetData sheetId="2654">
        <row r="2">
          <cell r="F2" t="str">
            <v>INCH</v>
          </cell>
        </row>
      </sheetData>
      <sheetData sheetId="2655">
        <row r="2">
          <cell r="F2" t="str">
            <v>INCH</v>
          </cell>
        </row>
      </sheetData>
      <sheetData sheetId="2656">
        <row r="2">
          <cell r="F2" t="str">
            <v>INCH</v>
          </cell>
        </row>
      </sheetData>
      <sheetData sheetId="2657">
        <row r="2">
          <cell r="F2" t="str">
            <v>INCH</v>
          </cell>
        </row>
      </sheetData>
      <sheetData sheetId="2658">
        <row r="2">
          <cell r="F2" t="str">
            <v>INCH</v>
          </cell>
        </row>
      </sheetData>
      <sheetData sheetId="2659">
        <row r="2">
          <cell r="F2" t="str">
            <v>INCH</v>
          </cell>
        </row>
      </sheetData>
      <sheetData sheetId="2660">
        <row r="2">
          <cell r="F2" t="str">
            <v>INCH</v>
          </cell>
        </row>
      </sheetData>
      <sheetData sheetId="2661">
        <row r="2">
          <cell r="F2" t="str">
            <v>INCH</v>
          </cell>
        </row>
      </sheetData>
      <sheetData sheetId="2662">
        <row r="2">
          <cell r="F2" t="str">
            <v>INCH</v>
          </cell>
        </row>
      </sheetData>
      <sheetData sheetId="2663">
        <row r="2">
          <cell r="F2" t="str">
            <v>INCH</v>
          </cell>
        </row>
      </sheetData>
      <sheetData sheetId="2664">
        <row r="2">
          <cell r="F2" t="str">
            <v>INCH</v>
          </cell>
        </row>
      </sheetData>
      <sheetData sheetId="2665">
        <row r="2">
          <cell r="F2" t="str">
            <v>INCH</v>
          </cell>
        </row>
      </sheetData>
      <sheetData sheetId="2666">
        <row r="2">
          <cell r="F2" t="str">
            <v>INCH</v>
          </cell>
        </row>
      </sheetData>
      <sheetData sheetId="2667">
        <row r="2">
          <cell r="F2" t="str">
            <v>INCH</v>
          </cell>
        </row>
      </sheetData>
      <sheetData sheetId="2668">
        <row r="2">
          <cell r="F2" t="str">
            <v>INCH</v>
          </cell>
        </row>
      </sheetData>
      <sheetData sheetId="2669">
        <row r="2">
          <cell r="F2" t="str">
            <v>INCH</v>
          </cell>
        </row>
      </sheetData>
      <sheetData sheetId="2670">
        <row r="2">
          <cell r="F2" t="str">
            <v>INCH</v>
          </cell>
        </row>
      </sheetData>
      <sheetData sheetId="2671">
        <row r="2">
          <cell r="F2" t="str">
            <v>INCH</v>
          </cell>
        </row>
      </sheetData>
      <sheetData sheetId="2672">
        <row r="2">
          <cell r="F2" t="str">
            <v>INCH</v>
          </cell>
        </row>
      </sheetData>
      <sheetData sheetId="2673">
        <row r="2">
          <cell r="F2" t="str">
            <v>INCH</v>
          </cell>
        </row>
      </sheetData>
      <sheetData sheetId="2674">
        <row r="2">
          <cell r="F2" t="str">
            <v>INCH</v>
          </cell>
        </row>
      </sheetData>
      <sheetData sheetId="2675">
        <row r="2">
          <cell r="F2" t="str">
            <v>INCH</v>
          </cell>
        </row>
      </sheetData>
      <sheetData sheetId="2676">
        <row r="2">
          <cell r="F2" t="str">
            <v>INCH</v>
          </cell>
        </row>
      </sheetData>
      <sheetData sheetId="2677">
        <row r="2">
          <cell r="F2" t="str">
            <v>INCH</v>
          </cell>
        </row>
      </sheetData>
      <sheetData sheetId="2678">
        <row r="2">
          <cell r="F2" t="str">
            <v>INCH</v>
          </cell>
        </row>
      </sheetData>
      <sheetData sheetId="2679">
        <row r="2">
          <cell r="F2" t="str">
            <v>INCH</v>
          </cell>
        </row>
      </sheetData>
      <sheetData sheetId="2680">
        <row r="2">
          <cell r="F2" t="str">
            <v>INCH</v>
          </cell>
        </row>
      </sheetData>
      <sheetData sheetId="2681">
        <row r="2">
          <cell r="F2" t="str">
            <v>INCH</v>
          </cell>
        </row>
      </sheetData>
      <sheetData sheetId="2682">
        <row r="2">
          <cell r="F2" t="str">
            <v>INCH</v>
          </cell>
        </row>
      </sheetData>
      <sheetData sheetId="2683">
        <row r="2">
          <cell r="F2" t="str">
            <v>INCH</v>
          </cell>
        </row>
      </sheetData>
      <sheetData sheetId="2684">
        <row r="2">
          <cell r="F2" t="str">
            <v>INCH</v>
          </cell>
        </row>
      </sheetData>
      <sheetData sheetId="2685">
        <row r="2">
          <cell r="F2" t="str">
            <v>INCH</v>
          </cell>
        </row>
      </sheetData>
      <sheetData sheetId="2686">
        <row r="2">
          <cell r="F2" t="str">
            <v>INCH</v>
          </cell>
        </row>
      </sheetData>
      <sheetData sheetId="2687">
        <row r="2">
          <cell r="F2" t="str">
            <v>INCH</v>
          </cell>
        </row>
      </sheetData>
      <sheetData sheetId="2688">
        <row r="2">
          <cell r="F2" t="str">
            <v>INCH</v>
          </cell>
        </row>
      </sheetData>
      <sheetData sheetId="2689">
        <row r="2">
          <cell r="F2" t="str">
            <v>INCH</v>
          </cell>
        </row>
      </sheetData>
      <sheetData sheetId="2690">
        <row r="2">
          <cell r="F2" t="str">
            <v>INCH</v>
          </cell>
        </row>
      </sheetData>
      <sheetData sheetId="2691">
        <row r="2">
          <cell r="F2" t="str">
            <v>INCH</v>
          </cell>
        </row>
      </sheetData>
      <sheetData sheetId="2692">
        <row r="2">
          <cell r="F2" t="str">
            <v>INCH</v>
          </cell>
        </row>
      </sheetData>
      <sheetData sheetId="2693">
        <row r="2">
          <cell r="F2" t="str">
            <v>INCH</v>
          </cell>
        </row>
      </sheetData>
      <sheetData sheetId="2694">
        <row r="2">
          <cell r="F2" t="str">
            <v>INCH</v>
          </cell>
        </row>
      </sheetData>
      <sheetData sheetId="2695">
        <row r="2">
          <cell r="F2" t="str">
            <v>INCH</v>
          </cell>
        </row>
      </sheetData>
      <sheetData sheetId="2696">
        <row r="2">
          <cell r="F2" t="str">
            <v>INCH</v>
          </cell>
        </row>
      </sheetData>
      <sheetData sheetId="2697">
        <row r="2">
          <cell r="F2" t="str">
            <v>INCH</v>
          </cell>
        </row>
      </sheetData>
      <sheetData sheetId="2698">
        <row r="2">
          <cell r="F2" t="str">
            <v>INCH</v>
          </cell>
        </row>
      </sheetData>
      <sheetData sheetId="2699">
        <row r="2">
          <cell r="F2" t="str">
            <v>INCH</v>
          </cell>
        </row>
      </sheetData>
      <sheetData sheetId="2700">
        <row r="2">
          <cell r="F2" t="str">
            <v>INCH</v>
          </cell>
        </row>
      </sheetData>
      <sheetData sheetId="2701">
        <row r="2">
          <cell r="F2" t="str">
            <v>INCH</v>
          </cell>
        </row>
      </sheetData>
      <sheetData sheetId="2702">
        <row r="2">
          <cell r="F2" t="str">
            <v>INCH</v>
          </cell>
        </row>
      </sheetData>
      <sheetData sheetId="2703">
        <row r="2">
          <cell r="F2" t="str">
            <v>INCH</v>
          </cell>
        </row>
      </sheetData>
      <sheetData sheetId="2704">
        <row r="2">
          <cell r="F2" t="str">
            <v>INCH</v>
          </cell>
        </row>
      </sheetData>
      <sheetData sheetId="2705">
        <row r="2">
          <cell r="F2" t="str">
            <v>INCH</v>
          </cell>
        </row>
      </sheetData>
      <sheetData sheetId="2706">
        <row r="2">
          <cell r="F2" t="str">
            <v>INCH</v>
          </cell>
        </row>
      </sheetData>
      <sheetData sheetId="2707">
        <row r="2">
          <cell r="F2" t="str">
            <v>INCH</v>
          </cell>
        </row>
      </sheetData>
      <sheetData sheetId="2708">
        <row r="2">
          <cell r="F2" t="str">
            <v>INCH</v>
          </cell>
        </row>
      </sheetData>
      <sheetData sheetId="2709">
        <row r="2">
          <cell r="F2" t="str">
            <v>INCH</v>
          </cell>
        </row>
      </sheetData>
      <sheetData sheetId="2710">
        <row r="2">
          <cell r="F2" t="str">
            <v>INCH</v>
          </cell>
        </row>
      </sheetData>
      <sheetData sheetId="2711">
        <row r="2">
          <cell r="F2" t="str">
            <v>INCH</v>
          </cell>
        </row>
      </sheetData>
      <sheetData sheetId="2712">
        <row r="2">
          <cell r="F2" t="str">
            <v>INCH</v>
          </cell>
        </row>
      </sheetData>
      <sheetData sheetId="2713">
        <row r="2">
          <cell r="F2" t="str">
            <v>INCH</v>
          </cell>
        </row>
      </sheetData>
      <sheetData sheetId="2714">
        <row r="2">
          <cell r="F2" t="str">
            <v>INCH</v>
          </cell>
        </row>
      </sheetData>
      <sheetData sheetId="2715">
        <row r="2">
          <cell r="F2" t="str">
            <v>INCH</v>
          </cell>
        </row>
      </sheetData>
      <sheetData sheetId="2716">
        <row r="2">
          <cell r="F2" t="str">
            <v>INCH</v>
          </cell>
        </row>
      </sheetData>
      <sheetData sheetId="2717">
        <row r="2">
          <cell r="F2" t="str">
            <v>INCH</v>
          </cell>
        </row>
      </sheetData>
      <sheetData sheetId="2718">
        <row r="2">
          <cell r="F2" t="str">
            <v>INCH</v>
          </cell>
        </row>
      </sheetData>
      <sheetData sheetId="2719">
        <row r="2">
          <cell r="F2" t="str">
            <v>INCH</v>
          </cell>
        </row>
      </sheetData>
      <sheetData sheetId="2720">
        <row r="2">
          <cell r="F2" t="str">
            <v>INCH</v>
          </cell>
        </row>
      </sheetData>
      <sheetData sheetId="2721">
        <row r="2">
          <cell r="F2" t="str">
            <v>INCH</v>
          </cell>
        </row>
      </sheetData>
      <sheetData sheetId="2722">
        <row r="2">
          <cell r="F2" t="str">
            <v>INCH</v>
          </cell>
        </row>
      </sheetData>
      <sheetData sheetId="2723">
        <row r="2">
          <cell r="F2" t="str">
            <v>INCH</v>
          </cell>
        </row>
      </sheetData>
      <sheetData sheetId="2724">
        <row r="2">
          <cell r="F2" t="str">
            <v>INCH</v>
          </cell>
        </row>
      </sheetData>
      <sheetData sheetId="2725">
        <row r="2">
          <cell r="F2" t="str">
            <v>INCH</v>
          </cell>
        </row>
      </sheetData>
      <sheetData sheetId="2726">
        <row r="2">
          <cell r="F2" t="str">
            <v>INCH</v>
          </cell>
        </row>
      </sheetData>
      <sheetData sheetId="2727">
        <row r="2">
          <cell r="F2" t="str">
            <v>INCH</v>
          </cell>
        </row>
      </sheetData>
      <sheetData sheetId="2728">
        <row r="2">
          <cell r="F2" t="str">
            <v>INCH</v>
          </cell>
        </row>
      </sheetData>
      <sheetData sheetId="2729">
        <row r="2">
          <cell r="F2" t="str">
            <v>INCH</v>
          </cell>
        </row>
      </sheetData>
      <sheetData sheetId="2730">
        <row r="2">
          <cell r="F2" t="str">
            <v>INCH</v>
          </cell>
        </row>
      </sheetData>
      <sheetData sheetId="2731">
        <row r="2">
          <cell r="F2" t="str">
            <v>INCH</v>
          </cell>
        </row>
      </sheetData>
      <sheetData sheetId="2732">
        <row r="2">
          <cell r="F2" t="str">
            <v>INCH</v>
          </cell>
        </row>
      </sheetData>
      <sheetData sheetId="2733">
        <row r="2">
          <cell r="F2" t="str">
            <v>INCH</v>
          </cell>
        </row>
      </sheetData>
      <sheetData sheetId="2734">
        <row r="2">
          <cell r="F2" t="str">
            <v>INCH</v>
          </cell>
        </row>
      </sheetData>
      <sheetData sheetId="2735">
        <row r="2">
          <cell r="F2" t="str">
            <v>INCH</v>
          </cell>
        </row>
      </sheetData>
      <sheetData sheetId="2736">
        <row r="2">
          <cell r="F2" t="str">
            <v>INCH</v>
          </cell>
        </row>
      </sheetData>
      <sheetData sheetId="2737">
        <row r="2">
          <cell r="F2" t="str">
            <v>INCH</v>
          </cell>
        </row>
      </sheetData>
      <sheetData sheetId="2738">
        <row r="2">
          <cell r="F2" t="str">
            <v>INCH</v>
          </cell>
        </row>
      </sheetData>
      <sheetData sheetId="2739">
        <row r="2">
          <cell r="F2" t="str">
            <v>INCH</v>
          </cell>
        </row>
      </sheetData>
      <sheetData sheetId="2740">
        <row r="2">
          <cell r="F2" t="str">
            <v>INCH</v>
          </cell>
        </row>
      </sheetData>
      <sheetData sheetId="2741">
        <row r="2">
          <cell r="F2" t="str">
            <v>INCH</v>
          </cell>
        </row>
      </sheetData>
      <sheetData sheetId="2742">
        <row r="2">
          <cell r="F2" t="str">
            <v>INCH</v>
          </cell>
        </row>
      </sheetData>
      <sheetData sheetId="2743">
        <row r="2">
          <cell r="F2" t="str">
            <v>INCH</v>
          </cell>
        </row>
      </sheetData>
      <sheetData sheetId="2744">
        <row r="2">
          <cell r="F2" t="str">
            <v>INCH</v>
          </cell>
        </row>
      </sheetData>
      <sheetData sheetId="2745">
        <row r="2">
          <cell r="F2" t="str">
            <v>INCH</v>
          </cell>
        </row>
      </sheetData>
      <sheetData sheetId="2746">
        <row r="2">
          <cell r="F2" t="str">
            <v>INCH</v>
          </cell>
        </row>
      </sheetData>
      <sheetData sheetId="2747">
        <row r="2">
          <cell r="F2" t="str">
            <v>INCH</v>
          </cell>
        </row>
      </sheetData>
      <sheetData sheetId="2748">
        <row r="2">
          <cell r="F2" t="str">
            <v>INCH</v>
          </cell>
        </row>
      </sheetData>
      <sheetData sheetId="2749">
        <row r="2">
          <cell r="F2" t="str">
            <v>INCH</v>
          </cell>
        </row>
      </sheetData>
      <sheetData sheetId="2750">
        <row r="2">
          <cell r="F2" t="str">
            <v>INCH</v>
          </cell>
        </row>
      </sheetData>
      <sheetData sheetId="2751">
        <row r="2">
          <cell r="F2" t="str">
            <v>INCH</v>
          </cell>
        </row>
      </sheetData>
      <sheetData sheetId="2752">
        <row r="2">
          <cell r="F2" t="str">
            <v>INCH</v>
          </cell>
        </row>
      </sheetData>
      <sheetData sheetId="2753">
        <row r="2">
          <cell r="F2" t="str">
            <v>INCH</v>
          </cell>
        </row>
      </sheetData>
      <sheetData sheetId="2754">
        <row r="2">
          <cell r="F2" t="str">
            <v>INCH</v>
          </cell>
        </row>
      </sheetData>
      <sheetData sheetId="2755">
        <row r="2">
          <cell r="F2" t="str">
            <v>INCH</v>
          </cell>
        </row>
      </sheetData>
      <sheetData sheetId="2756">
        <row r="2">
          <cell r="F2" t="str">
            <v>INCH</v>
          </cell>
        </row>
      </sheetData>
      <sheetData sheetId="2757">
        <row r="2">
          <cell r="F2" t="str">
            <v>INCH</v>
          </cell>
        </row>
      </sheetData>
      <sheetData sheetId="2758">
        <row r="2">
          <cell r="F2" t="str">
            <v>INCH</v>
          </cell>
        </row>
      </sheetData>
      <sheetData sheetId="2759">
        <row r="2">
          <cell r="F2" t="str">
            <v>INCH</v>
          </cell>
        </row>
      </sheetData>
      <sheetData sheetId="2760">
        <row r="2">
          <cell r="F2" t="str">
            <v>INCH</v>
          </cell>
        </row>
      </sheetData>
      <sheetData sheetId="2761">
        <row r="2">
          <cell r="F2" t="str">
            <v>INCH</v>
          </cell>
        </row>
      </sheetData>
      <sheetData sheetId="2762">
        <row r="2">
          <cell r="F2" t="str">
            <v>INCH</v>
          </cell>
        </row>
      </sheetData>
      <sheetData sheetId="2763">
        <row r="2">
          <cell r="F2" t="str">
            <v>INCH</v>
          </cell>
        </row>
      </sheetData>
      <sheetData sheetId="2764">
        <row r="2">
          <cell r="F2" t="str">
            <v>INCH</v>
          </cell>
        </row>
      </sheetData>
      <sheetData sheetId="2765">
        <row r="2">
          <cell r="F2" t="str">
            <v>INCH</v>
          </cell>
        </row>
      </sheetData>
      <sheetData sheetId="2766">
        <row r="2">
          <cell r="F2" t="str">
            <v>INCH</v>
          </cell>
        </row>
      </sheetData>
      <sheetData sheetId="2767">
        <row r="2">
          <cell r="F2" t="str">
            <v>INCH</v>
          </cell>
        </row>
      </sheetData>
      <sheetData sheetId="2768">
        <row r="2">
          <cell r="F2" t="str">
            <v>INCH</v>
          </cell>
        </row>
      </sheetData>
      <sheetData sheetId="2769">
        <row r="2">
          <cell r="F2" t="str">
            <v>INCH</v>
          </cell>
        </row>
      </sheetData>
      <sheetData sheetId="2770">
        <row r="2">
          <cell r="F2" t="str">
            <v>INCH</v>
          </cell>
        </row>
      </sheetData>
      <sheetData sheetId="2771">
        <row r="2">
          <cell r="F2" t="str">
            <v>INCH</v>
          </cell>
        </row>
      </sheetData>
      <sheetData sheetId="2772">
        <row r="2">
          <cell r="F2" t="str">
            <v>INCH</v>
          </cell>
        </row>
      </sheetData>
      <sheetData sheetId="2773">
        <row r="2">
          <cell r="F2" t="str">
            <v>INCH</v>
          </cell>
        </row>
      </sheetData>
      <sheetData sheetId="2774">
        <row r="2">
          <cell r="F2" t="str">
            <v>INCH</v>
          </cell>
        </row>
      </sheetData>
      <sheetData sheetId="2775">
        <row r="2">
          <cell r="F2" t="str">
            <v>INCH</v>
          </cell>
        </row>
      </sheetData>
      <sheetData sheetId="2776">
        <row r="2">
          <cell r="F2" t="str">
            <v>INCH</v>
          </cell>
        </row>
      </sheetData>
      <sheetData sheetId="2777">
        <row r="2">
          <cell r="F2" t="str">
            <v>INCH</v>
          </cell>
        </row>
      </sheetData>
      <sheetData sheetId="2778">
        <row r="2">
          <cell r="F2" t="str">
            <v>INCH</v>
          </cell>
        </row>
      </sheetData>
      <sheetData sheetId="2779">
        <row r="2">
          <cell r="F2" t="str">
            <v>INCH</v>
          </cell>
        </row>
      </sheetData>
      <sheetData sheetId="2780">
        <row r="2">
          <cell r="F2" t="str">
            <v>INCH</v>
          </cell>
        </row>
      </sheetData>
      <sheetData sheetId="2781">
        <row r="2">
          <cell r="F2" t="str">
            <v>INCH</v>
          </cell>
        </row>
      </sheetData>
      <sheetData sheetId="2782">
        <row r="2">
          <cell r="F2" t="str">
            <v>INCH</v>
          </cell>
        </row>
      </sheetData>
      <sheetData sheetId="2783">
        <row r="2">
          <cell r="F2" t="str">
            <v>INCH</v>
          </cell>
        </row>
      </sheetData>
      <sheetData sheetId="2784">
        <row r="2">
          <cell r="F2" t="str">
            <v>INCH</v>
          </cell>
        </row>
      </sheetData>
      <sheetData sheetId="2785">
        <row r="2">
          <cell r="F2" t="str">
            <v>INCH</v>
          </cell>
        </row>
      </sheetData>
      <sheetData sheetId="2786">
        <row r="2">
          <cell r="F2" t="str">
            <v>INCH</v>
          </cell>
        </row>
      </sheetData>
      <sheetData sheetId="2787">
        <row r="2">
          <cell r="F2" t="str">
            <v>INCH</v>
          </cell>
        </row>
      </sheetData>
      <sheetData sheetId="2788">
        <row r="2">
          <cell r="F2" t="str">
            <v>INCH</v>
          </cell>
        </row>
      </sheetData>
      <sheetData sheetId="2789">
        <row r="2">
          <cell r="F2" t="str">
            <v>INCH</v>
          </cell>
        </row>
      </sheetData>
      <sheetData sheetId="2790">
        <row r="2">
          <cell r="F2" t="str">
            <v>INCH</v>
          </cell>
        </row>
      </sheetData>
      <sheetData sheetId="2791">
        <row r="2">
          <cell r="F2" t="str">
            <v>INCH</v>
          </cell>
        </row>
      </sheetData>
      <sheetData sheetId="2792">
        <row r="2">
          <cell r="F2" t="str">
            <v>INCH</v>
          </cell>
        </row>
      </sheetData>
      <sheetData sheetId="2793">
        <row r="2">
          <cell r="F2" t="str">
            <v>INCH</v>
          </cell>
        </row>
      </sheetData>
      <sheetData sheetId="2794">
        <row r="2">
          <cell r="F2" t="str">
            <v>INCH</v>
          </cell>
        </row>
      </sheetData>
      <sheetData sheetId="2795">
        <row r="2">
          <cell r="F2" t="str">
            <v>INCH</v>
          </cell>
        </row>
      </sheetData>
      <sheetData sheetId="2796">
        <row r="2">
          <cell r="F2" t="str">
            <v>INCH</v>
          </cell>
        </row>
      </sheetData>
      <sheetData sheetId="2797">
        <row r="2">
          <cell r="F2" t="str">
            <v>INCH</v>
          </cell>
        </row>
      </sheetData>
      <sheetData sheetId="2798">
        <row r="2">
          <cell r="F2" t="str">
            <v>INCH</v>
          </cell>
        </row>
      </sheetData>
      <sheetData sheetId="2799">
        <row r="2">
          <cell r="F2" t="str">
            <v>INCH</v>
          </cell>
        </row>
      </sheetData>
      <sheetData sheetId="2800">
        <row r="2">
          <cell r="F2" t="str">
            <v>INCH</v>
          </cell>
        </row>
      </sheetData>
      <sheetData sheetId="2801">
        <row r="2">
          <cell r="F2" t="str">
            <v>INCH</v>
          </cell>
        </row>
      </sheetData>
      <sheetData sheetId="2802">
        <row r="2">
          <cell r="F2" t="str">
            <v>INCH</v>
          </cell>
        </row>
      </sheetData>
      <sheetData sheetId="2803">
        <row r="2">
          <cell r="F2" t="str">
            <v>INCH</v>
          </cell>
        </row>
      </sheetData>
      <sheetData sheetId="2804">
        <row r="2">
          <cell r="F2" t="str">
            <v>INCH</v>
          </cell>
        </row>
      </sheetData>
      <sheetData sheetId="2805">
        <row r="2">
          <cell r="F2" t="str">
            <v>INCH</v>
          </cell>
        </row>
      </sheetData>
      <sheetData sheetId="2806">
        <row r="2">
          <cell r="F2" t="str">
            <v>INCH</v>
          </cell>
        </row>
      </sheetData>
      <sheetData sheetId="2807">
        <row r="2">
          <cell r="F2" t="str">
            <v>INCH</v>
          </cell>
        </row>
      </sheetData>
      <sheetData sheetId="2808">
        <row r="2">
          <cell r="F2" t="str">
            <v>INCH</v>
          </cell>
        </row>
      </sheetData>
      <sheetData sheetId="2809">
        <row r="2">
          <cell r="F2" t="str">
            <v>INCH</v>
          </cell>
        </row>
      </sheetData>
      <sheetData sheetId="2810">
        <row r="2">
          <cell r="F2" t="str">
            <v>INCH</v>
          </cell>
        </row>
      </sheetData>
      <sheetData sheetId="2811">
        <row r="2">
          <cell r="F2" t="str">
            <v>INCH</v>
          </cell>
        </row>
      </sheetData>
      <sheetData sheetId="2812">
        <row r="2">
          <cell r="F2" t="str">
            <v>INCH</v>
          </cell>
        </row>
      </sheetData>
      <sheetData sheetId="2813">
        <row r="2">
          <cell r="F2" t="str">
            <v>INCH</v>
          </cell>
        </row>
      </sheetData>
      <sheetData sheetId="2814">
        <row r="2">
          <cell r="F2" t="str">
            <v>INCH</v>
          </cell>
        </row>
      </sheetData>
      <sheetData sheetId="2815">
        <row r="2">
          <cell r="F2" t="str">
            <v>INCH</v>
          </cell>
        </row>
      </sheetData>
      <sheetData sheetId="2816">
        <row r="2">
          <cell r="F2" t="str">
            <v>INCH</v>
          </cell>
        </row>
      </sheetData>
      <sheetData sheetId="2817">
        <row r="2">
          <cell r="F2" t="str">
            <v>INCH</v>
          </cell>
        </row>
      </sheetData>
      <sheetData sheetId="2818">
        <row r="2">
          <cell r="F2" t="str">
            <v>INCH</v>
          </cell>
        </row>
      </sheetData>
      <sheetData sheetId="2819">
        <row r="2">
          <cell r="F2" t="str">
            <v>INCH</v>
          </cell>
        </row>
      </sheetData>
      <sheetData sheetId="2820">
        <row r="2">
          <cell r="F2" t="str">
            <v>INCH</v>
          </cell>
        </row>
      </sheetData>
      <sheetData sheetId="2821">
        <row r="2">
          <cell r="F2" t="str">
            <v>INCH</v>
          </cell>
        </row>
      </sheetData>
      <sheetData sheetId="2822">
        <row r="2">
          <cell r="F2" t="str">
            <v>INCH</v>
          </cell>
        </row>
      </sheetData>
      <sheetData sheetId="2823">
        <row r="2">
          <cell r="F2" t="str">
            <v>INCH</v>
          </cell>
        </row>
      </sheetData>
      <sheetData sheetId="2824">
        <row r="2">
          <cell r="F2" t="str">
            <v>INCH</v>
          </cell>
        </row>
      </sheetData>
      <sheetData sheetId="2825">
        <row r="2">
          <cell r="F2" t="str">
            <v>INCH</v>
          </cell>
        </row>
      </sheetData>
      <sheetData sheetId="2826">
        <row r="2">
          <cell r="F2" t="str">
            <v>INCH</v>
          </cell>
        </row>
      </sheetData>
      <sheetData sheetId="2827">
        <row r="2">
          <cell r="F2" t="str">
            <v>INCH</v>
          </cell>
        </row>
      </sheetData>
      <sheetData sheetId="2828">
        <row r="2">
          <cell r="F2" t="str">
            <v>INCH</v>
          </cell>
        </row>
      </sheetData>
      <sheetData sheetId="2829">
        <row r="2">
          <cell r="F2" t="str">
            <v>INCH</v>
          </cell>
        </row>
      </sheetData>
      <sheetData sheetId="2830">
        <row r="2">
          <cell r="F2" t="str">
            <v>INCH</v>
          </cell>
        </row>
      </sheetData>
      <sheetData sheetId="2831">
        <row r="2">
          <cell r="F2" t="str">
            <v>INCH</v>
          </cell>
        </row>
      </sheetData>
      <sheetData sheetId="2832">
        <row r="2">
          <cell r="F2" t="str">
            <v>INCH</v>
          </cell>
        </row>
      </sheetData>
      <sheetData sheetId="2833">
        <row r="2">
          <cell r="F2" t="str">
            <v>INCH</v>
          </cell>
        </row>
      </sheetData>
      <sheetData sheetId="2834">
        <row r="2">
          <cell r="F2" t="str">
            <v>INCH</v>
          </cell>
        </row>
      </sheetData>
      <sheetData sheetId="2835">
        <row r="2">
          <cell r="F2" t="str">
            <v>INCH</v>
          </cell>
        </row>
      </sheetData>
      <sheetData sheetId="2836">
        <row r="2">
          <cell r="F2" t="str">
            <v>INCH</v>
          </cell>
        </row>
      </sheetData>
      <sheetData sheetId="2837">
        <row r="2">
          <cell r="F2" t="str">
            <v>INCH</v>
          </cell>
        </row>
      </sheetData>
      <sheetData sheetId="2838">
        <row r="2">
          <cell r="F2" t="str">
            <v>INCH</v>
          </cell>
        </row>
      </sheetData>
      <sheetData sheetId="2839">
        <row r="2">
          <cell r="F2" t="str">
            <v>INCH</v>
          </cell>
        </row>
      </sheetData>
      <sheetData sheetId="2840">
        <row r="2">
          <cell r="F2" t="str">
            <v>INCH</v>
          </cell>
        </row>
      </sheetData>
      <sheetData sheetId="2841">
        <row r="2">
          <cell r="F2" t="str">
            <v>INCH</v>
          </cell>
        </row>
      </sheetData>
      <sheetData sheetId="2842">
        <row r="2">
          <cell r="F2" t="str">
            <v>INCH</v>
          </cell>
        </row>
      </sheetData>
      <sheetData sheetId="2843">
        <row r="2">
          <cell r="F2" t="str">
            <v>INCH</v>
          </cell>
        </row>
      </sheetData>
      <sheetData sheetId="2844">
        <row r="2">
          <cell r="F2" t="str">
            <v>INCH</v>
          </cell>
        </row>
      </sheetData>
      <sheetData sheetId="2845">
        <row r="2">
          <cell r="F2" t="str">
            <v>INCH</v>
          </cell>
        </row>
      </sheetData>
      <sheetData sheetId="2846">
        <row r="2">
          <cell r="F2" t="str">
            <v>INCH</v>
          </cell>
        </row>
      </sheetData>
      <sheetData sheetId="2847">
        <row r="2">
          <cell r="F2" t="str">
            <v>INCH</v>
          </cell>
        </row>
      </sheetData>
      <sheetData sheetId="2848">
        <row r="2">
          <cell r="F2" t="str">
            <v>INCH</v>
          </cell>
        </row>
      </sheetData>
      <sheetData sheetId="2849">
        <row r="2">
          <cell r="F2" t="str">
            <v>INCH</v>
          </cell>
        </row>
      </sheetData>
      <sheetData sheetId="2850">
        <row r="2">
          <cell r="F2" t="str">
            <v>INCH</v>
          </cell>
        </row>
      </sheetData>
      <sheetData sheetId="2851">
        <row r="2">
          <cell r="F2" t="str">
            <v>INCH</v>
          </cell>
        </row>
      </sheetData>
      <sheetData sheetId="2852">
        <row r="2">
          <cell r="F2" t="str">
            <v>INCH</v>
          </cell>
        </row>
      </sheetData>
      <sheetData sheetId="2853">
        <row r="2">
          <cell r="F2" t="str">
            <v>INCH</v>
          </cell>
        </row>
      </sheetData>
      <sheetData sheetId="2854">
        <row r="2">
          <cell r="F2" t="str">
            <v>INCH</v>
          </cell>
        </row>
      </sheetData>
      <sheetData sheetId="2855">
        <row r="2">
          <cell r="F2" t="str">
            <v>INCH</v>
          </cell>
        </row>
      </sheetData>
      <sheetData sheetId="2856">
        <row r="2">
          <cell r="F2" t="str">
            <v>INCH</v>
          </cell>
        </row>
      </sheetData>
      <sheetData sheetId="2857">
        <row r="2">
          <cell r="F2" t="str">
            <v>INCH</v>
          </cell>
        </row>
      </sheetData>
      <sheetData sheetId="2858">
        <row r="2">
          <cell r="F2" t="str">
            <v>INCH</v>
          </cell>
        </row>
      </sheetData>
      <sheetData sheetId="2859">
        <row r="2">
          <cell r="F2" t="str">
            <v>INCH</v>
          </cell>
        </row>
      </sheetData>
      <sheetData sheetId="2860">
        <row r="2">
          <cell r="F2" t="str">
            <v>INCH</v>
          </cell>
        </row>
      </sheetData>
      <sheetData sheetId="2861">
        <row r="2">
          <cell r="F2" t="str">
            <v>INCH</v>
          </cell>
        </row>
      </sheetData>
      <sheetData sheetId="2862">
        <row r="2">
          <cell r="F2" t="str">
            <v>INCH</v>
          </cell>
        </row>
      </sheetData>
      <sheetData sheetId="2863">
        <row r="2">
          <cell r="F2" t="str">
            <v>INCH</v>
          </cell>
        </row>
      </sheetData>
      <sheetData sheetId="2864">
        <row r="2">
          <cell r="F2" t="str">
            <v>INCH</v>
          </cell>
        </row>
      </sheetData>
      <sheetData sheetId="2865">
        <row r="2">
          <cell r="F2" t="str">
            <v>INCH</v>
          </cell>
        </row>
      </sheetData>
      <sheetData sheetId="2866">
        <row r="2">
          <cell r="F2" t="str">
            <v>INCH</v>
          </cell>
        </row>
      </sheetData>
      <sheetData sheetId="2867">
        <row r="2">
          <cell r="F2" t="str">
            <v>INCH</v>
          </cell>
        </row>
      </sheetData>
      <sheetData sheetId="2868">
        <row r="2">
          <cell r="F2" t="str">
            <v>INCH</v>
          </cell>
        </row>
      </sheetData>
      <sheetData sheetId="2869">
        <row r="2">
          <cell r="F2" t="str">
            <v>INCH</v>
          </cell>
        </row>
      </sheetData>
      <sheetData sheetId="2870">
        <row r="2">
          <cell r="F2" t="str">
            <v>INCH</v>
          </cell>
        </row>
      </sheetData>
      <sheetData sheetId="2871">
        <row r="2">
          <cell r="F2" t="str">
            <v>INCH</v>
          </cell>
        </row>
      </sheetData>
      <sheetData sheetId="2872">
        <row r="2">
          <cell r="F2" t="str">
            <v>INCH</v>
          </cell>
        </row>
      </sheetData>
      <sheetData sheetId="2873">
        <row r="2">
          <cell r="F2" t="str">
            <v>INCH</v>
          </cell>
        </row>
      </sheetData>
      <sheetData sheetId="2874">
        <row r="2">
          <cell r="F2" t="str">
            <v>INCH</v>
          </cell>
        </row>
      </sheetData>
      <sheetData sheetId="2875">
        <row r="2">
          <cell r="F2" t="str">
            <v>INCH</v>
          </cell>
        </row>
      </sheetData>
      <sheetData sheetId="2876">
        <row r="2">
          <cell r="F2" t="str">
            <v>INCH</v>
          </cell>
        </row>
      </sheetData>
      <sheetData sheetId="2877">
        <row r="2">
          <cell r="F2" t="str">
            <v>INCH</v>
          </cell>
        </row>
      </sheetData>
      <sheetData sheetId="2878">
        <row r="2">
          <cell r="F2" t="str">
            <v>INCH</v>
          </cell>
        </row>
      </sheetData>
      <sheetData sheetId="2879">
        <row r="2">
          <cell r="F2" t="str">
            <v>INCH</v>
          </cell>
        </row>
      </sheetData>
      <sheetData sheetId="2880">
        <row r="2">
          <cell r="F2" t="str">
            <v>INCH</v>
          </cell>
        </row>
      </sheetData>
      <sheetData sheetId="2881">
        <row r="2">
          <cell r="F2" t="str">
            <v>INCH</v>
          </cell>
        </row>
      </sheetData>
      <sheetData sheetId="2882">
        <row r="2">
          <cell r="F2" t="str">
            <v>INCH</v>
          </cell>
        </row>
      </sheetData>
      <sheetData sheetId="2883">
        <row r="2">
          <cell r="F2" t="str">
            <v>INCH</v>
          </cell>
        </row>
      </sheetData>
      <sheetData sheetId="2884">
        <row r="2">
          <cell r="F2" t="str">
            <v>INCH</v>
          </cell>
        </row>
      </sheetData>
      <sheetData sheetId="2885">
        <row r="2">
          <cell r="F2" t="str">
            <v>INCH</v>
          </cell>
        </row>
      </sheetData>
      <sheetData sheetId="2886">
        <row r="2">
          <cell r="F2" t="str">
            <v>INCH</v>
          </cell>
        </row>
      </sheetData>
      <sheetData sheetId="2887">
        <row r="2">
          <cell r="F2" t="str">
            <v>INCH</v>
          </cell>
        </row>
      </sheetData>
      <sheetData sheetId="2888">
        <row r="2">
          <cell r="F2" t="str">
            <v>INCH</v>
          </cell>
        </row>
      </sheetData>
      <sheetData sheetId="2889">
        <row r="2">
          <cell r="F2" t="str">
            <v>INCH</v>
          </cell>
        </row>
      </sheetData>
      <sheetData sheetId="2890">
        <row r="2">
          <cell r="F2" t="str">
            <v>INCH</v>
          </cell>
        </row>
      </sheetData>
      <sheetData sheetId="2891">
        <row r="2">
          <cell r="F2" t="str">
            <v>INCH</v>
          </cell>
        </row>
      </sheetData>
      <sheetData sheetId="2892">
        <row r="2">
          <cell r="F2" t="str">
            <v>INCH</v>
          </cell>
        </row>
      </sheetData>
      <sheetData sheetId="2893">
        <row r="2">
          <cell r="F2" t="str">
            <v>INCH</v>
          </cell>
        </row>
      </sheetData>
      <sheetData sheetId="2894">
        <row r="2">
          <cell r="F2" t="str">
            <v>INCH</v>
          </cell>
        </row>
      </sheetData>
      <sheetData sheetId="2895">
        <row r="2">
          <cell r="F2" t="str">
            <v>INCH</v>
          </cell>
        </row>
      </sheetData>
      <sheetData sheetId="2896">
        <row r="2">
          <cell r="F2" t="str">
            <v>INCH</v>
          </cell>
        </row>
      </sheetData>
      <sheetData sheetId="2897">
        <row r="2">
          <cell r="F2" t="str">
            <v>INCH</v>
          </cell>
        </row>
      </sheetData>
      <sheetData sheetId="2898">
        <row r="2">
          <cell r="F2" t="str">
            <v>INCH</v>
          </cell>
        </row>
      </sheetData>
      <sheetData sheetId="2899">
        <row r="2">
          <cell r="F2" t="str">
            <v>INCH</v>
          </cell>
        </row>
      </sheetData>
      <sheetData sheetId="2900">
        <row r="2">
          <cell r="F2" t="str">
            <v>INCH</v>
          </cell>
        </row>
      </sheetData>
      <sheetData sheetId="2901">
        <row r="2">
          <cell r="F2" t="str">
            <v>INCH</v>
          </cell>
        </row>
      </sheetData>
      <sheetData sheetId="2902">
        <row r="2">
          <cell r="F2" t="str">
            <v>INCH</v>
          </cell>
        </row>
      </sheetData>
      <sheetData sheetId="2903">
        <row r="2">
          <cell r="F2" t="str">
            <v>INCH</v>
          </cell>
        </row>
      </sheetData>
      <sheetData sheetId="2904">
        <row r="2">
          <cell r="F2" t="str">
            <v>INCH</v>
          </cell>
        </row>
      </sheetData>
      <sheetData sheetId="2905">
        <row r="2">
          <cell r="F2" t="str">
            <v>INCH</v>
          </cell>
        </row>
      </sheetData>
      <sheetData sheetId="2906">
        <row r="2">
          <cell r="F2" t="str">
            <v>INCH</v>
          </cell>
        </row>
      </sheetData>
      <sheetData sheetId="2907">
        <row r="2">
          <cell r="F2" t="str">
            <v>INCH</v>
          </cell>
        </row>
      </sheetData>
      <sheetData sheetId="2908">
        <row r="2">
          <cell r="F2" t="str">
            <v>INCH</v>
          </cell>
        </row>
      </sheetData>
      <sheetData sheetId="2909">
        <row r="2">
          <cell r="F2" t="str">
            <v>INCH</v>
          </cell>
        </row>
      </sheetData>
      <sheetData sheetId="2910">
        <row r="2">
          <cell r="F2" t="str">
            <v>INCH</v>
          </cell>
        </row>
      </sheetData>
      <sheetData sheetId="2911">
        <row r="2">
          <cell r="F2" t="str">
            <v>INCH</v>
          </cell>
        </row>
      </sheetData>
      <sheetData sheetId="2912">
        <row r="2">
          <cell r="F2" t="str">
            <v>INCH</v>
          </cell>
        </row>
      </sheetData>
      <sheetData sheetId="2913">
        <row r="2">
          <cell r="F2" t="str">
            <v>INCH</v>
          </cell>
        </row>
      </sheetData>
      <sheetData sheetId="2914">
        <row r="2">
          <cell r="F2" t="str">
            <v>INCH</v>
          </cell>
        </row>
      </sheetData>
      <sheetData sheetId="2915">
        <row r="2">
          <cell r="F2" t="str">
            <v>INCH</v>
          </cell>
        </row>
      </sheetData>
      <sheetData sheetId="2916">
        <row r="2">
          <cell r="F2" t="str">
            <v>INCH</v>
          </cell>
        </row>
      </sheetData>
      <sheetData sheetId="2917">
        <row r="2">
          <cell r="F2" t="str">
            <v>INCH</v>
          </cell>
        </row>
      </sheetData>
      <sheetData sheetId="2918">
        <row r="2">
          <cell r="F2" t="str">
            <v>INCH</v>
          </cell>
        </row>
      </sheetData>
      <sheetData sheetId="2919">
        <row r="2">
          <cell r="F2" t="str">
            <v>INCH</v>
          </cell>
        </row>
      </sheetData>
      <sheetData sheetId="2920">
        <row r="2">
          <cell r="F2" t="str">
            <v>INCH</v>
          </cell>
        </row>
      </sheetData>
      <sheetData sheetId="2921">
        <row r="2">
          <cell r="F2" t="str">
            <v>INCH</v>
          </cell>
        </row>
      </sheetData>
      <sheetData sheetId="2922">
        <row r="2">
          <cell r="F2" t="str">
            <v>INCH</v>
          </cell>
        </row>
      </sheetData>
      <sheetData sheetId="2923">
        <row r="2">
          <cell r="F2" t="str">
            <v>INCH</v>
          </cell>
        </row>
      </sheetData>
      <sheetData sheetId="2924">
        <row r="2">
          <cell r="F2" t="str">
            <v>INCH</v>
          </cell>
        </row>
      </sheetData>
      <sheetData sheetId="2925">
        <row r="2">
          <cell r="F2" t="str">
            <v>INCH</v>
          </cell>
        </row>
      </sheetData>
      <sheetData sheetId="2926">
        <row r="2">
          <cell r="F2" t="str">
            <v>INCH</v>
          </cell>
        </row>
      </sheetData>
      <sheetData sheetId="2927">
        <row r="2">
          <cell r="F2" t="str">
            <v>INCH</v>
          </cell>
        </row>
      </sheetData>
      <sheetData sheetId="2928">
        <row r="2">
          <cell r="F2" t="str">
            <v>INCH</v>
          </cell>
        </row>
      </sheetData>
      <sheetData sheetId="2929">
        <row r="2">
          <cell r="F2" t="str">
            <v>INCH</v>
          </cell>
        </row>
      </sheetData>
      <sheetData sheetId="2930">
        <row r="2">
          <cell r="F2" t="str">
            <v>INCH</v>
          </cell>
        </row>
      </sheetData>
      <sheetData sheetId="2931">
        <row r="2">
          <cell r="F2" t="str">
            <v>INCH</v>
          </cell>
        </row>
      </sheetData>
      <sheetData sheetId="2932">
        <row r="2">
          <cell r="F2" t="str">
            <v>INCH</v>
          </cell>
        </row>
      </sheetData>
      <sheetData sheetId="2933">
        <row r="2">
          <cell r="F2" t="str">
            <v>INCH</v>
          </cell>
        </row>
      </sheetData>
      <sheetData sheetId="2934">
        <row r="2">
          <cell r="F2" t="str">
            <v>INCH</v>
          </cell>
        </row>
      </sheetData>
      <sheetData sheetId="2935">
        <row r="2">
          <cell r="F2" t="str">
            <v>INCH</v>
          </cell>
        </row>
      </sheetData>
      <sheetData sheetId="2936">
        <row r="2">
          <cell r="F2" t="str">
            <v>INCH</v>
          </cell>
        </row>
      </sheetData>
      <sheetData sheetId="2937">
        <row r="2">
          <cell r="F2" t="str">
            <v>INCH</v>
          </cell>
        </row>
      </sheetData>
      <sheetData sheetId="2938">
        <row r="2">
          <cell r="F2" t="str">
            <v>INCH</v>
          </cell>
        </row>
      </sheetData>
      <sheetData sheetId="2939">
        <row r="2">
          <cell r="F2" t="str">
            <v>INCH</v>
          </cell>
        </row>
      </sheetData>
      <sheetData sheetId="2940">
        <row r="2">
          <cell r="F2" t="str">
            <v>INCH</v>
          </cell>
        </row>
      </sheetData>
      <sheetData sheetId="2941">
        <row r="2">
          <cell r="F2" t="str">
            <v>INCH</v>
          </cell>
        </row>
      </sheetData>
      <sheetData sheetId="2942">
        <row r="2">
          <cell r="F2" t="str">
            <v>INCH</v>
          </cell>
        </row>
      </sheetData>
      <sheetData sheetId="2943">
        <row r="2">
          <cell r="F2" t="str">
            <v>INCH</v>
          </cell>
        </row>
      </sheetData>
      <sheetData sheetId="2944">
        <row r="2">
          <cell r="F2" t="str">
            <v>INCH</v>
          </cell>
        </row>
      </sheetData>
      <sheetData sheetId="2945">
        <row r="2">
          <cell r="F2" t="str">
            <v>INCH</v>
          </cell>
        </row>
      </sheetData>
      <sheetData sheetId="2946">
        <row r="2">
          <cell r="F2" t="str">
            <v>INCH</v>
          </cell>
        </row>
      </sheetData>
      <sheetData sheetId="2947">
        <row r="2">
          <cell r="F2" t="str">
            <v>INCH</v>
          </cell>
        </row>
      </sheetData>
      <sheetData sheetId="2948">
        <row r="2">
          <cell r="F2" t="str">
            <v>INCH</v>
          </cell>
        </row>
      </sheetData>
      <sheetData sheetId="2949">
        <row r="2">
          <cell r="F2" t="str">
            <v>INCH</v>
          </cell>
        </row>
      </sheetData>
      <sheetData sheetId="2950">
        <row r="2">
          <cell r="F2" t="str">
            <v>INCH</v>
          </cell>
        </row>
      </sheetData>
      <sheetData sheetId="2951">
        <row r="2">
          <cell r="F2" t="str">
            <v>INCH</v>
          </cell>
        </row>
      </sheetData>
      <sheetData sheetId="2952">
        <row r="2">
          <cell r="F2" t="str">
            <v>INCH</v>
          </cell>
        </row>
      </sheetData>
      <sheetData sheetId="2953">
        <row r="2">
          <cell r="F2" t="str">
            <v>INCH</v>
          </cell>
        </row>
      </sheetData>
      <sheetData sheetId="2954">
        <row r="2">
          <cell r="F2" t="str">
            <v>INCH</v>
          </cell>
        </row>
      </sheetData>
      <sheetData sheetId="2955">
        <row r="2">
          <cell r="F2" t="str">
            <v>INCH</v>
          </cell>
        </row>
      </sheetData>
      <sheetData sheetId="2956">
        <row r="2">
          <cell r="F2" t="str">
            <v>INCH</v>
          </cell>
        </row>
      </sheetData>
      <sheetData sheetId="2957">
        <row r="2">
          <cell r="F2" t="str">
            <v>INCH</v>
          </cell>
        </row>
      </sheetData>
      <sheetData sheetId="2958">
        <row r="2">
          <cell r="F2" t="str">
            <v>INCH</v>
          </cell>
        </row>
      </sheetData>
      <sheetData sheetId="2959">
        <row r="2">
          <cell r="F2" t="str">
            <v>INCH</v>
          </cell>
        </row>
      </sheetData>
      <sheetData sheetId="2960">
        <row r="2">
          <cell r="F2" t="str">
            <v>INCH</v>
          </cell>
        </row>
      </sheetData>
      <sheetData sheetId="2961">
        <row r="2">
          <cell r="F2" t="str">
            <v>INCH</v>
          </cell>
        </row>
      </sheetData>
      <sheetData sheetId="2962">
        <row r="2">
          <cell r="F2" t="str">
            <v>INCH</v>
          </cell>
        </row>
      </sheetData>
      <sheetData sheetId="2963">
        <row r="2">
          <cell r="F2" t="str">
            <v>INCH</v>
          </cell>
        </row>
      </sheetData>
      <sheetData sheetId="2964">
        <row r="2">
          <cell r="F2" t="str">
            <v>INCH</v>
          </cell>
        </row>
      </sheetData>
      <sheetData sheetId="2965">
        <row r="2">
          <cell r="F2" t="str">
            <v>INCH</v>
          </cell>
        </row>
      </sheetData>
      <sheetData sheetId="2966">
        <row r="2">
          <cell r="F2" t="str">
            <v>INCH</v>
          </cell>
        </row>
      </sheetData>
      <sheetData sheetId="2967">
        <row r="2">
          <cell r="F2" t="str">
            <v>INCH</v>
          </cell>
        </row>
      </sheetData>
      <sheetData sheetId="2968">
        <row r="2">
          <cell r="F2" t="str">
            <v>INCH</v>
          </cell>
        </row>
      </sheetData>
      <sheetData sheetId="2969">
        <row r="2">
          <cell r="F2" t="str">
            <v>INCH</v>
          </cell>
        </row>
      </sheetData>
      <sheetData sheetId="2970">
        <row r="2">
          <cell r="F2" t="str">
            <v>INCH</v>
          </cell>
        </row>
      </sheetData>
      <sheetData sheetId="2971">
        <row r="2">
          <cell r="F2" t="str">
            <v>INCH</v>
          </cell>
        </row>
      </sheetData>
      <sheetData sheetId="2972">
        <row r="2">
          <cell r="F2" t="str">
            <v>INCH</v>
          </cell>
        </row>
      </sheetData>
      <sheetData sheetId="2973">
        <row r="2">
          <cell r="F2" t="str">
            <v>INCH</v>
          </cell>
        </row>
      </sheetData>
      <sheetData sheetId="2974">
        <row r="2">
          <cell r="F2" t="str">
            <v>INCH</v>
          </cell>
        </row>
      </sheetData>
      <sheetData sheetId="2975">
        <row r="2">
          <cell r="F2" t="str">
            <v>INCH</v>
          </cell>
        </row>
      </sheetData>
      <sheetData sheetId="2976">
        <row r="2">
          <cell r="F2" t="str">
            <v>INCH</v>
          </cell>
        </row>
      </sheetData>
      <sheetData sheetId="2977">
        <row r="2">
          <cell r="F2" t="str">
            <v>INCH</v>
          </cell>
        </row>
      </sheetData>
      <sheetData sheetId="2978">
        <row r="2">
          <cell r="F2" t="str">
            <v>INCH</v>
          </cell>
        </row>
      </sheetData>
      <sheetData sheetId="2979">
        <row r="2">
          <cell r="F2" t="str">
            <v>INCH</v>
          </cell>
        </row>
      </sheetData>
      <sheetData sheetId="2980">
        <row r="2">
          <cell r="F2" t="str">
            <v>INCH</v>
          </cell>
        </row>
      </sheetData>
      <sheetData sheetId="2981">
        <row r="2">
          <cell r="F2" t="str">
            <v>INCH</v>
          </cell>
        </row>
      </sheetData>
      <sheetData sheetId="2982">
        <row r="2">
          <cell r="F2" t="str">
            <v>INCH</v>
          </cell>
        </row>
      </sheetData>
      <sheetData sheetId="2983">
        <row r="2">
          <cell r="F2" t="str">
            <v>INCH</v>
          </cell>
        </row>
      </sheetData>
      <sheetData sheetId="2984">
        <row r="2">
          <cell r="F2" t="str">
            <v>INCH</v>
          </cell>
        </row>
      </sheetData>
      <sheetData sheetId="2985">
        <row r="2">
          <cell r="F2" t="str">
            <v>INCH</v>
          </cell>
        </row>
      </sheetData>
      <sheetData sheetId="2986">
        <row r="2">
          <cell r="F2" t="str">
            <v>INCH</v>
          </cell>
        </row>
      </sheetData>
      <sheetData sheetId="2987">
        <row r="2">
          <cell r="F2" t="str">
            <v>INCH</v>
          </cell>
        </row>
      </sheetData>
      <sheetData sheetId="2988">
        <row r="2">
          <cell r="F2" t="str">
            <v>INCH</v>
          </cell>
        </row>
      </sheetData>
      <sheetData sheetId="2989">
        <row r="2">
          <cell r="F2" t="str">
            <v>INCH</v>
          </cell>
        </row>
      </sheetData>
      <sheetData sheetId="2990">
        <row r="2">
          <cell r="F2" t="str">
            <v>INCH</v>
          </cell>
        </row>
      </sheetData>
      <sheetData sheetId="2991">
        <row r="2">
          <cell r="F2" t="str">
            <v>INCH</v>
          </cell>
        </row>
      </sheetData>
      <sheetData sheetId="2992">
        <row r="2">
          <cell r="F2" t="str">
            <v>INCH</v>
          </cell>
        </row>
      </sheetData>
      <sheetData sheetId="2993">
        <row r="2">
          <cell r="F2" t="str">
            <v>INCH</v>
          </cell>
        </row>
      </sheetData>
      <sheetData sheetId="2994">
        <row r="2">
          <cell r="F2" t="str">
            <v>INCH</v>
          </cell>
        </row>
      </sheetData>
      <sheetData sheetId="2995">
        <row r="2">
          <cell r="F2" t="str">
            <v>INCH</v>
          </cell>
        </row>
      </sheetData>
      <sheetData sheetId="2996">
        <row r="2">
          <cell r="F2" t="str">
            <v>INCH</v>
          </cell>
        </row>
      </sheetData>
      <sheetData sheetId="2997">
        <row r="2">
          <cell r="F2" t="str">
            <v>INCH</v>
          </cell>
        </row>
      </sheetData>
      <sheetData sheetId="2998">
        <row r="2">
          <cell r="F2" t="str">
            <v>INCH</v>
          </cell>
        </row>
      </sheetData>
      <sheetData sheetId="2999">
        <row r="2">
          <cell r="F2" t="str">
            <v>INCH</v>
          </cell>
        </row>
      </sheetData>
      <sheetData sheetId="3000">
        <row r="2">
          <cell r="F2" t="str">
            <v>INCH</v>
          </cell>
        </row>
      </sheetData>
      <sheetData sheetId="3001">
        <row r="2">
          <cell r="F2" t="str">
            <v>INCH</v>
          </cell>
        </row>
      </sheetData>
      <sheetData sheetId="3002">
        <row r="2">
          <cell r="F2" t="str">
            <v>INCH</v>
          </cell>
        </row>
      </sheetData>
      <sheetData sheetId="3003">
        <row r="2">
          <cell r="F2" t="str">
            <v>INCH</v>
          </cell>
        </row>
      </sheetData>
      <sheetData sheetId="3004">
        <row r="2">
          <cell r="F2" t="str">
            <v>INCH</v>
          </cell>
        </row>
      </sheetData>
      <sheetData sheetId="3005">
        <row r="2">
          <cell r="F2" t="str">
            <v>INCH</v>
          </cell>
        </row>
      </sheetData>
      <sheetData sheetId="3006">
        <row r="2">
          <cell r="F2" t="str">
            <v>INCH</v>
          </cell>
        </row>
      </sheetData>
      <sheetData sheetId="3007">
        <row r="2">
          <cell r="F2" t="str">
            <v>INCH</v>
          </cell>
        </row>
      </sheetData>
      <sheetData sheetId="3008">
        <row r="2">
          <cell r="F2" t="str">
            <v>INCH</v>
          </cell>
        </row>
      </sheetData>
      <sheetData sheetId="3009">
        <row r="2">
          <cell r="F2" t="str">
            <v>INCH</v>
          </cell>
        </row>
      </sheetData>
      <sheetData sheetId="3010">
        <row r="2">
          <cell r="F2" t="str">
            <v>INCH</v>
          </cell>
        </row>
      </sheetData>
      <sheetData sheetId="3011">
        <row r="2">
          <cell r="F2" t="str">
            <v>INCH</v>
          </cell>
        </row>
      </sheetData>
      <sheetData sheetId="3012">
        <row r="2">
          <cell r="F2" t="str">
            <v>INCH</v>
          </cell>
        </row>
      </sheetData>
      <sheetData sheetId="3013">
        <row r="2">
          <cell r="F2" t="str">
            <v>INCH</v>
          </cell>
        </row>
      </sheetData>
      <sheetData sheetId="3014">
        <row r="2">
          <cell r="F2" t="str">
            <v>INCH</v>
          </cell>
        </row>
      </sheetData>
      <sheetData sheetId="3015">
        <row r="2">
          <cell r="F2" t="str">
            <v>INCH</v>
          </cell>
        </row>
      </sheetData>
      <sheetData sheetId="3016">
        <row r="2">
          <cell r="F2" t="str">
            <v>INCH</v>
          </cell>
        </row>
      </sheetData>
      <sheetData sheetId="3017">
        <row r="2">
          <cell r="F2" t="str">
            <v>INCH</v>
          </cell>
        </row>
      </sheetData>
      <sheetData sheetId="3018">
        <row r="2">
          <cell r="F2" t="str">
            <v>INCH</v>
          </cell>
        </row>
      </sheetData>
      <sheetData sheetId="3019">
        <row r="2">
          <cell r="F2" t="str">
            <v>INCH</v>
          </cell>
        </row>
      </sheetData>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ow r="2">
          <cell r="F2" t="str">
            <v>INCH</v>
          </cell>
        </row>
      </sheetData>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ow r="2">
          <cell r="F2" t="str">
            <v>INCH</v>
          </cell>
        </row>
      </sheetData>
      <sheetData sheetId="3065">
        <row r="2">
          <cell r="F2" t="str">
            <v>INCH</v>
          </cell>
        </row>
      </sheetData>
      <sheetData sheetId="3066">
        <row r="2">
          <cell r="F2" t="str">
            <v>INCH</v>
          </cell>
        </row>
      </sheetData>
      <sheetData sheetId="3067">
        <row r="2">
          <cell r="F2" t="str">
            <v>INCH</v>
          </cell>
        </row>
      </sheetData>
      <sheetData sheetId="3068">
        <row r="2">
          <cell r="F2" t="str">
            <v>INCH</v>
          </cell>
        </row>
      </sheetData>
      <sheetData sheetId="3069">
        <row r="2">
          <cell r="F2" t="str">
            <v>INCH</v>
          </cell>
        </row>
      </sheetData>
      <sheetData sheetId="3070">
        <row r="2">
          <cell r="F2" t="str">
            <v>INCH</v>
          </cell>
        </row>
      </sheetData>
      <sheetData sheetId="3071">
        <row r="2">
          <cell r="F2" t="str">
            <v>INCH</v>
          </cell>
        </row>
      </sheetData>
      <sheetData sheetId="3072">
        <row r="2">
          <cell r="F2" t="str">
            <v>INCH</v>
          </cell>
        </row>
      </sheetData>
      <sheetData sheetId="3073">
        <row r="2">
          <cell r="F2" t="str">
            <v>INCH</v>
          </cell>
        </row>
      </sheetData>
      <sheetData sheetId="3074">
        <row r="2">
          <cell r="F2" t="str">
            <v>INCH</v>
          </cell>
        </row>
      </sheetData>
      <sheetData sheetId="3075">
        <row r="2">
          <cell r="F2" t="str">
            <v>INCH</v>
          </cell>
        </row>
      </sheetData>
      <sheetData sheetId="3076">
        <row r="2">
          <cell r="F2" t="str">
            <v>INCH</v>
          </cell>
        </row>
      </sheetData>
      <sheetData sheetId="3077">
        <row r="2">
          <cell r="F2" t="str">
            <v>INCH</v>
          </cell>
        </row>
      </sheetData>
      <sheetData sheetId="3078">
        <row r="2">
          <cell r="F2" t="str">
            <v>INCH</v>
          </cell>
        </row>
      </sheetData>
      <sheetData sheetId="3079">
        <row r="2">
          <cell r="F2" t="str">
            <v>INCH</v>
          </cell>
        </row>
      </sheetData>
      <sheetData sheetId="3080">
        <row r="2">
          <cell r="F2" t="str">
            <v>INCH</v>
          </cell>
        </row>
      </sheetData>
      <sheetData sheetId="3081">
        <row r="2">
          <cell r="F2" t="str">
            <v>INCH</v>
          </cell>
        </row>
      </sheetData>
      <sheetData sheetId="3082">
        <row r="2">
          <cell r="F2" t="str">
            <v>INCH</v>
          </cell>
        </row>
      </sheetData>
      <sheetData sheetId="3083">
        <row r="2">
          <cell r="F2" t="str">
            <v>INCH</v>
          </cell>
        </row>
      </sheetData>
      <sheetData sheetId="3084">
        <row r="2">
          <cell r="F2" t="str">
            <v>INCH</v>
          </cell>
        </row>
      </sheetData>
      <sheetData sheetId="3085">
        <row r="2">
          <cell r="F2" t="str">
            <v>INCH</v>
          </cell>
        </row>
      </sheetData>
      <sheetData sheetId="3086">
        <row r="2">
          <cell r="F2" t="str">
            <v>INCH</v>
          </cell>
        </row>
      </sheetData>
      <sheetData sheetId="3087">
        <row r="2">
          <cell r="F2" t="str">
            <v>INCH</v>
          </cell>
        </row>
      </sheetData>
      <sheetData sheetId="3088">
        <row r="2">
          <cell r="F2" t="str">
            <v>INCH</v>
          </cell>
        </row>
      </sheetData>
      <sheetData sheetId="3089">
        <row r="2">
          <cell r="F2" t="str">
            <v>INCH</v>
          </cell>
        </row>
      </sheetData>
      <sheetData sheetId="3090">
        <row r="2">
          <cell r="F2" t="str">
            <v>INCH</v>
          </cell>
        </row>
      </sheetData>
      <sheetData sheetId="3091">
        <row r="2">
          <cell r="F2" t="str">
            <v>INCH</v>
          </cell>
        </row>
      </sheetData>
      <sheetData sheetId="3092">
        <row r="2">
          <cell r="F2" t="str">
            <v>INCH</v>
          </cell>
        </row>
      </sheetData>
      <sheetData sheetId="3093">
        <row r="2">
          <cell r="F2" t="str">
            <v>INCH</v>
          </cell>
        </row>
      </sheetData>
      <sheetData sheetId="3094">
        <row r="2">
          <cell r="F2" t="str">
            <v>INCH</v>
          </cell>
        </row>
      </sheetData>
      <sheetData sheetId="3095">
        <row r="2">
          <cell r="F2" t="str">
            <v>INCH</v>
          </cell>
        </row>
      </sheetData>
      <sheetData sheetId="3096">
        <row r="2">
          <cell r="F2" t="str">
            <v>INCH</v>
          </cell>
        </row>
      </sheetData>
      <sheetData sheetId="3097">
        <row r="2">
          <cell r="F2" t="str">
            <v>INCH</v>
          </cell>
        </row>
      </sheetData>
      <sheetData sheetId="3098">
        <row r="2">
          <cell r="F2" t="str">
            <v>INCH</v>
          </cell>
        </row>
      </sheetData>
      <sheetData sheetId="3099">
        <row r="2">
          <cell r="F2" t="str">
            <v>INCH</v>
          </cell>
        </row>
      </sheetData>
      <sheetData sheetId="3100">
        <row r="2">
          <cell r="F2" t="str">
            <v>INCH</v>
          </cell>
        </row>
      </sheetData>
      <sheetData sheetId="3101">
        <row r="2">
          <cell r="F2" t="str">
            <v>INCH</v>
          </cell>
        </row>
      </sheetData>
      <sheetData sheetId="3102">
        <row r="2">
          <cell r="F2" t="str">
            <v>INCH</v>
          </cell>
        </row>
      </sheetData>
      <sheetData sheetId="3103">
        <row r="2">
          <cell r="F2" t="str">
            <v>INCH</v>
          </cell>
        </row>
      </sheetData>
      <sheetData sheetId="3104">
        <row r="2">
          <cell r="F2" t="str">
            <v>INCH</v>
          </cell>
        </row>
      </sheetData>
      <sheetData sheetId="3105">
        <row r="2">
          <cell r="F2" t="str">
            <v>INCH</v>
          </cell>
        </row>
      </sheetData>
      <sheetData sheetId="3106">
        <row r="2">
          <cell r="F2" t="str">
            <v>INCH</v>
          </cell>
        </row>
      </sheetData>
      <sheetData sheetId="3107">
        <row r="2">
          <cell r="F2" t="str">
            <v>INCH</v>
          </cell>
        </row>
      </sheetData>
      <sheetData sheetId="3108" refreshError="1"/>
      <sheetData sheetId="3109">
        <row r="2">
          <cell r="F2" t="str">
            <v>INCH</v>
          </cell>
        </row>
      </sheetData>
      <sheetData sheetId="3110">
        <row r="2">
          <cell r="F2" t="str">
            <v>INCH</v>
          </cell>
        </row>
      </sheetData>
      <sheetData sheetId="3111" refreshError="1"/>
      <sheetData sheetId="3112" refreshError="1"/>
      <sheetData sheetId="3113">
        <row r="2">
          <cell r="F2" t="str">
            <v>INCH</v>
          </cell>
        </row>
      </sheetData>
      <sheetData sheetId="3114">
        <row r="2">
          <cell r="F2" t="str">
            <v>INCH</v>
          </cell>
        </row>
      </sheetData>
      <sheetData sheetId="3115">
        <row r="2">
          <cell r="F2" t="str">
            <v>INCH</v>
          </cell>
        </row>
      </sheetData>
      <sheetData sheetId="3116">
        <row r="2">
          <cell r="F2" t="str">
            <v>INCH</v>
          </cell>
        </row>
      </sheetData>
      <sheetData sheetId="3117">
        <row r="2">
          <cell r="F2" t="str">
            <v>INCH</v>
          </cell>
        </row>
      </sheetData>
      <sheetData sheetId="3118">
        <row r="2">
          <cell r="F2" t="str">
            <v>INCH</v>
          </cell>
        </row>
      </sheetData>
      <sheetData sheetId="3119">
        <row r="2">
          <cell r="F2" t="str">
            <v>INCH</v>
          </cell>
        </row>
      </sheetData>
      <sheetData sheetId="3120">
        <row r="2">
          <cell r="F2" t="str">
            <v>INCH</v>
          </cell>
        </row>
      </sheetData>
      <sheetData sheetId="3121">
        <row r="2">
          <cell r="F2" t="str">
            <v>INCH</v>
          </cell>
        </row>
      </sheetData>
      <sheetData sheetId="3122" refreshError="1"/>
      <sheetData sheetId="3123">
        <row r="2">
          <cell r="F2" t="str">
            <v>INCH</v>
          </cell>
        </row>
      </sheetData>
      <sheetData sheetId="3124">
        <row r="2">
          <cell r="F2" t="str">
            <v>INCH</v>
          </cell>
        </row>
      </sheetData>
      <sheetData sheetId="3125">
        <row r="2">
          <cell r="F2" t="str">
            <v>INCH</v>
          </cell>
        </row>
      </sheetData>
      <sheetData sheetId="3126">
        <row r="2">
          <cell r="F2" t="str">
            <v>INCH</v>
          </cell>
        </row>
      </sheetData>
      <sheetData sheetId="3127">
        <row r="2">
          <cell r="F2" t="str">
            <v>INCH</v>
          </cell>
        </row>
      </sheetData>
      <sheetData sheetId="3128">
        <row r="2">
          <cell r="F2" t="str">
            <v>INCH</v>
          </cell>
        </row>
      </sheetData>
      <sheetData sheetId="3129">
        <row r="2">
          <cell r="F2" t="str">
            <v>INCH</v>
          </cell>
        </row>
      </sheetData>
      <sheetData sheetId="3130">
        <row r="2">
          <cell r="F2" t="str">
            <v>INCH</v>
          </cell>
        </row>
      </sheetData>
      <sheetData sheetId="3131">
        <row r="2">
          <cell r="F2" t="str">
            <v>INCH</v>
          </cell>
        </row>
      </sheetData>
      <sheetData sheetId="3132">
        <row r="2">
          <cell r="F2" t="str">
            <v>INCH</v>
          </cell>
        </row>
      </sheetData>
      <sheetData sheetId="3133">
        <row r="2">
          <cell r="F2" t="str">
            <v>INCH</v>
          </cell>
        </row>
      </sheetData>
      <sheetData sheetId="3134">
        <row r="2">
          <cell r="F2" t="str">
            <v>INCH</v>
          </cell>
        </row>
      </sheetData>
      <sheetData sheetId="3135">
        <row r="2">
          <cell r="F2" t="str">
            <v>INCH</v>
          </cell>
        </row>
      </sheetData>
      <sheetData sheetId="3136">
        <row r="2">
          <cell r="F2" t="str">
            <v>INCH</v>
          </cell>
        </row>
      </sheetData>
      <sheetData sheetId="3137">
        <row r="2">
          <cell r="F2" t="str">
            <v>INCH</v>
          </cell>
        </row>
      </sheetData>
      <sheetData sheetId="3138">
        <row r="2">
          <cell r="F2" t="str">
            <v>INCH</v>
          </cell>
        </row>
      </sheetData>
      <sheetData sheetId="3139">
        <row r="2">
          <cell r="F2" t="str">
            <v>INCH</v>
          </cell>
        </row>
      </sheetData>
      <sheetData sheetId="3140">
        <row r="2">
          <cell r="F2" t="str">
            <v>INCH</v>
          </cell>
        </row>
      </sheetData>
      <sheetData sheetId="3141">
        <row r="2">
          <cell r="F2" t="str">
            <v>INCH</v>
          </cell>
        </row>
      </sheetData>
      <sheetData sheetId="3142">
        <row r="2">
          <cell r="F2" t="str">
            <v>INCH</v>
          </cell>
        </row>
      </sheetData>
      <sheetData sheetId="3143">
        <row r="2">
          <cell r="F2" t="str">
            <v>INCH</v>
          </cell>
        </row>
      </sheetData>
      <sheetData sheetId="3144">
        <row r="2">
          <cell r="F2" t="str">
            <v>INCH</v>
          </cell>
        </row>
      </sheetData>
      <sheetData sheetId="3145">
        <row r="2">
          <cell r="F2" t="str">
            <v>INCH</v>
          </cell>
        </row>
      </sheetData>
      <sheetData sheetId="3146">
        <row r="2">
          <cell r="F2" t="str">
            <v>INCH</v>
          </cell>
        </row>
      </sheetData>
      <sheetData sheetId="3147">
        <row r="2">
          <cell r="F2" t="str">
            <v>INCH</v>
          </cell>
        </row>
      </sheetData>
      <sheetData sheetId="3148">
        <row r="2">
          <cell r="F2" t="str">
            <v>INCH</v>
          </cell>
        </row>
      </sheetData>
      <sheetData sheetId="3149">
        <row r="2">
          <cell r="F2" t="str">
            <v>INCH</v>
          </cell>
        </row>
      </sheetData>
      <sheetData sheetId="3150">
        <row r="2">
          <cell r="F2" t="str">
            <v>INCH</v>
          </cell>
        </row>
      </sheetData>
      <sheetData sheetId="3151">
        <row r="2">
          <cell r="F2" t="str">
            <v>INCH</v>
          </cell>
        </row>
      </sheetData>
      <sheetData sheetId="3152">
        <row r="2">
          <cell r="F2" t="str">
            <v>INCH</v>
          </cell>
        </row>
      </sheetData>
      <sheetData sheetId="3153">
        <row r="2">
          <cell r="F2" t="str">
            <v>INCH</v>
          </cell>
        </row>
      </sheetData>
      <sheetData sheetId="3154">
        <row r="2">
          <cell r="F2" t="str">
            <v>INCH</v>
          </cell>
        </row>
      </sheetData>
      <sheetData sheetId="3155">
        <row r="2">
          <cell r="F2" t="str">
            <v>INCH</v>
          </cell>
        </row>
      </sheetData>
      <sheetData sheetId="3156">
        <row r="2">
          <cell r="F2" t="str">
            <v>INCH</v>
          </cell>
        </row>
      </sheetData>
      <sheetData sheetId="3157">
        <row r="2">
          <cell r="F2" t="str">
            <v>INCH</v>
          </cell>
        </row>
      </sheetData>
      <sheetData sheetId="3158">
        <row r="2">
          <cell r="F2" t="str">
            <v>INCH</v>
          </cell>
        </row>
      </sheetData>
      <sheetData sheetId="3159">
        <row r="2">
          <cell r="F2" t="str">
            <v>INCH</v>
          </cell>
        </row>
      </sheetData>
      <sheetData sheetId="3160">
        <row r="2">
          <cell r="F2" t="str">
            <v>INCH</v>
          </cell>
        </row>
      </sheetData>
      <sheetData sheetId="3161">
        <row r="2">
          <cell r="F2" t="str">
            <v>INCH</v>
          </cell>
        </row>
      </sheetData>
      <sheetData sheetId="3162">
        <row r="2">
          <cell r="F2" t="str">
            <v>INCH</v>
          </cell>
        </row>
      </sheetData>
      <sheetData sheetId="3163">
        <row r="2">
          <cell r="F2" t="str">
            <v>INCH</v>
          </cell>
        </row>
      </sheetData>
      <sheetData sheetId="3164">
        <row r="2">
          <cell r="F2" t="str">
            <v>INCH</v>
          </cell>
        </row>
      </sheetData>
      <sheetData sheetId="3165">
        <row r="2">
          <cell r="F2" t="str">
            <v>INCH</v>
          </cell>
        </row>
      </sheetData>
      <sheetData sheetId="3166">
        <row r="2">
          <cell r="F2" t="str">
            <v>INCH</v>
          </cell>
        </row>
      </sheetData>
      <sheetData sheetId="3167">
        <row r="2">
          <cell r="F2" t="str">
            <v>INCH</v>
          </cell>
        </row>
      </sheetData>
      <sheetData sheetId="3168">
        <row r="2">
          <cell r="F2" t="str">
            <v>INCH</v>
          </cell>
        </row>
      </sheetData>
      <sheetData sheetId="3169">
        <row r="2">
          <cell r="F2" t="str">
            <v>INCH</v>
          </cell>
        </row>
      </sheetData>
      <sheetData sheetId="3170">
        <row r="2">
          <cell r="F2" t="str">
            <v>INCH</v>
          </cell>
        </row>
      </sheetData>
      <sheetData sheetId="3171">
        <row r="2">
          <cell r="F2" t="str">
            <v>INCH</v>
          </cell>
        </row>
      </sheetData>
      <sheetData sheetId="3172">
        <row r="2">
          <cell r="F2" t="str">
            <v>INCH</v>
          </cell>
        </row>
      </sheetData>
      <sheetData sheetId="3173">
        <row r="2">
          <cell r="F2" t="str">
            <v>INCH</v>
          </cell>
        </row>
      </sheetData>
      <sheetData sheetId="3174">
        <row r="2">
          <cell r="F2" t="str">
            <v>INCH</v>
          </cell>
        </row>
      </sheetData>
      <sheetData sheetId="3175">
        <row r="2">
          <cell r="F2" t="str">
            <v>INCH</v>
          </cell>
        </row>
      </sheetData>
      <sheetData sheetId="3176">
        <row r="2">
          <cell r="F2" t="str">
            <v>INCH</v>
          </cell>
        </row>
      </sheetData>
      <sheetData sheetId="3177">
        <row r="2">
          <cell r="F2" t="str">
            <v>INCH</v>
          </cell>
        </row>
      </sheetData>
      <sheetData sheetId="3178">
        <row r="2">
          <cell r="F2" t="str">
            <v>INCH</v>
          </cell>
        </row>
      </sheetData>
      <sheetData sheetId="3179">
        <row r="2">
          <cell r="F2" t="str">
            <v>INCH</v>
          </cell>
        </row>
      </sheetData>
      <sheetData sheetId="3180">
        <row r="2">
          <cell r="F2" t="str">
            <v>INCH</v>
          </cell>
        </row>
      </sheetData>
      <sheetData sheetId="3181">
        <row r="2">
          <cell r="F2" t="str">
            <v>INCH</v>
          </cell>
        </row>
      </sheetData>
      <sheetData sheetId="3182">
        <row r="2">
          <cell r="F2" t="str">
            <v>INCH</v>
          </cell>
        </row>
      </sheetData>
      <sheetData sheetId="3183">
        <row r="2">
          <cell r="F2" t="str">
            <v>INCH</v>
          </cell>
        </row>
      </sheetData>
      <sheetData sheetId="3184">
        <row r="2">
          <cell r="F2" t="str">
            <v>INCH</v>
          </cell>
        </row>
      </sheetData>
      <sheetData sheetId="3185">
        <row r="2">
          <cell r="F2" t="str">
            <v>INCH</v>
          </cell>
        </row>
      </sheetData>
      <sheetData sheetId="3186">
        <row r="2">
          <cell r="F2" t="str">
            <v>INCH</v>
          </cell>
        </row>
      </sheetData>
      <sheetData sheetId="3187">
        <row r="2">
          <cell r="F2" t="str">
            <v>INCH</v>
          </cell>
        </row>
      </sheetData>
      <sheetData sheetId="3188">
        <row r="2">
          <cell r="F2" t="str">
            <v>INCH</v>
          </cell>
        </row>
      </sheetData>
      <sheetData sheetId="3189">
        <row r="2">
          <cell r="F2" t="str">
            <v>INCH</v>
          </cell>
        </row>
      </sheetData>
      <sheetData sheetId="3190">
        <row r="2">
          <cell r="F2" t="str">
            <v>INCH</v>
          </cell>
        </row>
      </sheetData>
      <sheetData sheetId="3191">
        <row r="2">
          <cell r="F2" t="str">
            <v>INCH</v>
          </cell>
        </row>
      </sheetData>
      <sheetData sheetId="3192">
        <row r="2">
          <cell r="F2" t="str">
            <v>INCH</v>
          </cell>
        </row>
      </sheetData>
      <sheetData sheetId="3193">
        <row r="2">
          <cell r="F2" t="str">
            <v>INCH</v>
          </cell>
        </row>
      </sheetData>
      <sheetData sheetId="3194">
        <row r="2">
          <cell r="F2" t="str">
            <v>INCH</v>
          </cell>
        </row>
      </sheetData>
      <sheetData sheetId="3195">
        <row r="2">
          <cell r="F2" t="str">
            <v>INCH</v>
          </cell>
        </row>
      </sheetData>
      <sheetData sheetId="3196">
        <row r="2">
          <cell r="F2" t="str">
            <v>INCH</v>
          </cell>
        </row>
      </sheetData>
      <sheetData sheetId="3197">
        <row r="2">
          <cell r="F2" t="str">
            <v>INCH</v>
          </cell>
        </row>
      </sheetData>
      <sheetData sheetId="3198">
        <row r="2">
          <cell r="F2" t="str">
            <v>INCH</v>
          </cell>
        </row>
      </sheetData>
      <sheetData sheetId="3199">
        <row r="2">
          <cell r="F2" t="str">
            <v>INCH</v>
          </cell>
        </row>
      </sheetData>
      <sheetData sheetId="3200">
        <row r="2">
          <cell r="F2" t="str">
            <v>INCH</v>
          </cell>
        </row>
      </sheetData>
      <sheetData sheetId="3201">
        <row r="2">
          <cell r="F2" t="str">
            <v>INCH</v>
          </cell>
        </row>
      </sheetData>
      <sheetData sheetId="3202">
        <row r="2">
          <cell r="F2" t="str">
            <v>INCH</v>
          </cell>
        </row>
      </sheetData>
      <sheetData sheetId="3203">
        <row r="2">
          <cell r="F2" t="str">
            <v>INCH</v>
          </cell>
        </row>
      </sheetData>
      <sheetData sheetId="3204">
        <row r="2">
          <cell r="F2" t="str">
            <v>INCH</v>
          </cell>
        </row>
      </sheetData>
      <sheetData sheetId="3205">
        <row r="2">
          <cell r="F2" t="str">
            <v>INCH</v>
          </cell>
        </row>
      </sheetData>
      <sheetData sheetId="3206">
        <row r="2">
          <cell r="F2" t="str">
            <v>INCH</v>
          </cell>
        </row>
      </sheetData>
      <sheetData sheetId="3207">
        <row r="2">
          <cell r="F2" t="str">
            <v>INCH</v>
          </cell>
        </row>
      </sheetData>
      <sheetData sheetId="3208">
        <row r="2">
          <cell r="F2" t="str">
            <v>INCH</v>
          </cell>
        </row>
      </sheetData>
      <sheetData sheetId="3209">
        <row r="2">
          <cell r="F2" t="str">
            <v>INCH</v>
          </cell>
        </row>
      </sheetData>
      <sheetData sheetId="3210">
        <row r="2">
          <cell r="F2" t="str">
            <v>INCH</v>
          </cell>
        </row>
      </sheetData>
      <sheetData sheetId="3211">
        <row r="2">
          <cell r="F2" t="str">
            <v>INCH</v>
          </cell>
        </row>
      </sheetData>
      <sheetData sheetId="3212">
        <row r="2">
          <cell r="F2" t="str">
            <v>INCH</v>
          </cell>
        </row>
      </sheetData>
      <sheetData sheetId="3213">
        <row r="2">
          <cell r="F2" t="str">
            <v>INCH</v>
          </cell>
        </row>
      </sheetData>
      <sheetData sheetId="3214">
        <row r="2">
          <cell r="F2" t="str">
            <v>INCH</v>
          </cell>
        </row>
      </sheetData>
      <sheetData sheetId="3215">
        <row r="2">
          <cell r="F2" t="str">
            <v>INCH</v>
          </cell>
        </row>
      </sheetData>
      <sheetData sheetId="3216">
        <row r="2">
          <cell r="F2" t="str">
            <v>INCH</v>
          </cell>
        </row>
      </sheetData>
      <sheetData sheetId="3217">
        <row r="2">
          <cell r="F2" t="str">
            <v>INCH</v>
          </cell>
        </row>
      </sheetData>
      <sheetData sheetId="3218">
        <row r="2">
          <cell r="F2" t="str">
            <v>INCH</v>
          </cell>
        </row>
      </sheetData>
      <sheetData sheetId="3219">
        <row r="2">
          <cell r="F2" t="str">
            <v>INCH</v>
          </cell>
        </row>
      </sheetData>
      <sheetData sheetId="3220">
        <row r="2">
          <cell r="F2" t="str">
            <v>INCH</v>
          </cell>
        </row>
      </sheetData>
      <sheetData sheetId="3221">
        <row r="2">
          <cell r="F2" t="str">
            <v>INCH</v>
          </cell>
        </row>
      </sheetData>
      <sheetData sheetId="3222" refreshError="1"/>
      <sheetData sheetId="3223">
        <row r="2">
          <cell r="F2" t="str">
            <v>INCH</v>
          </cell>
        </row>
      </sheetData>
      <sheetData sheetId="3224">
        <row r="2">
          <cell r="F2" t="str">
            <v>INCH</v>
          </cell>
        </row>
      </sheetData>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ow r="2">
          <cell r="F2" t="str">
            <v>INCH</v>
          </cell>
        </row>
      </sheetData>
      <sheetData sheetId="3345">
        <row r="2">
          <cell r="F2" t="str">
            <v>INCH</v>
          </cell>
        </row>
      </sheetData>
      <sheetData sheetId="3346">
        <row r="2">
          <cell r="F2" t="str">
            <v>INCH</v>
          </cell>
        </row>
      </sheetData>
      <sheetData sheetId="3347">
        <row r="2">
          <cell r="F2" t="str">
            <v>INCH</v>
          </cell>
        </row>
      </sheetData>
      <sheetData sheetId="3348">
        <row r="2">
          <cell r="F2" t="str">
            <v>INCH</v>
          </cell>
        </row>
      </sheetData>
      <sheetData sheetId="3349">
        <row r="2">
          <cell r="F2" t="str">
            <v>INCH</v>
          </cell>
        </row>
      </sheetData>
      <sheetData sheetId="3350">
        <row r="2">
          <cell r="F2" t="str">
            <v>INCH</v>
          </cell>
        </row>
      </sheetData>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ow r="2">
          <cell r="F2" t="str">
            <v>INCH</v>
          </cell>
        </row>
      </sheetData>
      <sheetData sheetId="3393">
        <row r="2">
          <cell r="F2" t="str">
            <v>INCH</v>
          </cell>
        </row>
      </sheetData>
      <sheetData sheetId="3394"/>
      <sheetData sheetId="3395"/>
      <sheetData sheetId="3396"/>
      <sheetData sheetId="3397"/>
      <sheetData sheetId="3398" refreshError="1"/>
      <sheetData sheetId="3399" refreshError="1"/>
      <sheetData sheetId="3400">
        <row r="2">
          <cell r="F2" t="str">
            <v>INCH</v>
          </cell>
        </row>
      </sheetData>
      <sheetData sheetId="3401">
        <row r="2">
          <cell r="F2" t="str">
            <v>INCH</v>
          </cell>
        </row>
      </sheetData>
      <sheetData sheetId="3402" refreshError="1"/>
      <sheetData sheetId="3403">
        <row r="2">
          <cell r="F2" t="str">
            <v>INCH</v>
          </cell>
        </row>
      </sheetData>
      <sheetData sheetId="3404">
        <row r="2">
          <cell r="F2" t="str">
            <v>INCH</v>
          </cell>
        </row>
      </sheetData>
      <sheetData sheetId="3405" refreshError="1"/>
      <sheetData sheetId="3406" refreshError="1"/>
      <sheetData sheetId="3407" refreshError="1"/>
      <sheetData sheetId="3408" refreshError="1"/>
      <sheetData sheetId="3409" refreshError="1"/>
      <sheetData sheetId="3410">
        <row r="2">
          <cell r="F2" t="str">
            <v>INCH</v>
          </cell>
        </row>
      </sheetData>
      <sheetData sheetId="3411">
        <row r="2">
          <cell r="F2" t="str">
            <v>INCH</v>
          </cell>
        </row>
      </sheetData>
      <sheetData sheetId="3412">
        <row r="2">
          <cell r="F2" t="str">
            <v>INCH</v>
          </cell>
        </row>
      </sheetData>
      <sheetData sheetId="3413" refreshError="1"/>
      <sheetData sheetId="3414">
        <row r="2">
          <cell r="F2" t="str">
            <v>INCH</v>
          </cell>
        </row>
      </sheetData>
      <sheetData sheetId="3415">
        <row r="2">
          <cell r="F2" t="str">
            <v>INCH</v>
          </cell>
        </row>
      </sheetData>
      <sheetData sheetId="3416">
        <row r="2">
          <cell r="F2" t="str">
            <v>INCH</v>
          </cell>
        </row>
      </sheetData>
      <sheetData sheetId="3417">
        <row r="2">
          <cell r="F2" t="str">
            <v>INCH</v>
          </cell>
        </row>
      </sheetData>
      <sheetData sheetId="3418">
        <row r="2">
          <cell r="F2" t="str">
            <v>INCH</v>
          </cell>
        </row>
      </sheetData>
      <sheetData sheetId="3419"/>
      <sheetData sheetId="3420">
        <row r="2">
          <cell r="F2" t="str">
            <v>INCH</v>
          </cell>
        </row>
      </sheetData>
      <sheetData sheetId="3421">
        <row r="2">
          <cell r="F2" t="str">
            <v>INCH</v>
          </cell>
        </row>
      </sheetData>
      <sheetData sheetId="3422">
        <row r="2">
          <cell r="F2" t="str">
            <v>INCH</v>
          </cell>
        </row>
      </sheetData>
      <sheetData sheetId="3423">
        <row r="2">
          <cell r="F2" t="str">
            <v>INCH</v>
          </cell>
        </row>
      </sheetData>
      <sheetData sheetId="3424">
        <row r="2">
          <cell r="F2" t="str">
            <v>INCH</v>
          </cell>
        </row>
      </sheetData>
      <sheetData sheetId="3425">
        <row r="2">
          <cell r="F2" t="str">
            <v>INCH</v>
          </cell>
        </row>
      </sheetData>
      <sheetData sheetId="3426">
        <row r="2">
          <cell r="F2" t="str">
            <v>INCH</v>
          </cell>
        </row>
      </sheetData>
      <sheetData sheetId="3427">
        <row r="2">
          <cell r="F2" t="str">
            <v>INCH</v>
          </cell>
        </row>
      </sheetData>
      <sheetData sheetId="3428">
        <row r="2">
          <cell r="F2" t="str">
            <v>INCH</v>
          </cell>
        </row>
      </sheetData>
      <sheetData sheetId="3429">
        <row r="2">
          <cell r="F2" t="str">
            <v>INCH</v>
          </cell>
        </row>
      </sheetData>
      <sheetData sheetId="3430" refreshError="1"/>
      <sheetData sheetId="3431" refreshError="1"/>
      <sheetData sheetId="3432">
        <row r="2">
          <cell r="F2" t="str">
            <v>INCH</v>
          </cell>
        </row>
      </sheetData>
      <sheetData sheetId="3433">
        <row r="2">
          <cell r="F2" t="str">
            <v>INCH</v>
          </cell>
        </row>
      </sheetData>
      <sheetData sheetId="3434">
        <row r="2">
          <cell r="F2" t="str">
            <v>INCH</v>
          </cell>
        </row>
      </sheetData>
      <sheetData sheetId="3435">
        <row r="2">
          <cell r="F2" t="str">
            <v>INCH</v>
          </cell>
        </row>
      </sheetData>
      <sheetData sheetId="3436">
        <row r="2">
          <cell r="F2" t="str">
            <v>INCH</v>
          </cell>
        </row>
      </sheetData>
      <sheetData sheetId="3437">
        <row r="2">
          <cell r="F2" t="str">
            <v>INCH</v>
          </cell>
        </row>
      </sheetData>
      <sheetData sheetId="3438">
        <row r="2">
          <cell r="F2" t="str">
            <v>INCH</v>
          </cell>
        </row>
      </sheetData>
      <sheetData sheetId="3439"/>
      <sheetData sheetId="3440"/>
      <sheetData sheetId="3441"/>
      <sheetData sheetId="3442">
        <row r="2">
          <cell r="F2" t="str">
            <v>INCH</v>
          </cell>
        </row>
      </sheetData>
      <sheetData sheetId="3443"/>
      <sheetData sheetId="3444"/>
      <sheetData sheetId="3445"/>
      <sheetData sheetId="3446"/>
      <sheetData sheetId="3447"/>
      <sheetData sheetId="3448"/>
      <sheetData sheetId="3449">
        <row r="2">
          <cell r="F2" t="str">
            <v>INCH</v>
          </cell>
        </row>
      </sheetData>
      <sheetData sheetId="3450" refreshError="1"/>
      <sheetData sheetId="3451" refreshError="1"/>
      <sheetData sheetId="3452" refreshError="1"/>
      <sheetData sheetId="3453"/>
      <sheetData sheetId="3454" refreshError="1"/>
      <sheetData sheetId="3455" refreshError="1"/>
      <sheetData sheetId="3456" refreshError="1"/>
      <sheetData sheetId="3457" refreshError="1"/>
      <sheetData sheetId="3458" refreshError="1"/>
      <sheetData sheetId="3459" refreshError="1"/>
      <sheetData sheetId="3460" refreshError="1"/>
      <sheetData sheetId="3461">
        <row r="2">
          <cell r="F2" t="str">
            <v>INCH</v>
          </cell>
        </row>
      </sheetData>
      <sheetData sheetId="3462" refreshError="1"/>
      <sheetData sheetId="3463"/>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ow r="2">
          <cell r="F2" t="str">
            <v>INCH</v>
          </cell>
        </row>
      </sheetData>
      <sheetData sheetId="3528">
        <row r="2">
          <cell r="F2" t="str">
            <v>INCH</v>
          </cell>
        </row>
      </sheetData>
      <sheetData sheetId="3529">
        <row r="2">
          <cell r="F2" t="str">
            <v>INCH</v>
          </cell>
        </row>
      </sheetData>
      <sheetData sheetId="3530">
        <row r="2">
          <cell r="F2" t="str">
            <v>INCH</v>
          </cell>
        </row>
      </sheetData>
      <sheetData sheetId="3531">
        <row r="2">
          <cell r="F2" t="str">
            <v>INCH</v>
          </cell>
        </row>
      </sheetData>
      <sheetData sheetId="3532">
        <row r="2">
          <cell r="F2" t="str">
            <v>INCH</v>
          </cell>
        </row>
      </sheetData>
      <sheetData sheetId="3533">
        <row r="2">
          <cell r="F2" t="str">
            <v>INCH</v>
          </cell>
        </row>
      </sheetData>
      <sheetData sheetId="3534">
        <row r="2">
          <cell r="F2" t="str">
            <v>INCH</v>
          </cell>
        </row>
      </sheetData>
      <sheetData sheetId="3535">
        <row r="2">
          <cell r="F2" t="str">
            <v>INCH</v>
          </cell>
        </row>
      </sheetData>
      <sheetData sheetId="3536"/>
      <sheetData sheetId="3537"/>
      <sheetData sheetId="3538"/>
      <sheetData sheetId="3539"/>
      <sheetData sheetId="3540">
        <row r="2">
          <cell r="F2" t="str">
            <v>INCH</v>
          </cell>
        </row>
      </sheetData>
      <sheetData sheetId="3541"/>
      <sheetData sheetId="3542"/>
      <sheetData sheetId="3543"/>
      <sheetData sheetId="3544"/>
      <sheetData sheetId="3545"/>
      <sheetData sheetId="3546">
        <row r="2">
          <cell r="F2" t="str">
            <v>INCH</v>
          </cell>
        </row>
      </sheetData>
      <sheetData sheetId="3547">
        <row r="2">
          <cell r="F2" t="str">
            <v>INCH</v>
          </cell>
        </row>
      </sheetData>
      <sheetData sheetId="3548" refreshError="1"/>
      <sheetData sheetId="3549" refreshError="1"/>
      <sheetData sheetId="3550" refreshError="1"/>
      <sheetData sheetId="3551">
        <row r="2">
          <cell r="F2" t="str">
            <v>INCH</v>
          </cell>
        </row>
      </sheetData>
      <sheetData sheetId="3552" refreshError="1"/>
      <sheetData sheetId="3553" refreshError="1"/>
      <sheetData sheetId="3554" refreshError="1"/>
      <sheetData sheetId="3555" refreshError="1"/>
      <sheetData sheetId="3556" refreshError="1"/>
      <sheetData sheetId="3557"/>
      <sheetData sheetId="3558"/>
      <sheetData sheetId="3559"/>
      <sheetData sheetId="3560"/>
      <sheetData sheetId="3561"/>
      <sheetData sheetId="3562"/>
      <sheetData sheetId="3563"/>
      <sheetData sheetId="3564"/>
      <sheetData sheetId="3565"/>
      <sheetData sheetId="3566"/>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ow r="2">
          <cell r="F2" t="str">
            <v>INCH</v>
          </cell>
        </row>
      </sheetData>
      <sheetData sheetId="3651">
        <row r="2">
          <cell r="F2" t="str">
            <v>INCH</v>
          </cell>
        </row>
      </sheetData>
      <sheetData sheetId="3652">
        <row r="2">
          <cell r="F2" t="str">
            <v>INCH</v>
          </cell>
        </row>
      </sheetData>
      <sheetData sheetId="3653">
        <row r="2">
          <cell r="F2" t="str">
            <v>INCH</v>
          </cell>
        </row>
      </sheetData>
      <sheetData sheetId="3654">
        <row r="2">
          <cell r="F2" t="str">
            <v>INCH</v>
          </cell>
        </row>
      </sheetData>
      <sheetData sheetId="3655">
        <row r="2">
          <cell r="F2" t="str">
            <v>INCH</v>
          </cell>
        </row>
      </sheetData>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ow r="2">
          <cell r="F2" t="str">
            <v>INCH</v>
          </cell>
        </row>
      </sheetData>
      <sheetData sheetId="3677">
        <row r="2">
          <cell r="F2" t="str">
            <v>INCH</v>
          </cell>
        </row>
      </sheetData>
      <sheetData sheetId="3678">
        <row r="2">
          <cell r="F2" t="str">
            <v>INCH</v>
          </cell>
        </row>
      </sheetData>
      <sheetData sheetId="3679">
        <row r="2">
          <cell r="F2" t="str">
            <v>INCH</v>
          </cell>
        </row>
      </sheetData>
      <sheetData sheetId="3680">
        <row r="2">
          <cell r="F2" t="str">
            <v>INCH</v>
          </cell>
        </row>
      </sheetData>
      <sheetData sheetId="3681">
        <row r="2">
          <cell r="F2" t="str">
            <v>INCH</v>
          </cell>
        </row>
      </sheetData>
      <sheetData sheetId="3682">
        <row r="2">
          <cell r="F2" t="str">
            <v>INCH</v>
          </cell>
        </row>
      </sheetData>
      <sheetData sheetId="3683">
        <row r="2">
          <cell r="F2" t="str">
            <v>INCH</v>
          </cell>
        </row>
      </sheetData>
      <sheetData sheetId="3684">
        <row r="2">
          <cell r="F2" t="str">
            <v>INCH</v>
          </cell>
        </row>
      </sheetData>
      <sheetData sheetId="3685">
        <row r="2">
          <cell r="F2" t="str">
            <v>INCH</v>
          </cell>
        </row>
      </sheetData>
      <sheetData sheetId="3686">
        <row r="2">
          <cell r="F2" t="str">
            <v>INCH</v>
          </cell>
        </row>
      </sheetData>
      <sheetData sheetId="3687">
        <row r="2">
          <cell r="F2" t="str">
            <v>INCH</v>
          </cell>
        </row>
      </sheetData>
      <sheetData sheetId="3688">
        <row r="2">
          <cell r="F2" t="str">
            <v>INCH</v>
          </cell>
        </row>
      </sheetData>
      <sheetData sheetId="3689">
        <row r="2">
          <cell r="F2" t="str">
            <v>INCH</v>
          </cell>
        </row>
      </sheetData>
      <sheetData sheetId="3690">
        <row r="2">
          <cell r="F2" t="str">
            <v>INCH</v>
          </cell>
        </row>
      </sheetData>
      <sheetData sheetId="3691">
        <row r="2">
          <cell r="F2" t="str">
            <v>INCH</v>
          </cell>
        </row>
      </sheetData>
      <sheetData sheetId="3692">
        <row r="2">
          <cell r="F2" t="str">
            <v>INCH</v>
          </cell>
        </row>
      </sheetData>
      <sheetData sheetId="3693">
        <row r="2">
          <cell r="F2" t="str">
            <v>INCH</v>
          </cell>
        </row>
      </sheetData>
      <sheetData sheetId="3694">
        <row r="2">
          <cell r="F2" t="str">
            <v>INCH</v>
          </cell>
        </row>
      </sheetData>
      <sheetData sheetId="3695">
        <row r="2">
          <cell r="F2" t="str">
            <v>INCH</v>
          </cell>
        </row>
      </sheetData>
      <sheetData sheetId="3696">
        <row r="2">
          <cell r="F2" t="str">
            <v>INCH</v>
          </cell>
        </row>
      </sheetData>
      <sheetData sheetId="3697">
        <row r="2">
          <cell r="F2" t="str">
            <v>INCH</v>
          </cell>
        </row>
      </sheetData>
      <sheetData sheetId="3698">
        <row r="2">
          <cell r="F2" t="str">
            <v>INCH</v>
          </cell>
        </row>
      </sheetData>
      <sheetData sheetId="3699">
        <row r="2">
          <cell r="F2" t="str">
            <v>INCH</v>
          </cell>
        </row>
      </sheetData>
      <sheetData sheetId="3700">
        <row r="2">
          <cell r="F2" t="str">
            <v>INCH</v>
          </cell>
        </row>
      </sheetData>
      <sheetData sheetId="3701">
        <row r="2">
          <cell r="F2" t="str">
            <v>INCH</v>
          </cell>
        </row>
      </sheetData>
      <sheetData sheetId="3702">
        <row r="2">
          <cell r="F2" t="str">
            <v>INCH</v>
          </cell>
        </row>
      </sheetData>
      <sheetData sheetId="3703">
        <row r="2">
          <cell r="F2" t="str">
            <v>INCH</v>
          </cell>
        </row>
      </sheetData>
      <sheetData sheetId="3704">
        <row r="2">
          <cell r="F2" t="str">
            <v>INCH</v>
          </cell>
        </row>
      </sheetData>
      <sheetData sheetId="3705">
        <row r="2">
          <cell r="F2" t="str">
            <v>INCH</v>
          </cell>
        </row>
      </sheetData>
      <sheetData sheetId="3706">
        <row r="2">
          <cell r="F2" t="str">
            <v>INCH</v>
          </cell>
        </row>
      </sheetData>
      <sheetData sheetId="3707">
        <row r="2">
          <cell r="F2" t="str">
            <v>INCH</v>
          </cell>
        </row>
      </sheetData>
      <sheetData sheetId="3708">
        <row r="2">
          <cell r="F2" t="str">
            <v>INCH</v>
          </cell>
        </row>
      </sheetData>
      <sheetData sheetId="3709">
        <row r="2">
          <cell r="F2" t="str">
            <v>INCH</v>
          </cell>
        </row>
      </sheetData>
      <sheetData sheetId="3710">
        <row r="2">
          <cell r="F2" t="str">
            <v>INCH</v>
          </cell>
        </row>
      </sheetData>
      <sheetData sheetId="3711">
        <row r="2">
          <cell r="F2" t="str">
            <v>INCH</v>
          </cell>
        </row>
      </sheetData>
      <sheetData sheetId="3712">
        <row r="2">
          <cell r="F2" t="str">
            <v>INCH</v>
          </cell>
        </row>
      </sheetData>
      <sheetData sheetId="3713">
        <row r="2">
          <cell r="F2" t="str">
            <v>INCH</v>
          </cell>
        </row>
      </sheetData>
      <sheetData sheetId="3714">
        <row r="2">
          <cell r="F2" t="str">
            <v>INCH</v>
          </cell>
        </row>
      </sheetData>
      <sheetData sheetId="3715">
        <row r="2">
          <cell r="F2" t="str">
            <v>INCH</v>
          </cell>
        </row>
      </sheetData>
      <sheetData sheetId="3716">
        <row r="2">
          <cell r="F2" t="str">
            <v>INCH</v>
          </cell>
        </row>
      </sheetData>
      <sheetData sheetId="3717">
        <row r="2">
          <cell r="F2" t="str">
            <v>INCH</v>
          </cell>
        </row>
      </sheetData>
      <sheetData sheetId="3718">
        <row r="2">
          <cell r="F2" t="str">
            <v>INCH</v>
          </cell>
        </row>
      </sheetData>
      <sheetData sheetId="3719" refreshError="1"/>
      <sheetData sheetId="3720" refreshError="1"/>
      <sheetData sheetId="3721" refreshError="1"/>
      <sheetData sheetId="3722" refreshError="1"/>
      <sheetData sheetId="3723">
        <row r="2">
          <cell r="F2" t="str">
            <v>INCH</v>
          </cell>
        </row>
      </sheetData>
      <sheetData sheetId="3724">
        <row r="2">
          <cell r="F2" t="str">
            <v>INCH</v>
          </cell>
        </row>
      </sheetData>
      <sheetData sheetId="3725">
        <row r="2">
          <cell r="F2" t="str">
            <v>INCH</v>
          </cell>
        </row>
      </sheetData>
      <sheetData sheetId="3726">
        <row r="2">
          <cell r="F2" t="str">
            <v>INCH</v>
          </cell>
        </row>
      </sheetData>
      <sheetData sheetId="3727">
        <row r="2">
          <cell r="F2" t="str">
            <v>INCH</v>
          </cell>
        </row>
      </sheetData>
      <sheetData sheetId="3728">
        <row r="2">
          <cell r="F2" t="str">
            <v>INCH</v>
          </cell>
        </row>
      </sheetData>
      <sheetData sheetId="3729">
        <row r="2">
          <cell r="F2" t="str">
            <v>INCH</v>
          </cell>
        </row>
      </sheetData>
      <sheetData sheetId="3730">
        <row r="2">
          <cell r="F2" t="str">
            <v>INCH</v>
          </cell>
        </row>
      </sheetData>
      <sheetData sheetId="3731">
        <row r="2">
          <cell r="F2" t="str">
            <v>INCH</v>
          </cell>
        </row>
      </sheetData>
      <sheetData sheetId="3732">
        <row r="2">
          <cell r="F2" t="str">
            <v>INCH</v>
          </cell>
        </row>
      </sheetData>
      <sheetData sheetId="3733">
        <row r="2">
          <cell r="F2" t="str">
            <v>INCH</v>
          </cell>
        </row>
      </sheetData>
      <sheetData sheetId="3734">
        <row r="2">
          <cell r="F2" t="str">
            <v>INCH</v>
          </cell>
        </row>
      </sheetData>
      <sheetData sheetId="3735">
        <row r="2">
          <cell r="F2" t="str">
            <v>INCH</v>
          </cell>
        </row>
      </sheetData>
      <sheetData sheetId="3736">
        <row r="2">
          <cell r="F2" t="str">
            <v>INCH</v>
          </cell>
        </row>
      </sheetData>
      <sheetData sheetId="3737">
        <row r="2">
          <cell r="F2" t="str">
            <v>INCH</v>
          </cell>
        </row>
      </sheetData>
      <sheetData sheetId="3738">
        <row r="2">
          <cell r="F2" t="str">
            <v>INCH</v>
          </cell>
        </row>
      </sheetData>
      <sheetData sheetId="3739">
        <row r="2">
          <cell r="F2" t="str">
            <v>INCH</v>
          </cell>
        </row>
      </sheetData>
      <sheetData sheetId="3740">
        <row r="2">
          <cell r="F2" t="str">
            <v>INCH</v>
          </cell>
        </row>
      </sheetData>
      <sheetData sheetId="3741">
        <row r="2">
          <cell r="F2" t="str">
            <v>INCH</v>
          </cell>
        </row>
      </sheetData>
      <sheetData sheetId="3742">
        <row r="2">
          <cell r="F2" t="str">
            <v>INCH</v>
          </cell>
        </row>
      </sheetData>
      <sheetData sheetId="3743">
        <row r="2">
          <cell r="F2" t="str">
            <v>INCH</v>
          </cell>
        </row>
      </sheetData>
      <sheetData sheetId="3744">
        <row r="2">
          <cell r="F2" t="str">
            <v>INCH</v>
          </cell>
        </row>
      </sheetData>
      <sheetData sheetId="3745">
        <row r="2">
          <cell r="F2" t="str">
            <v>INCH</v>
          </cell>
        </row>
      </sheetData>
      <sheetData sheetId="3746">
        <row r="2">
          <cell r="F2" t="str">
            <v>INCH</v>
          </cell>
        </row>
      </sheetData>
      <sheetData sheetId="3747">
        <row r="2">
          <cell r="F2" t="str">
            <v>INCH</v>
          </cell>
        </row>
      </sheetData>
      <sheetData sheetId="3748">
        <row r="2">
          <cell r="F2" t="str">
            <v>INCH</v>
          </cell>
        </row>
      </sheetData>
      <sheetData sheetId="3749">
        <row r="2">
          <cell r="F2" t="str">
            <v>INCH</v>
          </cell>
        </row>
      </sheetData>
      <sheetData sheetId="3750">
        <row r="2">
          <cell r="F2" t="str">
            <v>INCH</v>
          </cell>
        </row>
      </sheetData>
      <sheetData sheetId="3751">
        <row r="2">
          <cell r="F2" t="str">
            <v>INCH</v>
          </cell>
        </row>
      </sheetData>
      <sheetData sheetId="3752">
        <row r="2">
          <cell r="F2" t="str">
            <v>INCH</v>
          </cell>
        </row>
      </sheetData>
      <sheetData sheetId="3753">
        <row r="2">
          <cell r="F2" t="str">
            <v>INCH</v>
          </cell>
        </row>
      </sheetData>
      <sheetData sheetId="3754">
        <row r="2">
          <cell r="F2" t="str">
            <v>INCH</v>
          </cell>
        </row>
      </sheetData>
      <sheetData sheetId="3755">
        <row r="2">
          <cell r="F2" t="str">
            <v>INCH</v>
          </cell>
        </row>
      </sheetData>
      <sheetData sheetId="3756">
        <row r="2">
          <cell r="F2" t="str">
            <v>INCH</v>
          </cell>
        </row>
      </sheetData>
      <sheetData sheetId="3757">
        <row r="2">
          <cell r="F2" t="str">
            <v>INCH</v>
          </cell>
        </row>
      </sheetData>
      <sheetData sheetId="3758">
        <row r="2">
          <cell r="F2" t="str">
            <v>INCH</v>
          </cell>
        </row>
      </sheetData>
      <sheetData sheetId="3759">
        <row r="2">
          <cell r="F2" t="str">
            <v>INCH</v>
          </cell>
        </row>
      </sheetData>
      <sheetData sheetId="3760">
        <row r="2">
          <cell r="F2" t="str">
            <v>INCH</v>
          </cell>
        </row>
      </sheetData>
      <sheetData sheetId="3761">
        <row r="2">
          <cell r="F2" t="str">
            <v>INCH</v>
          </cell>
        </row>
      </sheetData>
      <sheetData sheetId="3762">
        <row r="2">
          <cell r="F2" t="str">
            <v>INCH</v>
          </cell>
        </row>
      </sheetData>
      <sheetData sheetId="3763">
        <row r="2">
          <cell r="F2" t="str">
            <v>INCH</v>
          </cell>
        </row>
      </sheetData>
      <sheetData sheetId="3764">
        <row r="2">
          <cell r="F2" t="str">
            <v>INCH</v>
          </cell>
        </row>
      </sheetData>
      <sheetData sheetId="3765">
        <row r="2">
          <cell r="F2" t="str">
            <v>INCH</v>
          </cell>
        </row>
      </sheetData>
      <sheetData sheetId="3766">
        <row r="2">
          <cell r="F2" t="str">
            <v>INCH</v>
          </cell>
        </row>
      </sheetData>
      <sheetData sheetId="3767">
        <row r="2">
          <cell r="F2" t="str">
            <v>INCH</v>
          </cell>
        </row>
      </sheetData>
      <sheetData sheetId="3768">
        <row r="2">
          <cell r="F2" t="str">
            <v>INCH</v>
          </cell>
        </row>
      </sheetData>
      <sheetData sheetId="3769">
        <row r="2">
          <cell r="F2" t="str">
            <v>INCH</v>
          </cell>
        </row>
      </sheetData>
      <sheetData sheetId="3770">
        <row r="2">
          <cell r="F2" t="str">
            <v>INCH</v>
          </cell>
        </row>
      </sheetData>
      <sheetData sheetId="3771">
        <row r="2">
          <cell r="F2" t="str">
            <v>INCH</v>
          </cell>
        </row>
      </sheetData>
      <sheetData sheetId="3772">
        <row r="2">
          <cell r="F2" t="str">
            <v>INCH</v>
          </cell>
        </row>
      </sheetData>
      <sheetData sheetId="3773">
        <row r="2">
          <cell r="F2" t="str">
            <v>INCH</v>
          </cell>
        </row>
      </sheetData>
      <sheetData sheetId="3774">
        <row r="2">
          <cell r="F2" t="str">
            <v>INCH</v>
          </cell>
        </row>
      </sheetData>
      <sheetData sheetId="3775">
        <row r="2">
          <cell r="F2" t="str">
            <v>INCH</v>
          </cell>
        </row>
      </sheetData>
      <sheetData sheetId="3776">
        <row r="2">
          <cell r="F2" t="str">
            <v>INCH</v>
          </cell>
        </row>
      </sheetData>
      <sheetData sheetId="3777">
        <row r="2">
          <cell r="F2" t="str">
            <v>INCH</v>
          </cell>
        </row>
      </sheetData>
      <sheetData sheetId="3778">
        <row r="2">
          <cell r="F2" t="str">
            <v>INCH</v>
          </cell>
        </row>
      </sheetData>
      <sheetData sheetId="3779">
        <row r="2">
          <cell r="F2" t="str">
            <v>INCH</v>
          </cell>
        </row>
      </sheetData>
      <sheetData sheetId="3780">
        <row r="2">
          <cell r="F2" t="str">
            <v>INCH</v>
          </cell>
        </row>
      </sheetData>
      <sheetData sheetId="3781">
        <row r="2">
          <cell r="F2" t="str">
            <v>INCH</v>
          </cell>
        </row>
      </sheetData>
      <sheetData sheetId="3782">
        <row r="2">
          <cell r="F2" t="str">
            <v>INCH</v>
          </cell>
        </row>
      </sheetData>
      <sheetData sheetId="3783">
        <row r="2">
          <cell r="F2" t="str">
            <v>INCH</v>
          </cell>
        </row>
      </sheetData>
      <sheetData sheetId="3784">
        <row r="2">
          <cell r="F2" t="str">
            <v>INCH</v>
          </cell>
        </row>
      </sheetData>
      <sheetData sheetId="3785">
        <row r="2">
          <cell r="F2" t="str">
            <v>INCH</v>
          </cell>
        </row>
      </sheetData>
      <sheetData sheetId="3786">
        <row r="2">
          <cell r="F2" t="str">
            <v>INCH</v>
          </cell>
        </row>
      </sheetData>
      <sheetData sheetId="3787">
        <row r="2">
          <cell r="F2" t="str">
            <v>INCH</v>
          </cell>
        </row>
      </sheetData>
      <sheetData sheetId="3788">
        <row r="2">
          <cell r="F2" t="str">
            <v>INCH</v>
          </cell>
        </row>
      </sheetData>
      <sheetData sheetId="3789">
        <row r="2">
          <cell r="F2" t="str">
            <v>INCH</v>
          </cell>
        </row>
      </sheetData>
      <sheetData sheetId="3790">
        <row r="2">
          <cell r="F2" t="str">
            <v>INCH</v>
          </cell>
        </row>
      </sheetData>
      <sheetData sheetId="3791">
        <row r="2">
          <cell r="F2" t="str">
            <v>INCH</v>
          </cell>
        </row>
      </sheetData>
      <sheetData sheetId="3792">
        <row r="2">
          <cell r="F2" t="str">
            <v>INCH</v>
          </cell>
        </row>
      </sheetData>
      <sheetData sheetId="3793">
        <row r="2">
          <cell r="F2" t="str">
            <v>INCH</v>
          </cell>
        </row>
      </sheetData>
      <sheetData sheetId="3794">
        <row r="2">
          <cell r="F2" t="str">
            <v>INCH</v>
          </cell>
        </row>
      </sheetData>
      <sheetData sheetId="3795">
        <row r="2">
          <cell r="F2" t="str">
            <v>INCH</v>
          </cell>
        </row>
      </sheetData>
      <sheetData sheetId="3796">
        <row r="2">
          <cell r="F2" t="str">
            <v>INCH</v>
          </cell>
        </row>
      </sheetData>
      <sheetData sheetId="3797">
        <row r="2">
          <cell r="F2" t="str">
            <v>INCH</v>
          </cell>
        </row>
      </sheetData>
      <sheetData sheetId="3798">
        <row r="2">
          <cell r="F2" t="str">
            <v>INCH</v>
          </cell>
        </row>
      </sheetData>
      <sheetData sheetId="3799">
        <row r="2">
          <cell r="F2" t="str">
            <v>INCH</v>
          </cell>
        </row>
      </sheetData>
      <sheetData sheetId="3800">
        <row r="2">
          <cell r="F2" t="str">
            <v>INCH</v>
          </cell>
        </row>
      </sheetData>
      <sheetData sheetId="3801">
        <row r="2">
          <cell r="F2" t="str">
            <v>INCH</v>
          </cell>
        </row>
      </sheetData>
      <sheetData sheetId="3802">
        <row r="2">
          <cell r="F2" t="str">
            <v>INCH</v>
          </cell>
        </row>
      </sheetData>
      <sheetData sheetId="3803">
        <row r="2">
          <cell r="F2" t="str">
            <v>INCH</v>
          </cell>
        </row>
      </sheetData>
      <sheetData sheetId="3804">
        <row r="2">
          <cell r="F2" t="str">
            <v>INCH</v>
          </cell>
        </row>
      </sheetData>
      <sheetData sheetId="3805">
        <row r="2">
          <cell r="F2" t="str">
            <v>INCH</v>
          </cell>
        </row>
      </sheetData>
      <sheetData sheetId="3806">
        <row r="2">
          <cell r="F2" t="str">
            <v>INCH</v>
          </cell>
        </row>
      </sheetData>
      <sheetData sheetId="3807">
        <row r="2">
          <cell r="F2" t="str">
            <v>INCH</v>
          </cell>
        </row>
      </sheetData>
      <sheetData sheetId="3808">
        <row r="2">
          <cell r="F2" t="str">
            <v>INCH</v>
          </cell>
        </row>
      </sheetData>
      <sheetData sheetId="3809">
        <row r="2">
          <cell r="F2" t="str">
            <v>INCH</v>
          </cell>
        </row>
      </sheetData>
      <sheetData sheetId="3810">
        <row r="2">
          <cell r="F2" t="str">
            <v>INCH</v>
          </cell>
        </row>
      </sheetData>
      <sheetData sheetId="3811">
        <row r="2">
          <cell r="F2" t="str">
            <v>INCH</v>
          </cell>
        </row>
      </sheetData>
      <sheetData sheetId="3812">
        <row r="2">
          <cell r="F2" t="str">
            <v>INCH</v>
          </cell>
        </row>
      </sheetData>
      <sheetData sheetId="3813">
        <row r="2">
          <cell r="F2" t="str">
            <v>INCH</v>
          </cell>
        </row>
      </sheetData>
      <sheetData sheetId="3814">
        <row r="2">
          <cell r="F2" t="str">
            <v>INCH</v>
          </cell>
        </row>
      </sheetData>
      <sheetData sheetId="3815">
        <row r="2">
          <cell r="F2" t="str">
            <v>INCH</v>
          </cell>
        </row>
      </sheetData>
      <sheetData sheetId="3816">
        <row r="2">
          <cell r="F2" t="str">
            <v>INCH</v>
          </cell>
        </row>
      </sheetData>
      <sheetData sheetId="3817">
        <row r="2">
          <cell r="F2" t="str">
            <v>INCH</v>
          </cell>
        </row>
      </sheetData>
      <sheetData sheetId="3818">
        <row r="2">
          <cell r="F2" t="str">
            <v>INCH</v>
          </cell>
        </row>
      </sheetData>
      <sheetData sheetId="3819">
        <row r="2">
          <cell r="F2" t="str">
            <v>INCH</v>
          </cell>
        </row>
      </sheetData>
      <sheetData sheetId="3820">
        <row r="2">
          <cell r="F2" t="str">
            <v>INCH</v>
          </cell>
        </row>
      </sheetData>
      <sheetData sheetId="3821">
        <row r="2">
          <cell r="F2" t="str">
            <v>INCH</v>
          </cell>
        </row>
      </sheetData>
      <sheetData sheetId="3822">
        <row r="2">
          <cell r="F2" t="str">
            <v>INCH</v>
          </cell>
        </row>
      </sheetData>
      <sheetData sheetId="3823" refreshError="1"/>
      <sheetData sheetId="3824" refreshError="1"/>
      <sheetData sheetId="3825">
        <row r="2">
          <cell r="F2" t="str">
            <v>INCH</v>
          </cell>
        </row>
      </sheetData>
      <sheetData sheetId="3826">
        <row r="2">
          <cell r="F2" t="str">
            <v>INCH</v>
          </cell>
        </row>
      </sheetData>
      <sheetData sheetId="3827">
        <row r="2">
          <cell r="F2" t="str">
            <v>INCH</v>
          </cell>
        </row>
      </sheetData>
      <sheetData sheetId="3828">
        <row r="2">
          <cell r="F2" t="str">
            <v>INCH</v>
          </cell>
        </row>
      </sheetData>
      <sheetData sheetId="3829">
        <row r="2">
          <cell r="F2" t="str">
            <v>INCH</v>
          </cell>
        </row>
      </sheetData>
      <sheetData sheetId="3830">
        <row r="2">
          <cell r="F2" t="str">
            <v>INCH</v>
          </cell>
        </row>
      </sheetData>
      <sheetData sheetId="3831">
        <row r="2">
          <cell r="F2" t="str">
            <v>INCH</v>
          </cell>
        </row>
      </sheetData>
      <sheetData sheetId="3832">
        <row r="2">
          <cell r="F2" t="str">
            <v>INCH</v>
          </cell>
        </row>
      </sheetData>
      <sheetData sheetId="3833">
        <row r="2">
          <cell r="F2" t="str">
            <v>INCH</v>
          </cell>
        </row>
      </sheetData>
      <sheetData sheetId="3834">
        <row r="2">
          <cell r="F2" t="str">
            <v>INCH</v>
          </cell>
        </row>
      </sheetData>
      <sheetData sheetId="3835">
        <row r="2">
          <cell r="F2" t="str">
            <v>INCH</v>
          </cell>
        </row>
      </sheetData>
      <sheetData sheetId="3836">
        <row r="2">
          <cell r="F2" t="str">
            <v>INCH</v>
          </cell>
        </row>
      </sheetData>
      <sheetData sheetId="3837">
        <row r="2">
          <cell r="F2" t="str">
            <v>INCH</v>
          </cell>
        </row>
      </sheetData>
      <sheetData sheetId="3838">
        <row r="2">
          <cell r="F2" t="str">
            <v>INCH</v>
          </cell>
        </row>
      </sheetData>
      <sheetData sheetId="3839">
        <row r="2">
          <cell r="F2" t="str">
            <v>INCH</v>
          </cell>
        </row>
      </sheetData>
      <sheetData sheetId="3840">
        <row r="2">
          <cell r="F2" t="str">
            <v>INCH</v>
          </cell>
        </row>
      </sheetData>
      <sheetData sheetId="3841">
        <row r="2">
          <cell r="F2" t="str">
            <v>INCH</v>
          </cell>
        </row>
      </sheetData>
      <sheetData sheetId="3842">
        <row r="2">
          <cell r="F2" t="str">
            <v>INCH</v>
          </cell>
        </row>
      </sheetData>
      <sheetData sheetId="3843">
        <row r="2">
          <cell r="F2" t="str">
            <v>INCH</v>
          </cell>
        </row>
      </sheetData>
      <sheetData sheetId="3844" refreshError="1"/>
      <sheetData sheetId="3845">
        <row r="2">
          <cell r="F2" t="str">
            <v>INCH</v>
          </cell>
        </row>
      </sheetData>
      <sheetData sheetId="3846">
        <row r="2">
          <cell r="F2" t="str">
            <v>INCH</v>
          </cell>
        </row>
      </sheetData>
      <sheetData sheetId="3847">
        <row r="2">
          <cell r="F2" t="str">
            <v>INCH</v>
          </cell>
        </row>
      </sheetData>
      <sheetData sheetId="3848">
        <row r="2">
          <cell r="F2" t="str">
            <v>INCH</v>
          </cell>
        </row>
      </sheetData>
      <sheetData sheetId="3849">
        <row r="2">
          <cell r="F2" t="str">
            <v>INCH</v>
          </cell>
        </row>
      </sheetData>
      <sheetData sheetId="3850">
        <row r="2">
          <cell r="F2" t="str">
            <v>INCH</v>
          </cell>
        </row>
      </sheetData>
      <sheetData sheetId="3851">
        <row r="2">
          <cell r="F2" t="str">
            <v>INCH</v>
          </cell>
        </row>
      </sheetData>
      <sheetData sheetId="3852">
        <row r="2">
          <cell r="F2" t="str">
            <v>INCH</v>
          </cell>
        </row>
      </sheetData>
      <sheetData sheetId="3853" refreshError="1"/>
      <sheetData sheetId="3854">
        <row r="2">
          <cell r="F2" t="str">
            <v>INCH</v>
          </cell>
        </row>
      </sheetData>
      <sheetData sheetId="3855">
        <row r="2">
          <cell r="F2" t="str">
            <v>INCH</v>
          </cell>
        </row>
      </sheetData>
      <sheetData sheetId="3856">
        <row r="2">
          <cell r="F2" t="str">
            <v>INCH</v>
          </cell>
        </row>
      </sheetData>
      <sheetData sheetId="3857">
        <row r="2">
          <cell r="F2" t="str">
            <v>INCH</v>
          </cell>
        </row>
      </sheetData>
      <sheetData sheetId="3858">
        <row r="2">
          <cell r="F2" t="str">
            <v>INCH</v>
          </cell>
        </row>
      </sheetData>
      <sheetData sheetId="3859">
        <row r="2">
          <cell r="F2" t="str">
            <v>INCH</v>
          </cell>
        </row>
      </sheetData>
      <sheetData sheetId="3860">
        <row r="2">
          <cell r="F2" t="str">
            <v>INCH</v>
          </cell>
        </row>
      </sheetData>
      <sheetData sheetId="3861">
        <row r="2">
          <cell r="F2" t="str">
            <v>INCH</v>
          </cell>
        </row>
      </sheetData>
      <sheetData sheetId="3862">
        <row r="2">
          <cell r="F2" t="str">
            <v>INCH</v>
          </cell>
        </row>
      </sheetData>
      <sheetData sheetId="3863">
        <row r="2">
          <cell r="F2" t="str">
            <v>INCH</v>
          </cell>
        </row>
      </sheetData>
      <sheetData sheetId="3864">
        <row r="2">
          <cell r="F2" t="str">
            <v>INCH</v>
          </cell>
        </row>
      </sheetData>
      <sheetData sheetId="3865">
        <row r="2">
          <cell r="F2" t="str">
            <v>INCH</v>
          </cell>
        </row>
      </sheetData>
      <sheetData sheetId="3866">
        <row r="2">
          <cell r="F2" t="str">
            <v>INCH</v>
          </cell>
        </row>
      </sheetData>
      <sheetData sheetId="3867">
        <row r="2">
          <cell r="F2" t="str">
            <v>INCH</v>
          </cell>
        </row>
      </sheetData>
      <sheetData sheetId="3868">
        <row r="2">
          <cell r="F2" t="str">
            <v>INCH</v>
          </cell>
        </row>
      </sheetData>
      <sheetData sheetId="3869">
        <row r="2">
          <cell r="F2" t="str">
            <v>INCH</v>
          </cell>
        </row>
      </sheetData>
      <sheetData sheetId="3870">
        <row r="2">
          <cell r="F2" t="str">
            <v>INCH</v>
          </cell>
        </row>
      </sheetData>
      <sheetData sheetId="3871">
        <row r="2">
          <cell r="F2" t="str">
            <v>INCH</v>
          </cell>
        </row>
      </sheetData>
      <sheetData sheetId="3872">
        <row r="2">
          <cell r="F2" t="str">
            <v>INCH</v>
          </cell>
        </row>
      </sheetData>
      <sheetData sheetId="3873">
        <row r="2">
          <cell r="F2" t="str">
            <v>INCH</v>
          </cell>
        </row>
      </sheetData>
      <sheetData sheetId="3874">
        <row r="2">
          <cell r="F2" t="str">
            <v>INCH</v>
          </cell>
        </row>
      </sheetData>
      <sheetData sheetId="3875">
        <row r="2">
          <cell r="F2" t="str">
            <v>INCH</v>
          </cell>
        </row>
      </sheetData>
      <sheetData sheetId="3876">
        <row r="2">
          <cell r="F2" t="str">
            <v>INCH</v>
          </cell>
        </row>
      </sheetData>
      <sheetData sheetId="3877">
        <row r="2">
          <cell r="F2" t="str">
            <v>INCH</v>
          </cell>
        </row>
      </sheetData>
      <sheetData sheetId="3878">
        <row r="2">
          <cell r="F2" t="str">
            <v>INCH</v>
          </cell>
        </row>
      </sheetData>
      <sheetData sheetId="3879">
        <row r="2">
          <cell r="F2" t="str">
            <v>INCH</v>
          </cell>
        </row>
      </sheetData>
      <sheetData sheetId="3880">
        <row r="2">
          <cell r="F2" t="str">
            <v>INCH</v>
          </cell>
        </row>
      </sheetData>
      <sheetData sheetId="3881">
        <row r="2">
          <cell r="F2" t="str">
            <v>INCH</v>
          </cell>
        </row>
      </sheetData>
      <sheetData sheetId="3882">
        <row r="2">
          <cell r="F2" t="str">
            <v>INCH</v>
          </cell>
        </row>
      </sheetData>
      <sheetData sheetId="3883">
        <row r="2">
          <cell r="F2" t="str">
            <v>INCH</v>
          </cell>
        </row>
      </sheetData>
      <sheetData sheetId="3884">
        <row r="2">
          <cell r="F2" t="str">
            <v>INCH</v>
          </cell>
        </row>
      </sheetData>
      <sheetData sheetId="3885">
        <row r="2">
          <cell r="F2" t="str">
            <v>INCH</v>
          </cell>
        </row>
      </sheetData>
      <sheetData sheetId="3886">
        <row r="2">
          <cell r="F2" t="str">
            <v>INCH</v>
          </cell>
        </row>
      </sheetData>
      <sheetData sheetId="3887">
        <row r="2">
          <cell r="F2" t="str">
            <v>INCH</v>
          </cell>
        </row>
      </sheetData>
      <sheetData sheetId="3888">
        <row r="2">
          <cell r="F2" t="str">
            <v>INCH</v>
          </cell>
        </row>
      </sheetData>
      <sheetData sheetId="3889">
        <row r="2">
          <cell r="F2" t="str">
            <v>INCH</v>
          </cell>
        </row>
      </sheetData>
      <sheetData sheetId="3890">
        <row r="2">
          <cell r="F2" t="str">
            <v>INCH</v>
          </cell>
        </row>
      </sheetData>
      <sheetData sheetId="3891">
        <row r="2">
          <cell r="F2" t="str">
            <v>INCH</v>
          </cell>
        </row>
      </sheetData>
      <sheetData sheetId="3892">
        <row r="2">
          <cell r="F2" t="str">
            <v>INCH</v>
          </cell>
        </row>
      </sheetData>
      <sheetData sheetId="3893">
        <row r="2">
          <cell r="F2" t="str">
            <v>INCH</v>
          </cell>
        </row>
      </sheetData>
      <sheetData sheetId="3894">
        <row r="2">
          <cell r="F2" t="str">
            <v>INCH</v>
          </cell>
        </row>
      </sheetData>
      <sheetData sheetId="3895">
        <row r="2">
          <cell r="F2" t="str">
            <v>INCH</v>
          </cell>
        </row>
      </sheetData>
      <sheetData sheetId="3896">
        <row r="2">
          <cell r="F2" t="str">
            <v>INCH</v>
          </cell>
        </row>
      </sheetData>
      <sheetData sheetId="3897">
        <row r="2">
          <cell r="F2" t="str">
            <v>INCH</v>
          </cell>
        </row>
      </sheetData>
      <sheetData sheetId="3898">
        <row r="2">
          <cell r="F2" t="str">
            <v>INCH</v>
          </cell>
        </row>
      </sheetData>
      <sheetData sheetId="3899">
        <row r="2">
          <cell r="F2" t="str">
            <v>INCH</v>
          </cell>
        </row>
      </sheetData>
      <sheetData sheetId="3900">
        <row r="2">
          <cell r="F2" t="str">
            <v>INCH</v>
          </cell>
        </row>
      </sheetData>
      <sheetData sheetId="3901">
        <row r="2">
          <cell r="F2" t="str">
            <v>INCH</v>
          </cell>
        </row>
      </sheetData>
      <sheetData sheetId="3902">
        <row r="2">
          <cell r="F2" t="str">
            <v>INCH</v>
          </cell>
        </row>
      </sheetData>
      <sheetData sheetId="3903">
        <row r="2">
          <cell r="F2" t="str">
            <v>INCH</v>
          </cell>
        </row>
      </sheetData>
      <sheetData sheetId="3904">
        <row r="2">
          <cell r="F2" t="str">
            <v>INCH</v>
          </cell>
        </row>
      </sheetData>
      <sheetData sheetId="3905">
        <row r="2">
          <cell r="F2" t="str">
            <v>INCH</v>
          </cell>
        </row>
      </sheetData>
      <sheetData sheetId="3906">
        <row r="2">
          <cell r="F2" t="str">
            <v>INCH</v>
          </cell>
        </row>
      </sheetData>
      <sheetData sheetId="3907">
        <row r="2">
          <cell r="F2" t="str">
            <v>INCH</v>
          </cell>
        </row>
      </sheetData>
      <sheetData sheetId="3908">
        <row r="2">
          <cell r="F2" t="str">
            <v>INCH</v>
          </cell>
        </row>
      </sheetData>
      <sheetData sheetId="3909">
        <row r="2">
          <cell r="F2" t="str">
            <v>INCH</v>
          </cell>
        </row>
      </sheetData>
      <sheetData sheetId="3910">
        <row r="2">
          <cell r="F2" t="str">
            <v>INCH</v>
          </cell>
        </row>
      </sheetData>
      <sheetData sheetId="3911">
        <row r="2">
          <cell r="F2" t="str">
            <v>INCH</v>
          </cell>
        </row>
      </sheetData>
      <sheetData sheetId="3912">
        <row r="2">
          <cell r="F2" t="str">
            <v>INCH</v>
          </cell>
        </row>
      </sheetData>
      <sheetData sheetId="3913">
        <row r="2">
          <cell r="F2" t="str">
            <v>INCH</v>
          </cell>
        </row>
      </sheetData>
      <sheetData sheetId="3914">
        <row r="2">
          <cell r="F2" t="str">
            <v>INCH</v>
          </cell>
        </row>
      </sheetData>
      <sheetData sheetId="3915">
        <row r="2">
          <cell r="F2" t="str">
            <v>INCH</v>
          </cell>
        </row>
      </sheetData>
      <sheetData sheetId="3916">
        <row r="2">
          <cell r="F2" t="str">
            <v>INCH</v>
          </cell>
        </row>
      </sheetData>
      <sheetData sheetId="3917">
        <row r="2">
          <cell r="F2" t="str">
            <v>INCH</v>
          </cell>
        </row>
      </sheetData>
      <sheetData sheetId="3918">
        <row r="2">
          <cell r="F2" t="str">
            <v>INCH</v>
          </cell>
        </row>
      </sheetData>
      <sheetData sheetId="3919">
        <row r="2">
          <cell r="F2" t="str">
            <v>INCH</v>
          </cell>
        </row>
      </sheetData>
      <sheetData sheetId="3920">
        <row r="2">
          <cell r="F2" t="str">
            <v>INCH</v>
          </cell>
        </row>
      </sheetData>
      <sheetData sheetId="3921">
        <row r="2">
          <cell r="F2" t="str">
            <v>INCH</v>
          </cell>
        </row>
      </sheetData>
      <sheetData sheetId="3922">
        <row r="2">
          <cell r="F2" t="str">
            <v>INCH</v>
          </cell>
        </row>
      </sheetData>
      <sheetData sheetId="3923">
        <row r="2">
          <cell r="F2" t="str">
            <v>INCH</v>
          </cell>
        </row>
      </sheetData>
      <sheetData sheetId="3924">
        <row r="2">
          <cell r="F2" t="str">
            <v>INCH</v>
          </cell>
        </row>
      </sheetData>
      <sheetData sheetId="3925">
        <row r="2">
          <cell r="F2" t="str">
            <v>INCH</v>
          </cell>
        </row>
      </sheetData>
      <sheetData sheetId="3926">
        <row r="2">
          <cell r="F2" t="str">
            <v>INCH</v>
          </cell>
        </row>
      </sheetData>
      <sheetData sheetId="3927">
        <row r="2">
          <cell r="F2" t="str">
            <v>INCH</v>
          </cell>
        </row>
      </sheetData>
      <sheetData sheetId="3928">
        <row r="2">
          <cell r="F2" t="str">
            <v>INCH</v>
          </cell>
        </row>
      </sheetData>
      <sheetData sheetId="3929">
        <row r="2">
          <cell r="F2" t="str">
            <v>INCH</v>
          </cell>
        </row>
      </sheetData>
      <sheetData sheetId="3930">
        <row r="2">
          <cell r="F2" t="str">
            <v>INCH</v>
          </cell>
        </row>
      </sheetData>
      <sheetData sheetId="3931">
        <row r="2">
          <cell r="F2" t="str">
            <v>INCH</v>
          </cell>
        </row>
      </sheetData>
      <sheetData sheetId="3932">
        <row r="2">
          <cell r="F2" t="str">
            <v>INCH</v>
          </cell>
        </row>
      </sheetData>
      <sheetData sheetId="3933">
        <row r="2">
          <cell r="F2" t="str">
            <v>INCH</v>
          </cell>
        </row>
      </sheetData>
      <sheetData sheetId="3934">
        <row r="2">
          <cell r="F2" t="str">
            <v>INCH</v>
          </cell>
        </row>
      </sheetData>
      <sheetData sheetId="3935">
        <row r="2">
          <cell r="F2" t="str">
            <v>INCH</v>
          </cell>
        </row>
      </sheetData>
      <sheetData sheetId="3936">
        <row r="2">
          <cell r="F2" t="str">
            <v>INCH</v>
          </cell>
        </row>
      </sheetData>
      <sheetData sheetId="3937">
        <row r="2">
          <cell r="F2" t="str">
            <v>INCH</v>
          </cell>
        </row>
      </sheetData>
      <sheetData sheetId="3938">
        <row r="2">
          <cell r="F2" t="str">
            <v>INCH</v>
          </cell>
        </row>
      </sheetData>
      <sheetData sheetId="3939">
        <row r="2">
          <cell r="F2" t="str">
            <v>INCH</v>
          </cell>
        </row>
      </sheetData>
      <sheetData sheetId="3940">
        <row r="2">
          <cell r="F2" t="str">
            <v>INCH</v>
          </cell>
        </row>
      </sheetData>
      <sheetData sheetId="3941">
        <row r="2">
          <cell r="F2" t="str">
            <v>INCH</v>
          </cell>
        </row>
      </sheetData>
      <sheetData sheetId="3942">
        <row r="2">
          <cell r="F2" t="str">
            <v>INCH</v>
          </cell>
        </row>
      </sheetData>
      <sheetData sheetId="3943">
        <row r="2">
          <cell r="F2" t="str">
            <v>INCH</v>
          </cell>
        </row>
      </sheetData>
      <sheetData sheetId="3944">
        <row r="2">
          <cell r="F2" t="str">
            <v>INCH</v>
          </cell>
        </row>
      </sheetData>
      <sheetData sheetId="3945">
        <row r="2">
          <cell r="F2" t="str">
            <v>INCH</v>
          </cell>
        </row>
      </sheetData>
      <sheetData sheetId="3946">
        <row r="2">
          <cell r="F2" t="str">
            <v>INCH</v>
          </cell>
        </row>
      </sheetData>
      <sheetData sheetId="3947">
        <row r="2">
          <cell r="F2" t="str">
            <v>INCH</v>
          </cell>
        </row>
      </sheetData>
      <sheetData sheetId="3948">
        <row r="2">
          <cell r="F2" t="str">
            <v>INCH</v>
          </cell>
        </row>
      </sheetData>
      <sheetData sheetId="3949">
        <row r="2">
          <cell r="F2" t="str">
            <v>INCH</v>
          </cell>
        </row>
      </sheetData>
      <sheetData sheetId="3950">
        <row r="2">
          <cell r="F2" t="str">
            <v>INCH</v>
          </cell>
        </row>
      </sheetData>
      <sheetData sheetId="3951">
        <row r="2">
          <cell r="F2" t="str">
            <v>INCH</v>
          </cell>
        </row>
      </sheetData>
      <sheetData sheetId="3952">
        <row r="2">
          <cell r="F2" t="str">
            <v>INCH</v>
          </cell>
        </row>
      </sheetData>
      <sheetData sheetId="3953">
        <row r="2">
          <cell r="F2" t="str">
            <v>INCH</v>
          </cell>
        </row>
      </sheetData>
      <sheetData sheetId="3954">
        <row r="2">
          <cell r="F2" t="str">
            <v>INCH</v>
          </cell>
        </row>
      </sheetData>
      <sheetData sheetId="3955">
        <row r="2">
          <cell r="F2" t="str">
            <v>INCH</v>
          </cell>
        </row>
      </sheetData>
      <sheetData sheetId="3956">
        <row r="2">
          <cell r="F2" t="str">
            <v>INCH</v>
          </cell>
        </row>
      </sheetData>
      <sheetData sheetId="3957">
        <row r="2">
          <cell r="F2" t="str">
            <v>INCH</v>
          </cell>
        </row>
      </sheetData>
      <sheetData sheetId="3958">
        <row r="2">
          <cell r="F2" t="str">
            <v>INCH</v>
          </cell>
        </row>
      </sheetData>
      <sheetData sheetId="3959">
        <row r="2">
          <cell r="F2" t="str">
            <v>INCH</v>
          </cell>
        </row>
      </sheetData>
      <sheetData sheetId="3960">
        <row r="2">
          <cell r="F2" t="str">
            <v>INCH</v>
          </cell>
        </row>
      </sheetData>
      <sheetData sheetId="3961">
        <row r="2">
          <cell r="F2" t="str">
            <v>INCH</v>
          </cell>
        </row>
      </sheetData>
      <sheetData sheetId="3962">
        <row r="2">
          <cell r="F2" t="str">
            <v>INCH</v>
          </cell>
        </row>
      </sheetData>
      <sheetData sheetId="3963">
        <row r="2">
          <cell r="F2" t="str">
            <v>INCH</v>
          </cell>
        </row>
      </sheetData>
      <sheetData sheetId="3964">
        <row r="2">
          <cell r="F2" t="str">
            <v>INCH</v>
          </cell>
        </row>
      </sheetData>
      <sheetData sheetId="3965">
        <row r="2">
          <cell r="F2" t="str">
            <v>INCH</v>
          </cell>
        </row>
      </sheetData>
      <sheetData sheetId="3966">
        <row r="2">
          <cell r="F2" t="str">
            <v>INCH</v>
          </cell>
        </row>
      </sheetData>
      <sheetData sheetId="3967">
        <row r="2">
          <cell r="F2" t="str">
            <v>INCH</v>
          </cell>
        </row>
      </sheetData>
      <sheetData sheetId="3968">
        <row r="2">
          <cell r="F2" t="str">
            <v>INCH</v>
          </cell>
        </row>
      </sheetData>
      <sheetData sheetId="3969">
        <row r="2">
          <cell r="F2" t="str">
            <v>INCH</v>
          </cell>
        </row>
      </sheetData>
      <sheetData sheetId="3970">
        <row r="2">
          <cell r="F2" t="str">
            <v>INCH</v>
          </cell>
        </row>
      </sheetData>
      <sheetData sheetId="3971">
        <row r="2">
          <cell r="F2" t="str">
            <v>INCH</v>
          </cell>
        </row>
      </sheetData>
      <sheetData sheetId="3972">
        <row r="2">
          <cell r="F2" t="str">
            <v>INCH</v>
          </cell>
        </row>
      </sheetData>
      <sheetData sheetId="3973">
        <row r="2">
          <cell r="F2" t="str">
            <v>INCH</v>
          </cell>
        </row>
      </sheetData>
      <sheetData sheetId="3974">
        <row r="2">
          <cell r="F2" t="str">
            <v>INCH</v>
          </cell>
        </row>
      </sheetData>
      <sheetData sheetId="3975">
        <row r="2">
          <cell r="F2" t="str">
            <v>INCH</v>
          </cell>
        </row>
      </sheetData>
      <sheetData sheetId="3976">
        <row r="2">
          <cell r="F2" t="str">
            <v>INCH</v>
          </cell>
        </row>
      </sheetData>
      <sheetData sheetId="3977">
        <row r="2">
          <cell r="F2" t="str">
            <v>INCH</v>
          </cell>
        </row>
      </sheetData>
      <sheetData sheetId="3978">
        <row r="2">
          <cell r="F2" t="str">
            <v>INCH</v>
          </cell>
        </row>
      </sheetData>
      <sheetData sheetId="3979">
        <row r="2">
          <cell r="F2" t="str">
            <v>INCH</v>
          </cell>
        </row>
      </sheetData>
      <sheetData sheetId="3980">
        <row r="2">
          <cell r="F2" t="str">
            <v>INCH</v>
          </cell>
        </row>
      </sheetData>
      <sheetData sheetId="3981">
        <row r="2">
          <cell r="F2" t="str">
            <v>INCH</v>
          </cell>
        </row>
      </sheetData>
      <sheetData sheetId="3982">
        <row r="2">
          <cell r="F2" t="str">
            <v>INCH</v>
          </cell>
        </row>
      </sheetData>
      <sheetData sheetId="3983">
        <row r="2">
          <cell r="F2" t="str">
            <v>INCH</v>
          </cell>
        </row>
      </sheetData>
      <sheetData sheetId="3984">
        <row r="2">
          <cell r="F2" t="str">
            <v>INCH</v>
          </cell>
        </row>
      </sheetData>
      <sheetData sheetId="3985">
        <row r="2">
          <cell r="F2" t="str">
            <v>INCH</v>
          </cell>
        </row>
      </sheetData>
      <sheetData sheetId="3986">
        <row r="2">
          <cell r="F2" t="str">
            <v>INCH</v>
          </cell>
        </row>
      </sheetData>
      <sheetData sheetId="3987">
        <row r="2">
          <cell r="F2" t="str">
            <v>INCH</v>
          </cell>
        </row>
      </sheetData>
      <sheetData sheetId="3988">
        <row r="2">
          <cell r="F2" t="str">
            <v>INCH</v>
          </cell>
        </row>
      </sheetData>
      <sheetData sheetId="3989">
        <row r="2">
          <cell r="F2" t="str">
            <v>INCH</v>
          </cell>
        </row>
      </sheetData>
      <sheetData sheetId="3990">
        <row r="2">
          <cell r="F2" t="str">
            <v>INCH</v>
          </cell>
        </row>
      </sheetData>
      <sheetData sheetId="3991">
        <row r="2">
          <cell r="F2" t="str">
            <v>INCH</v>
          </cell>
        </row>
      </sheetData>
      <sheetData sheetId="3992">
        <row r="2">
          <cell r="F2" t="str">
            <v>INCH</v>
          </cell>
        </row>
      </sheetData>
      <sheetData sheetId="3993">
        <row r="2">
          <cell r="F2" t="str">
            <v>INCH</v>
          </cell>
        </row>
      </sheetData>
      <sheetData sheetId="3994">
        <row r="2">
          <cell r="F2" t="str">
            <v>INCH</v>
          </cell>
        </row>
      </sheetData>
      <sheetData sheetId="3995">
        <row r="2">
          <cell r="F2" t="str">
            <v>INCH</v>
          </cell>
        </row>
      </sheetData>
      <sheetData sheetId="3996">
        <row r="2">
          <cell r="F2" t="str">
            <v>INCH</v>
          </cell>
        </row>
      </sheetData>
      <sheetData sheetId="3997">
        <row r="2">
          <cell r="F2" t="str">
            <v>INCH</v>
          </cell>
        </row>
      </sheetData>
      <sheetData sheetId="3998">
        <row r="2">
          <cell r="F2" t="str">
            <v>INCH</v>
          </cell>
        </row>
      </sheetData>
      <sheetData sheetId="3999">
        <row r="2">
          <cell r="F2" t="str">
            <v>INCH</v>
          </cell>
        </row>
      </sheetData>
      <sheetData sheetId="4000">
        <row r="2">
          <cell r="F2" t="str">
            <v>INCH</v>
          </cell>
        </row>
      </sheetData>
      <sheetData sheetId="4001">
        <row r="2">
          <cell r="F2" t="str">
            <v>INCH</v>
          </cell>
        </row>
      </sheetData>
      <sheetData sheetId="4002">
        <row r="2">
          <cell r="F2" t="str">
            <v>INCH</v>
          </cell>
        </row>
      </sheetData>
      <sheetData sheetId="4003">
        <row r="2">
          <cell r="F2" t="str">
            <v>INCH</v>
          </cell>
        </row>
      </sheetData>
      <sheetData sheetId="4004">
        <row r="2">
          <cell r="F2" t="str">
            <v>INCH</v>
          </cell>
        </row>
      </sheetData>
      <sheetData sheetId="4005">
        <row r="2">
          <cell r="F2" t="str">
            <v>INCH</v>
          </cell>
        </row>
      </sheetData>
      <sheetData sheetId="4006">
        <row r="2">
          <cell r="F2" t="str">
            <v>INCH</v>
          </cell>
        </row>
      </sheetData>
      <sheetData sheetId="4007">
        <row r="2">
          <cell r="F2" t="str">
            <v>INCH</v>
          </cell>
        </row>
      </sheetData>
      <sheetData sheetId="4008">
        <row r="2">
          <cell r="F2" t="str">
            <v>INCH</v>
          </cell>
        </row>
      </sheetData>
      <sheetData sheetId="4009">
        <row r="2">
          <cell r="F2" t="str">
            <v>INCH</v>
          </cell>
        </row>
      </sheetData>
      <sheetData sheetId="4010">
        <row r="2">
          <cell r="F2" t="str">
            <v>INCH</v>
          </cell>
        </row>
      </sheetData>
      <sheetData sheetId="4011">
        <row r="2">
          <cell r="F2" t="str">
            <v>INCH</v>
          </cell>
        </row>
      </sheetData>
      <sheetData sheetId="4012">
        <row r="2">
          <cell r="F2" t="str">
            <v>INCH</v>
          </cell>
        </row>
      </sheetData>
      <sheetData sheetId="4013">
        <row r="2">
          <cell r="F2" t="str">
            <v>INCH</v>
          </cell>
        </row>
      </sheetData>
      <sheetData sheetId="4014">
        <row r="2">
          <cell r="F2" t="str">
            <v>INCH</v>
          </cell>
        </row>
      </sheetData>
      <sheetData sheetId="4015">
        <row r="2">
          <cell r="F2" t="str">
            <v>INCH</v>
          </cell>
        </row>
      </sheetData>
      <sheetData sheetId="4016">
        <row r="2">
          <cell r="F2" t="str">
            <v>INCH</v>
          </cell>
        </row>
      </sheetData>
      <sheetData sheetId="4017">
        <row r="2">
          <cell r="F2" t="str">
            <v>INCH</v>
          </cell>
        </row>
      </sheetData>
      <sheetData sheetId="4018">
        <row r="2">
          <cell r="F2" t="str">
            <v>INCH</v>
          </cell>
        </row>
      </sheetData>
      <sheetData sheetId="4019">
        <row r="2">
          <cell r="F2" t="str">
            <v>INCH</v>
          </cell>
        </row>
      </sheetData>
      <sheetData sheetId="4020">
        <row r="2">
          <cell r="F2" t="str">
            <v>INCH</v>
          </cell>
        </row>
      </sheetData>
      <sheetData sheetId="4021">
        <row r="2">
          <cell r="F2" t="str">
            <v>INCH</v>
          </cell>
        </row>
      </sheetData>
      <sheetData sheetId="4022">
        <row r="2">
          <cell r="F2" t="str">
            <v>INCH</v>
          </cell>
        </row>
      </sheetData>
      <sheetData sheetId="4023">
        <row r="2">
          <cell r="F2" t="str">
            <v>INCH</v>
          </cell>
        </row>
      </sheetData>
      <sheetData sheetId="4024">
        <row r="2">
          <cell r="F2" t="str">
            <v>INCH</v>
          </cell>
        </row>
      </sheetData>
      <sheetData sheetId="4025">
        <row r="2">
          <cell r="F2" t="str">
            <v>INCH</v>
          </cell>
        </row>
      </sheetData>
      <sheetData sheetId="4026">
        <row r="2">
          <cell r="F2" t="str">
            <v>INCH</v>
          </cell>
        </row>
      </sheetData>
      <sheetData sheetId="4027">
        <row r="2">
          <cell r="F2" t="str">
            <v>INCH</v>
          </cell>
        </row>
      </sheetData>
      <sheetData sheetId="4028">
        <row r="2">
          <cell r="F2" t="str">
            <v>INCH</v>
          </cell>
        </row>
      </sheetData>
      <sheetData sheetId="4029">
        <row r="2">
          <cell r="F2" t="str">
            <v>INCH</v>
          </cell>
        </row>
      </sheetData>
      <sheetData sheetId="4030">
        <row r="2">
          <cell r="F2" t="str">
            <v>INCH</v>
          </cell>
        </row>
      </sheetData>
      <sheetData sheetId="4031">
        <row r="2">
          <cell r="F2" t="str">
            <v>INCH</v>
          </cell>
        </row>
      </sheetData>
      <sheetData sheetId="4032">
        <row r="2">
          <cell r="F2" t="str">
            <v>INCH</v>
          </cell>
        </row>
      </sheetData>
      <sheetData sheetId="4033">
        <row r="2">
          <cell r="F2" t="str">
            <v>INCH</v>
          </cell>
        </row>
      </sheetData>
      <sheetData sheetId="4034">
        <row r="2">
          <cell r="F2" t="str">
            <v>INCH</v>
          </cell>
        </row>
      </sheetData>
      <sheetData sheetId="4035">
        <row r="2">
          <cell r="F2" t="str">
            <v>INCH</v>
          </cell>
        </row>
      </sheetData>
      <sheetData sheetId="4036">
        <row r="2">
          <cell r="F2" t="str">
            <v>INCH</v>
          </cell>
        </row>
      </sheetData>
      <sheetData sheetId="4037">
        <row r="2">
          <cell r="F2" t="str">
            <v>INCH</v>
          </cell>
        </row>
      </sheetData>
      <sheetData sheetId="4038">
        <row r="2">
          <cell r="F2" t="str">
            <v>INCH</v>
          </cell>
        </row>
      </sheetData>
      <sheetData sheetId="4039">
        <row r="2">
          <cell r="F2" t="str">
            <v>INCH</v>
          </cell>
        </row>
      </sheetData>
      <sheetData sheetId="4040">
        <row r="2">
          <cell r="F2" t="str">
            <v>INCH</v>
          </cell>
        </row>
      </sheetData>
      <sheetData sheetId="4041">
        <row r="2">
          <cell r="F2" t="str">
            <v>INCH</v>
          </cell>
        </row>
      </sheetData>
      <sheetData sheetId="4042">
        <row r="2">
          <cell r="F2" t="str">
            <v>INCH</v>
          </cell>
        </row>
      </sheetData>
      <sheetData sheetId="4043">
        <row r="2">
          <cell r="F2" t="str">
            <v>INCH</v>
          </cell>
        </row>
      </sheetData>
      <sheetData sheetId="4044">
        <row r="2">
          <cell r="F2" t="str">
            <v>INCH</v>
          </cell>
        </row>
      </sheetData>
      <sheetData sheetId="4045">
        <row r="2">
          <cell r="F2" t="str">
            <v>INCH</v>
          </cell>
        </row>
      </sheetData>
      <sheetData sheetId="4046">
        <row r="2">
          <cell r="F2" t="str">
            <v>INCH</v>
          </cell>
        </row>
      </sheetData>
      <sheetData sheetId="4047">
        <row r="2">
          <cell r="F2" t="str">
            <v>INCH</v>
          </cell>
        </row>
      </sheetData>
      <sheetData sheetId="4048">
        <row r="2">
          <cell r="F2" t="str">
            <v>INCH</v>
          </cell>
        </row>
      </sheetData>
      <sheetData sheetId="4049">
        <row r="2">
          <cell r="F2" t="str">
            <v>INCH</v>
          </cell>
        </row>
      </sheetData>
      <sheetData sheetId="4050">
        <row r="2">
          <cell r="F2" t="str">
            <v>INCH</v>
          </cell>
        </row>
      </sheetData>
      <sheetData sheetId="4051">
        <row r="2">
          <cell r="F2" t="str">
            <v>INCH</v>
          </cell>
        </row>
      </sheetData>
      <sheetData sheetId="4052">
        <row r="2">
          <cell r="F2" t="str">
            <v>INCH</v>
          </cell>
        </row>
      </sheetData>
      <sheetData sheetId="4053">
        <row r="2">
          <cell r="F2" t="str">
            <v>INCH</v>
          </cell>
        </row>
      </sheetData>
      <sheetData sheetId="4054">
        <row r="2">
          <cell r="F2" t="str">
            <v>INCH</v>
          </cell>
        </row>
      </sheetData>
      <sheetData sheetId="4055">
        <row r="2">
          <cell r="F2" t="str">
            <v>INCH</v>
          </cell>
        </row>
      </sheetData>
      <sheetData sheetId="4056">
        <row r="2">
          <cell r="F2" t="str">
            <v>INCH</v>
          </cell>
        </row>
      </sheetData>
      <sheetData sheetId="4057">
        <row r="2">
          <cell r="F2" t="str">
            <v>INCH</v>
          </cell>
        </row>
      </sheetData>
      <sheetData sheetId="4058">
        <row r="2">
          <cell r="F2" t="str">
            <v>INCH</v>
          </cell>
        </row>
      </sheetData>
      <sheetData sheetId="4059">
        <row r="2">
          <cell r="F2" t="str">
            <v>INCH</v>
          </cell>
        </row>
      </sheetData>
      <sheetData sheetId="4060">
        <row r="2">
          <cell r="F2" t="str">
            <v>INCH</v>
          </cell>
        </row>
      </sheetData>
      <sheetData sheetId="4061">
        <row r="2">
          <cell r="F2" t="str">
            <v>INCH</v>
          </cell>
        </row>
      </sheetData>
      <sheetData sheetId="4062">
        <row r="2">
          <cell r="F2" t="str">
            <v>INCH</v>
          </cell>
        </row>
      </sheetData>
      <sheetData sheetId="4063">
        <row r="2">
          <cell r="F2" t="str">
            <v>INCH</v>
          </cell>
        </row>
      </sheetData>
      <sheetData sheetId="4064">
        <row r="2">
          <cell r="F2" t="str">
            <v>INCH</v>
          </cell>
        </row>
      </sheetData>
      <sheetData sheetId="4065">
        <row r="2">
          <cell r="F2" t="str">
            <v>INCH</v>
          </cell>
        </row>
      </sheetData>
      <sheetData sheetId="4066">
        <row r="2">
          <cell r="F2" t="str">
            <v>INCH</v>
          </cell>
        </row>
      </sheetData>
      <sheetData sheetId="4067">
        <row r="2">
          <cell r="F2" t="str">
            <v>INCH</v>
          </cell>
        </row>
      </sheetData>
      <sheetData sheetId="4068">
        <row r="2">
          <cell r="F2" t="str">
            <v>INCH</v>
          </cell>
        </row>
      </sheetData>
      <sheetData sheetId="4069">
        <row r="2">
          <cell r="F2" t="str">
            <v>INCH</v>
          </cell>
        </row>
      </sheetData>
      <sheetData sheetId="4070">
        <row r="2">
          <cell r="F2" t="str">
            <v>INCH</v>
          </cell>
        </row>
      </sheetData>
      <sheetData sheetId="4071">
        <row r="2">
          <cell r="F2" t="str">
            <v>INCH</v>
          </cell>
        </row>
      </sheetData>
      <sheetData sheetId="4072">
        <row r="2">
          <cell r="F2" t="str">
            <v>INCH</v>
          </cell>
        </row>
      </sheetData>
      <sheetData sheetId="4073">
        <row r="2">
          <cell r="F2" t="str">
            <v>INCH</v>
          </cell>
        </row>
      </sheetData>
      <sheetData sheetId="4074">
        <row r="2">
          <cell r="F2" t="str">
            <v>INCH</v>
          </cell>
        </row>
      </sheetData>
      <sheetData sheetId="4075">
        <row r="2">
          <cell r="F2" t="str">
            <v>INCH</v>
          </cell>
        </row>
      </sheetData>
      <sheetData sheetId="4076">
        <row r="2">
          <cell r="F2" t="str">
            <v>INCH</v>
          </cell>
        </row>
      </sheetData>
      <sheetData sheetId="4077">
        <row r="2">
          <cell r="F2" t="str">
            <v>INCH</v>
          </cell>
        </row>
      </sheetData>
      <sheetData sheetId="4078">
        <row r="2">
          <cell r="F2" t="str">
            <v>INCH</v>
          </cell>
        </row>
      </sheetData>
      <sheetData sheetId="4079">
        <row r="2">
          <cell r="F2" t="str">
            <v>INCH</v>
          </cell>
        </row>
      </sheetData>
      <sheetData sheetId="4080">
        <row r="2">
          <cell r="F2" t="str">
            <v>INCH</v>
          </cell>
        </row>
      </sheetData>
      <sheetData sheetId="4081">
        <row r="2">
          <cell r="F2" t="str">
            <v>INCH</v>
          </cell>
        </row>
      </sheetData>
      <sheetData sheetId="4082">
        <row r="2">
          <cell r="F2" t="str">
            <v>INCH</v>
          </cell>
        </row>
      </sheetData>
      <sheetData sheetId="4083">
        <row r="2">
          <cell r="F2" t="str">
            <v>INCH</v>
          </cell>
        </row>
      </sheetData>
      <sheetData sheetId="4084">
        <row r="2">
          <cell r="F2" t="str">
            <v>INCH</v>
          </cell>
        </row>
      </sheetData>
      <sheetData sheetId="4085">
        <row r="2">
          <cell r="F2" t="str">
            <v>INCH</v>
          </cell>
        </row>
      </sheetData>
      <sheetData sheetId="4086">
        <row r="2">
          <cell r="F2" t="str">
            <v>INCH</v>
          </cell>
        </row>
      </sheetData>
      <sheetData sheetId="4087">
        <row r="2">
          <cell r="F2" t="str">
            <v>INCH</v>
          </cell>
        </row>
      </sheetData>
      <sheetData sheetId="4088">
        <row r="2">
          <cell r="F2" t="str">
            <v>INCH</v>
          </cell>
        </row>
      </sheetData>
      <sheetData sheetId="4089">
        <row r="2">
          <cell r="F2" t="str">
            <v>INCH</v>
          </cell>
        </row>
      </sheetData>
      <sheetData sheetId="4090">
        <row r="2">
          <cell r="F2" t="str">
            <v>INCH</v>
          </cell>
        </row>
      </sheetData>
      <sheetData sheetId="4091">
        <row r="2">
          <cell r="F2" t="str">
            <v>INCH</v>
          </cell>
        </row>
      </sheetData>
      <sheetData sheetId="4092">
        <row r="2">
          <cell r="F2" t="str">
            <v>INCH</v>
          </cell>
        </row>
      </sheetData>
      <sheetData sheetId="4093">
        <row r="2">
          <cell r="F2" t="str">
            <v>INCH</v>
          </cell>
        </row>
      </sheetData>
      <sheetData sheetId="4094">
        <row r="2">
          <cell r="F2" t="str">
            <v>INCH</v>
          </cell>
        </row>
      </sheetData>
      <sheetData sheetId="4095">
        <row r="2">
          <cell r="F2" t="str">
            <v>INCH</v>
          </cell>
        </row>
      </sheetData>
      <sheetData sheetId="4096">
        <row r="2">
          <cell r="F2" t="str">
            <v>INCH</v>
          </cell>
        </row>
      </sheetData>
      <sheetData sheetId="4097">
        <row r="2">
          <cell r="F2" t="str">
            <v>INCH</v>
          </cell>
        </row>
      </sheetData>
      <sheetData sheetId="4098">
        <row r="2">
          <cell r="F2" t="str">
            <v>INCH</v>
          </cell>
        </row>
      </sheetData>
      <sheetData sheetId="4099">
        <row r="2">
          <cell r="F2" t="str">
            <v>INCH</v>
          </cell>
        </row>
      </sheetData>
      <sheetData sheetId="4100">
        <row r="2">
          <cell r="F2" t="str">
            <v>INCH</v>
          </cell>
        </row>
      </sheetData>
      <sheetData sheetId="4101">
        <row r="2">
          <cell r="F2" t="str">
            <v>INCH</v>
          </cell>
        </row>
      </sheetData>
      <sheetData sheetId="4102">
        <row r="2">
          <cell r="F2" t="str">
            <v>INCH</v>
          </cell>
        </row>
      </sheetData>
      <sheetData sheetId="4103">
        <row r="2">
          <cell r="F2" t="str">
            <v>INCH</v>
          </cell>
        </row>
      </sheetData>
      <sheetData sheetId="4104">
        <row r="2">
          <cell r="F2" t="str">
            <v>INCH</v>
          </cell>
        </row>
      </sheetData>
      <sheetData sheetId="4105">
        <row r="2">
          <cell r="F2" t="str">
            <v>INCH</v>
          </cell>
        </row>
      </sheetData>
      <sheetData sheetId="4106">
        <row r="2">
          <cell r="F2" t="str">
            <v>INCH</v>
          </cell>
        </row>
      </sheetData>
      <sheetData sheetId="4107">
        <row r="2">
          <cell r="F2" t="str">
            <v>INCH</v>
          </cell>
        </row>
      </sheetData>
      <sheetData sheetId="4108">
        <row r="2">
          <cell r="F2" t="str">
            <v>INCH</v>
          </cell>
        </row>
      </sheetData>
      <sheetData sheetId="4109">
        <row r="2">
          <cell r="F2" t="str">
            <v>INCH</v>
          </cell>
        </row>
      </sheetData>
      <sheetData sheetId="4110">
        <row r="2">
          <cell r="F2" t="str">
            <v>INCH</v>
          </cell>
        </row>
      </sheetData>
      <sheetData sheetId="4111">
        <row r="2">
          <cell r="F2" t="str">
            <v>INCH</v>
          </cell>
        </row>
      </sheetData>
      <sheetData sheetId="4112">
        <row r="2">
          <cell r="F2" t="str">
            <v>INCH</v>
          </cell>
        </row>
      </sheetData>
      <sheetData sheetId="4113">
        <row r="2">
          <cell r="F2" t="str">
            <v>INCH</v>
          </cell>
        </row>
      </sheetData>
      <sheetData sheetId="4114">
        <row r="2">
          <cell r="F2" t="str">
            <v>INCH</v>
          </cell>
        </row>
      </sheetData>
      <sheetData sheetId="4115">
        <row r="2">
          <cell r="F2" t="str">
            <v>INCH</v>
          </cell>
        </row>
      </sheetData>
      <sheetData sheetId="4116">
        <row r="2">
          <cell r="F2" t="str">
            <v>INCH</v>
          </cell>
        </row>
      </sheetData>
      <sheetData sheetId="4117">
        <row r="2">
          <cell r="F2" t="str">
            <v>INCH</v>
          </cell>
        </row>
      </sheetData>
      <sheetData sheetId="4118">
        <row r="2">
          <cell r="F2" t="str">
            <v>INCH</v>
          </cell>
        </row>
      </sheetData>
      <sheetData sheetId="4119">
        <row r="2">
          <cell r="F2" t="str">
            <v>INCH</v>
          </cell>
        </row>
      </sheetData>
      <sheetData sheetId="4120">
        <row r="2">
          <cell r="F2" t="str">
            <v>INCH</v>
          </cell>
        </row>
      </sheetData>
      <sheetData sheetId="4121">
        <row r="2">
          <cell r="F2" t="str">
            <v>INCH</v>
          </cell>
        </row>
      </sheetData>
      <sheetData sheetId="4122">
        <row r="2">
          <cell r="F2" t="str">
            <v>INCH</v>
          </cell>
        </row>
      </sheetData>
      <sheetData sheetId="4123">
        <row r="2">
          <cell r="F2" t="str">
            <v>INCH</v>
          </cell>
        </row>
      </sheetData>
      <sheetData sheetId="4124">
        <row r="2">
          <cell r="F2" t="str">
            <v>INCH</v>
          </cell>
        </row>
      </sheetData>
      <sheetData sheetId="4125">
        <row r="2">
          <cell r="F2" t="str">
            <v>INCH</v>
          </cell>
        </row>
      </sheetData>
      <sheetData sheetId="4126">
        <row r="2">
          <cell r="F2" t="str">
            <v>INCH</v>
          </cell>
        </row>
      </sheetData>
      <sheetData sheetId="4127">
        <row r="2">
          <cell r="F2" t="str">
            <v>INCH</v>
          </cell>
        </row>
      </sheetData>
      <sheetData sheetId="4128">
        <row r="2">
          <cell r="F2" t="str">
            <v>INCH</v>
          </cell>
        </row>
      </sheetData>
      <sheetData sheetId="4129">
        <row r="2">
          <cell r="F2" t="str">
            <v>INCH</v>
          </cell>
        </row>
      </sheetData>
      <sheetData sheetId="4130">
        <row r="2">
          <cell r="F2" t="str">
            <v>INCH</v>
          </cell>
        </row>
      </sheetData>
      <sheetData sheetId="4131">
        <row r="2">
          <cell r="F2" t="str">
            <v>INCH</v>
          </cell>
        </row>
      </sheetData>
      <sheetData sheetId="4132">
        <row r="2">
          <cell r="F2" t="str">
            <v>INCH</v>
          </cell>
        </row>
      </sheetData>
      <sheetData sheetId="4133">
        <row r="2">
          <cell r="F2" t="str">
            <v>INCH</v>
          </cell>
        </row>
      </sheetData>
      <sheetData sheetId="4134">
        <row r="2">
          <cell r="F2" t="str">
            <v>INCH</v>
          </cell>
        </row>
      </sheetData>
      <sheetData sheetId="4135">
        <row r="2">
          <cell r="F2" t="str">
            <v>INCH</v>
          </cell>
        </row>
      </sheetData>
      <sheetData sheetId="4136">
        <row r="2">
          <cell r="F2" t="str">
            <v>INCH</v>
          </cell>
        </row>
      </sheetData>
      <sheetData sheetId="4137">
        <row r="2">
          <cell r="F2" t="str">
            <v>INCH</v>
          </cell>
        </row>
      </sheetData>
      <sheetData sheetId="4138">
        <row r="2">
          <cell r="F2" t="str">
            <v>INCH</v>
          </cell>
        </row>
      </sheetData>
      <sheetData sheetId="4139">
        <row r="2">
          <cell r="F2" t="str">
            <v>INCH</v>
          </cell>
        </row>
      </sheetData>
      <sheetData sheetId="4140">
        <row r="2">
          <cell r="F2" t="str">
            <v>INCH</v>
          </cell>
        </row>
      </sheetData>
      <sheetData sheetId="4141">
        <row r="2">
          <cell r="F2" t="str">
            <v>INCH</v>
          </cell>
        </row>
      </sheetData>
      <sheetData sheetId="4142">
        <row r="2">
          <cell r="F2" t="str">
            <v>INCH</v>
          </cell>
        </row>
      </sheetData>
      <sheetData sheetId="4143">
        <row r="2">
          <cell r="F2" t="str">
            <v>INCH</v>
          </cell>
        </row>
      </sheetData>
      <sheetData sheetId="4144">
        <row r="2">
          <cell r="F2" t="str">
            <v>INCH</v>
          </cell>
        </row>
      </sheetData>
      <sheetData sheetId="4145">
        <row r="2">
          <cell r="F2" t="str">
            <v>INCH</v>
          </cell>
        </row>
      </sheetData>
      <sheetData sheetId="4146">
        <row r="2">
          <cell r="F2" t="str">
            <v>INCH</v>
          </cell>
        </row>
      </sheetData>
      <sheetData sheetId="4147">
        <row r="2">
          <cell r="F2" t="str">
            <v>INCH</v>
          </cell>
        </row>
      </sheetData>
      <sheetData sheetId="4148">
        <row r="2">
          <cell r="F2" t="str">
            <v>INCH</v>
          </cell>
        </row>
      </sheetData>
      <sheetData sheetId="4149">
        <row r="2">
          <cell r="F2" t="str">
            <v>INCH</v>
          </cell>
        </row>
      </sheetData>
      <sheetData sheetId="4150">
        <row r="2">
          <cell r="F2" t="str">
            <v>INCH</v>
          </cell>
        </row>
      </sheetData>
      <sheetData sheetId="4151">
        <row r="2">
          <cell r="F2" t="str">
            <v>INCH</v>
          </cell>
        </row>
      </sheetData>
      <sheetData sheetId="4152">
        <row r="2">
          <cell r="F2" t="str">
            <v>INCH</v>
          </cell>
        </row>
      </sheetData>
      <sheetData sheetId="4153">
        <row r="2">
          <cell r="F2" t="str">
            <v>INCH</v>
          </cell>
        </row>
      </sheetData>
      <sheetData sheetId="4154">
        <row r="2">
          <cell r="F2" t="str">
            <v>INCH</v>
          </cell>
        </row>
      </sheetData>
      <sheetData sheetId="4155">
        <row r="2">
          <cell r="F2" t="str">
            <v>INCH</v>
          </cell>
        </row>
      </sheetData>
      <sheetData sheetId="4156">
        <row r="2">
          <cell r="F2" t="str">
            <v>INCH</v>
          </cell>
        </row>
      </sheetData>
      <sheetData sheetId="4157">
        <row r="2">
          <cell r="F2" t="str">
            <v>INCH</v>
          </cell>
        </row>
      </sheetData>
      <sheetData sheetId="4158">
        <row r="2">
          <cell r="F2" t="str">
            <v>INCH</v>
          </cell>
        </row>
      </sheetData>
      <sheetData sheetId="4159">
        <row r="2">
          <cell r="F2" t="str">
            <v>INCH</v>
          </cell>
        </row>
      </sheetData>
      <sheetData sheetId="4160">
        <row r="2">
          <cell r="F2" t="str">
            <v>INCH</v>
          </cell>
        </row>
      </sheetData>
      <sheetData sheetId="4161">
        <row r="2">
          <cell r="F2" t="str">
            <v>INCH</v>
          </cell>
        </row>
      </sheetData>
      <sheetData sheetId="4162">
        <row r="2">
          <cell r="F2" t="str">
            <v>INCH</v>
          </cell>
        </row>
      </sheetData>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ow r="2">
          <cell r="F2" t="str">
            <v>INCH</v>
          </cell>
        </row>
      </sheetData>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ow r="2">
          <cell r="F2" t="str">
            <v>INCH</v>
          </cell>
        </row>
      </sheetData>
      <sheetData sheetId="4234">
        <row r="2">
          <cell r="F2" t="str">
            <v>INCH</v>
          </cell>
        </row>
      </sheetData>
      <sheetData sheetId="4235">
        <row r="2">
          <cell r="F2" t="str">
            <v>INCH</v>
          </cell>
        </row>
      </sheetData>
      <sheetData sheetId="4236">
        <row r="2">
          <cell r="F2" t="str">
            <v>INCH</v>
          </cell>
        </row>
      </sheetData>
      <sheetData sheetId="4237">
        <row r="2">
          <cell r="F2" t="str">
            <v>INCH</v>
          </cell>
        </row>
      </sheetData>
      <sheetData sheetId="4238">
        <row r="2">
          <cell r="F2" t="str">
            <v>INCH</v>
          </cell>
        </row>
      </sheetData>
      <sheetData sheetId="4239">
        <row r="2">
          <cell r="F2" t="str">
            <v>INCH</v>
          </cell>
        </row>
      </sheetData>
      <sheetData sheetId="4240">
        <row r="2">
          <cell r="F2" t="str">
            <v>INCH</v>
          </cell>
        </row>
      </sheetData>
      <sheetData sheetId="4241">
        <row r="2">
          <cell r="F2" t="str">
            <v>INCH</v>
          </cell>
        </row>
      </sheetData>
      <sheetData sheetId="4242">
        <row r="2">
          <cell r="F2" t="str">
            <v>INCH</v>
          </cell>
        </row>
      </sheetData>
      <sheetData sheetId="4243">
        <row r="2">
          <cell r="F2" t="str">
            <v>INCH</v>
          </cell>
        </row>
      </sheetData>
      <sheetData sheetId="4244">
        <row r="2">
          <cell r="F2" t="str">
            <v>INCH</v>
          </cell>
        </row>
      </sheetData>
      <sheetData sheetId="4245">
        <row r="2">
          <cell r="F2" t="str">
            <v>INCH</v>
          </cell>
        </row>
      </sheetData>
      <sheetData sheetId="4246">
        <row r="2">
          <cell r="F2" t="str">
            <v>INCH</v>
          </cell>
        </row>
      </sheetData>
      <sheetData sheetId="4247">
        <row r="2">
          <cell r="F2" t="str">
            <v>INCH</v>
          </cell>
        </row>
      </sheetData>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ow r="2">
          <cell r="F2" t="str">
            <v>INCH</v>
          </cell>
        </row>
      </sheetData>
      <sheetData sheetId="4276">
        <row r="2">
          <cell r="F2" t="str">
            <v>INCH</v>
          </cell>
        </row>
      </sheetData>
      <sheetData sheetId="4277">
        <row r="2">
          <cell r="F2" t="str">
            <v>INCH</v>
          </cell>
        </row>
      </sheetData>
      <sheetData sheetId="4278">
        <row r="2">
          <cell r="F2" t="str">
            <v>INCH</v>
          </cell>
        </row>
      </sheetData>
      <sheetData sheetId="4279">
        <row r="2">
          <cell r="F2" t="str">
            <v>INCH</v>
          </cell>
        </row>
      </sheetData>
      <sheetData sheetId="4280">
        <row r="2">
          <cell r="F2" t="str">
            <v>INCH</v>
          </cell>
        </row>
      </sheetData>
      <sheetData sheetId="4281">
        <row r="2">
          <cell r="F2" t="str">
            <v>INCH</v>
          </cell>
        </row>
      </sheetData>
      <sheetData sheetId="4282">
        <row r="2">
          <cell r="F2" t="str">
            <v>INCH</v>
          </cell>
        </row>
      </sheetData>
      <sheetData sheetId="4283">
        <row r="2">
          <cell r="F2" t="str">
            <v>INCH</v>
          </cell>
        </row>
      </sheetData>
      <sheetData sheetId="4284">
        <row r="2">
          <cell r="F2" t="str">
            <v>INCH</v>
          </cell>
        </row>
      </sheetData>
      <sheetData sheetId="4285">
        <row r="2">
          <cell r="F2" t="str">
            <v>INCH</v>
          </cell>
        </row>
      </sheetData>
      <sheetData sheetId="4286">
        <row r="2">
          <cell r="F2" t="str">
            <v>INCH</v>
          </cell>
        </row>
      </sheetData>
      <sheetData sheetId="4287">
        <row r="2">
          <cell r="F2" t="str">
            <v>INCH</v>
          </cell>
        </row>
      </sheetData>
      <sheetData sheetId="4288">
        <row r="2">
          <cell r="F2" t="str">
            <v>INCH</v>
          </cell>
        </row>
      </sheetData>
      <sheetData sheetId="4289">
        <row r="2">
          <cell r="F2" t="str">
            <v>INCH</v>
          </cell>
        </row>
      </sheetData>
      <sheetData sheetId="4290">
        <row r="2">
          <cell r="F2" t="str">
            <v>INCH</v>
          </cell>
        </row>
      </sheetData>
      <sheetData sheetId="4291">
        <row r="2">
          <cell r="F2" t="str">
            <v>INCH</v>
          </cell>
        </row>
      </sheetData>
      <sheetData sheetId="4292">
        <row r="2">
          <cell r="F2" t="str">
            <v>INCH</v>
          </cell>
        </row>
      </sheetData>
      <sheetData sheetId="4293">
        <row r="2">
          <cell r="F2" t="str">
            <v>INCH</v>
          </cell>
        </row>
      </sheetData>
      <sheetData sheetId="4294">
        <row r="2">
          <cell r="F2" t="str">
            <v>INCH</v>
          </cell>
        </row>
      </sheetData>
      <sheetData sheetId="4295">
        <row r="2">
          <cell r="F2" t="str">
            <v>INCH</v>
          </cell>
        </row>
      </sheetData>
      <sheetData sheetId="4296">
        <row r="2">
          <cell r="F2" t="str">
            <v>INCH</v>
          </cell>
        </row>
      </sheetData>
      <sheetData sheetId="4297">
        <row r="2">
          <cell r="F2" t="str">
            <v>INCH</v>
          </cell>
        </row>
      </sheetData>
      <sheetData sheetId="4298">
        <row r="2">
          <cell r="F2" t="str">
            <v>INCH</v>
          </cell>
        </row>
      </sheetData>
      <sheetData sheetId="4299">
        <row r="2">
          <cell r="F2" t="str">
            <v>INCH</v>
          </cell>
        </row>
      </sheetData>
      <sheetData sheetId="4300">
        <row r="2">
          <cell r="F2" t="str">
            <v>INCH</v>
          </cell>
        </row>
      </sheetData>
      <sheetData sheetId="4301">
        <row r="2">
          <cell r="F2" t="str">
            <v>INCH</v>
          </cell>
        </row>
      </sheetData>
      <sheetData sheetId="4302">
        <row r="2">
          <cell r="F2" t="str">
            <v>INCH</v>
          </cell>
        </row>
      </sheetData>
      <sheetData sheetId="4303">
        <row r="2">
          <cell r="F2" t="str">
            <v>INCH</v>
          </cell>
        </row>
      </sheetData>
      <sheetData sheetId="4304">
        <row r="2">
          <cell r="F2" t="str">
            <v>INCH</v>
          </cell>
        </row>
      </sheetData>
      <sheetData sheetId="4305">
        <row r="2">
          <cell r="F2" t="str">
            <v>INCH</v>
          </cell>
        </row>
      </sheetData>
      <sheetData sheetId="4306">
        <row r="2">
          <cell r="F2" t="str">
            <v>INCH</v>
          </cell>
        </row>
      </sheetData>
      <sheetData sheetId="4307">
        <row r="2">
          <cell r="F2" t="str">
            <v>INCH</v>
          </cell>
        </row>
      </sheetData>
      <sheetData sheetId="4308">
        <row r="2">
          <cell r="F2" t="str">
            <v>INCH</v>
          </cell>
        </row>
      </sheetData>
      <sheetData sheetId="4309">
        <row r="2">
          <cell r="F2" t="str">
            <v>INCH</v>
          </cell>
        </row>
      </sheetData>
      <sheetData sheetId="4310">
        <row r="2">
          <cell r="F2" t="str">
            <v>INCH</v>
          </cell>
        </row>
      </sheetData>
      <sheetData sheetId="4311">
        <row r="2">
          <cell r="F2" t="str">
            <v>INCH</v>
          </cell>
        </row>
      </sheetData>
      <sheetData sheetId="4312">
        <row r="2">
          <cell r="F2" t="str">
            <v>INCH</v>
          </cell>
        </row>
      </sheetData>
      <sheetData sheetId="4313">
        <row r="2">
          <cell r="F2" t="str">
            <v>INCH</v>
          </cell>
        </row>
      </sheetData>
      <sheetData sheetId="4314">
        <row r="2">
          <cell r="F2" t="str">
            <v>INCH</v>
          </cell>
        </row>
      </sheetData>
      <sheetData sheetId="4315">
        <row r="2">
          <cell r="F2" t="str">
            <v>INCH</v>
          </cell>
        </row>
      </sheetData>
      <sheetData sheetId="4316">
        <row r="2">
          <cell r="F2" t="str">
            <v>INCH</v>
          </cell>
        </row>
      </sheetData>
      <sheetData sheetId="4317">
        <row r="2">
          <cell r="F2" t="str">
            <v>INCH</v>
          </cell>
        </row>
      </sheetData>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ow r="2">
          <cell r="F2" t="str">
            <v>INCH</v>
          </cell>
        </row>
      </sheetData>
      <sheetData sheetId="4443">
        <row r="2">
          <cell r="F2" t="str">
            <v>INCH</v>
          </cell>
        </row>
      </sheetData>
      <sheetData sheetId="4444">
        <row r="2">
          <cell r="F2" t="str">
            <v>INCH</v>
          </cell>
        </row>
      </sheetData>
      <sheetData sheetId="4445">
        <row r="2">
          <cell r="F2" t="str">
            <v>INCH</v>
          </cell>
        </row>
      </sheetData>
      <sheetData sheetId="4446">
        <row r="2">
          <cell r="F2" t="str">
            <v>INCH</v>
          </cell>
        </row>
      </sheetData>
      <sheetData sheetId="4447">
        <row r="2">
          <cell r="F2" t="str">
            <v>INCH</v>
          </cell>
        </row>
      </sheetData>
      <sheetData sheetId="4448"/>
      <sheetData sheetId="4449"/>
      <sheetData sheetId="4450">
        <row r="2">
          <cell r="F2" t="str">
            <v>INCH</v>
          </cell>
        </row>
      </sheetData>
      <sheetData sheetId="4451">
        <row r="2">
          <cell r="F2" t="str">
            <v>INCH</v>
          </cell>
        </row>
      </sheetData>
      <sheetData sheetId="4452">
        <row r="2">
          <cell r="F2" t="str">
            <v>INCH</v>
          </cell>
        </row>
      </sheetData>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sheetData sheetId="4470"/>
      <sheetData sheetId="4471"/>
      <sheetData sheetId="4472" refreshError="1"/>
      <sheetData sheetId="4473" refreshError="1"/>
      <sheetData sheetId="4474">
        <row r="2">
          <cell r="F2" t="str">
            <v>INCH</v>
          </cell>
        </row>
      </sheetData>
      <sheetData sheetId="4475">
        <row r="2">
          <cell r="F2" t="str">
            <v>INCH</v>
          </cell>
        </row>
      </sheetData>
      <sheetData sheetId="4476">
        <row r="2">
          <cell r="F2" t="str">
            <v>INCH</v>
          </cell>
        </row>
      </sheetData>
      <sheetData sheetId="4477">
        <row r="2">
          <cell r="F2" t="str">
            <v>INCH</v>
          </cell>
        </row>
      </sheetData>
      <sheetData sheetId="4478">
        <row r="2">
          <cell r="F2" t="str">
            <v>INCH</v>
          </cell>
        </row>
      </sheetData>
      <sheetData sheetId="4479">
        <row r="2">
          <cell r="F2" t="str">
            <v>INCH</v>
          </cell>
        </row>
      </sheetData>
      <sheetData sheetId="4480">
        <row r="2">
          <cell r="F2" t="str">
            <v>INCH</v>
          </cell>
        </row>
      </sheetData>
      <sheetData sheetId="4481">
        <row r="2">
          <cell r="F2" t="str">
            <v>INCH</v>
          </cell>
        </row>
      </sheetData>
      <sheetData sheetId="4482">
        <row r="2">
          <cell r="F2" t="str">
            <v>INCH</v>
          </cell>
        </row>
      </sheetData>
      <sheetData sheetId="4483">
        <row r="2">
          <cell r="F2" t="str">
            <v>INCH</v>
          </cell>
        </row>
      </sheetData>
      <sheetData sheetId="4484">
        <row r="2">
          <cell r="F2" t="str">
            <v>INCH</v>
          </cell>
        </row>
      </sheetData>
      <sheetData sheetId="4485">
        <row r="2">
          <cell r="F2" t="str">
            <v>INCH</v>
          </cell>
        </row>
      </sheetData>
      <sheetData sheetId="4486">
        <row r="2">
          <cell r="F2" t="str">
            <v>INCH</v>
          </cell>
        </row>
      </sheetData>
      <sheetData sheetId="4487">
        <row r="2">
          <cell r="F2" t="str">
            <v>INCH</v>
          </cell>
        </row>
      </sheetData>
      <sheetData sheetId="4488">
        <row r="2">
          <cell r="F2" t="str">
            <v>INCH</v>
          </cell>
        </row>
      </sheetData>
      <sheetData sheetId="4489">
        <row r="2">
          <cell r="F2" t="str">
            <v>INCH</v>
          </cell>
        </row>
      </sheetData>
      <sheetData sheetId="4490">
        <row r="2">
          <cell r="F2" t="str">
            <v>INCH</v>
          </cell>
        </row>
      </sheetData>
      <sheetData sheetId="4491">
        <row r="2">
          <cell r="F2" t="str">
            <v>INCH</v>
          </cell>
        </row>
      </sheetData>
      <sheetData sheetId="4492">
        <row r="2">
          <cell r="F2" t="str">
            <v>INCH</v>
          </cell>
        </row>
      </sheetData>
      <sheetData sheetId="4493">
        <row r="2">
          <cell r="F2" t="str">
            <v>INCH</v>
          </cell>
        </row>
      </sheetData>
      <sheetData sheetId="4494">
        <row r="2">
          <cell r="F2" t="str">
            <v>INCH</v>
          </cell>
        </row>
      </sheetData>
      <sheetData sheetId="4495">
        <row r="2">
          <cell r="F2" t="str">
            <v>INCH</v>
          </cell>
        </row>
      </sheetData>
      <sheetData sheetId="4496">
        <row r="2">
          <cell r="F2" t="str">
            <v>INCH</v>
          </cell>
        </row>
      </sheetData>
      <sheetData sheetId="4497">
        <row r="2">
          <cell r="F2" t="str">
            <v>INCH</v>
          </cell>
        </row>
      </sheetData>
      <sheetData sheetId="4498">
        <row r="2">
          <cell r="F2" t="str">
            <v>INCH</v>
          </cell>
        </row>
      </sheetData>
      <sheetData sheetId="4499">
        <row r="2">
          <cell r="F2" t="str">
            <v>INCH</v>
          </cell>
        </row>
      </sheetData>
      <sheetData sheetId="4500">
        <row r="2">
          <cell r="F2" t="str">
            <v>INCH</v>
          </cell>
        </row>
      </sheetData>
      <sheetData sheetId="4501">
        <row r="2">
          <cell r="F2" t="str">
            <v>INCH</v>
          </cell>
        </row>
      </sheetData>
      <sheetData sheetId="4502">
        <row r="2">
          <cell r="F2" t="str">
            <v>INCH</v>
          </cell>
        </row>
      </sheetData>
      <sheetData sheetId="4503">
        <row r="2">
          <cell r="F2" t="str">
            <v>INCH</v>
          </cell>
        </row>
      </sheetData>
      <sheetData sheetId="4504">
        <row r="2">
          <cell r="F2" t="str">
            <v>INCH</v>
          </cell>
        </row>
      </sheetData>
      <sheetData sheetId="4505">
        <row r="2">
          <cell r="F2" t="str">
            <v>INCH</v>
          </cell>
        </row>
      </sheetData>
      <sheetData sheetId="4506">
        <row r="2">
          <cell r="F2" t="str">
            <v>INCH</v>
          </cell>
        </row>
      </sheetData>
      <sheetData sheetId="4507">
        <row r="2">
          <cell r="F2" t="str">
            <v>INCH</v>
          </cell>
        </row>
      </sheetData>
      <sheetData sheetId="4508">
        <row r="2">
          <cell r="F2" t="str">
            <v>INCH</v>
          </cell>
        </row>
      </sheetData>
      <sheetData sheetId="4509">
        <row r="2">
          <cell r="F2" t="str">
            <v>INCH</v>
          </cell>
        </row>
      </sheetData>
      <sheetData sheetId="4510">
        <row r="2">
          <cell r="F2" t="str">
            <v>INCH</v>
          </cell>
        </row>
      </sheetData>
      <sheetData sheetId="4511">
        <row r="2">
          <cell r="F2" t="str">
            <v>INCH</v>
          </cell>
        </row>
      </sheetData>
      <sheetData sheetId="4512">
        <row r="2">
          <cell r="F2" t="str">
            <v>INCH</v>
          </cell>
        </row>
      </sheetData>
      <sheetData sheetId="4513">
        <row r="2">
          <cell r="F2" t="str">
            <v>INCH</v>
          </cell>
        </row>
      </sheetData>
      <sheetData sheetId="4514">
        <row r="2">
          <cell r="F2" t="str">
            <v>INCH</v>
          </cell>
        </row>
      </sheetData>
      <sheetData sheetId="4515">
        <row r="2">
          <cell r="F2" t="str">
            <v>INCH</v>
          </cell>
        </row>
      </sheetData>
      <sheetData sheetId="4516">
        <row r="2">
          <cell r="F2" t="str">
            <v>INCH</v>
          </cell>
        </row>
      </sheetData>
      <sheetData sheetId="4517">
        <row r="2">
          <cell r="F2" t="str">
            <v>INCH</v>
          </cell>
        </row>
      </sheetData>
      <sheetData sheetId="4518">
        <row r="2">
          <cell r="F2" t="str">
            <v>INCH</v>
          </cell>
        </row>
      </sheetData>
      <sheetData sheetId="4519">
        <row r="2">
          <cell r="F2" t="str">
            <v>INCH</v>
          </cell>
        </row>
      </sheetData>
      <sheetData sheetId="4520">
        <row r="2">
          <cell r="F2" t="str">
            <v>INCH</v>
          </cell>
        </row>
      </sheetData>
      <sheetData sheetId="4521">
        <row r="2">
          <cell r="F2" t="str">
            <v>INCH</v>
          </cell>
        </row>
      </sheetData>
      <sheetData sheetId="4522">
        <row r="2">
          <cell r="F2" t="str">
            <v>INCH</v>
          </cell>
        </row>
      </sheetData>
      <sheetData sheetId="4523">
        <row r="2">
          <cell r="F2" t="str">
            <v>INCH</v>
          </cell>
        </row>
      </sheetData>
      <sheetData sheetId="4524">
        <row r="2">
          <cell r="F2" t="str">
            <v>INCH</v>
          </cell>
        </row>
      </sheetData>
      <sheetData sheetId="4525">
        <row r="2">
          <cell r="F2" t="str">
            <v>INCH</v>
          </cell>
        </row>
      </sheetData>
      <sheetData sheetId="4526">
        <row r="2">
          <cell r="F2" t="str">
            <v>INCH</v>
          </cell>
        </row>
      </sheetData>
      <sheetData sheetId="4527">
        <row r="2">
          <cell r="F2" t="str">
            <v>INCH</v>
          </cell>
        </row>
      </sheetData>
      <sheetData sheetId="4528">
        <row r="2">
          <cell r="F2" t="str">
            <v>INCH</v>
          </cell>
        </row>
      </sheetData>
      <sheetData sheetId="4529">
        <row r="2">
          <cell r="F2" t="str">
            <v>INCH</v>
          </cell>
        </row>
      </sheetData>
      <sheetData sheetId="4530">
        <row r="2">
          <cell r="F2" t="str">
            <v>INCH</v>
          </cell>
        </row>
      </sheetData>
      <sheetData sheetId="4531">
        <row r="2">
          <cell r="F2" t="str">
            <v>INCH</v>
          </cell>
        </row>
      </sheetData>
      <sheetData sheetId="4532">
        <row r="2">
          <cell r="F2" t="str">
            <v>INCH</v>
          </cell>
        </row>
      </sheetData>
      <sheetData sheetId="4533">
        <row r="2">
          <cell r="F2" t="str">
            <v>INCH</v>
          </cell>
        </row>
      </sheetData>
      <sheetData sheetId="4534">
        <row r="2">
          <cell r="F2" t="str">
            <v>INCH</v>
          </cell>
        </row>
      </sheetData>
      <sheetData sheetId="4535">
        <row r="2">
          <cell r="F2" t="str">
            <v>INCH</v>
          </cell>
        </row>
      </sheetData>
      <sheetData sheetId="4536">
        <row r="2">
          <cell r="F2" t="str">
            <v>INCH</v>
          </cell>
        </row>
      </sheetData>
      <sheetData sheetId="4537">
        <row r="2">
          <cell r="F2" t="str">
            <v>INCH</v>
          </cell>
        </row>
      </sheetData>
      <sheetData sheetId="4538">
        <row r="2">
          <cell r="F2" t="str">
            <v>INCH</v>
          </cell>
        </row>
      </sheetData>
      <sheetData sheetId="4539">
        <row r="2">
          <cell r="F2" t="str">
            <v>INCH</v>
          </cell>
        </row>
      </sheetData>
      <sheetData sheetId="4540">
        <row r="2">
          <cell r="F2" t="str">
            <v>INCH</v>
          </cell>
        </row>
      </sheetData>
      <sheetData sheetId="4541">
        <row r="2">
          <cell r="F2" t="str">
            <v>INCH</v>
          </cell>
        </row>
      </sheetData>
      <sheetData sheetId="4542">
        <row r="2">
          <cell r="F2" t="str">
            <v>INCH</v>
          </cell>
        </row>
      </sheetData>
      <sheetData sheetId="4543">
        <row r="2">
          <cell r="F2" t="str">
            <v>INCH</v>
          </cell>
        </row>
      </sheetData>
      <sheetData sheetId="4544">
        <row r="2">
          <cell r="F2" t="str">
            <v>INCH</v>
          </cell>
        </row>
      </sheetData>
      <sheetData sheetId="4545">
        <row r="2">
          <cell r="F2" t="str">
            <v>INCH</v>
          </cell>
        </row>
      </sheetData>
      <sheetData sheetId="4546">
        <row r="2">
          <cell r="F2" t="str">
            <v>INCH</v>
          </cell>
        </row>
      </sheetData>
      <sheetData sheetId="4547">
        <row r="2">
          <cell r="F2" t="str">
            <v>INCH</v>
          </cell>
        </row>
      </sheetData>
      <sheetData sheetId="4548">
        <row r="2">
          <cell r="F2" t="str">
            <v>INCH</v>
          </cell>
        </row>
      </sheetData>
      <sheetData sheetId="4549">
        <row r="2">
          <cell r="F2" t="str">
            <v>INCH</v>
          </cell>
        </row>
      </sheetData>
      <sheetData sheetId="4550">
        <row r="2">
          <cell r="F2" t="str">
            <v>INCH</v>
          </cell>
        </row>
      </sheetData>
      <sheetData sheetId="4551">
        <row r="2">
          <cell r="F2" t="str">
            <v>INCH</v>
          </cell>
        </row>
      </sheetData>
      <sheetData sheetId="4552">
        <row r="2">
          <cell r="F2" t="str">
            <v>INCH</v>
          </cell>
        </row>
      </sheetData>
      <sheetData sheetId="4553">
        <row r="2">
          <cell r="F2" t="str">
            <v>INCH</v>
          </cell>
        </row>
      </sheetData>
      <sheetData sheetId="4554">
        <row r="2">
          <cell r="F2" t="str">
            <v>INCH</v>
          </cell>
        </row>
      </sheetData>
      <sheetData sheetId="4555">
        <row r="2">
          <cell r="F2" t="str">
            <v>INCH</v>
          </cell>
        </row>
      </sheetData>
      <sheetData sheetId="4556">
        <row r="2">
          <cell r="F2" t="str">
            <v>INCH</v>
          </cell>
        </row>
      </sheetData>
      <sheetData sheetId="4557">
        <row r="2">
          <cell r="F2" t="str">
            <v>INCH</v>
          </cell>
        </row>
      </sheetData>
      <sheetData sheetId="4558">
        <row r="2">
          <cell r="F2" t="str">
            <v>INCH</v>
          </cell>
        </row>
      </sheetData>
      <sheetData sheetId="4559">
        <row r="2">
          <cell r="F2" t="str">
            <v>INCH</v>
          </cell>
        </row>
      </sheetData>
      <sheetData sheetId="4560">
        <row r="2">
          <cell r="F2" t="str">
            <v>INCH</v>
          </cell>
        </row>
      </sheetData>
      <sheetData sheetId="4561">
        <row r="2">
          <cell r="F2" t="str">
            <v>INCH</v>
          </cell>
        </row>
      </sheetData>
      <sheetData sheetId="4562">
        <row r="2">
          <cell r="F2" t="str">
            <v>INCH</v>
          </cell>
        </row>
      </sheetData>
      <sheetData sheetId="4563">
        <row r="2">
          <cell r="F2" t="str">
            <v>INCH</v>
          </cell>
        </row>
      </sheetData>
      <sheetData sheetId="4564">
        <row r="2">
          <cell r="F2" t="str">
            <v>INCH</v>
          </cell>
        </row>
      </sheetData>
      <sheetData sheetId="4565">
        <row r="2">
          <cell r="F2" t="str">
            <v>INCH</v>
          </cell>
        </row>
      </sheetData>
      <sheetData sheetId="4566">
        <row r="2">
          <cell r="F2" t="str">
            <v>INCH</v>
          </cell>
        </row>
      </sheetData>
      <sheetData sheetId="4567">
        <row r="2">
          <cell r="F2" t="str">
            <v>INCH</v>
          </cell>
        </row>
      </sheetData>
      <sheetData sheetId="4568">
        <row r="2">
          <cell r="F2" t="str">
            <v>INCH</v>
          </cell>
        </row>
      </sheetData>
      <sheetData sheetId="4569">
        <row r="2">
          <cell r="F2" t="str">
            <v>INCH</v>
          </cell>
        </row>
      </sheetData>
      <sheetData sheetId="4570">
        <row r="2">
          <cell r="F2" t="str">
            <v>INCH</v>
          </cell>
        </row>
      </sheetData>
      <sheetData sheetId="4571">
        <row r="2">
          <cell r="F2" t="str">
            <v>INCH</v>
          </cell>
        </row>
      </sheetData>
      <sheetData sheetId="4572">
        <row r="2">
          <cell r="F2" t="str">
            <v>INCH</v>
          </cell>
        </row>
      </sheetData>
      <sheetData sheetId="4573">
        <row r="2">
          <cell r="F2" t="str">
            <v>INCH</v>
          </cell>
        </row>
      </sheetData>
      <sheetData sheetId="4574">
        <row r="2">
          <cell r="F2" t="str">
            <v>INCH</v>
          </cell>
        </row>
      </sheetData>
      <sheetData sheetId="4575">
        <row r="2">
          <cell r="F2" t="str">
            <v>INCH</v>
          </cell>
        </row>
      </sheetData>
      <sheetData sheetId="4576">
        <row r="2">
          <cell r="F2" t="str">
            <v>INCH</v>
          </cell>
        </row>
      </sheetData>
      <sheetData sheetId="4577">
        <row r="2">
          <cell r="F2" t="str">
            <v>INCH</v>
          </cell>
        </row>
      </sheetData>
      <sheetData sheetId="4578">
        <row r="2">
          <cell r="F2" t="str">
            <v>INCH</v>
          </cell>
        </row>
      </sheetData>
      <sheetData sheetId="4579">
        <row r="2">
          <cell r="F2" t="str">
            <v>INCH</v>
          </cell>
        </row>
      </sheetData>
      <sheetData sheetId="4580">
        <row r="2">
          <cell r="F2" t="str">
            <v>INCH</v>
          </cell>
        </row>
      </sheetData>
      <sheetData sheetId="4581">
        <row r="2">
          <cell r="F2" t="str">
            <v>INCH</v>
          </cell>
        </row>
      </sheetData>
      <sheetData sheetId="4582">
        <row r="2">
          <cell r="F2" t="str">
            <v>INCH</v>
          </cell>
        </row>
      </sheetData>
      <sheetData sheetId="4583">
        <row r="2">
          <cell r="F2" t="str">
            <v>INCH</v>
          </cell>
        </row>
      </sheetData>
      <sheetData sheetId="4584">
        <row r="2">
          <cell r="F2" t="str">
            <v>INCH</v>
          </cell>
        </row>
      </sheetData>
      <sheetData sheetId="4585">
        <row r="2">
          <cell r="F2" t="str">
            <v>INCH</v>
          </cell>
        </row>
      </sheetData>
      <sheetData sheetId="4586">
        <row r="2">
          <cell r="F2" t="str">
            <v>INCH</v>
          </cell>
        </row>
      </sheetData>
      <sheetData sheetId="4587">
        <row r="2">
          <cell r="F2" t="str">
            <v>INCH</v>
          </cell>
        </row>
      </sheetData>
      <sheetData sheetId="4588">
        <row r="2">
          <cell r="F2" t="str">
            <v>INCH</v>
          </cell>
        </row>
      </sheetData>
      <sheetData sheetId="4589">
        <row r="2">
          <cell r="F2" t="str">
            <v>INCH</v>
          </cell>
        </row>
      </sheetData>
      <sheetData sheetId="4590">
        <row r="2">
          <cell r="F2" t="str">
            <v>INCH</v>
          </cell>
        </row>
      </sheetData>
      <sheetData sheetId="4591">
        <row r="2">
          <cell r="F2" t="str">
            <v>INCH</v>
          </cell>
        </row>
      </sheetData>
      <sheetData sheetId="4592">
        <row r="2">
          <cell r="F2" t="str">
            <v>INCH</v>
          </cell>
        </row>
      </sheetData>
      <sheetData sheetId="4593">
        <row r="2">
          <cell r="F2" t="str">
            <v>INCH</v>
          </cell>
        </row>
      </sheetData>
      <sheetData sheetId="4594">
        <row r="2">
          <cell r="F2" t="str">
            <v>INCH</v>
          </cell>
        </row>
      </sheetData>
      <sheetData sheetId="4595">
        <row r="2">
          <cell r="F2" t="str">
            <v>INCH</v>
          </cell>
        </row>
      </sheetData>
      <sheetData sheetId="4596">
        <row r="2">
          <cell r="F2" t="str">
            <v>INCH</v>
          </cell>
        </row>
      </sheetData>
      <sheetData sheetId="4597">
        <row r="2">
          <cell r="F2" t="str">
            <v>INCH</v>
          </cell>
        </row>
      </sheetData>
      <sheetData sheetId="4598">
        <row r="2">
          <cell r="F2" t="str">
            <v>INCH</v>
          </cell>
        </row>
      </sheetData>
      <sheetData sheetId="4599">
        <row r="2">
          <cell r="F2" t="str">
            <v>INCH</v>
          </cell>
        </row>
      </sheetData>
      <sheetData sheetId="4600">
        <row r="2">
          <cell r="F2" t="str">
            <v>INCH</v>
          </cell>
        </row>
      </sheetData>
      <sheetData sheetId="4601">
        <row r="2">
          <cell r="F2" t="str">
            <v>INCH</v>
          </cell>
        </row>
      </sheetData>
      <sheetData sheetId="4602">
        <row r="2">
          <cell r="F2" t="str">
            <v>INCH</v>
          </cell>
        </row>
      </sheetData>
      <sheetData sheetId="4603">
        <row r="2">
          <cell r="F2" t="str">
            <v>INCH</v>
          </cell>
        </row>
      </sheetData>
      <sheetData sheetId="4604">
        <row r="2">
          <cell r="F2" t="str">
            <v>INCH</v>
          </cell>
        </row>
      </sheetData>
      <sheetData sheetId="4605">
        <row r="2">
          <cell r="F2" t="str">
            <v>INCH</v>
          </cell>
        </row>
      </sheetData>
      <sheetData sheetId="4606">
        <row r="2">
          <cell r="F2" t="str">
            <v>INCH</v>
          </cell>
        </row>
      </sheetData>
      <sheetData sheetId="4607">
        <row r="2">
          <cell r="F2" t="str">
            <v>INCH</v>
          </cell>
        </row>
      </sheetData>
      <sheetData sheetId="4608">
        <row r="2">
          <cell r="F2" t="str">
            <v>INCH</v>
          </cell>
        </row>
      </sheetData>
      <sheetData sheetId="4609">
        <row r="2">
          <cell r="F2" t="str">
            <v>INCH</v>
          </cell>
        </row>
      </sheetData>
      <sheetData sheetId="4610">
        <row r="2">
          <cell r="F2" t="str">
            <v>INCH</v>
          </cell>
        </row>
      </sheetData>
      <sheetData sheetId="4611">
        <row r="2">
          <cell r="F2" t="str">
            <v>INCH</v>
          </cell>
        </row>
      </sheetData>
      <sheetData sheetId="4612">
        <row r="2">
          <cell r="F2" t="str">
            <v>INCH</v>
          </cell>
        </row>
      </sheetData>
      <sheetData sheetId="4613">
        <row r="2">
          <cell r="F2" t="str">
            <v>INCH</v>
          </cell>
        </row>
      </sheetData>
      <sheetData sheetId="4614">
        <row r="2">
          <cell r="F2" t="str">
            <v>INCH</v>
          </cell>
        </row>
      </sheetData>
      <sheetData sheetId="4615">
        <row r="2">
          <cell r="F2" t="str">
            <v>INCH</v>
          </cell>
        </row>
      </sheetData>
      <sheetData sheetId="4616">
        <row r="2">
          <cell r="F2" t="str">
            <v>INCH</v>
          </cell>
        </row>
      </sheetData>
      <sheetData sheetId="4617">
        <row r="2">
          <cell r="F2" t="str">
            <v>INCH</v>
          </cell>
        </row>
      </sheetData>
      <sheetData sheetId="4618">
        <row r="2">
          <cell r="F2" t="str">
            <v>INCH</v>
          </cell>
        </row>
      </sheetData>
      <sheetData sheetId="4619">
        <row r="2">
          <cell r="F2" t="str">
            <v>INCH</v>
          </cell>
        </row>
      </sheetData>
      <sheetData sheetId="4620">
        <row r="2">
          <cell r="F2" t="str">
            <v>INCH</v>
          </cell>
        </row>
      </sheetData>
      <sheetData sheetId="4621">
        <row r="2">
          <cell r="F2" t="str">
            <v>INCH</v>
          </cell>
        </row>
      </sheetData>
      <sheetData sheetId="4622">
        <row r="2">
          <cell r="F2" t="str">
            <v>INCH</v>
          </cell>
        </row>
      </sheetData>
      <sheetData sheetId="4623">
        <row r="2">
          <cell r="F2" t="str">
            <v>INCH</v>
          </cell>
        </row>
      </sheetData>
      <sheetData sheetId="4624">
        <row r="2">
          <cell r="F2" t="str">
            <v>INCH</v>
          </cell>
        </row>
      </sheetData>
      <sheetData sheetId="4625">
        <row r="2">
          <cell r="F2" t="str">
            <v>INCH</v>
          </cell>
        </row>
      </sheetData>
      <sheetData sheetId="4626">
        <row r="2">
          <cell r="F2" t="str">
            <v>INCH</v>
          </cell>
        </row>
      </sheetData>
      <sheetData sheetId="4627">
        <row r="2">
          <cell r="F2" t="str">
            <v>INCH</v>
          </cell>
        </row>
      </sheetData>
      <sheetData sheetId="4628">
        <row r="2">
          <cell r="F2" t="str">
            <v>INCH</v>
          </cell>
        </row>
      </sheetData>
      <sheetData sheetId="4629">
        <row r="2">
          <cell r="F2" t="str">
            <v>INCH</v>
          </cell>
        </row>
      </sheetData>
      <sheetData sheetId="4630">
        <row r="2">
          <cell r="F2" t="str">
            <v>INCH</v>
          </cell>
        </row>
      </sheetData>
      <sheetData sheetId="4631">
        <row r="2">
          <cell r="F2" t="str">
            <v>INCH</v>
          </cell>
        </row>
      </sheetData>
      <sheetData sheetId="4632">
        <row r="2">
          <cell r="F2" t="str">
            <v>INCH</v>
          </cell>
        </row>
      </sheetData>
      <sheetData sheetId="4633">
        <row r="2">
          <cell r="F2" t="str">
            <v>INCH</v>
          </cell>
        </row>
      </sheetData>
      <sheetData sheetId="4634">
        <row r="2">
          <cell r="F2" t="str">
            <v>INCH</v>
          </cell>
        </row>
      </sheetData>
      <sheetData sheetId="4635">
        <row r="2">
          <cell r="F2" t="str">
            <v>INCH</v>
          </cell>
        </row>
      </sheetData>
      <sheetData sheetId="4636">
        <row r="2">
          <cell r="F2" t="str">
            <v>INCH</v>
          </cell>
        </row>
      </sheetData>
      <sheetData sheetId="4637">
        <row r="2">
          <cell r="F2" t="str">
            <v>INCH</v>
          </cell>
        </row>
      </sheetData>
      <sheetData sheetId="4638">
        <row r="2">
          <cell r="F2" t="str">
            <v>INCH</v>
          </cell>
        </row>
      </sheetData>
      <sheetData sheetId="4639">
        <row r="2">
          <cell r="F2" t="str">
            <v>INCH</v>
          </cell>
        </row>
      </sheetData>
      <sheetData sheetId="4640">
        <row r="2">
          <cell r="F2" t="str">
            <v>INCH</v>
          </cell>
        </row>
      </sheetData>
      <sheetData sheetId="4641">
        <row r="2">
          <cell r="F2" t="str">
            <v>INCH</v>
          </cell>
        </row>
      </sheetData>
      <sheetData sheetId="4642">
        <row r="2">
          <cell r="F2" t="str">
            <v>INCH</v>
          </cell>
        </row>
      </sheetData>
      <sheetData sheetId="4643">
        <row r="2">
          <cell r="F2" t="str">
            <v>INCH</v>
          </cell>
        </row>
      </sheetData>
      <sheetData sheetId="4644">
        <row r="2">
          <cell r="F2" t="str">
            <v>INCH</v>
          </cell>
        </row>
      </sheetData>
      <sheetData sheetId="4645">
        <row r="2">
          <cell r="F2" t="str">
            <v>INCH</v>
          </cell>
        </row>
      </sheetData>
      <sheetData sheetId="4646">
        <row r="2">
          <cell r="F2" t="str">
            <v>INCH</v>
          </cell>
        </row>
      </sheetData>
      <sheetData sheetId="4647">
        <row r="2">
          <cell r="F2" t="str">
            <v>INCH</v>
          </cell>
        </row>
      </sheetData>
      <sheetData sheetId="4648">
        <row r="2">
          <cell r="F2" t="str">
            <v>INCH</v>
          </cell>
        </row>
      </sheetData>
      <sheetData sheetId="4649">
        <row r="2">
          <cell r="F2" t="str">
            <v>INCH</v>
          </cell>
        </row>
      </sheetData>
      <sheetData sheetId="4650">
        <row r="2">
          <cell r="F2" t="str">
            <v>INCH</v>
          </cell>
        </row>
      </sheetData>
      <sheetData sheetId="4651">
        <row r="2">
          <cell r="F2" t="str">
            <v>INCH</v>
          </cell>
        </row>
      </sheetData>
      <sheetData sheetId="4652">
        <row r="2">
          <cell r="F2" t="str">
            <v>INCH</v>
          </cell>
        </row>
      </sheetData>
      <sheetData sheetId="4653">
        <row r="2">
          <cell r="F2" t="str">
            <v>INCH</v>
          </cell>
        </row>
      </sheetData>
      <sheetData sheetId="4654">
        <row r="2">
          <cell r="F2" t="str">
            <v>INCH</v>
          </cell>
        </row>
      </sheetData>
      <sheetData sheetId="4655">
        <row r="2">
          <cell r="F2" t="str">
            <v>INCH</v>
          </cell>
        </row>
      </sheetData>
      <sheetData sheetId="4656">
        <row r="2">
          <cell r="F2" t="str">
            <v>INCH</v>
          </cell>
        </row>
      </sheetData>
      <sheetData sheetId="4657">
        <row r="2">
          <cell r="F2" t="str">
            <v>INCH</v>
          </cell>
        </row>
      </sheetData>
      <sheetData sheetId="4658">
        <row r="2">
          <cell r="F2" t="str">
            <v>INCH</v>
          </cell>
        </row>
      </sheetData>
      <sheetData sheetId="4659">
        <row r="2">
          <cell r="F2" t="str">
            <v>INCH</v>
          </cell>
        </row>
      </sheetData>
      <sheetData sheetId="4660">
        <row r="2">
          <cell r="F2" t="str">
            <v>INCH</v>
          </cell>
        </row>
      </sheetData>
      <sheetData sheetId="4661">
        <row r="2">
          <cell r="F2" t="str">
            <v>INCH</v>
          </cell>
        </row>
      </sheetData>
      <sheetData sheetId="4662">
        <row r="2">
          <cell r="F2" t="str">
            <v>INCH</v>
          </cell>
        </row>
      </sheetData>
      <sheetData sheetId="4663">
        <row r="2">
          <cell r="F2" t="str">
            <v>INCH</v>
          </cell>
        </row>
      </sheetData>
      <sheetData sheetId="4664">
        <row r="2">
          <cell r="F2" t="str">
            <v>INCH</v>
          </cell>
        </row>
      </sheetData>
      <sheetData sheetId="4665">
        <row r="2">
          <cell r="F2" t="str">
            <v>INCH</v>
          </cell>
        </row>
      </sheetData>
      <sheetData sheetId="4666">
        <row r="2">
          <cell r="F2" t="str">
            <v>INCH</v>
          </cell>
        </row>
      </sheetData>
      <sheetData sheetId="4667">
        <row r="2">
          <cell r="F2" t="str">
            <v>INCH</v>
          </cell>
        </row>
      </sheetData>
      <sheetData sheetId="4668">
        <row r="2">
          <cell r="F2" t="str">
            <v>INCH</v>
          </cell>
        </row>
      </sheetData>
      <sheetData sheetId="4669">
        <row r="2">
          <cell r="F2" t="str">
            <v>INCH</v>
          </cell>
        </row>
      </sheetData>
      <sheetData sheetId="4670">
        <row r="2">
          <cell r="F2" t="str">
            <v>INCH</v>
          </cell>
        </row>
      </sheetData>
      <sheetData sheetId="4671">
        <row r="2">
          <cell r="F2" t="str">
            <v>INCH</v>
          </cell>
        </row>
      </sheetData>
      <sheetData sheetId="4672">
        <row r="2">
          <cell r="F2" t="str">
            <v>INCH</v>
          </cell>
        </row>
      </sheetData>
      <sheetData sheetId="4673">
        <row r="2">
          <cell r="F2" t="str">
            <v>INCH</v>
          </cell>
        </row>
      </sheetData>
      <sheetData sheetId="4674">
        <row r="2">
          <cell r="F2" t="str">
            <v>INCH</v>
          </cell>
        </row>
      </sheetData>
      <sheetData sheetId="4675">
        <row r="2">
          <cell r="F2" t="str">
            <v>INCH</v>
          </cell>
        </row>
      </sheetData>
      <sheetData sheetId="4676">
        <row r="2">
          <cell r="F2" t="str">
            <v>INCH</v>
          </cell>
        </row>
      </sheetData>
      <sheetData sheetId="4677">
        <row r="2">
          <cell r="F2" t="str">
            <v>INCH</v>
          </cell>
        </row>
      </sheetData>
      <sheetData sheetId="4678">
        <row r="2">
          <cell r="F2" t="str">
            <v>INCH</v>
          </cell>
        </row>
      </sheetData>
      <sheetData sheetId="4679">
        <row r="2">
          <cell r="F2" t="str">
            <v>INCH</v>
          </cell>
        </row>
      </sheetData>
      <sheetData sheetId="4680">
        <row r="2">
          <cell r="F2" t="str">
            <v>INCH</v>
          </cell>
        </row>
      </sheetData>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sheetData sheetId="4811"/>
      <sheetData sheetId="4812"/>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sheetData sheetId="4877"/>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DRENAJ HENDEK (2)"/>
      <sheetName val="Sayfa4"/>
      <sheetName val="Dış Kapak"/>
      <sheetName val="İçindekiler"/>
      <sheetName val="ICMAL"/>
      <sheetName val="PURSANTAJ"/>
      <sheetName val="DAIRE"/>
      <sheetName val="AVANS"/>
      <sheetName val="TAKIP"/>
      <sheetName val="ARKA KAPAK"/>
      <sheetName val="Faturanızı Özelleştirin"/>
      <sheetName val="I BLOK -11.70 TEMEL BETON"/>
      <sheetName val="I BLOK -7.60 DÖŞEME (2)"/>
      <sheetName val="I BLOK -11.70 KOLON BETON"/>
      <sheetName val="I BLOK -11.70 PERDE BETON"/>
      <sheetName val="I BLOK -11.70 KİRİŞ"/>
      <sheetName val="I BLOK -7.60 DÖŞEME"/>
      <sheetName val="E BLOK -11.70 TEMEL BETON "/>
      <sheetName val="kpk"/>
      <sheetName val="İKSA pile records"/>
      <sheetName val="önyüz"/>
      <sheetName val="Demirbaş Haf.Öd."/>
      <sheetName val="TABLO_3"/>
      <sheetName val="Finansal tamamlanma Eğrisi"/>
      <sheetName val="GEN.BİL."/>
      <sheetName val="RAPOR"/>
      <sheetName val="GB"/>
      <sheetName val="GB12"/>
      <sheetName val="Köprü İşleri"/>
      <sheetName val="#REF"/>
      <sheetName val="DATA"/>
      <sheetName val="YEŞİL DEF. KÖPRÜ"/>
      <sheetName val="_REF"/>
      <sheetName val="YEŞİL DEF_ KÖPRÜ"/>
      <sheetName val="METRAJ İCMALİ-1 "/>
      <sheetName val="Sheet1"/>
      <sheetName val="Beton Nakli"/>
      <sheetName val="dşgsydata"/>
      <sheetName val="genel poz mik"/>
      <sheetName val="Hakediş"/>
      <sheetName val="VERİ"/>
      <sheetName val="Y.F.T."/>
      <sheetName val="DEGISKENLER"/>
      <sheetName val="çarpan"/>
      <sheetName val="PROJE"/>
      <sheetName val="SATIS"/>
      <sheetName val="TESİSAT"/>
      <sheetName val="İCMAL"/>
      <sheetName val="BLOK-KEŞİF"/>
      <sheetName val="rayiç"/>
      <sheetName val="katsayılar"/>
      <sheetName val="FitOutConfCentre"/>
      <sheetName val="METRAJ"/>
      <sheetName val="İŞ PROĞRAMI"/>
      <sheetName val="#_dwgs"/>
      <sheetName val="fİYATLAR"/>
      <sheetName val="PERAKENDE"/>
      <sheetName val="NAKLİYELER"/>
      <sheetName val="equipment"/>
      <sheetName val="indirect_equipment (X)"/>
      <sheetName val="rayıc"/>
      <sheetName val="metin"/>
      <sheetName val="eritme"/>
      <sheetName val=" ICMALI"/>
      <sheetName val="demir"/>
      <sheetName val="KADIKES2"/>
      <sheetName val="Gelir-Gider Gercek"/>
      <sheetName val="irsaliye tesbit4-5"/>
      <sheetName val="B3.Pers-Data"/>
      <sheetName val="191+935"/>
      <sheetName val="dBase"/>
      <sheetName val="menfezdata"/>
      <sheetName val="menfeztutanak"/>
      <sheetName val="AOP Summary-2"/>
      <sheetName val="CPI2010"/>
      <sheetName val="POZ AD BR"/>
      <sheetName val="fiyat2"/>
      <sheetName val="Beton"/>
      <sheetName val="Kapak"/>
      <sheetName val="Yeşil.Defter.Kapak"/>
      <sheetName val="B.SEHİR-Y.YIL"/>
      <sheetName val="KM KANATLI"/>
      <sheetName val="İLERLEME"/>
      <sheetName val="TBL_03"/>
      <sheetName val="TBL_04"/>
      <sheetName val="TBL_09"/>
      <sheetName val="TBL_12"/>
      <sheetName val="TBL_15"/>
      <sheetName val="sal"/>
      <sheetName val="TOTAL"/>
      <sheetName val="ID"/>
      <sheetName val="MİZAN (2)"/>
      <sheetName val="Tuta"/>
      <sheetName val="MalMık"/>
      <sheetName val="YD.Topİş"/>
      <sheetName val="İlan"/>
      <sheetName val="gbicmalayri"/>
      <sheetName val="6-Yeşil Defter."/>
      <sheetName val="KAYNAK DOSYASI"/>
      <sheetName val="FinansalTE"/>
      <sheetName val="Finansal t. Eğrisi"/>
      <sheetName val="Sayfa1"/>
    </sheetNames>
    <sheetDataSet>
      <sheetData sheetId="0" refreshError="1"/>
      <sheetData sheetId="1">
        <row r="8">
          <cell r="B8" t="str">
            <v xml:space="preserve">        TURKEY</v>
          </cell>
        </row>
      </sheetData>
      <sheetData sheetId="2" refreshError="1"/>
      <sheetData sheetId="3" refreshError="1"/>
      <sheetData sheetId="4" refreshError="1"/>
      <sheetData sheetId="5" refreshError="1"/>
      <sheetData sheetId="6" refreshError="1"/>
      <sheetData sheetId="7" refreshError="1"/>
      <sheetData sheetId="8">
        <row r="4">
          <cell r="B4">
            <v>0</v>
          </cell>
        </row>
      </sheetData>
      <sheetData sheetId="9">
        <row r="4">
          <cell r="B4">
            <v>0</v>
          </cell>
        </row>
      </sheetData>
      <sheetData sheetId="10">
        <row r="4">
          <cell r="B4">
            <v>0</v>
          </cell>
        </row>
      </sheetData>
      <sheetData sheetId="11">
        <row r="4">
          <cell r="B4">
            <v>0</v>
          </cell>
        </row>
      </sheetData>
      <sheetData sheetId="12">
        <row r="4">
          <cell r="B4">
            <v>0</v>
          </cell>
        </row>
      </sheetData>
      <sheetData sheetId="13">
        <row r="4">
          <cell r="B4">
            <v>0</v>
          </cell>
        </row>
      </sheetData>
      <sheetData sheetId="14">
        <row r="8">
          <cell r="B8" t="str">
            <v xml:space="preserve">        TURKEY</v>
          </cell>
        </row>
      </sheetData>
      <sheetData sheetId="15">
        <row r="8">
          <cell r="B8" t="str">
            <v xml:space="preserve">        TURKEY</v>
          </cell>
        </row>
      </sheetData>
      <sheetData sheetId="16" refreshError="1"/>
      <sheetData sheetId="17">
        <row r="4">
          <cell r="B4">
            <v>0</v>
          </cell>
        </row>
      </sheetData>
      <sheetData sheetId="18">
        <row r="4">
          <cell r="B4">
            <v>0</v>
          </cell>
        </row>
      </sheetData>
      <sheetData sheetId="19">
        <row r="8">
          <cell r="B8" t="str">
            <v xml:space="preserve">        TURKEY</v>
          </cell>
        </row>
      </sheetData>
      <sheetData sheetId="20">
        <row r="4">
          <cell r="B4">
            <v>0</v>
          </cell>
        </row>
      </sheetData>
      <sheetData sheetId="21"/>
      <sheetData sheetId="22"/>
      <sheetData sheetId="23">
        <row r="4">
          <cell r="B4">
            <v>0</v>
          </cell>
        </row>
      </sheetData>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4">
          <cell r="A4" t="str">
            <v>PROJE ADI (PROJECT NAME)</v>
          </cell>
        </row>
      </sheetData>
      <sheetData sheetId="104" refreshError="1"/>
      <sheetData sheetId="105" refreshError="1"/>
      <sheetData sheetId="106" refreshError="1"/>
      <sheetData sheetId="10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chedule"/>
      <sheetName val="s-curve"/>
      <sheetName val="TOT-HIS"/>
      <sheetName val="tot-gra"/>
      <sheetName val="SAF-HIS"/>
      <sheetName val="MAT-HIS"/>
      <sheetName val="PLAN-HIS"/>
      <sheetName val="ENG-HIS"/>
      <sheetName val="MGM-HIS"/>
      <sheetName val="SPV-HIS"/>
      <sheetName val="QAQC-HIS"/>
      <sheetName val="saf-gra"/>
      <sheetName val="mat-gra"/>
      <sheetName val="plan-gra"/>
      <sheetName val="eng-gra"/>
      <sheetName val="spv-gra"/>
      <sheetName val="mgm-gra"/>
      <sheetName val="qaqc-gra"/>
      <sheetName val="crf-mech"/>
      <sheetName val="crf-pinh"/>
      <sheetName val="crf-elih"/>
      <sheetName val="crf-cwh"/>
      <sheetName val="craftbch"/>
      <sheetName val="crf-ping"/>
      <sheetName val="crf-mecg"/>
      <sheetName val="crf-elig"/>
      <sheetName val="crf-cwg"/>
      <sheetName val="craftbcg"/>
      <sheetName val="DIR-PINH"/>
      <sheetName val="DIR-MECH"/>
      <sheetName val="DIR-ELIH"/>
      <sheetName val="DIR-CWH"/>
      <sheetName val="DIR"/>
      <sheetName val="OVER-BCH"/>
      <sheetName val="dir-ping"/>
      <sheetName val="dir-mecg"/>
      <sheetName val="dir-elig"/>
      <sheetName val="dir-cwg"/>
      <sheetName val="over-bcg"/>
      <sheetName val="fspv early works"/>
      <sheetName val="fspv"/>
      <sheetName val="C1 (calcolo)"/>
      <sheetName val="c1 1a fase"/>
      <sheetName val="c1 2a f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refreshError="1"/>
      <sheetData sheetId="41" refreshError="1">
        <row r="2">
          <cell r="Y2">
            <v>250</v>
          </cell>
        </row>
        <row r="194">
          <cell r="N194">
            <v>0</v>
          </cell>
          <cell r="O194">
            <v>0</v>
          </cell>
          <cell r="P194">
            <v>0</v>
          </cell>
          <cell r="Q194">
            <v>0</v>
          </cell>
          <cell r="R194">
            <v>0</v>
          </cell>
          <cell r="S194">
            <v>0</v>
          </cell>
          <cell r="T194">
            <v>0</v>
          </cell>
          <cell r="U194">
            <v>0</v>
          </cell>
          <cell r="V194">
            <v>0</v>
          </cell>
          <cell r="W194">
            <v>36.117900000000006</v>
          </cell>
          <cell r="X194">
            <v>65.012219999999999</v>
          </cell>
          <cell r="Y194">
            <v>115.86775200000002</v>
          </cell>
          <cell r="Z194">
            <v>159.7664796</v>
          </cell>
          <cell r="AA194">
            <v>203.31128999999999</v>
          </cell>
          <cell r="AB194">
            <v>216.75479279999999</v>
          </cell>
          <cell r="AC194">
            <v>224.81691960000003</v>
          </cell>
          <cell r="AD194">
            <v>202.43834519999999</v>
          </cell>
          <cell r="AE194">
            <v>187.25430359999996</v>
          </cell>
          <cell r="AF194">
            <v>177.11224440000015</v>
          </cell>
          <cell r="AG194">
            <v>109.07988000000002</v>
          </cell>
          <cell r="AH194">
            <v>74.174318399999976</v>
          </cell>
          <cell r="AI194">
            <v>41.450354399999966</v>
          </cell>
          <cell r="AJ194">
            <v>0</v>
          </cell>
          <cell r="AK194">
            <v>0</v>
          </cell>
        </row>
      </sheetData>
      <sheetData sheetId="42"/>
      <sheetData sheetId="4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DRUM"/>
      <sheetName val="BM"/>
      <sheetName val="inter"/>
      <sheetName val="12CGOU"/>
      <sheetName val=" 배관자재비-SKEC구매분"/>
      <sheetName val="Code"/>
      <sheetName val="보온자재단가표"/>
      <sheetName val="LEGEND"/>
      <sheetName val="운반"/>
      <sheetName val="insulation"/>
      <sheetName val="CASH"/>
      <sheetName val="VUOTO"/>
      <sheetName val="PIPE"/>
      <sheetName val="FLANGE"/>
      <sheetName val="VALVE"/>
      <sheetName val="TTL"/>
      <sheetName val="대비표"/>
      <sheetName val="BQMPALOC"/>
      <sheetName val="EQT-ESTN"/>
      <sheetName val="Sheet4"/>
      <sheetName val="Sheet1"/>
      <sheetName val="INSTLIST 1"/>
      <sheetName val="steam table"/>
      <sheetName val="PNTEXT"/>
      <sheetName val="jobhist"/>
      <sheetName val="기성내역"/>
      <sheetName val="Price Schedule(Piping)"/>
      <sheetName val="Eq. Mobilization"/>
      <sheetName val="General Data"/>
      <sheetName val="LinerWt"/>
      <sheetName val="입찰내역 발주처 양식"/>
      <sheetName val="QT003-SSY-철골3"/>
      <sheetName val="산근"/>
      <sheetName val="INSTR"/>
      <sheetName val="Sum"/>
      <sheetName val="BQ List"/>
      <sheetName val="Takeoff"/>
      <sheetName val="studbolt no."/>
      <sheetName val="studbolt size"/>
      <sheetName val="item sort no"/>
      <sheetName val="LINE_LIST"/>
      <sheetName val="Sheet13"/>
      <sheetName val="Sheet14"/>
      <sheetName val="집계표(OPTION)"/>
      <sheetName val="단면가정"/>
      <sheetName val="설계조건"/>
      <sheetName val="BQMP"/>
      <sheetName val="금융"/>
      <sheetName val="trf(36%)"/>
      <sheetName val="CAT_5"/>
      <sheetName val="EQUIP"/>
      <sheetName val="1. 총괄"/>
      <sheetName val="토목 Utility Schedule (2)"/>
      <sheetName val="당초"/>
      <sheetName val="Curves"/>
      <sheetName val="Tables"/>
      <sheetName val="XZLC004_PART2"/>
      <sheetName val="XZLC003_PART1"/>
      <sheetName val="IMPEADENCE MAP 취수장"/>
      <sheetName val="CB"/>
      <sheetName val="기기리스트"/>
      <sheetName val="자금운영"/>
      <sheetName val="CAST INT T-S"/>
      <sheetName val="TABLE-A"/>
      <sheetName val="EE-PROP"/>
      <sheetName val="REINF."/>
      <sheetName val="SKETCH"/>
      <sheetName val="LOADS"/>
      <sheetName val="Inert Balls"/>
      <sheetName val="유림골조"/>
      <sheetName val="E 3367 Estimate"/>
      <sheetName val="2-Conc"/>
      <sheetName val="Sheet2"/>
      <sheetName val="매출 현황 (본사)"/>
      <sheetName val="PIPING"/>
      <sheetName val="_배관자재비-SKEC구매분"/>
      <sheetName val="INSTLIST_1"/>
      <sheetName val="steam_table"/>
      <sheetName val="Price_Schedule(Piping)"/>
      <sheetName val="studbolt_no_"/>
      <sheetName val="studbolt_size"/>
      <sheetName val="item_sort_n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Data"/>
      <sheetName val="Summary"/>
      <sheetName val="1.1 가설공사"/>
      <sheetName val="1.2 토목공사"/>
      <sheetName val="1.3 건축공사"/>
      <sheetName val="1.4 철골공사"/>
      <sheetName val="D-3"/>
      <sheetName val="Basic_Info"/>
      <sheetName val="Master"/>
      <sheetName val="갑지"/>
      <sheetName val="Main"/>
      <sheetName val="Data"/>
      <sheetName val="98수지배부(수정)"/>
    </sheetNames>
    <sheetDataSet>
      <sheetData sheetId="0" refreshError="1">
        <row r="8">
          <cell r="B8" t="str">
            <v>SAR</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집계표"/>
      <sheetName val="내역서"/>
      <sheetName val="총괄표"/>
      <sheetName val="CB"/>
      <sheetName val="경비"/>
      <sheetName val="Sheet3"/>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EQT-ESTN"/>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fitting"/>
      <sheetName val="정부노임단가"/>
      <sheetName val="HVAC"/>
      <sheetName val="할증 "/>
      <sheetName val="DATA"/>
      <sheetName val="INVOICE_CERT EIV'S"/>
      <sheetName val="Factor"/>
      <sheetName val="Onerous Terms"/>
      <sheetName val="Erection"/>
      <sheetName val="Proposal"/>
      <sheetName val="WORK-VOL"/>
      <sheetName val="FAB_I"/>
      <sheetName val="공사비 내역 (가)"/>
      <sheetName val="PUMP"/>
      <sheetName val="Main"/>
      <sheetName val="적용환율"/>
      <sheetName val="일위대가목차"/>
      <sheetName val="#REF"/>
      <sheetName val="조도계산서 (도서)"/>
      <sheetName val="도급양식"/>
      <sheetName val="입찰안"/>
      <sheetName val="직원동원SCH"/>
      <sheetName val="Sheet6"/>
      <sheetName val="D-3109"/>
      <sheetName val="12CGOU"/>
      <sheetName val="기성내역"/>
      <sheetName val="현장지지물물량"/>
      <sheetName val="General Data"/>
      <sheetName val="명세서"/>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wall"/>
      <sheetName val="결재판(삭제하지말아주세요)"/>
      <sheetName val="광통신 견적내역서1"/>
      <sheetName val="Sheet1"/>
      <sheetName val="jobhist"/>
      <sheetName val="15 문제점"/>
      <sheetName val="작성방법"/>
      <sheetName val="자격 땡겨오기"/>
      <sheetName val="4300 UTILITY BLDG (2)"/>
      <sheetName val="DB@Acess"/>
      <sheetName val="Civil"/>
      <sheetName val="연돌일위집계"/>
      <sheetName val="공정율 기초 Data"/>
      <sheetName val="가격분석@1100(990104)"/>
      <sheetName val="Escalation"/>
      <sheetName val="LinerWt"/>
      <sheetName val="B"/>
      <sheetName val="15100"/>
      <sheetName val="산#2-1 (2)"/>
      <sheetName val="API Units"/>
      <sheetName val="주요기준"/>
      <sheetName val="COVER"/>
      <sheetName val="001"/>
      <sheetName val="공통비"/>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SM1-09"/>
      <sheetName val="SM2-09"/>
      <sheetName val="BD-09"/>
      <sheetName val="MT-09"/>
      <sheetName val="ITEM"/>
      <sheetName val="공통부대비"/>
      <sheetName val="Sch.1"/>
      <sheetName val="#2_일위대가목록"/>
      <sheetName val="1. Stationary"/>
      <sheetName val="POWER"/>
      <sheetName val="내역"/>
      <sheetName val="BQMPALOC"/>
      <sheetName val="Coversheet "/>
      <sheetName val="6BPRO"/>
      <sheetName val="Total"/>
      <sheetName val="01"/>
      <sheetName val="계측 내역서"/>
      <sheetName val="결과조달"/>
      <sheetName val="DRUM"/>
      <sheetName val="BSD (2)"/>
      <sheetName val="갑지"/>
      <sheetName val="집계표(OPTION)"/>
      <sheetName val="Eq. Mobilization"/>
      <sheetName val="대비표"/>
      <sheetName val="Rate Analysis"/>
      <sheetName val="예가표"/>
      <sheetName val="산근"/>
      <sheetName val="분뇨"/>
      <sheetName val="공문"/>
      <sheetName val="BQ"/>
      <sheetName val="PBS"/>
      <sheetName val="Requirement(Work Crew)"/>
      <sheetName val="FLANGE"/>
      <sheetName val="VALVE"/>
      <sheetName val="hitlin"/>
      <sheetName val="PER"/>
      <sheetName val="PIR(석유화학)"/>
      <sheetName val="silica"/>
      <sheetName val="rw"/>
      <sheetName val="gw"/>
      <sheetName val="우레탄"/>
      <sheetName val="fg"/>
      <sheetName val="iig silica(캐나다)"/>
      <sheetName val="운반"/>
      <sheetName val="단중"/>
      <sheetName val="품셈표"/>
      <sheetName val="견적대비표"/>
      <sheetName val="공사내역"/>
      <sheetName val="변수 정의"/>
      <sheetName val="SPT vs PHI"/>
      <sheetName val="MODELING"/>
      <sheetName val="INPUT"/>
      <sheetName val="포장공"/>
      <sheetName val="영업2"/>
      <sheetName val="COS_REP.XLS"/>
      <sheetName val="간접비내역-1"/>
      <sheetName val="작성기준"/>
      <sheetName val="LEGEND"/>
      <sheetName val="AILC004"/>
      <sheetName val="VUOTO"/>
      <sheetName val="건축내역"/>
      <sheetName val="조명율표"/>
      <sheetName val="국내"/>
      <sheetName val="RING WALL"/>
      <sheetName val="SG"/>
      <sheetName val="PRO_DCI"/>
      <sheetName val="INST_DCI"/>
      <sheetName val="HVAC_DCI"/>
      <sheetName val="PIPE_DCI"/>
      <sheetName val="노임9월"/>
      <sheetName val=" 갑지"/>
      <sheetName val="견적의뢰"/>
      <sheetName val="PipWT"/>
      <sheetName val="PRICES"/>
      <sheetName val="1_RA_Master_절감후"/>
      <sheetName val="TYPE-B 평균H"/>
      <sheetName val="AC포장수량"/>
      <sheetName val="견적정보"/>
      <sheetName val="WORK"/>
      <sheetName val="간접인원 급료산출"/>
      <sheetName val="slipsumpR"/>
      <sheetName val="Precios"/>
      <sheetName val="Sheet4"/>
      <sheetName val="CPM챠트"/>
      <sheetName val="잡비"/>
      <sheetName val="WEIGHT LIST"/>
      <sheetName val="POL6차-PIPING"/>
      <sheetName val="산#3-1"/>
      <sheetName val="설산1.나"/>
      <sheetName val="본사S"/>
      <sheetName val="DB_ET200(R. A)"/>
      <sheetName val="PIPE"/>
      <sheetName val="Final Summary"/>
      <sheetName val="inter"/>
      <sheetName val="SHL"/>
      <sheetName val="INSTR"/>
      <sheetName val="SOHAR(2nd)"/>
      <sheetName val="95삼성급(본사)"/>
      <sheetName val="입찰내역 발주처 양식"/>
      <sheetName val="---FAB#1업무일지---"/>
      <sheetName val="costing_CV"/>
      <sheetName val="Spec1"/>
      <sheetName val="설계명세서"/>
      <sheetName val="일위대가"/>
      <sheetName val="FAB별"/>
      <sheetName val="Units Def'n"/>
      <sheetName val="방배동내역(리라)"/>
      <sheetName val="현장경비"/>
      <sheetName val="건축공사집계표"/>
      <sheetName val="방배동내역 (총괄)"/>
      <sheetName val="부대공사총괄"/>
      <sheetName val="Steam-Sys"/>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할증_"/>
      <sheetName val="공사비_내역_(가)"/>
      <sheetName val="조도계산서_(도서)"/>
      <sheetName val="INVOICE_CERT_EIV'S"/>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BEND LOSS"/>
      <sheetName val="XZLC003_PART1"/>
      <sheetName val="XZLC004_PART2"/>
      <sheetName val="현장관리비"/>
      <sheetName val="Inst_"/>
      <sheetName val="Piping_Design_Data"/>
      <sheetName val="실행내역"/>
      <sheetName val="CAL"/>
      <sheetName val="Piping Design Data"/>
      <sheetName val="견적을지"/>
      <sheetName val="Cash2"/>
      <sheetName val="Z"/>
      <sheetName val="A"/>
      <sheetName val="w't table"/>
      <sheetName val="costing_ESDV"/>
      <sheetName val="costing_Misc"/>
      <sheetName val="costing_MOV"/>
      <sheetName val="가로등내역서"/>
      <sheetName val="항목별진도율"/>
      <sheetName val="C3"/>
      <sheetName val="mech"/>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선택항목"/>
      <sheetName val="계정과목 (2)"/>
      <sheetName val="계정과목"/>
      <sheetName val="EQ_E1"/>
      <sheetName val="환율"/>
      <sheetName val="산출근거#2-3"/>
      <sheetName val="#3E1_GCR"/>
      <sheetName val="cp-e1"/>
      <sheetName val="일보"/>
      <sheetName val="rate"/>
      <sheetName val="CONTROL LIST"/>
      <sheetName val="Detail Breakdown Work"/>
      <sheetName val="Labor"/>
      <sheetName val="kode rekening"/>
      <sheetName val="name"/>
      <sheetName val="NAMES"/>
      <sheetName val="SUM_Steel-Strc"/>
      <sheetName val="COST-SUM"/>
      <sheetName val="산3_4"/>
      <sheetName val="환율change"/>
      <sheetName val="Form 0"/>
      <sheetName val="Weather"/>
      <sheetName val="assy"/>
      <sheetName val="일위대가표"/>
      <sheetName val="Backup"/>
      <sheetName val="ITB COST"/>
      <sheetName val="Summary Sheets"/>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Proj Cost Sumry"/>
      <sheetName val="일반공사"/>
      <sheetName val="표지"/>
      <sheetName val="DTmpData"/>
      <sheetName val="건장설비"/>
      <sheetName val="ORIGINAL"/>
      <sheetName val="직재"/>
      <sheetName val="IBASE"/>
      <sheetName val="laroux"/>
      <sheetName val="자재집계"/>
      <sheetName val="N賃率-職"/>
      <sheetName val="실행내역서 "/>
      <sheetName val="판가반영"/>
      <sheetName val="FR"/>
      <sheetName val="??"/>
      <sheetName val="항목"/>
      <sheetName val="Calculation"/>
      <sheetName val="OD5000"/>
      <sheetName val="SUPTMTO"/>
      <sheetName val="손익분석"/>
      <sheetName val="투찰(하수)"/>
      <sheetName val="장비당단가 (1)"/>
      <sheetName val="현장투입(원장)"/>
      <sheetName val="품산출서"/>
      <sheetName val="__"/>
      <sheetName val="원료구매"/>
      <sheetName val="DATA LISTS"/>
      <sheetName val="Sheet"/>
      <sheetName val="Sheet5"/>
      <sheetName val="환산표"/>
      <sheetName val="LAB"/>
      <sheetName val="Setup"/>
      <sheetName val="품의서"/>
      <sheetName val="P3"/>
      <sheetName val="WIP"/>
      <sheetName val="ITB_COST"/>
      <sheetName val="Summary_Sheets"/>
      <sheetName val="15_문제점"/>
      <sheetName val="DB_ET200(R__A)"/>
      <sheetName val="RING_WALL"/>
      <sheetName val="간접인원_급료산출"/>
      <sheetName val="Eq__Mobilization"/>
      <sheetName val="입찰내역_발주처_양식"/>
      <sheetName val="FIRE"/>
      <sheetName val="견적집계표"/>
      <sheetName val="계열사현황종합"/>
      <sheetName val="TAREC"/>
      <sheetName val="기준정보"/>
      <sheetName val="L형옹벽(key)"/>
      <sheetName val="밸브설치"/>
      <sheetName val="2공구산출내역"/>
      <sheetName val="노임단가"/>
      <sheetName val="토공정보"/>
      <sheetName val="두앙"/>
      <sheetName val="의왕F사"/>
      <sheetName val="가공사"/>
      <sheetName val="기안지"/>
      <sheetName val="cable-data"/>
      <sheetName val="골조시행"/>
      <sheetName val="매출"/>
      <sheetName val="10.25"/>
      <sheetName val="VL"/>
      <sheetName val="연환"/>
      <sheetName val="수주이월"/>
      <sheetName val="sheeet2"/>
      <sheetName val="Settings"/>
      <sheetName val="Equip Rental Summary by Contr"/>
      <sheetName val="Project Equip Rental Summary"/>
      <sheetName val="Contractor Indirect Sumry"/>
      <sheetName val="Project Indirect Sumry"/>
      <sheetName val="TDC COA Grp Sumry by Area"/>
      <sheetName val="TDC COA Grp Sumry by RG"/>
      <sheetName val="Equipment Sumry"/>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ALL AREA-12LE0U"/>
      <sheetName val="ELECTRIC"/>
      <sheetName val="CTEMCOST"/>
      <sheetName val="SCHEDULE"/>
      <sheetName val="상품원가피벗"/>
      <sheetName val="길이환산"/>
      <sheetName val="hitlin(pipe)CUI"/>
      <sheetName val="Confidencial "/>
      <sheetName val="COEFF"/>
      <sheetName val="Calculos Emerson"/>
      <sheetName val="1515"/>
      <sheetName val="INVOICE"/>
      <sheetName val="Others"/>
      <sheetName val="Process Piping"/>
      <sheetName val="기술부 VENDOR LIST"/>
      <sheetName val="평균환율-USD"/>
      <sheetName val="7.3 Table"/>
      <sheetName val="7.2 Material"/>
      <sheetName val="Testing"/>
      <sheetName val="산출"/>
      <sheetName val="PRICE-COMP"/>
      <sheetName val="Cover sheet"/>
      <sheetName val="Cashflow Analysis"/>
      <sheetName val="E1"/>
      <sheetName val="ALL UNITS"/>
      <sheetName val="EQUIPMENT ERECTION BREAKDOWN"/>
      <sheetName val="Breakdown-1"/>
      <sheetName val="Add"/>
      <sheetName val="Table"/>
      <sheetName val="RPP 12 SEPT"/>
      <sheetName val="石炭性状"/>
      <sheetName val="L.INDIRECT (rev.1)"/>
      <sheetName val="교각계산"/>
      <sheetName val="bm_(2)2"/>
      <sheetName val="Junction_Box2"/>
      <sheetName val="JB_Final_checked2"/>
      <sheetName val="F&amp;G_System2"/>
      <sheetName val="F&amp;G_System_(Detail)2"/>
      <sheetName val="_배관자재비-SKEC구매분2"/>
      <sheetName val="Int__Pr_-Shell1"/>
      <sheetName val="Ext__Pr_-Shell1"/>
      <sheetName val="Int__Pr_-D'End1"/>
      <sheetName val="Ext__Pr_-D'End1"/>
      <sheetName val="Reinforcement_Pad1"/>
      <sheetName val="Onerous_Terms1"/>
      <sheetName val="할증_1"/>
      <sheetName val="공사비_내역_(가)1"/>
      <sheetName val="조도계산서_(도서)1"/>
      <sheetName val="INVOICE_CERT_EIV'S1"/>
      <sheetName val="General_Data1"/>
      <sheetName val="COST_SUMMARY1"/>
      <sheetName val="extensions_lookup1"/>
      <sheetName val="3__Piping1"/>
      <sheetName val="자격_땡겨오기1"/>
      <sheetName val="4300_UTILITY_BLDG_(2)1"/>
      <sheetName val="공정율_기초_Data1"/>
      <sheetName val="Rate_Analysis1"/>
      <sheetName val="광통신_견적내역서11"/>
      <sheetName val="산#2-1_(2)1"/>
      <sheetName val="API_Units1"/>
      <sheetName val="TDC_COA_Sumry1"/>
      <sheetName val="COA_Sumry_by_Area1"/>
      <sheetName val="COA_Sumry_by_Contr1"/>
      <sheetName val="COA_Sumry_by_RG1"/>
      <sheetName val="TDC_COA_Grp_Sumry1"/>
      <sheetName val="TDC_Item_Dets-Full1"/>
      <sheetName val="TDC_Item_Dets-IPM-Full1"/>
      <sheetName val="TDC_Item_Dets1"/>
      <sheetName val="TDC_Item_Sumry1"/>
      <sheetName val="TDC_Key_Qty_Sumry1"/>
      <sheetName val="List_-_Components1"/>
      <sheetName val="List_-_Equipment1"/>
      <sheetName val="Project_Metrics1"/>
      <sheetName val="COA_Sumry_-_Std_Imp1"/>
      <sheetName val="Contr_TDC_-_Std_Imp1"/>
      <sheetName val="Item_Sumry_-_Std_Imp1"/>
      <sheetName val="Proj_TIC_-_Std_Imp1"/>
      <sheetName val="Unit_Costs_-_Std_Imp1"/>
      <sheetName val="Unit_MH_-_Std_Imp1"/>
      <sheetName val="Sch_11"/>
      <sheetName val="Coversheet_1"/>
      <sheetName val="1__Stationary1"/>
      <sheetName val="COS_REP_XLS1"/>
      <sheetName val="계측_내역서1"/>
      <sheetName val="BSD_(2)1"/>
      <sheetName val="Requirement(Work_Crew)1"/>
      <sheetName val="iig_silica(캐나다)1"/>
      <sheetName val="변수_정의1"/>
      <sheetName val="SPT_vs_PHI1"/>
      <sheetName val="_갑지1"/>
      <sheetName val="DB_ET200(R__A)1"/>
      <sheetName val="RING_WALL1"/>
      <sheetName val="간접인원_급료산출1"/>
      <sheetName val="15_문제점1"/>
      <sheetName val="Eq__Mobilization1"/>
      <sheetName val="입찰내역_발주처_양식1"/>
      <sheetName val="kode_rekening"/>
      <sheetName val="Detail_Breakdown_Work"/>
      <sheetName val="Final_Summary"/>
      <sheetName val="TYPE-B_평균H"/>
      <sheetName val="설산1_나"/>
      <sheetName val="WEIGHT_LIST"/>
      <sheetName val="ITB_COST1"/>
      <sheetName val="Summary_Sheets1"/>
      <sheetName val="Form_0"/>
      <sheetName val="BEND_LOSS"/>
      <sheetName val="Units_Def'n"/>
      <sheetName val="Piping_Design_Data1"/>
      <sheetName val="방배동내역_(총괄)"/>
      <sheetName val="계정과목_(2)"/>
      <sheetName val="선적schedule_(2)"/>
      <sheetName val="Proj_Cost_Sumry"/>
      <sheetName val="w't_table"/>
      <sheetName val="임율_Data"/>
      <sheetName val="HANJUNG_EQUIPMENT"/>
      <sheetName val="SPARE_PART"/>
      <sheetName val="97_사업추정(WEKI)"/>
      <sheetName val="2__집계표"/>
      <sheetName val="CF_Rev_0"/>
      <sheetName val="사업추진_조직도"/>
      <sheetName val="CONTROL_LIST"/>
      <sheetName val="실행내역서_"/>
      <sheetName val="Cover_sheet"/>
      <sheetName val="Cashflow_Analysis"/>
      <sheetName val="ALL_UNITS"/>
      <sheetName val="Equip_Rental_Summary_by_Contr"/>
      <sheetName val="Project_Equip_Rental_Summary"/>
      <sheetName val="Contractor_Indirect_Sumry"/>
      <sheetName val="Project_Indirect_Sumry"/>
      <sheetName val="TDC_COA_Grp_Sumry_by_Area"/>
      <sheetName val="TDC_COA_Grp_Sumry_by_RG"/>
      <sheetName val="Equipment_Sumry"/>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ALL_AREA-12LE0U"/>
      <sheetName val="Confidencial_"/>
      <sheetName val="Calculos_Emerson"/>
      <sheetName val="Process_Piping"/>
      <sheetName val="EQUIPMENT_ERECTION_BREAKDOWN"/>
      <sheetName val="방배2E"/>
      <sheetName val="시행예산"/>
      <sheetName val="예정(3)"/>
      <sheetName val="장비투입계획 "/>
      <sheetName val="(현장)경비"/>
      <sheetName val="RFP002"/>
      <sheetName val="RFP003E"/>
      <sheetName val="costing_Press"/>
      <sheetName val="DATA for Bill"/>
      <sheetName val="BQLIST"/>
      <sheetName val="sum1 (2)"/>
      <sheetName val="토목주소"/>
      <sheetName val="프랜트면허"/>
      <sheetName val="조명시설"/>
      <sheetName val="1호맨홀가감수량"/>
      <sheetName val="가시설(TYPE-A)"/>
      <sheetName val="1-1평균터파기고(1)"/>
      <sheetName val="1호맨홀수량산출"/>
      <sheetName val="데이타"/>
      <sheetName val="식재인부"/>
      <sheetName val="MEXICO-C"/>
      <sheetName val=" ｹ-ﾌﾞﾙ"/>
      <sheetName val="1단계"/>
      <sheetName val="장비당단가_(1)"/>
      <sheetName val="_ｹ-ﾌﾞﾙ"/>
      <sheetName val="안정계산"/>
      <sheetName val="단면검토"/>
      <sheetName val="Accounting book"/>
      <sheetName val="Code"/>
      <sheetName val="Sheet13"/>
      <sheetName val="단가조사"/>
      <sheetName val="Foglio dati"/>
      <sheetName val="전압하강"/>
      <sheetName val="dV&amp;Cl"/>
      <sheetName val="CAP"/>
      <sheetName val="변수"/>
      <sheetName val="R"/>
      <sheetName val="F-T Voltage"/>
      <sheetName val="SUMMARY (0)"/>
      <sheetName val="KNA1"/>
      <sheetName val="WORKER"/>
      <sheetName val="1공구(을)"/>
      <sheetName val="날개벽수량표"/>
      <sheetName val="Data sheet"/>
      <sheetName val="Per Unit"/>
      <sheetName val="pri-com"/>
      <sheetName val="요율산출"/>
      <sheetName val="공사비내역서"/>
      <sheetName val="COLUMN"/>
      <sheetName val="steam table"/>
      <sheetName val="수정단중"/>
      <sheetName val="노임이"/>
      <sheetName val="BOJUNGGM"/>
      <sheetName val="코드관리"/>
      <sheetName val="CABLE BULK"/>
      <sheetName val="2호맨홀공제수량"/>
      <sheetName val="공사비_NDE"/>
      <sheetName val="터파기및재료"/>
      <sheetName val="모래기초"/>
      <sheetName val="자료입력"/>
      <sheetName val="2000년1차"/>
      <sheetName val="정산서"/>
      <sheetName val="보호"/>
      <sheetName val="현황CODE"/>
      <sheetName val="손익현황"/>
      <sheetName val="간접비 총괄표"/>
      <sheetName val="산출내역서"/>
      <sheetName val="현장인원"/>
      <sheetName val="단가집"/>
      <sheetName val="HRSG PRINT"/>
      <sheetName val="SAN"/>
      <sheetName val="B31.1"/>
      <sheetName val="견적서을"/>
      <sheetName val="FWBS7000,8000"/>
      <sheetName val="ANALYSER"/>
      <sheetName val="역T형교대(PILE기초)"/>
      <sheetName val="앉음벽 (2)"/>
      <sheetName val="인원계획"/>
      <sheetName val="가동비율"/>
      <sheetName val="Inputs"/>
      <sheetName val="BD"/>
      <sheetName val="H"/>
      <sheetName val="PRECAST lightconc-II"/>
      <sheetName val="Code 02"/>
      <sheetName val="Code 03"/>
      <sheetName val="Code 04"/>
      <sheetName val="Code 05"/>
      <sheetName val="Code 06"/>
      <sheetName val="Code 07"/>
      <sheetName val="Code 09"/>
      <sheetName val="h-013211-2"/>
      <sheetName val="mto-rev0B"/>
      <sheetName val="M-480"/>
      <sheetName val="M-519"/>
      <sheetName val="Abstract of Cost"/>
      <sheetName val="estimate"/>
      <sheetName val="B.O.Q (2)"/>
      <sheetName val="Ext.Boq-1 (2)"/>
      <sheetName val="J"/>
      <sheetName val="L"/>
      <sheetName val="SUMM"/>
      <sheetName val="Equiv.Length"/>
      <sheetName val="공사비SUM"/>
      <sheetName val="SIZING"/>
      <sheetName val="合成単価作成表-BLDG"/>
      <sheetName val="Ext.Boq-1"/>
      <sheetName val="제출계산서"/>
      <sheetName val="RA"/>
      <sheetName val="List"/>
      <sheetName val="NDE_Description"/>
      <sheetName val="CondPol"/>
      <sheetName val="5-Digit"/>
      <sheetName val="Rates"/>
      <sheetName val="B.O.Q &amp; Material"/>
      <sheetName val="SILICATE"/>
      <sheetName val="Summary"/>
      <sheetName val="MixBed"/>
      <sheetName val="KLHT"/>
      <sheetName val="TITLES"/>
      <sheetName val="상반기손익차2총괄"/>
      <sheetName val="본지점중"/>
      <sheetName val="2.2 STAFF Scedule"/>
      <sheetName val="2_2_STAFF_Scedule"/>
      <sheetName val="Activity Form"/>
      <sheetName val="#¡REF"/>
      <sheetName val="Segment"/>
      <sheetName val="HP"/>
      <sheetName val="배수공"/>
      <sheetName val="TYPE-B_평균H1"/>
      <sheetName val="Units_Def'n1"/>
      <sheetName val="bm_(2)3"/>
      <sheetName val="Junction_Box3"/>
      <sheetName val="JB_Final_checked3"/>
      <sheetName val="F&amp;G_System3"/>
      <sheetName val="F&amp;G_System_(Detail)3"/>
      <sheetName val="_배관자재비-SKEC구매분3"/>
      <sheetName val="자격_땡겨오기2"/>
      <sheetName val="Int__Pr_-Shell2"/>
      <sheetName val="Ext__Pr_-Shell2"/>
      <sheetName val="Int__Pr_-D'End2"/>
      <sheetName val="Ext__Pr_-D'End2"/>
      <sheetName val="Reinforcement_Pad2"/>
      <sheetName val="4300_UTILITY_BLDG_(2)2"/>
      <sheetName val="할증_2"/>
      <sheetName val="공사비_내역_(가)2"/>
      <sheetName val="General_Data2"/>
      <sheetName val="공정율_기초_Data2"/>
      <sheetName val="조도계산서_(도서)2"/>
      <sheetName val="TDC_COA_Sumry2"/>
      <sheetName val="COA_Sumry_by_Area2"/>
      <sheetName val="COA_Sumry_by_Contr2"/>
      <sheetName val="COA_Sumry_by_RG2"/>
      <sheetName val="TDC_COA_Grp_Sumry2"/>
      <sheetName val="TDC_Item_Dets-Full2"/>
      <sheetName val="TDC_Item_Dets-IPM-Full2"/>
      <sheetName val="TDC_Item_Dets2"/>
      <sheetName val="TDC_Item_Sumry2"/>
      <sheetName val="TDC_Key_Qty_Sumry2"/>
      <sheetName val="List_-_Components2"/>
      <sheetName val="List_-_Equipment2"/>
      <sheetName val="Project_Metrics2"/>
      <sheetName val="COA_Sumry_-_Std_Imp2"/>
      <sheetName val="Contr_TDC_-_Std_Imp2"/>
      <sheetName val="Item_Sumry_-_Std_Imp2"/>
      <sheetName val="Proj_TIC_-_Std_Imp2"/>
      <sheetName val="Unit_Costs_-_Std_Imp2"/>
      <sheetName val="Unit_MH_-_Std_Imp2"/>
      <sheetName val="광통신_견적내역서12"/>
      <sheetName val="Requirement(Work_Crew)2"/>
      <sheetName val="SPT_vs_PHI2"/>
      <sheetName val="INVOICE_CERT_EIV'S2"/>
      <sheetName val="Onerous_Terms2"/>
      <sheetName val="extensions_lookup2"/>
      <sheetName val="3__Piping2"/>
      <sheetName val="1__Stationary2"/>
      <sheetName val="COST_SUMMARY2"/>
      <sheetName val="산#2-1_(2)2"/>
      <sheetName val="API_Units2"/>
      <sheetName val="Sch_12"/>
      <sheetName val="Coversheet_2"/>
      <sheetName val="COS_REP_XLS2"/>
      <sheetName val="계측_내역서2"/>
      <sheetName val="iig_silica(캐나다)2"/>
      <sheetName val="변수_정의2"/>
      <sheetName val="BSD_(2)2"/>
      <sheetName val="TYPE-B_평균H2"/>
      <sheetName val="Eq__Mobilization2"/>
      <sheetName val="RING_WALL2"/>
      <sheetName val="설산1_나1"/>
      <sheetName val="Units_Def'n2"/>
      <sheetName val="WEIGHT_LIST1"/>
      <sheetName val="Final_Summary1"/>
      <sheetName val="Rate_Analysis2"/>
      <sheetName val="BEND_LOSS1"/>
      <sheetName val="방배동내역_(총괄)1"/>
      <sheetName val="_갑지2"/>
      <sheetName val="Piping_Design_Data2"/>
      <sheetName val="CONTROL_LIST1"/>
      <sheetName val="w't_table1"/>
      <sheetName val="임율_Data1"/>
      <sheetName val="HANJUNG_EQUIPMENT1"/>
      <sheetName val="SPARE_PART1"/>
      <sheetName val="97_사업추정(WEKI)1"/>
      <sheetName val="2__집계표1"/>
      <sheetName val="CF_Rev_01"/>
      <sheetName val="사업추진_조직도1"/>
      <sheetName val="계정과목_(2)1"/>
      <sheetName val="선적schedule_(2)1"/>
      <sheetName val="kode_rekening1"/>
      <sheetName val="Proj_Cost_Sumry1"/>
      <sheetName val="Form_01"/>
      <sheetName val="Detail_Breakdown_Work1"/>
      <sheetName val="bm_(2)4"/>
      <sheetName val="Junction_Box4"/>
      <sheetName val="JB_Final_checked4"/>
      <sheetName val="F&amp;G_System4"/>
      <sheetName val="F&amp;G_System_(Detail)4"/>
      <sheetName val="_배관자재비-SKEC구매분4"/>
      <sheetName val="자격_땡겨오기3"/>
      <sheetName val="Int__Pr_-Shell3"/>
      <sheetName val="Ext__Pr_-Shell3"/>
      <sheetName val="Int__Pr_-D'End3"/>
      <sheetName val="Ext__Pr_-D'End3"/>
      <sheetName val="Reinforcement_Pad3"/>
      <sheetName val="4300_UTILITY_BLDG_(2)3"/>
      <sheetName val="할증_3"/>
      <sheetName val="공사비_내역_(가)3"/>
      <sheetName val="General_Data3"/>
      <sheetName val="공정율_기초_Data3"/>
      <sheetName val="조도계산서_(도서)3"/>
      <sheetName val="TDC_COA_Sumry3"/>
      <sheetName val="COA_Sumry_by_Area3"/>
      <sheetName val="COA_Sumry_by_Contr3"/>
      <sheetName val="COA_Sumry_by_RG3"/>
      <sheetName val="TDC_COA_Grp_Sumry3"/>
      <sheetName val="TDC_Item_Dets-Full3"/>
      <sheetName val="TDC_Item_Dets-IPM-Full3"/>
      <sheetName val="TDC_Item_Dets3"/>
      <sheetName val="TDC_Item_Sumry3"/>
      <sheetName val="TDC_Key_Qty_Sumry3"/>
      <sheetName val="List_-_Components3"/>
      <sheetName val="List_-_Equipment3"/>
      <sheetName val="Project_Metrics3"/>
      <sheetName val="COA_Sumry_-_Std_Imp3"/>
      <sheetName val="Contr_TDC_-_Std_Imp3"/>
      <sheetName val="Item_Sumry_-_Std_Imp3"/>
      <sheetName val="Proj_TIC_-_Std_Imp3"/>
      <sheetName val="Unit_Costs_-_Std_Imp3"/>
      <sheetName val="Unit_MH_-_Std_Imp3"/>
      <sheetName val="광통신_견적내역서13"/>
      <sheetName val="Requirement(Work_Crew)3"/>
      <sheetName val="SPT_vs_PHI3"/>
      <sheetName val="INVOICE_CERT_EIV'S3"/>
      <sheetName val="Onerous_Terms3"/>
      <sheetName val="extensions_lookup3"/>
      <sheetName val="3__Piping3"/>
      <sheetName val="1__Stationary3"/>
      <sheetName val="COST_SUMMARY3"/>
      <sheetName val="산#2-1_(2)3"/>
      <sheetName val="API_Units3"/>
      <sheetName val="Sch_13"/>
      <sheetName val="Coversheet_3"/>
      <sheetName val="COS_REP_XLS3"/>
      <sheetName val="계측_내역서3"/>
      <sheetName val="iig_silica(캐나다)3"/>
      <sheetName val="변수_정의3"/>
      <sheetName val="BSD_(2)3"/>
      <sheetName val="TYPE-B_평균H3"/>
      <sheetName val="Eq__Mobilization3"/>
      <sheetName val="RING_WALL3"/>
      <sheetName val="설산1_나2"/>
      <sheetName val="Units_Def'n3"/>
      <sheetName val="WEIGHT_LIST2"/>
      <sheetName val="DB_ET200(R__A)2"/>
      <sheetName val="Final_Summary2"/>
      <sheetName val="간접인원_급료산출2"/>
      <sheetName val="입찰내역_발주처_양식2"/>
      <sheetName val="15_문제점2"/>
      <sheetName val="Rate_Analysis3"/>
      <sheetName val="BEND_LOSS2"/>
      <sheetName val="방배동내역_(총괄)2"/>
      <sheetName val="_갑지3"/>
      <sheetName val="Piping_Design_Data3"/>
      <sheetName val="CONTROL_LIST2"/>
      <sheetName val="w't_table2"/>
      <sheetName val="임율_Data2"/>
      <sheetName val="HANJUNG_EQUIPMENT2"/>
      <sheetName val="SPARE_PART2"/>
      <sheetName val="97_사업추정(WEKI)2"/>
      <sheetName val="2__집계표2"/>
      <sheetName val="CF_Rev_02"/>
      <sheetName val="사업추진_조직도2"/>
      <sheetName val="계정과목_(2)2"/>
      <sheetName val="선적schedule_(2)2"/>
      <sheetName val="kode_rekening2"/>
      <sheetName val="Proj_Cost_Sumry2"/>
      <sheetName val="Form_02"/>
      <sheetName val="Detail_Breakdown_Work2"/>
      <sheetName val="bm_(2)5"/>
      <sheetName val="Junction_Box5"/>
      <sheetName val="JB_Final_checked5"/>
      <sheetName val="F&amp;G_System5"/>
      <sheetName val="F&amp;G_System_(Detail)5"/>
      <sheetName val="_배관자재비-SKEC구매분5"/>
      <sheetName val="자격_땡겨오기4"/>
      <sheetName val="Int__Pr_-Shell4"/>
      <sheetName val="Ext__Pr_-Shell4"/>
      <sheetName val="Int__Pr_-D'End4"/>
      <sheetName val="Ext__Pr_-D'End4"/>
      <sheetName val="Reinforcement_Pad4"/>
      <sheetName val="4300_UTILITY_BLDG_(2)4"/>
      <sheetName val="할증_4"/>
      <sheetName val="공사비_내역_(가)4"/>
      <sheetName val="General_Data4"/>
      <sheetName val="공정율_기초_Data4"/>
      <sheetName val="조도계산서_(도서)4"/>
      <sheetName val="TDC_COA_Sumry4"/>
      <sheetName val="COA_Sumry_by_Area4"/>
      <sheetName val="COA_Sumry_by_Contr4"/>
      <sheetName val="COA_Sumry_by_RG4"/>
      <sheetName val="TDC_COA_Grp_Sumry4"/>
      <sheetName val="TDC_Item_Dets-Full4"/>
      <sheetName val="TDC_Item_Dets-IPM-Full4"/>
      <sheetName val="TDC_Item_Dets4"/>
      <sheetName val="TDC_Item_Sumry4"/>
      <sheetName val="TDC_Key_Qty_Sumry4"/>
      <sheetName val="List_-_Components4"/>
      <sheetName val="List_-_Equipment4"/>
      <sheetName val="Project_Metrics4"/>
      <sheetName val="COA_Sumry_-_Std_Imp4"/>
      <sheetName val="Contr_TDC_-_Std_Imp4"/>
      <sheetName val="Item_Sumry_-_Std_Imp4"/>
      <sheetName val="Proj_TIC_-_Std_Imp4"/>
      <sheetName val="Unit_Costs_-_Std_Imp4"/>
      <sheetName val="Unit_MH_-_Std_Imp4"/>
      <sheetName val="광통신_견적내역서14"/>
      <sheetName val="Requirement(Work_Crew)4"/>
      <sheetName val="SPT_vs_PHI4"/>
      <sheetName val="INVOICE_CERT_EIV'S4"/>
      <sheetName val="Onerous_Terms4"/>
      <sheetName val="extensions_lookup4"/>
      <sheetName val="3__Piping4"/>
      <sheetName val="1__Stationary4"/>
      <sheetName val="COST_SUMMARY4"/>
      <sheetName val="산#2-1_(2)4"/>
      <sheetName val="API_Units4"/>
      <sheetName val="Sch_14"/>
      <sheetName val="Coversheet_4"/>
      <sheetName val="COS_REP_XLS4"/>
      <sheetName val="계측_내역서4"/>
      <sheetName val="iig_silica(캐나다)4"/>
      <sheetName val="변수_정의4"/>
      <sheetName val="BSD_(2)4"/>
      <sheetName val="TYPE-B_평균H4"/>
      <sheetName val="Eq__Mobilization4"/>
      <sheetName val="RING_WALL4"/>
      <sheetName val="CONTROL_LIST3"/>
      <sheetName val="설산1_나3"/>
      <sheetName val="WEIGHT_LIST3"/>
      <sheetName val="DB_ET200(R__A)3"/>
      <sheetName val="Final_Summary3"/>
      <sheetName val="간접인원_급료산출3"/>
      <sheetName val="입찰내역_발주처_양식3"/>
      <sheetName val="15_문제점3"/>
      <sheetName val="방배동내역_(총괄)3"/>
      <sheetName val="Units_Def'n4"/>
      <sheetName val="Rate_Analysis4"/>
      <sheetName val="BEND_LOSS3"/>
      <sheetName val="_갑지4"/>
      <sheetName val="Piping_Design_Data4"/>
      <sheetName val="w't_table3"/>
      <sheetName val="임율_Data3"/>
      <sheetName val="HANJUNG_EQUIPMENT3"/>
      <sheetName val="SPARE_PART3"/>
      <sheetName val="97_사업추정(WEKI)3"/>
      <sheetName val="2__집계표3"/>
      <sheetName val="CF_Rev_03"/>
      <sheetName val="사업추진_조직도3"/>
      <sheetName val="계정과목_(2)3"/>
      <sheetName val="선적schedule_(2)3"/>
      <sheetName val="kode_rekening3"/>
      <sheetName val="Proj_Cost_Sumry3"/>
      <sheetName val="Form_03"/>
      <sheetName val="Detail_Breakdown_Work3"/>
      <sheetName val="6PILE  (돌출)"/>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refreshError="1"/>
      <sheetData sheetId="625" refreshError="1"/>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ETip"/>
      <sheetName val="환율표"/>
      <sheetName val="#REF"/>
      <sheetName val="B"/>
      <sheetName val="TOEC"/>
      <sheetName val="Look-Up"/>
      <sheetName val="A CONDITIONS"/>
      <sheetName val="수입"/>
      <sheetName val="BW"/>
      <sheetName val="DATA"/>
      <sheetName val="수량산출서"/>
      <sheetName val="산근"/>
      <sheetName val="INSTR"/>
      <sheetName val="1_OF_7"/>
      <sheetName val="7_6_3(B)_UG_Piping"/>
      <sheetName val="다이꾸"/>
      <sheetName val="VLOOKUP"/>
      <sheetName val="ANX3A11"/>
      <sheetName val="B31_1"/>
      <sheetName val="VA_code"/>
      <sheetName val="LEGEND"/>
      <sheetName val="Summary_Sheets"/>
      <sheetName val="guard(mac)"/>
      <sheetName val="VV보온LINK"/>
      <sheetName val="Dsndata"/>
      <sheetName val="PBS"/>
      <sheetName val="General_Data"/>
      <sheetName val="costing_CV"/>
      <sheetName val="ITB_COST"/>
      <sheetName val="CT_Thang_Mo"/>
      <sheetName val="Chiet_tinh_dz35"/>
      <sheetName val="eq_data"/>
      <sheetName val="Preface"/>
      <sheetName val="dnc4"/>
      <sheetName val="plan&amp;section_of_foundation"/>
      <sheetName val="FIT보온LINK"/>
      <sheetName val="costing_ESDV"/>
      <sheetName val="PumpSpec"/>
      <sheetName val="cal-foamglass"/>
      <sheetName val="Sum"/>
      <sheetName val="design_criteria"/>
      <sheetName val="TYPE-A"/>
      <sheetName val="dg-VTu"/>
      <sheetName val="도급양식"/>
      <sheetName val="fitting"/>
      <sheetName val="단면가정"/>
      <sheetName val="Base_Data"/>
      <sheetName val="SORTING"/>
      <sheetName val="COVER"/>
      <sheetName val="정부노임단가"/>
      <sheetName val="steam_table"/>
      <sheetName val="costing_Misc"/>
      <sheetName val="h-013211-2"/>
      <sheetName val="Graph_(LGEN)"/>
      <sheetName val="costing_MOV"/>
      <sheetName val="DATE"/>
      <sheetName val="out_prog"/>
      <sheetName val="SKETCH"/>
      <sheetName val="laroux"/>
      <sheetName val="단면검토"/>
      <sheetName val="TYPE-B_평균H"/>
      <sheetName val="PipWT"/>
      <sheetName val="PSIZE"/>
      <sheetName val="IBASE"/>
      <sheetName val="costing_Press"/>
      <sheetName val="DESIGN"/>
      <sheetName val="REDUCER"/>
      <sheetName val="Final(1)summary"/>
      <sheetName val="hori__vessel(E-895)"/>
      <sheetName val="WIND"/>
      <sheetName val="선적schedule_(2)"/>
      <sheetName val="설계조건"/>
      <sheetName val="DI-ESTI"/>
      <sheetName val="부재력정리"/>
      <sheetName val="Cal"/>
      <sheetName val="배관물량_(STEEL)"/>
      <sheetName val="steel_data_sheet"/>
      <sheetName val="StrucData"/>
      <sheetName val="TL_rieng"/>
      <sheetName val="공정계획(내부계획25%,내부w_f)"/>
      <sheetName val="CondPol"/>
      <sheetName val="CT__PL"/>
      <sheetName val="ASCEandUBC"/>
      <sheetName val="세금자료"/>
      <sheetName val="노임단가"/>
      <sheetName val="공사비_NDE"/>
      <sheetName val="공사계획서"/>
      <sheetName val="현장관리비"/>
      <sheetName val="Source"/>
      <sheetName val="실행내역"/>
      <sheetName val="_갑지1"/>
      <sheetName val="효율표"/>
      <sheetName val="SHL"/>
      <sheetName val="품셈표"/>
      <sheetName val="COVER-P"/>
      <sheetName val="CBE-VSL"/>
      <sheetName val="A_CONDITIONS"/>
      <sheetName val="BQ List"/>
      <sheetName val="CHART"/>
      <sheetName val="MOTOR"/>
      <sheetName val="General Data"/>
      <sheetName val="공사비 내역 (가)"/>
      <sheetName val="Proposal"/>
      <sheetName val="PUMP"/>
      <sheetName val="insulation"/>
      <sheetName val="Cash2"/>
      <sheetName val="Z"/>
      <sheetName val="집계표(OPTION)"/>
      <sheetName val="기성내역"/>
      <sheetName val="LinerWt"/>
      <sheetName val="EQT-ESTN"/>
      <sheetName val="cable-data"/>
      <sheetName val="PIPE"/>
      <sheetName val="FLANGE"/>
      <sheetName val="VALVE"/>
      <sheetName val="관련data"/>
      <sheetName val="A"/>
      <sheetName val="당초"/>
      <sheetName val="내역(정지)"/>
      <sheetName val="_x0002__x0000__x0000__x0000_PÓE"/>
      <sheetName val=""/>
      <sheetName val="Sample 1 MASTER SCHEDULE"/>
      <sheetName val="Sheet1TTH "/>
      <sheetName val="BATCH"/>
      <sheetName val="DATA LISTS"/>
      <sheetName val="후공정 (원가) (3)"/>
      <sheetName val="choose"/>
      <sheetName val="Passwords"/>
      <sheetName val="★Job Summmary  (2)"/>
      <sheetName val="기초자료"/>
      <sheetName val="견적집계표"/>
      <sheetName val="CD-실적"/>
      <sheetName val="Project overview"/>
      <sheetName val="combo"/>
      <sheetName val="Main"/>
      <sheetName val="Drop Downs"/>
      <sheetName val="Valve Data"/>
      <sheetName val="calc"/>
      <sheetName val="예가표"/>
      <sheetName val="MACRO(MCC)"/>
      <sheetName val="RFP007"/>
      <sheetName val="RFP006"/>
      <sheetName val="RFP005"/>
      <sheetName val="RFP009"/>
      <sheetName val="CAT_5"/>
      <sheetName val="_x0002_"/>
      <sheetName val="공문"/>
      <sheetName val="Rate Analysis"/>
      <sheetName val="Testing"/>
      <sheetName val="pakg-1"/>
      <sheetName val="NEWDRAW"/>
      <sheetName val="현대건설 증가분 내역"/>
      <sheetName val="Database"/>
      <sheetName val="SUMMARY"/>
      <sheetName val="운송비 및 보험료(9912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손익차9월2"/>
      <sheetName val="Sheet1"/>
      <sheetName val="11월 실적"/>
      <sheetName val="내역서"/>
      <sheetName val="slipsumpR"/>
      <sheetName val="간접비 총괄표"/>
      <sheetName val="VC2 8.98"/>
      <sheetName val="잡비계산"/>
      <sheetName val="집계표(육상)"/>
      <sheetName val="지급자재"/>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사업부배부A"/>
      <sheetName val="집계표"/>
      <sheetName val="P.M 별"/>
      <sheetName val="8.PILE  (돌출)"/>
      <sheetName val="BM"/>
      <sheetName val="청산공사"/>
      <sheetName val="금액내역서"/>
      <sheetName val="6PILE  (돌출)"/>
      <sheetName val="예정(3)"/>
      <sheetName val="기준"/>
      <sheetName val="업체별SV단가"/>
      <sheetName val="안전장치"/>
      <sheetName val="HKDSUMM"/>
      <sheetName val="산거각호표"/>
      <sheetName val="을지"/>
      <sheetName val="대비표"/>
      <sheetName val="집계표(OPTION)"/>
      <sheetName val="당초"/>
      <sheetName val="PRO_DCI"/>
      <sheetName val="ELEC_DCI"/>
      <sheetName val="INST_DCI"/>
      <sheetName val="연돌일위집계"/>
      <sheetName val="수주추진리스트"/>
      <sheetName val="TK판매비impact"/>
      <sheetName val="TK판매비"/>
      <sheetName val="수주집계"/>
      <sheetName val="TK외판매비impact"/>
      <sheetName val="Vendors"/>
      <sheetName val="Sheet4"/>
      <sheetName val="2000.11월설계내역"/>
      <sheetName val="주관사업"/>
      <sheetName val="발주코드"/>
      <sheetName val="운반"/>
      <sheetName val="단중"/>
      <sheetName val="품셈표"/>
      <sheetName val="D-623D"/>
      <sheetName val="2.1.2예정공정율(칼라)"/>
      <sheetName val="산근"/>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B"/>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15 문제점"/>
      <sheetName val="공사비집계"/>
      <sheetName val="_"/>
      <sheetName val="M-EQPT-Z"/>
      <sheetName val="찍기"/>
      <sheetName val="REPORT07"/>
      <sheetName val="소화실적"/>
      <sheetName val="단가비교"/>
      <sheetName val="99년하반기"/>
      <sheetName val="매각(6)"/>
      <sheetName val="상반기손익차2총괄"/>
      <sheetName val="5사남"/>
      <sheetName val="BQMP"/>
      <sheetName val="Rate Analysis"/>
      <sheetName val="공문"/>
      <sheetName val="과제정의서"/>
      <sheetName val="Sheet7"/>
      <sheetName val="노동부"/>
      <sheetName val="95삼성급(본사)"/>
      <sheetName val="드롭다운"/>
      <sheetName val="Disc WF (최종)"/>
      <sheetName val="Weekly WV %"/>
      <sheetName val="등급기준"/>
      <sheetName val="구분정의"/>
      <sheetName val="산출근거"/>
      <sheetName val="수지계산"/>
      <sheetName val="차트 (2)"/>
      <sheetName val="안산기계장치"/>
      <sheetName val=""/>
      <sheetName val="업무분장"/>
      <sheetName val="Work Trade Code"/>
      <sheetName val="Sheet3"/>
      <sheetName val="목록 &amp; 환율표"/>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DHEQSUPT"/>
      <sheetName val="건설기계"/>
      <sheetName val="노임"/>
      <sheetName val="단가산출"/>
      <sheetName val="사급자재"/>
      <sheetName val="SHEET"/>
      <sheetName val="목록"/>
      <sheetName val="토목"/>
      <sheetName val="인원계획"/>
      <sheetName val="연수원"/>
      <sheetName val="97년 SEACO예산"/>
      <sheetName val="영업소실적"/>
      <sheetName val="MEED"/>
      <sheetName val="표지"/>
      <sheetName val="DRUM"/>
      <sheetName val="4.3물량INDEX검토"/>
      <sheetName val="명부(최종)"/>
      <sheetName val="조합원세부항목(작업)"/>
      <sheetName val="50%"/>
      <sheetName val="명부"/>
      <sheetName val="공통부대비"/>
      <sheetName val="선택목록"/>
      <sheetName val="인력(현장,직원)"/>
      <sheetName val="실행내역"/>
      <sheetName val="제출계산서"/>
      <sheetName val="12CGOU"/>
      <sheetName val="Embank"/>
      <sheetName val="1.설계조건"/>
      <sheetName val="G.R300경비"/>
      <sheetName val="A-4"/>
      <sheetName val="8-31-98"/>
      <sheetName val="worksheet inchican"/>
      <sheetName val="combined 9-30"/>
      <sheetName val="입찰내역 발주처 양식"/>
      <sheetName val="0.간접비기준"/>
      <sheetName val="Lumpsum-1"/>
      <sheetName val="Lumpsum-3"/>
      <sheetName val="간접비(1)"/>
      <sheetName val="종후자산호수별가격"/>
      <sheetName val="경영현황"/>
      <sheetName val="inter"/>
      <sheetName val="내역"/>
      <sheetName val="BOJUNGGM"/>
      <sheetName val="A"/>
      <sheetName val="AC"/>
      <sheetName val="1"/>
      <sheetName val="FitOutConfCentre"/>
      <sheetName val="BOQ"/>
      <sheetName val="PROGRAM"/>
      <sheetName val="CASHFLOW"/>
      <sheetName val="수주현황2월"/>
      <sheetName val="정형의견"/>
      <sheetName val="은행"/>
      <sheetName val="상 부"/>
      <sheetName val="목표세부명세"/>
      <sheetName val="환율"/>
      <sheetName val="4KEB"/>
      <sheetName val="실행철강하도"/>
      <sheetName val="Rate_Analysis"/>
      <sheetName val="15_문제점"/>
      <sheetName val="4. 해외출장비"/>
      <sheetName val="ESCON"/>
      <sheetName val="EE-PROP"/>
      <sheetName val="7.4 유가 변동 예비비"/>
      <sheetName val="Perm. Test"/>
      <sheetName val="Daftar Sewa"/>
      <sheetName val="Peralatan"/>
      <sheetName val="Peralatan (2)"/>
      <sheetName val="Analisa Alat"/>
      <sheetName val="Option"/>
      <sheetName val="p&amp;m"/>
      <sheetName val="97 사업추정(WEKI)"/>
      <sheetName val="통합"/>
      <sheetName val="공사비총괄표"/>
      <sheetName val="Database"/>
      <sheetName val="jadw"/>
      <sheetName val="Parameter"/>
      <sheetName val="piedathot"/>
      <sheetName val="projcasflo"/>
      <sheetName val="금융"/>
      <sheetName val="Dropdown"/>
      <sheetName val="SG"/>
      <sheetName val="조도"/>
      <sheetName val="실행예산SHEET도장재검토"/>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1-Schedule"/>
      <sheetName val="0-Quantity"/>
      <sheetName val="Grf"/>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Benchmark"/>
      <sheetName val="시산표"/>
      <sheetName val="1-G1"/>
      <sheetName val="자바라1"/>
      <sheetName val="해외 연수비용 계산-삭제"/>
      <sheetName val="Wind Load(3.1) (2)"/>
      <sheetName val="Wind Load(3.2)"/>
      <sheetName val="Wind Load(3.4)"/>
      <sheetName val="Ord"/>
      <sheetName val="Key Data"/>
      <sheetName val="CTEMCOST"/>
      <sheetName val="MOS"/>
      <sheetName val="금융비용"/>
      <sheetName val="교각계산"/>
      <sheetName val="INPUT"/>
      <sheetName val="터파기및재료"/>
      <sheetName val="수안보-MBR1"/>
      <sheetName val="2.2 띠장의 설계"/>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Labour"/>
      <sheetName val="Material"/>
      <sheetName val="Plant &amp;  Machinery"/>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지원시설 내역서(154kV)"/>
      <sheetName val="카5"/>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ELECTRIC"/>
      <sheetName val="page 6"/>
      <sheetName val="INSTR"/>
      <sheetName val="Piping Design Data"/>
      <sheetName val="조명시설"/>
      <sheetName val="TB"/>
      <sheetName val="BS"/>
      <sheetName val="石炭性状"/>
      <sheetName val="Takeoff"/>
      <sheetName val="N賃率-職"/>
      <sheetName val="부산제일극장"/>
      <sheetName val="Analisa (me)"/>
      <sheetName val="pro ra op"/>
      <sheetName val="grafik"/>
      <sheetName val="Indirect"/>
      <sheetName val="Rekap (2)"/>
      <sheetName val="Analisa Transport"/>
      <sheetName val="electrical Work Price List (2)"/>
      <sheetName val="ANALISA CABLE"/>
      <sheetName val="갑지(추정)"/>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코드"/>
      <sheetName val="조정사유"/>
      <sheetName val="(110919)부산정관집단에너지사업차환현안검토.xlsx"/>
      <sheetName val="1-1"/>
      <sheetName val="Status by Codes"/>
      <sheetName val="MHRS"/>
      <sheetName val="UPH,BHN,ALT"/>
      <sheetName val="Analis harga"/>
      <sheetName val="UNIT 3"/>
      <sheetName val="Utility and Fire flange"/>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cash budget"/>
      <sheetName val="Referencias"/>
      <sheetName val="OCT"/>
      <sheetName val="Material Selections"/>
      <sheetName val="Rates"/>
      <sheetName val="전기 BM_revA('090624).xls"/>
      <sheetName val="表二"/>
      <sheetName val="Existing PC Pavem¬_x0000_Ԁ"/>
      <sheetName val="Trade Summary"/>
      <sheetName val="BUR "/>
      <sheetName val="TSA"/>
      <sheetName val="15.Rd"/>
      <sheetName val="본선 토공 분배표"/>
      <sheetName val="Cost Summary"/>
      <sheetName val="intr stool brkup"/>
      <sheetName val="Sheet179"/>
      <sheetName val="지가변동률계산(2021.07"/>
      <sheetName val="대로근거"/>
      <sheetName val="중로근거"/>
      <sheetName val="FAB별"/>
      <sheetName val="4_3물량INDEX검_x0000_"/>
      <sheetName val="수급집계"/>
      <sheetName val="전선봉양3호"/>
      <sheetName val="본사운영비"/>
      <sheetName val="2. 계정별 집계표"/>
      <sheetName val="단면 (2)"/>
      <sheetName val="변경내역대비표(2)"/>
      <sheetName val="Raw Data"/>
      <sheetName val="1,2,3,4,5단위수량"/>
      <sheetName val="유림콘도"/>
      <sheetName val="Trans"/>
      <sheetName val="실행"/>
      <sheetName val="Sheet17"/>
      <sheetName val="백분율"/>
      <sheetName val="D-3109"/>
      <sheetName val="4-Lane bridge"/>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경비2내역"/>
      <sheetName val="Wall1"/>
      <sheetName val="Bill summary of cost"/>
      <sheetName val="손익차총괄2"/>
      <sheetName val="기성내역"/>
      <sheetName val="PI"/>
      <sheetName val="Settings"/>
      <sheetName val="DWTables"/>
      <sheetName val="2.내역서"/>
      <sheetName val="REQ_REMARKS"/>
      <sheetName val="DL"/>
      <sheetName val="RFP002"/>
      <sheetName val="분석"/>
      <sheetName val="ENE-CAL"/>
      <sheetName val="CAL1"/>
      <sheetName val="L3 -13FF (2)"/>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단면치수"/>
      <sheetName val="Plant_&amp;__Machinery"/>
      <sheetName val="A.O.R."/>
      <sheetName val="U-RATE"/>
      <sheetName val="개시대사 (2)"/>
      <sheetName val="Sheet13"/>
      <sheetName val="A3"/>
      <sheetName val="Sheet14"/>
      <sheetName val="P-J"/>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단가"/>
      <sheetName val="집계"/>
      <sheetName val="전 기"/>
      <sheetName val="간접비계산"/>
      <sheetName val="총괄내역서"/>
      <sheetName val="4334-Summary"/>
      <sheetName val="Existing PC Pavem¬"/>
      <sheetName val="소방사항"/>
      <sheetName val="Memb Schd"/>
      <sheetName val="II손익관리"/>
      <sheetName val="0226"/>
      <sheetName val="10"/>
      <sheetName val="5"/>
      <sheetName val="Sheet472"/>
      <sheetName val="공사비예산서(토목분)"/>
      <sheetName val="Wind Load(3.1) (_x0000__x0000_"/>
      <sheetName val="프랜트면허"/>
      <sheetName val="토목주소"/>
      <sheetName val="4_3물량INDE_x0000__x0000_Ԁ"/>
      <sheetName val="포설list원본"/>
      <sheetName val="카드채권(대출포함)"/>
      <sheetName val="화전내"/>
      <sheetName val="design load"/>
      <sheetName val="working load at the btm ft."/>
      <sheetName val="stability check"/>
      <sheetName val="design criteria"/>
      <sheetName val="plan&amp;section of foundation"/>
      <sheetName val="기계내역서"/>
      <sheetName val="건축내역"/>
      <sheetName val="물량표"/>
      <sheetName val="MAIN GATE HOUSE"/>
      <sheetName val="CT Thang Mo"/>
      <sheetName val="CT  PL"/>
      <sheetName val="간접비"/>
      <sheetName val="Over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손익차9월2"/>
      <sheetName val="11월 실적"/>
      <sheetName val="Sheet1"/>
      <sheetName val="내역서"/>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집계표(육상)"/>
      <sheetName val="지급자재"/>
      <sheetName val="PRO_DCI"/>
      <sheetName val="ELEC_DCI"/>
      <sheetName val="INST_DCI"/>
      <sheetName val="연돌일위집계"/>
      <sheetName val="집계표"/>
      <sheetName val="P.M 별"/>
      <sheetName val="BM"/>
      <sheetName val="사업부배부A"/>
      <sheetName val="청산공사"/>
      <sheetName val="8.PILE  (돌출)"/>
      <sheetName val="수주추진리스트"/>
      <sheetName val="TK판매비impact"/>
      <sheetName val="TK판매비"/>
      <sheetName val="수주집계"/>
      <sheetName val="TK외판매비impact"/>
      <sheetName val="Vendors"/>
      <sheetName val="Sheet4"/>
      <sheetName val="금액내역서"/>
      <sheetName val="6PILE  (돌출)"/>
      <sheetName val="예정(3)"/>
      <sheetName val="기준"/>
      <sheetName val="2000.11월설계내역"/>
      <sheetName val="주관사업"/>
      <sheetName val="발주코드"/>
      <sheetName val="운반"/>
      <sheetName val="단중"/>
      <sheetName val="품셈표"/>
      <sheetName val="을지"/>
      <sheetName val="안전장치"/>
      <sheetName val="HKDSUMM"/>
      <sheetName val="산거각호표"/>
      <sheetName val="D-623D"/>
      <sheetName val="2.1.2예정공정율(칼라)"/>
      <sheetName val="1.1 Overall Progress"/>
      <sheetName val="TTL"/>
      <sheetName val="산근"/>
      <sheetName val="업체별SV단가"/>
      <sheetName val="ITC현황"/>
      <sheetName val="ITC 현황"/>
      <sheetName val="일위대가"/>
      <sheetName val="가격조사서"/>
      <sheetName val="대비표(실행)"/>
      <sheetName val="현장관리비증감내역"/>
      <sheetName val="부대공사비(실행)"/>
      <sheetName val="내역서(ITC)"/>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B"/>
      <sheetName val="찍기"/>
      <sheetName val="15 문제점"/>
      <sheetName val="공사비집계"/>
      <sheetName val="_"/>
      <sheetName val="REPORT07"/>
      <sheetName val="5사남"/>
      <sheetName val="소화실적"/>
      <sheetName val="단가비교"/>
      <sheetName val="99년하반기"/>
      <sheetName val="매각(6)"/>
      <sheetName val="상반기손익차2총괄"/>
      <sheetName val="공문"/>
      <sheetName val="과제정의서"/>
      <sheetName val="Sheet7"/>
      <sheetName val="BQMP"/>
      <sheetName val="Rate Analysis"/>
      <sheetName val="노동부"/>
      <sheetName val="등급기준"/>
      <sheetName val="드롭다운"/>
      <sheetName val="Disc WF (최종)"/>
      <sheetName val="Weekly WV %"/>
      <sheetName val="수지계산"/>
      <sheetName val="산출근거"/>
      <sheetName val="구분정의"/>
      <sheetName val=""/>
      <sheetName val="안산기계장치"/>
      <sheetName val="95삼성급(본사)"/>
      <sheetName val="차트 (2)"/>
      <sheetName val="업무분장"/>
      <sheetName val="Work Trade Code"/>
      <sheetName val="Sheet3"/>
      <sheetName val="목록 &amp; 환율표"/>
      <sheetName val="DHEQSUPT"/>
      <sheetName val="건설기계"/>
      <sheetName val="노임"/>
      <sheetName val="단가산출"/>
      <sheetName val="사급자재"/>
      <sheetName val="SHEET"/>
      <sheetName val="표지"/>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목록"/>
      <sheetName val="토목"/>
      <sheetName val="인원계획"/>
      <sheetName val="연수원"/>
      <sheetName val="97년 SEACO예산"/>
      <sheetName val="영업소실적"/>
      <sheetName val="MEED"/>
      <sheetName val="DRUM"/>
      <sheetName val="4.3물량INDEX검토"/>
      <sheetName val="명부(최종)"/>
      <sheetName val="조합원세부항목(작업)"/>
      <sheetName val="50%"/>
      <sheetName val="명부"/>
      <sheetName val="선택목록"/>
      <sheetName val="실행내역"/>
      <sheetName val="제출계산서"/>
      <sheetName val="공통부대비"/>
      <sheetName val="인력(현장,직원)"/>
      <sheetName val="Embank"/>
      <sheetName val="12CGOU"/>
      <sheetName val="경영현황"/>
      <sheetName val="1.설계조건"/>
      <sheetName val="G.R300경비"/>
      <sheetName val="A-4"/>
      <sheetName val="8-31-98"/>
      <sheetName val="worksheet inchican"/>
      <sheetName val="combined 9-30"/>
      <sheetName val="입찰내역 발주처 양식"/>
      <sheetName val="0.간접비기준"/>
      <sheetName val="Lumpsum-1"/>
      <sheetName val="Lumpsum-3"/>
      <sheetName val="간접비(1)"/>
      <sheetName val="종후자산호수별가격"/>
      <sheetName val="내역"/>
      <sheetName val="BOJUNGGM"/>
      <sheetName val="A"/>
      <sheetName val="AC"/>
      <sheetName val="1"/>
      <sheetName val="FitOutConfCentre"/>
      <sheetName val="BOQ"/>
      <sheetName val="PROGRAM"/>
      <sheetName val="CASHFLOW"/>
      <sheetName val="수주현황2월"/>
      <sheetName val="정형의견"/>
      <sheetName val="은행"/>
      <sheetName val="상 부"/>
      <sheetName val="목표세부명세"/>
      <sheetName val="환율"/>
      <sheetName val="4KEB"/>
      <sheetName val="실행철강하도"/>
      <sheetName val="inter"/>
      <sheetName val="Rate_Analysis"/>
      <sheetName val="15_문제점"/>
      <sheetName val="4. 해외출장비"/>
      <sheetName val="ESCON"/>
      <sheetName val="EE-PROP"/>
      <sheetName val="7.4 유가 변동 예비비"/>
      <sheetName val="Perm. Test"/>
      <sheetName val="Daftar Sewa"/>
      <sheetName val="Peralatan"/>
      <sheetName val="Peralatan (2)"/>
      <sheetName val="Analisa Alat"/>
      <sheetName val="Option"/>
      <sheetName val="p&amp;m"/>
      <sheetName val="97 사업추정(WEKI)"/>
      <sheetName val="통합"/>
      <sheetName val="실행예산SHEET도장재검토"/>
      <sheetName val="jadw"/>
      <sheetName val="공사비총괄표"/>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piedathot"/>
      <sheetName val="projcasflo"/>
      <sheetName val="Parameter"/>
      <sheetName val="금융"/>
      <sheetName val="SG"/>
      <sheetName val="Dropdown"/>
      <sheetName val="Database"/>
      <sheetName val="조도"/>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1-Schedule"/>
      <sheetName val="0-Quantity"/>
      <sheetName val="Grf"/>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_REF"/>
      <sheetName val="갑지"/>
      <sheetName val="Курсы"/>
      <sheetName val="Power &amp; control cables"/>
      <sheetName val="Earthing Cables "/>
      <sheetName val="2.2 띠장의 설계"/>
      <sheetName val="자바라1"/>
      <sheetName val="해외 연수비용 계산-삭제"/>
      <sheetName val="Wind Load(3.1) (2)"/>
      <sheetName val="Wind Load(3.2)"/>
      <sheetName val="Wind Load(3.4)"/>
      <sheetName val="Ord"/>
      <sheetName val="Key Data"/>
      <sheetName val="INPUT"/>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1-G1"/>
      <sheetName val="CTEMCOST"/>
      <sheetName val="시산표"/>
      <sheetName val="MOS"/>
      <sheetName val="지원시설 내역서(154kV)"/>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Benchmark"/>
      <sheetName val="금융비용"/>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SUMMARY (2)"/>
      <sheetName val="CIVIL"/>
      <sheetName val="MEP"/>
      <sheetName val="QUOTATION"/>
      <sheetName val="카5"/>
      <sheetName val="교각계산"/>
      <sheetName val="터파기및재료"/>
      <sheetName val="수안보-MBR1"/>
      <sheetName val="Labour"/>
      <sheetName val="Material"/>
      <sheetName val="Plant &amp;  Machinery"/>
      <sheetName val="石炭性状"/>
      <sheetName val="Takeoff"/>
      <sheetName val="N賃率-職"/>
      <sheetName val="Analisa (me)"/>
      <sheetName val="pro ra op"/>
      <sheetName val="grafik"/>
      <sheetName val="Indirect"/>
      <sheetName val="Rekap (2)"/>
      <sheetName val="Analisa Transport"/>
      <sheetName val="electrical Work Price List (2)"/>
      <sheetName val="ANALISA CABLE"/>
      <sheetName val="갑지(추정)"/>
      <sheetName val="page 6"/>
      <sheetName val="INSTR"/>
      <sheetName val="Piping Design Data"/>
      <sheetName val="ELECTR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Sheet4"/>
      <sheetName val="공기"/>
      <sheetName val="새공통(97년3월)"/>
      <sheetName val="공사개요"/>
      <sheetName val="파일공사"/>
      <sheetName val="물량산출"/>
      <sheetName val="면적대비"/>
      <sheetName val="apt골조"/>
      <sheetName val="Sheet2"/>
      <sheetName val="Sheet3"/>
      <sheetName val="도곡동빌라트보관"/>
      <sheetName val="공사비대비"/>
      <sheetName val="Sheet5"/>
      <sheetName val="Sheet6"/>
      <sheetName val="전기"/>
      <sheetName val="12.27"/>
      <sheetName val="12.23"/>
      <sheetName val="12.16"/>
      <sheetName val="12.9"/>
      <sheetName val="12.1"/>
      <sheetName val="11.25"/>
      <sheetName val="예비2"/>
      <sheetName val="11.18"/>
      <sheetName val="10월 4"/>
      <sheetName val="10월 3"/>
      <sheetName val="사진"/>
      <sheetName val="Sheet1"/>
      <sheetName val="공사현황"/>
      <sheetName val="직원투입계획"/>
      <sheetName val="현채투입계획"/>
      <sheetName val="산출내역서"/>
      <sheetName val="마산월령동골조물량변경"/>
      <sheetName val="일위대가표"/>
      <sheetName val="현장현황"/>
      <sheetName val="공통부대비"/>
      <sheetName val="일용노임단가"/>
      <sheetName val="갑지"/>
      <sheetName val="#REF"/>
      <sheetName val="TOWER 10TON"/>
      <sheetName val="TOWER 12TON"/>
      <sheetName val="상반기손익차2총괄"/>
      <sheetName val="공통비총괄표"/>
      <sheetName val="경산"/>
      <sheetName val="내역"/>
      <sheetName val="노임단가"/>
      <sheetName val="P.M 별"/>
      <sheetName val="구의33고"/>
      <sheetName val="총괄표"/>
      <sheetName val="배수내역"/>
      <sheetName val="금융비용"/>
      <sheetName val="기초코드"/>
      <sheetName val="주요공사"/>
      <sheetName val="DHEQSUPT"/>
      <sheetName val="수입"/>
      <sheetName val="결과조달"/>
      <sheetName val="공무공A"/>
      <sheetName val="금액내역서"/>
      <sheetName val="3단계"/>
      <sheetName val="2단계"/>
      <sheetName val="2.대외공문"/>
      <sheetName val="공문"/>
      <sheetName val="70%"/>
      <sheetName val="대비"/>
      <sheetName val="Eq. Mobilization"/>
      <sheetName val="9811"/>
      <sheetName val="임대계획"/>
      <sheetName val="코드"/>
      <sheetName val="기계"/>
      <sheetName val="정화조"/>
      <sheetName val="조경"/>
      <sheetName val="토목"/>
      <sheetName val="적상기초자료"/>
      <sheetName val="현장"/>
      <sheetName val="D-623D"/>
      <sheetName val="9509"/>
      <sheetName val="내역(중앙)"/>
      <sheetName val="기초일위"/>
      <sheetName val="시설일위"/>
      <sheetName val="조명일위"/>
      <sheetName val="M-EQPT-Z"/>
      <sheetName val="MixBed"/>
      <sheetName val="CondPol"/>
      <sheetName val="노임이"/>
      <sheetName val="관람석제출"/>
      <sheetName val="청산공사"/>
      <sheetName val="입찰보고"/>
      <sheetName val="집계표"/>
      <sheetName val="CB"/>
      <sheetName val="자재(원원+원대)"/>
      <sheetName val="공통비총퐛"/>
      <sheetName val="납부서"/>
      <sheetName val="매립"/>
      <sheetName val="W-현원가"/>
      <sheetName val="SCHEDULE"/>
      <sheetName val="ELECTRIC"/>
      <sheetName val="CTEMCOST"/>
      <sheetName val="날개벽"/>
      <sheetName val="공사비집계"/>
      <sheetName val="단가비교표"/>
      <sheetName val="TRE TABLE"/>
      <sheetName val="내역_FILE"/>
      <sheetName val="Total"/>
      <sheetName val="Sheet2 (2)"/>
      <sheetName val="냉천부속동"/>
      <sheetName val="회사99"/>
      <sheetName val="대여현황"/>
      <sheetName val="하수급견적대비"/>
      <sheetName val="현장관리비"/>
      <sheetName val="골조시행"/>
      <sheetName val="일위대가(가설)"/>
      <sheetName val="와동25-3(변경)"/>
      <sheetName val="공사비예산서(토목분)"/>
      <sheetName val="가격조사서"/>
      <sheetName val="터파기및재료"/>
      <sheetName val="01"/>
      <sheetName val="Sheet15"/>
      <sheetName val="입찰"/>
      <sheetName val="현경"/>
      <sheetName val="본사공가현황"/>
      <sheetName val="실행"/>
      <sheetName val="식재인부"/>
      <sheetName val="연돌일위집계"/>
      <sheetName val="유림총괄"/>
      <sheetName val="연결임시"/>
      <sheetName val="직재"/>
      <sheetName val="예가표"/>
      <sheetName val="원가계산서"/>
      <sheetName val="방수"/>
      <sheetName val="입력"/>
      <sheetName val="물량내역"/>
      <sheetName val="도근좌표"/>
      <sheetName val="연습"/>
      <sheetName val="소방기계"/>
      <sheetName val="데이타"/>
      <sheetName val="내역서"/>
      <sheetName val="10월실적마감"/>
      <sheetName val="7월실적마감"/>
      <sheetName val="8월실적마감"/>
      <sheetName val="9월실적마감"/>
      <sheetName val="단면 (2)"/>
      <sheetName val="14 장비소요계획"/>
      <sheetName val="설계내역서"/>
      <sheetName val="문10"/>
      <sheetName val="총괄내역서"/>
      <sheetName val="노무비"/>
      <sheetName val="투입비분석표"/>
      <sheetName val="면접시간확인"/>
      <sheetName val="재집"/>
      <sheetName val="월별수입"/>
      <sheetName val="6PILE  (돌출)"/>
      <sheetName val="신대방33(적용)"/>
      <sheetName val="차액보증"/>
      <sheetName val="에너지동"/>
      <sheetName val="3.설계예산내역서(예산서)"/>
      <sheetName val="2.예정공정표"/>
      <sheetName val="BOJUNGGM"/>
      <sheetName val="원가계산서(남측)"/>
      <sheetName val="예총"/>
      <sheetName val="경영상태"/>
      <sheetName val="토목주소"/>
      <sheetName val="프랜트면허"/>
      <sheetName val="형틀공사"/>
      <sheetName val="매각(6)"/>
      <sheetName val="갑지(추정)"/>
      <sheetName val="구조물공"/>
      <sheetName val="부대공"/>
      <sheetName val="배수공"/>
      <sheetName val="토공"/>
      <sheetName val="포장공"/>
      <sheetName val="정보"/>
      <sheetName val="2.형틀공사집계"/>
      <sheetName val="백분율"/>
      <sheetName val="설직재-1"/>
      <sheetName val="3.공통공사대비"/>
      <sheetName val="잡비"/>
      <sheetName val="관급"/>
      <sheetName val="JIB CRANE,HOIST"/>
      <sheetName val="실행대비"/>
      <sheetName val="J直材4"/>
      <sheetName val="집계표(육상)"/>
      <sheetName val="지급자재"/>
      <sheetName val="간접비"/>
      <sheetName val="교통대책내역"/>
      <sheetName val="몰탈콘크리트"/>
      <sheetName val="철근집계"/>
      <sheetName val="현금흐름"/>
      <sheetName val="입찰안"/>
      <sheetName val="일위대가(계측기설치)"/>
      <sheetName val="산거각호표"/>
      <sheetName val="수주현황2월"/>
      <sheetName val="BID"/>
      <sheetName val="Sheet17"/>
      <sheetName val="업무분장"/>
      <sheetName val="손익차9월2"/>
      <sheetName val="cp1"/>
      <sheetName val="2000년1차"/>
      <sheetName val="도급,하도급 예정금액"/>
      <sheetName val="실행간접비용"/>
      <sheetName val="수량산출"/>
      <sheetName val="마감사양"/>
      <sheetName val="다곡2교"/>
      <sheetName val="집계"/>
      <sheetName val="일위대가"/>
      <sheetName val="1.취수장"/>
      <sheetName val="4차원가계산서"/>
      <sheetName val="3.바닥판  "/>
      <sheetName val="DATE"/>
      <sheetName val="방배동내역(리라)"/>
      <sheetName val="부대공사총괄"/>
      <sheetName val="현장경비"/>
      <sheetName val="건축공사집계표"/>
      <sheetName val="N賃率-職"/>
      <sheetName val="현금흐름(SPC)"/>
      <sheetName val="단가"/>
      <sheetName val="1차 내역서"/>
      <sheetName val="교각1"/>
      <sheetName val="SG"/>
      <sheetName val="단가산출2"/>
      <sheetName val="대치판정"/>
      <sheetName val="전장품(관리용)"/>
      <sheetName val="건축내역"/>
      <sheetName val="BASIC (2)"/>
      <sheetName val="부서현황"/>
      <sheetName val="2.ㄱ)교량"/>
      <sheetName val="9GNG운반"/>
      <sheetName val="배수내역 (2)"/>
      <sheetName val="적점"/>
      <sheetName val="돈암사업"/>
      <sheetName val="목표세부명세"/>
      <sheetName val="관로토공"/>
      <sheetName val="공량산출서"/>
      <sheetName val="변경내역"/>
      <sheetName val="수목데이타 "/>
      <sheetName val="실행(ALT1)"/>
      <sheetName val="마포토정"/>
      <sheetName val="부대tu"/>
      <sheetName val="직노"/>
      <sheetName val="친환경주택"/>
      <sheetName val="설비(제출)"/>
      <sheetName val="소비자가"/>
      <sheetName val="1ST"/>
      <sheetName val="자동제어"/>
      <sheetName val="청구"/>
      <sheetName val="공통비(전체)"/>
      <sheetName val="1.우편집중내역서"/>
      <sheetName val="대비표"/>
      <sheetName val="2차공사"/>
      <sheetName val="대림경상68억"/>
      <sheetName val="해외(원화)"/>
      <sheetName val="우,오수"/>
      <sheetName val="실행내역"/>
      <sheetName val="기초목"/>
      <sheetName val="기초1"/>
      <sheetName val="일위목록"/>
      <sheetName val="금액순"/>
      <sheetName val="부산제일극장"/>
      <sheetName val="세금자료"/>
      <sheetName val="배수관공"/>
      <sheetName val="공정"/>
      <sheetName val="첨부1"/>
      <sheetName val="토공(우물통,기타) "/>
      <sheetName val="집수정_600_700_"/>
      <sheetName val="입찰내역 발주처 양식"/>
      <sheetName val="__"/>
      <sheetName val="직접인건비"/>
      <sheetName val="직접경비"/>
      <sheetName val="간접"/>
      <sheetName val="사통"/>
      <sheetName val="수지표"/>
      <sheetName val="소일위대가코드표"/>
      <sheetName val="견적초기자료"/>
      <sheetName val="전통건설"/>
      <sheetName val="7월11일"/>
      <sheetName val="Ctrl"/>
      <sheetName val="이자"/>
      <sheetName val="변제"/>
      <sheetName val="상환대상"/>
      <sheetName val="attchament-Work Trade"/>
      <sheetName val="attchament-Type of Facilities"/>
      <sheetName val="기계경비(시간당)"/>
      <sheetName val="AS복구"/>
      <sheetName val="중기터파기"/>
      <sheetName val="변수값"/>
      <sheetName val="중기상차"/>
      <sheetName val="토사(PE)"/>
      <sheetName val="CONCRETE"/>
      <sheetName val="교사기준면적(초등)"/>
      <sheetName val="CON'C"/>
      <sheetName val="총괄"/>
      <sheetName val="견적서(갑지)"/>
      <sheetName val="TC#1"/>
      <sheetName val="TC#2"/>
      <sheetName val="TC#3"/>
      <sheetName val="TC#4"/>
      <sheetName val="TC#5"/>
      <sheetName val="TC#6"/>
      <sheetName val="해체용 크레인1"/>
      <sheetName val="해체용 크레인2"/>
      <sheetName val="ADmin"/>
      <sheetName val="9512BS-1"/>
      <sheetName val="pier(각형)"/>
      <sheetName val="95년12월말"/>
      <sheetName val="96노임기준"/>
      <sheetName val="관접합및부설"/>
      <sheetName val="대구역사"/>
      <sheetName val="작성가이드"/>
      <sheetName val="Z"/>
      <sheetName val="Cash2"/>
      <sheetName val="Ref."/>
      <sheetName val="1062-X방향 "/>
      <sheetName val="산근"/>
      <sheetName val="도급원가"/>
      <sheetName val="기준및분포(OT)"/>
      <sheetName val="5사남"/>
      <sheetName val="Currency"/>
      <sheetName val="Phan tich ca may"/>
      <sheetName val="Chenh lech ca may"/>
      <sheetName val="TLg CN&amp;Laixe"/>
      <sheetName val="TLg CN&amp;Laixe (2)"/>
      <sheetName val="TLg Laitau"/>
      <sheetName val="TLg Laitau (2)"/>
      <sheetName val="escon"/>
      <sheetName val="tifico"/>
      <sheetName val="민감도"/>
      <sheetName val="국영"/>
      <sheetName val="Control Sheet"/>
      <sheetName val="별제권_정리담보권1"/>
      <sheetName val="mat status (elec)"/>
      <sheetName val="제출계산서"/>
      <sheetName val="침하계"/>
      <sheetName val="자료"/>
      <sheetName val="견적서-골조공사"/>
      <sheetName val="화전내"/>
      <sheetName val="7월"/>
      <sheetName val="12_27"/>
      <sheetName val="12_23"/>
      <sheetName val="12_16"/>
      <sheetName val="12_9"/>
      <sheetName val="12_1"/>
      <sheetName val="11_25"/>
      <sheetName val="11_18"/>
      <sheetName val="10월_4"/>
      <sheetName val="10월_3"/>
      <sheetName val="TOWER_10TON"/>
      <sheetName val="TOWER_12TON"/>
      <sheetName val="P_M_별"/>
      <sheetName val="2_대외공문"/>
      <sheetName val="Eq__Mobilization"/>
      <sheetName val="TRE_TABLE"/>
      <sheetName val="Sheet2_(2)"/>
      <sheetName val="단면_(2)"/>
      <sheetName val="14_장비소요계획"/>
      <sheetName val="6PILE__(돌출)"/>
      <sheetName val="3_설계예산내역서(예산서)"/>
      <sheetName val="2_예정공정표"/>
      <sheetName val="2_형틀공사집계"/>
      <sheetName val="JIB_CRANE,HOIST"/>
      <sheetName val="3_공통공사대비"/>
      <sheetName val="1_취수장"/>
      <sheetName val="3_바닥판__"/>
      <sheetName val="도급,하도급_예정금액"/>
      <sheetName val="1차_내역서"/>
      <sheetName val="BASIC_(2)"/>
      <sheetName val="2_ㄱ)교량"/>
      <sheetName val="배수내역_(2)"/>
      <sheetName val="수목데이타_"/>
      <sheetName val="1_우편집중내역서"/>
      <sheetName val="입찰내역_발주처_양식"/>
      <sheetName val="토공(우물통,기타)_"/>
      <sheetName val="★자금집행관리"/>
      <sheetName val="금융"/>
      <sheetName val="STAND20"/>
      <sheetName val="시화점실행"/>
      <sheetName val="POL6차-PIPING"/>
      <sheetName val="2-3.V.D일위"/>
      <sheetName val="일반공사"/>
      <sheetName val="표지"/>
      <sheetName val="CONDITION"/>
      <sheetName val="내부마감"/>
      <sheetName val="갑지 (2)"/>
      <sheetName val="도급변경내용)"/>
      <sheetName val="갑지수정"/>
      <sheetName val="총괄산출표"/>
      <sheetName val="공통가설"/>
      <sheetName val="토공(을)"/>
      <sheetName val="건축집계표"/>
      <sheetName val="부대시설"/>
      <sheetName val="2골조 "/>
      <sheetName val="마감내역"/>
      <sheetName val="설비집계표"/>
      <sheetName val="설비내역서"/>
      <sheetName val="전기집계표"/>
      <sheetName val="전기내역서"/>
      <sheetName val="표지 (2)"/>
      <sheetName val="지질"/>
      <sheetName val="수량"/>
      <sheetName val="골조물량"/>
      <sheetName val="마감산출"/>
      <sheetName val="PILE (300×200)"/>
      <sheetName val="PILE (300×300)"/>
      <sheetName val="PILE (300×150)"/>
      <sheetName val="을지"/>
      <sheetName val="갑지1"/>
      <sheetName val="GAEYO"/>
      <sheetName val="도급제출3(5.20)"/>
      <sheetName val="을"/>
      <sheetName val="APT"/>
      <sheetName val="BSD (2)"/>
      <sheetName val="건축집계"/>
      <sheetName val="TEST1"/>
      <sheetName val="구조물"/>
      <sheetName val="계수시트"/>
      <sheetName val="Work-Condition"/>
      <sheetName val="정공공사"/>
      <sheetName val="6호기"/>
      <sheetName val="기본일위"/>
      <sheetName val="조달청적격심사"/>
      <sheetName val="Y-WORK"/>
      <sheetName val="해평견적"/>
      <sheetName val="전기공사"/>
      <sheetName val="설명서 "/>
      <sheetName val="설계명세서"/>
      <sheetName val="램머"/>
      <sheetName val="자재단가비교표"/>
      <sheetName val="교육종류"/>
      <sheetName val="내역서-수정본"/>
      <sheetName val="견적대비표"/>
      <sheetName val="G.R300경비"/>
      <sheetName val="일반부표"/>
      <sheetName val="FURNITURE-01"/>
      <sheetName val="1호구조물"/>
      <sheetName val="약품설비"/>
      <sheetName val="코드표"/>
      <sheetName val="45,46"/>
      <sheetName val="2.토목공사"/>
      <sheetName val="산출3-동력"/>
      <sheetName val="산출4-전등"/>
      <sheetName val="경비"/>
      <sheetName val="적용"/>
      <sheetName val="구역화물"/>
      <sheetName val="단가일람"/>
      <sheetName val="역T형"/>
      <sheetName val="BEND LOSS"/>
      <sheetName val="9902"/>
      <sheetName val="3월"/>
      <sheetName val="4월"/>
      <sheetName val="5월"/>
      <sheetName val="자재 집계표"/>
      <sheetName val="인사자료총집계"/>
      <sheetName val="FB25JN"/>
      <sheetName val="21301동"/>
      <sheetName val="CATV"/>
      <sheetName val="참조"/>
      <sheetName val="갑"/>
      <sheetName val="기존단가 (2)"/>
      <sheetName val="갑지_(2)"/>
      <sheetName val="2골조_"/>
      <sheetName val="표지_(2)"/>
      <sheetName val="PILE_(300×200)"/>
      <sheetName val="PILE_(300×300)"/>
      <sheetName val="PILE_(300×150)"/>
      <sheetName val="BSD_(2)"/>
      <sheetName val="기존단가_(2)"/>
      <sheetName val="도급제출3(5_20)"/>
      <sheetName val="설명서_"/>
      <sheetName val="단가(자재)"/>
      <sheetName val="단가(노임)"/>
      <sheetName val="기초목록"/>
      <sheetName val="전차선로 물량표"/>
      <sheetName val="청천내"/>
      <sheetName val="출자한도"/>
      <sheetName val="9-1차이내역"/>
      <sheetName val="경량천정"/>
      <sheetName val="ㄱ"/>
      <sheetName val="교량하부공"/>
      <sheetName val="환율"/>
      <sheetName val="정부노임단가"/>
      <sheetName val="ETC"/>
      <sheetName val="내역서 (2)"/>
      <sheetName val="수량산출(음암)"/>
      <sheetName val="2. 공원조도"/>
      <sheetName val="b_balju"/>
      <sheetName val="에너지요금"/>
      <sheetName val="부하계산서"/>
      <sheetName val="견적"/>
      <sheetName val="기안"/>
      <sheetName val="개산공사비"/>
      <sheetName val="자재단가"/>
      <sheetName val="기기리스트"/>
      <sheetName val="교각별철근수량집계표"/>
      <sheetName val="적용률"/>
      <sheetName val="세부내역"/>
      <sheetName val="INPUT"/>
      <sheetName val="I一般比"/>
      <sheetName val="97 사업추정(WEKI)"/>
      <sheetName val="ACT_Dol"/>
      <sheetName val="ACT_Jhr"/>
      <sheetName val="FCST_Dol"/>
      <sheetName val="FCST_Jhr"/>
      <sheetName val="시행예산"/>
      <sheetName val="설계기준"/>
      <sheetName val="내역1"/>
      <sheetName val="내역서(교량)전체"/>
      <sheetName val="database"/>
      <sheetName val="실행(1)"/>
      <sheetName val="SUMMARY"/>
      <sheetName val="PAINT"/>
      <sheetName val="선원비계산"/>
      <sheetName val="여비교통비지출품의서"/>
      <sheetName val="개요"/>
      <sheetName val="도급"/>
      <sheetName val="원효펌프교체020812"/>
      <sheetName val="부하(성남)"/>
      <sheetName val="연부97-1"/>
      <sheetName val="송장갑지(6월)"/>
      <sheetName val="2000전체분"/>
      <sheetName val="건축2"/>
      <sheetName val="비교1"/>
      <sheetName val="입력시트"/>
      <sheetName val="chiet tinh"/>
      <sheetName val="新规"/>
      <sheetName val="手动计画"/>
      <sheetName val="0226"/>
      <sheetName val="조명시설"/>
      <sheetName val="FA_SUMMARY"/>
      <sheetName val="Raw Data"/>
      <sheetName val="15 문제점"/>
      <sheetName val="6MONTHS"/>
      <sheetName val="FRP PIPING 일위대가"/>
      <sheetName val="000000"/>
      <sheetName val="별표 "/>
      <sheetName val="Sheet13"/>
      <sheetName val="조도"/>
      <sheetName val="Sheet14"/>
      <sheetName val="P-J"/>
      <sheetName val="은행"/>
      <sheetName val="시장성초안camera"/>
      <sheetName val="3지구단위"/>
      <sheetName val="안산기계장치"/>
      <sheetName val="Finansal tamamlanma Eğrisi"/>
      <sheetName val="내역표지"/>
      <sheetName val="배관내역"/>
      <sheetName val="IGCC査定"/>
      <sheetName val="수량산출서"/>
      <sheetName val="gyun"/>
      <sheetName val="전계가"/>
      <sheetName val="CAUDIT"/>
      <sheetName val="9.1"/>
      <sheetName val="회사정보"/>
      <sheetName val="EQT-ESTN"/>
      <sheetName val="공사투입계획(변경결의)19.9"/>
      <sheetName val="노무비 월별지급현황19.9"/>
      <sheetName val="갑지(외주기성)19.9"/>
      <sheetName val="명부(일부)"/>
      <sheetName val=" 견적서"/>
      <sheetName val="실행철강하도"/>
      <sheetName val="동해title"/>
      <sheetName val="DAF-2"/>
      <sheetName val="Total(현장)"/>
      <sheetName val="Month"/>
      <sheetName val="전도금 지출"/>
      <sheetName val="Pivot(월)"/>
      <sheetName val="Pivot(합계)"/>
      <sheetName val="카메라"/>
      <sheetName val="mm10"/>
      <sheetName val="변경내역대비표(2)"/>
      <sheetName val="CAPVC"/>
      <sheetName val="집계표(OPTION)"/>
      <sheetName val="負荷集計（断熱不燃）"/>
      <sheetName val="264"/>
      <sheetName val="의뢰서"/>
      <sheetName val="김해식"/>
      <sheetName val="DATA"/>
      <sheetName val="Instructions"/>
      <sheetName val="방배동내역 (총괄)"/>
      <sheetName val="합벽,옹벽"/>
      <sheetName val="중기가격"/>
      <sheetName val="2.2 STAFF Scedule"/>
      <sheetName val="0201"/>
      <sheetName val="Koordinat"/>
      <sheetName val="견적서"/>
      <sheetName val="F4-F7"/>
      <sheetName val="HANDHOLE(2)"/>
      <sheetName val="PAD TR보호대기초"/>
      <sheetName val="가로등기초"/>
      <sheetName val="2.야탑"/>
      <sheetName val="단가표"/>
      <sheetName val="날개벽수량표"/>
      <sheetName val="일위대가(여기까지)"/>
      <sheetName val="수리결과"/>
      <sheetName val="시산표"/>
      <sheetName val="ENE-CAL"/>
      <sheetName val="DQE-MEN-EXT"/>
      <sheetName val="기준및분포_OT_"/>
      <sheetName val="MEXICO-C"/>
      <sheetName val="FAB별"/>
      <sheetName val="견적의뢰"/>
      <sheetName val="단위세대물량"/>
      <sheetName val="물량산출근거"/>
      <sheetName val="별첨1_수량산출체크리스트"/>
      <sheetName val="철근단가검토"/>
      <sheetName val="골조수량대비표"/>
      <sheetName val="Cash Flow bulanan"/>
      <sheetName val="TTL"/>
      <sheetName val="보고"/>
      <sheetName val="ENG-101"/>
      <sheetName val="할증 "/>
      <sheetName val="수문보고"/>
      <sheetName val="실행내역서"/>
      <sheetName val="attchament-Work_Trade"/>
      <sheetName val="attchament-Type_of_Facilities"/>
      <sheetName val="라"/>
      <sheetName val="기본1"/>
      <sheetName val="수정일위대가"/>
      <sheetName val="급수급탕"/>
      <sheetName val="archi(본사)"/>
      <sheetName val="B"/>
      <sheetName val="cctv"/>
      <sheetName val="개시대사 (2)"/>
      <sheetName val="40총괄"/>
      <sheetName val="40집계"/>
      <sheetName val="Perm. Test"/>
      <sheetName val="DB@Acess"/>
      <sheetName val="Civil"/>
      <sheetName val="NozzleData"/>
      <sheetName val="22.사인물(건)"/>
      <sheetName val="조명율표"/>
      <sheetName val=" PE-F-42 MR 9 Manpower"/>
      <sheetName val="방배동내역 _x0000__x0000__x0005__x0000_"/>
      <sheetName val="BQMPALOC"/>
      <sheetName val="Main Summary"/>
      <sheetName val="노무비 월별지급현황_x0000__x0000__x0005__x0000_"/>
      <sheetName val="집계표(OPTION_x0000_"/>
      <sheetName val="LTR-2"/>
      <sheetName val="Balance"/>
      <sheetName val="Medagama"/>
      <sheetName val="Sandunpura"/>
      <sheetName val="Veheragala"/>
      <sheetName val="Collection"/>
      <sheetName val="Rainfall Data"/>
      <sheetName val="Mahawanawela"/>
      <sheetName val="Nuwaragala"/>
      <sheetName val="Siripura"/>
      <sheetName val="Background"/>
      <sheetName val="노임"/>
      <sheetName val="선수금"/>
      <sheetName val="조덅일위"/>
      <sheetName val="목표세부덅세"/>
      <sheetName val="설덅서 "/>
      <sheetName val="설계덅세서"/>
      <sheetName val="설덅서_"/>
      <sheetName val="조덅시설"/>
      <sheetName val="DETAIL"/>
      <sheetName val="schedule nos"/>
      <sheetName val="부안일위"/>
      <sheetName val="본지사합"/>
      <sheetName val="분석"/>
      <sheetName val="CAPV_x0000_"/>
      <sheetName val="설계명세"/>
      <sheetName val="VS P-Q"/>
      <sheetName val="DATA2000"/>
      <sheetName val="STAND98"/>
      <sheetName val="현장관리비(을)"/>
      <sheetName val="목공사품의서"/>
      <sheetName val="30신설일위대가"/>
      <sheetName val="30집계표"/>
      <sheetName val="음료실행"/>
      <sheetName val="기성내역"/>
      <sheetName val="단면치수"/>
      <sheetName val="제직재"/>
      <sheetName val="PRO_DCI"/>
      <sheetName val="page 6"/>
      <sheetName val="변수표"/>
      <sheetName val="98수문일위"/>
      <sheetName val="신표지1"/>
      <sheetName val="기본DATA"/>
      <sheetName val="Piping Design Data"/>
      <sheetName val="A-4"/>
      <sheetName val="1"/>
      <sheetName val="업무처리전"/>
      <sheetName val="방배동내역 "/>
      <sheetName val="노무비 월별지급현황"/>
      <sheetName val="sum1 (2)"/>
      <sheetName val="Bill 5 - Carpark"/>
      <sheetName val="9.ﴃ"/>
      <sheetName val="9.﷾"/>
      <sheetName val="9.灏"/>
      <sheetName val="9.灯"/>
      <sheetName val="9.炥"/>
      <sheetName val="철골공사"/>
      <sheetName val="구성비"/>
      <sheetName val="工완성공사율"/>
      <sheetName val="공통비비교"/>
      <sheetName val="평가데이터"/>
      <sheetName val=" 갑  지 "/>
      <sheetName val="계좌번호"/>
      <sheetName val="COVER"/>
      <sheetName val="D:\현대0526-------11111\유림골조"/>
      <sheetName val="Comparative Cluster Inner"/>
      <sheetName val="Sheet1 (2)"/>
      <sheetName val="DRUM"/>
      <sheetName val="Conn. Lib"/>
      <sheetName val="1 park lane"/>
      <sheetName val="sal"/>
      <sheetName val="SIVA"/>
      <sheetName val="품의"/>
      <sheetName val="EE-PROP"/>
      <sheetName val="부표총괄"/>
      <sheetName val="지급어음(일별)"/>
      <sheetName val="[유림골조]D____0526_______11111___2"/>
      <sheetName val="A"/>
      <sheetName val="9."/>
      <sheetName val="정렬"/>
      <sheetName val="_x0004__x0000_숷트_x0004__x0000_䄄22䢳"/>
      <sheetName val=""/>
      <sheetName val="설계조건"/>
      <sheetName val="시험구분-단가표"/>
      <sheetName val="Ⅴ-2.공종별내역"/>
      <sheetName val="설계서"/>
      <sheetName val="산출기초조사서"/>
      <sheetName val="기계경비산출"/>
      <sheetName val="세척면적산출"/>
      <sheetName val="Hệ số"/>
      <sheetName val="Động cơ"/>
      <sheetName val="제조원가"/>
      <sheetName val="Du_lieu"/>
      <sheetName val="1.2 Staff Schedule"/>
      <sheetName val="PROJECT LIST"/>
      <sheetName val="PROGRAM"/>
      <sheetName val="CASHFLOW"/>
      <sheetName val="PriceSummary"/>
      <sheetName val="Bill 10"/>
      <sheetName val="Doors"/>
      <sheetName val="NCR"/>
      <sheetName val="Sch. Areas"/>
      <sheetName val="LDP"/>
      <sheetName val="Work Flow (Manhours%)"/>
      <sheetName val="eval"/>
      <sheetName val="BOQ Summary"/>
      <sheetName val="E_Summary"/>
      <sheetName val="D_Cntnts"/>
      <sheetName val="Cash Flow"/>
      <sheetName val="Notes"/>
      <sheetName val="Tank_3_1"/>
      <sheetName val="Assumptions"/>
      <sheetName val="Equip"/>
      <sheetName val="EEV(Prilim)"/>
      <sheetName val="CoverPage"/>
      <sheetName val="수목단가"/>
      <sheetName val="시설수량표"/>
      <sheetName val="식재수량표"/>
      <sheetName val="원본"/>
      <sheetName val="SUM(D2)"/>
      <sheetName val="PI"/>
      <sheetName val="Pier 3"/>
      <sheetName val="hist&amp;proj"/>
      <sheetName val="SAT-BHN"/>
      <sheetName val="trf(36%)"/>
      <sheetName val="방배동내역 _x0000__x0000__x0005__x00"/>
      <sheetName val="장비명"/>
      <sheetName val="주요자재집계"/>
      <sheetName val="Div26 - Elect"/>
      <sheetName val="CODE"/>
      <sheetName val="FAB&amp;EUV TOTAL"/>
      <sheetName val="관리비현황"/>
      <sheetName val="工程量清单(신축공사)"/>
      <sheetName val="품"/>
      <sheetName val="石炭性状"/>
      <sheetName val="주간기성"/>
      <sheetName val="Finansal tamamlanma Ek_x0000_Ԁ_x0000_　"/>
      <sheetName val="Finansal tamamlanma Ek_x0000_Ԁ_x0000_䀀"/>
      <sheetName val="Finansal tamamlanma Ek_x0000_Ԁ_x0000_"/>
      <sheetName val="Finansal tamamlanma Ek_x0000_Ԁ_x0000_"/>
      <sheetName val="Finansal tamamlanma Ek_x0000_Ԁ_x0000_뀀"/>
      <sheetName val="Finansal tamamlanma Ek_x0000_Ԁ_x0000_쀀"/>
      <sheetName val="mm_x0000__x0000_"/>
      <sheetName val="방배동내⒀꺚᠀滏ﴃ"/>
      <sheetName val="도"/>
      <sheetName val="_x0004__x0000_숷트_x0004__x0000_䄄"/>
      <sheetName val="중기조종사 단위단가"/>
      <sheetName val="집계표(OP_x0000__x0000_Ԁ_x0000_耀"/>
      <sheetName val="집계표(OP_x0000__x0000_Ԁ_x0000__x0000_"/>
      <sheetName val="집계표(OP_x0000__x0000_Ԁ_x0000_䀀"/>
      <sheetName val="집계표(OP_x0000__x0000_Ԁ_x0000_쀀"/>
      <sheetName val="sc"/>
      <sheetName val="IH 03.21"/>
      <sheetName val="OS - 04.2020"/>
      <sheetName val="OS - 07.2020"/>
      <sheetName val="OS - 08.2020"/>
      <sheetName val="OS - 09.2020"/>
      <sheetName val="OS - 10.2020"/>
      <sheetName val="OS - 12.2020"/>
      <sheetName val="OS - 01.2021"/>
      <sheetName val="OS - 02.2021"/>
      <sheetName val="OS - 04.2021"/>
      <sheetName val="OS - 05.2021"/>
      <sheetName val="OS - 06.2021"/>
      <sheetName val="OS - 07.2021"/>
      <sheetName val="OS - 08.2021"/>
      <sheetName val="OS - 09.2021"/>
      <sheetName val="OS - 10.2021"/>
      <sheetName val="OS - 11.2021"/>
      <sheetName val="OS - 12.2021"/>
      <sheetName val="OS - 05.2020"/>
      <sheetName val="OS - 06.2020"/>
      <sheetName val="OS - 11.2020"/>
      <sheetName val="OS - 03.2021"/>
      <sheetName val="Beam Sched"/>
      <sheetName val="INSIND"/>
      <sheetName val="ESTIMATE"/>
      <sheetName val="BREAKDOWN(철거설치)"/>
      <sheetName val="Micro"/>
      <sheetName val="Macro"/>
      <sheetName val="Scaff-Rose"/>
      <sheetName val="FFILL"/>
      <sheetName val="Measur"/>
      <sheetName val="※참고자료※"/>
      <sheetName val="기초자료"/>
      <sheetName val="당초"/>
      <sheetName val="負荷集計（断熱不燃_x0000_"/>
      <sheetName val="HX"/>
      <sheetName val="Sheet8"/>
      <sheetName val="_x0004_"/>
      <sheetName val="Finansal tamamlanma Ek"/>
      <sheetName val="10한빛"/>
      <sheetName val="WORK"/>
      <sheetName val="CAL1"/>
      <sheetName val="GRDBS"/>
      <sheetName val="골조"/>
      <sheetName val="負荷集計（断熱不燃ᅠ"/>
      <sheetName val="건축내역서"/>
      <sheetName val="[유림골조]D____0526_______11111___3"/>
      <sheetName val="일위"/>
      <sheetName val="cover page"/>
      <sheetName val="FitOutConfCentre"/>
      <sheetName val="SubmitCal"/>
      <sheetName val="BOQ"/>
      <sheetName val="(원문)특허실용의장"/>
      <sheetName val="견적대비 견적서"/>
      <sheetName val="Finansal tamamlanma Ek_x0000_Ԁ_"/>
      <sheetName val="방배동내隧　뀞"/>
      <sheetName val="RAB AR&amp;STR"/>
      <sheetName val="납부확인서(퇴직공제)"/>
      <sheetName val="ABK.04.AWALR+CO+TAB.RUPS"/>
      <sheetName val="Hujan BUlanan"/>
      <sheetName val="합천내역"/>
      <sheetName val="負荷集計ß_x0000_Ԁ_x0000_ကࡗ"/>
      <sheetName val="NPV"/>
      <sheetName val="PNT"/>
      <sheetName val="L 1"/>
      <sheetName val="RAB"/>
      <sheetName val="BAG_2"/>
      <sheetName val="BOX-1510"/>
      <sheetName val="운반"/>
      <sheetName val="집계표(OP_x0000__x0000_Ԁ_x0000__x0"/>
      <sheetName val="방배동내_x0000__x0000__x0000__x0000__x0000__x0000_"/>
      <sheetName val="주식"/>
      <sheetName val="중기비"/>
      <sheetName val="집계표(OP"/>
      <sheetName val="Progress Tables"/>
      <sheetName val="FORM-0"/>
      <sheetName val="Instruction_x0000_"/>
      <sheetName val="Rates"/>
      <sheetName val="CASHFLOWS"/>
      <sheetName val="Basic Rate"/>
      <sheetName val="[유림골조]D__현_0526_______11111_유_2"/>
      <sheetName val="방배동내_x0000__x0000__x0000__x0000"/>
      <sheetName val="slipsumpR"/>
      <sheetName val="1-Executive Summary"/>
      <sheetName val="Contract Summary"/>
      <sheetName val="UB Beam Box-up"/>
      <sheetName val="Cashflow Analysis"/>
      <sheetName val="방배동내역 ??_x0005_?"/>
      <sheetName val="집계표(OPTION?"/>
      <sheetName val="노무비 월별지급현황??_x0005_?"/>
      <sheetName val="CAPV?"/>
      <sheetName val="_x0004_?숷트_x0004_?䄄22䢳"/>
      <sheetName val="ANX3A11"/>
      <sheetName val="BM"/>
      <sheetName val="영동(D)"/>
      <sheetName val="負荷集計劬_x0010__x0000__x0000__x0000__x0000_"/>
      <sheetName val="CAUDIÀ"/>
      <sheetName val="2000년 공정표"/>
      <sheetName val="참고자료"/>
      <sheetName val="2공구산출내역"/>
      <sheetName val="인원계획"/>
      <sheetName val="Fitting"/>
      <sheetName val="ch"/>
      <sheetName val="Equip COA Sumry"/>
      <sheetName val="AC"/>
      <sheetName val="방배동내_x0000__x0000_Ԁ_x0000__x0000_﷪"/>
      <sheetName val="방배동내_x0000__x0000_Ԁ_x0000__x0000_Ǒ"/>
      <sheetName val="Key Ratios"/>
      <sheetName val="12_271"/>
      <sheetName val="12_231"/>
      <sheetName val="12_161"/>
      <sheetName val="12_91"/>
      <sheetName val="12_11"/>
      <sheetName val="11_251"/>
      <sheetName val="11_181"/>
      <sheetName val="10월_41"/>
      <sheetName val="10월_31"/>
      <sheetName val="TOWER_10TON1"/>
      <sheetName val="TOWER_12TON1"/>
      <sheetName val="P_M_별1"/>
      <sheetName val="2_대외공문1"/>
      <sheetName val="Eq__Mobilization1"/>
      <sheetName val="TRE_TABLE1"/>
      <sheetName val="Sheet2_(2)1"/>
      <sheetName val="단면_(2)1"/>
      <sheetName val="14_장비소요계획1"/>
      <sheetName val="6PILE__(돌출)1"/>
      <sheetName val="3_설계예산내역서(예산서)1"/>
      <sheetName val="2_예정공정표1"/>
      <sheetName val="2_형틀공사집계1"/>
      <sheetName val="3_공통공사대비1"/>
      <sheetName val="JIB_CRANE,HOIST1"/>
      <sheetName val="1_취수장1"/>
      <sheetName val="3_바닥판__1"/>
      <sheetName val="도급,하도급_예정금액1"/>
      <sheetName val="1차_내역서1"/>
      <sheetName val="BASIC_(2)1"/>
      <sheetName val="2_ㄱ)교량1"/>
      <sheetName val="배수내역_(2)1"/>
      <sheetName val="수목데이타_1"/>
      <sheetName val="1_우편집중내역서1"/>
      <sheetName val="입찰내역_발주처_양식1"/>
      <sheetName val="토공(우물통,기타)_1"/>
      <sheetName val="attchament-Work_Trade1"/>
      <sheetName val="attchament-Type_of_Facilities1"/>
      <sheetName val="해체용_크레인1"/>
      <sheetName val="해체용_크레인2"/>
      <sheetName val="Ref_"/>
      <sheetName val="1062-X방향_"/>
      <sheetName val="Phan_tich_ca_may"/>
      <sheetName val="Chenh_lech_ca_may"/>
      <sheetName val="TLg_CN&amp;Laixe"/>
      <sheetName val="TLg_CN&amp;Laixe_(2)"/>
      <sheetName val="TLg_Laitau"/>
      <sheetName val="TLg_Laitau_(2)"/>
      <sheetName val="Control_Sheet"/>
      <sheetName val="mat_status_(elec)"/>
      <sheetName val="2-3_V_D일위"/>
      <sheetName val="갑지_(2)1"/>
      <sheetName val="2골조_1"/>
      <sheetName val="표지_(2)1"/>
      <sheetName val="PILE_(300×200)1"/>
      <sheetName val="PILE_(300×300)1"/>
      <sheetName val="PILE_(300×150)1"/>
      <sheetName val="도급제출3(5_20)1"/>
      <sheetName val="BSD_(2)1"/>
      <sheetName val="설명서_1"/>
      <sheetName val="G_R300경비"/>
      <sheetName val="2_토목공사"/>
      <sheetName val="BEND_LOSS"/>
      <sheetName val="자재_집계표"/>
      <sheetName val="기존단가_(2)1"/>
      <sheetName val="전차선로_물량표"/>
      <sheetName val="내역서_(2)"/>
      <sheetName val="2__공원조도"/>
      <sheetName val="97_사업추정(WEKI)"/>
      <sheetName val="chiet_tinh"/>
      <sheetName val="FRP_PIPING_일위대가"/>
      <sheetName val="Raw_Data"/>
      <sheetName val="15_문제점"/>
      <sheetName val="별표_"/>
      <sheetName val="Finansal_tamamlanma_Eğrisi"/>
      <sheetName val="공사투입계획(변경결의)19_9"/>
      <sheetName val="노무비_월별지급현황19_9"/>
      <sheetName val="갑지(외주기성)19_9"/>
      <sheetName val="_견적서"/>
      <sheetName val="9_1"/>
      <sheetName val="방배동내역_(총괄)"/>
      <sheetName val="전도금_지출"/>
      <sheetName val="2_2_STAFF_Scedule"/>
      <sheetName val="PAD_TR보호대기초"/>
      <sheetName val="2_야탑"/>
      <sheetName val="Perm__Test"/>
      <sheetName val="Cash_Flow_bulanan"/>
      <sheetName val="할증_"/>
      <sheetName val="방배동내역_"/>
      <sheetName val="22_사인물(건)"/>
      <sheetName val="Rainfall_Data"/>
      <sheetName val="노무비_월별지급현황"/>
      <sheetName val="개시대사_(2)"/>
      <sheetName val="_PE-F-42_MR_9_Manpower"/>
      <sheetName val="Main_Summary"/>
      <sheetName val="VS_P-Q"/>
      <sheetName val="schedule_nos"/>
      <sheetName val="설덅서_1"/>
      <sheetName val="Piping_Design_Data"/>
      <sheetName val="page_6"/>
      <sheetName val="sum1_(2)"/>
      <sheetName val="Bill_5_-_Carpark"/>
      <sheetName val="9_ﴃ"/>
      <sheetName val="9_﷾"/>
      <sheetName val="9_灏"/>
      <sheetName val="9_灯"/>
      <sheetName val="9_炥"/>
      <sheetName val="_갑__지_"/>
      <sheetName val="Comparative_Cluster_Inner"/>
      <sheetName val="Sheet1_(2)"/>
      <sheetName val="Conn__Lib"/>
      <sheetName val="1_park_lane"/>
      <sheetName val="9_"/>
      <sheetName val="숷트䄄22䢳"/>
      <sheetName val="Ⅴ-2_공종별내역"/>
      <sheetName val="Hệ_số"/>
      <sheetName val="Động_cơ"/>
      <sheetName val="1_2_Staff_Schedule"/>
      <sheetName val="PROJECT_LIST"/>
      <sheetName val="Bill_10"/>
      <sheetName val="Sch__Areas"/>
      <sheetName val="Work_Flow_(Manhours%)"/>
      <sheetName val="BOQ_Summary"/>
      <sheetName val="Cash_Flow"/>
      <sheetName val="Pier_3"/>
      <sheetName val="방배동내역__x00"/>
      <sheetName val="FAB&amp;EUV_TOTAL"/>
      <sheetName val="Div26_-_Elect"/>
      <sheetName val="Finansal_tamamlanma_EkԀ　"/>
      <sheetName val="Finansal_tamamlanma_EkԀ䀀"/>
      <sheetName val="Finansal_tamamlanma_EkԀ"/>
      <sheetName val="Finansal_tamamlanma_EkԀ"/>
      <sheetName val="Finansal_tamamlanma_EkԀ뀀"/>
      <sheetName val="Finansal_tamamlanma_EkԀ쀀"/>
      <sheetName val="IH_03_21"/>
      <sheetName val="OS_-_04_2020"/>
      <sheetName val="OS_-_07_2020"/>
      <sheetName val="OS_-_08_2020"/>
      <sheetName val="OS_-_09_2020"/>
      <sheetName val="OS_-_10_2020"/>
      <sheetName val="OS_-_12_2020"/>
      <sheetName val="OS_-_01_2021"/>
      <sheetName val="OS_-_02_2021"/>
      <sheetName val="OS_-_04_2021"/>
      <sheetName val="OS_-_05_2021"/>
      <sheetName val="OS_-_06_2021"/>
      <sheetName val="OS_-_07_2021"/>
      <sheetName val="OS_-_08_2021"/>
      <sheetName val="OS_-_09_2021"/>
      <sheetName val="OS_-_10_2021"/>
      <sheetName val="OS_-_11_2021"/>
      <sheetName val="OS_-_12_2021"/>
      <sheetName val="OS_-_05_2020"/>
      <sheetName val="OS_-_06_2020"/>
      <sheetName val="OS_-_11_2020"/>
      <sheetName val="OS_-_03_2021"/>
      <sheetName val="Beam_Sched"/>
      <sheetName val="숷트䄄"/>
      <sheetName val="중기조종사_단위단가"/>
      <sheetName val="201803"/>
      <sheetName val="h-013211-2"/>
      <sheetName val="TESİSAT"/>
      <sheetName val="BHANDUP"/>
      <sheetName val="48일위"/>
      <sheetName val="품셈"/>
      <sheetName val="남양구조시험동"/>
      <sheetName val="exp"/>
      <sheetName val="manhour"/>
      <sheetName val="progress(RM)"/>
      <sheetName val="영업소실적"/>
      <sheetName val="12CGOU"/>
      <sheetName val="電源計画"/>
      <sheetName val="1.설계기준"/>
      <sheetName val="D____0526_______11111___2"/>
      <sheetName val="플랜트 설치"/>
      <sheetName val="내역서01"/>
      <sheetName val="회사정_x0000_"/>
      <sheetName val="負荷集計ß"/>
      <sheetName val="負荷集計劬_x0010__x0000__x0000__x000"/>
      <sheetName val="방배동내_x0000__x0000_Ԁ_x0000__x000"/>
      <sheetName val="역T형(H=6.0) (2)"/>
      <sheetName val="Budget"/>
      <sheetName val="집계표(OPuꠀ´_x0000__x0000_"/>
      <sheetName val="집계표(OPuﬀ_x0000__x0000_"/>
      <sheetName val="동부건설.강릉,테헤란로,강남빌딩"/>
      <sheetName val="진행 DATA (2)"/>
      <sheetName val="공사비증감"/>
      <sheetName val="부속동"/>
      <sheetName val="9.탞"/>
      <sheetName val="CostDB"/>
      <sheetName val="data_dci"/>
      <sheetName val="data_mci"/>
      <sheetName val="behind"/>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01"/>
      <sheetName val="P.M 별"/>
      <sheetName val="15 문제점"/>
      <sheetName val="내역서01"/>
      <sheetName val="TOWER 12TON"/>
      <sheetName val="TOWER 10TON"/>
      <sheetName val="Sheet2 (2)"/>
      <sheetName val="유림총괄"/>
      <sheetName val="95년12월말"/>
      <sheetName val="분개장"/>
      <sheetName val="발주현황"/>
      <sheetName val="조명시설"/>
      <sheetName val="세금자료"/>
      <sheetName val="시행예산"/>
      <sheetName val="실행철강하도"/>
      <sheetName val="유림골조"/>
      <sheetName val="공통부대비"/>
      <sheetName val="현장지지물물량"/>
      <sheetName val="2.1.2예정공정율(칼라)"/>
      <sheetName val="경상"/>
      <sheetName val="일산실행내역"/>
      <sheetName val="표5"/>
      <sheetName val="#REF"/>
      <sheetName val="Code"/>
      <sheetName val="수입"/>
      <sheetName val="MEED"/>
      <sheetName val="CONCRETE"/>
      <sheetName val="노임단가"/>
      <sheetName val="변경요청내역"/>
      <sheetName val="Sheet1"/>
      <sheetName val="attchament-Type of Facilities"/>
      <sheetName val="attchament-Work Trade"/>
      <sheetName val="P_M_별"/>
      <sheetName val="15_문제점"/>
      <sheetName val="TOWER_12TON"/>
      <sheetName val="TOWER_10TON"/>
      <sheetName val="Sheet2_(2)"/>
      <sheetName val="Eq. Mobilization"/>
      <sheetName val="청산공사"/>
      <sheetName val="2.대외공문"/>
      <sheetName val="01"/>
      <sheetName val="2_1_2예정공정율(칼라)"/>
      <sheetName val="1.분양면적표"/>
      <sheetName val="3.DATA 입력 쉬트"/>
      <sheetName val="단가_단열재"/>
      <sheetName val="단가할증"/>
      <sheetName val="단가_유리"/>
      <sheetName val="갑지(A4)"/>
      <sheetName val="내역서적용수량"/>
      <sheetName val="총괄집계"/>
      <sheetName val="토적표"/>
      <sheetName val="되메우기"/>
      <sheetName val="1사진대지"/>
      <sheetName val="사진대지"/>
      <sheetName val="공정"/>
      <sheetName val="Materials "/>
      <sheetName val="Labour"/>
      <sheetName val="MAchinery(R1)"/>
      <sheetName val="SG"/>
      <sheetName val="안전율 검토 목록"/>
      <sheetName val="pier(각형)"/>
      <sheetName val="와동25-3(변경)"/>
      <sheetName val="내역서(기존내역-수정금지)"/>
      <sheetName val="YOEMAGUM"/>
      <sheetName val="정부노임단가"/>
      <sheetName val="매각(6)"/>
      <sheetName val="1월"/>
      <sheetName val="공사손익"/>
      <sheetName val="고자현황"/>
      <sheetName val="회사99"/>
      <sheetName val="예산서"/>
      <sheetName val="상반기손익차2총괄"/>
      <sheetName val="D-623D"/>
      <sheetName val="PE-F-42 Rev 01 Manpower"/>
      <sheetName val="Cash2"/>
      <sheetName val="Z"/>
      <sheetName val="1-G1"/>
      <sheetName val="표지"/>
      <sheetName val="매립"/>
      <sheetName val="설비원가"/>
      <sheetName val="실행"/>
      <sheetName val="6PILE  (돌출)"/>
      <sheetName val="B"/>
      <sheetName val="내역조정분석(하도)"/>
      <sheetName val="제목"/>
      <sheetName val="간접비"/>
      <sheetName val="예산대비"/>
      <sheetName val="DHEQSUPT"/>
      <sheetName val="입력시트"/>
      <sheetName val="P_M_별1"/>
      <sheetName val="15_문제점1"/>
      <sheetName val="TOWER_12TON1"/>
      <sheetName val="TOWER_10TON1"/>
      <sheetName val="Sheet2_(2)1"/>
      <sheetName val="Eq__Mobilization"/>
      <sheetName val="Materials_"/>
      <sheetName val="입찰내역 발주처 양식"/>
      <sheetName val="기안"/>
      <sheetName val="평"/>
      <sheetName val="공사개요"/>
      <sheetName val="내역서"/>
      <sheetName val="집계표"/>
      <sheetName val="입찰안"/>
      <sheetName val="내역"/>
      <sheetName val="단가 및 재료비"/>
      <sheetName val="단가산출2"/>
      <sheetName val="단가산출1"/>
      <sheetName val="중기사용료산출근거"/>
      <sheetName val="일위대가"/>
      <sheetName val="개산공사비"/>
      <sheetName val="데이타"/>
      <sheetName val="식재인부"/>
      <sheetName val="단가"/>
      <sheetName val="금액내역서"/>
      <sheetName val="제잡비"/>
      <sheetName val="공사비산출내역"/>
      <sheetName val="6호기"/>
      <sheetName val="대림경상68억"/>
      <sheetName val="견적율"/>
      <sheetName val="대창(함평)"/>
      <sheetName val="대창(장성)"/>
      <sheetName val="대창(함평)-창열"/>
      <sheetName val="난방방식분류"/>
      <sheetName val="공사정보입력"/>
      <sheetName val="C1.공사개요"/>
      <sheetName val="실행(1)"/>
      <sheetName val="A1.스케쥴"/>
      <sheetName val="날개벽(좌,우=45도,75도)"/>
      <sheetName val="DATA 입력란"/>
      <sheetName val="1. 설계조건 2.단면가정 3. 하중계산"/>
      <sheetName val="수량산출"/>
      <sheetName val="설계예시"/>
      <sheetName val="어음이자"/>
      <sheetName val="노임이"/>
      <sheetName val="CTEMCOST"/>
      <sheetName val="SAM"/>
      <sheetName val="설계기준"/>
      <sheetName val="내역1"/>
      <sheetName val="평3"/>
      <sheetName val="PAINT"/>
      <sheetName val="물량표S"/>
      <sheetName val="SUMMARY"/>
      <sheetName val="물량표"/>
      <sheetName val="건축내역"/>
      <sheetName val="설계명세서"/>
      <sheetName val="단위수량"/>
      <sheetName val="가시설수량"/>
      <sheetName val="3.고급화검토"/>
      <sheetName val="입면고급화단가표"/>
      <sheetName val="갑지(추정)"/>
      <sheetName val="장비집계"/>
      <sheetName val="동해title"/>
      <sheetName val="전계가"/>
      <sheetName val="연동내역"/>
      <sheetName val="결과조달"/>
      <sheetName val="도급원가"/>
      <sheetName val="수로BOX"/>
      <sheetName val="목차"/>
      <sheetName val="일위대가목차"/>
      <sheetName val="준공조서"/>
      <sheetName val="공사준공계"/>
      <sheetName val="준공검사보고서"/>
      <sheetName val="SERVICE"/>
      <sheetName val="맨홀수량집계"/>
      <sheetName val="ilch"/>
      <sheetName val="해외(원화)"/>
      <sheetName val="내역표지"/>
      <sheetName val="시험장S자로가로등공사"/>
      <sheetName val="갑지"/>
      <sheetName val="토목(대안)"/>
      <sheetName val="Total"/>
      <sheetName val="EQT-ESTN"/>
      <sheetName val="기안1"/>
      <sheetName val="마감사양"/>
      <sheetName val="견적서"/>
      <sheetName val="제경비율"/>
      <sheetName val="정공공사"/>
      <sheetName val="예총"/>
      <sheetName val="ABUT수량-A1"/>
      <sheetName val="산출내역서집계표"/>
      <sheetName val="A(Rev.3)"/>
      <sheetName val="N賃率-職"/>
      <sheetName val="초기화면"/>
      <sheetName val="관급자재"/>
      <sheetName val="삭제금지단가"/>
      <sheetName val="노암공통"/>
      <sheetName val="파일의이용"/>
      <sheetName val="원가계산서"/>
      <sheetName val="배수내역"/>
      <sheetName val="공문"/>
      <sheetName val="SCHEDULE"/>
      <sheetName val="요약BACKUP"/>
      <sheetName val="업무계획1"/>
      <sheetName val="기계경비(시간당)"/>
      <sheetName val="램머"/>
      <sheetName val="신대방33(적용)"/>
      <sheetName val="bid"/>
      <sheetName val="ENE-CAL"/>
      <sheetName val="JIB CRANE,HOIST"/>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attchament-Type_of_Facilities"/>
      <sheetName val="attchament-Work_Trade"/>
      <sheetName val="GKP"/>
      <sheetName val="품"/>
      <sheetName val="예가표"/>
      <sheetName val="중기비"/>
      <sheetName val="시산표"/>
      <sheetName val="분석"/>
      <sheetName val="Bill 1"/>
      <sheetName val="Bill 2"/>
      <sheetName val="Bill 3"/>
      <sheetName val="Bill 4"/>
      <sheetName val="Bill 5"/>
      <sheetName val="Bill 6"/>
      <sheetName val="Bill 7"/>
      <sheetName val="마산월령동골조물량변경"/>
      <sheetName val="UNIT RATE"/>
      <sheetName val="struktur"/>
      <sheetName val="아파트 기성내역서"/>
      <sheetName val="2_1_2예정공정율(칼라)1"/>
      <sheetName val="2_대외공문"/>
      <sheetName val="1_분양면적표"/>
      <sheetName val="3_DATA_입력_쉬트"/>
      <sheetName val="Raw Data"/>
      <sheetName val="CAT_5"/>
      <sheetName val="EQUIP"/>
      <sheetName val="Mob HO_Project"/>
      <sheetName val="C-18"/>
      <sheetName val="COA-17"/>
      <sheetName val="IMPEADENCE MAP 취수장"/>
      <sheetName val="eq_data"/>
      <sheetName val="운반"/>
      <sheetName val="당초"/>
      <sheetName val="XZLC004_PART2"/>
      <sheetName val="LABTOTAL"/>
      <sheetName val="D-3109"/>
      <sheetName val="전기"/>
      <sheetName val="대비표"/>
      <sheetName val="BQMPALOC"/>
      <sheetName val="jobhist"/>
      <sheetName val="페인트"/>
      <sheetName val="양수장(기계)"/>
      <sheetName val="piping"/>
      <sheetName val="공사비SUM"/>
      <sheetName val="CODE5090"/>
      <sheetName val="예산실적전체당월"/>
      <sheetName val="철골공사"/>
      <sheetName val="구성비"/>
      <sheetName val="COVER"/>
      <sheetName val="IGCC査定"/>
      <sheetName val="evaluate"/>
      <sheetName val="Data Validation"/>
      <sheetName val="금융비용"/>
      <sheetName val="ATD"/>
      <sheetName val="Change Order Log"/>
      <sheetName val="주요자재집계"/>
      <sheetName val="0226"/>
      <sheetName val="품셈"/>
      <sheetName val="12CGOU"/>
      <sheetName val="F4-F7"/>
      <sheetName val="A5"/>
      <sheetName val="포장복구집계"/>
      <sheetName val="도"/>
      <sheetName val="CAL1"/>
      <sheetName val="기성내역"/>
      <sheetName val="일위"/>
      <sheetName val="P_M_별2"/>
      <sheetName val="15_문제점2"/>
      <sheetName val="TOWER_12TON2"/>
      <sheetName val="TOWER_10TON2"/>
      <sheetName val="Sheet2_(2)2"/>
      <sheetName val="2_1_2예정공정율(칼라)2"/>
      <sheetName val="Eq__Mobilization1"/>
      <sheetName val="attchament-Type_of_Facilities1"/>
      <sheetName val="attchament-Work_Trade1"/>
      <sheetName val="2_대외공문1"/>
      <sheetName val="1_분양면적표1"/>
      <sheetName val="3_DATA_입력_쉬트1"/>
      <sheetName val="Materials_1"/>
      <sheetName val="안전율_검토_목록"/>
      <sheetName val="PE-F-42_Rev_01_Manpower"/>
      <sheetName val="6PILE__(돌출)"/>
      <sheetName val="입찰내역_발주처_양식"/>
      <sheetName val="단가_및_재료비"/>
      <sheetName val="C1_공사개요"/>
      <sheetName val="A1_스케쥴"/>
      <sheetName val="DATA_입력란"/>
      <sheetName val="1__설계조건_2_단면가정_3__하중계산"/>
      <sheetName val="3_고급화검토"/>
      <sheetName val="A(Rev_3)"/>
      <sheetName val="JIB_CRANE,HOIST"/>
      <sheetName val="TONG_HOP_VL-NC"/>
      <sheetName val="TONGKE3p_"/>
      <sheetName val="TH_VL,_NC,_DDHT_Thanhphuoc"/>
      <sheetName val="DON_GIA"/>
      <sheetName val="CHITIET_VL-NC"/>
      <sheetName val="아파트_기성내역서"/>
      <sheetName val="Bill_1"/>
      <sheetName val="Bill_2"/>
      <sheetName val="Bill_3"/>
      <sheetName val="Bill_4"/>
      <sheetName val="Bill_5"/>
      <sheetName val="Bill_6"/>
      <sheetName val="Bill_7"/>
      <sheetName val="UNIT_RATE"/>
      <sheetName val="Raw_Data"/>
      <sheetName val="Mob_HO_Project"/>
      <sheetName val="IMPEADENCE_MAP_취수장"/>
      <sheetName val="이크레더블 회신자료"/>
      <sheetName val="RAB"/>
      <sheetName val="escon"/>
      <sheetName val="Urai _Resap pengikat"/>
      <sheetName val="AS복구"/>
      <sheetName val="중기터파기"/>
      <sheetName val="변수값"/>
      <sheetName val="중기상차"/>
      <sheetName val="I-KAMAR"/>
      <sheetName val="SJK"/>
      <sheetName val="SJB"/>
      <sheetName val="가설공사 내역"/>
      <sheetName val="집계표(OPTION)"/>
      <sheetName val="I一般比"/>
      <sheetName val="변경내역대비표(2)"/>
      <sheetName val="ELECTRIC"/>
      <sheetName val="TTL"/>
      <sheetName val="PROJECT LIST"/>
      <sheetName val="Option"/>
      <sheetName val="조건표"/>
      <sheetName val="간선계산"/>
      <sheetName val="차액보증"/>
      <sheetName val="일반공사"/>
      <sheetName val="MOTOR"/>
      <sheetName val="설계내역서"/>
      <sheetName val="노임"/>
      <sheetName val="하수급견적대비"/>
      <sheetName val="S0"/>
      <sheetName val="현장관리비 산출내역"/>
      <sheetName val="실행대비"/>
      <sheetName val="청천내"/>
      <sheetName val="평가데이터"/>
      <sheetName val="9902"/>
      <sheetName val="연결임시"/>
      <sheetName val="구조물공"/>
      <sheetName val="2000년1차"/>
      <sheetName val="9509"/>
      <sheetName val="노무비"/>
      <sheetName val="부대공"/>
      <sheetName val="저"/>
      <sheetName val="배수공"/>
      <sheetName val="본공사"/>
      <sheetName val="여과지동"/>
      <sheetName val="기초자료"/>
      <sheetName val="200"/>
      <sheetName val="토공"/>
      <sheetName val="포장공"/>
      <sheetName val="신공항A-9(원가수정)"/>
      <sheetName val="TABLE-A"/>
      <sheetName val="업무처리전"/>
      <sheetName val="slipsumpR"/>
      <sheetName val="Mp-team 1"/>
      <sheetName val="Listrik"/>
      <sheetName val="analysis"/>
      <sheetName val=""/>
      <sheetName val="연돌일위집계"/>
      <sheetName val="Rate Analysis"/>
      <sheetName val="산출2-기기동력"/>
      <sheetName val="백분율"/>
      <sheetName val="금융"/>
      <sheetName val="예정(3)"/>
      <sheetName val="도급"/>
      <sheetName val="L-type"/>
      <sheetName val="타현장 대비"/>
      <sheetName val="NP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INNER FULE"/>
      <sheetName val="적용할증"/>
      <sheetName val="연돌일위집계"/>
      <sheetName val="일위대가"/>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Sheet1"/>
      <sheetName val="연돌내역서"/>
      <sheetName val="연돌"/>
      <sheetName val="Sheet2"/>
      <sheetName val="Sheet3"/>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Sheet10"/>
      <sheetName val="Sheet11"/>
      <sheetName val="Sheet12"/>
      <sheetName val="Sheet13"/>
      <sheetName val="Sheet14"/>
      <sheetName val="Sheet15"/>
      <sheetName val="Sheet16"/>
      <sheetName val="그래프data"/>
      <sheetName val="정부노임단가"/>
      <sheetName val="갑지(추정)"/>
      <sheetName val="㽓다리수량"/>
      <sheetName val="공문"/>
      <sheetName val="실행(1)"/>
      <sheetName val="단가표"/>
      <sheetName val="노원열병합  건축공사기성내역서"/>
      <sheetName val="설계예산서"/>
      <sheetName val="01"/>
      <sheetName val="PIPE내역(FCN)"/>
      <sheetName val="목표세부명세"/>
      <sheetName val="DRUM"/>
      <sheetName val="SG"/>
      <sheetName val="금액내역서"/>
      <sheetName val="건축집계"/>
      <sheetName val="일위대가-목록"/>
      <sheetName val="결과조달"/>
      <sheetName val="배관(TDI ISBL)"/>
      <sheetName val="h-013211-2"/>
      <sheetName val="품셈"/>
      <sheetName val="가시설흙막이"/>
      <sheetName val="직재"/>
      <sheetName val="TOWER 12TON"/>
      <sheetName val="TOWER 10TON"/>
      <sheetName val="당초"/>
      <sheetName val="0226"/>
      <sheetName val="PBS"/>
      <sheetName val="CAT_5"/>
      <sheetName val="노임단가"/>
      <sheetName val="단중"/>
      <sheetName val="품셈표"/>
      <sheetName val="공사내역"/>
      <sheetName val="D-3109"/>
      <sheetName val="기계설비"/>
      <sheetName val="연돌내역일위"/>
      <sheetName val="TB-내역서"/>
      <sheetName val="소비자가"/>
      <sheetName val="1ST"/>
      <sheetName val="3.공통공사대비"/>
      <sheetName val="실행"/>
      <sheetName val="1단계"/>
      <sheetName val=" 견적서"/>
      <sheetName val="PIPE"/>
      <sheetName val="FLANGE"/>
      <sheetName val="VALVE"/>
      <sheetName val="INNER_FULE"/>
      <sheetName val="00년_1월"/>
      <sheetName val="00년_2월"/>
      <sheetName val="00년_3월"/>
      <sheetName val="00년_4월"/>
      <sheetName val="00년_5월"/>
      <sheetName val="00년_7월"/>
      <sheetName val="00년_8월"/>
      <sheetName val="00년_9월"/>
      <sheetName val="노원열병합__건축공사기성내역서"/>
      <sheetName val="배관(TDI_ISBL)"/>
      <sheetName val="TOWER_12TON"/>
      <sheetName val="TOWER_10TON"/>
      <sheetName val="C3"/>
      <sheetName val="TDI ISBL"/>
      <sheetName val="misc"/>
      <sheetName val="동축분 종합설계서"/>
      <sheetName val="전기일위대가"/>
      <sheetName val="#REF"/>
      <sheetName val="내"/>
      <sheetName val="청산공사"/>
      <sheetName val="예가표"/>
      <sheetName val="S003031"/>
      <sheetName val="유림골조"/>
      <sheetName val="IW-LIST"/>
      <sheetName val="안국연체"/>
      <sheetName val="현장경상비"/>
      <sheetName val="6호기"/>
      <sheetName val="Summary"/>
      <sheetName val="24V"/>
      <sheetName val="Sheet5"/>
      <sheetName val="기준"/>
      <sheetName val="일위대가(여기까지)"/>
      <sheetName val="도"/>
      <sheetName val="견적"/>
      <sheetName val="B"/>
      <sheetName val="Sheet4"/>
      <sheetName val="전기"/>
      <sheetName val="집계"/>
      <sheetName val="기본일위"/>
      <sheetName val="직노"/>
      <sheetName val="I一般比"/>
      <sheetName val="내역서2안"/>
      <sheetName val="설직재-1"/>
      <sheetName val="APT"/>
      <sheetName val="건축(광주)"/>
      <sheetName val="ELECTRIC"/>
      <sheetName val="CTEMCOST"/>
      <sheetName val="SCHEDULE"/>
      <sheetName val="일반부표"/>
      <sheetName val="설계예시"/>
      <sheetName val="내역서(총)"/>
      <sheetName val="세대내부"/>
      <sheetName val="노임"/>
      <sheetName val="수주전망영업부"/>
      <sheetName val="trf(36%)"/>
      <sheetName val="지급자재"/>
      <sheetName val="도면자료제출일정"/>
      <sheetName val="부표총괄"/>
      <sheetName val="SOS_PLC &amp; Panel"/>
      <sheetName val="CALCULATION"/>
      <sheetName val="REFTABLE"/>
      <sheetName val="NAMES"/>
      <sheetName val="D-623D"/>
      <sheetName val="수금 "/>
      <sheetName val="12월정산수금현황"/>
      <sheetName val="수정시산표"/>
      <sheetName val="BACKDATA"/>
      <sheetName val="A"/>
      <sheetName val="외화"/>
      <sheetName val="2 카드채권(대출포함)"/>
      <sheetName val="자금동향"/>
      <sheetName val="설치공사"/>
      <sheetName val="MINA BM"/>
      <sheetName val="금융비용"/>
      <sheetName val="C-301E~305E"/>
      <sheetName val="입상내역"/>
      <sheetName val="수문일위1"/>
      <sheetName val="CONC SLAB"/>
      <sheetName val="수로단위수량"/>
      <sheetName val="설계조건"/>
      <sheetName val="건축-물가변동"/>
      <sheetName val="기준표"/>
      <sheetName val="카메라(TO양식변경)"/>
      <sheetName val="공통비총괄표"/>
      <sheetName val="BQ"/>
      <sheetName val="nde_request"/>
      <sheetName val="TCF"/>
      <sheetName val="人力"/>
      <sheetName val="分析2-安装包"/>
      <sheetName val="Back data Table"/>
      <sheetName val="조건표"/>
      <sheetName val="집계표"/>
      <sheetName val="수입"/>
      <sheetName val="제직재"/>
      <sheetName val="공사비증감"/>
      <sheetName val="월별cashflow"/>
      <sheetName val="사업검토"/>
      <sheetName val="월별경비집행"/>
      <sheetName val="견적조건"/>
      <sheetName val="NYS"/>
      <sheetName val="ERECIN"/>
      <sheetName val="동축분_종합설계서"/>
      <sheetName val="3_공통공사대비"/>
      <sheetName val="TDI_ISBL"/>
      <sheetName val="MINA_BM"/>
      <sheetName val="갑지"/>
      <sheetName val="INSTR"/>
      <sheetName val="Sheet9"/>
      <sheetName val="발전기"/>
      <sheetName val="간선"/>
      <sheetName val="전기자료"/>
      <sheetName val="내역서"/>
      <sheetName val="사업부배부A"/>
      <sheetName val="9-1차이내역"/>
      <sheetName val="1.설계기준"/>
      <sheetName val="0708"/>
      <sheetName val="일위"/>
      <sheetName val="Y-WORK"/>
      <sheetName val="일위대가(계측기설치)"/>
      <sheetName val="INNER_FULE1"/>
      <sheetName val="00년_1월1"/>
      <sheetName val="00년_2월1"/>
      <sheetName val="00년_3월1"/>
      <sheetName val="00년_4월1"/>
      <sheetName val="00년_5월1"/>
      <sheetName val="00년_7월1"/>
      <sheetName val="00년_8월1"/>
      <sheetName val="00년_9월1"/>
      <sheetName val="노원열병합__건축공사기성내역서1"/>
      <sheetName val="배관(TDI_ISBL)1"/>
      <sheetName val="TOWER_12TON1"/>
      <sheetName val="TOWER_10TON1"/>
      <sheetName val="_견적서"/>
      <sheetName val="7.1유효폭"/>
      <sheetName val="할증 "/>
      <sheetName val="LinerWt"/>
      <sheetName val="6PILE  (돌출)"/>
      <sheetName val="PIPE(UG)내역"/>
      <sheetName val="표지"/>
      <sheetName val="금융"/>
      <sheetName val="토공정보"/>
      <sheetName val="두앙"/>
      <sheetName val="다이꾸"/>
      <sheetName val="계정"/>
      <sheetName val="부하계산서"/>
      <sheetName val="calc"/>
      <sheetName val="수량산출서 갑지"/>
      <sheetName val="프랜트면허"/>
      <sheetName val="AC포장수량"/>
      <sheetName val="국내"/>
      <sheetName val="DATA2000"/>
      <sheetName val="품셈TABLE"/>
      <sheetName val="KMX(현대토목)"/>
      <sheetName val="BQMPALOC"/>
      <sheetName val="COVER-P"/>
      <sheetName val="매출"/>
      <sheetName val="현장관리비"/>
      <sheetName val="노임이"/>
      <sheetName val="골프장예산"/>
      <sheetName val="실행내역서 "/>
      <sheetName val="설계명세서"/>
      <sheetName val="IMPEADENCE MAP 취수장"/>
      <sheetName val="앉음벽 (2)"/>
      <sheetName val="원가계산서(남측)"/>
      <sheetName val="MIBK원단위"/>
      <sheetName val="KUNGDEVI"/>
      <sheetName val="sum"/>
      <sheetName val="97 사업추정(WEKI)"/>
      <sheetName val="sum1 (2)"/>
      <sheetName val="모니터"/>
      <sheetName val="설비원가"/>
      <sheetName val="손익분석"/>
      <sheetName val="12CGOU"/>
      <sheetName val="본선 토공 분배표"/>
      <sheetName val="가격조사서"/>
      <sheetName val="단면 (2)"/>
      <sheetName val="자금신청서"/>
      <sheetName val="판가반영"/>
      <sheetName val="기계경비 (2)"/>
      <sheetName val="BID"/>
      <sheetName val="단가조사"/>
      <sheetName val="Supplement2"/>
      <sheetName val="제-노임"/>
      <sheetName val="TRE TABLE"/>
      <sheetName val="DATA"/>
      <sheetName val="내역서(증축)"/>
      <sheetName val="Insts"/>
      <sheetName val="costing_CV"/>
      <sheetName val="costing_ESDV"/>
      <sheetName val="costing_FE"/>
      <sheetName val="costing_Misc"/>
      <sheetName val="costing_MOV"/>
      <sheetName val="costing_Press"/>
      <sheetName val="관로토공집계표"/>
      <sheetName val="총물량"/>
      <sheetName val="공사비예산서(토목분)"/>
      <sheetName val="대림경상68억"/>
      <sheetName val="예정(3)"/>
      <sheetName val="동원(3)"/>
      <sheetName val="집계표(OPTION)"/>
      <sheetName val="Code_INTools"/>
      <sheetName val="Default_Magics"/>
      <sheetName val="Code_Magics"/>
      <sheetName val="Code"/>
      <sheetName val="PIPE-HOT"/>
      <sheetName val="Cash2"/>
      <sheetName val="Z"/>
      <sheetName val="TG9504"/>
      <sheetName val="표지 (2)"/>
      <sheetName val="P.M 별"/>
      <sheetName val="경산"/>
      <sheetName val="공사현황"/>
      <sheetName val="공종별 공사비변동"/>
      <sheetName val="J直材4"/>
      <sheetName val="부속동"/>
      <sheetName val="개요"/>
      <sheetName val="일위대가목차"/>
      <sheetName val="부하(성남)"/>
      <sheetName val="5.소재"/>
      <sheetName val="날개벽수량표"/>
      <sheetName val="의뢰서"/>
      <sheetName val="VV보온LINK"/>
      <sheetName val="FIT보온LINK"/>
      <sheetName val="BACKDA_x0014_A"/>
      <sheetName val="조립지적"/>
      <sheetName val="오산갈곳"/>
      <sheetName val="Civil"/>
      <sheetName val="DB@Acess"/>
      <sheetName val="PRO_DCI"/>
      <sheetName val="INST_DCI"/>
      <sheetName val="HVAC_DCI"/>
      <sheetName val="PIPE_DCI"/>
      <sheetName val="TTL"/>
      <sheetName val="배수내역"/>
      <sheetName val="만기"/>
      <sheetName val="마감사양"/>
      <sheetName val="외주계약현황"/>
      <sheetName val="자재계약내용"/>
      <sheetName val="입찰내역 발주처 양식"/>
      <sheetName val="COPING"/>
      <sheetName val="유림총괄"/>
      <sheetName val="ilch"/>
      <sheetName val="토공(완충)"/>
      <sheetName val="3BL공동구 수량"/>
      <sheetName val="방배동내역(리라)"/>
      <sheetName val="CODE (2)"/>
      <sheetName val="DB"/>
      <sheetName val="토공실행"/>
      <sheetName val="GRDBS"/>
      <sheetName val="단가표 "/>
      <sheetName val="밸브설치"/>
      <sheetName val="경상비"/>
      <sheetName val="실행대비"/>
      <sheetName val="공사개요"/>
      <sheetName val="청천내"/>
      <sheetName val="도급내역"/>
      <sheetName val="세부내역"/>
      <sheetName val="연결임시"/>
      <sheetName val="구조물공"/>
      <sheetName val="내역"/>
      <sheetName val="2000년1차"/>
      <sheetName val="투찰추정"/>
      <sheetName val="도급내역5+800"/>
      <sheetName val="수목표준대가"/>
      <sheetName val="JUCKEYK"/>
      <sheetName val="부대공"/>
      <sheetName val="도급금액"/>
      <sheetName val="재노경"/>
      <sheetName val="일위대가(가설)"/>
      <sheetName val="단가"/>
      <sheetName val="배수공"/>
      <sheetName val="설계"/>
      <sheetName val="포장공"/>
      <sheetName val="일위대가(1)"/>
      <sheetName val="총공사내역서"/>
      <sheetName val="200"/>
      <sheetName val="토공"/>
      <sheetName val="도급"/>
      <sheetName val="설 계"/>
      <sheetName val="입찰안"/>
      <sheetName val="WORK"/>
      <sheetName val="일반공사"/>
      <sheetName val="MOTOR"/>
      <sheetName val="충주"/>
      <sheetName val="입출재고현황 (2)"/>
      <sheetName val="구조물철거타공정이월"/>
      <sheetName val="절단표"/>
      <sheetName val="20-25"/>
      <sheetName val="0000"/>
      <sheetName val="PRICES"/>
      <sheetName val="INNER_FULE2"/>
      <sheetName val="00년_1월2"/>
      <sheetName val="00년_2월2"/>
      <sheetName val="00년_3월2"/>
      <sheetName val="00년_4월2"/>
      <sheetName val="00년_5월2"/>
      <sheetName val="00년_7월2"/>
      <sheetName val="00년_8월2"/>
      <sheetName val="00년_9월2"/>
      <sheetName val="노원열병합__건축공사기성내역서2"/>
      <sheetName val="배관(TDI_ISBL)2"/>
      <sheetName val="TOWER_12TON2"/>
      <sheetName val="TOWER_10TON2"/>
      <sheetName val="3_공통공사대비1"/>
      <sheetName val="_견적서1"/>
      <sheetName val="TDI_ISBL1"/>
      <sheetName val="cable-data"/>
      <sheetName val="허용전류-IEC"/>
      <sheetName val="허용전류-IEC DATA"/>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대비표"/>
      <sheetName val="변경집계표"/>
      <sheetName val="Base_Data"/>
      <sheetName val="PROCURE"/>
      <sheetName val="공사비SUM"/>
      <sheetName val="wagerate"/>
      <sheetName val="Total"/>
      <sheetName val="cable"/>
      <sheetName val="Appendix 2"/>
      <sheetName val="Appendix 3"/>
      <sheetName val="Appendix 4(a)_Civil"/>
      <sheetName val="Appendix 4(c)_Piping"/>
      <sheetName val="Appendix 4(b)_Elec."/>
      <sheetName val="临时设施费"/>
      <sheetName val="SW"/>
      <sheetName val="Summary12"/>
      <sheetName val="Summary11"/>
      <sheetName val="OVERALL-PKG#1"/>
      <sheetName val="을"/>
      <sheetName val="SHL"/>
      <sheetName val="22-Plant"/>
      <sheetName val="Supervision List"/>
      <sheetName val="CostDB"/>
      <sheetName val="BQ_Process "/>
      <sheetName val="BQ_Building "/>
      <sheetName val="fire alarm"/>
      <sheetName val="Tank Elec. BM "/>
      <sheetName val="132kv.BM "/>
      <sheetName val="Inert Balls"/>
      <sheetName val="HRB"/>
      <sheetName val="PROCESS"/>
      <sheetName val="Subcon A"/>
      <sheetName val="jobhist"/>
      <sheetName val="Engrg Est"/>
      <sheetName val="집계표(덕화)"/>
      <sheetName val="EQUIPMENT"/>
      <sheetName val="설계명세서(선로)"/>
      <sheetName val="방배2E"/>
      <sheetName val="slipsumpR"/>
      <sheetName val="BOQ for HRSG &amp; BOP-mech."/>
      <sheetName val="Desal-E&amp;I"/>
      <sheetName val="BOQ for GTG &amp; STG-mech."/>
      <sheetName val="Gia vat tu"/>
      <sheetName val="동축분_종합설계서1"/>
      <sheetName val="MINA_BM1"/>
      <sheetName val="수금_"/>
      <sheetName val="2_카드채권(대출포함)"/>
      <sheetName val="Back_data_Table"/>
      <sheetName val="CONC_SLAB"/>
      <sheetName val="SOS_PLC_&amp;_Panel"/>
      <sheetName val="할증_"/>
      <sheetName val="1_설계기준"/>
      <sheetName val="6PILE__(돌출)"/>
      <sheetName val="97_사업추정(WEKI)"/>
      <sheetName val="7_1유효폭"/>
      <sheetName val="실행내역서_"/>
      <sheetName val="IMPEADENCE_MAP_취수장"/>
      <sheetName val="견"/>
      <sheetName val="교각1"/>
      <sheetName val="BSD (2)"/>
      <sheetName val="FORM-0"/>
      <sheetName val="연수동"/>
      <sheetName val="특기사항"/>
      <sheetName val="일위대가 "/>
      <sheetName val="WELDING POINT 단가"/>
      <sheetName val="정산내역"/>
      <sheetName val="산거각호표"/>
      <sheetName val="대로근거"/>
      <sheetName val="중로근거"/>
      <sheetName val="기초자료입력"/>
      <sheetName val="공통비(전체)"/>
      <sheetName val="사통"/>
      <sheetName val="일위대가_여기까지_"/>
      <sheetName val=" 공사개요.xlsx"/>
      <sheetName val="품"/>
      <sheetName val="수주추정"/>
      <sheetName val="3.PIPING"/>
      <sheetName val="교각계산"/>
      <sheetName val="역T형"/>
      <sheetName val="견적단가"/>
      <sheetName val="자재비산출(perlite)"/>
      <sheetName val="0124"/>
      <sheetName val="Cable경로수정_SRS_제출_견적내역(20120215)"/>
      <sheetName val="코드"/>
      <sheetName val="COST"/>
      <sheetName val="기본사항"/>
      <sheetName val="을-ATYPE"/>
      <sheetName val="정보"/>
      <sheetName val="입력"/>
      <sheetName val="Project_Brief1"/>
      <sheetName val="Breakdown"/>
      <sheetName val="금액집계"/>
      <sheetName val="ITEM"/>
      <sheetName val="1공구(을)"/>
      <sheetName val="UnitRate"/>
      <sheetName val="연부97-1"/>
      <sheetName val="21301동"/>
      <sheetName val="산출내역서집계표"/>
      <sheetName val="mto-rev0B"/>
      <sheetName val="SUPT_Column"/>
      <sheetName val="SUPT_Rafter"/>
      <sheetName val="SUPT_STR2"/>
      <sheetName val="SUPT_Girder"/>
      <sheetName val="Int Wind Girder"/>
      <sheetName val="AnchorB"/>
      <sheetName val="AnchorC"/>
      <sheetName val="Shell (App A)"/>
      <sheetName val="Cover"/>
      <sheetName val="Annular"/>
      <sheetName val="Wind"/>
      <sheetName val="Rafter_Only"/>
      <sheetName val="App F"/>
      <sheetName val="Seismic"/>
      <sheetName val="Shell (VP Dgn)"/>
      <sheetName val="DHEQSUPT"/>
      <sheetName val="배관 PANIT 물량"/>
      <sheetName val="MTP"/>
      <sheetName val="공내역"/>
      <sheetName val="ERECT"/>
      <sheetName val="Master_Data"/>
      <sheetName val="개시대사 (2)"/>
      <sheetName val="hvac(제어동)"/>
      <sheetName val="9GNG운반"/>
      <sheetName val="N賃率-職"/>
      <sheetName val="조명시설"/>
      <sheetName val="1,2,3,4,5단위수량"/>
      <sheetName val="그래프(안전환경)"/>
      <sheetName val="현장지지물물량"/>
      <sheetName val="터파기및재료"/>
      <sheetName val="BOX(1.5X1.5)"/>
      <sheetName val="MTO REV.2(ARMOR)"/>
      <sheetName val="충돌 내용"/>
      <sheetName val="연습"/>
      <sheetName val="BAND(200)"/>
      <sheetName val="OUTER AREA(겹침없음)"/>
      <sheetName val="EG-09"/>
      <sheetName val="A-100전제"/>
      <sheetName val="Summary Sheets"/>
      <sheetName val="cal"/>
      <sheetName val="기계내역"/>
      <sheetName val="손익합산"/>
      <sheetName val="간접비내역-1"/>
      <sheetName val="실행철강하도"/>
      <sheetName val="MAT_N048"/>
      <sheetName val="아울렛박스"/>
      <sheetName val="산출근거"/>
      <sheetName val="산근"/>
      <sheetName val="BOX"/>
      <sheetName val="ASCEandUBC"/>
      <sheetName val="공통부대비"/>
      <sheetName val="전계가"/>
      <sheetName val="업무담당"/>
      <sheetName val="사진"/>
      <sheetName val="PAY"/>
      <sheetName val="YES-T"/>
      <sheetName val="Sheet17"/>
      <sheetName val="단가산출"/>
      <sheetName val="설산1.나"/>
      <sheetName val="본사S"/>
      <sheetName val="왕십리방향"/>
      <sheetName val="자재단가"/>
      <sheetName val="BACKDA_x005f_x0014_A"/>
      <sheetName val="00년 湓畃"/>
      <sheetName val="She_x000c_+_x0000_"/>
      <sheetName val=""/>
      <sheetName val="name"/>
      <sheetName val="Cost Report-B&amp;V Det"/>
      <sheetName val="인원현황"/>
      <sheetName val="내역1"/>
      <sheetName val="단중표_ST"/>
      <sheetName val="CIVIL4"/>
      <sheetName val="갑지1"/>
      <sheetName val="별표 "/>
      <sheetName val="설계내역서"/>
      <sheetName val="공정기계"/>
      <sheetName val="계장"/>
      <sheetName val="토목"/>
      <sheetName val="건축"/>
      <sheetName val="자재집계"/>
      <sheetName val="삼광기업0120"/>
      <sheetName val="음료실행"/>
      <sheetName val="실행(표지,갑,을)"/>
      <sheetName val="실행(ALT1)"/>
      <sheetName val="동원인원"/>
      <sheetName val="원본"/>
      <sheetName val="EQUIPMENT -2"/>
      <sheetName val="CD,TH,TP"/>
      <sheetName val="Tong Hop"/>
      <sheetName val="He 06"/>
      <sheetName val="Nam 2004"/>
      <sheetName val="Nam 2003"/>
      <sheetName val="Nam 2005"/>
      <sheetName val="Nam 2002"/>
      <sheetName val="XL4Poppy"/>
      <sheetName val="Memb Schd"/>
      <sheetName val="Personnel"/>
      <sheetName val="ANALISA"/>
      <sheetName val="BEND LOSS"/>
      <sheetName val="적정심사"/>
      <sheetName val="건기토"/>
      <sheetName val="상세일위"/>
      <sheetName val="단가(보완)"/>
      <sheetName val="대가 (보완)"/>
      <sheetName val="CAL1"/>
      <sheetName val="내역표지"/>
      <sheetName val="대부예산서"/>
      <sheetName val="90EL JACKET"/>
      <sheetName val="JACKET(50,50)"/>
      <sheetName val="첨부_예산"/>
      <sheetName val="일위(PN)"/>
      <sheetName val="Tap"/>
      <sheetName val="EQUIP"/>
      <sheetName val="F801"/>
      <sheetName val="consumption"/>
      <sheetName val="CONCRETE"/>
      <sheetName val="계수시트"/>
      <sheetName val="원가계산서"/>
      <sheetName val="물량표(신)"/>
      <sheetName val="AILC004"/>
      <sheetName val="준검 내역서"/>
      <sheetName val="2010년 투입계획 (2)"/>
      <sheetName val="Nalut (천단위)"/>
      <sheetName val="수량산출서(코너앵글)"/>
      <sheetName val="간접"/>
      <sheetName val="Overview discount gross &amp; trans"/>
      <sheetName val="대비"/>
      <sheetName val="DATE"/>
      <sheetName val="Sheeta"/>
      <sheetName val="Units+rev"/>
      <sheetName val="토목주소"/>
      <sheetName val="양식_자재단가조사표"/>
      <sheetName val="교통대책내역"/>
      <sheetName val="UB2"/>
      <sheetName val="TRE_TABLE"/>
      <sheetName val="P_M_별"/>
      <sheetName val="CODE_(2)"/>
      <sheetName val="sum1_(2)"/>
      <sheetName val="기계경비_(2)"/>
      <sheetName val="단가표_"/>
      <sheetName val="표지_(2)"/>
      <sheetName val="공종별_공사비변동"/>
      <sheetName val="본선_토공_분배표"/>
      <sheetName val="수량산출서_갑지"/>
      <sheetName val="_HIT-&gt;HMC_견적(3900)"/>
      <sheetName val="자재"/>
      <sheetName val="INNER_FULE3"/>
      <sheetName val="00년_1월3"/>
      <sheetName val="00년_2월3"/>
      <sheetName val="00년_3월3"/>
      <sheetName val="00년_4월3"/>
      <sheetName val="00년_5월3"/>
      <sheetName val="00년_7월3"/>
      <sheetName val="00년_8월3"/>
      <sheetName val="00년_9월3"/>
      <sheetName val="노원열병합__건축공사기성내역서3"/>
      <sheetName val="TOWER_12TON3"/>
      <sheetName val="TOWER_10TON3"/>
      <sheetName val="동축분_종합설계서2"/>
      <sheetName val="배관(TDI_ISBL)3"/>
      <sheetName val="_견적서2"/>
      <sheetName val="3_공통공사대비2"/>
      <sheetName val="TDI_ISBL2"/>
      <sheetName val="수금_1"/>
      <sheetName val="2_카드채권(대출포함)1"/>
      <sheetName val="SOS_PLC_&amp;_Panel1"/>
      <sheetName val="MINA_BM2"/>
      <sheetName val="CONC_SLAB1"/>
      <sheetName val="Back_data_Table1"/>
      <sheetName val="6PILE__(돌출)1"/>
      <sheetName val="TRE_TABLE1"/>
      <sheetName val="P_M_별1"/>
      <sheetName val="CODE_(2)1"/>
      <sheetName val="sum1_(2)1"/>
      <sheetName val="기계경비_(2)1"/>
      <sheetName val="단가표_1"/>
      <sheetName val="표지_(2)1"/>
      <sheetName val="공종별_공사비변동1"/>
      <sheetName val="1_설계기준1"/>
      <sheetName val="본선_토공_분배표1"/>
      <sheetName val="수량산출서_갑지1"/>
      <sheetName val="5_소재"/>
      <sheetName val="F4-F7"/>
      <sheetName val="총수량집계표"/>
      <sheetName val="을 2"/>
      <sheetName val="공종별수량집계"/>
      <sheetName val="PC방호벽설치수량"/>
      <sheetName val="2.대외공문"/>
      <sheetName val="W-현원가"/>
      <sheetName val="입찰내역_발주처_양식"/>
      <sheetName val="3BL공동구_수량"/>
      <sheetName val="앉음벽_(2)"/>
      <sheetName val="성곽내역서"/>
      <sheetName val="PAD TR보호대기초"/>
      <sheetName val="가로등기초"/>
      <sheetName val="HANDHOLE(2)"/>
      <sheetName val="SMD 3L PM Data"/>
      <sheetName val="Equiv.Length"/>
      <sheetName val="3S"/>
      <sheetName val="18.1B"/>
      <sheetName val="UNIT"/>
      <sheetName val="오억미만"/>
      <sheetName val="단면_(2)"/>
      <sheetName val="설_계"/>
      <sheetName val="입출재고현황_(2)"/>
      <sheetName val="일위대가_"/>
      <sheetName val="WELDING_POINT_단가"/>
      <sheetName val="별표_"/>
      <sheetName val="BACKDAA"/>
      <sheetName val="BOQ_for_HRSG_&amp;_BOP-mech_"/>
      <sheetName val="BOQ_for_GTG_&amp;_STG-mech_"/>
      <sheetName val="TDC_COA_Sumry"/>
      <sheetName val="TDC_Item_Dets"/>
      <sheetName val="TDC_Item_Sumry"/>
      <sheetName val="TDC_Key_Qty_Sumry"/>
      <sheetName val="List_-_Components"/>
      <sheetName val="List_-_Equipment"/>
      <sheetName val=" "/>
      <sheetName val="보험"/>
      <sheetName val="COA_Sumry_-_Std_Imp"/>
      <sheetName val="Contr_TDC_-_Std_Imp"/>
      <sheetName val="Item_Sumry_-_Std_Imp"/>
      <sheetName val="Unit_Costs_-_Std_Imp"/>
      <sheetName val="Unit_MH_-_Std_Imp"/>
      <sheetName val="Proj_TIC_-_Std_Imp"/>
      <sheetName val="Inert_Balls"/>
      <sheetName val="3_PIPING"/>
      <sheetName val="Appendix_2"/>
      <sheetName val="Appendix_3"/>
      <sheetName val="Appendix_4(a)_Civil"/>
      <sheetName val="간접비"/>
      <sheetName val="Subcon_A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Inert_Balls1"/>
      <sheetName val="단면_(2)1"/>
      <sheetName val="할증_1"/>
      <sheetName val="7_1유효폭1"/>
      <sheetName val="실행내역서_1"/>
      <sheetName val="IMPEADENCE_MAP_취수장1"/>
      <sheetName val="앉음벽_(2)1"/>
      <sheetName val="97_사업추정(WEKI)1"/>
      <sheetName val="입찰내역_발주처_양식1"/>
      <sheetName val="3BL공동구_수량1"/>
      <sheetName val="설_계1"/>
      <sheetName val="입출재고현황_(2)1"/>
      <sheetName val="Subcon_A"/>
      <sheetName val="1.설계조건"/>
      <sheetName val="일위2"/>
      <sheetName val="일위6"/>
      <sheetName val="datasheet"/>
      <sheetName val="TYPE-A"/>
      <sheetName val="최종보고1"/>
      <sheetName val="현금경비중역"/>
      <sheetName val="기안"/>
      <sheetName val="94B"/>
      <sheetName val="전체현황"/>
      <sheetName val="소유주(원)"/>
      <sheetName val="PTR台손익"/>
      <sheetName val="96수출"/>
      <sheetName val="인원01"/>
      <sheetName val="RD제품개발투자비(매가)"/>
      <sheetName val="1.POSITIONING"/>
      <sheetName val="존4"/>
      <sheetName val="협조전"/>
      <sheetName val="DAT(목표)"/>
      <sheetName val="소상 &quot;1&quot;"/>
      <sheetName val="1~3월 지시사항"/>
      <sheetName val="데이타"/>
      <sheetName val="식재인부"/>
      <sheetName val="조명율표"/>
      <sheetName val="총괄내역서"/>
      <sheetName val="major"/>
      <sheetName val="코드표"/>
      <sheetName val="실행기성 갑지"/>
      <sheetName val="기성내역"/>
      <sheetName val="현장경비"/>
      <sheetName val="Sheet1 (2)"/>
      <sheetName val="EP0618"/>
      <sheetName val="LD"/>
      <sheetName val="BACKDA_x005f_x005f_x005f_x0014_A"/>
      <sheetName val="기계경비(시간당)"/>
      <sheetName val="AS복구"/>
      <sheetName val="중기터파기"/>
      <sheetName val="변수값"/>
      <sheetName val="중기상차"/>
      <sheetName val="진접"/>
      <sheetName val="실행에산"/>
      <sheetName val="토량산출서"/>
      <sheetName val="당초토량산출서"/>
      <sheetName val="견적대비표"/>
      <sheetName val="차액보증"/>
      <sheetName val="증감내역서"/>
      <sheetName val="토적표"/>
      <sheetName val="노무비"/>
      <sheetName val="기초코드"/>
      <sheetName val="변경토량산출서"/>
      <sheetName val="수량산출"/>
      <sheetName val="공종별 공사비변_x0002_"/>
      <sheetName val="남양내역"/>
      <sheetName val="EQUIP-H"/>
      <sheetName val="DESIGN CRETERIA"/>
      <sheetName val="개요입력"/>
      <sheetName val="수량기준"/>
      <sheetName val="단가기준"/>
      <sheetName val="가동비율"/>
      <sheetName val="합계"/>
      <sheetName val="L-TIGA"/>
      <sheetName val="PUMPS"/>
      <sheetName val="C"/>
      <sheetName val="MANP"/>
      <sheetName val="bm(CIcable)"/>
      <sheetName val="INPUT"/>
      <sheetName val="2공구산출내역"/>
      <sheetName val="대치판정"/>
      <sheetName val="지구단위계획"/>
      <sheetName val="품셈기준"/>
      <sheetName val="결재방"/>
      <sheetName val="공구원가계산"/>
      <sheetName val="합천내역"/>
      <sheetName val="3. GROUNDING SYSTEM"/>
      <sheetName val="하도급업체"/>
      <sheetName val="공사비총괄표"/>
      <sheetName val="자체실적1Q"/>
      <sheetName val="INNER_FULE7"/>
      <sheetName val="00년_1월7"/>
      <sheetName val="00년_2월6"/>
      <sheetName val="00년_3월6"/>
      <sheetName val="00년_4월6"/>
      <sheetName val="00년_5월6"/>
      <sheetName val="00년_7월6"/>
      <sheetName val="00년_8월6"/>
      <sheetName val="00년_9월6"/>
      <sheetName val="노원열병합__건축공사기성내역서6"/>
      <sheetName val="배관(TDI_ISBL)6"/>
      <sheetName val="TOWER_12TON6"/>
      <sheetName val="TOWER_10TON6"/>
      <sheetName val="3_공통공사대비5"/>
      <sheetName val="_견적서5"/>
      <sheetName val="TDI_ISBL5"/>
      <sheetName val="동축분_종합설계서5"/>
      <sheetName val="SOS_PLC_&amp;_Panel4"/>
      <sheetName val="CONC_SLAB4"/>
      <sheetName val="수금_4"/>
      <sheetName val="할증_4"/>
      <sheetName val="6PILE__(돌출)4"/>
      <sheetName val="TRE_TABLE4"/>
      <sheetName val="MINA_BM5"/>
      <sheetName val="2_카드채권(대출포함)4"/>
      <sheetName val="기계경비_(2)4"/>
      <sheetName val="Back_data_Table4"/>
      <sheetName val="1_설계기준4"/>
      <sheetName val="7_1유효폭4"/>
      <sheetName val="97_사업추정(WEKI)4"/>
      <sheetName val="실행내역서_4"/>
      <sheetName val="IMPEADENCE_MAP_취수장4"/>
      <sheetName val="앉음벽_(2)3"/>
      <sheetName val="sum1_(2)4"/>
      <sheetName val="5_소재3"/>
      <sheetName val="단면_(2)3"/>
      <sheetName val="수량산출서_갑지4"/>
      <sheetName val="본선_토공_분배표4"/>
      <sheetName val="표지_(2)4"/>
      <sheetName val="P_M_별4"/>
      <sheetName val="Engrg_Est3"/>
      <sheetName val="공종별_공사비변동4"/>
      <sheetName val="단가표_4"/>
      <sheetName val="CODE_(2)4"/>
      <sheetName val="BSD_(2)3"/>
      <sheetName val="3BL공동구_수량3"/>
      <sheetName val="입찰내역_발주처_양식3"/>
      <sheetName val="Appendix_23"/>
      <sheetName val="Appendix_33"/>
      <sheetName val="Appendix_4(a)_Civil3"/>
      <sheetName val="Appendix_4(c)_Piping3"/>
      <sheetName val="Appendix_4(b)_Elec_3"/>
      <sheetName val="Supervision_List3"/>
      <sheetName val="BQ_Process_3"/>
      <sheetName val="BQ_Building_3"/>
      <sheetName val="fire_alarm3"/>
      <sheetName val="Tank_Elec__BM_3"/>
      <sheetName val="132kv_BM_3"/>
      <sheetName val="설_계3"/>
      <sheetName val="입출재고현황_(2)3"/>
      <sheetName val="Gia_vat_tu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Inert_Balls3"/>
      <sheetName val="Subcon_A3"/>
      <sheetName val="BOQ_for_HRSG_&amp;_BOP-mech_3"/>
      <sheetName val="BOQ_for_GTG_&amp;_STG-mech_3"/>
      <sheetName val="일위대가_3"/>
      <sheetName val="WELDING_POINT_단가3"/>
      <sheetName val="_공사개요_xlsx3"/>
      <sheetName val="허용전류-IEC_DATA3"/>
      <sheetName val="MTO_REV_2(ARMOR)3"/>
      <sheetName val="3_PIPING3"/>
      <sheetName val="개시대사_(2)3"/>
      <sheetName val="BOX(1_5X1_5)3"/>
      <sheetName val="충돌_내용3"/>
      <sheetName val="준검_내역서3"/>
      <sheetName val="2010년_투입계획_(2)3"/>
      <sheetName val="Nalut_(천단위)3"/>
      <sheetName val="Int_Wind_Girder3"/>
      <sheetName val="Shell_(App_A)3"/>
      <sheetName val="App_F3"/>
      <sheetName val="Shell_(VP_Dgn)3"/>
      <sheetName val="배관_PANIT_물량3"/>
      <sheetName val="OUTER_AREA(겹침없음)3"/>
      <sheetName val="Summary_Sheets3"/>
      <sheetName val="별표_3"/>
      <sheetName val="설산1_나3"/>
      <sheetName val="BEND_LOSS3"/>
      <sheetName val="90EL_JACKET3"/>
      <sheetName val="Cost_Report-B&amp;V_Det3"/>
      <sheetName val="00년_湓畃3"/>
      <sheetName val="She+"/>
      <sheetName val="EQUIPMENT_-23"/>
      <sheetName val="Tong_Hop3"/>
      <sheetName val="He_063"/>
      <sheetName val="Nam_20043"/>
      <sheetName val="INNER_FULE4"/>
      <sheetName val="00년_1월4"/>
      <sheetName val="BSD_(2)"/>
      <sheetName val="배관_PANIT_물량"/>
      <sheetName val="설산1_나"/>
      <sheetName val="허용전류-IEC_DATA"/>
      <sheetName val="MTO_REV_2(ARMOR)"/>
      <sheetName val="OUTER_AREA(겹침없음)"/>
      <sheetName val="Summary_Sheets"/>
      <sheetName val="BEND_LOSS"/>
      <sheetName val="충돌_내용"/>
      <sheetName val="BQ_Process_"/>
      <sheetName val="BQ_Building_"/>
      <sheetName val="fire_alarm"/>
      <sheetName val="Tank_Elec__BM_"/>
      <sheetName val="132kv_BM_"/>
      <sheetName val="Appendix_4(c)_Piping"/>
      <sheetName val="Appendix_4(b)_Elec_"/>
      <sheetName val="Supervision_List"/>
      <sheetName val="Engrg_Est"/>
      <sheetName val="Gia_vat_tu"/>
      <sheetName val="90EL_JACKET"/>
      <sheetName val="BOX(1_5X1_5)"/>
      <sheetName val="_공사개요_xlsx"/>
      <sheetName val="Cost_Report-B&amp;V_Det"/>
      <sheetName val="00년_湓畃"/>
      <sheetName val="EQUIPMENT_-2"/>
      <sheetName val="Tong_Hop"/>
      <sheetName val="He_06"/>
      <sheetName val="Nam_2004"/>
      <sheetName val="Nam_2003"/>
      <sheetName val="Nam_2005"/>
      <sheetName val="Nam_2002"/>
      <sheetName val="Overview_discount_gross_&amp;_trans"/>
      <sheetName val="개시대사_(2)"/>
      <sheetName val="준검_내역서"/>
      <sheetName val="2010년_투입계획_(2)"/>
      <sheetName val="Nalut_(천단위)"/>
      <sheetName val="Int_Wind_Girder"/>
      <sheetName val="Shell_(App_A)"/>
      <sheetName val="App_F"/>
      <sheetName val="Shell_(VP_Dgn)"/>
      <sheetName val="Nam_20033"/>
      <sheetName val="Nam_20053"/>
      <sheetName val="Nam_20023"/>
      <sheetName val="Overview_discount_gross_&amp;_tran3"/>
      <sheetName val="INNER_FULE5"/>
      <sheetName val="00년_1월5"/>
      <sheetName val="00년_2월4"/>
      <sheetName val="00년_3월4"/>
      <sheetName val="00년_4월4"/>
      <sheetName val="00년_5월4"/>
      <sheetName val="00년_7월4"/>
      <sheetName val="00년_8월4"/>
      <sheetName val="00년_9월4"/>
      <sheetName val="노원열병합__건축공사기성내역서4"/>
      <sheetName val="배관(TDI_ISBL)4"/>
      <sheetName val="TOWER_12TON4"/>
      <sheetName val="TOWER_10TON4"/>
      <sheetName val="3_공통공사대비3"/>
      <sheetName val="_견적서3"/>
      <sheetName val="TDI_ISBL3"/>
      <sheetName val="동축분_종합설계서3"/>
      <sheetName val="SOS_PLC_&amp;_Panel2"/>
      <sheetName val="CONC_SLAB2"/>
      <sheetName val="수금_2"/>
      <sheetName val="할증_2"/>
      <sheetName val="6PILE__(돌출)2"/>
      <sheetName val="TRE_TABLE2"/>
      <sheetName val="MINA_BM3"/>
      <sheetName val="2_카드채권(대출포함)2"/>
      <sheetName val="기계경비_(2)2"/>
      <sheetName val="Back_data_Table2"/>
      <sheetName val="1_설계기준2"/>
      <sheetName val="7_1유효폭2"/>
      <sheetName val="97_사업추정(WEKI)2"/>
      <sheetName val="실행내역서_2"/>
      <sheetName val="IMPEADENCE_MAP_취수장2"/>
      <sheetName val="sum1_(2)2"/>
      <sheetName val="5_소재1"/>
      <sheetName val="수량산출서_갑지2"/>
      <sheetName val="본선_토공_분배표2"/>
      <sheetName val="표지_(2)2"/>
      <sheetName val="P_M_별2"/>
      <sheetName val="Engrg_Est1"/>
      <sheetName val="공종별_공사비변동2"/>
      <sheetName val="단가표_2"/>
      <sheetName val="CODE_(2)2"/>
      <sheetName val="BSD_(2)1"/>
      <sheetName val="Appendix_21"/>
      <sheetName val="Appendix_31"/>
      <sheetName val="Appendix_4(a)_Civil1"/>
      <sheetName val="Appendix_4(c)_Piping1"/>
      <sheetName val="Appendix_4(b)_Elec_1"/>
      <sheetName val="Supervision_List1"/>
      <sheetName val="BQ_Process_1"/>
      <sheetName val="BQ_Building_1"/>
      <sheetName val="fire_alarm1"/>
      <sheetName val="Tank_Elec__BM_1"/>
      <sheetName val="132kv_BM_1"/>
      <sheetName val="Gia_vat_tu1"/>
      <sheetName val="BOQ_for_HRSG_&amp;_BOP-mech_1"/>
      <sheetName val="BOQ_for_GTG_&amp;_STG-mech_1"/>
      <sheetName val="일위대가_1"/>
      <sheetName val="WELDING_POINT_단가1"/>
      <sheetName val="_공사개요_xlsx1"/>
      <sheetName val="허용전류-IEC_DATA1"/>
      <sheetName val="MTO_REV_2(ARMOR)1"/>
      <sheetName val="3_PIPING1"/>
      <sheetName val="개시대사_(2)1"/>
      <sheetName val="BOX(1_5X1_5)1"/>
      <sheetName val="충돌_내용1"/>
      <sheetName val="준검_내역서1"/>
      <sheetName val="2010년_투입계획_(2)1"/>
      <sheetName val="Nalut_(천단위)1"/>
      <sheetName val="Int_Wind_Girder1"/>
      <sheetName val="Shell_(App_A)1"/>
      <sheetName val="App_F1"/>
      <sheetName val="Shell_(VP_Dgn)1"/>
      <sheetName val="배관_PANIT_물량1"/>
      <sheetName val="OUTER_AREA(겹침없음)1"/>
      <sheetName val="Summary_Sheets1"/>
      <sheetName val="별표_1"/>
      <sheetName val="설산1_나1"/>
      <sheetName val="BEND_LOSS1"/>
      <sheetName val="90EL_JACKET1"/>
      <sheetName val="Cost_Report-B&amp;V_Det1"/>
      <sheetName val="00년_湓畃1"/>
      <sheetName val="EQUIPMENT_-21"/>
      <sheetName val="Tong_Hop1"/>
      <sheetName val="He_061"/>
      <sheetName val="Nam_20041"/>
      <sheetName val="Nam_20031"/>
      <sheetName val="Nam_20051"/>
      <sheetName val="Nam_20021"/>
      <sheetName val="Overview_discount_gross_&amp;_tran1"/>
      <sheetName val="INNER_FULE6"/>
      <sheetName val="00년_1월6"/>
      <sheetName val="00년_2월5"/>
      <sheetName val="00년_3월5"/>
      <sheetName val="00년_4월5"/>
      <sheetName val="00년_5월5"/>
      <sheetName val="00년_7월5"/>
      <sheetName val="00년_8월5"/>
      <sheetName val="00년_9월5"/>
      <sheetName val="노원열병합__건축공사기성내역서5"/>
      <sheetName val="배관(TDI_ISBL)5"/>
      <sheetName val="TOWER_12TON5"/>
      <sheetName val="TOWER_10TON5"/>
      <sheetName val="3_공통공사대비4"/>
      <sheetName val="_견적서4"/>
      <sheetName val="TDI_ISBL4"/>
      <sheetName val="동축분_종합설계서4"/>
      <sheetName val="SOS_PLC_&amp;_Panel3"/>
      <sheetName val="CONC_SLAB3"/>
      <sheetName val="수금_3"/>
      <sheetName val="할증_3"/>
      <sheetName val="6PILE__(돌출)3"/>
      <sheetName val="TRE_TABLE3"/>
      <sheetName val="MINA_BM4"/>
      <sheetName val="2_카드채권(대출포함)3"/>
      <sheetName val="기계경비_(2)3"/>
      <sheetName val="Back_data_Table3"/>
      <sheetName val="1_설계기준3"/>
      <sheetName val="7_1유효폭3"/>
      <sheetName val="97_사업추정(WEKI)3"/>
      <sheetName val="실행내역서_3"/>
      <sheetName val="IMPEADENCE_MAP_취수장3"/>
      <sheetName val="앉음벽_(2)2"/>
      <sheetName val="sum1_(2)3"/>
      <sheetName val="5_소재2"/>
      <sheetName val="단면_(2)2"/>
      <sheetName val="수량산출서_갑지3"/>
      <sheetName val="본선_토공_분배표3"/>
      <sheetName val="표지_(2)3"/>
      <sheetName val="P_M_별3"/>
      <sheetName val="Engrg_Est2"/>
      <sheetName val="공종별_공사비변동3"/>
      <sheetName val="단가표_3"/>
      <sheetName val="CODE_(2)3"/>
      <sheetName val="BSD_(2)2"/>
      <sheetName val="3BL공동구_수량2"/>
      <sheetName val="입찰내역_발주처_양식2"/>
      <sheetName val="Appendix_22"/>
      <sheetName val="Appendix_32"/>
      <sheetName val="Appendix_4(a)_Civil2"/>
      <sheetName val="Appendix_4(c)_Piping2"/>
      <sheetName val="Appendix_4(b)_Elec_2"/>
      <sheetName val="Supervision_List2"/>
      <sheetName val="BQ_Process_2"/>
      <sheetName val="BQ_Building_2"/>
      <sheetName val="fire_alarm2"/>
      <sheetName val="Tank_Elec__BM_2"/>
      <sheetName val="132kv_BM_2"/>
      <sheetName val="설_계2"/>
      <sheetName val="입출재고현황_(2)2"/>
      <sheetName val="Gia_vat_tu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Inert_Balls2"/>
      <sheetName val="Subcon_A2"/>
      <sheetName val="BOQ_for_HRSG_&amp;_BOP-mech_2"/>
      <sheetName val="BOQ_for_GTG_&amp;_STG-mech_2"/>
      <sheetName val="일위대가_2"/>
      <sheetName val="WELDING_POINT_단가2"/>
      <sheetName val="_공사개요_xlsx2"/>
      <sheetName val="허용전류-IEC_DATA2"/>
      <sheetName val="MTO_REV_2(ARMOR)2"/>
      <sheetName val="3_PIPING2"/>
      <sheetName val="개시대사_(2)2"/>
      <sheetName val="BOX(1_5X1_5)2"/>
      <sheetName val="충돌_내용2"/>
      <sheetName val="준검_내역서2"/>
      <sheetName val="2010년_투입계획_(2)2"/>
      <sheetName val="Nalut_(천단위)2"/>
      <sheetName val="Int_Wind_Girder2"/>
      <sheetName val="Shell_(App_A)2"/>
      <sheetName val="App_F2"/>
      <sheetName val="Shell_(VP_Dgn)2"/>
      <sheetName val="배관_PANIT_물량2"/>
      <sheetName val="OUTER_AREA(겹침없음)2"/>
      <sheetName val="Summary_Sheets2"/>
      <sheetName val="별표_2"/>
      <sheetName val="설산1_나2"/>
      <sheetName val="BEND_LOSS2"/>
      <sheetName val="90EL_JACKET2"/>
      <sheetName val="Cost_Report-B&amp;V_Det2"/>
      <sheetName val="00년_湓畃2"/>
      <sheetName val="EQUIPMENT_-22"/>
      <sheetName val="Tong_Hop2"/>
      <sheetName val="He_062"/>
      <sheetName val="Nam_20042"/>
      <sheetName val="Nam_20032"/>
      <sheetName val="Nam_20052"/>
      <sheetName val="Nam_20022"/>
      <sheetName val="Overview_discount_gross_&amp;_tran2"/>
      <sheetName val="노무공수2"/>
      <sheetName val="단위중기"/>
      <sheetName val="공종별집계표"/>
      <sheetName val="콘크리트타설집계표"/>
      <sheetName val="FAB별"/>
      <sheetName val="일위대가표"/>
      <sheetName val="CPM챠트"/>
      <sheetName val="냉연"/>
      <sheetName val="10.master schedule rev 1(LSIS)"/>
      <sheetName val="定额 (06)"/>
      <sheetName val="热力"/>
      <sheetName val="cashflow"/>
      <sheetName val="상반기손익차2총괄"/>
      <sheetName val="건물현황"/>
      <sheetName val="P뺑"/>
      <sheetName val="수량"/>
      <sheetName val="견적 (2)"/>
      <sheetName val="영동(D)"/>
      <sheetName val="P3"/>
      <sheetName val="P_x0010__x0000_"/>
      <sheetName val="P_x0000__x0000_"/>
      <sheetName val="A-4"/>
      <sheetName val="1-1"/>
      <sheetName val="공통가설"/>
      <sheetName val="시멘트"/>
      <sheetName val="전차선로 물량표"/>
      <sheetName val="최초위험성평가(협력사용)"/>
      <sheetName val="최초위험성평가(SECL용)"/>
      <sheetName val="Pier 3"/>
      <sheetName val="T-ALLOW"/>
      <sheetName val="2.물량"/>
      <sheetName val="Proposal"/>
      <sheetName val="기타"/>
      <sheetName val="소일위대가코드표"/>
      <sheetName val="인사자료총집계"/>
      <sheetName val="현금흐름"/>
      <sheetName val="分析2-ʉ_x0000__x0000_"/>
      <sheetName val="_x0008_"/>
      <sheetName val="SOS_PLC_&amp;_x0005__x0000__x0000__x0000__x0000_"/>
      <sheetName val="COA Sumry "/>
      <sheetName val="COA Sumry 닑⼟_x0005__x0000__x0000__x0000__x0000_㫸"/>
      <sheetName val="COA Sumry _x0000__x0000__x0005__x0000_ᜀʀ_x0000__x0000__x0000_"/>
      <sheetName val="Contr TDC -º_x0000_　됍_xdd2b_Ⰱ첐"/>
      <sheetName val="npv"/>
      <sheetName val="COA Sumry 헾⽿_x0005__x0000__x0000__x0000__x0000_㞈"/>
      <sheetName val="5월"/>
      <sheetName val="용선 C.L"/>
      <sheetName val="PIPING"/>
      <sheetName val="Activity(new)"/>
      <sheetName val="Total(new)"/>
      <sheetName val="별표집계"/>
      <sheetName val="예산실적전체당월"/>
      <sheetName val="FD1-1 1단도로측 (1)"/>
      <sheetName val="7.휨변위계측"/>
      <sheetName val="Testing"/>
      <sheetName val="COA Sumry - Std ԯ_x0000_缀"/>
      <sheetName val="ENE-CAL 1"/>
      <sheetName val="견적서"/>
      <sheetName val="개산공사비"/>
      <sheetName val="G.R300경비"/>
      <sheetName val="Recap"/>
      <sheetName val="SILICATE"/>
      <sheetName val="산출집계(LP-A)"/>
      <sheetName val="물량 산출 통신 맨홀"/>
      <sheetName val="골조시행"/>
      <sheetName val="S0"/>
      <sheetName val="장비명"/>
      <sheetName val="업무처리전"/>
      <sheetName val="SOS_PLC_&amp;_x0005_"/>
      <sheetName val="COA Sumry 닑⼟_x0005_"/>
      <sheetName val="Contr TDC -º"/>
      <sheetName val="COA Sumry 헾⽿_x0005_"/>
      <sheetName val="MEXICO-C"/>
      <sheetName val="무시"/>
      <sheetName val="1"/>
      <sheetName val="시중노임"/>
      <sheetName val="공통부대"/>
      <sheetName val="공통부대谰"/>
      <sheetName val="단면적"/>
      <sheetName val="MCC"/>
      <sheetName val="장기차입금"/>
      <sheetName val="PHD Reductions"/>
      <sheetName val="매출관리"/>
      <sheetName val="TinhGiaNC"/>
      <sheetName val="Thiet Bi"/>
      <sheetName val="금호"/>
      <sheetName val="database"/>
      <sheetName val="건축원가"/>
      <sheetName val="건축공사실행"/>
      <sheetName val="건축공사집계표"/>
      <sheetName val="부대공사총괄"/>
      <sheetName val="총괄표"/>
      <sheetName val="eq_data"/>
      <sheetName val="COA Sumry - Std ԯ"/>
      <sheetName val="Yield"/>
      <sheetName val="Yield Sx"/>
      <sheetName val="외화금융(97-03)"/>
      <sheetName val="BM"/>
      <sheetName val="LABCOST"/>
      <sheetName val="CLUB"/>
      <sheetName val="4.1_haul-aggregates"/>
      <sheetName val="FEET"/>
      <sheetName val="asdfghj"/>
      <sheetName val="BD"/>
      <sheetName val="Resource Summary"/>
      <sheetName val="CERTIFICATE"/>
      <sheetName val="sc"/>
      <sheetName val="빌딩 안내"/>
      <sheetName val="이자율"/>
      <sheetName val="토목검측서"/>
      <sheetName val="설비"/>
      <sheetName val="비교견적서"/>
      <sheetName val="견적총괄표"/>
      <sheetName val="작업지시서-1호"/>
      <sheetName val="도근좌표"/>
      <sheetName val="Appendix 4(c)_Piም_x0002_쀀溘"/>
      <sheetName val="Appendix 4(c)_Piሠ_x0002_쀀溘"/>
      <sheetName val="Appendix 4(c)_Piሢ_x0002_쀀溘"/>
      <sheetName val="Appendix 4(a)_Ci_x0010__x0000_რ"/>
      <sheetName val="Appendix 4(a)_Ci_x0010__x0000_ﴠ"/>
      <sheetName val="Appendix 4(a)_Ci׃⽬_x0000_"/>
      <sheetName val="Appendix 4(a)_Ci_x0010__x0000_컠"/>
      <sheetName val=" 미래에셋 그랑서울 오피스：노무비 (목공-삼일기업).xl"/>
      <sheetName val="집수정(600-700)"/>
      <sheetName val="I.설계조건"/>
      <sheetName val="[연돌내역일위_x0000__x0000__x0000__x0000__x0000__x0000__xffff_"/>
      <sheetName val="배수관공"/>
      <sheetName val="1__설계조건_2_단면가정_3__하중계산"/>
      <sheetName val="LEGEND"/>
      <sheetName val="DATA_입력란"/>
      <sheetName val="CODE1"/>
      <sheetName val="danga"/>
      <sheetName val="보도경계블럭"/>
      <sheetName val="원가총괄"/>
      <sheetName val="PARAMETER"/>
      <sheetName val="1_설계조건"/>
      <sheetName val="단가_및_재료비"/>
      <sheetName val="요율"/>
      <sheetName val="단가및재료비"/>
      <sheetName val="중기사용료산출근거"/>
      <sheetName val="차도부연장현황"/>
      <sheetName val="빗물받이(910-510-410)"/>
      <sheetName val="수자재단위당"/>
      <sheetName val="건축기계설비표선정수장"/>
      <sheetName val="토공사"/>
      <sheetName val="96보완계획7_12"/>
      <sheetName val="공사비집계"/>
      <sheetName val="최적단면"/>
      <sheetName val="하자항목"/>
      <sheetName val="본문"/>
      <sheetName val="BATCH"/>
      <sheetName val="Connections"/>
      <sheetName val="배관공사"/>
      <sheetName val="보온공사"/>
      <sheetName val="Support공사"/>
      <sheetName val="도장공사"/>
      <sheetName val="열배관이중보온관공사"/>
      <sheetName val="현장"/>
      <sheetName val="ANNEXURE-A"/>
      <sheetName val="合成単価作成表-BLDG"/>
      <sheetName val="ROOM LOAD"/>
      <sheetName val="분전함신설"/>
      <sheetName val="접지1종"/>
      <sheetName val="계화총괄"/>
      <sheetName val="적_x0000__x0000_Ā"/>
      <sheetName val="BOQ for HRSG &amp; B^_x0000_Ԁ_x0000_蠀_xde25_ﰄ᧏"/>
      <sheetName val="BOQ for HRSG &amp; B傝"/>
      <sheetName val="BOQ for HRSG &amp; B^_x0000_Ԁ_x0000_䕟ﰈ᧏"/>
      <sheetName val="BOQ for HRSG &amp; B _x0000_Ԁ_x0000_蠀䬥ﰂ᧏"/>
      <sheetName val="Appendix 4(a)_Ci_x0010_"/>
      <sheetName val="적"/>
      <sheetName val="BOQ for HRSG &amp; B^"/>
      <sheetName val="BOQ for HRSG &amp; B "/>
      <sheetName val="총괄"/>
      <sheetName val="1차 내역서"/>
      <sheetName val="지수"/>
      <sheetName val="분석"/>
      <sheetName val="EQUIP LIST"/>
      <sheetName val="을_2"/>
      <sheetName val="2_대외공문"/>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sheetData sheetId="138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11월 실적"/>
      <sheetName val="손익차9월2"/>
      <sheetName val="Sheet1"/>
      <sheetName val="내역서"/>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집계표(육상)"/>
      <sheetName val="지급자재"/>
      <sheetName val="집계표"/>
      <sheetName val="P.M 별"/>
      <sheetName val="8.PILE  (돌출)"/>
      <sheetName val="사업부배부A"/>
      <sheetName val="BM"/>
      <sheetName val="청산공사"/>
      <sheetName val="PRO_DCI"/>
      <sheetName val="ELEC_DCI"/>
      <sheetName val="INST_DCI"/>
      <sheetName val="수주추진리스트"/>
      <sheetName val="TK판매비impact"/>
      <sheetName val="TK판매비"/>
      <sheetName val="수주집계"/>
      <sheetName val="TK외판매비impact"/>
      <sheetName val="Vendors"/>
      <sheetName val="금액내역서"/>
      <sheetName val="6PILE  (돌출)"/>
      <sheetName val="예정(3)"/>
      <sheetName val="기준"/>
      <sheetName val="Sheet4"/>
      <sheetName val="2000.11월설계내역"/>
      <sheetName val="주관사업"/>
      <sheetName val="발주코드"/>
      <sheetName val="운반"/>
      <sheetName val="단중"/>
      <sheetName val="품셈표"/>
      <sheetName val="을지"/>
      <sheetName val="안전장치"/>
      <sheetName val="HKDSUMM"/>
      <sheetName val="산거각호표"/>
      <sheetName val="D-623D"/>
      <sheetName val="2.1.2예정공정율(칼라)"/>
      <sheetName val="연돌일위집계"/>
      <sheetName val="산근"/>
      <sheetName val="업체별SV단가"/>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B"/>
      <sheetName val="부대집계표(목표반영)"/>
      <sheetName val="개요"/>
      <sheetName val="배수내역"/>
      <sheetName val="M-EQPT-Z"/>
      <sheetName val="찍기"/>
      <sheetName val="15 문제점"/>
      <sheetName val="공사비집계"/>
      <sheetName val="_"/>
      <sheetName val="REPORT07"/>
      <sheetName val="소화실적"/>
      <sheetName val="단가비교"/>
      <sheetName val="매각(6)"/>
      <sheetName val="99년하반기"/>
      <sheetName val="상반기손익차2총괄"/>
      <sheetName val="공문"/>
      <sheetName val="과제정의서"/>
      <sheetName val="Sheet7"/>
      <sheetName val="노동부"/>
      <sheetName val="BQMP"/>
      <sheetName val="Rate Analysis"/>
      <sheetName val="등급기준"/>
      <sheetName val="드롭다운"/>
      <sheetName val="5사남"/>
      <sheetName val="Disc WF (최종)"/>
      <sheetName val="Weekly WV %"/>
      <sheetName val="구분정의"/>
      <sheetName val="산출근거"/>
      <sheetName val="95삼성급(본사)"/>
      <sheetName val="차트 (2)"/>
      <sheetName val="수지계산"/>
      <sheetName val="안산기계장치"/>
      <sheetName val=""/>
      <sheetName val="업무분장"/>
      <sheetName val="Work Trade Code"/>
      <sheetName val="목록 &amp; 환율표"/>
      <sheetName val="Sheet3"/>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DHEQSUPT"/>
      <sheetName val="건설기계"/>
      <sheetName val="노임"/>
      <sheetName val="단가산출"/>
      <sheetName val="사급자재"/>
      <sheetName val="SHEET"/>
      <sheetName val="토목"/>
      <sheetName val="인원계획"/>
      <sheetName val="연수원"/>
      <sheetName val="97년 SEACO예산"/>
      <sheetName val="영업소실적"/>
      <sheetName val="MEED"/>
      <sheetName val="DRUM"/>
      <sheetName val="4.3물량INDEX검토"/>
      <sheetName val="표지"/>
      <sheetName val="목록"/>
      <sheetName val="명부(최종)"/>
      <sheetName val="조합원세부항목(작업)"/>
      <sheetName val="50%"/>
      <sheetName val="명부"/>
      <sheetName val="선택목록"/>
      <sheetName val="실행내역"/>
      <sheetName val="제출계산서"/>
      <sheetName val="공통부대비"/>
      <sheetName val="인력(현장,직원)"/>
      <sheetName val="12CGOU"/>
      <sheetName val="Embank"/>
      <sheetName val="1.설계조건"/>
      <sheetName val="G.R300경비"/>
      <sheetName val="간접비(1)"/>
      <sheetName val="8-31-98"/>
      <sheetName val="worksheet inchican"/>
      <sheetName val="combined 9-30"/>
      <sheetName val="입찰내역 발주처 양식"/>
      <sheetName val="0.간접비기준"/>
      <sheetName val="Lumpsum-1"/>
      <sheetName val="Lumpsum-3"/>
      <sheetName val="내역"/>
      <sheetName val="A-4"/>
      <sheetName val="종후자산호수별가격"/>
      <sheetName val="경영현황"/>
      <sheetName val="BOJUNGGM"/>
      <sheetName val="A"/>
      <sheetName val="AC"/>
      <sheetName val="수주현황2월"/>
      <sheetName val="환율"/>
      <sheetName val="4KEB"/>
      <sheetName val="FitOutConfCentre"/>
      <sheetName val="1"/>
      <sheetName val="BOQ"/>
      <sheetName val="PROGRAM"/>
      <sheetName val="CASHFLOW"/>
      <sheetName val="정형의견"/>
      <sheetName val="은행"/>
      <sheetName val="상 부"/>
      <sheetName val="목표세부명세"/>
      <sheetName val="실행철강하도"/>
      <sheetName val="Perm. Test"/>
      <sheetName val="Daftar Sewa"/>
      <sheetName val="Peralatan"/>
      <sheetName val="Peralatan (2)"/>
      <sheetName val="Analisa Alat"/>
      <sheetName val="4. 해외출장비"/>
      <sheetName val="Rate_Analysis"/>
      <sheetName val="15_문제점"/>
      <sheetName val="Option"/>
      <sheetName val="7.4 유가 변동 예비비"/>
      <sheetName val="p&amp;m"/>
      <sheetName val="97 사업추정(WEKI)"/>
      <sheetName val="통합"/>
      <sheetName val="inter"/>
      <sheetName val="jadw"/>
      <sheetName val="Database"/>
      <sheetName val="공사비총괄표"/>
      <sheetName val="ESCON"/>
      <sheetName val="EE-PROP"/>
      <sheetName val="Parameter"/>
      <sheetName val="piedathot"/>
      <sheetName val="projcasflo"/>
      <sheetName val="금융"/>
      <sheetName val="실행예산SHEET도장재검토"/>
      <sheetName val="SG"/>
      <sheetName val="Dropdown"/>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조도"/>
      <sheetName val="1-Schedule"/>
      <sheetName val="0-Quantity"/>
      <sheetName val="Grf"/>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자바라1"/>
      <sheetName val="해외 연수비용 계산-삭제"/>
      <sheetName val="Wind Load(3.1) (2)"/>
      <sheetName val="Wind Load(3.2)"/>
      <sheetName val="Wind Load(3.4)"/>
      <sheetName val="Ord"/>
      <sheetName val="Key Data"/>
      <sheetName val="1-G1"/>
      <sheetName val="CTEMCOST"/>
      <sheetName val="시산표"/>
      <sheetName val="2.2 띠장의 설계"/>
      <sheetName val="INPUT"/>
      <sheetName val="MOS"/>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지원시설 내역서(154kV)"/>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石炭性状"/>
      <sheetName val="Takeoff"/>
      <sheetName val="N賃率-職"/>
      <sheetName val="금융비용"/>
      <sheetName val="Benchmark"/>
      <sheetName val="SUMMARY (2)"/>
      <sheetName val="CIVIL"/>
      <sheetName val="MEP"/>
      <sheetName val="QUOTATION"/>
      <sheetName val="카5"/>
      <sheetName val="교각계산"/>
      <sheetName val="터파기및재료"/>
      <sheetName val="수안보-MBR1"/>
      <sheetName val="Labour"/>
      <sheetName val="Material"/>
      <sheetName val="Plant &amp;  Machinery"/>
      <sheetName val="Disc_WF_(최종)"/>
      <sheetName val="Weekly_WV_%"/>
      <sheetName val="차트_(2)"/>
      <sheetName val="Work_Trade_Code"/>
      <sheetName val="목록_&amp;_환율표"/>
      <sheetName val="97년_SEACO예산"/>
      <sheetName val="4_3물량INDEX검토"/>
      <sheetName val="1_설계조건"/>
      <sheetName val="G_R300경비"/>
      <sheetName val="worksheet_inchican"/>
      <sheetName val="combined_9-30"/>
      <sheetName val="입찰내역_발주처_양식"/>
      <sheetName val="0_간접비기준"/>
      <sheetName val="간지"/>
      <sheetName val="상_부"/>
      <sheetName val="Analisa (me)"/>
      <sheetName val="pro ra op"/>
      <sheetName val="grafik"/>
      <sheetName val="Indirect"/>
      <sheetName val="Rekap (2)"/>
      <sheetName val="Analisa Transport"/>
      <sheetName val="electrical Work Price List (2)"/>
      <sheetName val="ANALISA CABLE"/>
      <sheetName val="갑지(추정)"/>
      <sheetName val="page 6"/>
      <sheetName val="INSTR"/>
      <sheetName val="Piping Design Data"/>
      <sheetName val="ELECTRIC"/>
      <sheetName val="조명시설"/>
      <sheetName val="TB"/>
      <sheetName val="BS"/>
      <sheetName val="부산제일극장"/>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TOWER_12TON3"/>
      <sheetName val="TOWER_10TON3"/>
      <sheetName val="JIB_CRANE,HOIST3"/>
      <sheetName val="P_M_별2"/>
      <sheetName val="8_PILE__(돌출)2"/>
      <sheetName val="6PILE__(돌출)2"/>
      <sheetName val="2000_11월설계내역2"/>
      <sheetName val="2_1_2예정공정율(칼라)2"/>
      <sheetName val="1_1_Overall_Progress2"/>
      <sheetName val="ITC_현황2"/>
      <sheetName val="4_0_(2)2"/>
      <sheetName val="15_문제점1"/>
      <sheetName val="Rate_Analysis1"/>
      <sheetName val="Perm__Test"/>
      <sheetName val="Daftar_Sewa"/>
      <sheetName val="Peralatan_(2)"/>
      <sheetName val="Analisa_Alat"/>
      <sheetName val="4__해외출장비"/>
      <sheetName val="7_4_유가_변동_예비비"/>
      <sheetName val="97_사업추정(WEKI)"/>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1_설계조건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상_부1"/>
      <sheetName val="(110919)부산정관집단에너지사업차환현안검토.xlsx"/>
      <sheetName val="코드"/>
      <sheetName val="조정사유"/>
      <sheetName val="1-1"/>
      <sheetName val="Existing PC Pavem¬_x0000_Ԁ"/>
      <sheetName val="Trade Summary"/>
      <sheetName val="BUR "/>
      <sheetName val="TSA"/>
      <sheetName val="15.Rd"/>
      <sheetName val="Status by Codes"/>
      <sheetName val="MHRS"/>
      <sheetName val="UPH,BHN,ALT"/>
      <sheetName val="Analis harga"/>
      <sheetName val="UNIT 3"/>
      <sheetName val="Utility and Fire flange"/>
      <sheetName val="본선 토공 분배표"/>
      <sheetName val="Cost Summary"/>
      <sheetName val="intr stool brkup"/>
      <sheetName val="cash budget"/>
      <sheetName val="Referencias"/>
      <sheetName val="OCT"/>
      <sheetName val="Material Selections"/>
      <sheetName val="Rates"/>
      <sheetName val="전기 BM_revA('090624).xls"/>
      <sheetName val="表二"/>
      <sheetName val="경비2내역"/>
      <sheetName val="Sheet179"/>
      <sheetName val="지가변동률계산(2021.07"/>
      <sheetName val="대로근거"/>
      <sheetName val="중로근거"/>
      <sheetName val="FAB별"/>
      <sheetName val="Raw Data"/>
      <sheetName val="백분율"/>
      <sheetName val="D-3109"/>
      <sheetName val="4-Lane bridge"/>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단면 (2)"/>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4_3물량INDEX검_x0000_"/>
      <sheetName val="수급집계"/>
      <sheetName val="전선봉양3호"/>
      <sheetName val="본사운영비"/>
      <sheetName val="2. 계정별 집계표"/>
      <sheetName val="변경내역대비표(2)"/>
      <sheetName val="실행"/>
      <sheetName val="1,2,3,4,5단위수량"/>
      <sheetName val="유림콘도"/>
      <sheetName val="Trans"/>
      <sheetName val="손익차총괄2"/>
      <sheetName val="기성내역"/>
      <sheetName val="Sheet17"/>
      <sheetName val="DL"/>
      <sheetName val="RFP002"/>
      <sheetName val="분석"/>
      <sheetName val="Bill summary of cost"/>
      <sheetName val="PI"/>
      <sheetName val="Settings"/>
      <sheetName val="DWTables"/>
      <sheetName val="2.내역서"/>
      <sheetName val="L3 -13FF (2)"/>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REQ_REMARKS"/>
      <sheetName val="ENE-CAL"/>
      <sheetName val="CAL1"/>
      <sheetName val="Plant_&amp;__Machinery"/>
      <sheetName val="A.O.R."/>
      <sheetName val="U-RATE"/>
      <sheetName val="단면치수"/>
      <sheetName val="개시대사 (2)"/>
      <sheetName val="단가"/>
      <sheetName val="집계"/>
      <sheetName val="전 기"/>
      <sheetName val="간접비계산"/>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Sheet13"/>
      <sheetName val="A3"/>
      <sheetName val="Sheet14"/>
      <sheetName val="P-J"/>
      <sheetName val="4334-Summary"/>
      <sheetName val="Existing PC Pavem¬"/>
      <sheetName val="Memb Schd"/>
      <sheetName val="소방사항"/>
      <sheetName val="총괄내역서"/>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II손익관리"/>
      <sheetName val="0226"/>
      <sheetName val="공사비예산서(토목분)"/>
      <sheetName val="Wind Load(3.1) (_x0000__x0000_"/>
      <sheetName val="프랜트면허"/>
      <sheetName val="토목주소"/>
      <sheetName val="4_3물량INDE_x0000__x0000_Ԁ"/>
      <sheetName val="10"/>
      <sheetName val="5"/>
      <sheetName val="Sheet472"/>
      <sheetName val="카드채권(대출포함)"/>
      <sheetName val="design load"/>
      <sheetName val="working load at the btm ft."/>
      <sheetName val="stability check"/>
      <sheetName val="design criteria"/>
      <sheetName val="plan&amp;section of foundation"/>
      <sheetName val="기계내역서"/>
      <sheetName val="건축내역"/>
      <sheetName val="물량표"/>
      <sheetName val="Wall1"/>
      <sheetName val="포설list원본"/>
      <sheetName val="MAIN GATE HOUSE"/>
      <sheetName val="CT Thang Mo"/>
      <sheetName val="CT  PL"/>
      <sheetName val="화전내"/>
      <sheetName val="설비2차"/>
      <sheetName val="대공종"/>
      <sheetName val="간접비"/>
      <sheetName val="월별사업계획_조정"/>
      <sheetName val="Overall"/>
      <sheetName val="Existing PC Pavem刀_x0010__x0000_"/>
      <sheetName val="4_3물량I刀_x0010__x0000__x0000__x0000__x0000_"/>
      <sheetName val="EQT-ESTN"/>
      <sheetName val="DUT-BAT1"/>
      <sheetName val="anal.P"/>
      <sheetName val="4-Basic Price"/>
      <sheetName val="5-ALAT(1)"/>
      <sheetName val="bq"/>
      <sheetName val="STR"/>
      <sheetName val="harga"/>
      <sheetName val="upah"/>
      <sheetName val="Rupiah"/>
      <sheetName val="Harga Dasar"/>
      <sheetName val="Alat (1)"/>
      <sheetName val="Direct Labor"/>
      <sheetName val="Basic Price"/>
      <sheetName val="Tunnel ( 8,0 x 4,6 )"/>
      <sheetName val="Harga material_1"/>
      <sheetName val="Ana. PU"/>
      <sheetName val="3 Organisasi"/>
      <sheetName val="LOADDAT"/>
      <sheetName val="구의33고"/>
      <sheetName val="D-3503"/>
      <sheetName val="Raw_Data"/>
      <sheetName val="4-Lane_bridge"/>
      <sheetName val="(10)_Other_Costs5"/>
      <sheetName val="Cash_Out_Table"/>
      <sheetName val="Net_Cash_Table"/>
      <sheetName val="Item#9_3"/>
      <sheetName val="Item#1_9"/>
      <sheetName val="Item#6_7"/>
      <sheetName val="Item#2_6"/>
      <sheetName val="Item#4_10"/>
      <sheetName val="Item#5_8"/>
      <sheetName val="Item#7_21"/>
      <sheetName val="Item#3_8"/>
      <sheetName val="Item#8_7"/>
      <sheetName val="Equipt_Rental"/>
      <sheetName val="05__VO_Log_(Master_Data)"/>
      <sheetName val="BOQ_segment3_(Part_C-H)"/>
      <sheetName val="BOQ_segment3_(PartB)"/>
      <sheetName val="UPA(Part_C,D,E,G,H)"/>
      <sheetName val="UPA(Part_F)"/>
      <sheetName val="일위대가_(Part_C,D,E,G,H)"/>
      <sheetName val="HaulingLine_hardware"/>
      <sheetName val="WTB-STAR_CINEMA"/>
      <sheetName val="VC2_10_99"/>
      <sheetName val="personnel_loading"/>
      <sheetName val="Dir-Conc_"/>
      <sheetName val="ﾄﾞﾊﾞｲFUEL_GAS追見"/>
      <sheetName val="MATERIAL'S_PRICE"/>
      <sheetName val="4300_UTILITY_BLDG_(2)"/>
      <sheetName val="sum_mdc"/>
      <sheetName val="Division_3000"/>
      <sheetName val="Price_Summary_(1)"/>
      <sheetName val="Price_Summary_(2)"/>
      <sheetName val="cash_budget"/>
      <sheetName val="Material_Selections"/>
      <sheetName val="전기_BM_revA('090624)_xls"/>
      <sheetName val="직간접비 집계표"/>
      <sheetName val="RCF CLAIMED"/>
      <sheetName val="Analysis"/>
      <sheetName val="MAY 00-Bobbins"/>
      <sheetName val="TOSHIBA-Structure"/>
      <sheetName val="Computed Floor Area"/>
      <sheetName val="Ex-Rate"/>
      <sheetName val="DESBAST"/>
      <sheetName val="Bill 3 -BPO1"/>
      <sheetName val="Bill 3 -BPO2"/>
      <sheetName val="Bill 2 -RETAIL"/>
      <sheetName val="공사내역"/>
      <sheetName val="DataSheet"/>
      <sheetName val="author_spending"/>
      <sheetName val="MATL"/>
      <sheetName val="BOQ(검토용)"/>
      <sheetName val="UPA"/>
      <sheetName val="EQUI"/>
      <sheetName val="LABOR"/>
      <sheetName val="Tabulation "/>
      <sheetName val="Basis"/>
      <sheetName val="reinforce"/>
      <sheetName val="材料マスタ"/>
      <sheetName val="バルブ材質選定データ"/>
      <sheetName val="as boq list up"/>
      <sheetName val="mat'ls"/>
      <sheetName val="Named Range"/>
      <sheetName val="Other"/>
      <sheetName val="Schedule S-Curve (new scheme)"/>
      <sheetName val="TABLES"/>
      <sheetName val="비품"/>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Bin"/>
      <sheetName val="3.현장배치"/>
      <sheetName val="prelims"/>
      <sheetName val="EquipList"/>
      <sheetName val="GenReq"/>
      <sheetName val="CWDerivation"/>
      <sheetName val="단면가정"/>
      <sheetName val="설계조건"/>
      <sheetName val="Summary of Cost"/>
      <sheetName val="ML"/>
      <sheetName val="(COV)"/>
      <sheetName val="IS033106"/>
      <sheetName val="SITE-E"/>
      <sheetName val="Cash-Flow"/>
      <sheetName val="Candy ee"/>
      <sheetName val="ind'l cp"/>
      <sheetName val="C_E"/>
      <sheetName val="CIM"/>
      <sheetName val="hauling"/>
      <sheetName val="N-CRAM"/>
      <sheetName val="ATD"/>
      <sheetName val="Progress Tables"/>
      <sheetName val="性能取り纏め"/>
      <sheetName val="CONPRIS"/>
      <sheetName val="dervstruc"/>
      <sheetName val="MANHOLE"/>
      <sheetName val="Progress Curve"/>
      <sheetName val="4_3물량INDE"/>
      <sheetName val="co-no.2"/>
      <sheetName val="sort"/>
      <sheetName val="SANBAISU"/>
      <sheetName val="SANTOGO"/>
      <sheetName val="MTO REV.2(ARMOR)"/>
      <sheetName val="LLEGADA"/>
      <sheetName val="GRSummary"/>
      <sheetName val="RFP Codes"/>
      <sheetName val="revised#1"/>
      <sheetName val="Library"/>
      <sheetName val="DPA3A-1"/>
      <sheetName val="ref"/>
      <sheetName val="세금자료"/>
      <sheetName val="choose"/>
      <sheetName val="SUM-AIR-Submit"/>
      <sheetName val="IBASE"/>
      <sheetName val="TYPE-A"/>
      <sheetName val="LOADS"/>
      <sheetName val="Testing"/>
      <sheetName val="Electrical Pricelist"/>
      <sheetName val="prod-rates2"/>
      <sheetName val="6MONTHS"/>
      <sheetName val="FINANCIAL (FLR)"/>
      <sheetName val="Derive"/>
      <sheetName val="SC Cost FEB 03"/>
      <sheetName val="HRG BAHAN &amp; UPAH okk"/>
      <sheetName val="Analisa SNI STANDART "/>
      <sheetName val="Analis Kusen okk"/>
      <sheetName val="CM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refreshError="1"/>
      <sheetData sheetId="772" refreshError="1"/>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수입"/>
      <sheetName val="유림골조"/>
      <sheetName val="Sheet1"/>
      <sheetName val="공통비총괄표"/>
      <sheetName val="잡비계산"/>
      <sheetName val="집계표(육상)"/>
      <sheetName val="지급자재"/>
      <sheetName val="11월 실적"/>
      <sheetName val="내역서"/>
      <sheetName val="h-013211-2"/>
      <sheetName val="slipsumpR"/>
      <sheetName val="TUAS"/>
      <sheetName val="STAND20"/>
      <sheetName val="직원동원SCH"/>
      <sheetName val="#REF"/>
      <sheetName val="Cash2"/>
      <sheetName val="Z"/>
      <sheetName val="간접비 총괄표"/>
      <sheetName val="손익차9월2"/>
      <sheetName val="VC2 8.98"/>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사업부배부A"/>
      <sheetName val="집계표"/>
      <sheetName val="P.M 별"/>
      <sheetName val="BM"/>
      <sheetName val="청산공사"/>
      <sheetName val="8.PILE  (돌출)"/>
      <sheetName val="업체별SV단가"/>
      <sheetName val="수주추진리스트"/>
      <sheetName val="TK판매비impact"/>
      <sheetName val="TK판매비"/>
      <sheetName val="수주집계"/>
      <sheetName val="TK외판매비impact"/>
      <sheetName val="Vendors"/>
      <sheetName val="금액내역서"/>
      <sheetName val="6PILE  (돌출)"/>
      <sheetName val="예정(3)"/>
      <sheetName val="기준"/>
      <sheetName val="PRO_DCI"/>
      <sheetName val="ELEC_DCI"/>
      <sheetName val="INST_DCI"/>
      <sheetName val="2000.11월설계내역"/>
      <sheetName val="주관사업"/>
      <sheetName val="발주코드"/>
      <sheetName val="운반"/>
      <sheetName val="단중"/>
      <sheetName val="품셈표"/>
      <sheetName val="을지"/>
      <sheetName val="안전장치"/>
      <sheetName val="HKDSUMM"/>
      <sheetName val="산거각호표"/>
      <sheetName val="Sheet4"/>
      <sheetName val="B"/>
      <sheetName val="D-623D"/>
      <sheetName val="2.1.2예정공정율(칼라)"/>
      <sheetName val="산근"/>
      <sheetName val="연돌일위집계"/>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BQMP"/>
      <sheetName val="Rate Analysis"/>
      <sheetName val="찍기"/>
      <sheetName val="15 문제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분류"/>
      <sheetName val="Sheet1"/>
      <sheetName val="Sheet2"/>
      <sheetName val="Sheet3"/>
      <sheetName val="기성내역"/>
      <sheetName val="전차선로 물량표"/>
      <sheetName val="insulation"/>
      <sheetName val="내역(정지)"/>
      <sheetName val="Main"/>
      <sheetName val="General Data"/>
      <sheetName val="#REF"/>
      <sheetName val="B"/>
      <sheetName val="도급실행"/>
      <sheetName val="당초"/>
      <sheetName val="손익합산"/>
      <sheetName val="견적서"/>
      <sheetName val="TOEC"/>
      <sheetName val="공사비 내역 (가)"/>
      <sheetName val="산근"/>
      <sheetName val="내역서"/>
      <sheetName val="Civil"/>
      <sheetName val="DB@Acess"/>
      <sheetName val="기자재비"/>
      <sheetName val="BQ"/>
      <sheetName val="노임단가"/>
      <sheetName val="TOTAL CBM Summary"/>
      <sheetName val="Simulation"/>
      <sheetName val="DATA"/>
      <sheetName val="DI-ESTI"/>
      <sheetName val="Contents"/>
      <sheetName val="V-VESSEL (WITH DEMISTER)"/>
      <sheetName val="IBASE"/>
      <sheetName val="Piping Design Data"/>
      <sheetName val="D-3"/>
      <sheetName val="EQUIPMENT -2"/>
      <sheetName val="집계표(OPTION)"/>
      <sheetName val="대비표"/>
      <sheetName val=" ｹ-ﾌﾞﾙ"/>
      <sheetName val="BOQ_G CIVIL"/>
      <sheetName val="SI (Onshore)"/>
      <sheetName val="Topho(USD)"/>
      <sheetName val="지급자재단가"/>
      <sheetName val="COVER"/>
      <sheetName val="일위대가(계측기설치)"/>
      <sheetName val="금액내역서"/>
      <sheetName val="제출내역"/>
      <sheetName val="구조물토적"/>
      <sheetName val="한강운반비"/>
      <sheetName val="PUMP"/>
      <sheetName val="cable-data"/>
      <sheetName val="전차선로_물량표"/>
      <sheetName val="General_Data"/>
      <sheetName val="EQUIPMENT_-2"/>
      <sheetName val="공사비_내역_(가)"/>
      <sheetName val="_ｹ-ﾌﾞﾙ"/>
      <sheetName val="TOTAL_CBM_Summary"/>
      <sheetName val="V-VESSEL_(WITH_DEMISTER)"/>
      <sheetName val="Piping_Design_Data"/>
      <sheetName val="BOQ_G_CIVIL"/>
      <sheetName val="SI_(Onshore)"/>
      <sheetName val="전기일위대가"/>
      <sheetName val="말뚝지지력산정"/>
      <sheetName val="Equip"/>
      <sheetName val="WE'T"/>
      <sheetName val="BREAKDOWN(철거설치)"/>
      <sheetName val="INGENIERÍA"/>
      <sheetName val="ANALYSER"/>
      <sheetName val="基数"/>
      <sheetName val="BQMPALOC"/>
      <sheetName val="연돌일위집계"/>
      <sheetName val="노임이"/>
      <sheetName val="설계내역서"/>
      <sheetName val="??-BLDG"/>
      <sheetName val="KP1590_E"/>
      <sheetName val="Factor"/>
      <sheetName val="BQ_Utl_Off"/>
      <sheetName val="Cash2"/>
      <sheetName val="Z"/>
      <sheetName val="Riesgos y Oportunidades"/>
      <sheetName val="RATES"/>
      <sheetName val="__-BLDG"/>
      <sheetName val="Price Summary (1)"/>
      <sheetName val="Price Summary (2)"/>
      <sheetName val="견"/>
      <sheetName val="기준"/>
      <sheetName val="dg-VTu"/>
      <sheetName val="Tke"/>
      <sheetName val="TABLE2-2 OSBL(total)"/>
      <sheetName val="Table1"/>
      <sheetName val="Cashflow Analysis"/>
      <sheetName val="Home Office"/>
      <sheetName val="Sheet 1 (Notes)"/>
      <sheetName val="0.0 Cover"/>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12CGOU"/>
      <sheetName val="견적 (2)"/>
      <sheetName val="물류최종8월7"/>
      <sheetName val="전차선로_물량표1"/>
      <sheetName val="General_Data1"/>
      <sheetName val="EQUIPMENT_-21"/>
      <sheetName val="공사비_내역_(가)1"/>
      <sheetName val="_ｹ-ﾌﾞﾙ1"/>
      <sheetName val="TOTAL_CBM_Summary1"/>
      <sheetName val="V-VESSEL_(WITH_DEMISTER)1"/>
      <sheetName val="Piping_Design_Data1"/>
      <sheetName val="BOQ_G_CIVIL1"/>
      <sheetName val="SI_(Onshore)1"/>
      <sheetName val="전차선로_물량표2"/>
      <sheetName val="General_Data2"/>
      <sheetName val="EQUIPMENT_-22"/>
      <sheetName val="공사비_내역_(가)2"/>
      <sheetName val="_ｹ-ﾌﾞﾙ2"/>
      <sheetName val="TOTAL_CBM_Summary2"/>
      <sheetName val="V-VESSEL_(WITH_DEMISTER)2"/>
      <sheetName val="Piping_Design_Data2"/>
      <sheetName val="BOQ_G_CIVIL2"/>
      <sheetName val="SI_(Onshore)2"/>
      <sheetName val="전차선로_물량표3"/>
      <sheetName val="General_Data3"/>
      <sheetName val="EQUIPMENT_-23"/>
      <sheetName val="공사비_내역_(가)3"/>
      <sheetName val="_ｹ-ﾌﾞﾙ3"/>
      <sheetName val="TOTAL_CBM_Summary3"/>
      <sheetName val="V-VESSEL_(WITH_DEMISTER)3"/>
      <sheetName val="Piping_Design_Data3"/>
      <sheetName val="BOQ_G_CIVIL3"/>
      <sheetName val="SI_(Onshore)3"/>
      <sheetName val="INDIRECT OH&amp;P "/>
      <sheetName val="Hoja2"/>
      <sheetName val="Horas"/>
      <sheetName val="경비2내역"/>
      <sheetName val="SE-611"/>
      <sheetName val="수입"/>
      <sheetName val="MATERIAL"/>
      <sheetName val="내2"/>
      <sheetName val="견적"/>
      <sheetName val="기초자료"/>
      <sheetName val="견적집계표"/>
      <sheetName val="보할공정"/>
      <sheetName val="RFP002"/>
      <sheetName val="내역"/>
      <sheetName val="일위대가"/>
      <sheetName val="h-013211-2"/>
      <sheetName val="집계표"/>
      <sheetName val="공사내역"/>
      <sheetName val="70%"/>
      <sheetName val="구리토평1전기"/>
      <sheetName val="공사원가계산서"/>
      <sheetName val="도급예산내역서총괄표"/>
      <sheetName val="설계산출기초"/>
      <sheetName val="을부담운반비"/>
      <sheetName val="운반비산출"/>
      <sheetName val="설계산출표지"/>
      <sheetName val="관람석제출"/>
      <sheetName val="입찰내역서"/>
      <sheetName val="을"/>
      <sheetName val="원가"/>
      <sheetName val="33628-Rev. A"/>
      <sheetName val="EQUIPOS"/>
      <sheetName val="차액보증"/>
      <sheetName val="도급양식"/>
      <sheetName val="환율"/>
      <sheetName val="노임9월"/>
      <sheetName val="할증 "/>
      <sheetName val="기본단가"/>
      <sheetName val="인건비단가"/>
      <sheetName val="??? ?? (?)"/>
      <sheetName val="★도급내역"/>
      <sheetName val="2공구산출내역"/>
      <sheetName val="기성현황"/>
      <sheetName val="사업전망"/>
      <sheetName val="원가현황"/>
      <sheetName val="공사비내역서"/>
      <sheetName val="회사99"/>
      <sheetName val="예산내역"/>
      <sheetName val="총괄수지표"/>
      <sheetName val="요율"/>
      <sheetName val="Summary Sheets"/>
      <sheetName val="도기류"/>
      <sheetName val="현장관리비"/>
      <sheetName val="실행내역"/>
      <sheetName val="일위_파일"/>
      <sheetName val="내역5"/>
      <sheetName val="도급견적가"/>
      <sheetName val="단가일람"/>
      <sheetName val="단위량당중기"/>
      <sheetName val="___ __ (_)"/>
      <sheetName val="설계명세서"/>
      <sheetName val="품셈표"/>
      <sheetName val="증감대비"/>
      <sheetName val="2.설계제원"/>
      <sheetName val="할증_"/>
      <sheetName val="Project-A"/>
      <sheetName val="공사비 내역 _가_"/>
      <sheetName val="배서어음명세서"/>
      <sheetName val="Proposal"/>
      <sheetName val="Equipment"/>
      <sheetName val=" 내역서"/>
      <sheetName val="PipWT"/>
      <sheetName val="Unit Price"/>
      <sheetName val="적용환율"/>
      <sheetName val="指数"/>
      <sheetName val="type-F"/>
      <sheetName val="98수문일위"/>
      <sheetName val="정부노임단가"/>
      <sheetName val="기계경비"/>
      <sheetName val="단가"/>
      <sheetName val="예산M12A"/>
      <sheetName val="매출원가"/>
      <sheetName val="부표총괄"/>
      <sheetName val="표지"/>
      <sheetName val="재료"/>
      <sheetName val="노점수분"/>
      <sheetName val="수주추정"/>
      <sheetName val="일위목록"/>
      <sheetName val="lookup"/>
      <sheetName val="수목데이타 "/>
      <sheetName val="Sheet5"/>
      <sheetName val="SILICATE"/>
      <sheetName val="b_balju-단가단가단가"/>
      <sheetName val="member design"/>
      <sheetName val="design criteria"/>
      <sheetName val="working load at the btm ft."/>
      <sheetName val="plan&amp;section of foundation"/>
      <sheetName val="soil bearing check"/>
      <sheetName val="TIE-IN"/>
      <sheetName val="Calc"/>
      <sheetName val="steel-gr"/>
      <sheetName val="96노임기준"/>
      <sheetName val="master list"/>
      <sheetName val="9509"/>
      <sheetName val="토사(PE)"/>
      <sheetName val="노무 단가"/>
      <sheetName val="도급"/>
      <sheetName val="F4-F7"/>
      <sheetName val="할증_1"/>
      <sheetName val="???_??_(?)"/>
      <sheetName val="Summary_Sheets"/>
      <sheetName val="_______(_)"/>
      <sheetName val="2_설계제원"/>
      <sheetName val="공사비_내역__가_"/>
      <sheetName val="_내역서"/>
      <sheetName val="Unit_Price"/>
      <sheetName val="수목데이타_"/>
      <sheetName val="member_design"/>
      <sheetName val="design_criteria"/>
      <sheetName val="working_load_at_the_btm_ft_"/>
      <sheetName val="plan&amp;section_of_foundation"/>
      <sheetName val="soil_bearing_check"/>
      <sheetName val="토건"/>
      <sheetName val="계화배수"/>
      <sheetName val="Price_Summary_(1)"/>
      <sheetName val="Price_Summary_(2)"/>
      <sheetName val="Cashflow_Analysis"/>
      <sheetName val="Riesgos_y_Oportunidades"/>
      <sheetName val="Home_Office"/>
      <sheetName val="Sheet_1_(Notes)"/>
      <sheetName val="0_0_Cover"/>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할증_2"/>
      <sheetName val="???_??_(?)1"/>
      <sheetName val="Summary_Sheets1"/>
      <sheetName val="_______(_)1"/>
      <sheetName val="2_설계제원1"/>
      <sheetName val="공사비_내역__가_1"/>
      <sheetName val="_내역서1"/>
      <sheetName val="Unit_Price1"/>
      <sheetName val="수목데이타_1"/>
      <sheetName val="member_design1"/>
      <sheetName val="design_criteria1"/>
      <sheetName val="working_load_at_the_btm_ft_1"/>
      <sheetName val="plan&amp;section_of_foundation1"/>
      <sheetName val="soil_bearing_check1"/>
      <sheetName val="33628-Rev__A"/>
      <sheetName val="master_list"/>
      <sheetName val="노무_단가"/>
      <sheetName val="WIP"/>
      <sheetName val="E1"/>
      <sheetName val="PROC%"/>
      <sheetName val="A"/>
      <sheetName val="PIPING"/>
      <sheetName val="DRUM"/>
      <sheetName val="M 11"/>
      <sheetName val="공문"/>
      <sheetName val="Land Dev't. Ph-1"/>
      <sheetName val="M_11"/>
      <sheetName val="Land_Dev't__Ph-1"/>
      <sheetName val="Eq. Mobilization"/>
      <sheetName val="전계가"/>
      <sheetName val="전차선로_물량표4"/>
      <sheetName val="General_Data4"/>
      <sheetName val="EQUIPMENT_-24"/>
      <sheetName val="공사비_내역_(가)4"/>
      <sheetName val="_ｹ-ﾌﾞﾙ4"/>
      <sheetName val="TOTAL_CBM_Summary4"/>
      <sheetName val="V-VESSEL_(WITH_DEMISTER)4"/>
      <sheetName val="Piping_Design_Data4"/>
      <sheetName val="BOQ_G_CIVIL4"/>
      <sheetName val="SI_(Onshore)4"/>
      <sheetName val="Riesgos_y_Oportunidades1"/>
      <sheetName val="Price_Summary_(1)1"/>
      <sheetName val="Price_Summary_(2)1"/>
      <sheetName val="Cashflow_Analysis1"/>
      <sheetName val="Home_Office1"/>
      <sheetName val="Sheet_1_(Notes)1"/>
      <sheetName val="0_0_Cover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INDIRECT_OH&amp;P_"/>
      <sheetName val="할증_3"/>
      <sheetName val="???_??_(?)2"/>
      <sheetName val="Summary_Sheets2"/>
      <sheetName val="_______(_)2"/>
      <sheetName val="2_설계제원2"/>
      <sheetName val="공사비_내역__가_2"/>
      <sheetName val="_내역서2"/>
      <sheetName val="Unit_Price2"/>
      <sheetName val="수목데이타_2"/>
      <sheetName val="member_design2"/>
      <sheetName val="design_criteria2"/>
      <sheetName val="working_load_at_the_btm_ft_2"/>
      <sheetName val="plan&amp;section_of_foundation2"/>
      <sheetName val="soil_bearing_check2"/>
      <sheetName val="33628-Rev__A1"/>
      <sheetName val="master_list1"/>
      <sheetName val="노무_단가1"/>
      <sheetName val="CABLE"/>
      <sheetName val="설치공사"/>
      <sheetName val="ANX3A65"/>
      <sheetName val="HYDROTEST DIAGRAM"/>
      <sheetName val="TABLE2-2_OSBL(total)"/>
      <sheetName val="2.대외공문"/>
      <sheetName val="3BL공동구 수량"/>
      <sheetName val="EQT-ESTN"/>
      <sheetName val="inter"/>
      <sheetName val="full (2)"/>
      <sheetName val="내역서을지"/>
      <sheetName val="综合概算(2003)"/>
      <sheetName val="contactor"/>
      <sheetName val="CCTMCatalog"/>
      <sheetName val="C1 (calcolo)"/>
      <sheetName val="6PILE  (돌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Sheet1"/>
      <sheetName val="Sheet2"/>
      <sheetName val="Sheet3"/>
      <sheetName val="97 사업추정(WEKI)"/>
      <sheetName val="영업소실적"/>
      <sheetName val="DRUM"/>
      <sheetName val="INSTR"/>
      <sheetName val="상반기손익차2총괄"/>
      <sheetName val="SPEC-DT2"/>
      <sheetName val="DESCRIPTION"/>
      <sheetName val="Details"/>
      <sheetName val="PIPE"/>
      <sheetName val="FLANGE"/>
      <sheetName val="VALVE"/>
      <sheetName val="96.12"/>
      <sheetName val="BM DATA SHEET"/>
      <sheetName val="우각부보강"/>
      <sheetName val="NEWCPS"/>
      <sheetName val="IndectCostBreakdown"/>
      <sheetName val="PRO_A"/>
      <sheetName val="DWG"/>
      <sheetName val="MAIN"/>
      <sheetName val="PRO"/>
      <sheetName val="BQ"/>
      <sheetName val="crude.SLAB RE-bar"/>
      <sheetName val="CRUDE RE-bar"/>
      <sheetName val="개시전표"/>
      <sheetName val="공사집계"/>
      <sheetName val="주관사업"/>
      <sheetName val="STAND98"/>
      <sheetName val="h-013211-2"/>
      <sheetName val="ANALYSER"/>
      <sheetName val="환율"/>
      <sheetName val="#REF"/>
      <sheetName val="BQ List"/>
      <sheetName val="대치판정"/>
      <sheetName val="C3"/>
      <sheetName val="경제지표"/>
      <sheetName val="세금자료"/>
      <sheetName val="수정양식"/>
      <sheetName val="INPUT DATA"/>
      <sheetName val="BCPAB"/>
      <sheetName val="Y-WORK"/>
      <sheetName val="단면가정"/>
      <sheetName val="95삼성급(본사)"/>
      <sheetName val="연돌일위집계"/>
      <sheetName val="eq_data"/>
      <sheetName val="5"/>
      <sheetName val="3.현장배치"/>
      <sheetName val="손익차9월2"/>
      <sheetName val="기둥(원형)"/>
      <sheetName val="단가표"/>
      <sheetName val="경비_원본"/>
      <sheetName val="노임단가"/>
      <sheetName val="1월"/>
      <sheetName val="sort"/>
      <sheetName val="청산공사"/>
      <sheetName val="토목(도급)"/>
      <sheetName val="MUTUAL"/>
      <sheetName val="95년12월말"/>
      <sheetName val="간접비총괄 (2)"/>
      <sheetName val="적용토목"/>
      <sheetName val="집계표"/>
      <sheetName val="월별사업계획_조정"/>
      <sheetName val="Equipment"/>
      <sheetName val="Piping"/>
      <sheetName val="Z"/>
      <sheetName val="Cash2"/>
      <sheetName val="PBS"/>
      <sheetName val="Cover"/>
      <sheetName val="Compressors"/>
      <sheetName val="공문"/>
      <sheetName val="Material Specification"/>
      <sheetName val="Preface"/>
      <sheetName val="BQ-375-1"/>
      <sheetName val="steel-gr"/>
      <sheetName val="Sheet 2"/>
      <sheetName val="BM_DATA_SHEET"/>
      <sheetName val="96_12"/>
      <sheetName val="97_사업추정(WEKI)"/>
      <sheetName val="BQ_List"/>
      <sheetName val="INPUT_DATA"/>
      <sheetName val="crude_SLAB_RE-bar"/>
      <sheetName val="CRUDE_RE-bar"/>
      <sheetName val="float&amp;bear"/>
      <sheetName val="Kfracture"/>
      <sheetName val="inter"/>
      <sheetName val="공정계획(내부계획25%,내부w.f)"/>
      <sheetName val="단중표-ST"/>
      <sheetName val="요약배부"/>
      <sheetName val="SUM-OVERSEAS"/>
      <sheetName val="COST-850"/>
      <sheetName val="말뚝물량"/>
      <sheetName val="DNT OSBL"/>
      <sheetName val="PipWT"/>
      <sheetName val="당초"/>
      <sheetName val="총원가.24"/>
      <sheetName val="GeneralNote"/>
      <sheetName val="MOB-MAN1"/>
      <sheetName val="DATE"/>
      <sheetName val="DESIGN CRETERIA"/>
      <sheetName val="Unit 49_분개표"/>
      <sheetName val="Unit 76_분개표"/>
      <sheetName val="인원계획"/>
      <sheetName val="시공집계"/>
      <sheetName val="choose"/>
      <sheetName val="산근"/>
      <sheetName val="7.5.2 BOQ Summary"/>
      <sheetName val="Master"/>
      <sheetName val="사업부배부A"/>
      <sheetName val="간접비내역-1"/>
      <sheetName val="간접비 총괄표"/>
      <sheetName val="품셈TABLE"/>
      <sheetName val="DCS"/>
      <sheetName val="자재코드"/>
      <sheetName val="Table"/>
      <sheetName val="기초입력"/>
      <sheetName val="영업2"/>
      <sheetName val="영업3"/>
      <sheetName val="투찰내역"/>
      <sheetName val="Weld, NDE (Pipe)"/>
      <sheetName val="토목주소"/>
      <sheetName val="프랜트면허"/>
      <sheetName val="BID"/>
      <sheetName val="공사내역"/>
      <sheetName val="sw1"/>
      <sheetName val="UnitList"/>
      <sheetName val="노임"/>
      <sheetName val="일일총괄"/>
      <sheetName val="집계표(OPTION)"/>
      <sheetName val="activity"/>
      <sheetName val="Total"/>
      <sheetName val="w't table"/>
      <sheetName val="Code"/>
      <sheetName val="Import"/>
      <sheetName val="B"/>
      <sheetName val="입찰안"/>
      <sheetName val="갑지"/>
      <sheetName val=" ｹ-ﾌﾞﾙ"/>
      <sheetName val="변경집계표"/>
      <sheetName val="Workspace"/>
      <sheetName val="순공사비"/>
      <sheetName val="DNT_OSBL"/>
      <sheetName val="총원가_24"/>
      <sheetName val="Unit_49_분개표"/>
      <sheetName val="Unit_76_분개표"/>
      <sheetName val="DESIGN_CRETERIA"/>
      <sheetName val="7_5_2_BOQ_Summary"/>
      <sheetName val="Weld,_NDE_(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THOUT C&amp;I PROFIT (4)"/>
      <sheetName val="WITH C&amp;I PROFIT (2)"/>
      <sheetName val="WITHOUT C&amp;I PROFIT (3)"/>
      <sheetName val="CEMENT"/>
      <sheetName val="#REF"/>
      <sheetName val="WITH C&amp;I PROFIT"/>
      <sheetName val="WITHOUT C&amp;I PROFIT"/>
      <sheetName val="견적서"/>
      <sheetName val="갑지"/>
      <sheetName val="_REF"/>
      <sheetName val="TOEC"/>
      <sheetName val="일위대가(가설)"/>
      <sheetName val="LEGEND"/>
      <sheetName val="B"/>
      <sheetName val="건축내역"/>
      <sheetName val="요율"/>
      <sheetName val="설비비4"/>
      <sheetName val="WORKING"/>
      <sheetName val="BQ List MNHRS"/>
      <sheetName val="PipWT"/>
      <sheetName val="Chiet tinh dz35"/>
      <sheetName val="Sheet1"/>
      <sheetName val="산근"/>
      <sheetName val="노임단가"/>
      <sheetName val="노임9월"/>
      <sheetName val="금액내역서"/>
      <sheetName val="Main"/>
      <sheetName val="??"/>
      <sheetName val="단가일람"/>
      <sheetName val="단위량당중기"/>
      <sheetName val="보할공정"/>
      <sheetName val="일위대가표"/>
      <sheetName val="LV data"/>
      <sheetName val="단가"/>
      <sheetName val="하부철근수량"/>
      <sheetName val="단가조사"/>
      <sheetName val="견"/>
      <sheetName val="작성"/>
      <sheetName val="__"/>
      <sheetName val="Resource summary"/>
      <sheetName val="RFP002"/>
      <sheetName val="AILC004"/>
      <sheetName val="Y-WORK"/>
      <sheetName val="ITB COST"/>
      <sheetName val="Precios"/>
      <sheetName val="POWER"/>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사내공문"/>
      <sheetName val="공기기준"/>
      <sheetName val="공사비비교"/>
      <sheetName val="건축공사비"/>
      <sheetName val="공통가설"/>
      <sheetName val="현관집계"/>
      <sheetName val="현장관리비"/>
      <sheetName val="견적조건"/>
      <sheetName val="현장조직도"/>
      <sheetName val="천호동(99.9월)"/>
      <sheetName val="공문"/>
      <sheetName val="96.12"/>
      <sheetName val="Macro1"/>
      <sheetName val="설계산출표지"/>
      <sheetName val="정부노임단가"/>
      <sheetName val="내역"/>
      <sheetName val="노임이"/>
      <sheetName val="건축공사실행"/>
      <sheetName val="SG"/>
      <sheetName val="변수값"/>
      <sheetName val="중기상차"/>
      <sheetName val="AS복구"/>
      <sheetName val="중기터파기"/>
      <sheetName val="설계내역서"/>
      <sheetName val="건축직영"/>
      <sheetName val="군산공장추가구매"/>
      <sheetName val="MEXICO-C"/>
      <sheetName val="내역서"/>
      <sheetName val="현장별계약현황('98.10.31)"/>
      <sheetName val="실행(ALT1)"/>
      <sheetName val="중갑지"/>
      <sheetName val="b_balju (2)"/>
      <sheetName val="b_gunmul"/>
      <sheetName val="BCPAB"/>
      <sheetName val="BID"/>
      <sheetName val="화재 탐지 설비"/>
      <sheetName val="갑지1"/>
      <sheetName val="DHEQSUPT"/>
      <sheetName val="여흥"/>
      <sheetName val="cp-e1"/>
      <sheetName val="U-TYPE(1)"/>
      <sheetName val="현장지지물물량"/>
      <sheetName val="RESOURCE"/>
      <sheetName val="Sheet1"/>
      <sheetName val="플랜트 설치"/>
      <sheetName val="을"/>
      <sheetName val="수압집계"/>
      <sheetName val="집계표"/>
      <sheetName val="인건비"/>
      <sheetName val="내역(한신APT)"/>
      <sheetName val="견적의뢰"/>
      <sheetName val="실행철강하도"/>
      <sheetName val="수량산출"/>
      <sheetName val="REDUCER"/>
      <sheetName val="WE'T"/>
      <sheetName val="토목주소"/>
      <sheetName val="프랜트면허"/>
      <sheetName val="설비2차"/>
      <sheetName val="갑지(추정)"/>
      <sheetName val="조직도"/>
      <sheetName val="기준"/>
      <sheetName val="자바라1"/>
      <sheetName val="수입"/>
      <sheetName val="입찰안"/>
      <sheetName val="#REF"/>
      <sheetName val="남양시작동자105노65기1.3화1.2"/>
      <sheetName val="물량표"/>
      <sheetName val="BSD (2)"/>
      <sheetName val="일위대가"/>
      <sheetName val="차액보증"/>
      <sheetName val="건축집계합계"/>
      <sheetName val="건축집계표이수"/>
      <sheetName val="당정동공통이수"/>
      <sheetName val="당정동경상이수"/>
      <sheetName val="음료실행"/>
      <sheetName val="청하배수"/>
      <sheetName val="운반"/>
      <sheetName val="수출모델별원단위"/>
      <sheetName val="토목"/>
      <sheetName val="1.설계조건"/>
      <sheetName val="입출재고현황 (2)"/>
      <sheetName val="신규일위대가"/>
      <sheetName val="노임단가"/>
      <sheetName val="부하계산서"/>
      <sheetName val="6호기"/>
      <sheetName val="0Title"/>
      <sheetName val="갑지"/>
      <sheetName val="공사개요"/>
      <sheetName val="2000전체분"/>
      <sheetName val="2000년1차"/>
      <sheetName val="총괄"/>
      <sheetName val="APT"/>
      <sheetName val="STANDARD (상)-참고"/>
      <sheetName val="G.R300경비"/>
      <sheetName val="부대tu"/>
      <sheetName val="카렌스센터계량기설치공사"/>
      <sheetName val="총괄내역서"/>
      <sheetName val="청천내"/>
      <sheetName val="데이타"/>
      <sheetName val="DATE"/>
      <sheetName val="BLR-S"/>
      <sheetName val="대우기성"/>
      <sheetName val="충주"/>
      <sheetName val="전체내역 (2)"/>
      <sheetName val="입찰보고"/>
      <sheetName val="tggwan(mac)"/>
      <sheetName val="터파기및재료"/>
      <sheetName val="위치조서"/>
      <sheetName val="Sheet4"/>
      <sheetName val="2.대외공문"/>
      <sheetName val="중기사용료"/>
      <sheetName val="Total"/>
      <sheetName val="ABUT수량-A1"/>
      <sheetName val="물량표S"/>
      <sheetName val="Template"/>
      <sheetName val="노무비"/>
      <sheetName val="10월상품입고"/>
      <sheetName val="노무비단가"/>
      <sheetName val="ASME B 36.10 M"/>
      <sheetName val="TOEC"/>
      <sheetName val="6PILE  (돌출)"/>
      <sheetName val="진주방향"/>
      <sheetName val="파일의이용"/>
      <sheetName val="CTEMCOST"/>
      <sheetName val="하수급견적대비"/>
      <sheetName val="경비2내역"/>
      <sheetName val="산근"/>
      <sheetName val="우배수"/>
      <sheetName val="계산식"/>
      <sheetName val="증감내역서"/>
      <sheetName val="계측"/>
      <sheetName val="VENT"/>
      <sheetName val="참고"/>
      <sheetName val="A"/>
      <sheetName val="계약내역서"/>
      <sheetName val="FOB발"/>
      <sheetName val="조건"/>
      <sheetName val="일위대가표"/>
      <sheetName val="은행"/>
      <sheetName val="020114"/>
      <sheetName val="0111월"/>
      <sheetName val="대비표"/>
      <sheetName val="단면 (2)"/>
      <sheetName val="인사자료총집계"/>
      <sheetName val="SUM (실행원가대비)"/>
      <sheetName val="CAPVC"/>
      <sheetName val="DWG-M101(21)"/>
      <sheetName val="Sheet5"/>
      <sheetName val="7.경제성결과"/>
      <sheetName val="평가데이터"/>
      <sheetName val="조명시설"/>
      <sheetName val="감액총괄표"/>
      <sheetName val="목표세부명세"/>
      <sheetName val="유림골조"/>
      <sheetName val="내역표지"/>
      <sheetName val="T전제"/>
      <sheetName val="PAINT"/>
      <sheetName val="매립"/>
      <sheetName val="esc"/>
      <sheetName val="터널조도"/>
      <sheetName val="rate"/>
      <sheetName val="노원열병합  건축공사기성내역서"/>
      <sheetName val="단가"/>
      <sheetName val="__MAIN"/>
      <sheetName val="주형"/>
      <sheetName val="연결임시"/>
      <sheetName val="원가계산 (2)"/>
      <sheetName val="화설내"/>
      <sheetName val="입력"/>
      <sheetName val="인건비 "/>
      <sheetName val="8.식재일위"/>
      <sheetName val="B시설가격"/>
      <sheetName val="집계"/>
      <sheetName val="마산월령동골조물량변경"/>
      <sheetName val="구리토평1전기"/>
      <sheetName val="기초산출"/>
      <sheetName val="기초코드"/>
      <sheetName val="고합"/>
      <sheetName val="input"/>
      <sheetName val="실행내역서 "/>
      <sheetName val="손익"/>
      <sheetName val="신대방33(적용)"/>
      <sheetName val="대공종"/>
      <sheetName val="세부내역서"/>
      <sheetName val="부하(성남)"/>
      <sheetName val="추가예산"/>
      <sheetName val="Sheet2"/>
      <sheetName val="1.설계기준"/>
      <sheetName val="가설공사내역"/>
      <sheetName val="기계경비(시간당)"/>
      <sheetName val="램머"/>
      <sheetName val="제출내역 (2)"/>
      <sheetName val="2"/>
      <sheetName val="PIS"/>
      <sheetName val="1"/>
      <sheetName val="2(보정)"/>
      <sheetName val="실행갑지"/>
      <sheetName val="총괄집계"/>
      <sheetName val="산출내역서집계표"/>
      <sheetName val="FAB별"/>
      <sheetName val="입찰견적보고서"/>
      <sheetName val="현장경비"/>
      <sheetName val="자재단가"/>
      <sheetName val="원가서"/>
      <sheetName val="교각계산"/>
      <sheetName val="간접"/>
      <sheetName val="값"/>
      <sheetName val="설계명세서"/>
      <sheetName val="기계"/>
      <sheetName val="정화조"/>
      <sheetName val="조경"/>
      <sheetName val="실행내역"/>
      <sheetName val="과천MAIN"/>
      <sheetName val="요율"/>
      <sheetName val="시멘트"/>
      <sheetName val="1-11조직표"/>
      <sheetName val="사유서제출현황-2"/>
      <sheetName val="수량산출서"/>
      <sheetName val="마산방향"/>
      <sheetName val="공량산출서"/>
      <sheetName val="일위산출"/>
      <sheetName val="덕전리"/>
      <sheetName val="아파트-가설"/>
      <sheetName val="수자재단위당"/>
      <sheetName val="시운전연료"/>
      <sheetName val="망미"/>
      <sheetName val="COVER"/>
      <sheetName val="공사"/>
      <sheetName val="금액"/>
      <sheetName val="CON'C"/>
      <sheetName val="설 계"/>
      <sheetName val="ORIGN"/>
      <sheetName val="시공계획"/>
      <sheetName val="MOTOR"/>
      <sheetName val="hvac(제어동)"/>
      <sheetName val="환경기계공정표 (3)"/>
      <sheetName val="화산경계"/>
      <sheetName val="계산서(곡선부)"/>
      <sheetName val="-치수표(곡선부)"/>
      <sheetName val="INPUTDATA"/>
      <sheetName val="예산서"/>
      <sheetName val="물가시세"/>
      <sheetName val="TRE TABLE"/>
      <sheetName val="DATA"/>
      <sheetName val="날개벽수량표"/>
      <sheetName val="RE9604"/>
      <sheetName val="가열로SW"/>
      <sheetName val="노임"/>
      <sheetName val="입찰내역서"/>
      <sheetName val="표지 (2)"/>
      <sheetName val="예가표"/>
      <sheetName val="산출내역"/>
      <sheetName val="TOTAL_BOQ"/>
      <sheetName val="Eq. Mobilization"/>
      <sheetName val="설계내역2"/>
      <sheetName val="아파트"/>
      <sheetName val="임시공사건"/>
      <sheetName val="소특"/>
      <sheetName val="현황CODE"/>
      <sheetName val="손익현황"/>
      <sheetName val="VXXXXX"/>
      <sheetName val="PROJECT BRIEF"/>
      <sheetName val="집계표(공종별)"/>
      <sheetName val="FORM-0"/>
      <sheetName val="구분자"/>
      <sheetName val="경상직원"/>
      <sheetName val="BEND LOSS"/>
      <sheetName val="2F 회의실견적(5_14 일대)"/>
      <sheetName val="001"/>
      <sheetName val="표지"/>
      <sheetName val="단면가정"/>
      <sheetName val="설계가"/>
      <sheetName val="J直材4"/>
      <sheetName val="월별수입"/>
      <sheetName val="채권(하반기)"/>
      <sheetName val="우수"/>
      <sheetName val="EQT-ESTN"/>
      <sheetName val="전도금정산서(27)"/>
      <sheetName val="금융"/>
      <sheetName val="REINF."/>
      <sheetName val="LOADS"/>
      <sheetName val="SKETCH"/>
      <sheetName val="RD제품개발투자비(매가)"/>
      <sheetName val="______"/>
      <sheetName val="96_12"/>
      <sheetName val="천호동(99_9월)"/>
      <sheetName val="현장별계약현황('98_10_31)"/>
      <sheetName val="b_balju_(2)"/>
      <sheetName val="플랜트_설치"/>
      <sheetName val="화재_탐지_설비"/>
      <sheetName val="남양시작동자105노65기1_3화1_2"/>
      <sheetName val="BSD_(2)"/>
      <sheetName val="입출재고현황_(2)"/>
      <sheetName val="전체내역_(2)"/>
      <sheetName val="98지급계획"/>
      <sheetName val="401"/>
      <sheetName val="기초자료입력"/>
      <sheetName val="간접비계산"/>
      <sheetName val="1공구산출내역서"/>
      <sheetName val="CONCRETE"/>
      <sheetName val="21301동"/>
      <sheetName val="도급기성"/>
      <sheetName val="예정(3)"/>
      <sheetName val="동원(3)"/>
      <sheetName val="원본"/>
      <sheetName val="구역화물"/>
      <sheetName val="단가일람"/>
      <sheetName val="배수내역 (2)"/>
      <sheetName val="수량집계"/>
      <sheetName val="증감대비"/>
      <sheetName val="조정금액결과표 (차수별)"/>
      <sheetName val="단가산출"/>
      <sheetName val="Cash Flow bulanan"/>
      <sheetName val="1_설계조건"/>
      <sheetName val="STANDARD_(상)-참고"/>
      <sheetName val="G_R300경비"/>
      <sheetName val="2_대외공문"/>
      <sheetName val="ASME_B_36_10_M"/>
      <sheetName val="6PILE__(돌출)"/>
      <sheetName val="단면_(2)"/>
      <sheetName val="SUM_(실행원가대비)"/>
      <sheetName val="7_경제성결과"/>
      <sheetName val="노원열병합__건축공사기성내역서"/>
      <sheetName val="MANP"/>
      <sheetName val="태화42 "/>
      <sheetName val="유림총괄"/>
      <sheetName val="단가표"/>
      <sheetName val="산업"/>
      <sheetName val="3"/>
      <sheetName val="4"/>
      <sheetName val="5"/>
      <sheetName val="6"/>
      <sheetName val="관로내역원"/>
      <sheetName val="산출근거#2-4(MONORAIL)"/>
      <sheetName val="nde_request"/>
      <sheetName val="BOX-1510"/>
      <sheetName val="목록"/>
      <sheetName val="울산시산표"/>
      <sheetName val="Sheet3"/>
      <sheetName val="영업소실적"/>
      <sheetName val="POL6차-PIPING"/>
      <sheetName val="Cash2"/>
      <sheetName val="Z"/>
      <sheetName val="기준요인별"/>
      <sheetName val="Control"/>
      <sheetName val="Front"/>
      <sheetName val="wall"/>
      <sheetName val="수로단위수량"/>
      <sheetName val="Piping Design Data"/>
      <sheetName val="예총"/>
      <sheetName val="임대견적서"/>
      <sheetName val="1.기초정보"/>
      <sheetName val="4차원가계산서"/>
      <sheetName val="중기조종사 단위단가"/>
      <sheetName val="식재총괄"/>
      <sheetName val="일위목록"/>
      <sheetName val="코드표"/>
      <sheetName val="계획고"/>
      <sheetName val="빌딩 안내"/>
      <sheetName val="Rent Roll"/>
      <sheetName val="중동상가"/>
      <sheetName val="특별교실"/>
      <sheetName val="자재대"/>
      <sheetName val="LIST"/>
      <sheetName val="5.전사투자계획종함안"/>
      <sheetName val="제4절-1"/>
      <sheetName val="별표 "/>
      <sheetName val="전기"/>
      <sheetName val="금융비용"/>
      <sheetName val="입찰내역 발주처 양식"/>
      <sheetName val="특수선일위대가"/>
      <sheetName val="예산작성기준(전기)"/>
      <sheetName val="cfa"/>
      <sheetName val="proj description final"/>
      <sheetName val="GMQ"/>
      <sheetName val="BOQ1"/>
      <sheetName val="NSC"/>
      <sheetName val="PRELIMS"/>
      <sheetName val="inter"/>
      <sheetName val="TOSHIBA-Structure"/>
      <sheetName val="GAEYO"/>
      <sheetName val="MAT_N048"/>
      <sheetName val="DESBASTE"/>
      <sheetName val="dongia (2)"/>
      <sheetName val="LKVL-CK-HT-GD1"/>
      <sheetName val="giathanh1"/>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rsonnel"/>
      <sheetName val="PipWT"/>
      <sheetName val="BM"/>
      <sheetName val="4-Lane bridge"/>
      <sheetName val="Gen"/>
      <sheetName val="sumoflaborates"/>
      <sheetName val="biñ-dasma"/>
      <sheetName val="Rates"/>
      <sheetName val="GKP"/>
      <sheetName val="DESBAST"/>
      <sheetName val="간접비 총괄표"/>
      <sheetName val="LOADDAT"/>
      <sheetName val="Quantity"/>
      <sheetName val="Macro"/>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PS"/>
      <sheetName val="Param"/>
      <sheetName val="#REF"/>
      <sheetName val="산근"/>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eq_data"/>
      <sheetName val="Backdata"/>
      <sheetName val="SubCon"/>
      <sheetName val="요약배부"/>
      <sheetName val="주관사업"/>
      <sheetName val="IT-BAT"/>
      <sheetName val="세금자료"/>
      <sheetName val="단중표-ST"/>
      <sheetName val="말뚝물량"/>
      <sheetName val="SUM-OVERSEAS"/>
      <sheetName val="Sheet1"/>
      <sheetName val="COST-850"/>
      <sheetName val="96.12"/>
      <sheetName val="sort"/>
      <sheetName val="영업소실적"/>
      <sheetName val="95년12월말"/>
      <sheetName val="수정양식"/>
      <sheetName val="DNT OSBL"/>
      <sheetName val="경제지표"/>
      <sheetName val="INPUT DATA"/>
      <sheetName val="PipWT"/>
      <sheetName val="당초"/>
      <sheetName val="BCPAB"/>
      <sheetName val="총원가.24"/>
      <sheetName val="ANALYSER"/>
      <sheetName val="Cover"/>
      <sheetName val="GeneralNote"/>
      <sheetName val="MOB-MAN1"/>
      <sheetName val="Equipment"/>
      <sheetName val="Piping"/>
      <sheetName val="인원계획"/>
      <sheetName val="h-013211-2"/>
      <sheetName val="choose"/>
      <sheetName val="시공집계"/>
      <sheetName val="Unit 49_분개표"/>
      <sheetName val="Unit 76_분개표"/>
      <sheetName val="산근"/>
      <sheetName val="DATE"/>
      <sheetName val="DESIGN CRETERIA"/>
      <sheetName val="사업부배부A"/>
      <sheetName val="간접비내역-1"/>
      <sheetName val="간접비 총괄표"/>
      <sheetName val="품셈TABLE"/>
      <sheetName val="DCS"/>
      <sheetName val="자재코드"/>
      <sheetName val="Table"/>
      <sheetName val="기초입력"/>
      <sheetName val="영업2"/>
      <sheetName val="영업3"/>
      <sheetName val="투찰내역"/>
      <sheetName val="7.5.2 BOQ Summary"/>
      <sheetName val="Master"/>
      <sheetName val="Weld, NDE (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P.M 별"/>
      <sheetName val="유림골조"/>
      <sheetName val="Sheet2 (2)"/>
      <sheetName val="2000년1차"/>
      <sheetName val="6호기"/>
      <sheetName val="일위대가목차"/>
      <sheetName val="노임단가"/>
      <sheetName val="수목단가"/>
      <sheetName val="시설수량표"/>
      <sheetName val="식재수량표"/>
      <sheetName val="일위목록"/>
      <sheetName val="자재단가"/>
      <sheetName val="Total"/>
      <sheetName val="수목표준대가"/>
      <sheetName val="2.냉난방설비공사"/>
      <sheetName val="공통비총괄표"/>
      <sheetName val="단가조사"/>
      <sheetName val="Sheet2"/>
      <sheetName val="대비"/>
      <sheetName val="9509"/>
      <sheetName val="노임이"/>
      <sheetName val="상반기손익차2총괄"/>
      <sheetName val="입찰안"/>
      <sheetName val="일위대가"/>
      <sheetName val="예산서"/>
      <sheetName val="물량내역서"/>
      <sheetName val="사업부배부A"/>
      <sheetName val="6PILE  (돌출)"/>
      <sheetName val="횡배수관집현황(2공구)"/>
      <sheetName val="세부내역"/>
      <sheetName val="Sheet1"/>
      <sheetName val="Sheet3"/>
      <sheetName val="정부노임단가"/>
      <sheetName val="매각(6)"/>
      <sheetName val="마산월령동골조물량변경"/>
      <sheetName val="공통부대비"/>
      <sheetName val="공사비"/>
      <sheetName val="예산명세서"/>
      <sheetName val="설계명세서"/>
      <sheetName val="자료입력"/>
      <sheetName val="매입가격"/>
      <sheetName val="경산"/>
      <sheetName val="설비2차"/>
      <sheetName val="간접비총괄"/>
      <sheetName val="일위대가표"/>
      <sheetName val="2.대외공문"/>
      <sheetName val="냉천부속동"/>
      <sheetName val="시설물기초"/>
      <sheetName val="JUCKEYK"/>
      <sheetName val="견적서"/>
      <sheetName val="2공구산출내역"/>
      <sheetName val="CTEMCOST"/>
      <sheetName val="공통비(전체)"/>
      <sheetName val="배수내역"/>
      <sheetName val="FRP PIPING 일위대가"/>
      <sheetName val="내역서"/>
      <sheetName val="내역서2안"/>
      <sheetName val="2.1  노무비 평균단가산출"/>
      <sheetName val="내역"/>
      <sheetName val="데이타"/>
      <sheetName val="참조자료"/>
      <sheetName val="패널"/>
      <sheetName val="3단계"/>
      <sheetName val="2단계"/>
      <sheetName val="교통대책내역"/>
      <sheetName val="원가계산서(남측)"/>
      <sheetName val="공사손익"/>
      <sheetName val="고자현황"/>
      <sheetName val="COST"/>
      <sheetName val="7. 현장관리비 "/>
      <sheetName val="6. 안전관리비"/>
      <sheetName val="집계표"/>
      <sheetName val="내   역"/>
      <sheetName val="주요공사"/>
      <sheetName val="VXXXXXXX"/>
      <sheetName val="단가표"/>
      <sheetName val="Sheet1 (2)"/>
      <sheetName val="기계공사"/>
      <sheetName val="단면 (2)"/>
      <sheetName val="cp1"/>
      <sheetName val="내역서(기존내역-수정금지)"/>
      <sheetName val="전체내역서"/>
      <sheetName val="ITEM"/>
      <sheetName val="노무비"/>
      <sheetName val="N賃率-職"/>
      <sheetName val="일반부표"/>
      <sheetName val="코드"/>
      <sheetName val="기계"/>
      <sheetName val="주관사업"/>
      <sheetName val="변경내역"/>
      <sheetName val="총요약서"/>
      <sheetName val="설직재-1"/>
      <sheetName val="소일위대가코드표"/>
      <sheetName val="대전(세창동)"/>
      <sheetName val="영업소실적"/>
      <sheetName val="마감사양"/>
      <sheetName val="변압기 및 발전기 용량"/>
      <sheetName val="미수금현황"/>
      <sheetName val="시중노임(공사)"/>
      <sheetName val="유림총괄"/>
      <sheetName val="도급견적가"/>
      <sheetName val="COVER"/>
      <sheetName val="건물"/>
      <sheetName val="0_갑지"/>
      <sheetName val="8_현장관리비"/>
      <sheetName val="7_안전관리비"/>
      <sheetName val="건축내역"/>
      <sheetName val="돈암사업"/>
      <sheetName val="공사비예산서_토목분_"/>
      <sheetName val="01"/>
      <sheetName val="Sens&amp;Anal"/>
      <sheetName val="금액결정"/>
      <sheetName val="마찰손실"/>
      <sheetName val="원가계산 (2)"/>
      <sheetName val="수주실적0709"/>
      <sheetName val="부대공Ⅱ"/>
      <sheetName val="단가기준"/>
      <sheetName val="국내총괄"/>
      <sheetName val="15100"/>
      <sheetName val="시중노임단가"/>
      <sheetName val="반포2차"/>
      <sheetName val="부표총괄"/>
      <sheetName val="기초목"/>
      <sheetName val="국산화"/>
      <sheetName val="경비"/>
      <sheetName val="00노임기준"/>
      <sheetName val="교각별철근수량집계표"/>
      <sheetName val="구조물공"/>
      <sheetName val="부대공"/>
      <sheetName val="배수공"/>
      <sheetName val="토공"/>
      <sheetName val="포장공"/>
      <sheetName val="연결임시"/>
      <sheetName val="토공(우물통,기타) "/>
      <sheetName val="교량하부공"/>
      <sheetName val="내역서01"/>
      <sheetName val="단가 (2)"/>
      <sheetName val="골조시행"/>
      <sheetName val="급여관련자료"/>
      <sheetName val="평가데이터"/>
      <sheetName val="하수급견적대비"/>
      <sheetName val="청천내"/>
      <sheetName val="협력업체"/>
      <sheetName val="설계내역서"/>
      <sheetName val="진주방향"/>
      <sheetName val="98지급계획"/>
      <sheetName val="분당임차변경"/>
      <sheetName val="작업년월"/>
      <sheetName val="금액내역서"/>
      <sheetName val="납부내역"/>
      <sheetName val="빈"/>
      <sheetName val="물량내역"/>
      <sheetName val="ABUT수량-A1"/>
      <sheetName val="현장현황"/>
      <sheetName val="실행내역"/>
      <sheetName val="직노"/>
      <sheetName val="예가표"/>
      <sheetName val="적상기초자료"/>
      <sheetName val="DATA"/>
      <sheetName val="을지"/>
      <sheetName val="세금자료"/>
      <sheetName val="요율"/>
      <sheetName val="96까지"/>
      <sheetName val="97년"/>
      <sheetName val="98이후"/>
      <sheetName val="대비표(토공1안)"/>
      <sheetName val="갑지(추정)"/>
      <sheetName val="식재가격"/>
      <sheetName val="식재총괄"/>
      <sheetName val="개산공사비"/>
      <sheetName val="스케즐"/>
      <sheetName val="목차"/>
      <sheetName val="터파기및재료"/>
      <sheetName val="소방기계"/>
      <sheetName val="차액보증"/>
      <sheetName val="형틀물량집계"/>
      <sheetName val="포설물량(8회분)"/>
      <sheetName val="갑지"/>
      <sheetName val="집수정(600-700)"/>
      <sheetName val="BEND LOSS"/>
      <sheetName val="현장관리비"/>
      <sheetName val="cal"/>
      <sheetName val="인천제철"/>
      <sheetName val="조명시설"/>
      <sheetName val="자료"/>
      <sheetName val="6공구(당초)"/>
      <sheetName val="ⴭⴭⴭⴭⴭ"/>
      <sheetName val="이토변실(A3-LINE)"/>
      <sheetName val="식재인부"/>
      <sheetName val="집계"/>
      <sheetName val="pier(각형)"/>
      <sheetName val="안전장치"/>
      <sheetName val="BLOCK(1)"/>
      <sheetName val="수량산출서"/>
      <sheetName val="토목주소"/>
      <sheetName val="프랜트면허"/>
      <sheetName val="AJ005"/>
      <sheetName val="손익차9월2"/>
      <sheetName val="DATE"/>
      <sheetName val="시중노임"/>
      <sheetName val="TRE TABLE"/>
      <sheetName val="10ADIT05"/>
      <sheetName val="결재판(삭제하지말아주세요)"/>
      <sheetName val="O＆P"/>
      <sheetName val="자  재"/>
      <sheetName val="건축외주"/>
      <sheetName val="인상효1"/>
      <sheetName val="설계명세서(전송장비분)"/>
      <sheetName val="EQT-ESTN"/>
      <sheetName val="AL공사(원)"/>
      <sheetName val="실행철강하도"/>
      <sheetName val="단"/>
      <sheetName val="1차 내역서"/>
      <sheetName val="3.건축(현장안)"/>
      <sheetName val="일위_파일"/>
      <sheetName val="현장경비"/>
      <sheetName val="공문"/>
      <sheetName val="수입"/>
      <sheetName val="하치장수불부"/>
      <sheetName val="외주"/>
      <sheetName val="코드표"/>
      <sheetName val="STAND98"/>
      <sheetName val="STAND20"/>
      <sheetName val="10월실적마감"/>
      <sheetName val="7월실적마감"/>
      <sheetName val="8월실적마감"/>
      <sheetName val="9월실적마감"/>
      <sheetName val="증감대비"/>
      <sheetName val="인건비"/>
      <sheetName val="금융비용"/>
      <sheetName val="물가시세표"/>
      <sheetName val="A조"/>
      <sheetName val="A갑지"/>
      <sheetName val="개인DATA"/>
      <sheetName val="파일의이용"/>
      <sheetName val="기준단가"/>
      <sheetName val="을"/>
      <sheetName val="wall"/>
      <sheetName val="단가산출"/>
      <sheetName val="산출근거"/>
      <sheetName val="소화실적"/>
      <sheetName val="내역서(당초변경)"/>
      <sheetName val="공량산출서"/>
      <sheetName val="공급&amp;미분양"/>
      <sheetName val="청산공사"/>
      <sheetName val="계수시트"/>
      <sheetName val="부속동"/>
      <sheetName val="개요"/>
      <sheetName val="날개벽수량표"/>
      <sheetName val="TOWER 12TON"/>
      <sheetName val="TOWER 10TON"/>
      <sheetName val="소요자재"/>
      <sheetName val="정보"/>
      <sheetName val="부산제일극장"/>
      <sheetName val="수정시산표"/>
      <sheetName val="산출내역서집계표"/>
      <sheetName val="국내조달(통합-1)"/>
      <sheetName val="15 문제점"/>
      <sheetName val="POL6차-PIPING"/>
      <sheetName val="물량"/>
      <sheetName val="WEIGHT LIST"/>
      <sheetName val="산#2-1 (2)"/>
      <sheetName val="산#3-1"/>
      <sheetName val="견적대비표"/>
      <sheetName val="관리,공감"/>
      <sheetName val="대여현황"/>
      <sheetName val="계수원본(99.2.28)"/>
      <sheetName val="내역서-수정본"/>
      <sheetName val="삼보지질"/>
      <sheetName val="공사비산출내역"/>
      <sheetName val="구의33고"/>
      <sheetName val="수지표"/>
      <sheetName val="020114"/>
      <sheetName val="0111월"/>
      <sheetName val="공동"/>
      <sheetName val="MAIN"/>
      <sheetName val="npv"/>
      <sheetName val="보고"/>
      <sheetName val="7.자동제어공사"/>
      <sheetName val="7수지"/>
      <sheetName val="04.01"/>
      <sheetName val="노임"/>
      <sheetName val="관급자재"/>
      <sheetName val="형틀공사"/>
      <sheetName val="1,2,3,4,5단위수량"/>
      <sheetName val="봉천제출"/>
      <sheetName val="B1(반포1차)"/>
      <sheetName val="견적"/>
      <sheetName val="6맨홀H"/>
      <sheetName val="시행대비_(2)"/>
      <sheetName val="7__현장관리비_"/>
      <sheetName val="6__안전관리비"/>
      <sheetName val="내___역"/>
      <sheetName val="P_M_별"/>
      <sheetName val="Sheet1_(2)"/>
      <sheetName val="단면_(2)"/>
      <sheetName val="WEIGHT_LIST"/>
      <sheetName val="산#2-1_(2)"/>
      <sheetName val="2_대외공문"/>
      <sheetName val="TOWER_12TON"/>
      <sheetName val="TOWER_10TON"/>
      <sheetName val="원가계산_(2)"/>
      <sheetName val="Sheet2_(2)"/>
      <sheetName val="2_냉난방설비공사"/>
      <sheetName val="FRP_PIPING_일위대가"/>
      <sheetName val="2_1__노무비_평균단가산출"/>
      <sheetName val="계수원본(99_2_28)"/>
      <sheetName val="7_자동제어공사"/>
      <sheetName val="04_01"/>
      <sheetName val="15_문제점"/>
      <sheetName val="입찰"/>
      <sheetName val="현경"/>
      <sheetName val="업무분장"/>
      <sheetName val="금액,품셈"/>
      <sheetName val="비교1"/>
      <sheetName val="DATA1"/>
      <sheetName val="사업비총괄표"/>
      <sheetName val="익산"/>
      <sheetName val="투찰"/>
      <sheetName val="결과조달"/>
      <sheetName val="중기 부표"/>
      <sheetName val="대비표"/>
      <sheetName val="공사비 내역 (가)"/>
      <sheetName val="계약동호배치도"/>
      <sheetName val="항목(1)"/>
      <sheetName val="BOOK4"/>
      <sheetName val="전문품의"/>
      <sheetName val="토목"/>
      <sheetName val="지급자재"/>
      <sheetName val="STEEL BOX 단면설계(SEC.8)"/>
      <sheetName val="표지"/>
      <sheetName val="간접"/>
      <sheetName val="가로등내역서"/>
      <sheetName val="공정"/>
      <sheetName val="현장"/>
      <sheetName val="단위수량"/>
      <sheetName val="캔개발배경"/>
      <sheetName val="시장"/>
      <sheetName val="일정표"/>
      <sheetName val="시장성초안camera"/>
      <sheetName val="70%"/>
      <sheetName val="공사비집계"/>
      <sheetName val="물량표"/>
      <sheetName val="환경기계공정표 (3)"/>
      <sheetName val="수리결과"/>
      <sheetName val="본공사"/>
      <sheetName val="단독"/>
      <sheetName val="설계명세"/>
      <sheetName val="설계"/>
      <sheetName val="변경서식"/>
      <sheetName val="은행"/>
      <sheetName val="을-ATYPE"/>
      <sheetName val="평형공사비"/>
      <sheetName val="단가"/>
      <sheetName val="수수료율표"/>
      <sheetName val="호실data"/>
      <sheetName val="수량집계"/>
      <sheetName val="명세서"/>
      <sheetName val="운영비산정가정"/>
      <sheetName val="가설개략"/>
      <sheetName val="인사자료총집계"/>
      <sheetName val="목록"/>
      <sheetName val="추가예산"/>
      <sheetName val="7.수지"/>
      <sheetName val="misc"/>
      <sheetName val="견적내역"/>
      <sheetName val="건축2"/>
      <sheetName val="국내"/>
      <sheetName val="금융"/>
      <sheetName val="간접비"/>
      <sheetName val="UG COM-8"/>
      <sheetName val="UG COM-11"/>
      <sheetName val="UG COM-7"/>
      <sheetName val="UG COM-6"/>
      <sheetName val="UG COM-5"/>
      <sheetName val="UG COM-4"/>
      <sheetName val="UG COM-3"/>
      <sheetName val="UG COM-2"/>
      <sheetName val="UG COM-1"/>
      <sheetName val="UG COM-12"/>
      <sheetName val="총물량"/>
      <sheetName val="1월"/>
      <sheetName val="9GNG운반"/>
      <sheetName val="기초일위"/>
      <sheetName val="연돌일위집계"/>
      <sheetName val="공통가설공사"/>
      <sheetName val="판가반영"/>
      <sheetName val="토사(PE)"/>
      <sheetName val="가시설"/>
      <sheetName val="품셈"/>
      <sheetName val="부대"/>
      <sheetName val="부안일위"/>
      <sheetName val="도기류"/>
      <sheetName val="품셈TABLE"/>
      <sheetName val="0000"/>
      <sheetName val="상제품매출(원가)1~10월"/>
      <sheetName val="예약현황"/>
      <sheetName val="소개"/>
      <sheetName val="투자비"/>
      <sheetName val="각사별공사비분개 "/>
      <sheetName val="건축공사실행"/>
      <sheetName val="건축원가"/>
      <sheetName val="자재(원원+원대)"/>
      <sheetName val="가격조사서"/>
      <sheetName val="웅진교-S2"/>
      <sheetName val="형틀"/>
      <sheetName val="망미동"/>
      <sheetName val="하부철근수량"/>
      <sheetName val="골조공사"/>
      <sheetName val="인건비 "/>
      <sheetName val="철콘공사"/>
      <sheetName val="파이프류"/>
      <sheetName val="Mc1"/>
      <sheetName val="6PILE__(돌출)"/>
      <sheetName val="변압기_및_발전기_용량"/>
      <sheetName val="토공(우물통,기타)_"/>
      <sheetName val="단가_(2)"/>
      <sheetName val="8.PILE  (돌출)"/>
      <sheetName val="소총괄표1"/>
      <sheetName val="견"/>
      <sheetName val="중기비"/>
      <sheetName val="J直材4"/>
      <sheetName val="Open"/>
      <sheetName val="预算"/>
      <sheetName val="산근"/>
      <sheetName val="ELECTRIC"/>
      <sheetName val="당진1,2호기전선관설치및접지4차공사내역서-을지"/>
      <sheetName val="납부서"/>
      <sheetName val="1.취수장"/>
      <sheetName val="부대내역"/>
      <sheetName val="20관리비율"/>
      <sheetName val="수지예산"/>
      <sheetName val="총괄내역서"/>
      <sheetName val="산#3-2"/>
      <sheetName val="산#3-2-2"/>
      <sheetName val="회사정보"/>
      <sheetName val="일위대가(가설)"/>
      <sheetName val="1차설계변경내역"/>
      <sheetName val="갑지1"/>
      <sheetName val="실행"/>
      <sheetName val="구조부재산출서"/>
      <sheetName val="금광1터널"/>
      <sheetName val="장기미처리(업체)"/>
      <sheetName val="장기미처리(센터)"/>
      <sheetName val="총내역"/>
      <sheetName val="분류표"/>
      <sheetName val="MEED"/>
      <sheetName val="공비대비"/>
      <sheetName val="공사진행"/>
      <sheetName val="부하계산"/>
      <sheetName val="MACRO(전선관)"/>
      <sheetName val="EUPDAT2"/>
      <sheetName val="공사내역"/>
      <sheetName val="시설물일위"/>
      <sheetName val="마스터원본"/>
      <sheetName val="피벗테이블데이터분석"/>
      <sheetName val="평균높이산출근거"/>
      <sheetName val="횡배수관위치조서"/>
      <sheetName val="기본사항"/>
      <sheetName val="1.기성청구공문양식"/>
      <sheetName val="2.기성청구갑지"/>
      <sheetName val="경비원 "/>
      <sheetName val="실행간접비"/>
      <sheetName val="입력부분"/>
      <sheetName val="색인구역"/>
      <sheetName val="수공기"/>
      <sheetName val="중기"/>
      <sheetName val="건설노임"/>
      <sheetName val="데리네이타현황"/>
      <sheetName val="안양1공구_건축"/>
      <sheetName val="입찰내역서"/>
      <sheetName val="단위단가"/>
      <sheetName val="잡비산출"/>
      <sheetName val="원가계산서"/>
      <sheetName val="A-1"/>
      <sheetName val="현장관리비데이타"/>
      <sheetName val="환산"/>
      <sheetName val="입적표"/>
      <sheetName val="수량산출서 갑지"/>
      <sheetName val="4-1. 매출원가 손익계획 집계표"/>
      <sheetName val="4.2유효폭의 계산"/>
      <sheetName val="시행대비_(2)1"/>
      <sheetName val="7__현장관리비_1"/>
      <sheetName val="6__안전관리비1"/>
      <sheetName val="내___역1"/>
      <sheetName val="P_M_별1"/>
      <sheetName val="Sheet1_(2)1"/>
      <sheetName val="단면_(2)1"/>
      <sheetName val="2_대외공문1"/>
      <sheetName val="TOWER_12TON1"/>
      <sheetName val="TOWER_10TON1"/>
      <sheetName val="원가계산_(2)1"/>
      <sheetName val="Sheet2_(2)1"/>
      <sheetName val="2_냉난방설비공사1"/>
      <sheetName val="FRP_PIPING_일위대가1"/>
      <sheetName val="2_1__노무비_평균단가산출1"/>
      <sheetName val="15_문제점1"/>
      <sheetName val="WEIGHT_LIST1"/>
      <sheetName val="산#2-1_(2)1"/>
      <sheetName val="계수원본(99_2_28)1"/>
      <sheetName val="7_자동제어공사1"/>
      <sheetName val="04_011"/>
      <sheetName val="중기_부표"/>
      <sheetName val="7_수지"/>
      <sheetName val="UG_COM-8"/>
      <sheetName val="UG_COM-11"/>
      <sheetName val="UG_COM-7"/>
      <sheetName val="UG_COM-6"/>
      <sheetName val="UG_COM-5"/>
      <sheetName val="UG_COM-4"/>
      <sheetName val="UG_COM-3"/>
      <sheetName val="UG_COM-2"/>
      <sheetName val="UG_COM-1"/>
      <sheetName val="UG_COM-12"/>
      <sheetName val="TRE_TABLE"/>
      <sheetName val="자__재"/>
      <sheetName val="1차_내역서"/>
      <sheetName val="3_건축(현장안)"/>
      <sheetName val="BEND_LOSS"/>
      <sheetName val="각사별공사비분개_"/>
      <sheetName val="공사비_내역_(가)"/>
      <sheetName val="인원자료"/>
      <sheetName val="정산내역"/>
      <sheetName val="1062-X방향 "/>
      <sheetName val="사통"/>
      <sheetName val="XXXXXXXX"/>
      <sheetName val="총괄갑 "/>
      <sheetName val="첨부#2.Cash Flow(현장작성)"/>
      <sheetName val="SG"/>
      <sheetName val="총괄"/>
      <sheetName val="부관수량집계"/>
      <sheetName val="유효폭의 계산"/>
      <sheetName val="PAD TR보호대기초"/>
      <sheetName val="가로등기초"/>
      <sheetName val="HANDHOLE(2)"/>
      <sheetName val="구리토평1전기"/>
      <sheetName val="건축공사 집계표"/>
      <sheetName val="내역서form"/>
      <sheetName val="개소별수량산출"/>
      <sheetName val="별표 "/>
      <sheetName val="9811"/>
      <sheetName val="시설일위"/>
      <sheetName val="조명일위"/>
      <sheetName val="전체"/>
      <sheetName val="토목내역서 (도급단가)"/>
      <sheetName val="(실사조정)총괄"/>
      <sheetName val="도급원가"/>
      <sheetName val="부대tu"/>
      <sheetName val="기호"/>
      <sheetName val="본사공가현황"/>
      <sheetName val="공조기"/>
      <sheetName val="96노임기준"/>
      <sheetName val="요약&amp;결과"/>
      <sheetName val="입주현황"/>
      <sheetName val="Income Statement"/>
      <sheetName val="준검 내역서"/>
      <sheetName val="97 사업추정(WEKI)"/>
      <sheetName val="동호수배치도"/>
      <sheetName val="보유과세"/>
      <sheetName val="아파트"/>
      <sheetName val="R&amp;D"/>
      <sheetName val="전기변내역"/>
      <sheetName val="정렬"/>
      <sheetName val="스포회원매출"/>
      <sheetName val="단중표"/>
      <sheetName val="재집"/>
      <sheetName val="직재"/>
      <sheetName val="업무계획1"/>
      <sheetName val="작업금지"/>
      <sheetName val="신심사"/>
      <sheetName val="본지사합"/>
      <sheetName val="RCF CLAIMED"/>
      <sheetName val="단면가정"/>
      <sheetName val="덕전리"/>
      <sheetName val="마산방향"/>
      <sheetName val="내역표지"/>
      <sheetName val="BID"/>
      <sheetName val="SCHEDULE"/>
      <sheetName val="3.공통공사대비"/>
      <sheetName val="수량산출"/>
      <sheetName val="일위대가서식"/>
      <sheetName val="기준"/>
      <sheetName val="GAEYO"/>
      <sheetName val="DHEQSUPT"/>
      <sheetName val="Eq. Mobilization"/>
      <sheetName val="BSD (2)"/>
      <sheetName val="전선 및 전선관"/>
      <sheetName val="남평내역"/>
      <sheetName val="Data Pembukaan_1.1"/>
      <sheetName val="형틀물량집계표"/>
      <sheetName val="h-013211-2"/>
      <sheetName val="3.장비(안)"/>
      <sheetName val="기초"/>
      <sheetName val="10월"/>
      <sheetName val="현장별계약현황('98.10.31)"/>
      <sheetName val="설비원가"/>
      <sheetName val="입력시트"/>
      <sheetName val="매립"/>
      <sheetName val="Rate"/>
      <sheetName val="Hardware"/>
      <sheetName val="간지"/>
      <sheetName val="datasheet"/>
      <sheetName val="내역서(기계)"/>
      <sheetName val="ENE-CAL"/>
      <sheetName val="0226"/>
      <sheetName val="대가단최종"/>
      <sheetName val="삭제금지단가"/>
      <sheetName val="첨부1-1"/>
      <sheetName val="예총"/>
      <sheetName val="const."/>
      <sheetName val="전체항목"/>
      <sheetName val="간접비 총괄표"/>
      <sheetName val="수목데이타 "/>
      <sheetName val="남양주부대"/>
      <sheetName val="본실행경비"/>
      <sheetName val="별표_"/>
      <sheetName val="일위대가 집계표"/>
      <sheetName val="공사원가계산서"/>
      <sheetName val="용산1(해보)"/>
      <sheetName val="기계경비(시간당)"/>
      <sheetName val="램머"/>
      <sheetName val="실행(ALT1)"/>
      <sheetName val="남대문빌딩"/>
      <sheetName val="저"/>
      <sheetName val="정산서 "/>
      <sheetName val="자동차폐수처리장"/>
      <sheetName val="STAFFSCHED "/>
      <sheetName val="유림콘도"/>
      <sheetName val="백호우계수"/>
      <sheetName val="EE-PROP"/>
      <sheetName val="1.설계조건"/>
      <sheetName val="MOTOR"/>
      <sheetName val="대운산출"/>
      <sheetName val="배수내역 (2)"/>
      <sheetName val="C.배수관공"/>
      <sheetName val="XL4Poppy"/>
      <sheetName val="표지 (2)"/>
      <sheetName val="전기"/>
      <sheetName val="#2_일위대가목록"/>
      <sheetName val="간접비계산"/>
      <sheetName val="I一般比"/>
      <sheetName val="환경관리"/>
      <sheetName val="공통가설"/>
      <sheetName val="첨"/>
      <sheetName val="적심사표"/>
      <sheetName val="실행원가내역"/>
      <sheetName val="TIE-IN"/>
      <sheetName val="96정변2"/>
      <sheetName val="오산갈곳"/>
      <sheetName val="#검토내역(상세)"/>
      <sheetName val="화전내"/>
      <sheetName val="계정과목 등"/>
      <sheetName val="시멘트"/>
      <sheetName val="건축-물가변동"/>
      <sheetName val="NP-총정리"/>
      <sheetName val="5사남"/>
      <sheetName val="수정계획3"/>
      <sheetName val="수로단위수량"/>
      <sheetName val="IW-LIST"/>
      <sheetName val="교대시점"/>
      <sheetName val="도근좌표"/>
      <sheetName val="시점교대"/>
      <sheetName val="새공통(96임금인상기준)"/>
      <sheetName val="FAB별"/>
      <sheetName val="CONCRETE"/>
      <sheetName val="음료실행"/>
      <sheetName val="신청서"/>
      <sheetName val="일용노임단가"/>
      <sheetName val="NOTE"/>
      <sheetName val="설비단가표"/>
      <sheetName val="기본일위"/>
      <sheetName val="B"/>
      <sheetName val="tggwan(mac)"/>
      <sheetName val="수량산_x0000_"/>
      <sheetName val="gyun"/>
      <sheetName val="Cash2"/>
      <sheetName val="Z"/>
      <sheetName val="1-11조직표"/>
      <sheetName val="1N"/>
      <sheetName val="시행대비_(2)2"/>
      <sheetName val="7__현장관리비_2"/>
      <sheetName val="6__안전관리비2"/>
      <sheetName val="내___역2"/>
      <sheetName val="P_M_별2"/>
      <sheetName val="Sheet1_(2)2"/>
      <sheetName val="단면_(2)2"/>
      <sheetName val="WEIGHT_LIST2"/>
      <sheetName val="산#2-1_(2)2"/>
      <sheetName val="계수원본(99_2_28)2"/>
      <sheetName val="2_냉난방설비공사2"/>
      <sheetName val="7_자동제어공사2"/>
      <sheetName val="04_012"/>
      <sheetName val="2_대외공문2"/>
      <sheetName val="TOWER_12TON2"/>
      <sheetName val="TOWER_10TON2"/>
      <sheetName val="원가계산_(2)2"/>
      <sheetName val="Sheet2_(2)2"/>
      <sheetName val="FRP_PIPING_일위대가2"/>
      <sheetName val="2_1__노무비_평균단가산출2"/>
      <sheetName val="15_문제점2"/>
      <sheetName val="6PILE__(돌출)1"/>
      <sheetName val="토공(우물통,기타)_1"/>
      <sheetName val="단가_(2)1"/>
      <sheetName val="변압기_및_발전기_용량1"/>
      <sheetName val="중기_부표1"/>
      <sheetName val="7_수지1"/>
      <sheetName val="UG_COM-81"/>
      <sheetName val="UG_COM-111"/>
      <sheetName val="UG_COM-71"/>
      <sheetName val="UG_COM-61"/>
      <sheetName val="UG_COM-51"/>
      <sheetName val="UG_COM-41"/>
      <sheetName val="UG_COM-31"/>
      <sheetName val="UG_COM-21"/>
      <sheetName val="UG_COM-13"/>
      <sheetName val="UG_COM-121"/>
      <sheetName val="TRE_TABLE1"/>
      <sheetName val="자__재1"/>
      <sheetName val="1차_내역서1"/>
      <sheetName val="3_건축(현장안)1"/>
      <sheetName val="BEND_LOSS1"/>
      <sheetName val="각사별공사비분개_1"/>
      <sheetName val="공사비_내역_(가)1"/>
      <sheetName val="1_기성청구공문양식"/>
      <sheetName val="2_기성청구갑지"/>
      <sheetName val="경비원_"/>
      <sheetName val="수량산출서_갑지"/>
      <sheetName val="4-1__매출원가_손익계획_집계표"/>
      <sheetName val="4_2유효폭의_계산"/>
      <sheetName val="첨부#2_Cash_Flow(현장작성)"/>
      <sheetName val="표지_(2)"/>
      <sheetName val="총괄갑_"/>
      <sheetName val="1_설계조건"/>
      <sheetName val="유효폭의_계산"/>
      <sheetName val="PAD_TR보호대기초"/>
      <sheetName val="C_배수관공"/>
      <sheetName val="배수내역_(2)"/>
      <sheetName val="1062-X방향_"/>
      <sheetName val="실수량산출"/>
      <sheetName val="원형1호맨홀토공수량"/>
      <sheetName val="98NS-N"/>
      <sheetName val="가설공사비"/>
      <sheetName val="단위중량"/>
      <sheetName val="BOJUNGGM"/>
      <sheetName val="0"/>
      <sheetName val="L_RPTB10_01"/>
      <sheetName val="이자율"/>
      <sheetName val="95TOTREV"/>
      <sheetName val="CAL1"/>
      <sheetName val="분전함신설"/>
      <sheetName val="접지1종"/>
      <sheetName val="유첨3.적용기준"/>
      <sheetName val="A"/>
      <sheetName val="횡배수관"/>
      <sheetName val="남Ò_x0000_✀"/>
      <sheetName val="6.방수공사"/>
      <sheetName val="0.메모"/>
      <sheetName val="선수금"/>
      <sheetName val="S0"/>
      <sheetName val="40총괄"/>
      <sheetName val="40집계"/>
      <sheetName val="GM &amp; TA"/>
      <sheetName val="G29A"/>
      <sheetName val="Consolidated"/>
      <sheetName val="age analysis"/>
      <sheetName val="STEEL_BOX_단면설계(SEC_8)"/>
      <sheetName val="기안"/>
      <sheetName val="기계경비일람"/>
      <sheetName val="배수통관(좌)"/>
      <sheetName val="장비명"/>
      <sheetName val="F4-F7"/>
      <sheetName val="Data Sheet"/>
      <sheetName val="목표세부명세"/>
      <sheetName val="공사투입계획(변경결의)19.9"/>
      <sheetName val="노무비 월별지급현황19.9"/>
      <sheetName val="갑지(외주기성)19.9"/>
      <sheetName val="전기설계변경"/>
      <sheetName val="계정과목_등"/>
      <sheetName val="CALCULATION"/>
      <sheetName val="배명(단가)"/>
      <sheetName val="Com. - 첨부 #4 현장관리비"/>
      <sheetName val="서식지정"/>
      <sheetName val="99입장목표"/>
      <sheetName val="부서별공수"/>
      <sheetName val="ld-극동"/>
      <sheetName val="투입공수"/>
      <sheetName val="생산"/>
      <sheetName val="자재재고"/>
      <sheetName val="재공재고"/>
      <sheetName val="품질현황-보류"/>
      <sheetName val="품의플로"/>
      <sheetName val="물량산출근거"/>
      <sheetName val="기초별표"/>
      <sheetName val="石炭性状"/>
      <sheetName val="보할공정"/>
      <sheetName val="단가동향_건축"/>
      <sheetName val="제경비율"/>
      <sheetName val="수량산Ö"/>
      <sheetName val="시행대비_(2)3"/>
      <sheetName val="7__현장관리비_3"/>
      <sheetName val="6__안전관리비3"/>
      <sheetName val="내___역3"/>
      <sheetName val="P_M_별3"/>
      <sheetName val="Sheet1_(2)3"/>
      <sheetName val="단면_(2)3"/>
      <sheetName val="계수원본(99_2_28)3"/>
      <sheetName val="WEIGHT_LIST3"/>
      <sheetName val="산#2-1_(2)3"/>
      <sheetName val="2_냉난방설비공사3"/>
      <sheetName val="7_자동제어공사3"/>
      <sheetName val="04_013"/>
      <sheetName val="2_대외공문3"/>
      <sheetName val="TOWER_12TON3"/>
      <sheetName val="TOWER_10TON3"/>
      <sheetName val="원가계산_(2)3"/>
      <sheetName val="Sheet2_(2)3"/>
      <sheetName val="FRP_PIPING_일위대가3"/>
      <sheetName val="2_1__노무비_평균단가산출3"/>
      <sheetName val="15_문제점3"/>
      <sheetName val="7_수지2"/>
      <sheetName val="UG_COM-82"/>
      <sheetName val="UG_COM-112"/>
      <sheetName val="UG_COM-72"/>
      <sheetName val="UG_COM-62"/>
      <sheetName val="UG_COM-52"/>
      <sheetName val="UG_COM-42"/>
      <sheetName val="UG_COM-32"/>
      <sheetName val="UG_COM-22"/>
      <sheetName val="UG_COM-14"/>
      <sheetName val="UG_COM-122"/>
      <sheetName val="6PILE__(돌출)2"/>
      <sheetName val="토공(우물통,기타)_2"/>
      <sheetName val="단가_(2)2"/>
      <sheetName val="변압기_및_발전기_용량2"/>
      <sheetName val="중기_부표2"/>
      <sheetName val="각사별공사비분개_2"/>
      <sheetName val="TRE_TABLE2"/>
      <sheetName val="자__재2"/>
      <sheetName val="1차_내역서2"/>
      <sheetName val="3_건축(현장안)2"/>
      <sheetName val="BEND_LOSS2"/>
      <sheetName val="공사비_내역_(가)2"/>
      <sheetName val="1_기성청구공문양식1"/>
      <sheetName val="2_기성청구갑지1"/>
      <sheetName val="경비원_1"/>
      <sheetName val="첨부#2_Cash_Flow(현장작성)1"/>
      <sheetName val="수량산출서_갑지1"/>
      <sheetName val="4-1__매출원가_손익계획_집계표1"/>
      <sheetName val="4_2유효폭의_계산1"/>
      <sheetName val="총괄갑_1"/>
      <sheetName val="1_설계조건1"/>
      <sheetName val="PAD_TR보호대기초1"/>
      <sheetName val="C_배수관공1"/>
      <sheetName val="유효폭의_계산1"/>
      <sheetName val="배수내역_(2)1"/>
      <sheetName val="1062-X방향_1"/>
      <sheetName val="표지_(2)1"/>
      <sheetName val="Com__-_첨부_#4_현장관리비"/>
      <sheetName val="식재일위"/>
      <sheetName val="관리비현황"/>
      <sheetName val="일위"/>
      <sheetName val=" FURNACE현설"/>
      <sheetName val="실행(표지,갑,을)"/>
      <sheetName val="입찰내역 발주처 양식"/>
      <sheetName val="단면치수"/>
      <sheetName val="업무처리전"/>
      <sheetName val="woo(mac)"/>
      <sheetName val="EQUIP"/>
      <sheetName val="Cashflow Analysis"/>
      <sheetName val="RESOURCE"/>
      <sheetName val="마감LIST-1"/>
      <sheetName val="충주"/>
      <sheetName val="건축개요"/>
      <sheetName val="빗물받이(910-510-410)"/>
      <sheetName val="진행 DATA (2)"/>
      <sheetName val="형틀물량집계(부재별)"/>
      <sheetName val="형틀물량집계(내역별)"/>
      <sheetName val="별제권_정리담보권"/>
      <sheetName val="95년기준조정"/>
      <sheetName val="1.설계기준"/>
      <sheetName val="예상"/>
      <sheetName val="동원인원"/>
      <sheetName val="손실 노무비 단가 산출 근거"/>
      <sheetName val="장기차입금"/>
      <sheetName val="11.닥트설치공사(bm)"/>
      <sheetName val="입력"/>
      <sheetName val="b_balju_cho"/>
      <sheetName val="노임DB"/>
      <sheetName val="총괄표"/>
      <sheetName val=" 갑  지 "/>
      <sheetName val="공정표"/>
      <sheetName val="▷▷증빙서류"/>
      <sheetName val="경영상태"/>
      <sheetName val="환경기계공정표_(3)"/>
      <sheetName val="인건비_"/>
      <sheetName val="8_PILE__(돌출)"/>
      <sheetName val="전선_및_전선관"/>
      <sheetName val="1_취수장"/>
      <sheetName val="건축공사_집계표"/>
      <sheetName val="Eq__Mobilization"/>
      <sheetName val="3_공통공사대비"/>
      <sheetName val="BSD_(2)"/>
      <sheetName val="토목내역서_(도급단가)"/>
      <sheetName val="Income_Statement"/>
      <sheetName val="준검_내역서"/>
      <sheetName val="97_사업추정(WEKI)"/>
      <sheetName val="RCF_CLAIMED"/>
      <sheetName val="연부97-1"/>
      <sheetName val="목포방향"/>
      <sheetName val="산출서_견출(외벽)"/>
      <sheetName val="99년하반기"/>
      <sheetName val="2-1Are別総括表"/>
      <sheetName val="初期値設定"/>
      <sheetName val="纏め表"/>
      <sheetName val="諸経費"/>
      <sheetName val="清水計算営業税率関連"/>
      <sheetName val="전도금_(정산내역)"/>
      <sheetName val="담보평가"/>
      <sheetName val="電源計画"/>
      <sheetName val="시설장비"/>
      <sheetName val="참조"/>
      <sheetName val="원가계산"/>
      <sheetName val="ALL"/>
      <sheetName val="LIDE"/>
      <sheetName val="__Hdedms_Mepss____________1___2"/>
      <sheetName val="BLDG_DCI"/>
      <sheetName val="BLDG_MCI"/>
      <sheetName val="카메라"/>
      <sheetName val="지원시설 내역서(154kV)"/>
      <sheetName val="잡철물"/>
      <sheetName val="변경내역대비표(2)"/>
      <sheetName val="실행갑지"/>
      <sheetName val="노무비단가"/>
      <sheetName val="33628-Rev. A"/>
      <sheetName val="비율-종합"/>
      <sheetName val="본부별매출"/>
      <sheetName val="설계예시"/>
      <sheetName val="설계내역2"/>
      <sheetName val="토적표"/>
      <sheetName val="손익"/>
      <sheetName val="24분기"/>
      <sheetName val="수지(320%) (2)"/>
      <sheetName val="104동"/>
      <sheetName val="대목"/>
      <sheetName val="TEL"/>
      <sheetName val="본관내역서"/>
      <sheetName val="1. 작업일보"/>
      <sheetName val="30신설일위대가"/>
      <sheetName val="30집계표"/>
      <sheetName val="공사비증감"/>
      <sheetName val="우수공"/>
      <sheetName val="FB25JN"/>
      <sheetName val="발주설계서(당초)"/>
      <sheetName val="증감내역서"/>
      <sheetName val="견적의뢰"/>
      <sheetName val="TYPE-A"/>
      <sheetName val="견적을지"/>
      <sheetName val="상부공"/>
      <sheetName val="단가비교표"/>
      <sheetName val="소방내역서"/>
      <sheetName val="7단가"/>
      <sheetName val="중기가격"/>
      <sheetName val="분류"/>
      <sheetName val="중기조종사 단위단가"/>
      <sheetName val="admin"/>
      <sheetName val="건축내역서"/>
      <sheetName val="설비내역서"/>
      <sheetName val="전기내역서"/>
      <sheetName val="노부모부양당첨자"/>
      <sheetName val="동수"/>
      <sheetName val="단가 "/>
      <sheetName val="전계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삼성급(총괄)"/>
      <sheetName val="95삼성급(본사)"/>
      <sheetName val="95삼성급_본사_"/>
      <sheetName val="삼성초임"/>
      <sheetName val="B"/>
      <sheetName val="수입"/>
      <sheetName val="XL4Poppy"/>
      <sheetName val="eq_data"/>
      <sheetName val="B31.1"/>
      <sheetName val="PSIZE"/>
      <sheetName val="집계표"/>
      <sheetName val="영업소실적"/>
      <sheetName val="주관사업"/>
      <sheetName val="개시대사 (2)"/>
      <sheetName val="현대본사"/>
      <sheetName val="상반기손익차2총괄"/>
      <sheetName val="AILC004"/>
      <sheetName val="회사99"/>
      <sheetName val="RENUN"/>
      <sheetName val="손익차9월2"/>
      <sheetName val="시산"/>
      <sheetName val="97 사업추정(WEKI)"/>
      <sheetName val="표지"/>
      <sheetName val="총괄표"/>
      <sheetName val="7.6.3(B) UG Piping"/>
      <sheetName val="정부노임단가"/>
      <sheetName val="DRUM"/>
      <sheetName val="B31_1"/>
      <sheetName val="개시대사_(2)"/>
      <sheetName val="PBS"/>
      <sheetName val="PumpSpec"/>
      <sheetName val="Exchange Rate"/>
      <sheetName val="Ocean Transporation Charge"/>
      <sheetName val="Inland Transportation Charge"/>
      <sheetName val="MixBed"/>
      <sheetName val="CondPol"/>
      <sheetName val="집계표(OPTION)"/>
      <sheetName val="간선계산"/>
      <sheetName val="IndectCostBreakdown"/>
      <sheetName val="9-1차이내역"/>
      <sheetName val="Summary Sheets"/>
      <sheetName val="jobhist"/>
      <sheetName val="97"/>
      <sheetName val="LOAD 5 Wind "/>
      <sheetName val="DATA"/>
      <sheetName val="대비표"/>
      <sheetName val="bldg list"/>
      <sheetName val="공문"/>
      <sheetName val="연돌일위집계"/>
      <sheetName val="삼성초임.XLS"/>
      <sheetName val="단면 (2)"/>
      <sheetName val="h-013211-2"/>
      <sheetName val="Z"/>
      <sheetName val="Cash2"/>
      <sheetName val="配線器具"/>
      <sheetName val="ERECT"/>
      <sheetName val="CIVIL"/>
      <sheetName val="PROSUM"/>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개시대사 (2)"/>
      <sheetName val="고자T-B"/>
      <sheetName val="환차,JJ비용 반영"/>
      <sheetName val="공사집계"/>
      <sheetName val="정산표14"/>
      <sheetName val="Sheet2"/>
      <sheetName val="고자현황"/>
      <sheetName val="상각현황"/>
      <sheetName val="개시최"/>
      <sheetName val="개시대사"/>
      <sheetName val="정산최"/>
      <sheetName val="정산표實"/>
      <sheetName val="본지점중"/>
      <sheetName val="정산표"/>
      <sheetName val="fitting"/>
      <sheetName val="ABAD"/>
      <sheetName val="A1기성"/>
      <sheetName val="BGT"/>
      <sheetName val="CHAVOSH"/>
      <sheetName val="ZAR SAZ"/>
      <sheetName val="VLOOKUP"/>
      <sheetName val="cal-foamglass"/>
      <sheetName val="ARP2"/>
      <sheetName val="CHA REV"/>
      <sheetName val="FJK 0"/>
      <sheetName val="GAMMA 1"/>
      <sheetName val="#REF"/>
      <sheetName val="RENUN"/>
      <sheetName val="개시전표"/>
      <sheetName val="P.M 별"/>
      <sheetName val="Eq. Mobilization"/>
      <sheetName val="영업소실적"/>
      <sheetName val="RCF CLAIMED"/>
      <sheetName val="CAT_5"/>
      <sheetName val="도급양식"/>
      <sheetName val="배수내역 (2)"/>
      <sheetName val="95삼성급(본사)"/>
      <sheetName val="VC2 8.98"/>
      <sheetName val="DATA"/>
      <sheetName val="97 사업추정(WEKI)"/>
      <sheetName val="가설공사 내역"/>
      <sheetName val="개시대사_(2)"/>
      <sheetName val="환차,JJ비용_반영"/>
      <sheetName val="ZAR_SAZ"/>
      <sheetName val="CHA_REV"/>
      <sheetName val="FJK_0"/>
      <sheetName val="GAMMA_1"/>
      <sheetName val="P_M_별"/>
      <sheetName val="Eq__Mobilization"/>
      <sheetName val="RCF_CLAIMED"/>
      <sheetName val="배수내역_(2)"/>
      <sheetName val="VC2_8_98"/>
      <sheetName val="97_사업추정(WEKI)"/>
      <sheetName val="가설공사_내역"/>
      <sheetName val="B31_1"/>
      <sheetName val="BRICK"/>
      <sheetName val="DESCRIPTION"/>
      <sheetName val="사업계획"/>
      <sheetName val="간접비(1)"/>
      <sheetName val="HDECGTY"/>
      <sheetName val="평균환율-USD"/>
      <sheetName val="PLAN_FEB97"/>
      <sheetName val="PSIZE"/>
      <sheetName val="VC2_9_98"/>
      <sheetName val="97년_SEACO예산"/>
      <sheetName val="Sheet1"/>
      <sheetName val="간접비총괄_(2)"/>
      <sheetName val="진행원본"/>
      <sheetName val="납부내역"/>
      <sheetName val="청산추정"/>
      <sheetName val="할증 "/>
      <sheetName val="MC-1"/>
      <sheetName val="급여일반"/>
      <sheetName val="공문"/>
      <sheetName val="Tender"/>
      <sheetName val="년말집계"/>
      <sheetName val="ITB COST"/>
      <sheetName val="BQ"/>
      <sheetName val="항목(1)"/>
      <sheetName val="BOOK4"/>
      <sheetName val="수입"/>
      <sheetName val="상반기손익차2총괄"/>
      <sheetName val="가도공"/>
      <sheetName val="Insts"/>
      <sheetName val="할증_"/>
      <sheetName val="TTL"/>
      <sheetName val="data_dci"/>
      <sheetName val="data_mci"/>
      <sheetName val="behind"/>
      <sheetName val="Main"/>
      <sheetName val="h-013211-2"/>
      <sheetName val="공사비_NDE"/>
      <sheetName val="DATE"/>
      <sheetName val="REQDELTA"/>
      <sheetName val="VL"/>
      <sheetName val="공사내역"/>
      <sheetName val="Unit Rate"/>
      <sheetName val="6호기"/>
      <sheetName val="정971IQ"/>
      <sheetName val="eq_data"/>
      <sheetName val="Code"/>
      <sheetName val="Summary"/>
      <sheetName val="XL4Poppy"/>
      <sheetName val="PC-002"/>
      <sheetName val="정산표2"/>
      <sheetName val="合成単価作成表-BLDG"/>
      <sheetName val="دسترسی به کمالیه"/>
      <sheetName val="پل کرج"/>
      <sheetName val="پل شاه چای"/>
      <sheetName val="پل ورودی فرودگاه"/>
      <sheetName val="개시대사_(2)1"/>
      <sheetName val="환차,JJ비용_반영1"/>
      <sheetName val="ZAR_SAZ1"/>
      <sheetName val="CHA_REV1"/>
      <sheetName val="FJK_01"/>
      <sheetName val="GAMMA_11"/>
      <sheetName val="P_M_별1"/>
      <sheetName val="Eq__Mobilization1"/>
      <sheetName val="RCF_CLAIMED1"/>
      <sheetName val="배수내역_(2)1"/>
      <sheetName val="VC2_8_981"/>
      <sheetName val="97_사업추정(WEKI)1"/>
      <sheetName val="가설공사_내역1"/>
      <sheetName val="INSTR"/>
      <sheetName val="첨1.4"/>
      <sheetName val="첨1.5"/>
      <sheetName val="2."/>
      <sheetName val="첨1.3"/>
      <sheetName val="간접비"/>
      <sheetName val="요약"/>
      <sheetName val="운용계획"/>
      <sheetName val="2.1.1"/>
      <sheetName val="정부노임단가"/>
      <sheetName val="FitOutConfCentre"/>
      <sheetName val="B"/>
      <sheetName val="견적서"/>
      <sheetName val="Sheet4"/>
      <sheetName val="업체별기성내역"/>
      <sheetName val="세금자료"/>
      <sheetName val="개시대사_(2)2"/>
      <sheetName val="환차,JJ비용_반영2"/>
      <sheetName val="ZAR_SAZ2"/>
      <sheetName val="CHA_REV2"/>
      <sheetName val="FJK_02"/>
      <sheetName val="GAMMA_12"/>
      <sheetName val="97_사업추정(WEKI)2"/>
      <sheetName val="P_M_별2"/>
      <sheetName val="Eq__Mobilization2"/>
      <sheetName val="RCF_CLAIMED2"/>
      <sheetName val="배수내역_(2)2"/>
      <sheetName val="VC2_8_982"/>
      <sheetName val="가설공사_내역2"/>
      <sheetName val="할증_1"/>
      <sheetName val="ITB_COST"/>
      <sheetName val="Unit_Rate"/>
      <sheetName val="دسترسی_به_کمالیه"/>
      <sheetName val="پل_کرج"/>
      <sheetName val="پل_شاه_چای"/>
      <sheetName val="پل_ورودی_فرودگاه"/>
      <sheetName val="첨1_4"/>
      <sheetName val="첨1_5"/>
      <sheetName val="2_"/>
      <sheetName val="첨1_3"/>
      <sheetName val="2_1_1"/>
      <sheetName val="개시대사_(2)3"/>
      <sheetName val="환차,JJ비용_반영3"/>
      <sheetName val="ZAR_SAZ3"/>
      <sheetName val="CHA_REV3"/>
      <sheetName val="FJK_03"/>
      <sheetName val="GAMMA_13"/>
      <sheetName val="97_사업추정(WEKI)3"/>
      <sheetName val="P_M_별3"/>
      <sheetName val="Eq__Mobilization3"/>
      <sheetName val="RCF_CLAIMED3"/>
      <sheetName val="배수내역_(2)3"/>
      <sheetName val="VC2_8_983"/>
      <sheetName val="가설공사_내역3"/>
      <sheetName val="할증_2"/>
      <sheetName val="ITB_COST1"/>
      <sheetName val="Unit_Rate1"/>
      <sheetName val="دسترسی_به_کمالیه1"/>
      <sheetName val="پل_کرج1"/>
      <sheetName val="پل_شاه_چای1"/>
      <sheetName val="پل_ورودی_فرودگاه1"/>
      <sheetName val="첨1_41"/>
      <sheetName val="첨1_51"/>
      <sheetName val="2_1"/>
      <sheetName val="첨1_31"/>
      <sheetName val="2_1_11"/>
      <sheetName val="실행내역"/>
      <sheetName val="현장관리비"/>
      <sheetName val="안전장치"/>
      <sheetName val="간접비내역-1"/>
      <sheetName val="98수문일위"/>
      <sheetName val="BOJUNGGM"/>
      <sheetName val="노임이"/>
      <sheetName val="Schedule 2 and 3"/>
      <sheetName val="주관사업"/>
      <sheetName val="노임"/>
      <sheetName val="물량내역"/>
      <sheetName val="대비"/>
      <sheetName val="청천내"/>
      <sheetName val="동별내역-3월5일"/>
      <sheetName val="대비표"/>
      <sheetName val="사업부배부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주현황.wq1"/>
      <sheetName val="이름정의"/>
      <sheetName val="#REF"/>
      <sheetName val="카메라"/>
      <sheetName val="B053 (990701)공정실적PP%계산"/>
      <sheetName val="재질단가"/>
      <sheetName val="수리결과"/>
      <sheetName val="p2-1"/>
      <sheetName val="초기입력(시산)"/>
      <sheetName val="외주현황"/>
      <sheetName val="2"/>
      <sheetName val="Headcount"/>
      <sheetName val="월별손익 (수정) (2)"/>
      <sheetName val="대외공문"/>
      <sheetName val="2.대외공문"/>
      <sheetName val="비용정리"/>
      <sheetName val="Feriados"/>
      <sheetName val="CAUDIT"/>
      <sheetName val="일일(2월,현대정유)"/>
      <sheetName val="CODE"/>
      <sheetName val="그래프 (2)"/>
      <sheetName val="유통조직현황"/>
      <sheetName val="표지"/>
      <sheetName val="종합표"/>
      <sheetName val="외주현황_wq1"/>
      <sheetName val="2_대외공문"/>
      <sheetName val="B053_(990701)공정실적PP%계산"/>
      <sheetName val="임율"/>
      <sheetName val="BACKDATA"/>
      <sheetName val="GK_XDBASE"/>
      <sheetName val="제품마스타"/>
      <sheetName val="하자DB"/>
      <sheetName val="PS일계획"/>
      <sheetName val="X-3 ENG"/>
      <sheetName val="계산DATA입력"/>
      <sheetName val="계산정보"/>
      <sheetName val="상세 계산 내역"/>
      <sheetName val="1월"/>
      <sheetName val="PILOT품"/>
      <sheetName val="M96현황-동아"/>
      <sheetName val="유효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sheetName val="Index"/>
      <sheetName val="Form 1"/>
      <sheetName val="Form 2"/>
      <sheetName val="Form 3"/>
      <sheetName val="Form 4"/>
      <sheetName val="Form 5"/>
      <sheetName val="Form 6"/>
      <sheetName val="Form 7"/>
      <sheetName val="Form 8"/>
      <sheetName val="Form 9"/>
      <sheetName val="Form 10"/>
      <sheetName val="Form 11"/>
      <sheetName val="S0 Key dates"/>
      <sheetName val="S1BOQ"/>
      <sheetName val="S2groupcode"/>
      <sheetName val="S3workplanqty"/>
      <sheetName val="S3workplanamt"/>
      <sheetName val="S4timecycle"/>
      <sheetName val="S5escalation"/>
      <sheetName val="S6MATqty-code"/>
      <sheetName val="S7MATqty-grp"/>
      <sheetName val="S8MATexp-code"/>
      <sheetName val="S9wastage"/>
      <sheetName val="S10bomat"/>
      <sheetName val="S11AEQPnorm"/>
      <sheetName val="S11BEQPnorm"/>
      <sheetName val="S12EQPhrs"/>
      <sheetName val="S13cons"/>
      <sheetName val="S14spares"/>
      <sheetName val="S15POL"/>
      <sheetName val="S16Elec"/>
      <sheetName val="S17power"/>
      <sheetName val="S18EQPplan"/>
      <sheetName val="S19cap"/>
      <sheetName val="S20MSE Items"/>
      <sheetName val="S21Subcon"/>
      <sheetName val="S22PRW"/>
      <sheetName val="Officer Budget Form"/>
      <sheetName val="S23ManNos"/>
      <sheetName val="S24Mancost"/>
      <sheetName val="S25EQPrep"/>
      <sheetName val="S26EQPhire"/>
      <sheetName val="S27EQPlease"/>
      <sheetName val="S28Rev"/>
      <sheetName val="S29Prelitem"/>
      <sheetName val="PrelimCalcu"/>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sheetName val="S43Taxation"/>
      <sheetName val="S44 Depriciation"/>
      <sheetName val="S45 Refurbishment 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갑지1"/>
      <sheetName val="갑지2"/>
      <sheetName val="원가갑지"/>
      <sheetName val="집계표"/>
      <sheetName val="기타경비"/>
      <sheetName val="일반관리비"/>
      <sheetName val="공문"/>
      <sheetName val="현장지지물물량"/>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INSTR"/>
      <sheetName val="주관사업"/>
      <sheetName val="eq_data"/>
      <sheetName val="95삼성급(본사)"/>
      <sheetName val="mom"/>
      <sheetName val="carboline price"/>
      <sheetName val="PipWT"/>
      <sheetName val="Piping Design Data"/>
      <sheetName val="UG분석표"/>
      <sheetName val="VV보온LINK"/>
      <sheetName val="FIT보온LINK"/>
      <sheetName val="정부노임단가"/>
      <sheetName val="갑지"/>
      <sheetName val="수입"/>
      <sheetName val="pnt-sigma"/>
      <sheetName val="PumpSpec"/>
      <sheetName val="표지"/>
      <sheetName val="사업부배부A"/>
      <sheetName val="상반기손익차2총괄"/>
      <sheetName val="OD5000"/>
      <sheetName val="INST_DCI"/>
      <sheetName val="HVAC_DCI"/>
      <sheetName val="PIPE_DCI"/>
      <sheetName val="PRO_DCI"/>
      <sheetName val="h-013211-2"/>
      <sheetName val="배부9901"/>
      <sheetName val="단가조사"/>
      <sheetName val="97 사업추정(WEKI)"/>
      <sheetName val="기계내역서"/>
      <sheetName val="IT-BAT"/>
      <sheetName val="집계표"/>
      <sheetName val="개시대사 (2)"/>
      <sheetName val="45,46"/>
      <sheetName val="IBASE"/>
      <sheetName val="Total"/>
      <sheetName val="TYPE-B 평균H"/>
      <sheetName val=""/>
      <sheetName val="out_prog"/>
      <sheetName val="선적schedule (2)"/>
      <sheetName val="총계"/>
      <sheetName val="#REF"/>
      <sheetName val="Quantity"/>
      <sheetName val="IPQ-11-00550.xlsx"/>
      <sheetName val="인원계획"/>
      <sheetName val="10현장조직"/>
      <sheetName val="차수"/>
      <sheetName val="Sheet3"/>
      <sheetName val="PRO_A"/>
      <sheetName val="DWG"/>
      <sheetName val="ELEC_MCI"/>
      <sheetName val="MAIN"/>
      <sheetName val="INST_MCI"/>
      <sheetName val="MECH_MCI"/>
      <sheetName val="PRO"/>
      <sheetName val="정산표2"/>
      <sheetName val="DATA"/>
      <sheetName val="Boq"/>
      <sheetName val="적용 환율"/>
      <sheetName val="CALCULATION"/>
      <sheetName val="Cover"/>
      <sheetName val="철수현황"/>
      <sheetName val="직원동원SCH"/>
      <sheetName val="Ex-Rate"/>
      <sheetName val="VC2 10.99"/>
      <sheetName val="총괄표"/>
      <sheetName val="Define"/>
      <sheetName val="TABLE2-2 OSBL-(SITE PREP)"/>
      <sheetName val="3514-HV-0201"/>
      <sheetName val="현금"/>
      <sheetName val="Measured items"/>
      <sheetName val="Units"/>
      <sheetName val="Instructions"/>
      <sheetName val="개요"/>
      <sheetName val="Tubing &amp; fitting"/>
      <sheetName val="ELEC_DCI"/>
      <sheetName val="DOC"/>
      <sheetName val="간접비내역-1"/>
      <sheetName val="실적"/>
      <sheetName val="급여일반"/>
      <sheetName val="guard(mac)"/>
      <sheetName val="cal"/>
      <sheetName val="실행자재"/>
      <sheetName val="노임"/>
      <sheetName val="사급자재"/>
      <sheetName val="BM"/>
      <sheetName val="P&amp;L Data M"/>
      <sheetName val="Sheet2 (2)"/>
      <sheetName val="MH Estimation Guide"/>
      <sheetName val="KEY"/>
      <sheetName val="Total-Mem"/>
      <sheetName val="Page 5 of 7"/>
      <sheetName val="M 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Testing"/>
      <sheetName val="Total"/>
      <sheetName val="h_013211_2"/>
      <sheetName val="design criteria"/>
      <sheetName val="working load at the btm ft_"/>
      <sheetName val="plan_section of foundation"/>
      <sheetName val="member design"/>
      <sheetName val="soil bearing check"/>
      <sheetName val="TO  MEST"/>
      <sheetName val="Est-Trench1"/>
      <sheetName val="TRANSPORT"/>
      <sheetName val="Proposal"/>
      <sheetName val="PumpSpec"/>
      <sheetName val="AABS내역"/>
      <sheetName val="PRO_DCI"/>
      <sheetName val="INST_DCI"/>
      <sheetName val="HVAC_DCI"/>
      <sheetName val="PIPE_DCI"/>
      <sheetName val="mhrrate"/>
      <sheetName val="Ind"/>
      <sheetName val="Main Code"/>
      <sheetName val="Sheet1"/>
      <sheetName val="집계표(OPTION)"/>
      <sheetName val="간접비내역-1"/>
      <sheetName val="Sheet4"/>
      <sheetName val="ELEC_DCI"/>
      <sheetName val="직원동원SCH"/>
      <sheetName val="집계표"/>
      <sheetName val="BQ List"/>
      <sheetName val="INSTR"/>
      <sheetName val="변수데이타"/>
      <sheetName val="C급보 "/>
      <sheetName val="정부노임단가"/>
      <sheetName val="eq_data"/>
      <sheetName val="설계조건"/>
      <sheetName val="단면검토"/>
      <sheetName val="Sheet2"/>
      <sheetName val="CAT_5"/>
      <sheetName val="Base_Data"/>
      <sheetName val="할증 "/>
      <sheetName val="BM DATA SHEET"/>
      <sheetName val="RENUN"/>
      <sheetName val="개시대사 (2)"/>
      <sheetName val="공사내역"/>
      <sheetName val="2월가격"/>
      <sheetName val="PHALAIDUCT "/>
      <sheetName val="사업계획"/>
      <sheetName val="TOEC"/>
      <sheetName val="Define"/>
      <sheetName val="DESIGN"/>
      <sheetName val="OCT.FDN"/>
      <sheetName val="analisa"/>
      <sheetName val="INSPECTOR (EPC-1)"/>
      <sheetName val="Pipe Classes"/>
      <sheetName val="SPEC"/>
      <sheetName val="최민영집계25"/>
      <sheetName val="영업소실적"/>
      <sheetName val="Basic"/>
      <sheetName val="견적기준"/>
      <sheetName val="DATA"/>
      <sheetName val="REINF."/>
      <sheetName val="LOADS"/>
      <sheetName val="CHECK1"/>
      <sheetName val="MAIN"/>
      <sheetName val="PRO_A"/>
      <sheetName val="PRO"/>
      <sheetName val="Cover"/>
      <sheetName val="Rekap A"/>
      <sheetName val="piping"/>
      <sheetName val="투입실적"/>
      <sheetName val="VL"/>
      <sheetName val="3.현장배치"/>
      <sheetName val="Cash2"/>
      <sheetName val="Z"/>
      <sheetName val="일위대가표(DEEP)"/>
      <sheetName val="NEWDRAW"/>
      <sheetName val="영업2"/>
      <sheetName val="Ox-Air"/>
      <sheetName val="plan&amp;section of foundation"/>
      <sheetName val="인원현황"/>
      <sheetName val="수입"/>
      <sheetName val="Instruction"/>
      <sheetName val="U+SRU 5UG"/>
      <sheetName val="상반기손익차2총괄"/>
      <sheetName val="ECC Master Title"/>
      <sheetName val="SE-611"/>
      <sheetName val="개시전표"/>
      <sheetName val="생산계획"/>
      <sheetName val="BQ"/>
      <sheetName val="연돌일위집계"/>
      <sheetName val="ACTDATA"/>
      <sheetName val="95삼성급(본사)"/>
      <sheetName val="131COMP"/>
      <sheetName val="EQUIP"/>
      <sheetName val="BQMPALOC"/>
      <sheetName val="steam table"/>
      <sheetName val="갑지"/>
      <sheetName val="PUMP"/>
      <sheetName val="산근"/>
      <sheetName val="#REF"/>
      <sheetName val="인원동원계획"/>
      <sheetName val="PROCURE"/>
      <sheetName val="Seals"/>
      <sheetName val="4K - (6a) Non Manual Breakdown"/>
      <sheetName val="PI"/>
      <sheetName val="투입인력"/>
      <sheetName val="ITstk"/>
      <sheetName val="jobhist"/>
      <sheetName val="PipWT"/>
      <sheetName val="INPUT DATA"/>
      <sheetName val="Summary Sheets"/>
      <sheetName val="cal"/>
      <sheetName val="내역서"/>
      <sheetName val="7.6.3(B) UG Piping"/>
      <sheetName val="수량산출서"/>
      <sheetName val="BOQ"/>
      <sheetName val=" Sum"/>
      <sheetName val="LOOKUP"/>
      <sheetName val="ANALYSER"/>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말뚝물량"/>
      <sheetName val="8.현장관리비"/>
      <sheetName val="7.안전관리비"/>
      <sheetName val="노임단가"/>
      <sheetName val="w't table"/>
      <sheetName val="CondPol"/>
      <sheetName val="경제지표"/>
      <sheetName val="세금자료"/>
      <sheetName val="cable"/>
      <sheetName val="DESIGN(77C-102A)-2"/>
      <sheetName val="RFP007"/>
      <sheetName val="0.갑지"/>
      <sheetName val="제출sche(Basic)"/>
      <sheetName val="5"/>
      <sheetName val="Database"/>
      <sheetName val="Gia vat tu"/>
      <sheetName val="PDS U-1400"/>
      <sheetName val="Summary"/>
      <sheetName val="대치판정"/>
      <sheetName val="AILC004"/>
      <sheetName val="MR"/>
      <sheetName val="EQT-ESTN"/>
      <sheetName val="ZAR SAZ"/>
      <sheetName val="Unit 49_분개표"/>
      <sheetName val="Unit 76_분개표"/>
      <sheetName val="Macro"/>
      <sheetName val="Taux"/>
      <sheetName val="rates"/>
      <sheetName val="구조물철거타공정이월"/>
      <sheetName val="HVAC"/>
      <sheetName val="Lab-Rate"/>
      <sheetName val="SITE EST"/>
      <sheetName val="wagerate"/>
      <sheetName val="IT-BAT"/>
      <sheetName val="단중표"/>
      <sheetName val="TABLE2-2 OSBL-(SITE PREP)"/>
      <sheetName val="견적의뢰"/>
      <sheetName val="B"/>
      <sheetName val="TANK"/>
      <sheetName val="자동이름-삽입-시트"/>
      <sheetName val="FJK 0"/>
      <sheetName val="예산M12A"/>
      <sheetName val="nde_request"/>
      <sheetName val="공사비 내역 (가)"/>
      <sheetName val="요약배부"/>
      <sheetName val="주관사업"/>
      <sheetName val="내역"/>
      <sheetName val="DATE"/>
      <sheetName val="12CGOU"/>
      <sheetName val="X17-TOTAL"/>
      <sheetName val="간접비 총괄표"/>
      <sheetName val="PAINT"/>
      <sheetName val="공정계획(내부계획25%,내부w.f)"/>
      <sheetName val="VC2 8.98"/>
      <sheetName val="FDM TOT"/>
      <sheetName val="단중표-ST"/>
      <sheetName val="UnitList"/>
      <sheetName val="CIVIL WORK"/>
      <sheetName val="96.12"/>
      <sheetName val="직원동원계획"/>
      <sheetName val="REDUCER"/>
      <sheetName val="WE'T"/>
      <sheetName val="Piping(Methanol)"/>
      <sheetName val="Factor"/>
      <sheetName val="98TSON4A"/>
      <sheetName val="환율"/>
      <sheetName val="인원계획"/>
      <sheetName val="물량집계(전기)"/>
      <sheetName val="물량집계(계장)"/>
      <sheetName val="Hangers"/>
      <sheetName val="Read Me"/>
      <sheetName val="Tbl"/>
      <sheetName val="TYPE-B 평균H"/>
      <sheetName val="RFP009"/>
      <sheetName val="본지점중"/>
      <sheetName val="data_dci"/>
      <sheetName val="data_mci"/>
      <sheetName val="CODE"/>
      <sheetName val="costing_CV"/>
      <sheetName val="토목"/>
      <sheetName val="공사비예산서(토목분)"/>
      <sheetName val="PIPE"/>
      <sheetName val="DESIGN CRETERIA"/>
      <sheetName val="COVERSHEET"/>
      <sheetName val="DESIGN_CRETERIA"/>
      <sheetName val="Graph (LGEN)"/>
      <sheetName val="out_prog"/>
      <sheetName val="선적schedule (2)"/>
      <sheetName val="조도계산서 (도서)"/>
      <sheetName val="tank3"/>
      <sheetName val="2.2 STAFF Scedule"/>
      <sheetName val="대비표"/>
      <sheetName val="焊工状态表"/>
      <sheetName val="예총"/>
      <sheetName val="Default"/>
      <sheetName val="breakdown"/>
      <sheetName val="D-3109"/>
      <sheetName val="뜃맟뭁돽띿맟?-BLDG"/>
      <sheetName val="BREAKDOWN(신규설치)"/>
      <sheetName val="SUMMARY_철거"/>
      <sheetName val="BREAKDOWN(철거설치)"/>
      <sheetName val="Quantity"/>
      <sheetName val="97 사업추정(WEKI)"/>
      <sheetName val="TTL"/>
      <sheetName val="배수내역"/>
      <sheetName val="뜃맟뭁돽띿맟_-BLDG"/>
      <sheetName val="DB@Acess"/>
      <sheetName val="Civil"/>
      <sheetName val="7.5.2 BOQ Summary "/>
      <sheetName val="INPUT_DATA"/>
      <sheetName val="Summary_Sheets"/>
      <sheetName val="7_6_3(B)_UG_Piping"/>
      <sheetName val="PHALAIDUCT_"/>
      <sheetName val="_Sum"/>
      <sheetName val="기성내역"/>
      <sheetName val="실행"/>
      <sheetName val="TKOFF"/>
      <sheetName val="표지"/>
      <sheetName val="예산M11A"/>
      <sheetName val="회사99"/>
      <sheetName val="DO AM DT"/>
      <sheetName val="단가비교"/>
      <sheetName val="TUAS"/>
      <sheetName val="design_criteria"/>
      <sheetName val="working_load_at_the_btm_ft_"/>
      <sheetName val="plan_section_of_foundation"/>
      <sheetName val="member_design"/>
      <sheetName val="soil_bearing_check"/>
      <sheetName val="TO__MEST"/>
      <sheetName val="Main_Code"/>
      <sheetName val="C급보_"/>
      <sheetName val="할증_"/>
      <sheetName val="개시대사_(2)"/>
      <sheetName val="BQ_List"/>
      <sheetName val="BM_DATA_SHEET"/>
      <sheetName val="OCT_FDN"/>
      <sheetName val="INSPECTOR_(EPC-1)"/>
      <sheetName val="Pipe_Classes"/>
      <sheetName val="REINF_"/>
      <sheetName val="3_현장배치"/>
      <sheetName val="Rekap_A"/>
      <sheetName val="plan&amp;section_of_foundation"/>
      <sheetName val="U+SRU_5UG"/>
      <sheetName val="ECC_Master_Title"/>
      <sheetName val="steam_table"/>
      <sheetName val="SITE_EST"/>
      <sheetName val="4K_-_(6a)_Non_Manual_Breakdown"/>
      <sheetName val="8_현장관리비"/>
      <sheetName val="7_안전관리비"/>
      <sheetName val="w't_table"/>
      <sheetName val="0_갑지"/>
      <sheetName val="Gia_vat_tu"/>
      <sheetName val="PDS_U-1400"/>
      <sheetName val="ZAR_SAZ"/>
      <sheetName val="Unit_49_분개표"/>
      <sheetName val="Unit_76_분개표"/>
      <sheetName val="TABLE2-2_OSBL-(SITE_PREP)"/>
      <sheetName val="공사비_내역_(가)"/>
      <sheetName val="간접비_총괄표"/>
      <sheetName val="FDM_TOT"/>
      <sheetName val="VC2_8_98"/>
      <sheetName val="CIVIL_WORK"/>
      <sheetName val="96_12"/>
      <sheetName val="Read_Me"/>
      <sheetName val="TYPE-B_평균H"/>
      <sheetName val="공정계획(내부계획25%,내부w_f)"/>
      <sheetName val="DESIGN_CRETERIA1"/>
      <sheetName val="Graph_(LGEN)"/>
      <sheetName val="선적schedule_(2)"/>
      <sheetName val="조도계산서_(도서)"/>
      <sheetName val="Renf_flat_center"/>
      <sheetName val="COMPRESSOR"/>
      <sheetName val="h-013211-2??0?_x0013_??0?????_x0013_?"/>
      <sheetName val="h-013211-2厧㉠0䧬_x0013_冞㉠0冣㉠幇髃䴾_x0013_Ӥ"/>
      <sheetName val="Notes"/>
      <sheetName val="가상data"/>
      <sheetName val="p.mgmt"/>
      <sheetName val="BRICK"/>
      <sheetName val="4.1구조설계"/>
      <sheetName val="Detail"/>
      <sheetName val="h-013211-2__"/>
      <sheetName val="h-013211-2厧㉠"/>
      <sheetName val="PHALAIDUCT_1"/>
      <sheetName val="INPUT_DATA1"/>
      <sheetName val="Summary_Sheets1"/>
      <sheetName val="7_6_3(B)_UG_Piping1"/>
      <sheetName val="_Sum1"/>
      <sheetName val="FJK_0"/>
      <sheetName val="2_2_STAFF_Scedule"/>
      <sheetName val="97_사업추정(WEKI)"/>
      <sheetName val="7_5_2_BOQ_Summary_"/>
      <sheetName val="DO_AM_DT"/>
      <sheetName val="LOPCALC"/>
      <sheetName val="CT "/>
      <sheetName val="입출재고현황 (2)"/>
      <sheetName val="design_criteria1"/>
      <sheetName val="working_load_at_the_btm_ft_1"/>
      <sheetName val="plan_section_of_foundation1"/>
      <sheetName val="member_design1"/>
      <sheetName val="soil_bearing_check1"/>
      <sheetName val="TO__MEST1"/>
      <sheetName val="Main_Code1"/>
      <sheetName val="BM_DATA_SHEET1"/>
      <sheetName val="C급보_1"/>
      <sheetName val="OCT_FDN1"/>
      <sheetName val="할증_1"/>
      <sheetName val="개시대사_(2)1"/>
      <sheetName val="BQ_List1"/>
      <sheetName val="INSPECTOR_(EPC-1)1"/>
      <sheetName val="Pipe_Classes1"/>
      <sheetName val="0. SUM"/>
      <sheetName val="Transformer FDN_1"/>
      <sheetName val="Transformer FDN_2"/>
      <sheetName val="Transformer FDN_3"/>
      <sheetName val="Fuel Oil Tank_1"/>
      <sheetName val="Fuel Oil Tank_2"/>
      <sheetName val="WATER TRETMENT PLANT"/>
      <sheetName val="Untreated Water Tank"/>
      <sheetName val="Untreated Water Tank Demi"/>
      <sheetName val="Pretreated Water Tank"/>
      <sheetName val="Demineralized Tank"/>
      <sheetName val="Potabel Water Tank"/>
      <sheetName val="Waste Water Treatment System"/>
      <sheetName val="Modular Septic Tank"/>
      <sheetName val="OSSPA"/>
      <sheetName val="OSSWL"/>
      <sheetName val="Skimmed Oil Tank"/>
      <sheetName val="Oil Sludge Tank"/>
      <sheetName val="Oil Sludge Discharge Pump"/>
      <sheetName val="STG"/>
      <sheetName val="BOILER"/>
      <sheetName val="PRECIPITATOR&amp;ID FAN"/>
      <sheetName val="Air Cooled Condenser FDN"/>
      <sheetName val="Fly Ash Silos"/>
      <sheetName val="BOTTOM ASH SILO"/>
      <sheetName val="FUEL OIL PUMPING"/>
      <sheetName val="FLASH TANK"/>
      <sheetName val="ACC DUCT1"/>
      <sheetName val="ACC DUCT"/>
      <sheetName val="STEAM AIR"/>
      <sheetName val="EXTRACTION PUMP"/>
      <sheetName val="CLOSE COOLING WATER PUMP"/>
      <sheetName val="Closed cooling water cooler"/>
      <sheetName val="지원5월"/>
      <sheetName val="도"/>
      <sheetName val="h-013211-2??"/>
      <sheetName val="변경집계표"/>
      <sheetName val="BSD (2)"/>
      <sheetName val="부식감량표"/>
      <sheetName val="BEAM"/>
      <sheetName val="당초"/>
      <sheetName val="Utilities"/>
      <sheetName val="Staff-OP"/>
      <sheetName val="List"/>
      <sheetName val="Project Info."/>
      <sheetName val="h-013211-2??0???0??????"/>
      <sheetName val="h-013211-2厧㉠0䧬冞㉠0冣㉠幇髃䴾Ӥ"/>
      <sheetName val="p_mgmt"/>
      <sheetName val="4_1구조설계"/>
      <sheetName val="SENSOR LIST"/>
      <sheetName val="A-11 Steel Str"/>
      <sheetName val="A-03 Pile"/>
      <sheetName val="CTEMCOST"/>
      <sheetName val="Desal-E&amp;I"/>
      <sheetName val="Staff,Labor Wage &amp; Salary"/>
      <sheetName val="실행(1)"/>
      <sheetName val="SS2"/>
      <sheetName val="실행내역"/>
      <sheetName val="사업부배부A"/>
      <sheetName val="loading"/>
      <sheetName val="P-산#1-1(WOWA1)"/>
      <sheetName val="SUPERH_FLAT_END"/>
      <sheetName val="Sheet5"/>
      <sheetName val="9-1차이내역"/>
      <sheetName val="노무비단가"/>
      <sheetName val="기준"/>
      <sheetName val="IN"/>
      <sheetName val="Standard Piping MTO"/>
      <sheetName val="Pipe&amp;Valve Coding"/>
      <sheetName val="ITB COST"/>
      <sheetName val="04 - Civil"/>
      <sheetName val="SubSum"/>
      <sheetName val="ELEC_MCI"/>
      <sheetName val="INST_MCI"/>
      <sheetName val="MECH_MCI"/>
      <sheetName val="Table 1"/>
      <sheetName val="제출내역 (2)"/>
      <sheetName val="A LINE"/>
      <sheetName val="부표총괄"/>
      <sheetName val="OFFER RATE"/>
      <sheetName val="WorkSheet1"/>
      <sheetName val="VXXXXXX"/>
      <sheetName val="환율표"/>
      <sheetName val="실행철강하도"/>
      <sheetName val="STAND98"/>
      <sheetName val="인사자료총집계"/>
      <sheetName val="T RFA"/>
      <sheetName val="CAPVC"/>
      <sheetName val="가도공"/>
      <sheetName val="바닥판 검토"/>
      <sheetName val="다이꾸"/>
      <sheetName val="갑지(추정)"/>
      <sheetName val="유림골조"/>
      <sheetName val="units"/>
      <sheetName val="design_criteria2"/>
      <sheetName val="working_load_at_the_btm_ft_2"/>
      <sheetName val="plan_section_of_foundation2"/>
      <sheetName val="member_design2"/>
      <sheetName val="soil_bearing_check2"/>
      <sheetName val="TO__MEST2"/>
      <sheetName val="Main_Code2"/>
      <sheetName val="BM_DATA_SHEET2"/>
      <sheetName val="C급보_2"/>
      <sheetName val="할증_2"/>
      <sheetName val="BQ_List2"/>
      <sheetName val="PHALAIDUCT_2"/>
      <sheetName val="개시대사_(2)2"/>
      <sheetName val="OCT_FDN2"/>
      <sheetName val="INSPECTOR_(EPC-1)2"/>
      <sheetName val="Pipe_Classes2"/>
      <sheetName val="REINF_1"/>
      <sheetName val="Rekap_A1"/>
      <sheetName val="3_현장배치1"/>
      <sheetName val="plan&amp;section_of_foundation1"/>
      <sheetName val="U+SRU_5UG1"/>
      <sheetName val="ECC_Master_Title1"/>
      <sheetName val="steam_table1"/>
      <sheetName val="4K_-_(6a)_Non_Manual_Breakdown1"/>
      <sheetName val="INPUT_DATA2"/>
      <sheetName val="Summary_Sheets2"/>
      <sheetName val="7_6_3(B)_UG_Piping2"/>
      <sheetName val="_Sum2"/>
      <sheetName val="8_현장관리비1"/>
      <sheetName val="7_안전관리비1"/>
      <sheetName val="w't_table1"/>
      <sheetName val="0_갑지1"/>
      <sheetName val="Gia_vat_tu1"/>
      <sheetName val="PDS_U-14001"/>
      <sheetName val="ZAR_SAZ1"/>
      <sheetName val="Unit_49_분개표1"/>
      <sheetName val="Unit_76_분개표1"/>
      <sheetName val="SITE_EST1"/>
      <sheetName val="TABLE2-2_OSBL-(SITE_PREP)1"/>
      <sheetName val="Read_Me1"/>
      <sheetName val="공사비_내역_(가)1"/>
      <sheetName val="간접비_총괄표1"/>
      <sheetName val="공정계획(내부계획25%,내부w_f)1"/>
      <sheetName val="VC2_8_981"/>
      <sheetName val="FDM_TOT1"/>
      <sheetName val="CIVIL_WORK1"/>
      <sheetName val="96_121"/>
      <sheetName val="DESIGN_CRETERIA2"/>
      <sheetName val="Graph_(LGEN)1"/>
      <sheetName val="선적schedule_(2)1"/>
      <sheetName val="조도계산서_(도서)1"/>
      <sheetName val="FJK_01"/>
      <sheetName val="TYPE-B_평균H1"/>
      <sheetName val="2_2_STAFF_Scedule1"/>
      <sheetName val="97_사업추정(WEKI)1"/>
      <sheetName val="7_5_2_BOQ_Summary_1"/>
      <sheetName val="DO_AM_DT1"/>
      <sheetName val="0__SUM"/>
      <sheetName val="Transformer_FDN_1"/>
      <sheetName val="Transformer_FDN_2"/>
      <sheetName val="Transformer_FDN_3"/>
      <sheetName val="Fuel_Oil_Tank_1"/>
      <sheetName val="Fuel_Oil_Tank_2"/>
      <sheetName val="WATER_TRETMENT_PLANT"/>
      <sheetName val="Untreated_Water_Tank"/>
      <sheetName val="Untreated_Water_Tank_Demi"/>
      <sheetName val="Pretreated_Water_Tank"/>
      <sheetName val="Demineralized_Tank"/>
      <sheetName val="Potabel_Water_Tank"/>
      <sheetName val="Waste_Water_Treatment_System"/>
      <sheetName val="Modular_Septic_Tank"/>
      <sheetName val="Skimmed_Oil_Tank"/>
      <sheetName val="Oil_Sludge_Tank"/>
      <sheetName val="Oil_Sludge_Discharge_Pump"/>
      <sheetName val="PRECIPITATOR&amp;ID_FAN"/>
      <sheetName val="Air_Cooled_Condenser_FDN"/>
      <sheetName val="Fly_Ash_Silos"/>
      <sheetName val="BOTTOM_ASH_SILO"/>
      <sheetName val="FUEL_OIL_PUMPING"/>
      <sheetName val="FLASH_TANK"/>
      <sheetName val="ACC_DUCT1"/>
      <sheetName val="ACC_DUCT"/>
      <sheetName val="STEAM_AIR"/>
      <sheetName val="EXTRACTION_PUMP"/>
      <sheetName val="CLOSE_COOLING_WATER_PUMP"/>
      <sheetName val="Closed_cooling_water_cooler"/>
      <sheetName val="BSD_(2)"/>
      <sheetName val="입출재고현황_(2)"/>
      <sheetName val="A-11_Steel_Str"/>
      <sheetName val="A-03_Pile"/>
      <sheetName val="CT_"/>
      <sheetName val="SortedList"/>
      <sheetName val="PILOT품"/>
      <sheetName val="Overview"/>
      <sheetName val="M96현황-동아"/>
      <sheetName val="금형품의서"/>
      <sheetName val="CVA"/>
      <sheetName val="P1_Body"/>
      <sheetName val="Setup"/>
      <sheetName val="Marsh. FGS (Hours)"/>
      <sheetName val="Marsh. ESD (Materials)"/>
      <sheetName val="Marsh. FGS (Materials)"/>
      <sheetName val="Project Price Summary"/>
      <sheetName val="cable-data"/>
      <sheetName val="Currencies"/>
      <sheetName val="diamètres"/>
      <sheetName val="EQUIPMENT ERECTION BREAKDOWN"/>
      <sheetName val="wg"/>
      <sheetName val="9100"/>
      <sheetName val="ITB_COST"/>
      <sheetName val="T_RFA"/>
      <sheetName val="일위대가"/>
      <sheetName val="단가대비표"/>
      <sheetName val="일위대가(가설)"/>
      <sheetName val="터파기및재료"/>
      <sheetName val="behind"/>
      <sheetName val="content"/>
      <sheetName val="HSATUAN"/>
      <sheetName val="I-KAMAR"/>
      <sheetName val="가설"/>
      <sheetName val="경상"/>
      <sheetName val="가BM"/>
      <sheetName val="1.설계조건"/>
      <sheetName val="예산내역"/>
      <sheetName val="총괄수지표"/>
      <sheetName val="자재단가"/>
      <sheetName val="BM"/>
      <sheetName val="수지표"/>
      <sheetName val="셀명"/>
      <sheetName val="D"/>
      <sheetName val="Dike(H=0.9m)"/>
      <sheetName val="PIPING_total"/>
      <sheetName val="Sheeta"/>
      <sheetName val="Units+rev"/>
      <sheetName val="설산1.나"/>
      <sheetName val="본사S"/>
      <sheetName val="Input"/>
    </sheetNames>
    <sheetDataSet>
      <sheetData sheetId="0" refreshError="1">
        <row r="2">
          <cell r="Q2" t="str">
            <v>TAKE OFF</v>
          </cell>
        </row>
        <row r="5">
          <cell r="C5" t="str">
            <v>Dwg-H-013211-2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3)"/>
      <sheetName val="Sayfa2"/>
      <sheetName val="Sayfa1"/>
      <sheetName val="Odeme Cetveli "/>
      <sheetName val="Icmal"/>
      <sheetName val="Malz. Fyt. Frk. Icmali"/>
      <sheetName val="Mlz. Fyt. Frk. Hsp. Tb.çim"/>
      <sheetName val="Yapilan Isler Listesi "/>
      <sheetName val="Yesil Defter (Kapak)"/>
      <sheetName val="yeşil def 1"/>
      <sheetName val="itinerer"/>
      <sheetName val="muk.keş."/>
      <sheetName val="muk.keş. (2)"/>
      <sheetName val="Sheet1 (2)"/>
      <sheetName val="Tut 1"/>
      <sheetName val="tut 3."/>
      <sheetName val="tut 2."/>
      <sheetName val="tut 4"/>
      <sheetName val="A.F.F "/>
      <sheetName val="İÇSAYFA"/>
      <sheetName val="YEŞİLDEFTER"/>
      <sheetName val="#BAŞV"/>
      <sheetName val="FFARK MİK TABLOLARI"/>
      <sheetName val="FF HESABI TABLOLARI"/>
      <sheetName val="FF HESABI (3)"/>
      <sheetName val="FFARK MİK.MAZOT"/>
      <sheetName val="RAPOR"/>
      <sheetName val="VAR-YOL İMAL"/>
      <sheetName val="GB"/>
      <sheetName val="ön kapak"/>
      <sheetName val="Quantity"/>
      <sheetName val="S1BOQ"/>
      <sheetName val="AOP Summary-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세금자료"/>
      <sheetName val="영업소실적"/>
      <sheetName val="집계표"/>
      <sheetName val="97 사업추정(WEKI)"/>
      <sheetName val="인원계획"/>
      <sheetName val="수입"/>
      <sheetName val="사업추정"/>
      <sheetName val="95삼성급(본사)"/>
      <sheetName val="DB@Acess"/>
      <sheetName val="Civil"/>
      <sheetName val="손익차9월2"/>
      <sheetName val="INSTR"/>
      <sheetName val="MANHOLE"/>
      <sheetName val="기준"/>
      <sheetName val="마스터"/>
      <sheetName val="Basic"/>
      <sheetName val="sum3"/>
      <sheetName val="inter"/>
      <sheetName val="h-013211-2"/>
      <sheetName val="Cover"/>
      <sheetName val="제경비"/>
      <sheetName val="1,2공구원가계산서"/>
      <sheetName val="2공구산출내역"/>
      <sheetName val="1공구산출내역서"/>
      <sheetName val="Sheet1"/>
      <sheetName val="노임9월"/>
      <sheetName val="PRO_DCI"/>
      <sheetName val="INST_DCI"/>
      <sheetName val="HVAC_DCI"/>
      <sheetName val="PIPE_DCI"/>
      <sheetName val="갑지"/>
      <sheetName val="산근"/>
      <sheetName val="97_사업추정(WEKI)"/>
      <sheetName val="금액내역서"/>
      <sheetName val="Sheet2"/>
      <sheetName val="사업부배부A"/>
      <sheetName val="BCPAB"/>
      <sheetName val="노임"/>
      <sheetName val="eq_data"/>
      <sheetName val="VENDOR LIST"/>
      <sheetName val="공통비"/>
      <sheetName val="소화실적"/>
      <sheetName val="경제지표"/>
      <sheetName val="PIPE"/>
      <sheetName val="member design"/>
      <sheetName val="design criteria"/>
      <sheetName val="working load at the btm ft."/>
      <sheetName val="plan&amp;section of foundation"/>
      <sheetName val="soil bearing check"/>
      <sheetName val="제출계산서"/>
      <sheetName val="D2old"/>
      <sheetName val="Library"/>
      <sheetName val="개시전표"/>
      <sheetName val="공사집계"/>
      <sheetName val="내역"/>
      <sheetName val="Exch_rates"/>
      <sheetName val="9-1차이내역"/>
      <sheetName val="계약고변"/>
      <sheetName val="선투입재고 "/>
      <sheetName val="상반기 실적추정 총괄표 (2)"/>
      <sheetName val="상반기 실적추정 총괄표"/>
      <sheetName val="손익차상반기총괄"/>
      <sheetName val="설계명세서"/>
      <sheetName val="전기"/>
      <sheetName val="결산실적01"/>
      <sheetName val="변경품셈총괄"/>
      <sheetName val="일위대가"/>
      <sheetName val="단가대비표"/>
      <sheetName val="#REF"/>
      <sheetName val="노임단가"/>
      <sheetName val="수목데이타 "/>
      <sheetName val="견적"/>
      <sheetName val="간접비 총괄표"/>
      <sheetName val="안전장치"/>
      <sheetName val="실행내역 "/>
      <sheetName val="매각(6)"/>
      <sheetName val="수량산출"/>
      <sheetName val="TT 매입율"/>
      <sheetName val="부표총괄"/>
      <sheetName val="현장배치"/>
      <sheetName val="BOJUNGGM"/>
      <sheetName val="기성수금(단단위)"/>
      <sheetName val="원가매출(단단위)"/>
      <sheetName val="현장"/>
      <sheetName val="첨부1"/>
      <sheetName val="원가계산서(남측)"/>
      <sheetName val="1-11조직표"/>
      <sheetName val="금액결정"/>
      <sheetName val="총괄내역서"/>
      <sheetName val="남대문빌딩"/>
      <sheetName val="DATE"/>
      <sheetName val="1_11조직표"/>
      <sheetName val="Sheet4"/>
      <sheetName val="등급"/>
      <sheetName val="당초"/>
      <sheetName val="SIMULATION"/>
      <sheetName val="단가비교(TOTAL)"/>
      <sheetName val="실행대비"/>
      <sheetName val="공문"/>
      <sheetName val="산수배수"/>
      <sheetName val="자료"/>
      <sheetName val="유림골조"/>
      <sheetName val="대비"/>
      <sheetName val="직노"/>
      <sheetName val="설계예시"/>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 val="단가표"/>
      <sheetName val="VC2 8.98"/>
      <sheetName val="요약배부"/>
      <sheetName val="주관사업"/>
      <sheetName val="Summary Sheets"/>
      <sheetName val="summ"/>
      <sheetName val="INPU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표지"/>
      <sheetName val="1총괄(上)"/>
      <sheetName val="2손익"/>
      <sheetName val="3대차"/>
      <sheetName val="4법인세(上)"/>
      <sheetName val="5잉여금"/>
      <sheetName val="6준비금"/>
      <sheetName val="6부가"/>
      <sheetName val="7여신"/>
      <sheetName val="8주평"/>
      <sheetName val="9확정실적"/>
      <sheetName val="1총괄(下)"/>
      <sheetName val="4법인세(下)"/>
      <sheetName val="9_1차이내역"/>
      <sheetName val="97 사업추정(WEKI)"/>
      <sheetName val="손익차총괄2"/>
      <sheetName val="상반기손익차2총괄"/>
      <sheetName val="P.M 별"/>
      <sheetName val="현금흐름표"/>
      <sheetName val="수입"/>
      <sheetName val="#REF"/>
      <sheetName val="신대방33(적용)"/>
      <sheetName val="97_사업추정(WEKI)"/>
      <sheetName val="P_M_별"/>
      <sheetName val="환율"/>
      <sheetName val="투입"/>
      <sheetName val="7. 매출 투입 취하"/>
      <sheetName val="BQMPALOC"/>
      <sheetName val="수주현황2월"/>
      <sheetName val="95WBS"/>
      <sheetName val="공통"/>
      <sheetName val="토목주소"/>
      <sheetName val="PRO_DCI"/>
      <sheetName val="INST_DCI"/>
      <sheetName val="HVAC_DCI"/>
      <sheetName val="PIPE_DCI"/>
      <sheetName val="경비"/>
      <sheetName val="h_013211_2"/>
      <sheetName val="SG"/>
      <sheetName val="alat"/>
      <sheetName val="Upah"/>
      <sheetName val="주관사업"/>
      <sheetName val="납부내역"/>
      <sheetName val="전기"/>
      <sheetName val="기기리스트"/>
      <sheetName val="집계표"/>
      <sheetName val="개시대사 (2)"/>
      <sheetName val="合成単価作成表-BLDG"/>
      <sheetName val="세금자료"/>
      <sheetName val="경제지표"/>
      <sheetName val="사업부배부A"/>
      <sheetName val="요약배부"/>
      <sheetName val="Cover"/>
      <sheetName val="영업소실적"/>
      <sheetName val="구의33고"/>
      <sheetName val="계측 내역서"/>
      <sheetName val="97_사업추정(WEKI)1"/>
      <sheetName val="P_M_별1"/>
      <sheetName val="7__매출_투입_취하"/>
      <sheetName val="개시대사_(2)"/>
      <sheetName val="Sheet1"/>
      <sheetName val="LABTOTAL"/>
      <sheetName val="Sheet 1"/>
      <sheetName val="손익차9월2"/>
      <sheetName val="예정(3)"/>
      <sheetName val="동원(3)"/>
      <sheetName val="인사자료총집계"/>
      <sheetName val="소화실적"/>
      <sheetName val="인상효1"/>
      <sheetName val="96결산"/>
      <sheetName val="준검 내역서"/>
      <sheetName val="INSTR"/>
      <sheetName val="BQ"/>
      <sheetName val="전체내역서"/>
      <sheetName val="공통부대비"/>
      <sheetName val="기자재집계"/>
      <sheetName val="토목"/>
      <sheetName val="inter"/>
      <sheetName val="PIPE"/>
      <sheetName val="차수"/>
      <sheetName val="교각1"/>
      <sheetName val="교각계산"/>
      <sheetName val="BREAKDOWN(철거설치)"/>
      <sheetName val="리비아견적작업"/>
      <sheetName val="뜃맟뭁돽띿맟?-BLDG"/>
      <sheetName val="BREAKDOWN(신규설치)"/>
      <sheetName val="SUMMARY_철거"/>
      <sheetName val="REDUCER"/>
      <sheetName val="INPUT"/>
      <sheetName val="member design"/>
      <sheetName val="design criteria"/>
      <sheetName val="working load at the btm ft."/>
      <sheetName val="plan&amp;section of foundation"/>
      <sheetName val="단가산출서"/>
      <sheetName val="내역서(당초변경)"/>
      <sheetName val="비교1"/>
      <sheetName val="Regenerator  Concrete Structure"/>
      <sheetName val="일위대가(가설)"/>
      <sheetName val="D-623D"/>
      <sheetName val="soil bearing check"/>
      <sheetName val="기둥(원형)"/>
      <sheetName val="찍기"/>
      <sheetName val="단면 (2)"/>
      <sheetName val="97_사업추정(WEKI)2"/>
      <sheetName val="P_M_별2"/>
      <sheetName val="7__매출_투입_취하1"/>
      <sheetName val="RFP007"/>
      <sheetName val="SPT vs PHI"/>
      <sheetName val="BCPAB"/>
      <sheetName val="출자한도"/>
      <sheetName val="날개벽"/>
      <sheetName val="뜃맟뭁돽띿맟_-BLDG"/>
      <sheetName val="개시대사_(2)1"/>
      <sheetName val="계측_내역서"/>
      <sheetName val="Sheet_1"/>
      <sheetName val="준검_내역서"/>
      <sheetName val="Regenerator__Concrete_Structure"/>
      <sheetName val="Asset9809CAK"/>
      <sheetName val="주차구획선수량"/>
      <sheetName val="개산견적원본"/>
      <sheetName val="기본자료"/>
      <sheetName val="ITB COST"/>
      <sheetName val="AC포장수량"/>
      <sheetName val="Sheet4"/>
      <sheetName val="시화점실행"/>
      <sheetName val="95년12월말"/>
      <sheetName val="data_dci"/>
      <sheetName val="data_mci"/>
      <sheetName val="behind"/>
      <sheetName val="Main"/>
      <sheetName val="CAT_5"/>
      <sheetName val="내역서"/>
      <sheetName val="간접비내역-1"/>
      <sheetName val="BM"/>
      <sheetName val="B"/>
      <sheetName val="CTEMCOST"/>
      <sheetName val="개시전표"/>
      <sheetName val="공사집계"/>
      <sheetName val="입찰안"/>
      <sheetName val="업무분장"/>
      <sheetName val="DESIGN"/>
      <sheetName val="OCT.FDN"/>
      <sheetName val="운반"/>
      <sheetName val="소야공정계획표"/>
      <sheetName val="45,46"/>
      <sheetName val="시설물"/>
      <sheetName val="낙찰표"/>
      <sheetName val="자재"/>
      <sheetName val="내역"/>
      <sheetName val="진출철집"/>
      <sheetName val="소업1교"/>
      <sheetName val="토공정보"/>
      <sheetName val="두앙"/>
      <sheetName val="2"/>
      <sheetName val="EQT-ESTN"/>
      <sheetName val="95삼성급(본사)"/>
      <sheetName val="h-013211-2"/>
      <sheetName val="01"/>
      <sheetName val="다이꾸"/>
      <sheetName val="설산1.나"/>
      <sheetName val="본사S"/>
      <sheetName val="C"/>
      <sheetName val="당초"/>
      <sheetName val="9GNG운반"/>
      <sheetName val="갑지(추정)"/>
      <sheetName val="PRICES"/>
      <sheetName val="산근"/>
      <sheetName val="갑지"/>
      <sheetName val="업무분장 "/>
      <sheetName val="적용환율"/>
      <sheetName val="외화계약"/>
      <sheetName val="97_사업추정(WEKI)3"/>
      <sheetName val="P_M_별3"/>
      <sheetName val="7__매출_투입_취하2"/>
      <sheetName val="개시대사_(2)2"/>
      <sheetName val="계측_내역서1"/>
      <sheetName val="Sheet_11"/>
      <sheetName val="준검_내역서1"/>
      <sheetName val="Regenerator__Concrete_Structur1"/>
      <sheetName val="member_design"/>
      <sheetName val="design_criteria"/>
      <sheetName val="working_load_at_the_btm_ft_"/>
      <sheetName val="plan&amp;section_of_foundation"/>
      <sheetName val="soil_bearing_check"/>
      <sheetName val="단면_(2)"/>
      <sheetName val="SPT_vs_PHI"/>
      <sheetName val="BID"/>
      <sheetName val="Cover Daf_2"/>
      <sheetName val="품의"/>
      <sheetName val="회사99"/>
      <sheetName val="ITB_COST"/>
      <sheetName val="4.2.1 마루높이 검토"/>
      <sheetName val="매출계획"/>
      <sheetName val="SOS_PLC &amp; Panel"/>
      <sheetName val="판매"/>
      <sheetName val="GAEYO"/>
      <sheetName val="음료실행"/>
      <sheetName val="PRO_A"/>
      <sheetName val="ELEC_MCI"/>
      <sheetName val="INST_MCI"/>
      <sheetName val="MECH_MCI"/>
      <sheetName val="PRO"/>
      <sheetName val="L V Separator"/>
      <sheetName val="TACE"/>
      <sheetName val="토지조서(원본)"/>
      <sheetName val="CALCULATION"/>
      <sheetName val="현장지지물물량"/>
      <sheetName val="일위대가"/>
      <sheetName val="9_Material Rates"/>
      <sheetName val="1_References"/>
      <sheetName val="구매요청서 2차"/>
      <sheetName val="월별수입"/>
      <sheetName val="영동(D)"/>
      <sheetName val="생산액data"/>
      <sheetName val="SM1-09"/>
      <sheetName val="SM2-09"/>
      <sheetName val="MT-09"/>
      <sheetName val="Sheet2"/>
      <sheetName val="FC-101"/>
      <sheetName val="EDS고정비"/>
      <sheetName val="프랜트면허"/>
      <sheetName val="當期시산표(결재)"/>
      <sheetName val="시산표"/>
      <sheetName val="B767"/>
      <sheetName val="제출계산서"/>
      <sheetName val="안정검토"/>
      <sheetName val="SPEC"/>
      <sheetName val="FLANGE"/>
      <sheetName val="VALVE"/>
      <sheetName val="시가지우회도로공내역서"/>
      <sheetName val="arch-derivation"/>
      <sheetName val="Insulation_Utl_Off"/>
      <sheetName val="Note_Piping"/>
      <sheetName val="INPUT DATA"/>
      <sheetName val="수주실적0709"/>
      <sheetName val="영업2"/>
      <sheetName val="영업3"/>
      <sheetName val="Eng_Hrs (HO)"/>
      <sheetName val="일위(PN)"/>
      <sheetName val=" ｹ-ﾌﾞﾙ"/>
      <sheetName val="원가"/>
      <sheetName val="97_사업추정(WEKI)4"/>
      <sheetName val="P_M_별4"/>
      <sheetName val="7__매출_투입_취하3"/>
      <sheetName val="개시대사_(2)3"/>
      <sheetName val="계측_내역서2"/>
      <sheetName val="Sheet_12"/>
      <sheetName val="준검_내역서2"/>
      <sheetName val="Regenerator__Concrete_Structur2"/>
      <sheetName val="member_design1"/>
      <sheetName val="design_criteria1"/>
      <sheetName val="working_load_at_the_btm_ft_1"/>
      <sheetName val="plan&amp;section_of_foundation1"/>
      <sheetName val="SPT_vs_PHI1"/>
      <sheetName val="soil_bearing_check1"/>
      <sheetName val="단면_(2)1"/>
      <sheetName val="ITB_COST1"/>
      <sheetName val="OCT_FDN"/>
      <sheetName val="설산1_나"/>
      <sheetName val="업무분장_"/>
      <sheetName val="Cover_Daf_2"/>
      <sheetName val="SOS_PLC_&amp;_Panel"/>
      <sheetName val="4_2_1_마루높이_검토"/>
      <sheetName val="L_V_Separator"/>
      <sheetName val="97_사업추정(WEKI)5"/>
      <sheetName val="P_M_별5"/>
      <sheetName val="7__매출_투입_취하4"/>
      <sheetName val="개시대사_(2)4"/>
      <sheetName val="계측_내역서3"/>
      <sheetName val="Sheet_13"/>
      <sheetName val="준검_내역서3"/>
      <sheetName val="Regenerator__Concrete_Structur3"/>
      <sheetName val="member_design2"/>
      <sheetName val="design_criteria2"/>
      <sheetName val="working_load_at_the_btm_ft_2"/>
      <sheetName val="plan&amp;section_of_foundation2"/>
      <sheetName val="SPT_vs_PHI2"/>
      <sheetName val="soil_bearing_check2"/>
      <sheetName val="단면_(2)2"/>
      <sheetName val="ITB_COST2"/>
      <sheetName val="OCT_FDN1"/>
      <sheetName val="설산1_나1"/>
      <sheetName val="업무분장_1"/>
      <sheetName val="Cover_Daf_21"/>
      <sheetName val="SOS_PLC_&amp;_Panel1"/>
      <sheetName val="4_2_1_마루높이_검토1"/>
      <sheetName val="L_V_Separator1"/>
      <sheetName val="sow"/>
      <sheetName val="Bid Summary"/>
      <sheetName val="eq_data"/>
      <sheetName val="산출근거#2-3"/>
      <sheetName val="인원계획"/>
      <sheetName val="choose"/>
      <sheetName val="BLDG_DCI"/>
      <sheetName val="BLDG_MCI"/>
      <sheetName val="HX"/>
      <sheetName val="생산실적"/>
      <sheetName val="WIP"/>
      <sheetName val="품셈TABLE"/>
      <sheetName val="시설이용권명세서"/>
      <sheetName val="토공사"/>
      <sheetName val="COV"/>
      <sheetName val="TOTAL"/>
      <sheetName val="Lists"/>
      <sheetName val="石炭性状"/>
      <sheetName val="Inputs"/>
      <sheetName val="Eng_Hrs_(HO)"/>
      <sheetName val="Bid_Summary"/>
      <sheetName val="9_Material_Rates"/>
      <sheetName val="구매요청서_2차"/>
      <sheetName val="U-TYPE(1)"/>
      <sheetName val="Basic Data"/>
      <sheetName val="Calculation Cover Sheet"/>
      <sheetName val="单价分析表2"/>
      <sheetName val="MECHANICAL（水处理厂2)"/>
      <sheetName val="현금흐름"/>
      <sheetName val="유림콘도"/>
      <sheetName val="건축내역"/>
      <sheetName val="Grunddaten"/>
      <sheetName val="Produktdaten"/>
      <sheetName val="평균터파기고(1-2,ASP)"/>
      <sheetName val="CBD"/>
      <sheetName val="실행내역"/>
      <sheetName val="손익계산서(管理)"/>
      <sheetName val="Pipe and Shell"/>
      <sheetName val="Nozzle"/>
      <sheetName val="BQ AC - JATAKE II"/>
      <sheetName val="CASE A1 CPP"/>
      <sheetName val="DTCT"/>
      <sheetName val="plumbing"/>
      <sheetName val="Ex_Rate"/>
      <sheetName val="CIP_USD"/>
      <sheetName val="SUMMFA-USD"/>
      <sheetName val="Investment"/>
      <sheetName val="A3_USD_PL02"/>
      <sheetName val="ShareCapital"/>
      <sheetName val="Inventories"/>
      <sheetName val="CL-Cr-Process"/>
      <sheetName val="Div2"/>
      <sheetName val="골조시행"/>
      <sheetName val="매출 (3)"/>
      <sheetName val="RING WALL"/>
      <sheetName val="LEGEND i"/>
      <sheetName val="DATE"/>
      <sheetName val="중기일위대가"/>
      <sheetName val="노임단가"/>
      <sheetName val="Analisa"/>
      <sheetName val="4-Basic Price"/>
      <sheetName val="BAG_2"/>
      <sheetName val="H_S_BAHAN"/>
      <sheetName val="terbilang"/>
      <sheetName val="H.BAHAN"/>
      <sheetName val="DATA PROYEK"/>
      <sheetName val="4"/>
      <sheetName val="D.UPH&amp;PEK"/>
      <sheetName val="4.Footing Design"/>
      <sheetName val="2.Load Calculation"/>
      <sheetName val="3.Check For Stability"/>
      <sheetName val="SKETCH"/>
      <sheetName val="boq"/>
      <sheetName val="VA_code"/>
      <sheetName val="조명시설"/>
      <sheetName val="수식변수"/>
      <sheetName val="查询"/>
      <sheetName val="P2-Project Data"/>
      <sheetName val="배수통관(좌)"/>
      <sheetName val="배수내역"/>
      <sheetName val="증감내역서"/>
      <sheetName val="실행철강하도"/>
      <sheetName val="수량산출"/>
      <sheetName val="금융비용"/>
      <sheetName val="Ball"/>
      <sheetName val="공통가설"/>
      <sheetName val="실행예산-변경분"/>
      <sheetName val="주현(해보)"/>
      <sheetName val="주현(영광)"/>
      <sheetName val="현황"/>
      <sheetName val="ABUT수량-A1"/>
      <sheetName val="BBM-03"/>
      <sheetName val="Material"/>
      <sheetName val="BQ (1)"/>
      <sheetName val="INPUT DATAS"/>
      <sheetName val="insulation"/>
      <sheetName val="EPF NO"/>
      <sheetName val="수로교총재료집계"/>
      <sheetName val="worksheet"/>
      <sheetName val="RC Tabulation"/>
      <sheetName val="Dir-Conc "/>
      <sheetName val="RC_Tabulation"/>
      <sheetName val="Dir-Conc_"/>
      <sheetName val="pricing"/>
      <sheetName val="Old"/>
      <sheetName val="pricelist 1"/>
      <sheetName val="Division 3000"/>
      <sheetName val="Tower 1 "/>
      <sheetName val="산출기준(파견전산실)"/>
      <sheetName val="Pengalaman Per"/>
      <sheetName val="Fill this out first___"/>
      <sheetName val="Data"/>
      <sheetName val="PPH21"/>
      <sheetName val="REFERENSI"/>
      <sheetName val="RAB"/>
      <sheetName val="견적서"/>
      <sheetName val="관급"/>
      <sheetName val="시중노임단가"/>
      <sheetName val="정렬"/>
      <sheetName val="전신환매도율"/>
      <sheetName val="공사개요"/>
      <sheetName val="PriceSummary"/>
      <sheetName val="97_사업추정(WEKI)6"/>
      <sheetName val="P_M_별6"/>
      <sheetName val="7__매출_투입_취하5"/>
      <sheetName val="개시대사_(2)5"/>
      <sheetName val="준검_내역서4"/>
      <sheetName val="계측_내역서4"/>
      <sheetName val="Sheet_14"/>
      <sheetName val="member_design3"/>
      <sheetName val="design_criteria3"/>
      <sheetName val="working_load_at_the_btm_ft_3"/>
      <sheetName val="plan&amp;section_of_foundation3"/>
      <sheetName val="Regenerator__Concrete_Structur4"/>
      <sheetName val="SPT_vs_PHI3"/>
      <sheetName val="soil_bearing_check3"/>
      <sheetName val="단면_(2)3"/>
      <sheetName val="ITB_COST3"/>
      <sheetName val="OCT_FDN2"/>
      <sheetName val="설산1_나2"/>
      <sheetName val="Cover_Daf_22"/>
      <sheetName val="업무분장_2"/>
      <sheetName val="SOS_PLC_&amp;_Panel2"/>
      <sheetName val="L_V_Separator2"/>
      <sheetName val="4_2_1_마루높이_검토2"/>
      <sheetName val="Eng_Hrs_(HO)1"/>
      <sheetName val="9_Material_Rates1"/>
      <sheetName val="Bid_Summary1"/>
      <sheetName val="구매요청서_2차1"/>
      <sheetName val="INPUT_DATA"/>
      <sheetName val="_ｹ-ﾌﾞﾙ"/>
      <sheetName val="일위대가표"/>
      <sheetName val="ﾄﾞﾊﾞｲFUEL GAS追見"/>
      <sheetName val="UPA(Part C,D,E,G,H)"/>
      <sheetName val="UPA(Part F)"/>
      <sheetName val="Materials"/>
      <sheetName val="일위대가 (Part C,D,E,G,H)"/>
      <sheetName val="GAE8'97"/>
      <sheetName val="94D"/>
      <sheetName val="95D"/>
      <sheetName val="공통비총괄표"/>
      <sheetName val="Assumptions"/>
      <sheetName val="List"/>
      <sheetName val="GAJI"/>
      <sheetName val="Rooms"/>
      <sheetName val="11 Hanwha add Oct"/>
      <sheetName val="COVER-P"/>
      <sheetName val="det"/>
      <sheetName val="deriv"/>
      <sheetName val="Sched of Rates"/>
      <sheetName val="RATES G-5"/>
      <sheetName val="RSB_RATIO"/>
      <sheetName val="05. VO Log (Master Data)"/>
      <sheetName val="Rebars"/>
      <sheetName val="float&amp;bear"/>
      <sheetName val="Kfracture"/>
      <sheetName val="Eq. Mobilization"/>
      <sheetName val="DESBAST"/>
      <sheetName val="마감물량"/>
      <sheetName val="차액보증"/>
      <sheetName val="Personnel"/>
      <sheetName val="MANHOLE"/>
      <sheetName val="チューブ仕様"/>
      <sheetName val="6PILE  (돌출)"/>
      <sheetName val="A"/>
      <sheetName val="RefG"/>
      <sheetName val="IRR sponsor"/>
      <sheetName val="D-3109"/>
      <sheetName val="U_A Input"/>
      <sheetName val="tabulation of deductions"/>
      <sheetName val="보온자재단가표"/>
      <sheetName val="RecoveredExternalLink1"/>
      <sheetName val="Equipment"/>
      <sheetName val="Labor"/>
      <sheetName val="4-Lane bridge"/>
      <sheetName val="Arch"/>
      <sheetName val="BOQp4"/>
      <sheetName val="EPS Chart_CRNv2"/>
      <sheetName val="유림골조"/>
      <sheetName val="EQUIP LIST"/>
      <sheetName val="협조전"/>
      <sheetName val="Z"/>
      <sheetName val="Cash2"/>
      <sheetName val="금액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9-1차이내역"/>
      <sheetName val="수입"/>
      <sheetName val="INPUT DATA"/>
      <sheetName val="인원계획"/>
      <sheetName val="PRO_DCI"/>
      <sheetName val="INST_DCI"/>
      <sheetName val="HVAC_DCI"/>
      <sheetName val="PIPE_DCI"/>
      <sheetName val="영업소실적"/>
      <sheetName val="세금자료"/>
      <sheetName val="요약배부"/>
      <sheetName val="주관사업"/>
      <sheetName val="eq_data"/>
      <sheetName val="VC2 8.98"/>
      <sheetName val="Summary Sheets"/>
      <sheetName val="경제지표"/>
      <sheetName val="summ"/>
      <sheetName val="h-013211-2"/>
      <sheetName val="97 사업추정(WEKI)"/>
      <sheetName val="계약고변"/>
      <sheetName val="선투입재고 "/>
      <sheetName val="상반기 실적추정 총괄표 (2)"/>
      <sheetName val="상반기 실적추정 총괄표"/>
      <sheetName val="손익차상반기총괄"/>
      <sheetName val="설계명세서"/>
      <sheetName val="전기"/>
      <sheetName val="결산실적01"/>
      <sheetName val="변경품셈총괄"/>
      <sheetName val="사업추정"/>
      <sheetName val="일위대가"/>
      <sheetName val="단가대비표"/>
      <sheetName val="#REF"/>
      <sheetName val="노임단가"/>
      <sheetName val="수목데이타 "/>
      <sheetName val="견적"/>
      <sheetName val="간접비 총괄표"/>
      <sheetName val="안전장치"/>
      <sheetName val="실행내역 "/>
      <sheetName val="매각(6)"/>
      <sheetName val="집계표"/>
      <sheetName val="수량산출"/>
      <sheetName val="TT 매입율"/>
      <sheetName val="Sheet1"/>
      <sheetName val="부표총괄"/>
      <sheetName val="현장배치"/>
      <sheetName val="BOJUNGGM"/>
      <sheetName val="기성수금(단단위)"/>
      <sheetName val="원가매출(단단위)"/>
      <sheetName val="현장"/>
      <sheetName val="첨부1"/>
      <sheetName val="원가계산서(남측)"/>
      <sheetName val="1-11조직표"/>
      <sheetName val="금액결정"/>
      <sheetName val="총괄내역서"/>
      <sheetName val="남대문빌딩"/>
      <sheetName val="DATE"/>
      <sheetName val="개시전표"/>
      <sheetName val="공사집계"/>
      <sheetName val="1_11조직표"/>
      <sheetName val="Sheet4"/>
      <sheetName val="등급"/>
      <sheetName val="당초"/>
      <sheetName val="손익차9월2"/>
      <sheetName val="SIMULATION"/>
      <sheetName val="단가비교(TOTAL)"/>
      <sheetName val="실행대비"/>
      <sheetName val="공문"/>
      <sheetName val="소화실적"/>
      <sheetName val="산수배수"/>
      <sheetName val="자료"/>
      <sheetName val="유림골조"/>
      <sheetName val="대비"/>
      <sheetName val="직노"/>
      <sheetName val="설계예시"/>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 val="단가표"/>
      <sheetName val="INSTR"/>
      <sheetName val="MANHOLE"/>
      <sheetName val="95삼성급(본사)"/>
      <sheetName val="기준"/>
      <sheetName val="Basic"/>
      <sheetName val="inter"/>
      <sheetName val="sum3"/>
      <sheetName val="Cover"/>
      <sheetName val="제경비"/>
      <sheetName val="금액내역서"/>
      <sheetName val="Sheet2"/>
      <sheetName val="갑지"/>
      <sheetName val="산근"/>
      <sheetName val="사업부배부A"/>
      <sheetName val="97_사업추정(WEKI)"/>
      <sheetName val="노임9월"/>
      <sheetName val="노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97 사업추정_WEKI_"/>
      <sheetName val="상반기손익차2총괄"/>
      <sheetName val="1-11조직표"/>
      <sheetName val="수입"/>
      <sheetName val="손익차9월2"/>
      <sheetName val="시행예산"/>
      <sheetName val="RCF CLAIMED"/>
      <sheetName val="9-1차이내역"/>
      <sheetName val="전기"/>
      <sheetName val="환율"/>
      <sheetName val="Info"/>
      <sheetName val="회사99"/>
      <sheetName val="정부노임단가"/>
      <sheetName val="97 »ç¾÷ÃßÁ¤(WEKI)"/>
      <sheetName val="사업부배부A"/>
      <sheetName val="Sheet5"/>
      <sheetName val="영업소실적"/>
      <sheetName val="소화실적"/>
      <sheetName val="unit 4"/>
      <sheetName val="J直材4"/>
      <sheetName val="N賃率-職"/>
      <sheetName val="청산공사"/>
      <sheetName val="Sheet2"/>
      <sheetName val="#REF"/>
      <sheetName val="PumpSpec"/>
      <sheetName val="Sheet4"/>
      <sheetName val="EACT10"/>
      <sheetName val="일위대가"/>
      <sheetName val="직노"/>
      <sheetName val="수량집계"/>
      <sheetName val="총괄집계표"/>
      <sheetName val="97SAUPCU"/>
      <sheetName val="Expat Conditions"/>
      <sheetName val="투찰가"/>
      <sheetName val="eq_data"/>
      <sheetName val="97 ????(WEKI)"/>
      <sheetName val="현금"/>
      <sheetName val="fitting"/>
      <sheetName val="VENDOR LIST"/>
      <sheetName val="공통비"/>
      <sheetName val="Total"/>
      <sheetName val="단면가정"/>
      <sheetName val="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9월2"/>
      <sheetName val="97 사업추정(WEKI)"/>
      <sheetName val="eq_data"/>
      <sheetName val="인원계획"/>
      <sheetName val="수입"/>
      <sheetName val="9-1차이내역"/>
      <sheetName val="주관사업"/>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 val="MOKDONG(1)"/>
      <sheetName val="회사99"/>
      <sheetName val="9-1차이내역"/>
      <sheetName val="손익차9월2"/>
      <sheetName val="Sheet1"/>
      <sheetName val="공문"/>
      <sheetName val="97 사업추정(WEKI)"/>
      <sheetName val="손익차총괄2"/>
      <sheetName val="공통"/>
      <sheetName val="공통비총괄표"/>
      <sheetName val="Sheet2"/>
      <sheetName val="삭제금지단가"/>
      <sheetName val="P.M 별"/>
      <sheetName val="95삼성급(본사)"/>
      <sheetName val="95년12월말"/>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새마을금고"/>
      <sheetName val="Module1"/>
      <sheetName val="참고인원"/>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유림골조"/>
      <sheetName val="合成単価作成表-BLDG"/>
      <sheetName val="집계표(OPTION)"/>
      <sheetName val="정산표2"/>
      <sheetName val="정산표"/>
      <sheetName val="와동25-3(변경)"/>
      <sheetName val="상반기손익차2총괄"/>
      <sheetName val="부안일위"/>
      <sheetName val="2003_02월수금계획"/>
      <sheetName val="Piping_Design_Data"/>
      <sheetName val="97_사업추정(WEKI)"/>
      <sheetName val="P_M_별"/>
      <sheetName val="일위_파일"/>
      <sheetName val="M-EQPT-Z"/>
      <sheetName val="소화실적"/>
      <sheetName val="집계표"/>
      <sheetName val="개시대사 (2)"/>
      <sheetName val="보증금(전신전화가입권)"/>
      <sheetName val="RCF CLAIMED"/>
      <sheetName val="Equipment (5)"/>
      <sheetName val="KP1590_E"/>
      <sheetName val="JOB Assign"/>
      <sheetName val="#REF"/>
      <sheetName val="입찰안"/>
      <sheetName val="현금"/>
      <sheetName val="예가표"/>
      <sheetName val="INPUT DATA"/>
      <sheetName val="B"/>
      <sheetName val="Total"/>
      <sheetName val="Customer Databas"/>
      <sheetName val="EACT10"/>
      <sheetName val="가격조사서"/>
      <sheetName val="금액내역서"/>
      <sheetName val="내역서"/>
      <sheetName val="원가계산서"/>
      <sheetName val="Peralatan (2)"/>
      <sheetName val="건축"/>
      <sheetName val="Doha WBS Clean"/>
      <sheetName val="적용대가"/>
      <sheetName val="공사비PK5월"/>
      <sheetName val="DCS"/>
      <sheetName val="ANALYSER"/>
      <sheetName val="3.바닥판설계"/>
      <sheetName val="주형"/>
      <sheetName val="토사(PE)"/>
      <sheetName val="인원계획"/>
      <sheetName val="사업부배부A"/>
      <sheetName val="eq_data"/>
      <sheetName val="카메라"/>
      <sheetName val="제작비추산총괄표"/>
      <sheetName val="물가자료"/>
      <sheetName val="new급여T(4을-운전)"/>
      <sheetName val="총괄표"/>
      <sheetName val="구의33고"/>
      <sheetName val="BATCH"/>
      <sheetName val="Sheet3"/>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Sheet11"/>
      <sheetName val="약품설비"/>
      <sheetName val="정부노임단가"/>
      <sheetName val="직S"/>
      <sheetName val="예산M2"/>
      <sheetName val="예산M12A"/>
      <sheetName val="공통가설"/>
      <sheetName val="CB"/>
      <sheetName val="노무비단가"/>
      <sheetName val="cable-data"/>
      <sheetName val="수안보-MBR1"/>
      <sheetName val="평균인원"/>
      <sheetName val="산출서"/>
      <sheetName val="간접"/>
      <sheetName val="전기혼잡제경비(45)"/>
      <sheetName val="6PILE  (돌출)"/>
      <sheetName val="95하U$가격"/>
      <sheetName val="건설성적"/>
      <sheetName val="1월"/>
      <sheetName val="터널조도"/>
      <sheetName val="년말집계"/>
      <sheetName val="OD5000"/>
      <sheetName val="WIND"/>
      <sheetName val="DATE"/>
      <sheetName val="COMPRESSOR"/>
      <sheetName val="배수공 주요자재 집계표"/>
      <sheetName val="WIND-EQ"/>
      <sheetName val="HORI. VESSEL"/>
      <sheetName val="CBE-VSL"/>
      <sheetName val="TTL"/>
      <sheetName val="공정회의자료(월요일 10시까지)"/>
      <sheetName val="수주추정"/>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지사인원사무실"/>
      <sheetName val="적용토목"/>
      <sheetName val="평자재단가"/>
      <sheetName val="Summary Sheets"/>
      <sheetName val="B31.1"/>
      <sheetName val="PSIZE"/>
      <sheetName val="청산공사"/>
      <sheetName val="10현장조직"/>
      <sheetName val="협력업체전기요금"/>
      <sheetName val="COVER-P"/>
      <sheetName val="WORKER"/>
      <sheetName val="하조서"/>
      <sheetName val="sum"/>
      <sheetName val="토적계산"/>
      <sheetName val="표지"/>
      <sheetName val="96 능제취입"/>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새공통"/>
      <sheetName val="수문일1"/>
      <sheetName val="일위대가"/>
      <sheetName val="돈"/>
      <sheetName val="기본단가"/>
      <sheetName val="신대방33(적용)"/>
      <sheetName val="수주실적0709"/>
      <sheetName val="실행철강하도"/>
      <sheetName val="1차배부(JB포함)"/>
      <sheetName val="마케팅"/>
      <sheetName val="9GNG운반"/>
      <sheetName val="경비공통"/>
      <sheetName val="VXXXXX"/>
      <sheetName val="도급"/>
      <sheetName val="BLIND FLANGE"/>
      <sheetName val="CAP"/>
      <sheetName val="ELBOW"/>
      <sheetName val="FLANGE"/>
      <sheetName val="PIPE NPS OD"/>
      <sheetName val="OLET"/>
      <sheetName val="REDUCER"/>
      <sheetName val="TEE"/>
      <sheetName val="공사비 내역 (가)"/>
      <sheetName val="INPUT DATA OF SCHEDULE"/>
      <sheetName val="2003_02월수금계획2"/>
      <sheetName val="Piping_Design_Data2"/>
      <sheetName val="97_사업추정(WEKI)2"/>
      <sheetName val="P_M_별2"/>
      <sheetName val="계정보고_(2)1"/>
      <sheetName val="요약배부_(보고)1"/>
      <sheetName val="요약배부_(보고)_(2)1"/>
      <sheetName val="기타매출_(2)1"/>
      <sheetName val="기타매출_(3)1"/>
      <sheetName val="개시대사_(2)1"/>
      <sheetName val="RCF_CLAIMED1"/>
      <sheetName val="BOROUGE2"/>
      <sheetName val="현대본사"/>
      <sheetName val="재료율"/>
      <sheetName val="제출내역 (2)"/>
      <sheetName val="직원동원SCH"/>
      <sheetName val="세금자료"/>
      <sheetName val="경제지표"/>
      <sheetName val="실적"/>
      <sheetName val="공통부대비"/>
      <sheetName val="99년하반기"/>
      <sheetName val="공사비내역"/>
      <sheetName val="차량별점검"/>
      <sheetName val="토목"/>
      <sheetName val="한화건설"/>
      <sheetName val="실행내역"/>
      <sheetName val="경상"/>
      <sheetName val="Sheet6"/>
      <sheetName val="BQ"/>
      <sheetName val="IMP(MAIN)"/>
      <sheetName val="IMP (REACTOR)"/>
      <sheetName val="Equipment_(5)1"/>
      <sheetName val="JOB_Assign1"/>
      <sheetName val="INPUT_DATA1"/>
      <sheetName val="Customer_Databas1"/>
      <sheetName val="Doha_WBS_Clean1"/>
      <sheetName val="3_바닥판설계1"/>
      <sheetName val="Peralatan_(2)1"/>
      <sheetName val="6PILE__(돌출)"/>
      <sheetName val="BLIND_FLANGE"/>
      <sheetName val="PIPE_NPS_OD"/>
      <sheetName val="설_계"/>
      <sheetName val="15_도급예산대비표"/>
      <sheetName val="Summary_Sheets"/>
      <sheetName val="B31_1"/>
      <sheetName val="8"/>
      <sheetName val="10"/>
      <sheetName val="12"/>
      <sheetName val="9"/>
      <sheetName val="11"/>
      <sheetName val="2"/>
      <sheetName val="내역표지"/>
      <sheetName val="VV보온LINK"/>
      <sheetName val="FIT보온LINK"/>
      <sheetName val="간접비 총괄표"/>
      <sheetName val="IT-BAT"/>
      <sheetName val="ysn"/>
      <sheetName val="갑지"/>
      <sheetName val="lab"/>
      <sheetName val="Weld, NDE (Pipe)"/>
      <sheetName val="ANX3A65"/>
      <sheetName val="할증 "/>
      <sheetName val="D-623D"/>
      <sheetName val="총괄-1"/>
      <sheetName val="CAT_5"/>
      <sheetName val="W42  "/>
      <sheetName val="NYS"/>
      <sheetName val="Regenerator  Concrete Structure"/>
      <sheetName val="96_능제취입"/>
      <sheetName val="PRO_A"/>
      <sheetName val="ELEC_MCI"/>
      <sheetName val="MAIN"/>
      <sheetName val="INST_MCI"/>
      <sheetName val="MECH_MCI"/>
      <sheetName val="PRO"/>
      <sheetName val="평3"/>
      <sheetName val="사급자재"/>
      <sheetName val="적용단가"/>
      <sheetName val="Malaysia incl. RET"/>
      <sheetName val="직노"/>
      <sheetName val="저"/>
      <sheetName val="수성페인트도장 내역서"/>
      <sheetName val="인건-측정"/>
      <sheetName val="자재단가"/>
      <sheetName val="Sheet5"/>
      <sheetName val="1.취수장"/>
      <sheetName val="토공사"/>
      <sheetName val="단가"/>
      <sheetName val="기초자료입력및 K치 확인"/>
      <sheetName val="재료"/>
      <sheetName val="내역_ver1.0"/>
      <sheetName val="내역서1"/>
      <sheetName val="교각1"/>
      <sheetName val="토목주소"/>
      <sheetName val="프랜트면허"/>
      <sheetName val="예산M6-B"/>
      <sheetName val="견적대비"/>
      <sheetName val="기안"/>
      <sheetName val="을"/>
      <sheetName val=" 냉각수펌프"/>
      <sheetName val="공조기휀"/>
      <sheetName val="AHU집계"/>
      <sheetName val="5사남"/>
      <sheetName val="기계내역"/>
      <sheetName val="FWBS7000,8000"/>
      <sheetName val="대전-교대(A1-A2)"/>
      <sheetName val="포장공"/>
      <sheetName val="변동률산출"/>
      <sheetName val="tcm_bq_MH"/>
      <sheetName val="982월원안"/>
      <sheetName val="견적단가"/>
      <sheetName val="DWG"/>
      <sheetName val="ELEC_DCI"/>
      <sheetName val="INST_DCI"/>
      <sheetName val=""/>
      <sheetName val="BLDG_DCI"/>
      <sheetName val="BLDG_MCI"/>
      <sheetName val="TOT-SUM"/>
      <sheetName val="Manmonth(입력)"/>
      <sheetName val="list"/>
      <sheetName val="BREAKDOWN(철거설치)"/>
      <sheetName val="PRO_DCI"/>
      <sheetName val="HVAC_DCI"/>
      <sheetName val="PIPE_DCI"/>
      <sheetName val="신표지1"/>
      <sheetName val="INPUT"/>
      <sheetName val="용소리교"/>
      <sheetName val="ACUNIT"/>
      <sheetName val="구조물공"/>
      <sheetName val="주beam"/>
      <sheetName val="VENDOR LIST"/>
      <sheetName val="선수금반제"/>
      <sheetName val="지사인원"/>
      <sheetName val="Basic"/>
      <sheetName val="기계"/>
      <sheetName val="토량산출서"/>
      <sheetName val="입찰보고"/>
      <sheetName val="산근터빈"/>
      <sheetName val="FAB별"/>
      <sheetName val="6호기"/>
      <sheetName val="평형공사비"/>
      <sheetName val="2.대외공문"/>
      <sheetName val="MEED"/>
      <sheetName val="¼ÕÀÍÂ÷9¿ù2"/>
      <sheetName val="견적서"/>
      <sheetName val="97 사업추정_WEKI_"/>
      <sheetName val="jobhist"/>
      <sheetName val="97"/>
      <sheetName val="General Data"/>
      <sheetName val="EQUIP"/>
      <sheetName val="무전표"/>
      <sheetName val="입찰"/>
      <sheetName val="현경"/>
      <sheetName val="식재인부"/>
      <sheetName val="경비2내역"/>
      <sheetName val="CAL(1)."/>
      <sheetName val="뜃맟뭁돽띿맟?-BLDG"/>
      <sheetName val="시공집계"/>
      <sheetName val="산출근거#2-3"/>
      <sheetName val="공사설계서"/>
      <sheetName val="공통비"/>
      <sheetName val="XL4Poppy"/>
      <sheetName val=" "/>
      <sheetName val="N賃率-職"/>
      <sheetName val="지급자재"/>
      <sheetName val="Cash"/>
      <sheetName val="금리계산"/>
      <sheetName val="단가산출"/>
      <sheetName val="토 적 표"/>
      <sheetName val="월별인건비현황"/>
      <sheetName val="data"/>
      <sheetName val="내역"/>
      <sheetName val="GAEYO"/>
      <sheetName val="음료실행"/>
      <sheetName val="시설물일위"/>
      <sheetName val="금액"/>
      <sheetName val="노임"/>
      <sheetName val="L V Separator"/>
      <sheetName val="2공구산출내역"/>
      <sheetName val="부대내역"/>
      <sheetName val="단가비교"/>
      <sheetName val="조경일람"/>
      <sheetName val="공정코드"/>
      <sheetName val="총괄집계 "/>
      <sheetName val="부속동"/>
      <sheetName val="배수내역 (2)"/>
      <sheetName val="BLR-S"/>
      <sheetName val="공정산출"/>
      <sheetName val="참고1"/>
      <sheetName val="insulation"/>
      <sheetName val="PRICE-COMP"/>
      <sheetName val="할증_"/>
      <sheetName val="전기단가조사서"/>
      <sheetName val="TABLE-A"/>
      <sheetName val="품조정율(97-99)"/>
      <sheetName val="내역(전력)"/>
      <sheetName val="98수문일위"/>
      <sheetName val="Container항차정리"/>
      <sheetName val="외화금융(97-03)"/>
      <sheetName val="조정전"/>
      <sheetName val="P_M 별"/>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작성기준"/>
      <sheetName val="남양내역"/>
      <sheetName val="내역서(당초변경)"/>
      <sheetName val="점수계산1-2"/>
      <sheetName val="원가"/>
      <sheetName val="AS복구"/>
      <sheetName val="중기터파기"/>
      <sheetName val="변수값"/>
      <sheetName val="중기상차"/>
      <sheetName val="공사진행"/>
      <sheetName val="문학간접"/>
      <sheetName val="Proposal"/>
      <sheetName val="단위가격"/>
      <sheetName val="관급"/>
      <sheetName val="tjexcel"/>
      <sheetName val="Prices"/>
      <sheetName val="Y-MOV2011"/>
      <sheetName val="ÁÖ°ü»ç¾÷"/>
      <sheetName val="#13_Electrical"/>
      <sheetName val="뜃맟뭁돽띿맟_-BLDG"/>
      <sheetName val="MOTOR"/>
      <sheetName val="DPRKMHDT"/>
      <sheetName val="공사비예산서(토목분)"/>
      <sheetName val="TB-내역서"/>
      <sheetName val="MACRO(전선관)"/>
      <sheetName val="명세서"/>
      <sheetName val="Quantity"/>
      <sheetName val="info"/>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0고과평균 및 편차조정 (2)"/>
      <sheetName val="품셈1-26"/>
      <sheetName val="반포2차"/>
      <sheetName val="에너지동"/>
      <sheetName val="단가(LP)"/>
      <sheetName val="휴일check"/>
      <sheetName val="차액보증"/>
      <sheetName val="Code_Magics"/>
      <sheetName val="Code"/>
      <sheetName val="1련,2련"/>
      <sheetName val="변품8-37"/>
      <sheetName val="우수"/>
      <sheetName val="2003_02월수금계획3"/>
      <sheetName val="Piping_Design_Data3"/>
      <sheetName val="97_사업추정(WEKI)3"/>
      <sheetName val="P_M_별3"/>
      <sheetName val="개시대사_(2)2"/>
      <sheetName val="Equipment_(5)2"/>
      <sheetName val="RCF_CLAIMED2"/>
      <sheetName val="JOB_Assign2"/>
      <sheetName val="INPUT_DATA2"/>
      <sheetName val="Customer_Databas2"/>
      <sheetName val="Doha_WBS_Clean2"/>
      <sheetName val="Peralatan_(2)2"/>
      <sheetName val="3_바닥판설계2"/>
      <sheetName val="6PILE__(돌출)1"/>
      <sheetName val="BLIND_FLANGE1"/>
      <sheetName val="PIPE_NPS_OD1"/>
      <sheetName val="배수공_주요자재_집계표"/>
      <sheetName val="HORI__VESSEL"/>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공정회의자료(월요일_10시까지)"/>
      <sheetName val="공사비_내역_(가)"/>
      <sheetName val="INPUT_DATA_OF_SCHEDULE"/>
      <sheetName val="제출내역_(2)"/>
      <sheetName val="IMP_(REACTOR)"/>
      <sheetName val="Malaysia_incl__RET"/>
      <sheetName val="대차대조표"/>
      <sheetName val="적금및발행어음계산"/>
      <sheetName val="참고"/>
      <sheetName val="광통신 견적내역서1"/>
      <sheetName val="15"/>
      <sheetName val="노무비"/>
      <sheetName val="일위대가표"/>
      <sheetName val="처리목록"/>
      <sheetName val="BOLT"/>
      <sheetName val="Sheet17"/>
      <sheetName val="매체인지도분석"/>
      <sheetName val="Asset9809CAK"/>
      <sheetName val="경"/>
      <sheetName val="플랜트 설치"/>
      <sheetName val="sheet4"/>
      <sheetName val="LEGEND"/>
      <sheetName val="Control"/>
      <sheetName val="-15.0"/>
      <sheetName val="ANX3A11"/>
      <sheetName val="bolts"/>
      <sheetName val="매립"/>
      <sheetName val="Curves"/>
      <sheetName val="Tables"/>
      <sheetName val="설계내역서"/>
      <sheetName val="간선계산"/>
      <sheetName val="소상 &quot;1&quot;"/>
      <sheetName val="200"/>
      <sheetName val="B2BERP"/>
      <sheetName val="데이타"/>
      <sheetName val="신우"/>
      <sheetName val="6동"/>
      <sheetName val="Z- GENERAL PRICE SUMMARY"/>
      <sheetName val=" Estimate  "/>
      <sheetName val="제잡비"/>
      <sheetName val="??-BLDG"/>
      <sheetName val="설비"/>
      <sheetName val="공비대비"/>
      <sheetName val="BOX 본체"/>
      <sheetName val="입출재고현황 (2)"/>
      <sheetName val="날개벽"/>
      <sheetName val="예정(3)"/>
      <sheetName val="견적대비표"/>
      <sheetName val="포장복구집계"/>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환산매출"/>
      <sheetName val="해외 연수비용 계산-삭제"/>
      <sheetName val="해외 기술훈련비 (합계)"/>
      <sheetName val="마스터"/>
      <sheetName val="일반자료"/>
      <sheetName val="이름표"/>
      <sheetName val="회사정보"/>
      <sheetName val="guard(mac)"/>
      <sheetName val="F-1,2"/>
      <sheetName val="손익계산서(管理)"/>
      <sheetName val="Data_인원계획"/>
      <sheetName val="관계주식"/>
      <sheetName val="ITB COST"/>
      <sheetName val="DAF-2"/>
      <sheetName val="백분율"/>
      <sheetName val="DHEQSUPT"/>
      <sheetName val="간접비"/>
      <sheetName val="기기리스트"/>
      <sheetName val="영지실적"/>
      <sheetName val="교통대책내역"/>
      <sheetName val="인력정보"/>
      <sheetName val="data_dci"/>
      <sheetName val="data_mci"/>
      <sheetName val="behind"/>
      <sheetName val="TACE"/>
      <sheetName val="inter"/>
      <sheetName val="영동(D)"/>
      <sheetName val="부재치수입력"/>
      <sheetName val="노무산출서"/>
      <sheetName val="과천MAIN"/>
      <sheetName val="h-013211-2"/>
      <sheetName val="맨홀수량산출"/>
      <sheetName val="가감수량"/>
      <sheetName val="Process Piping"/>
      <sheetName val="현장지지물물량"/>
      <sheetName val="MIJIBI"/>
      <sheetName val="을지"/>
      <sheetName val="기계내역서"/>
      <sheetName val="2003_02월수금계획4"/>
      <sheetName val="Piping_Design_Data4"/>
      <sheetName val="97_사업추정(WEKI)4"/>
      <sheetName val="P_M_별4"/>
      <sheetName val="계정보고_(2)3"/>
      <sheetName val="요약배부_(보고)3"/>
      <sheetName val="요약배부_(보고)_(2)3"/>
      <sheetName val="기타매출_(2)3"/>
      <sheetName val="기타매출_(3)3"/>
      <sheetName val="개시대사_(2)3"/>
      <sheetName val="RCF_CLAIMED3"/>
      <sheetName val="Equipment_(5)3"/>
      <sheetName val="JOB_Assign3"/>
      <sheetName val="INPUT_DATA3"/>
      <sheetName val="Customer_Databas3"/>
      <sheetName val="Doha_WBS_Clean3"/>
      <sheetName val="Peralatan_(2)3"/>
      <sheetName val="3_바닥판설계3"/>
      <sheetName val="6PILE__(돌출)2"/>
      <sheetName val="설_계3"/>
      <sheetName val="15_도급예산대비표3"/>
      <sheetName val="Summary_Sheets3"/>
      <sheetName val="B31_13"/>
      <sheetName val="BLIND_FLANGE2"/>
      <sheetName val="PIPE_NPS_OD2"/>
      <sheetName val="공정회의자료(월요일_10시까지)1"/>
      <sheetName val="96_능제취입1"/>
      <sheetName val="7_4_1_A(input)1"/>
      <sheetName val="7_4_1(B)_BOQ_Breakdown1"/>
      <sheetName val="7_4_1_C(scope)1"/>
      <sheetName val="7_4_1_D(Basis)1"/>
      <sheetName val="7_4_1_E(allow)1"/>
      <sheetName val="7_4_2_A-Build(list)1"/>
      <sheetName val="7_4_3_B-BOQ-SUM1"/>
      <sheetName val="7_4_3(BOQ_각표지)1"/>
      <sheetName val="7_4_3_A(Shelter)1"/>
      <sheetName val="7_4_3_B(Module)1"/>
      <sheetName val="7_4_3_C(Shelter-FLB)1"/>
      <sheetName val="7_4_3_D(Brief_Spec_)1"/>
      <sheetName val="공사비_내역_(가)1"/>
      <sheetName val="INPUT_DATA_OF_SCHEDULE1"/>
      <sheetName val="배수공_주요자재_집계표1"/>
      <sheetName val="HORI__VESSEL1"/>
      <sheetName val="IMP_(REACTOR)1"/>
      <sheetName val="제출내역_(2)1"/>
      <sheetName val="W42__1"/>
      <sheetName val="간접비_총괄표"/>
      <sheetName val="Weld,_NDE_(Pipe)"/>
      <sheetName val="할증_1"/>
      <sheetName val="Malaysia_incl__RET1"/>
      <sheetName val="Regenerator__Concrete_Structure"/>
      <sheetName val="수성페인트도장_내역서"/>
      <sheetName val="1_취수장"/>
      <sheetName val="기초자료입력및_K치_확인"/>
      <sheetName val="내역_ver1_0"/>
      <sheetName val="_냉각수펌프"/>
      <sheetName val="97_사업추정_WEKI_"/>
      <sheetName val="VENDOR_LIST"/>
      <sheetName val="2_대외공문"/>
      <sheetName val="General_Data"/>
      <sheetName val="_"/>
      <sheetName val="토_적_표"/>
      <sheetName val="CAL(1)_"/>
      <sheetName val="총괄집계_"/>
      <sheetName val="배수내역_(2)"/>
      <sheetName val="P_M_별5"/>
      <sheetName val="L_V_Separator"/>
      <sheetName val="0고과평균_및_편차조정_(2)"/>
      <sheetName val="광통신_견적내역서1"/>
      <sheetName val="플랜트_설치"/>
      <sheetName val="소상_&quot;1&quot;"/>
      <sheetName val="-15_0"/>
      <sheetName val="Z-_GENERAL_PRICE_SUMMARY"/>
      <sheetName val="_Estimate__"/>
      <sheetName val="해외_연수비용_계산-삭제"/>
      <sheetName val="해외_기술훈련비_(합계)"/>
      <sheetName val="BOX_본체"/>
      <sheetName val="입출재고현황_(2)"/>
      <sheetName val="화재_탐지_설비"/>
      <sheetName val="ITB_COST"/>
      <sheetName val="G_R300경비"/>
      <sheetName val="AS포장복구_"/>
      <sheetName val="Sheet1_(2)"/>
      <sheetName val="2003_02월수금계획5"/>
      <sheetName val="Piping_Design_Data5"/>
      <sheetName val="97_사업추정(WEKI)5"/>
      <sheetName val="P_M_별6"/>
      <sheetName val="계정보고_(2)4"/>
      <sheetName val="요약배부_(보고)4"/>
      <sheetName val="요약배부_(보고)_(2)4"/>
      <sheetName val="기타매출_(2)4"/>
      <sheetName val="기타매출_(3)4"/>
      <sheetName val="개시대사_(2)4"/>
      <sheetName val="RCF_CLAIMED4"/>
      <sheetName val="Equipment_(5)4"/>
      <sheetName val="JOB_Assign4"/>
      <sheetName val="INPUT_DATA4"/>
      <sheetName val="Customer_Databas4"/>
      <sheetName val="Doha_WBS_Clean4"/>
      <sheetName val="Peralatan_(2)4"/>
      <sheetName val="3_바닥판설계4"/>
      <sheetName val="6PILE__(돌출)3"/>
      <sheetName val="설_계4"/>
      <sheetName val="15_도급예산대비표4"/>
      <sheetName val="Summary_Sheets4"/>
      <sheetName val="B31_14"/>
      <sheetName val="BLIND_FLANGE3"/>
      <sheetName val="PIPE_NPS_OD3"/>
      <sheetName val="공정회의자료(월요일_10시까지)2"/>
      <sheetName val="96_능제취입2"/>
      <sheetName val="7_4_1_A(input)2"/>
      <sheetName val="7_4_1(B)_BOQ_Breakdown2"/>
      <sheetName val="7_4_1_C(scope)2"/>
      <sheetName val="7_4_1_D(Basis)2"/>
      <sheetName val="7_4_1_E(allow)2"/>
      <sheetName val="7_4_2_A-Build(list)2"/>
      <sheetName val="7_4_3_B-BOQ-SUM2"/>
      <sheetName val="7_4_3(BOQ_각표지)2"/>
      <sheetName val="7_4_3_A(Shelter)2"/>
      <sheetName val="7_4_3_B(Module)2"/>
      <sheetName val="7_4_3_C(Shelter-FLB)2"/>
      <sheetName val="7_4_3_D(Brief_Spec_)2"/>
      <sheetName val="공사비_내역_(가)2"/>
      <sheetName val="INPUT_DATA_OF_SCHEDULE2"/>
      <sheetName val="배수공_주요자재_집계표2"/>
      <sheetName val="HORI__VESSEL2"/>
      <sheetName val="IMP_(REACTOR)2"/>
      <sheetName val="제출내역_(2)2"/>
      <sheetName val="W42__2"/>
      <sheetName val="간접비_총괄표1"/>
      <sheetName val="Weld,_NDE_(Pipe)1"/>
      <sheetName val="할증_2"/>
      <sheetName val="Malaysia_incl__RET2"/>
      <sheetName val="Regenerator__Concrete_Structur1"/>
      <sheetName val="수성페인트도장_내역서1"/>
      <sheetName val="1_취수장1"/>
      <sheetName val="기초자료입력및_K치_확인1"/>
      <sheetName val="내역_ver1_01"/>
      <sheetName val="_냉각수펌프1"/>
      <sheetName val="97_사업추정_WEKI_1"/>
      <sheetName val="VENDOR_LIST1"/>
      <sheetName val="2_대외공문1"/>
      <sheetName val="General_Data1"/>
      <sheetName val="_1"/>
      <sheetName val="토_적_표1"/>
      <sheetName val="CAL(1)_1"/>
      <sheetName val="총괄집계_1"/>
      <sheetName val="배수내역_(2)1"/>
      <sheetName val="P_M_별7"/>
      <sheetName val="L_V_Separator1"/>
      <sheetName val="0고과평균_및_편차조정_(2)1"/>
      <sheetName val="광통신_견적내역서11"/>
      <sheetName val="플랜트_설치1"/>
      <sheetName val="소상_&quot;1&quot;1"/>
      <sheetName val="-15_01"/>
      <sheetName val="Z-_GENERAL_PRICE_SUMMARY1"/>
      <sheetName val="_Estimate__1"/>
      <sheetName val="해외_연수비용_계산-삭제1"/>
      <sheetName val="해외_기술훈련비_(합계)1"/>
      <sheetName val="BOX_본체1"/>
      <sheetName val="입출재고현황_(2)1"/>
      <sheetName val="화재_탐지_설비1"/>
      <sheetName val="ITB_COST1"/>
      <sheetName val="G_R300경비1"/>
      <sheetName val="AS포장복구_1"/>
      <sheetName val="Sheet1_(2)1"/>
      <sheetName val="Steel-Main Work"/>
      <sheetName val="총괄"/>
      <sheetName val="라이닝보강"/>
      <sheetName val="LO"/>
      <sheetName val="CJI3"/>
      <sheetName val="말뚝지지력산정"/>
      <sheetName val="Du toan"/>
      <sheetName val="단면검토"/>
      <sheetName val="급식예산"/>
      <sheetName val="인명부"/>
      <sheetName val="자료"/>
      <sheetName val="BASIC (2)"/>
      <sheetName val="Eq. Mobilization"/>
      <sheetName val="공사개요"/>
      <sheetName val="EF &amp; PF"/>
      <sheetName val="재료집계"/>
      <sheetName val="별표 "/>
      <sheetName val="진주방향"/>
      <sheetName val="마산방향"/>
      <sheetName val="남양시작동자105노65기1.3화1.2"/>
      <sheetName val="TOT"/>
      <sheetName val="내역(자100%,노100%)기아화성UD동"/>
      <sheetName val="Resource"/>
      <sheetName val="Exrate"/>
      <sheetName val="DAF_2"/>
      <sheetName val="Bhn"/>
      <sheetName val="7.4.3.D(Brief Spᵥc.)"/>
      <sheetName val="Malaysia_incl__R౅T"/>
      <sheetName val="Z- GENERAL PRICEРSUMMARY"/>
      <sheetName val="SRC-B3U2"/>
      <sheetName val="RV미수수익보정"/>
      <sheetName val="불균등-거치외(미수)"/>
      <sheetName val="불균등-TOP(선수)"/>
      <sheetName val="일반경비"/>
      <sheetName val="발생집계"/>
      <sheetName val="협조전"/>
      <sheetName val="수량산출서 갑지"/>
      <sheetName val="3월"/>
      <sheetName val="NOMUBI"/>
      <sheetName val="재료비"/>
      <sheetName val="도근좌표"/>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DATA LISTS"/>
      <sheetName val="__-BLDG"/>
      <sheetName val="STD"/>
      <sheetName val="Soil Parameter"/>
      <sheetName val="보일러"/>
      <sheetName val="Config"/>
      <sheetName val="현황CODE"/>
      <sheetName val="손익현황"/>
      <sheetName val="6.3.2"/>
      <sheetName val="4.1구조설계"/>
      <sheetName val="DESIGN"/>
      <sheetName val="BM DATA SHEET"/>
      <sheetName val="Rates"/>
      <sheetName val="取费基准"/>
      <sheetName val="DRUM"/>
      <sheetName val="NPV"/>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산근"/>
      <sheetName val="D_AWG"/>
      <sheetName val="T_Cu_ASTM"/>
      <sheetName val="투입실적"/>
      <sheetName val="설계명세서"/>
      <sheetName val="지수적용공사비내역서"/>
      <sheetName val="3-1-12"/>
      <sheetName val="BT"/>
      <sheetName val="화물기"/>
      <sheetName val="Sub-Activity"/>
      <sheetName val="철거산출근거"/>
      <sheetName val="조명시설"/>
      <sheetName val="이자율"/>
      <sheetName val="증감내역서"/>
      <sheetName val="삼성전기"/>
      <sheetName val="PIPE"/>
      <sheetName val="VALVE"/>
      <sheetName val="대운산출"/>
      <sheetName val="NNV"/>
      <sheetName val="매입세율"/>
      <sheetName val="목표세부명세"/>
      <sheetName val="Large_ISO BOM"/>
      <sheetName val="안정계산"/>
      <sheetName val="범례"/>
      <sheetName val="암거공"/>
      <sheetName val="0226"/>
      <sheetName val="조직"/>
      <sheetName val="AILC004"/>
      <sheetName val="유림콘도"/>
      <sheetName val="갑지(추정)"/>
      <sheetName val="검색표"/>
      <sheetName val="20-25"/>
      <sheetName val="물량투입계획"/>
      <sheetName val="간접경상비"/>
      <sheetName val="건축내역"/>
      <sheetName val="부대단위수량"/>
      <sheetName val="물량산출(철콘)"/>
      <sheetName val="평균터파기고(1-2,ASP)"/>
      <sheetName val="토공"/>
      <sheetName val="참조"/>
      <sheetName val="투찰(하수)"/>
      <sheetName val="DPRKM_x0000__x0000__x0005_"/>
      <sheetName val="암거날개벽"/>
      <sheetName val="차수"/>
      <sheetName val="ARP2"/>
      <sheetName val="FJK_01"/>
      <sheetName val="예산서"/>
      <sheetName val="토지조서(원본)"/>
      <sheetName val="적점"/>
      <sheetName val="당진1,2호기전선관설치및접지4차공사내역서-을지"/>
      <sheetName val="특수선일위대가"/>
      <sheetName val="99총공사내역서"/>
      <sheetName val="배수통관(좌)"/>
      <sheetName val="날개벽수량표"/>
      <sheetName val="대포2교접속"/>
      <sheetName val="천방교접속"/>
      <sheetName val="화해(함평)"/>
      <sheetName val="화해(장성)"/>
      <sheetName val="FORM1"/>
      <sheetName val="FINISHING"/>
      <sheetName val="2003_02월수금계획6"/>
      <sheetName val="Piping_Design_Data6"/>
      <sheetName val="97_사업추정(WEKI)6"/>
      <sheetName val="P_M_별8"/>
      <sheetName val="계정보고_(2)5"/>
      <sheetName val="요약배부_(보고)5"/>
      <sheetName val="요약배부_(보고)_(2)5"/>
      <sheetName val="기타매출_(2)5"/>
      <sheetName val="기타매출_(3)5"/>
      <sheetName val="개시대사_(2)5"/>
      <sheetName val="RCF_CLAIMED5"/>
      <sheetName val="Equipment_(5)5"/>
      <sheetName val="JOB_Assign5"/>
      <sheetName val="INPUT_DATA5"/>
      <sheetName val="Customer_Databas5"/>
      <sheetName val="Doha_WBS_Clean5"/>
      <sheetName val="3_바닥판설계5"/>
      <sheetName val="Peralatan_(2)5"/>
      <sheetName val="설_계5"/>
      <sheetName val="15_도급예산대비표5"/>
      <sheetName val="Summary_Sheets5"/>
      <sheetName val="B31_15"/>
      <sheetName val="6PILE__(돌출)4"/>
      <sheetName val="BLIND_FLANGE4"/>
      <sheetName val="PIPE_NPS_OD4"/>
      <sheetName val="배수공_주요자재_집계표3"/>
      <sheetName val="HORI__VESSEL3"/>
      <sheetName val="공정회의자료(월요일_10시까지)3"/>
      <sheetName val="96_능제취입3"/>
      <sheetName val="7_4_1_A(input)3"/>
      <sheetName val="7_4_1(B)_BOQ_Breakdown3"/>
      <sheetName val="7_4_1_C(scope)3"/>
      <sheetName val="7_4_1_D(Basis)3"/>
      <sheetName val="7_4_1_E(allow)3"/>
      <sheetName val="7_4_2_A-Build(list)3"/>
      <sheetName val="7_4_3_B-BOQ-SUM3"/>
      <sheetName val="7_4_3(BOQ_각표지)3"/>
      <sheetName val="7_4_3_A(Shelter)3"/>
      <sheetName val="7_4_3_B(Module)3"/>
      <sheetName val="7_4_3_C(Shelter-FLB)3"/>
      <sheetName val="7_4_3_D(Brief_Spec_)3"/>
      <sheetName val="공사비_내역_(가)3"/>
      <sheetName val="INPUT_DATA_OF_SCHEDULE3"/>
      <sheetName val="제출내역_(2)3"/>
      <sheetName val="W42__3"/>
      <sheetName val="Regenerator__Concrete_Structur2"/>
      <sheetName val="간접비_총괄표2"/>
      <sheetName val="IMP_(REACTOR)3"/>
      <sheetName val="Weld,_NDE_(Pipe)2"/>
      <sheetName val="할증_3"/>
      <sheetName val="Malaysia_incl__RET3"/>
      <sheetName val="수성페인트도장_내역서2"/>
      <sheetName val="1_취수장2"/>
      <sheetName val="기초자료입력및_K치_확인2"/>
      <sheetName val="내역_ver1_02"/>
      <sheetName val="_냉각수펌프2"/>
      <sheetName val="VENDOR_LIST2"/>
      <sheetName val="2_대외공문2"/>
      <sheetName val="General_Data2"/>
      <sheetName val="97_사업추정_WEKI_2"/>
      <sheetName val="_2"/>
      <sheetName val="토_적_표2"/>
      <sheetName val="CAL(1)_2"/>
      <sheetName val="총괄집계_2"/>
      <sheetName val="배수내역_(2)2"/>
      <sheetName val="P_M_별9"/>
      <sheetName val="L_V_Separator2"/>
      <sheetName val="0고과평균_및_편차조정_(2)2"/>
      <sheetName val="광통신_견적내역서12"/>
      <sheetName val="플랜트_설치2"/>
      <sheetName val="소상_&quot;1&quot;2"/>
      <sheetName val="-15_02"/>
      <sheetName val="Z-_GENERAL_PRICE_SUMMARY2"/>
      <sheetName val="_Estimate__2"/>
      <sheetName val="해외_연수비용_계산-삭제2"/>
      <sheetName val="해외_기술훈련비_(합계)2"/>
      <sheetName val="ITB_COST2"/>
      <sheetName val="BOX_본체2"/>
      <sheetName val="입출재고현황_(2)2"/>
      <sheetName val="화재_탐지_설비2"/>
      <sheetName val="G_R300경비2"/>
      <sheetName val="AS포장복구_2"/>
      <sheetName val="Sheet1_(2)2"/>
      <sheetName val="C_1"/>
      <sheetName val="C_10"/>
      <sheetName val="C_11"/>
      <sheetName val="C_12"/>
      <sheetName val="C_13"/>
      <sheetName val="C_14"/>
      <sheetName val="C_15"/>
      <sheetName val="C_16"/>
      <sheetName val="C_17"/>
      <sheetName val="C_19"/>
      <sheetName val="C_20"/>
      <sheetName val="C_21"/>
      <sheetName val="C_22"/>
      <sheetName val="C_23"/>
      <sheetName val="C_24"/>
      <sheetName val="C_25"/>
      <sheetName val="C_6"/>
      <sheetName val="C_7"/>
      <sheetName val="C_8"/>
      <sheetName val="C_9"/>
      <sheetName val="Steel-Main_Work"/>
      <sheetName val="Du_toan"/>
      <sheetName val="Process_Piping"/>
      <sheetName val="H.Satuan"/>
      <sheetName val="수량산출"/>
      <sheetName val="월별cashflow"/>
      <sheetName val="PipWT"/>
      <sheetName val="UPRI"/>
      <sheetName val="월간"/>
      <sheetName val="항목(1)"/>
      <sheetName val="BOOK4"/>
      <sheetName val="TYPE-A"/>
      <sheetName val="Volume"/>
      <sheetName val="Penjumlahan"/>
      <sheetName val="Currency Rate"/>
      <sheetName val="Salesdata01-10 2004"/>
      <sheetName val="BP"/>
      <sheetName val="REKAP A BESAR"/>
      <sheetName val="PNT-QUOT-#3"/>
      <sheetName val="COAT&amp;WRAP-QIOT-#3"/>
      <sheetName val="BAG_2"/>
      <sheetName val="7-2"/>
      <sheetName val="CS_SS892"/>
      <sheetName val="CS_SS191"/>
      <sheetName val="CS_SS192"/>
      <sheetName val="CS_SS961"/>
      <sheetName val="CS_SS391"/>
      <sheetName val="CS_SS791"/>
      <sheetName val="CS_SS491"/>
      <sheetName val="CS_SS492"/>
      <sheetName val="MVCable"/>
      <sheetName val="COCable"/>
      <sheetName val="Div2"/>
      <sheetName val="trf(36%)"/>
      <sheetName val="2Angles"/>
      <sheetName val="UPAH DAN BAHAN"/>
      <sheetName val="4-Basic Price"/>
      <sheetName val="D8(1)"/>
      <sheetName val="HRG DSR UPAH &amp; BAHAN"/>
      <sheetName val="5-ALAT (2)"/>
      <sheetName val="D10 LS-Rutin"/>
      <sheetName val="D9"/>
      <sheetName val="BOQ"/>
      <sheetName val="Analisa"/>
      <sheetName val="DAF-5"/>
      <sheetName val="SPT vs PHI"/>
      <sheetName val="member design"/>
      <sheetName val="design criteria"/>
      <sheetName val="working load at the btm ft."/>
      <sheetName val="plan&amp;section of foundation"/>
      <sheetName val="Bill 1 - 9"/>
      <sheetName val="Bill 12"/>
      <sheetName val="Bill 10"/>
      <sheetName val="harsat"/>
      <sheetName val="rab - persiapan &amp; lantai-1"/>
      <sheetName val="dongia (2)"/>
      <sheetName val="giathanh1"/>
      <sheetName val="THPDMoi  (2)"/>
      <sheetName val="lam-moi"/>
      <sheetName val="gtrinh"/>
      <sheetName val="thao-go"/>
      <sheetName val="CHITIET VL-NC-TT -1p"/>
      <sheetName val="VC"/>
      <sheetName val="TH XL"/>
      <sheetName val="chitiet"/>
      <sheetName val="CHITIET VL-NC-TT-3p"/>
      <sheetName val="TONGKE-HT"/>
      <sheetName val="t-h HA THE"/>
      <sheetName val="TDTKP1"/>
      <sheetName val="KPVC-BD "/>
      <sheetName val="TOTAL 2"/>
      <sheetName val="pw&amp;shs"/>
      <sheetName val="struktur"/>
      <sheetName val="Cost Proposal (lyn)"/>
      <sheetName val="4-Lane bridge"/>
      <sheetName val="worksheet"/>
      <sheetName val="RATES G-5"/>
      <sheetName val="RC Tabulation"/>
      <sheetName val="Cost_Proposal_(lyn)"/>
      <sheetName val="4-Lane_bridge"/>
      <sheetName val="RATES_G-5"/>
      <sheetName val="RC_Tabulation"/>
      <sheetName val="4.boq-site(o)"/>
      <sheetName val="revised#1"/>
      <sheetName val="Project list"/>
      <sheetName val="BILLING SUMMARY"/>
      <sheetName val="Others"/>
      <sheetName val="sum mdc"/>
      <sheetName val="Arch"/>
      <sheetName val="D-3"/>
      <sheetName val="sal"/>
      <sheetName val="일위대가(가설)"/>
      <sheetName val="CTEMCOST"/>
      <sheetName val="wall"/>
      <sheetName val="Front"/>
      <sheetName val="PumpSpec"/>
      <sheetName val="Material"/>
      <sheetName val="REMUNERASISTANDAR"/>
      <sheetName val="TABEL-DETASIR"/>
      <sheetName val="DESCRIPTION"/>
      <sheetName val="Anls"/>
      <sheetName val="Alat"/>
      <sheetName val="Persiapan"/>
      <sheetName val="rap rinci"/>
      <sheetName val="Tender Info"/>
      <sheetName val="H-Bahan"/>
      <sheetName val="3-DIV4"/>
      <sheetName val="DAFTAR HARGA"/>
      <sheetName val="HRG BHN"/>
      <sheetName val="REF.ONLY"/>
      <sheetName val="Cover"/>
      <sheetName val="EQ_an"/>
      <sheetName val="bhn FINAL"/>
      <sheetName val="H-BHN"/>
      <sheetName val="EQ"/>
      <sheetName val="MTa"/>
      <sheetName val="villa"/>
      <sheetName val="Bank"/>
      <sheetName val="6-AGREGAT"/>
      <sheetName val="온도cycle"/>
      <sheetName val="역T형"/>
      <sheetName val="수량산출서_갑지"/>
      <sheetName val="BASIC_(2)"/>
      <sheetName val="Eq__Mobilization"/>
      <sheetName val="별표_"/>
      <sheetName val="남양시작동자105노65기1_3화1_2"/>
      <sheetName val="EF_&amp;_PF"/>
      <sheetName val="7_4_3_D(Brief_Spᵥc_)"/>
      <sheetName val="Z-_GENERAL_PRICEРSUMMARY"/>
      <sheetName val="DATA_LISTS"/>
      <sheetName val="Soil_Parameter"/>
      <sheetName val="6_3_2"/>
      <sheetName val="4_1구조설계"/>
      <sheetName val="BM_DATA_SHEET"/>
      <sheetName val="안산기계장치"/>
      <sheetName val="지변률공시지가"/>
      <sheetName val="Index"/>
      <sheetName val="노임이"/>
      <sheetName val="Assumption"/>
      <sheetName val="지급어음"/>
      <sheetName val="Large_ISO_BOM"/>
      <sheetName val="Voucher"/>
      <sheetName val="보고"/>
      <sheetName val="옵션DB(단계3)"/>
      <sheetName val="EJ"/>
      <sheetName val="건축2"/>
      <sheetName val="89평단가"/>
      <sheetName val="84평단가"/>
      <sheetName val="건물"/>
      <sheetName val="목차"/>
      <sheetName val="8. Arch."/>
      <sheetName val="S-Curve"/>
      <sheetName val="0. PM"/>
      <sheetName val="2. Piping"/>
      <sheetName val="choose"/>
      <sheetName val="재무가정"/>
      <sheetName val="SKEDUL AV-05"/>
      <sheetName val="WL"/>
      <sheetName val="CONCRETE"/>
      <sheetName val="지질조사"/>
      <sheetName val="CERTIFICATE"/>
      <sheetName val="Demolition"/>
      <sheetName val="C9901"/>
      <sheetName val="단가기준"/>
      <sheetName val="PCSUM"/>
      <sheetName val="VARNS"/>
      <sheetName val="2.주요계수총괄"/>
      <sheetName val="인사자료총집계"/>
      <sheetName val="DPRKM"/>
      <sheetName val="co-no.2"/>
      <sheetName val="Building"/>
      <sheetName val="Schedule_Sheet"/>
      <sheetName val="Calculation"/>
      <sheetName val="Civil"/>
      <sheetName val="Electrical"/>
      <sheetName val="Equipment"/>
      <sheetName val="Instrument"/>
      <sheetName val="Overall"/>
      <sheetName val="Painting"/>
      <sheetName val="Progress_Data"/>
      <sheetName val="Pipe Fabrication"/>
      <sheetName val="Steel"/>
      <sheetName val="DB BIDDER"/>
      <sheetName val="Data Table"/>
      <sheetName val="SUMMARY"/>
      <sheetName val="tabel berat"/>
      <sheetName val="TJ1Q47"/>
      <sheetName val="N-AC"/>
      <sheetName val="L 1"/>
      <sheetName val="FAB4생산"/>
      <sheetName val="단양 00 아파트-세부내역"/>
      <sheetName val="장비 (2)"/>
      <sheetName val="골조"/>
      <sheetName val="직종표"/>
      <sheetName val="Sheet389"/>
      <sheetName val="가공비"/>
      <sheetName val="대공종"/>
      <sheetName val="전체내역 (2)"/>
      <sheetName val="2003_02월수금계획8"/>
      <sheetName val="Piping_Design_Data8"/>
      <sheetName val="97_사업추정(WEKI)8"/>
      <sheetName val="계정보고_(2)7"/>
      <sheetName val="요약배부_(보고)7"/>
      <sheetName val="요약배부_(보고)_(2)7"/>
      <sheetName val="기타매출_(2)7"/>
      <sheetName val="기타매출_(3)7"/>
      <sheetName val="Equipment_(5)7"/>
      <sheetName val="개시대사_(2)7"/>
      <sheetName val="RCF_CLAIMED7"/>
      <sheetName val="JOB_Assign7"/>
      <sheetName val="INPUT_DATA7"/>
      <sheetName val="Customer_Databas7"/>
      <sheetName val="Doha_WBS_Clean7"/>
      <sheetName val="3_바닥판설계7"/>
      <sheetName val="Peralatan_(2)7"/>
      <sheetName val="6PILE__(돌출)6"/>
      <sheetName val="BLIND_FLANGE6"/>
      <sheetName val="PIPE_NPS_OD6"/>
      <sheetName val="설_계6"/>
      <sheetName val="15_도급예산대비표6"/>
      <sheetName val="Summary_Sheets6"/>
      <sheetName val="B31_16"/>
      <sheetName val="배수공_주요자재_집계표6"/>
      <sheetName val="HORI__VESSEL6"/>
      <sheetName val="공정회의자료(월요일_10시까지)6"/>
      <sheetName val="96_능제취입6"/>
      <sheetName val="7_4_1_A(input)6"/>
      <sheetName val="7_4_1(B)_BOQ_Breakdown6"/>
      <sheetName val="7_4_1_C(scope)6"/>
      <sheetName val="7_4_1_D(Basis)6"/>
      <sheetName val="7_4_1_E(allow)6"/>
      <sheetName val="7_4_2_A-Build(list)6"/>
      <sheetName val="7_4_3_B-BOQ-SUM6"/>
      <sheetName val="7_4_3(BOQ_각표지)6"/>
      <sheetName val="7_4_3_A(Shelter)6"/>
      <sheetName val="7_4_3_B(Module)6"/>
      <sheetName val="7_4_3_C(Shelter-FLB)6"/>
      <sheetName val="7_4_3_D(Brief_Spec_)6"/>
      <sheetName val="배수공_주요자재_집계표4"/>
      <sheetName val="HORI__VESSEL4"/>
      <sheetName val="공정회의자료(월요일_10시까지)4"/>
      <sheetName val="96_능제취입4"/>
      <sheetName val="7_4_1_A(input)4"/>
      <sheetName val="7_4_1(B)_BOQ_Breakdown4"/>
      <sheetName val="7_4_1_C(scope)4"/>
      <sheetName val="7_4_1_D(Basis)4"/>
      <sheetName val="7_4_1_E(allow)4"/>
      <sheetName val="7_4_2_A-Build(list)4"/>
      <sheetName val="7_4_3_B-BOQ-SUM4"/>
      <sheetName val="7_4_3(BOQ_각표지)4"/>
      <sheetName val="7_4_3_A(Shelter)4"/>
      <sheetName val="7_4_3_B(Module)4"/>
      <sheetName val="7_4_3_C(Shelter-FLB)4"/>
      <sheetName val="7_4_3_D(Brief_Spec_)4"/>
      <sheetName val="2003_02월수금계획7"/>
      <sheetName val="Piping_Design_Data7"/>
      <sheetName val="97_사업추정(WEKI)7"/>
      <sheetName val="계정보고_(2)6"/>
      <sheetName val="요약배부_(보고)6"/>
      <sheetName val="요약배부_(보고)_(2)6"/>
      <sheetName val="기타매출_(2)6"/>
      <sheetName val="기타매출_(3)6"/>
      <sheetName val="Equipment_(5)6"/>
      <sheetName val="개시대사_(2)6"/>
      <sheetName val="RCF_CLAIMED6"/>
      <sheetName val="JOB_Assign6"/>
      <sheetName val="INPUT_DATA6"/>
      <sheetName val="Customer_Databas6"/>
      <sheetName val="Doha_WBS_Clean6"/>
      <sheetName val="3_바닥판설계6"/>
      <sheetName val="Peralatan_(2)6"/>
      <sheetName val="6PILE__(돌출)5"/>
      <sheetName val="BLIND_FLANGE5"/>
      <sheetName val="PIPE_NPS_OD5"/>
      <sheetName val="배수공_주요자재_집계표5"/>
      <sheetName val="HORI__VESSEL5"/>
      <sheetName val="공정회의자료(월요일_10시까지)5"/>
      <sheetName val="96_능제취입5"/>
      <sheetName val="7_4_1_A(input)5"/>
      <sheetName val="7_4_1(B)_BOQ_Breakdown5"/>
      <sheetName val="7_4_1_C(scope)5"/>
      <sheetName val="7_4_1_D(Basis)5"/>
      <sheetName val="7_4_1_E(allow)5"/>
      <sheetName val="7_4_2_A-Build(list)5"/>
      <sheetName val="7_4_3_B-BOQ-SUM5"/>
      <sheetName val="7_4_3(BOQ_각표지)5"/>
      <sheetName val="7_4_3_A(Shelter)5"/>
      <sheetName val="7_4_3_B(Module)5"/>
      <sheetName val="7_4_3_C(Shelter-FLB)5"/>
      <sheetName val="7_4_3_D(Brief_Spec_)5"/>
      <sheetName val="QPL"/>
      <sheetName val="EPC Summary"/>
      <sheetName val="Macro-Dexterne"/>
      <sheetName val="Macro-cons"/>
      <sheetName val="Macro-Epaisseur"/>
      <sheetName val="Macro-Diam-interne"/>
      <sheetName val="Macro-press"/>
      <sheetName val="Macro-Long"/>
      <sheetName val="AN2"/>
      <sheetName val="50  Equipment Pricing xxx"/>
      <sheetName val="업무처리전"/>
      <sheetName val="반응조"/>
      <sheetName val="A:\평균인원.95"/>
      <sheetName val="ABUT수량-A1"/>
      <sheetName val="품목"/>
      <sheetName val="CBL_SIZE"/>
      <sheetName val="CBL_OD"/>
      <sheetName val="공조기"/>
      <sheetName val="할증_4"/>
      <sheetName val="잡철물"/>
      <sheetName val="1_취수장3"/>
      <sheetName val="W42__4"/>
      <sheetName val="수성페인트도장_내역서3"/>
      <sheetName val="기초자료입력및_K치_확인3"/>
      <sheetName val="내역_ver1_03"/>
      <sheetName val="Regenerator__Concrete_Structur3"/>
      <sheetName val="2_대외공문3"/>
      <sheetName val="토_적_표3"/>
      <sheetName val="VENDOR_LIST3"/>
      <sheetName val="간접비_총괄표3"/>
      <sheetName val="총괄집계_3"/>
      <sheetName val="Weld,_NDE_(Pipe)3"/>
      <sheetName val="배수내역_(2)3"/>
      <sheetName val="P_M_별10"/>
      <sheetName val="_냉각수펌프3"/>
      <sheetName val="97_사업추정_WEKI_3"/>
      <sheetName val="General_Data3"/>
      <sheetName val="_3"/>
      <sheetName val="CAL(1)_3"/>
      <sheetName val="L_V_Separator3"/>
      <sheetName val="BASIC_(2)2"/>
      <sheetName val="Eq__Mobilization2"/>
      <sheetName val="BOX_본체3"/>
      <sheetName val="입출재고현황_(2)3"/>
      <sheetName val="화재_탐지_설비3"/>
      <sheetName val="G_R300경비3"/>
      <sheetName val="AS포장복구_3"/>
      <sheetName val="Sheet1_(2)3"/>
      <sheetName val="별표_2"/>
      <sheetName val="남양시작동자105노65기1_3화1_22"/>
      <sheetName val="EF_&amp;_PF2"/>
      <sheetName val="Steel-Main_Work2"/>
      <sheetName val="Du_toan2"/>
      <sheetName val="Process_Piping2"/>
      <sheetName val="Large_ISO_BOM2"/>
      <sheetName val="BASIC_(2)1"/>
      <sheetName val="Eq__Mobilization1"/>
      <sheetName val="별표_1"/>
      <sheetName val="남양시작동자105노65기1_3화1_21"/>
      <sheetName val="EF_&amp;_PF1"/>
      <sheetName val="Steel-Main_Work1"/>
      <sheetName val="Du_toan1"/>
      <sheetName val="Process_Piping1"/>
      <sheetName val="Large_ISO_BOM1"/>
      <sheetName val="자재단가비교표"/>
      <sheetName val="VS배관내역서"/>
      <sheetName val="경비"/>
      <sheetName val="example (2)"/>
      <sheetName val="PMfee산정"/>
      <sheetName val="임대사례선정"/>
      <sheetName val="거래사례선정"/>
      <sheetName val="구분1"/>
      <sheetName val="구분2"/>
      <sheetName val="동명"/>
      <sheetName val="동_임대"/>
      <sheetName val="블럭명"/>
      <sheetName val="Home"/>
      <sheetName val="소재지"/>
      <sheetName val="소재지_임대"/>
      <sheetName val="Sheet3 (2)"/>
      <sheetName val="E_Summary"/>
      <sheetName val="D_Cntnts"/>
      <sheetName val="5_1_1 Cut-off SS install"/>
      <sheetName val="Foot,col,parapt.Reinf"/>
      <sheetName val="공내역"/>
      <sheetName val="MGR &amp;ASS.MGR"/>
      <sheetName val="GAJI"/>
      <sheetName val="신규블록"/>
      <sheetName val="Z"/>
      <sheetName val="Cash2"/>
      <sheetName val="Cash Flow bulanan"/>
      <sheetName val="HX"/>
      <sheetName val="10매출"/>
      <sheetName val="조건표"/>
      <sheetName val="DPRKMß_x0000_Ԁ"/>
      <sheetName val="총원"/>
      <sheetName val="품셈총괄표"/>
      <sheetName val="시설물기초"/>
      <sheetName val="정렬"/>
      <sheetName val="터파기및재료"/>
      <sheetName val="INSTR"/>
      <sheetName val="Definitions"/>
      <sheetName val="Accretion Output"/>
      <sheetName val="NewCo to RLRN"/>
      <sheetName val="Projections vs Consensus"/>
      <sheetName val="Projections"/>
      <sheetName val="Football Field"/>
      <sheetName val="Data Kebutuhan"/>
      <sheetName val="D.Base"/>
      <sheetName val="Contractor RFP Template"/>
      <sheetName val="Site Infrastructure"/>
      <sheetName val="Catcher 1"/>
      <sheetName val="Catcher 5"/>
      <sheetName val="Instructions"/>
      <sheetName val="Office"/>
      <sheetName val="ROMP01"/>
      <sheetName val="ROMP02"/>
      <sheetName val="ROMP03"/>
      <sheetName val="ROMP04"/>
      <sheetName val="ROMP05"/>
      <sheetName val="ROMP06"/>
      <sheetName val="ROMP07"/>
      <sheetName val="ROMP08"/>
      <sheetName val="Shell &amp; Core"/>
      <sheetName val="BAG-2"/>
      <sheetName val="부대공Ⅱ"/>
      <sheetName val="Inputs"/>
      <sheetName val="BD"/>
      <sheetName val="Ex-Rate"/>
      <sheetName val="look up"/>
      <sheetName val="DERIVE"/>
      <sheetName val="EQPT - SP"/>
      <sheetName val="XZLC003_PART1"/>
      <sheetName val="barchart"/>
      <sheetName val="INDENTIFICATION"/>
      <sheetName val="PARA"/>
      <sheetName val="도기류"/>
      <sheetName val="LABOR"/>
      <sheetName val="Equipt Rental"/>
      <sheetName val="float&amp;bear"/>
      <sheetName val="Kfracture"/>
      <sheetName val="Insulation_Utl_Off"/>
      <sheetName val="Note_Piping"/>
      <sheetName val="4300 UTILITY BLDG (2)"/>
      <sheetName val="MAY 00-Bobbins"/>
      <sheetName val="Vari by Vendor"/>
      <sheetName val="UPA(Part C,D,E,G,H)"/>
      <sheetName val="UPA(Part F)"/>
      <sheetName val="CapitalMetrics"/>
      <sheetName val="BOQp4"/>
      <sheetName val="VA_cod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refreshError="1"/>
      <sheetData sheetId="547" refreshError="1"/>
      <sheetData sheetId="548" refreshError="1"/>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sheetData sheetId="1151"/>
      <sheetData sheetId="1152"/>
      <sheetData sheetId="1153"/>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sheetData sheetId="1267" refreshError="1"/>
      <sheetData sheetId="1268" refreshError="1"/>
      <sheetData sheetId="1269" refreshError="1"/>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sheetData sheetId="1375" refreshError="1"/>
      <sheetData sheetId="1376" refreshError="1"/>
      <sheetData sheetId="1377" refreshError="1"/>
      <sheetData sheetId="1378" refreshError="1"/>
      <sheetData sheetId="1379" refreshError="1"/>
      <sheetData sheetId="1380"/>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INSTR"/>
      <sheetName val="직원동원SCH"/>
      <sheetName val="수입"/>
      <sheetName val="eq_data"/>
      <sheetName val="주관사업"/>
      <sheetName val="95삼성급(본사)"/>
      <sheetName val="mom"/>
      <sheetName val="carboline price"/>
      <sheetName val="Piping Design Data"/>
      <sheetName val="PipWT"/>
      <sheetName val="UG분석표"/>
      <sheetName val="VV보온LINK"/>
      <sheetName val="FIT보온LINK"/>
      <sheetName val="정부노임단가"/>
      <sheetName val="INST_DCI"/>
      <sheetName val="HVAC_DCI"/>
      <sheetName val="PIPE_DCI"/>
      <sheetName val="PRO_DCI"/>
      <sheetName val="pnt-sigma"/>
      <sheetName val="갑지"/>
      <sheetName val="PumpSpec"/>
      <sheetName val="표지"/>
      <sheetName val="사업부배부A"/>
      <sheetName val="상반기손익차2총괄"/>
      <sheetName val="집계표"/>
      <sheetName val="개시대사 (2)"/>
      <sheetName val="OD5000"/>
      <sheetName val="배부9901"/>
      <sheetName val="97 사업추정(WEKI)"/>
      <sheetName val="기계내역서"/>
      <sheetName val="IT-BAT"/>
      <sheetName val="45,46"/>
      <sheetName val="h-013211-2"/>
      <sheetName val="단가조사"/>
      <sheetName val="Total"/>
      <sheetName val="TYPE-B 평균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 val="XZLC004_PART2"/>
      <sheetName val="XZLC003_PART1"/>
      <sheetName val="7.6.3(B) UG Piping"/>
      <sheetName val="공사비SUM"/>
      <sheetName val="EQUIPMENT -2"/>
      <sheetName val="#REF"/>
      <sheetName val="MTL(AG)"/>
      <sheetName val="당초"/>
      <sheetName val="갑지"/>
      <sheetName val="C-18"/>
      <sheetName val="COA-17"/>
      <sheetName val="노임"/>
      <sheetName val="Part2"/>
      <sheetName val=" ｹ-ﾌﾞﾙ"/>
      <sheetName val="견"/>
      <sheetName val="내역서"/>
      <sheetName val="투찰(하수)"/>
      <sheetName val="최종견"/>
      <sheetName val="견적"/>
      <sheetName val="1.취수장"/>
      <sheetName val="단가"/>
      <sheetName val="표지"/>
      <sheetName val="200"/>
      <sheetName val="예산M11A"/>
      <sheetName val="Basic_Info"/>
      <sheetName val="BREAKDOWN(철거설치)"/>
      <sheetName val="COVER-P"/>
      <sheetName val="HVAC"/>
      <sheetName val="attach(2)"/>
      <sheetName val="주관사업"/>
      <sheetName val="상반기손익차2총괄"/>
      <sheetName val="WIP"/>
      <sheetName val="BID"/>
      <sheetName val="A-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inspecton plan"/>
      <sheetName val="Sheet1"/>
      <sheetName val="valve설치"/>
      <sheetName val="valve수량"/>
      <sheetName val="건설공사비"/>
      <sheetName val="견적기준"/>
      <sheetName val="배관 공사 물량"/>
      <sheetName val="XZLC004_PART2"/>
      <sheetName val="XZLC003_PART1"/>
      <sheetName val="Administrative Prices"/>
      <sheetName val="Summary"/>
      <sheetName val="CAT_5"/>
      <sheetName val="Curves"/>
      <sheetName val="Tables"/>
      <sheetName val="견"/>
      <sheetName val="F-302"/>
      <sheetName val="F301.303"/>
      <sheetName val="산근"/>
      <sheetName val="단가비교"/>
      <sheetName val="data_dci"/>
      <sheetName val="data_mci"/>
      <sheetName val="behind"/>
      <sheetName val="Main"/>
      <sheetName val="지계"/>
      <sheetName val="CAMP - CONSTRUCTION"/>
      <sheetName val="Tipo Terzi"/>
      <sheetName val="lookup"/>
      <sheetName val="Sheet5"/>
      <sheetName val="Cost_total_배관-3차_한남현"/>
      <sheetName val="Inputs"/>
      <sheetName val="BD"/>
      <sheetName val="EQUIPMENT -2"/>
      <sheetName val="INPUT"/>
      <sheetName val="STATIC"/>
      <sheetName val="CCC"/>
      <sheetName val="MTL(AG)"/>
      <sheetName val="당초"/>
      <sheetName val="ABUT수량-A1"/>
      <sheetName val="갑지"/>
      <sheetName val="Summary Sheets"/>
      <sheetName val="Factor"/>
      <sheetName val="상수도토공집계표"/>
      <sheetName val="기계내역서"/>
      <sheetName val="Activity(new)"/>
      <sheetName val="BOQ"/>
      <sheetName val="Equipment"/>
      <sheetName val="Labor"/>
      <sheetName val="PIPE"/>
      <sheetName val="Note"/>
      <sheetName val="Heads"/>
      <sheetName val="Dbase"/>
      <sheetName val="Page 2"/>
      <sheetName val="노임"/>
      <sheetName val=" ｹ-ﾌﾞﾙ"/>
      <sheetName val="내역서"/>
      <sheetName val="투찰(하수)"/>
      <sheetName val="최종견"/>
      <sheetName val="견적"/>
      <sheetName val="MTO"/>
      <sheetName val="Price Comparison"/>
      <sheetName val="Equip Sch."/>
      <sheetName val="Code03"/>
      <sheetName val="QMCT"/>
      <sheetName val="LinerWt"/>
      <sheetName val="기본DATA"/>
      <sheetName val="DCS"/>
      <sheetName val="ANALYSER"/>
      <sheetName val="주관사업"/>
      <sheetName val="요약배부"/>
      <sheetName val="품셈(기초)"/>
      <sheetName val="CAL(1)."/>
      <sheetName val="일위대가표"/>
      <sheetName val="6.Base"/>
      <sheetName val="Cash2"/>
      <sheetName val="Z"/>
      <sheetName val="DATA"/>
      <sheetName val="Pipe Hot"/>
      <sheetName val="LV induction motors"/>
      <sheetName val="Precios por Administración"/>
      <sheetName val="Resumen"/>
      <sheetName val="Precios Unitar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내역서"/>
      <sheetName val="견적대비"/>
      <sheetName val="GAEYO"/>
      <sheetName val="갑지"/>
      <sheetName val="갑지(추정)"/>
    </sheetNames>
    <sheetDataSet>
      <sheetData sheetId="0"/>
      <sheetData sheetId="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kedişkapak"/>
      <sheetName val="yap.işl.lis."/>
      <sheetName val="yeş.iç-2"/>
      <sheetName val="METRAJ"/>
      <sheetName val="METRAJ (2)"/>
      <sheetName val="METRAJ (3)"/>
      <sheetName val="07005K-1"/>
      <sheetName val="Rate-Code"/>
      <sheetName val="Finansal tamamlanma Eğrisi"/>
      <sheetName val="tahakkuk müzekkeresi_1"/>
      <sheetName val="Tut 1"/>
      <sheetName val="Quantity"/>
      <sheetName val="Sayf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간접비 총괄표"/>
      <sheetName val="을지"/>
      <sheetName val="Eq_ Mobilization"/>
      <sheetName val="안전장치"/>
      <sheetName val="VC2 9.98"/>
      <sheetName val="HKDSUMM"/>
      <sheetName val="산거각호표"/>
      <sheetName val="수입"/>
      <sheetName val="유림골조"/>
      <sheetName val="Sheet1"/>
      <sheetName val="공통비총괄표"/>
      <sheetName val="잡비계산"/>
      <sheetName val="집계표(육상)"/>
      <sheetName val="지급자재"/>
      <sheetName val="11월 실적"/>
      <sheetName val="내역서"/>
      <sheetName val="h-013211-2"/>
      <sheetName val="slipsumpR"/>
      <sheetName val="TUAS"/>
      <sheetName val="STAND20"/>
      <sheetName val="직원동원SCH"/>
      <sheetName val="#REF"/>
      <sheetName val="Cash2"/>
      <sheetName val="Z"/>
      <sheetName val="손익차9월2"/>
      <sheetName val="VC2 8.98"/>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대비표"/>
      <sheetName val="집계표(OPTION)"/>
      <sheetName val="당초"/>
      <sheetName val="집계표"/>
      <sheetName val="P.M 별"/>
      <sheetName val="BM"/>
      <sheetName val="사업부배부A"/>
      <sheetName val="TTL"/>
      <sheetName val="청산공사"/>
      <sheetName val="금액내역서"/>
      <sheetName val="8.PILE  (돌출)"/>
      <sheetName val="6PILE  (돌출)"/>
      <sheetName val="예정(3)"/>
      <sheetName val="기준"/>
      <sheetName val="PRO_DCI"/>
      <sheetName val="ELEC_DCI"/>
      <sheetName val="INST_DCI"/>
      <sheetName val="발주코드"/>
      <sheetName val="2.1.2예정공정율(칼라)"/>
      <sheetName val="2000.11월설계내역"/>
      <sheetName val="주관사업"/>
      <sheetName val="수주추진리스트"/>
      <sheetName val="TK판매비impact"/>
      <sheetName val="TK판매비"/>
      <sheetName val="수주집계"/>
      <sheetName val="TK외판매비impact"/>
      <sheetName val="Vendors"/>
      <sheetName val="운반"/>
      <sheetName val="단중"/>
      <sheetName val="품셈표"/>
      <sheetName val="Sheet4"/>
      <sheetName val="D-623D"/>
      <sheetName val="연돌일위집계"/>
      <sheetName val="산근"/>
      <sheetName val="업체별SV단가"/>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B"/>
      <sheetName val="찍기"/>
      <sheetName val="15 문제점"/>
      <sheetName val="공사비집계"/>
      <sheetName val="_"/>
      <sheetName val="REPORT07"/>
      <sheetName val="소화실적"/>
      <sheetName val="단가비교"/>
      <sheetName val="99년하반기"/>
      <sheetName val="매각(6)"/>
      <sheetName val="상반기손익차2총괄"/>
      <sheetName val="공문"/>
      <sheetName val="과제정의서"/>
      <sheetName val="Sheet7"/>
      <sheetName val="노동부"/>
      <sheetName val="BQMP"/>
      <sheetName val="Rate Analysis"/>
      <sheetName val="95삼성급(본사)"/>
      <sheetName val="5사남"/>
      <sheetName val="드롭다운"/>
      <sheetName val="등급기준"/>
      <sheetName val="Disc WF (최종)"/>
      <sheetName val="Weekly WV %"/>
      <sheetName val="구분정의"/>
      <sheetName val="산출근거"/>
      <sheetName val="수지계산"/>
      <sheetName val="안산기계장치"/>
      <sheetName val="차트 (2)"/>
      <sheetName val=""/>
      <sheetName val="업무분장"/>
      <sheetName val="Sheet3"/>
      <sheetName val="Work Trade Code"/>
      <sheetName val="목록 &amp; 환율표"/>
      <sheetName val="DHEQSUPT"/>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건설기계"/>
      <sheetName val="노임"/>
      <sheetName val="단가산출"/>
      <sheetName val="사급자재"/>
      <sheetName val="SHEET"/>
      <sheetName val="토목"/>
      <sheetName val="인원계획"/>
      <sheetName val="연수원"/>
      <sheetName val="97년 SEACO예산"/>
      <sheetName val="영업소실적"/>
      <sheetName val="MEED"/>
      <sheetName val="표지"/>
      <sheetName val="DRUM"/>
      <sheetName val="4.3물량INDEX검토"/>
      <sheetName val="목록"/>
      <sheetName val="명부(최종)"/>
      <sheetName val="조합원세부항목(작업)"/>
      <sheetName val="50%"/>
      <sheetName val="명부"/>
      <sheetName val="선택목록"/>
      <sheetName val="공통부대비"/>
      <sheetName val="인력(현장,직원)"/>
      <sheetName val="8-31-98"/>
      <sheetName val="worksheet inchican"/>
      <sheetName val="combined 9-30"/>
      <sheetName val="실행내역"/>
      <sheetName val="제출계산서"/>
      <sheetName val="Embank"/>
      <sheetName val="12CGOU"/>
      <sheetName val="입찰내역 발주처 양식"/>
      <sheetName val="0.간접비기준"/>
      <sheetName val="Lumpsum-1"/>
      <sheetName val="Lumpsum-3"/>
      <sheetName val="1.설계조건"/>
      <sheetName val="G.R300경비"/>
      <sheetName val="간접비(1)"/>
      <sheetName val="A-4"/>
      <sheetName val="내역"/>
      <sheetName val="종후자산호수별가격"/>
      <sheetName val="경영현황"/>
      <sheetName val="BOJUNGGM"/>
      <sheetName val="A"/>
      <sheetName val="AC"/>
      <sheetName val="수주현황2월"/>
      <sheetName val="환율"/>
      <sheetName val="1"/>
      <sheetName val="FitOutConfCentre"/>
      <sheetName val="BOQ"/>
      <sheetName val="PROGRAM"/>
      <sheetName val="CASHFLOW"/>
      <sheetName val="정형의견"/>
      <sheetName val="은행"/>
      <sheetName val="7.4 유가 변동 예비비"/>
      <sheetName val="4KEB"/>
      <sheetName val="상 부"/>
      <sheetName val="목표세부명세"/>
      <sheetName val="실행철강하도"/>
      <sheetName val="4. 해외출장비"/>
      <sheetName val="inter"/>
      <sheetName val="Perm. Test"/>
      <sheetName val="Daftar Sewa"/>
      <sheetName val="Peralatan"/>
      <sheetName val="Peralatan (2)"/>
      <sheetName val="Analisa Alat"/>
      <sheetName val="Option"/>
      <sheetName val="p&amp;m"/>
      <sheetName val="97 사업추정(WEKI)"/>
      <sheetName val="통합"/>
      <sheetName val="실행예산SHEET도장재검토"/>
      <sheetName val="jadw"/>
      <sheetName val="Rate_Analysis"/>
      <sheetName val="15_문제점"/>
      <sheetName val="ESCON"/>
      <sheetName val="EE-PROP"/>
      <sheetName val="공사비총괄표"/>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piedathot"/>
      <sheetName val="projcasflo"/>
      <sheetName val="Parameter"/>
      <sheetName val="금융"/>
      <sheetName val="SG"/>
      <sheetName val="Dropdown"/>
      <sheetName val="Database"/>
      <sheetName val="조도"/>
      <sheetName val="1-Schedule"/>
      <sheetName val="0-Quantity"/>
      <sheetName val="Grf"/>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시산표"/>
      <sheetName val="1-G1"/>
      <sheetName val="자바라1"/>
      <sheetName val="해외 연수비용 계산-삭제"/>
      <sheetName val="Wind Load(3.1) (2)"/>
      <sheetName val="Wind Load(3.2)"/>
      <sheetName val="Wind Load(3.4)"/>
      <sheetName val="Ord"/>
      <sheetName val="Key Data"/>
      <sheetName val="CTEMCOST"/>
      <sheetName val="금융비용"/>
      <sheetName val="교각계산"/>
      <sheetName val="INPUT"/>
      <sheetName val="터파기및재료"/>
      <sheetName val="수안보-MBR1"/>
      <sheetName val="2.2 띠장의 설계"/>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Labour"/>
      <sheetName val="Material"/>
      <sheetName val="Plant &amp;  Machinery"/>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Benchmark"/>
      <sheetName val="MOS"/>
      <sheetName val="지원시설 내역서(154kV)"/>
      <sheetName val="카5"/>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ELECTRIC"/>
      <sheetName val="page 6"/>
      <sheetName val="INSTR"/>
      <sheetName val="Piping Design Data"/>
      <sheetName val="조명시설"/>
      <sheetName val="TB"/>
      <sheetName val="BS"/>
      <sheetName val="石炭性状"/>
      <sheetName val="Takeoff"/>
      <sheetName val="N賃率-職"/>
      <sheetName val="부산제일극장"/>
      <sheetName val="Analisa (me)"/>
      <sheetName val="pro ra op"/>
      <sheetName val="grafik"/>
      <sheetName val="Indirect"/>
      <sheetName val="Rekap (2)"/>
      <sheetName val="Analisa Transport"/>
      <sheetName val="electrical Work Price List (2)"/>
      <sheetName val="ANALISA CABLE"/>
      <sheetName val="갑지(추정)"/>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코드"/>
      <sheetName val="조정사유"/>
      <sheetName val="(110919)부산정관집단에너지사업차환현안검토.xlsx"/>
      <sheetName val="1-1"/>
      <sheetName val="Status by Codes"/>
      <sheetName val="MHRS"/>
      <sheetName val="UPH,BHN,ALT"/>
      <sheetName val="Analis harga"/>
      <sheetName val="UNIT 3"/>
      <sheetName val="Utility and Fire flange"/>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cash budget"/>
      <sheetName val="Referencias"/>
      <sheetName val="OCT"/>
      <sheetName val="Material Selections"/>
      <sheetName val="Rates"/>
      <sheetName val="전기 BM_revA('090624).xls"/>
      <sheetName val="表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Rate"/>
      <sheetName val="Adopt (SS)"/>
      <sheetName val="115 GIS"/>
      <sheetName val="CVT"/>
      <sheetName val="SA"/>
      <sheetName val="PI"/>
      <sheetName val="C&amp;P"/>
      <sheetName val="C&amp;P(검토)"/>
      <sheetName val="C&amp;P(검토) (2)"/>
      <sheetName val="MDFOTE"/>
      <sheetName val="FR SOE Scada SDH DSM"/>
      <sheetName val="LVAC"/>
      <sheetName val="Steel"/>
      <sheetName val="Hardware"/>
      <sheetName val="LV CBL"/>
      <sheetName val="Grounding"/>
      <sheetName val="Others"/>
      <sheetName val="SUP TRN FAT"/>
      <sheetName val="TPI"/>
      <sheetName val="토건"/>
      <sheetName val="Access Road"/>
      <sheetName val="기계"/>
      <sheetName val="인건비"/>
      <sheetName val="장비비"/>
      <sheetName val="TnC"/>
      <sheetName val="자재부대"/>
      <sheetName val="해상운반"/>
      <sheetName val="육상운반"/>
      <sheetName val="부대공통"/>
      <sheetName val="#REF"/>
    </sheetNames>
    <sheetDataSet>
      <sheetData sheetId="0">
        <row r="6">
          <cell r="C6">
            <v>1.1097999999999999</v>
          </cell>
        </row>
        <row r="7">
          <cell r="C7">
            <v>1.3873</v>
          </cell>
        </row>
        <row r="8">
          <cell r="C8">
            <v>0.54159999999999997</v>
          </cell>
        </row>
        <row r="9">
          <cell r="C9">
            <v>7.593</v>
          </cell>
        </row>
        <row r="10">
          <cell r="C10">
            <v>925</v>
          </cell>
        </row>
        <row r="13">
          <cell r="C13">
            <v>3.6728000000000001</v>
          </cell>
        </row>
        <row r="14">
          <cell r="C14">
            <v>0.29120000000000001</v>
          </cell>
        </row>
        <row r="15">
          <cell r="C15">
            <v>1.5321</v>
          </cell>
        </row>
        <row r="16">
          <cell r="C16">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_code"/>
      <sheetName val="Sheet1"/>
      <sheetName val="Sheet1 (2)"/>
      <sheetName val="CAT_5"/>
      <sheetName val="Elec_BOQ"/>
      <sheetName val="95삼성급(본사)"/>
      <sheetName val="LV CDB"/>
      <sheetName val="집계표"/>
      <sheetName val="개시대사 (2)"/>
      <sheetName val="95삼성급_본사_"/>
      <sheetName val="valve_code"/>
      <sheetName val="Titles"/>
      <sheetName val="Information"/>
      <sheetName val="전차선로 물량표"/>
      <sheetName val="B31.1"/>
      <sheetName val="PSIZE"/>
      <sheetName val="ASA"/>
      <sheetName val="MC-1"/>
      <sheetName val="MixBed"/>
      <sheetName val="CondPol"/>
      <sheetName val="7.6.3(B) UG Piping"/>
      <sheetName val="교각1"/>
      <sheetName val="BQ"/>
      <sheetName val="Sheet1_(2)"/>
      <sheetName val="개시대사_(2)"/>
      <sheetName val="LV_CDB"/>
      <sheetName val="CB"/>
      <sheetName val="EQUIP-H"/>
      <sheetName val="경제성분석"/>
      <sheetName val="원가현황"/>
      <sheetName val="DATA"/>
      <sheetName val="단가 및 재료비"/>
      <sheetName val="영업소실적"/>
      <sheetName val="data_dci"/>
      <sheetName val="data_mci"/>
      <sheetName val="behind"/>
      <sheetName val="Main"/>
      <sheetName val="XZLC004_PART2"/>
      <sheetName val="ABAD"/>
      <sheetName val="A1기성"/>
      <sheetName val="BGT"/>
      <sheetName val="CHAVOSH"/>
      <sheetName val="ZAR SAZ"/>
      <sheetName val="Sheet6"/>
      <sheetName val="Pipe"/>
      <sheetName val="Valve"/>
      <sheetName val="Specialty Item"/>
      <sheetName val="eq_data"/>
      <sheetName val="기계내역서"/>
      <sheetName val="TDC_ADMIN"/>
      <sheetName val="Requisitions"/>
      <sheetName val="ICDS"/>
      <sheetName val="´çÃÊ"/>
      <sheetName val="작성기준"/>
      <sheetName val="내역"/>
      <sheetName val="I一般比"/>
      <sheetName val="N賃率-職"/>
      <sheetName val="내역서"/>
      <sheetName val="Sum by Departments (3)"/>
      <sheetName val="Data Complete (2)"/>
      <sheetName val="포장복구집계"/>
      <sheetName val="CAMP - CONSTRUCTION"/>
      <sheetName val="Sheet1_(2)1"/>
      <sheetName val="개시대사_(2)1"/>
      <sheetName val="전차선로_물량표"/>
      <sheetName val="B31_1"/>
      <sheetName val="LV_CDB1"/>
      <sheetName val="7_6_3(B)_UG_Piping"/>
      <sheetName val="단가_및_재료비"/>
      <sheetName val="ZAR_SAZ"/>
      <sheetName val="Specialty_Item"/>
      <sheetName val="GTG TR"/>
      <sheetName val="주관사업"/>
      <sheetName val="DRUM"/>
      <sheetName val="소일위대가코드표"/>
      <sheetName val="Activity(new)"/>
      <sheetName val="상반기손익차2총괄"/>
      <sheetName val="RENUN"/>
      <sheetName val="간선계산"/>
      <sheetName val="TIE-IN"/>
      <sheetName val="수입"/>
      <sheetName val="jobhist"/>
      <sheetName val="공문"/>
      <sheetName val="요약배부"/>
      <sheetName val="공사비 내역 (가)"/>
      <sheetName val="LEGEND"/>
      <sheetName val="PARAMETER"/>
      <sheetName val="choose"/>
      <sheetName val="환율표"/>
      <sheetName val="Sheet5"/>
      <sheetName val="Z"/>
      <sheetName val="ExchRate"/>
      <sheetName val="IMPEADENCE MAP 취수장"/>
      <sheetName val="Macro3"/>
      <sheetName val="공사내역"/>
      <sheetName val="노임단가"/>
      <sheetName val="Sheet2"/>
      <sheetName val="Sheet1_(2)2"/>
      <sheetName val="개시대사_(2)2"/>
      <sheetName val="전차선로_물량표1"/>
      <sheetName val="B31_11"/>
      <sheetName val="LV_CDB2"/>
      <sheetName val="7_6_3(B)_UG_Piping1"/>
      <sheetName val="PRICE-COMP"/>
      <sheetName val="4.TANK Farm"/>
      <sheetName val="EQUIPMENT"/>
      <sheetName val="Insts"/>
      <sheetName val="기초자료"/>
      <sheetName val="INSTR"/>
      <sheetName val="Rates"/>
      <sheetName val="B31.1_Table"/>
      <sheetName val="ASME_Size"/>
      <sheetName val="unit"/>
      <sheetName val="ABUT수량-A1"/>
      <sheetName val="general"/>
      <sheetName val="A1"/>
      <sheetName val="A4"/>
      <sheetName val="용소리교"/>
      <sheetName val="부표총괄"/>
      <sheetName val="암거공"/>
      <sheetName val="LOAD 5 Wind "/>
      <sheetName val="Assadsaid"/>
      <sheetName val="BQ (rev2)"/>
      <sheetName val="KCC"/>
      <sheetName val="Kettaneh"/>
      <sheetName val="MMG(2)"/>
      <sheetName val="BLDG_DCI"/>
      <sheetName val="BLDG_MCI"/>
      <sheetName val="BE.4"/>
      <sheetName val="4.Footing Design"/>
      <sheetName val="2.Load Calculation"/>
      <sheetName val="3.Check For Stability"/>
      <sheetName val="So lieu chung"/>
      <sheetName val="Curves"/>
      <sheetName val="Tables"/>
      <sheetName val="견적집계표"/>
      <sheetName val="기준액"/>
      <sheetName val="단중표"/>
      <sheetName val="실행내역"/>
      <sheetName val="산근"/>
      <sheetName val="입찰안"/>
      <sheetName val="Basic_Info"/>
      <sheetName val="Master"/>
      <sheetName val="VLOOKUP"/>
      <sheetName val="cal-foamglass"/>
      <sheetName val="뜃맟뭁돽띿맟?-BLDG"/>
      <sheetName val="ITEM-LIST"/>
      <sheetName val="뜃맟뭁돽띿맟_-BLDG"/>
      <sheetName val="15100"/>
      <sheetName val="Summary Sheets"/>
      <sheetName val="총괄표"/>
      <sheetName val="미드수량"/>
      <sheetName val="SPEC-DT2"/>
      <sheetName val="Basic"/>
      <sheetName val="품셈표"/>
      <sheetName val="Sheet1_(2)3"/>
      <sheetName val="7_6_3(B)_UG_Piping2"/>
      <sheetName val="개시대사_(2)3"/>
      <sheetName val="LV_CDB3"/>
      <sheetName val="전차선로_물량표2"/>
      <sheetName val="B31_12"/>
      <sheetName val="단가_및_재료비1"/>
      <sheetName val="ZAR_SAZ1"/>
      <sheetName val="Specialty_Item1"/>
      <sheetName val="Sum_by_Departments_(3)"/>
      <sheetName val="Data_Complete_(2)"/>
      <sheetName val="GTG_TR"/>
      <sheetName val="CAMP_-_CONSTRUCTION"/>
      <sheetName val="So_lieu_chung"/>
      <sheetName val="공사비_내역_(가)"/>
      <sheetName val="float&amp;bear"/>
      <sheetName val="305c-101"/>
      <sheetName val="MCC제원"/>
      <sheetName val="PSV"/>
      <sheetName val="Gasoline Treating Sec."/>
      <sheetName val="PBS"/>
      <sheetName val="CLAY"/>
      <sheetName val="Compiled BoQ"/>
      <sheetName val="VS배관내역서"/>
      <sheetName val="4.1-Cable Trench"/>
      <sheetName val="Cash2"/>
      <sheetName val="차수"/>
      <sheetName val="x"/>
      <sheetName val="Finansal tamamlanma Eğrisi"/>
      <sheetName val="ELEC_DCI"/>
      <sheetName val="INST_DCI"/>
      <sheetName val="97 사업추정(WEKI)"/>
      <sheetName val="9-1차이내역"/>
      <sheetName val="SHUTDOWN VALVE"/>
      <sheetName val="Scope"/>
      <sheetName val="BE_4"/>
      <sheetName val="LOAD_5_Wind_"/>
      <sheetName val="BQ_(rev2)"/>
      <sheetName val="IMPEADENCE_MAP_취수장"/>
      <sheetName val="4_TANK_Farm"/>
      <sheetName val="CONS. EQUIP.  "/>
      <sheetName val="Sheet1_(2)4"/>
      <sheetName val="개시대사_(2)4"/>
      <sheetName val="LV_CDB4"/>
      <sheetName val="전차선로_물량표3"/>
      <sheetName val="7_6_3(B)_UG_Piping3"/>
      <sheetName val="B31_13"/>
      <sheetName val="단가_및_재료비2"/>
      <sheetName val="Specialty_Item2"/>
      <sheetName val="ZAR_SAZ2"/>
      <sheetName val="Sum_by_Departments_(3)1"/>
      <sheetName val="Data_Complete_(2)1"/>
      <sheetName val="GTG_TR1"/>
      <sheetName val="CAMP_-_CONSTRUCTION1"/>
      <sheetName val="공사비_내역_(가)1"/>
      <sheetName val="BE_41"/>
      <sheetName val="4_Footing_Design"/>
      <sheetName val="2_Load_Calculation"/>
      <sheetName val="3_Check_For_Stability"/>
      <sheetName val="4_TANK_Farm1"/>
      <sheetName val="LOAD_5_Wind_1"/>
      <sheetName val="BQ_(rev2)1"/>
      <sheetName val="Summary_Sheets"/>
      <sheetName val="IMPEADENCE_MAP_취수장1"/>
      <sheetName val="B31_1_Table"/>
      <sheetName val="CONS__EQUIP___"/>
      <sheetName val="So_lieu_chung1"/>
      <sheetName val="Gasoline_Treating_Sec_"/>
      <sheetName val="SHUTDOWN_VALVE"/>
      <sheetName val="Compiled_BoQ"/>
      <sheetName val="4_1-Cable_Trench"/>
      <sheetName val="Finansal_tamamlanma_Eğrisi"/>
      <sheetName val="97_사업추정(WEKI)"/>
      <sheetName val="Sheet1_(2)5"/>
      <sheetName val="LV_CDB5"/>
      <sheetName val="개시대사_(2)5"/>
      <sheetName val="전차선로_물량표4"/>
      <sheetName val="B31_14"/>
      <sheetName val="7_6_3(B)_UG_Piping4"/>
      <sheetName val="단가_및_재료비3"/>
      <sheetName val="ZAR_SAZ3"/>
      <sheetName val="Specialty_Item3"/>
      <sheetName val="Sum_by_Departments_(3)2"/>
      <sheetName val="Data_Complete_(2)2"/>
      <sheetName val="CAMP_-_CONSTRUCTION2"/>
      <sheetName val="GTG_TR2"/>
      <sheetName val="공사비_내역_(가)2"/>
      <sheetName val="B31_1_Table1"/>
      <sheetName val="4_Footing_Design1"/>
      <sheetName val="2_Load_Calculation1"/>
      <sheetName val="3_Check_For_Stability1"/>
      <sheetName val="So_lieu_chung2"/>
      <sheetName val="Summary_Sheets1"/>
      <sheetName val="Gasoline_Treating_Sec_1"/>
      <sheetName val="SHUTDOWN_VALVE1"/>
      <sheetName val="Compiled_BoQ1"/>
      <sheetName val="4_1-Cable_Trench1"/>
      <sheetName val="Finansal_tamamlanma_Eğrisi1"/>
      <sheetName val="97_사업추정(WEKI)1"/>
      <sheetName val="TOT"/>
      <sheetName val="손익차9월2"/>
      <sheetName val="inter"/>
      <sheetName val="BHIT_hrs_dd"/>
      <sheetName val="5"/>
      <sheetName val="pri-com"/>
      <sheetName val="Cal"/>
      <sheetName val="4-3LEVEL-5 epic.4"/>
      <sheetName val="갑지"/>
      <sheetName val="PAGE"/>
      <sheetName val="현장관리비"/>
      <sheetName val="Koordinat"/>
      <sheetName val="화산경계"/>
      <sheetName val="임금대장"/>
      <sheetName val="AILC004"/>
      <sheetName val="하자전장"/>
      <sheetName val="토사(PE)"/>
      <sheetName val="ATTFLG"/>
      <sheetName val="BOLTUP"/>
      <sheetName val="KGFLANGE"/>
      <sheetName val="KGELBOW2"/>
      <sheetName val="KGMCS"/>
      <sheetName val="KGVALVE"/>
      <sheetName val="shphdlelb"/>
      <sheetName val="SHPHDL"/>
      <sheetName val="SPLEREC"/>
      <sheetName val="fldhdlelb"/>
      <sheetName val="VLVHDL"/>
      <sheetName val="CUT2BVLWLD"/>
      <sheetName val="Dwg_List"/>
      <sheetName val="ACTIVITY"/>
      <sheetName val="환율"/>
      <sheetName val="J"/>
      <sheetName val="Working"/>
      <sheetName val="L"/>
      <sheetName val="h-013211-2"/>
      <sheetName val="AN"/>
      <sheetName val="Assumptions"/>
      <sheetName val="@risk rents and incentives"/>
      <sheetName val="Car park lease"/>
      <sheetName val="Net rent analysis"/>
      <sheetName val="BID"/>
      <sheetName val="Sheet1_(2)6"/>
      <sheetName val="Sheet1_(2)7"/>
      <sheetName val="Sheet1_(2)8"/>
      <sheetName val="Sheet1_(2)9"/>
      <sheetName val="Sheet1_(2)10"/>
      <sheetName val="Sheet1_(2)11"/>
      <sheetName val="Cost"/>
      <sheetName val="Budget"/>
      <sheetName val="Sheet1_(2)12"/>
      <sheetName val="FACTORS"/>
      <sheetName val="EC(Rev)"/>
      <sheetName val="협조전"/>
      <sheetName val="교통대책내역"/>
      <sheetName val="예가표"/>
      <sheetName val="정부노임단가"/>
      <sheetName val="DROPDOWNS"/>
      <sheetName val="Breadown"/>
      <sheetName val="Site"/>
      <sheetName val="Code Index"/>
      <sheetName val="Eng'g-Standard"/>
      <sheetName val="Library"/>
      <sheetName val="Project 가설공사 개요"/>
      <sheetName val="ERECTION"/>
      <sheetName val="plan&amp;section of foundation"/>
      <sheetName val="design criteria"/>
      <sheetName val="일위대가"/>
      <sheetName val="시중노임"/>
      <sheetName val="Regenerator  Concrete Structure"/>
      <sheetName val="content"/>
      <sheetName val="HB "/>
      <sheetName val="SAT-PEK"/>
      <sheetName val="pipa"/>
      <sheetName val="PRO_A"/>
      <sheetName val="ELEC_MCI"/>
      <sheetName val="INST_MCI"/>
      <sheetName val="MECH_MCI"/>
      <sheetName val="PRO"/>
      <sheetName val="BQ JBT"/>
      <sheetName val="Breakdown"/>
      <sheetName val="auto-lock"/>
      <sheetName val="Data Induk"/>
      <sheetName val="boq"/>
      <sheetName val="Analisa"/>
      <sheetName val="CAL."/>
      <sheetName val="접속슬래브"/>
      <sheetName val="BOX"/>
      <sheetName val="rumus"/>
      <sheetName val="SKETCH"/>
      <sheetName val="REBAR"/>
      <sheetName val="4_TANK_Farm2"/>
      <sheetName val="IMPEADENCE_MAP_취수장2"/>
      <sheetName val="LOAD_5_Wind_2"/>
      <sheetName val="BQ_(rev2)2"/>
      <sheetName val="BE_42"/>
      <sheetName val="CONS__EQUIP___1"/>
      <sheetName val="결론"/>
      <sheetName val="TIE-INS"/>
      <sheetName val="BM"/>
      <sheetName val="LOADS"/>
      <sheetName val="REINF."/>
      <sheetName val="본지점중"/>
      <sheetName val="98수문일위"/>
      <sheetName val="개시대사_(2)6"/>
      <sheetName val="LV_CDB6"/>
      <sheetName val="전차선로_물량표5"/>
      <sheetName val="7_6_3(B)_UG_Piping5"/>
      <sheetName val="B31_15"/>
      <sheetName val="단가_및_재료비4"/>
      <sheetName val="ZAR_SAZ4"/>
      <sheetName val="Specialty_Item4"/>
      <sheetName val="Sum_by_Departments_(3)3"/>
      <sheetName val="Data_Complete_(2)3"/>
      <sheetName val="GTG_TR3"/>
      <sheetName val="CAMP_-_CONSTRUCTION3"/>
      <sheetName val="So_lieu_chung3"/>
      <sheetName val="공사비_내역_(가)3"/>
      <sheetName val="B31_1_Table2"/>
      <sheetName val="4_Footing_Design2"/>
      <sheetName val="2_Load_Calculation2"/>
      <sheetName val="3_Check_For_Stability2"/>
      <sheetName val="4-3LEVEL-5_epic_4"/>
      <sheetName val="Summary_Sheets2"/>
      <sheetName val="Gasoline_Treating_Sec_2"/>
      <sheetName val="SHUTDOWN_VALVE2"/>
      <sheetName val="Compiled_BoQ2"/>
      <sheetName val="4_1-Cable_Trench2"/>
      <sheetName val="Finansal_tamamlanma_Eğrisi2"/>
      <sheetName val="97_사업추정(WEKI)2"/>
      <sheetName val="ST pg1"/>
      <sheetName val="Urugan Pasir"/>
      <sheetName val="Analisa Harga Satuan"/>
      <sheetName val="Hit Vol Str Jambi"/>
      <sheetName val="anal rab"/>
      <sheetName val="IPL_SCHEDULE"/>
      <sheetName val="crude.SLAB RE-bar"/>
      <sheetName val="CRUDE RE-bar"/>
      <sheetName val="Progres Rasio LR"/>
      <sheetName val="RAP Change"/>
      <sheetName val="DATA PROYEK"/>
      <sheetName val="Analisa Harsat"/>
      <sheetName val="Analisa Harsat CCO Intern"/>
      <sheetName val="AnHarSat Real Saat Ini"/>
      <sheetName val="AnHarSat Real Sd Saat Lalu"/>
      <sheetName val="RAB"/>
      <sheetName val="Rekap RAP"/>
      <sheetName val="BUL"/>
      <sheetName val="Cost Control Utk Perub RAP"/>
      <sheetName val="Daftar Alat"/>
      <sheetName val="RAP"/>
      <sheetName val="Sel Dev"/>
      <sheetName val="Progress Ekstern"/>
      <sheetName val="Harsat Alat"/>
      <sheetName val="Harsat Bahan"/>
      <sheetName val="Harsat SubKon"/>
      <sheetName val="Harsat Upah"/>
      <sheetName val="Laporan Harian"/>
      <sheetName val="Hrn I"/>
      <sheetName val="Hrn II"/>
      <sheetName val="Hrn III"/>
      <sheetName val="BA Pemeriksaan"/>
      <sheetName val="R. RapatCCO"/>
      <sheetName val="Biaya LONSTAD"/>
      <sheetName val="Laporan Mingguan"/>
      <sheetName val="BAP"/>
      <sheetName val="Rekap MC"/>
      <sheetName val="BA Fisik"/>
      <sheetName val="Evaluasi CCO"/>
      <sheetName val="Hsl Evaluasi"/>
      <sheetName val="Lap Pek 2"/>
      <sheetName val="Lap Pek 1"/>
      <sheetName val="Penilaian Hasil FHO"/>
      <sheetName val="Penilaian Hasil PHO"/>
      <sheetName val="Penyampaian Evaluasi"/>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DIV1"/>
      <sheetName val="Anal-SNI"/>
      <sheetName val="DAF.TUL"/>
      <sheetName val="rap rinci"/>
      <sheetName val="Hargamat"/>
      <sheetName val="Sat Bah &amp; Up"/>
      <sheetName val="Daf 1"/>
      <sheetName val="HARSAT"/>
      <sheetName val="Master 1.0"/>
      <sheetName val="I-KAMAR"/>
      <sheetName val="Fill this out first..."/>
      <sheetName val="DASAR"/>
      <sheetName val="lap-bulan"/>
      <sheetName val="AN Tdr"/>
      <sheetName val="harga"/>
      <sheetName val="upah"/>
      <sheetName val="H-Bahan"/>
      <sheetName val="3-DIV4"/>
      <sheetName val="Bank"/>
      <sheetName val="Bunga"/>
      <sheetName val="BAHAN"/>
      <sheetName val="Mark-up"/>
      <sheetName val="DQE-MEN-EXT"/>
      <sheetName val="DAF-3"/>
      <sheetName val="SEX"/>
      <sheetName val="JADWAL"/>
      <sheetName val="bhn,uph,alt"/>
      <sheetName val="5-Peralatan"/>
      <sheetName val="hsp-STR-AR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EXCHANGE RATE"/>
      <sheetName val="SUMMARY"/>
      <sheetName val="BREAKDOWN"/>
      <sheetName val="KOREAN STAFF SALARY_BREAKDOWN"/>
      <sheetName val="KOREAN STAFF SALARY - HOME"/>
      <sheetName val="KOREAN STAFF SALARY - SITE"/>
      <sheetName val="KOREAN STAFF SALARY - BRANCH"/>
      <sheetName val="KOREAN STAFF SALARY - 현지불 수당"/>
      <sheetName val="KOREAN STAFF SALARY - 연장수당"/>
      <sheetName val="KOREAN STAFF SALARY - 직책수당"/>
      <sheetName val="KOREAN STAFF SALARY - 단신부임수당"/>
      <sheetName val="KOREAN STAFF SALARY - SUMMARY"/>
      <sheetName val="KOREAN STAFF SARARY - ALLOWANCE"/>
      <sheetName val="EUR, TCN &amp; LOC STAFF SALARY"/>
      <sheetName val="INDIRECT SALARY"/>
      <sheetName val="STAFF&amp;INDIRECT SALARY - SUMMARY"/>
      <sheetName val="MANPOWER MOBILIZATION"/>
      <sheetName val="PERSONNEL SETUP"/>
      <sheetName val="STAFF MOBILIZATION PLAN"/>
      <sheetName val="INDIRECT MOBILIZATION PLAN"/>
      <sheetName val="LABOR MOBILIZATION PLAN"/>
      <sheetName val="VEHICLE - MOBILIZATION PLAN"/>
      <sheetName val="MEDICAL TEST - SEOUL"/>
      <sheetName val="LIST OF AIR FARE"/>
      <sheetName val="BUSINESS TRIP-TRAVELING EXPENSE"/>
      <sheetName val="BUSINESS TRIP - FROM SEOUL"/>
      <sheetName val="BUSINESS TRIP - FROM SITE"/>
      <sheetName val="OPERATING COST - AIR FARE"/>
      <sheetName val="LIST OF OFFICE EQUIPMENT"/>
      <sheetName val="사무기기 - 유지보수"/>
      <sheetName val="사무기기 - 소모품 구입"/>
      <sheetName val="INSURANCE - KOREAN STAFF"/>
      <sheetName val="INSURANCE - KOREAN INDIRECT"/>
      <sheetName val="WELFARE COST - SITE"/>
      <sheetName val="CAMP OPERATING COST"/>
      <sheetName val="CLOTHES PAYMENT CONDITION"/>
      <sheetName val="VEHICLE - COST SUMMARY"/>
      <sheetName val="VISA &amp; PERMIT - SUMMARY"/>
      <sheetName val="WATER SUPPLY"/>
      <sheetName val="ELECTRICITY SUPPLY"/>
      <sheetName val="ELECTRIC POWER CONSUMPTION"/>
      <sheetName val="CAMP - CONSTRUCTION"/>
      <sheetName val="CAMP - RENTAL (AL-SUWAIDI)"/>
      <sheetName val="CAMP - RENTAL (RED SEA)"/>
      <sheetName val="CAMP - RENTAL &amp; CONSTRUCTION"/>
      <sheetName val="CAMP - COMPARATIVE TABLE"/>
      <sheetName val="CAMP - COMMON FACILITIES"/>
      <sheetName val="TEMPORARY FACILITIES"/>
      <sheetName val="COMMUNICATION"/>
      <sheetName val="VA_code"/>
      <sheetName val="PRO_A"/>
      <sheetName val="ELEC_MCI"/>
      <sheetName val="MAIN"/>
      <sheetName val="INST_MCI"/>
      <sheetName val="MECH_MCI"/>
      <sheetName val="PRO"/>
      <sheetName val="Sheet5"/>
      <sheetName val="MC-1"/>
      <sheetName val="교각1"/>
      <sheetName val="CAT_5"/>
      <sheetName val="RENUN"/>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_sheet"/>
      <sheetName val="LEGEND"/>
      <sheetName val="Cover"/>
      <sheetName val="Summary"/>
      <sheetName val="Total"/>
      <sheetName val="TIE-IN"/>
      <sheetName val="ISBL"/>
      <sheetName val="OSBL"/>
      <sheetName val="Equipment"/>
      <sheetName val="Consumable"/>
      <sheetName val="AILC004"/>
      <sheetName val="말뚝물량"/>
      <sheetName val="#REF"/>
      <sheetName val="Quantity"/>
      <sheetName val="수_01"/>
      <sheetName val="설비비4"/>
      <sheetName val="당초"/>
      <sheetName val="pw&amp;shs"/>
      <sheetName val="MixBed"/>
      <sheetName val="CondPol"/>
      <sheetName val="look-up"/>
      <sheetName val="Summary-Mechanical"/>
      <sheetName val="VA_code"/>
      <sheetName val="V-VESSEL (WITH DEMISTER)"/>
      <sheetName val="General Data"/>
      <sheetName val="BATCH"/>
      <sheetName val="9-1차이내역"/>
      <sheetName val="CAL(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연습"/>
      <sheetName val="9_1차이내역"/>
      <sheetName val="영업소실적"/>
      <sheetName val="첨1.4"/>
      <sheetName val="첨1.5"/>
      <sheetName val="첨1.3"/>
      <sheetName val="2.1.1"/>
      <sheetName val="9-1Â÷ÀÌ³»¿ª"/>
      <sheetName val="VA_code"/>
      <sheetName val="주관사업"/>
      <sheetName val="산출근거#2-3"/>
      <sheetName val="96CONF"/>
      <sheetName val="AILC004"/>
      <sheetName val="세금자료"/>
      <sheetName val="경제지표"/>
      <sheetName val="수입"/>
      <sheetName val="수주현황2월"/>
      <sheetName val="소화실적"/>
      <sheetName val="97 사업추정(WEKI)"/>
      <sheetName val="집계표"/>
      <sheetName val="개시대사 (2)"/>
      <sheetName val="세부내역"/>
      <sheetName val="총괄표양식"/>
      <sheetName val="차량운영비"/>
      <sheetName val="E_Rate PM"/>
      <sheetName val="용수량"/>
      <sheetName val="견적조건"/>
      <sheetName val="사업부배부A"/>
      <sheetName val="eq_data"/>
      <sheetName val="상반기손익차2총괄"/>
      <sheetName val="BLDG_DCI"/>
      <sheetName val="BLDG_MCI"/>
      <sheetName val="내역서"/>
      <sheetName val="cp1"/>
      <sheetName val="#REF"/>
      <sheetName val="일위대가"/>
      <sheetName val="data_dci"/>
      <sheetName val="data_mci"/>
      <sheetName val="behind"/>
      <sheetName val="Main"/>
      <sheetName val="예산"/>
      <sheetName val="개시대사_(2)"/>
      <sheetName val="E_Rate_PM"/>
      <sheetName val="97_사업추정(WEKI)"/>
      <sheetName val="sum"/>
      <sheetName val="DATE"/>
      <sheetName val="sw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
      <sheetName val="Calc"/>
      <sheetName val="Finish"/>
      <sheetName val="Misc"/>
      <sheetName val="BQ"/>
      <sheetName val="Ref"/>
      <sheetName val="LEGEND"/>
    </sheetNames>
    <sheetDataSet>
      <sheetData sheetId="0" refreshError="1"/>
      <sheetData sheetId="1">
        <row r="14">
          <cell r="E14" t="str">
            <v>Q-CHEM</v>
          </cell>
        </row>
      </sheetData>
      <sheetData sheetId="2"/>
      <sheetData sheetId="3" refreshError="1"/>
      <sheetData sheetId="4" refreshError="1"/>
      <sheetData sheetId="5" refreshError="1"/>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Sheet2"/>
      <sheetName val="Sheet1"/>
      <sheetName val="건설공사비"/>
      <sheetName val="견적기준"/>
      <sheetName val="Data"/>
      <sheetName val="Calc"/>
      <sheetName val="LEGEND"/>
      <sheetName val="Alum."/>
      <sheetName val="Summary Sheets"/>
      <sheetName val="Factor"/>
      <sheetName val="BSD (2)"/>
      <sheetName val="AILC004"/>
      <sheetName val="BLDG_DCI"/>
      <sheetName val="BLDG_MCI"/>
      <sheetName val="GC_1_4,000"/>
      <sheetName val="Electrical (2)"/>
      <sheetName val="Main"/>
      <sheetName val="Cost_total_배관-이창수2차"/>
      <sheetName val="look-up"/>
      <sheetName val="Fax"/>
      <sheetName val="´çÃÊ"/>
      <sheetName val="CAT_5"/>
      <sheetName val="ANX3A11"/>
      <sheetName val="BQ"/>
      <sheetName val="F-302"/>
      <sheetName val="F301.303"/>
      <sheetName val="Inputs"/>
      <sheetName val="Engrg Est"/>
      <sheetName val="SILICATE"/>
      <sheetName val="S0"/>
      <sheetName val="송라터널총괄"/>
      <sheetName val="203 Eqpt r1"/>
      <sheetName val="XZLC004_PART2"/>
      <sheetName val="XZLC003_PART1"/>
      <sheetName val="당초"/>
      <sheetName val="도급"/>
      <sheetName val="공정계획(내부계획25%,내부w.f)"/>
      <sheetName val="95삼성급(본사)"/>
      <sheetName val="B31.1"/>
      <sheetName val="PSIZE"/>
      <sheetName val="guard(mac)"/>
      <sheetName val="DNT OSBL"/>
      <sheetName val="PIPE"/>
      <sheetName val="Joints"/>
      <sheetName val="ASME B 36.10 M"/>
      <sheetName val="parts-V2"/>
      <sheetName val="적용환율"/>
      <sheetName val="계화배수(3대)"/>
      <sheetName val="DESIGN"/>
      <sheetName val="내역서"/>
      <sheetName val="대비표"/>
      <sheetName val="POWER"/>
      <sheetName val="laroux"/>
      <sheetName val="ITB COST"/>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EPC"/>
      <sheetName val="GTG"/>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점검표"/>
      <sheetName val="Cover"/>
      <sheetName val="TABLE"/>
      <sheetName val="총괄표(통합)"/>
      <sheetName val="총괄표(OOK)"/>
      <sheetName val="총괄표(IK)"/>
      <sheetName val="공사개요"/>
      <sheetName val="공정표"/>
      <sheetName val="조직표"/>
      <sheetName val="MCA 토건(IK)"/>
      <sheetName val="HPB 기계(OOK)"/>
      <sheetName val="HPA 전기자재(OOK)"/>
      <sheetName val="HE 전기설계(OOK)"/>
      <sheetName val="MPA 전기자재(IK)"/>
      <sheetName val="MCC 전기(IK)"/>
      <sheetName val="HPX 자재부대(OOK)"/>
      <sheetName val="MPX 자재부대(IK)"/>
      <sheetName val="MR 하자보수(IK)"/>
      <sheetName val="HCO 감독지원(OOK)"/>
      <sheetName val="MCO 감독지원(IK)"/>
      <sheetName val="MKA 가설총괄(IK)"/>
      <sheetName val="MKB 부대총괄(IK)"/>
      <sheetName val="HKC 경상비(OOK)"/>
      <sheetName val="MKC 경상비(IK)"/>
      <sheetName val="4.1 자재부대비"/>
      <sheetName val="4.1 운송비"/>
      <sheetName val="4.2 가설내역"/>
      <sheetName val="4.3 부대공통내역"/>
      <sheetName val="4.4 경상비내역"/>
      <sheetName val="4.5 토건상세내역"/>
      <sheetName val="4.6 SPVR"/>
      <sheetName val="4.6 TRAING"/>
      <sheetName val="4.6 Inspectn"/>
      <sheetName val="인건비(IK)"/>
      <sheetName val="장비비(IK)"/>
    </sheetNames>
    <sheetDataSet>
      <sheetData sheetId="0"/>
      <sheetData sheetId="1"/>
      <sheetData sheetId="2"/>
      <sheetData sheetId="3"/>
      <sheetData sheetId="4">
        <row r="6">
          <cell r="Q6">
            <v>3.75</v>
          </cell>
        </row>
        <row r="10">
          <cell r="Q10">
            <v>0.59189999999999998</v>
          </cell>
        </row>
        <row r="15">
          <cell r="P15" t="str">
            <v>2009 B/R = 1 USD = 107 YEN = 1/1.4 EUR = 3.75 SR = 1,100 WON</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A"/>
      <sheetName val="cover-B"/>
      <sheetName val="cover-c"/>
      <sheetName val="BRICK"/>
      <sheetName val="WATERPROOFING"/>
      <sheetName val="DEDUCTION LIST"/>
      <sheetName val="DEDUCTION MANPOWER"/>
      <sheetName val="MONTHLY PAYMNET"/>
      <sheetName val="B31.1"/>
      <sheetName val="PSIZE"/>
      <sheetName val="RCF CLAIMED"/>
      <sheetName val="집계표"/>
      <sheetName val="Summary Sheets"/>
      <sheetName val="BLDG_DCI"/>
      <sheetName val="BLDG_MCI"/>
      <sheetName val="현장별총괄"/>
      <sheetName val="9-1차이내역"/>
      <sheetName val="정산표實"/>
      <sheetName val="97년 SEACO예산"/>
      <sheetName val="WORKER"/>
      <sheetName val="RENUN"/>
      <sheetName val="95삼성급(본사)"/>
      <sheetName val="평균환율-USD"/>
      <sheetName val="5공사비"/>
      <sheetName val="수주실적0709"/>
      <sheetName val="LEGEND"/>
      <sheetName val="환율표"/>
      <sheetName val="계화배수(3대)"/>
      <sheetName val="Control Rates"/>
      <sheetName val="Regenerator  Concrete Structure"/>
      <sheetName val="포장복구집계"/>
      <sheetName val="OCT"/>
      <sheetName val="수입"/>
      <sheetName val="BOQ(매출)"/>
      <sheetName val="DEDUCTION_LIST"/>
      <sheetName val="DEDUCTION_MANPOWER"/>
      <sheetName val="MONTHLY_PAYMNET"/>
      <sheetName val="B31_1"/>
      <sheetName val="RCF_CLAIMED"/>
      <sheetName val="Summary_Sheets"/>
      <sheetName val="97년_SEACO예산"/>
      <sheetName val="Control_Rates"/>
      <sheetName val="Regenerator__Concrete_Structure"/>
      <sheetName val="간접비(1)"/>
      <sheetName val=""/>
      <sheetName val="영업소실적"/>
      <sheetName val="TST"/>
      <sheetName val="BREAKDOWN"/>
      <sheetName val="일반관리비"/>
      <sheetName val="DESIGN"/>
      <sheetName val="BASE-PL1(H-shape)(OLD)"/>
    </sheetNames>
    <sheetDataSet>
      <sheetData sheetId="0">
        <row r="8">
          <cell r="B8" t="str">
            <v>INLET</v>
          </cell>
        </row>
      </sheetData>
      <sheetData sheetId="1">
        <row r="8">
          <cell r="B8" t="str">
            <v>INLET</v>
          </cell>
        </row>
      </sheetData>
      <sheetData sheetId="2"/>
      <sheetData sheetId="3" refreshError="1">
        <row r="8">
          <cell r="B8" t="str">
            <v>INLET</v>
          </cell>
        </row>
        <row r="10">
          <cell r="B10" t="str">
            <v>Common brickwork, thickness not exceeding</v>
          </cell>
        </row>
        <row r="11">
          <cell r="B11" t="str">
            <v>150 mm, vertical straight walls.</v>
          </cell>
          <cell r="C11" t="str">
            <v>m2</v>
          </cell>
          <cell r="D11">
            <v>180</v>
          </cell>
          <cell r="E11">
            <v>30.4</v>
          </cell>
          <cell r="F11">
            <v>5472</v>
          </cell>
          <cell r="H11">
            <v>0</v>
          </cell>
          <cell r="I11">
            <v>0</v>
          </cell>
          <cell r="J11">
            <v>0</v>
          </cell>
          <cell r="L11">
            <v>0</v>
          </cell>
        </row>
        <row r="13">
          <cell r="B13" t="str">
            <v>Ditto, thickness 150 - 250 mm, ditto.</v>
          </cell>
          <cell r="C13" t="str">
            <v>m2</v>
          </cell>
          <cell r="D13">
            <v>10885</v>
          </cell>
          <cell r="E13">
            <v>58.9</v>
          </cell>
          <cell r="F13">
            <v>641126.5</v>
          </cell>
          <cell r="G13">
            <v>945.59</v>
          </cell>
          <cell r="H13">
            <v>55695.25</v>
          </cell>
          <cell r="I13">
            <v>240.7399999999999</v>
          </cell>
          <cell r="J13">
            <v>14179.589999999997</v>
          </cell>
          <cell r="K13">
            <v>1186.33</v>
          </cell>
          <cell r="L13">
            <v>69874.84</v>
          </cell>
        </row>
        <row r="15">
          <cell r="B15" t="str">
            <v>Common brickwork ancillaries, joint</v>
          </cell>
        </row>
        <row r="16">
          <cell r="B16" t="str">
            <v>reinforcement, thickness not exceeding 150mm.</v>
          </cell>
          <cell r="C16" t="str">
            <v>m</v>
          </cell>
          <cell r="D16">
            <v>526</v>
          </cell>
          <cell r="E16">
            <v>0.95</v>
          </cell>
          <cell r="F16">
            <v>499.7</v>
          </cell>
          <cell r="H16">
            <v>0</v>
          </cell>
          <cell r="I16">
            <v>0</v>
          </cell>
          <cell r="J16">
            <v>0</v>
          </cell>
          <cell r="L16">
            <v>0</v>
          </cell>
        </row>
        <row r="18">
          <cell r="B18" t="str">
            <v xml:space="preserve">Common brickwork ancillaries, damp proof </v>
          </cell>
        </row>
        <row r="19">
          <cell r="B19" t="str">
            <v>course, thickness 150 - 250 mm.</v>
          </cell>
          <cell r="C19" t="str">
            <v>m</v>
          </cell>
          <cell r="D19">
            <v>472</v>
          </cell>
          <cell r="E19">
            <v>1.71</v>
          </cell>
          <cell r="F19">
            <v>807.12</v>
          </cell>
          <cell r="H19">
            <v>0</v>
          </cell>
          <cell r="I19">
            <v>0</v>
          </cell>
          <cell r="J19">
            <v>0</v>
          </cell>
          <cell r="L19">
            <v>0</v>
          </cell>
        </row>
        <row r="21">
          <cell r="B21" t="str">
            <v>Common brickwork ancillaries, fixings and</v>
          </cell>
        </row>
        <row r="22">
          <cell r="B22" t="str">
            <v>ties.</v>
          </cell>
          <cell r="C22" t="str">
            <v>m2</v>
          </cell>
          <cell r="D22">
            <v>1392</v>
          </cell>
          <cell r="E22">
            <v>4.28</v>
          </cell>
          <cell r="F22">
            <v>5957.76</v>
          </cell>
          <cell r="G22">
            <v>132.53</v>
          </cell>
          <cell r="H22">
            <v>567.23</v>
          </cell>
          <cell r="I22">
            <v>38.370000000000005</v>
          </cell>
          <cell r="J22">
            <v>164.22000000000003</v>
          </cell>
          <cell r="K22">
            <v>170.9</v>
          </cell>
          <cell r="L22">
            <v>731.45</v>
          </cell>
        </row>
        <row r="24">
          <cell r="B24" t="str">
            <v>Lightweight blockwork, precast concrete</v>
          </cell>
        </row>
        <row r="25">
          <cell r="B25" t="str">
            <v>vent, thickness 150 - 250 mm, vertical</v>
          </cell>
        </row>
        <row r="26">
          <cell r="B26" t="str">
            <v>straight walls.</v>
          </cell>
          <cell r="C26" t="str">
            <v>m2</v>
          </cell>
          <cell r="D26">
            <v>11</v>
          </cell>
          <cell r="E26">
            <v>78.849999999999994</v>
          </cell>
          <cell r="F26">
            <v>867.34999999999991</v>
          </cell>
          <cell r="H26">
            <v>0</v>
          </cell>
          <cell r="I26">
            <v>0</v>
          </cell>
          <cell r="J26">
            <v>0</v>
          </cell>
          <cell r="L26">
            <v>0</v>
          </cell>
        </row>
        <row r="28">
          <cell r="B28" t="str">
            <v>Lightweight blockwork ancillaries, damp</v>
          </cell>
        </row>
        <row r="29">
          <cell r="B29" t="str">
            <v>proof courses, thickness 150 - 250 mm.</v>
          </cell>
          <cell r="C29" t="str">
            <v>m</v>
          </cell>
          <cell r="D29">
            <v>8</v>
          </cell>
          <cell r="E29">
            <v>1.71</v>
          </cell>
          <cell r="F29">
            <v>13.68</v>
          </cell>
          <cell r="H29">
            <v>0</v>
          </cell>
          <cell r="I29">
            <v>0</v>
          </cell>
          <cell r="J29">
            <v>0</v>
          </cell>
          <cell r="L29">
            <v>0</v>
          </cell>
        </row>
        <row r="31">
          <cell r="A31" t="str">
            <v>SUB-TOTAL</v>
          </cell>
          <cell r="F31">
            <v>654744.11</v>
          </cell>
          <cell r="H31">
            <v>56262.48</v>
          </cell>
          <cell r="J31">
            <v>14343.80999999999</v>
          </cell>
          <cell r="L31">
            <v>70606.289999999994</v>
          </cell>
          <cell r="M31">
            <v>0.10783799185303095</v>
          </cell>
        </row>
        <row r="33">
          <cell r="B33" t="str">
            <v>BATTERIES A &amp; B</v>
          </cell>
        </row>
        <row r="35">
          <cell r="B35" t="str">
            <v>Common brickwork, thickness 150 - 250 mm,</v>
          </cell>
        </row>
        <row r="36">
          <cell r="B36" t="str">
            <v>vertical straight walls.</v>
          </cell>
          <cell r="C36" t="str">
            <v>m2</v>
          </cell>
          <cell r="D36">
            <v>6607</v>
          </cell>
          <cell r="E36">
            <v>58.9</v>
          </cell>
          <cell r="F36">
            <v>389152.3</v>
          </cell>
          <cell r="H36">
            <v>0</v>
          </cell>
          <cell r="I36">
            <v>0</v>
          </cell>
          <cell r="J36">
            <v>0</v>
          </cell>
          <cell r="L36">
            <v>0</v>
          </cell>
        </row>
        <row r="38">
          <cell r="B38" t="str">
            <v>Common brickwork ancillaries, fixings and ties.</v>
          </cell>
          <cell r="C38" t="str">
            <v>m2</v>
          </cell>
          <cell r="D38">
            <v>482</v>
          </cell>
          <cell r="E38">
            <v>4.28</v>
          </cell>
          <cell r="F38">
            <v>2062.96</v>
          </cell>
          <cell r="H38">
            <v>0</v>
          </cell>
          <cell r="I38">
            <v>0</v>
          </cell>
          <cell r="J38">
            <v>0</v>
          </cell>
          <cell r="L38">
            <v>0</v>
          </cell>
        </row>
        <row r="40">
          <cell r="A40" t="str">
            <v>SUB-TOTAL</v>
          </cell>
          <cell r="F40">
            <v>391215.26</v>
          </cell>
          <cell r="H40">
            <v>0</v>
          </cell>
          <cell r="L40">
            <v>0</v>
          </cell>
          <cell r="M40">
            <v>0</v>
          </cell>
        </row>
        <row r="42">
          <cell r="B42" t="str">
            <v>POWER HOUSE</v>
          </cell>
        </row>
        <row r="44">
          <cell r="B44" t="str">
            <v>Common brickwork, thickness not exceeding</v>
          </cell>
        </row>
        <row r="45">
          <cell r="B45" t="str">
            <v>150 mm, vertical straight walls.</v>
          </cell>
          <cell r="C45" t="str">
            <v>m2</v>
          </cell>
          <cell r="D45">
            <v>580</v>
          </cell>
          <cell r="E45">
            <v>30.4</v>
          </cell>
          <cell r="F45">
            <v>17632</v>
          </cell>
          <cell r="H45">
            <v>0</v>
          </cell>
          <cell r="I45">
            <v>0</v>
          </cell>
          <cell r="J45">
            <v>0</v>
          </cell>
          <cell r="L45">
            <v>0</v>
          </cell>
        </row>
        <row r="47">
          <cell r="B47" t="str">
            <v>Ditto, thickness 150 - 250 mm, ditto.</v>
          </cell>
          <cell r="C47" t="str">
            <v>m2</v>
          </cell>
          <cell r="D47">
            <v>4615</v>
          </cell>
          <cell r="E47">
            <v>58.9</v>
          </cell>
          <cell r="F47">
            <v>271823.5</v>
          </cell>
          <cell r="H47">
            <v>0</v>
          </cell>
          <cell r="I47">
            <v>121.17</v>
          </cell>
          <cell r="J47">
            <v>7136.91</v>
          </cell>
          <cell r="K47">
            <v>121.17</v>
          </cell>
          <cell r="L47">
            <v>7136.91</v>
          </cell>
        </row>
        <row r="49">
          <cell r="B49" t="str">
            <v>Common brickwork ancillaries, joint</v>
          </cell>
        </row>
        <row r="50">
          <cell r="B50" t="str">
            <v>reinforcement, thickness not exceeding 150mm.</v>
          </cell>
          <cell r="C50" t="str">
            <v>m</v>
          </cell>
          <cell r="D50">
            <v>2051</v>
          </cell>
          <cell r="E50">
            <v>0.95</v>
          </cell>
          <cell r="F50">
            <v>1948.4499999999998</v>
          </cell>
          <cell r="H50">
            <v>0</v>
          </cell>
          <cell r="I50">
            <v>0</v>
          </cell>
          <cell r="J50">
            <v>0</v>
          </cell>
          <cell r="L50">
            <v>0</v>
          </cell>
        </row>
        <row r="52">
          <cell r="B52" t="str">
            <v xml:space="preserve">Common brickwork ancillaries, damp proof </v>
          </cell>
        </row>
        <row r="53">
          <cell r="B53" t="str">
            <v>course, thickness 150 - 250 mm.</v>
          </cell>
          <cell r="C53" t="str">
            <v>m</v>
          </cell>
          <cell r="D53">
            <v>123</v>
          </cell>
          <cell r="E53">
            <v>1.71</v>
          </cell>
          <cell r="F53">
            <v>210.32999999999998</v>
          </cell>
          <cell r="H53">
            <v>0</v>
          </cell>
          <cell r="I53">
            <v>0</v>
          </cell>
          <cell r="J53">
            <v>0</v>
          </cell>
          <cell r="L53">
            <v>0</v>
          </cell>
        </row>
        <row r="55">
          <cell r="B55" t="str">
            <v>Common brickwork ancillaries, fixings and</v>
          </cell>
        </row>
        <row r="56">
          <cell r="B56" t="str">
            <v>ties.</v>
          </cell>
          <cell r="C56" t="str">
            <v>m2</v>
          </cell>
          <cell r="D56">
            <v>510</v>
          </cell>
          <cell r="E56">
            <v>4.28</v>
          </cell>
          <cell r="F56">
            <v>2182.8000000000002</v>
          </cell>
          <cell r="H56">
            <v>0</v>
          </cell>
          <cell r="I56">
            <v>15.6</v>
          </cell>
          <cell r="J56">
            <v>66.77</v>
          </cell>
          <cell r="K56">
            <v>15.6</v>
          </cell>
          <cell r="L56">
            <v>66.77</v>
          </cell>
        </row>
        <row r="58">
          <cell r="B58" t="str">
            <v>Lightweight blockwork, precast concrete</v>
          </cell>
        </row>
        <row r="59">
          <cell r="B59" t="str">
            <v>vent, thickness 150 - 250 mm, vertical</v>
          </cell>
        </row>
        <row r="60">
          <cell r="B60" t="str">
            <v>straight walls.</v>
          </cell>
          <cell r="C60" t="str">
            <v>m2</v>
          </cell>
          <cell r="D60">
            <v>16</v>
          </cell>
          <cell r="E60">
            <v>78.849999999999994</v>
          </cell>
          <cell r="F60">
            <v>1261.5999999999999</v>
          </cell>
          <cell r="H60">
            <v>0</v>
          </cell>
          <cell r="I60">
            <v>0</v>
          </cell>
          <cell r="J60">
            <v>0</v>
          </cell>
          <cell r="L60">
            <v>0</v>
          </cell>
        </row>
        <row r="62">
          <cell r="B62" t="str">
            <v>Lightweight blockwork ancillaries, damp</v>
          </cell>
        </row>
        <row r="63">
          <cell r="B63" t="str">
            <v>proof courses, thickness 150 - 250 mm.</v>
          </cell>
          <cell r="C63" t="str">
            <v>m</v>
          </cell>
          <cell r="D63">
            <v>11</v>
          </cell>
          <cell r="E63">
            <v>1.71</v>
          </cell>
          <cell r="F63">
            <v>18.809999999999999</v>
          </cell>
          <cell r="H63">
            <v>0</v>
          </cell>
          <cell r="I63">
            <v>0</v>
          </cell>
          <cell r="J63">
            <v>0</v>
          </cell>
          <cell r="L63">
            <v>0</v>
          </cell>
        </row>
        <row r="65">
          <cell r="A65" t="str">
            <v>SUB-TOTAL</v>
          </cell>
          <cell r="F65">
            <v>295077.49</v>
          </cell>
          <cell r="H65">
            <v>0</v>
          </cell>
          <cell r="J65">
            <v>7203.68</v>
          </cell>
          <cell r="L65">
            <v>7203.68</v>
          </cell>
          <cell r="M65">
            <v>2.4412841521730445E-2</v>
          </cell>
        </row>
        <row r="68">
          <cell r="A68" t="str">
            <v>TOTAL</v>
          </cell>
          <cell r="F68">
            <v>1341036.8600000001</v>
          </cell>
          <cell r="H68">
            <v>56262.48</v>
          </cell>
          <cell r="J68">
            <v>21547.489999999998</v>
          </cell>
          <cell r="L68">
            <v>77809.97</v>
          </cell>
          <cell r="M68">
            <v>5.802224556303396E-2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내역"/>
      <sheetName val="COVER"/>
      <sheetName val="작성기준"/>
      <sheetName val="insulation"/>
      <sheetName val="Sheet5"/>
      <sheetName val="#3E1_GCR"/>
      <sheetName val="Summary Sheets"/>
      <sheetName val="15100"/>
      <sheetName val="PRICE-COMP"/>
      <sheetName val="BQMPALOC"/>
      <sheetName val="LEGEND"/>
      <sheetName val="BSD (2)"/>
      <sheetName val="보온자재단가표"/>
      <sheetName val="Data"/>
      <sheetName val="Calc"/>
      <sheetName val="BATCH"/>
      <sheetName val="Electrical"/>
      <sheetName val="PIPE"/>
      <sheetName val="FLANGE"/>
      <sheetName val="VALVE"/>
      <sheetName val="DATE"/>
      <sheetName val="기계내역서"/>
      <sheetName val="General Data"/>
      <sheetName val="산근"/>
      <sheetName val="공사비예산서(토목분)"/>
      <sheetName val="12CGOU"/>
      <sheetName val="Summary_Sheets"/>
      <sheetName val="BSD_(2)"/>
      <sheetName val="Summary_Sheets1"/>
      <sheetName val="BSD_(2)1"/>
      <sheetName val="2M"/>
      <sheetName val="95삼성급(본사)"/>
      <sheetName val="C3"/>
      <sheetName val="Al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REVISION"/>
      <sheetName val="job description"/>
      <sheetName val="Manmonths (2)"/>
      <sheetName val="Manmonths"/>
      <sheetName val="Salary"/>
      <sheetName val="Tipo Terzi"/>
      <sheetName val="HO DATA"/>
      <sheetName val="HOME OFFICE"/>
      <sheetName val=" SITE 1 DATA"/>
      <sheetName val="SITE 1"/>
      <sheetName val="SITE 2 DATA"/>
      <sheetName val="SITE 2"/>
      <sheetName val="SITE 3 DATA"/>
      <sheetName val="SITE 3"/>
      <sheetName val="SITE 4 DATA"/>
      <sheetName val="SITE 4"/>
      <sheetName val="SITE 5 DATA "/>
      <sheetName val="SITE 5"/>
      <sheetName val="SITE 6 DATA  "/>
      <sheetName val="SITE 6"/>
      <sheetName val="SITE 7 DATA "/>
      <sheetName val="SITE 7"/>
      <sheetName val="Synthese"/>
      <sheetName val="EXPATRIATION "/>
      <sheetName val="CAMP OPERATING COST"/>
      <sheetName val="PERSONNEL SETUP"/>
      <sheetName val="LIST OF OFFICE EQUIPMENT"/>
      <sheetName val="STAFF&amp;INDIRECT SALARY - SUMMARY"/>
      <sheetName val="KOREAN STAFF SALARY_BREAKDOWN"/>
      <sheetName val="BREAKDOWN"/>
      <sheetName val="WELFARE COST - SITE"/>
      <sheetName val="BRICK"/>
      <sheetName val="CAMP - CONSTRUCTION"/>
      <sheetName val="VA_code"/>
      <sheetName val="공사비 내역 (가)"/>
      <sheetName val="Sheet5"/>
      <sheetName val="A020075 - PMT SMT Costa Azul Te"/>
      <sheetName val="주관사업"/>
      <sheetName val="요약배부"/>
      <sheetName val="MC-1"/>
      <sheetName val="CAT_5"/>
      <sheetName val="작성기준"/>
      <sheetName val="Eq. Mobilization"/>
      <sheetName val="와동25-3(변경)"/>
      <sheetName val="M+1"/>
    </sheetNames>
    <definedNames>
      <definedName name="Button3_Click"/>
    </definedNames>
    <sheetDataSet>
      <sheetData sheetId="0" refreshError="1"/>
      <sheetData sheetId="1" refreshError="1"/>
      <sheetData sheetId="2" refreshError="1"/>
      <sheetData sheetId="3" refreshError="1"/>
      <sheetData sheetId="4" refreshError="1"/>
      <sheetData sheetId="5" refreshError="1"/>
      <sheetData sheetId="6" refreshError="1">
        <row r="2">
          <cell r="L2" t="str">
            <v>Single</v>
          </cell>
        </row>
        <row r="3">
          <cell r="A3" t="str">
            <v>SENIOR MANAGER</v>
          </cell>
          <cell r="L3" t="str">
            <v>Familly</v>
          </cell>
        </row>
        <row r="4">
          <cell r="A4" t="str">
            <v>MID MANAGER</v>
          </cell>
          <cell r="L4" t="str">
            <v>TCN</v>
          </cell>
        </row>
        <row r="5">
          <cell r="A5" t="str">
            <v>MANAGER</v>
          </cell>
          <cell r="L5" t="str">
            <v>Local1</v>
          </cell>
        </row>
        <row r="6">
          <cell r="A6" t="str">
            <v>JUNIOR MANAGER</v>
          </cell>
          <cell r="L6" t="str">
            <v>Local2</v>
          </cell>
        </row>
        <row r="7">
          <cell r="A7" t="str">
            <v>MARINE OFFICER</v>
          </cell>
          <cell r="L7" t="str">
            <v>Local3</v>
          </cell>
        </row>
        <row r="8">
          <cell r="A8" t="str">
            <v>WHITE COLLAR 4</v>
          </cell>
          <cell r="L8" t="str">
            <v>Local4</v>
          </cell>
        </row>
        <row r="9">
          <cell r="A9" t="str">
            <v>WHITE COLLAR 3</v>
          </cell>
          <cell r="L9" t="str">
            <v>Local5</v>
          </cell>
        </row>
        <row r="10">
          <cell r="A10" t="str">
            <v>WHITE COLLAR 2</v>
          </cell>
          <cell r="L10" t="str">
            <v>Local6</v>
          </cell>
        </row>
        <row r="11">
          <cell r="A11" t="str">
            <v>WHITE COLLAR 1</v>
          </cell>
          <cell r="L11" t="str">
            <v>Local7</v>
          </cell>
        </row>
        <row r="12">
          <cell r="A12" t="str">
            <v>MARINE CREW</v>
          </cell>
          <cell r="L12" t="str">
            <v>Partners</v>
          </cell>
        </row>
        <row r="13">
          <cell r="A13" t="str">
            <v>BLUE COLLAR</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 개요"/>
      <sheetName val="공통비 예산 편성 내역"/>
      <sheetName val="공통부대"/>
      <sheetName val="경상비"/>
      <sheetName val="서울사무소"/>
      <sheetName val="인원분석"/>
      <sheetName val="직원동원계획(서울)"/>
      <sheetName val="직원동원계획(현장)"/>
      <sheetName val="현채직원(현장)"/>
      <sheetName val="간접인원동원계획(현장)"/>
      <sheetName val="직원급여"/>
      <sheetName val="임금인상"/>
      <sheetName val="차량동원계획"/>
      <sheetName val="차량 구매 및 보험료"/>
    </sheetNames>
    <sheetDataSet>
      <sheetData sheetId="0">
        <row r="9">
          <cell r="D9">
            <v>1050</v>
          </cell>
        </row>
        <row r="10">
          <cell r="D10">
            <v>0.83333333333333337</v>
          </cell>
        </row>
        <row r="11">
          <cell r="D11">
            <v>20.834199999999999</v>
          </cell>
        </row>
        <row r="15">
          <cell r="D15">
            <v>3386232391</v>
          </cell>
        </row>
        <row r="29">
          <cell r="G29">
            <v>512782393.68384862</v>
          </cell>
        </row>
        <row r="31">
          <cell r="G31">
            <v>36</v>
          </cell>
        </row>
        <row r="47">
          <cell r="C47">
            <v>1.2</v>
          </cell>
          <cell r="E47">
            <v>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표지"/>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평균인원"/>
      <sheetName val="인원계획"/>
      <sheetName val="Sheet1"/>
      <sheetName val="eq_data"/>
      <sheetName val="9-1차이내역"/>
      <sheetName val="IT-BAT"/>
      <sheetName val="PRO_A"/>
      <sheetName val="ELEC_MCI"/>
      <sheetName val="MAIN"/>
      <sheetName val="INST_MCI"/>
      <sheetName val="MECH_MCI"/>
      <sheetName val="PRO"/>
      <sheetName val="할증 "/>
      <sheetName val="Sheet5"/>
      <sheetName val="10현장조직"/>
      <sheetName val="세부기준"/>
      <sheetName val="2003.02월수금계획"/>
      <sheetName val="2002_건설용역비미수금현황"/>
      <sheetName val="Piping Design Data"/>
      <sheetName val="현장"/>
      <sheetName val="MOKDONG(1)"/>
      <sheetName val="손익차9월2"/>
      <sheetName val="97 사업추정(WEKI)"/>
      <sheetName val="손익차총괄2"/>
      <sheetName val="공통비총괄표"/>
      <sheetName val="Sheet2"/>
      <sheetName val="P.M 별"/>
      <sheetName val="회사99"/>
      <sheetName val="공통"/>
      <sheetName val="삭제금지단가"/>
      <sheetName val="공문"/>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95년12월말"/>
      <sheetName val="유림골조"/>
      <sheetName val="95삼성급(본사)"/>
      <sheetName val="合成単価作成表-BLDG"/>
      <sheetName val="집계표(OPTION)"/>
      <sheetName val="정산표"/>
      <sheetName val="와동25-3(변경)"/>
      <sheetName val="M-EQPT-Z"/>
      <sheetName val="소화실적"/>
      <sheetName val="집계표"/>
      <sheetName val="개시대사 (2)"/>
      <sheetName val="정산표2"/>
      <sheetName val="RCF CLAIMED"/>
      <sheetName val="입찰안"/>
      <sheetName val="일위_파일"/>
      <sheetName val="상반기손익차2총괄"/>
      <sheetName val="현금"/>
      <sheetName val="Equipment (5)"/>
      <sheetName val="#REF"/>
      <sheetName val="KP1590_E"/>
      <sheetName val="Customer Databas"/>
      <sheetName val="EACT10"/>
      <sheetName val="가격조사서"/>
      <sheetName val="금액내역서"/>
      <sheetName val="JOB Assign"/>
      <sheetName val="보증금(전신전화가입권)"/>
      <sheetName val="부안일위"/>
      <sheetName val="2003_02월수금계획"/>
      <sheetName val="Piping_Design_Data"/>
      <sheetName val="97_사업추정(WEKI)"/>
      <sheetName val="P_M_별"/>
      <sheetName val="Total"/>
      <sheetName val="원가계산서"/>
      <sheetName val="적용대가"/>
      <sheetName val="공사비PK5월"/>
      <sheetName val="3.바닥판설계"/>
      <sheetName val="주형"/>
      <sheetName val="토사(PE)"/>
      <sheetName val="예가표"/>
      <sheetName val="내역서"/>
      <sheetName val="INPUT DATA"/>
      <sheetName val="B"/>
      <sheetName val="건축"/>
      <sheetName val="Doha WBS Clean"/>
      <sheetName val="new급여T(4을-운전)"/>
      <sheetName val="정부노임단가"/>
      <sheetName val="예산M2"/>
      <sheetName val="예산M12A"/>
      <sheetName val="Sheet11"/>
      <sheetName val="Peralatan (2)"/>
      <sheetName val="DCS"/>
      <sheetName val="ANALYSER"/>
      <sheetName val="공통가설"/>
      <sheetName val="CB"/>
      <sheetName val="카메라"/>
      <sheetName val="제작비추산총괄표"/>
      <sheetName val="물가자료"/>
      <sheetName val="노무비단가"/>
      <sheetName val="BATCH"/>
      <sheetName val="구의33고"/>
      <sheetName val="약품설비"/>
      <sheetName val="사업부배부A"/>
      <sheetName val="총괄표"/>
      <sheetName val="Sheet3"/>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cable-data"/>
      <sheetName val="수안보-MBR1"/>
      <sheetName val="전기혼잡제경비(45)"/>
      <sheetName val="간접"/>
      <sheetName val="직S"/>
      <sheetName val="sum"/>
      <sheetName val="6PILE  (돌출)"/>
      <sheetName val="건설성적"/>
      <sheetName val="1월"/>
      <sheetName val="터널조도"/>
      <sheetName val="산출서"/>
      <sheetName val="95하U$가격"/>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Summary Sheets"/>
      <sheetName val="B31.1"/>
      <sheetName val="PSIZE"/>
      <sheetName val="적용토목"/>
      <sheetName val="평자재단가"/>
      <sheetName val="지사인원사무실"/>
      <sheetName val="COVER-P"/>
      <sheetName val="토적계산"/>
      <sheetName val="96 능제취입"/>
      <sheetName val="새공통"/>
      <sheetName val="협력업체전기요금"/>
      <sheetName val="수문일1"/>
      <sheetName val="일위대가"/>
      <sheetName val="돈"/>
      <sheetName val="기본단가"/>
      <sheetName val="신대방33(적용)"/>
      <sheetName val="수주실적0709"/>
      <sheetName val="실행철강하도"/>
      <sheetName val="청산공사"/>
      <sheetName val="1차배부(JB포함)"/>
      <sheetName val="마케팅"/>
      <sheetName val="9GNG운반"/>
      <sheetName val="경비공통"/>
      <sheetName val="VXXXXX"/>
      <sheetName val="도급"/>
      <sheetName val="WORKER"/>
      <sheetName val="하조서"/>
      <sheetName val="공통부대비"/>
      <sheetName val="년말집계"/>
      <sheetName val="직원동원SCH"/>
      <sheetName val="99년하반기"/>
      <sheetName val="공사비내역"/>
      <sheetName val="차량별점검"/>
      <sheetName val="토목"/>
      <sheetName val="한화건설"/>
      <sheetName val="실행내역"/>
      <sheetName val="경상"/>
      <sheetName val="Sheet6"/>
      <sheetName val="BLIND FLANGE"/>
      <sheetName val="CAP"/>
      <sheetName val="ELBOW"/>
      <sheetName val="FLANGE"/>
      <sheetName val="PIPE NPS OD"/>
      <sheetName val="OLET"/>
      <sheetName val="REDUCER"/>
      <sheetName val="TEE"/>
      <sheetName val="CBE-VSL"/>
      <sheetName val="TTL"/>
      <sheetName val="공정회의자료(월요일 10시까지)"/>
      <sheetName val="수주추정"/>
      <sheetName val="OD5000"/>
      <sheetName val="2003_02월수금계획2"/>
      <sheetName val="Piping_Design_Data2"/>
      <sheetName val="계정보고_(2)1"/>
      <sheetName val="요약배부_(보고)1"/>
      <sheetName val="요약배부_(보고)_(2)1"/>
      <sheetName val="기타매출_(2)1"/>
      <sheetName val="기타매출_(3)1"/>
      <sheetName val="97_사업추정(WEKI)2"/>
      <sheetName val="P_M_별2"/>
      <sheetName val="개시대사_(2)1"/>
      <sheetName val="RCF_CLAIMED1"/>
      <sheetName val="Equipment_(5)1"/>
      <sheetName val="JOB_Assign1"/>
      <sheetName val="Customer_Databas1"/>
      <sheetName val="3_바닥판설계1"/>
      <sheetName val="INPUT_DATA1"/>
      <sheetName val="Doha_WBS_Clean1"/>
      <sheetName val="Peralatan_(2)1"/>
      <sheetName val="DATE"/>
      <sheetName val="WIND"/>
      <sheetName val="COMPRESSOR"/>
      <sheetName val="배수공 주요자재 집계표"/>
      <sheetName val="WIND-EQ"/>
      <sheetName val="HORI. VESSEL"/>
      <sheetName val="BOROUGE2"/>
      <sheetName val="공사비 내역 (가)"/>
      <sheetName val="INPUT DATA OF SCHEDULE"/>
      <sheetName val="직노"/>
      <sheetName val="저"/>
      <sheetName val="NYS"/>
      <sheetName val="인건-측정"/>
      <sheetName val="자재단가"/>
      <sheetName val="수성페인트도장 내역서"/>
      <sheetName val="1.취수장"/>
      <sheetName val="W42  "/>
      <sheetName val="세금자료"/>
      <sheetName val="경제지표"/>
      <sheetName val="실적"/>
      <sheetName val="제출내역 (2)"/>
      <sheetName val="사급자재"/>
      <sheetName val="FWBS7000,8000"/>
      <sheetName val="8"/>
      <sheetName val="10"/>
      <sheetName val="12"/>
      <sheetName val="9"/>
      <sheetName val="11"/>
      <sheetName val="2"/>
      <sheetName val="6PILE__(돌출)"/>
      <sheetName val="BLIND_FLANGE"/>
      <sheetName val="PIPE_NPS_OD"/>
      <sheetName val="설_계"/>
      <sheetName val="15_도급예산대비표"/>
      <sheetName val="Summary_Sheets"/>
      <sheetName val="B31_1"/>
      <sheetName val="현대본사"/>
      <sheetName val="총괄-1"/>
      <sheetName val="CAT_5"/>
      <sheetName val="포장공"/>
      <sheetName val="Regenerator  Concrete Structure"/>
      <sheetName val="내역표지"/>
      <sheetName val="VV보온LINK"/>
      <sheetName val="FIT보온LINK"/>
      <sheetName val="간접비 총괄표"/>
      <sheetName val="ysn"/>
      <sheetName val="갑지"/>
      <sheetName val="lab"/>
      <sheetName val="96_능제취입"/>
      <sheetName val="재료율"/>
      <sheetName val="BQ"/>
      <sheetName val="IMP(MAIN)"/>
      <sheetName val="IMP (REACTOR)"/>
      <sheetName val="D-623D"/>
      <sheetName val="Weld, NDE (Pipe)"/>
      <sheetName val="ANX3A65"/>
      <sheetName val="평3"/>
      <sheetName val="견적단가"/>
      <sheetName val="Malaysia incl. RET"/>
      <sheetName val="적용단가"/>
      <sheetName val="토공사"/>
      <sheetName val="단가"/>
      <sheetName val="기초자료입력및 K치 확인"/>
      <sheetName val="재료"/>
      <sheetName val="내역_ver1.0"/>
      <sheetName val="내역서1"/>
      <sheetName val="교각1"/>
      <sheetName val="토목주소"/>
      <sheetName val="프랜트면허"/>
      <sheetName val="예산M6-B"/>
      <sheetName val="견적대비"/>
      <sheetName val="기안"/>
      <sheetName val="을"/>
      <sheetName val=" 냉각수펌프"/>
      <sheetName val="공조기휀"/>
      <sheetName val="AHU집계"/>
      <sheetName val="5사남"/>
      <sheetName val="기계내역"/>
      <sheetName val="대전-교대(A1-A2)"/>
      <sheetName val="변동률산출"/>
      <sheetName val="tcm_bq_MH"/>
      <sheetName val="DWG"/>
      <sheetName val="ELEC_DCI"/>
      <sheetName val="INST_DCI"/>
      <sheetName val=""/>
      <sheetName val="BLDG_DCI"/>
      <sheetName val="BLDG_MCI"/>
      <sheetName val="VENDOR LIST"/>
      <sheetName val="기계"/>
      <sheetName val="토량산출서"/>
      <sheetName val="입찰보고"/>
      <sheetName val="INPUT"/>
      <sheetName val="2.대외공문"/>
      <sheetName val="PRO_DCI"/>
      <sheetName val="HVAC_DCI"/>
      <sheetName val="PIPE_DCI"/>
      <sheetName val="신표지1"/>
      <sheetName val="General Data"/>
      <sheetName val="EQUIP"/>
      <sheetName val="982월원안"/>
      <sheetName val="TOT-SUM"/>
      <sheetName val="Manmonth(입력)"/>
      <sheetName val="list"/>
      <sheetName val="BREAKDOWN(철거설치)"/>
      <sheetName val="시공집계"/>
      <sheetName val="용소리교"/>
      <sheetName val="ACUNIT"/>
      <sheetName val="구조물공"/>
      <sheetName val="주beam"/>
      <sheetName val="선수금반제"/>
      <sheetName val="지사인원"/>
      <sheetName val="Basic"/>
      <sheetName val="산근터빈"/>
      <sheetName val="FAB별"/>
      <sheetName val="6호기"/>
      <sheetName val="평형공사비"/>
      <sheetName val="무전표"/>
      <sheetName val="입찰"/>
      <sheetName val="현경"/>
      <sheetName val="식재인부"/>
      <sheetName val="경비2내역"/>
      <sheetName val="MEED"/>
      <sheetName val="¼ÕÀÍÂ÷9¿ù2"/>
      <sheetName val="견적서"/>
      <sheetName val="97 사업추정_WEKI_"/>
      <sheetName val="jobhist"/>
      <sheetName val="97"/>
      <sheetName val="공사설계서"/>
      <sheetName val="CAL(1)."/>
      <sheetName val="뜃맟뭁돽띿맟?-BLDG"/>
      <sheetName val="공통비"/>
      <sheetName val="XL4Poppy"/>
      <sheetName val="Cash"/>
      <sheetName val="금리계산"/>
      <sheetName val="단가산출"/>
      <sheetName val="토 적 표"/>
      <sheetName val="N賃率-職"/>
      <sheetName val="지급자재"/>
      <sheetName val=" "/>
      <sheetName val="insulation"/>
      <sheetName val="PRICE-COMP"/>
      <sheetName val="할증_"/>
      <sheetName val="전기단가조사서"/>
      <sheetName val="TABLE-A"/>
      <sheetName val="부대내역"/>
      <sheetName val="품조정율(97-99)"/>
      <sheetName val="조경일람"/>
      <sheetName val="내역"/>
      <sheetName val="공정코드"/>
      <sheetName val="총괄집계 "/>
      <sheetName val="단가비교"/>
      <sheetName val="내역(전력)"/>
      <sheetName val="98수문일위"/>
      <sheetName val="월별인건비현황"/>
      <sheetName val="data"/>
      <sheetName val="부속동"/>
      <sheetName val="Container항차정리"/>
      <sheetName val="외화금융(97-03)"/>
      <sheetName val="조정전"/>
      <sheetName val="배수내역 (2)"/>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점수계산1-2"/>
      <sheetName val="내역서(당초변경)"/>
      <sheetName val="시설물일위"/>
      <sheetName val="금액"/>
      <sheetName val="노임"/>
      <sheetName val="P_M 별"/>
      <sheetName val="작성기준"/>
      <sheetName val="남양내역"/>
      <sheetName val="원가"/>
      <sheetName val="2공구산출내역"/>
      <sheetName val="BLR-S"/>
      <sheetName val="공정산출"/>
      <sheetName val="공사진행"/>
      <sheetName val="문학간접"/>
      <sheetName val="AS복구"/>
      <sheetName val="중기터파기"/>
      <sheetName val="변수값"/>
      <sheetName val="중기상차"/>
      <sheetName val="산출근거#2-3"/>
      <sheetName val="단위가격"/>
      <sheetName val="관급"/>
      <sheetName val="tjexcel"/>
      <sheetName val="Prices"/>
      <sheetName val="Y-MOV2011"/>
      <sheetName val="Proposal"/>
      <sheetName val="GAEYO"/>
      <sheetName val="음료실행"/>
      <sheetName val="참고1"/>
      <sheetName val="L V Separator"/>
      <sheetName val="#13_Electrical"/>
      <sheetName val="DPRKMHDT"/>
      <sheetName val="공사비예산서(토목분)"/>
      <sheetName val="ÁÖ°ü»ç¾÷"/>
      <sheetName val="MOTOR"/>
      <sheetName val="TB-내역서"/>
      <sheetName val="MACRO(전선관)"/>
      <sheetName val="뜃맟뭁돽띿맟_-BLDG"/>
      <sheetName val="Quantity"/>
      <sheetName val="info"/>
      <sheetName val="LEGEND"/>
      <sheetName val="Control"/>
      <sheetName val="단가(LP)"/>
      <sheetName val="휴일check"/>
      <sheetName val="차액보증"/>
      <sheetName val="1련,2련"/>
      <sheetName val="변품8-37"/>
      <sheetName val="에너지동"/>
      <sheetName val="명세서"/>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0고과평균 및 편차조정 (2)"/>
      <sheetName val="품셈1-26"/>
      <sheetName val="반포2차"/>
      <sheetName val="Code_Magics"/>
      <sheetName val="Code"/>
      <sheetName val="우수"/>
      <sheetName val="대차대조표"/>
      <sheetName val="적금및발행어음계산"/>
      <sheetName val="참고"/>
      <sheetName val="2003_02월수금계획3"/>
      <sheetName val="Piping_Design_Data3"/>
      <sheetName val="97_사업추정(WEKI)3"/>
      <sheetName val="P_M_별3"/>
      <sheetName val="개시대사_(2)2"/>
      <sheetName val="Equipment_(5)2"/>
      <sheetName val="RCF_CLAIMED2"/>
      <sheetName val="JOB_Assign2"/>
      <sheetName val="INPUT_DATA2"/>
      <sheetName val="Customer_Databas2"/>
      <sheetName val="Doha_WBS_Clean2"/>
      <sheetName val="Peralatan_(2)2"/>
      <sheetName val="3_바닥판설계2"/>
      <sheetName val="6PILE__(돌출)1"/>
      <sheetName val="BLIND_FLANGE1"/>
      <sheetName val="PIPE_NPS_OD1"/>
      <sheetName val="배수공_주요자재_집계표"/>
      <sheetName val="HORI__VESSEL"/>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공정회의자료(월요일_10시까지)"/>
      <sheetName val="공사비_내역_(가)"/>
      <sheetName val="INPUT_DATA_OF_SCHEDULE"/>
      <sheetName val="제출내역_(2)"/>
      <sheetName val="IMP_(REACTOR)"/>
      <sheetName val="Malaysia_incl__RET"/>
      <sheetName val="경"/>
      <sheetName val="광통신 견적내역서1"/>
      <sheetName val="15"/>
      <sheetName val="노무비"/>
      <sheetName val="일위대가표"/>
      <sheetName val="처리목록"/>
      <sheetName val="BOLT"/>
      <sheetName val="Sheet17"/>
      <sheetName val="매체인지도분석"/>
      <sheetName val="Asset9809CAK"/>
      <sheetName val="플랜트 설치"/>
      <sheetName val="sheet4"/>
      <sheetName val="-15.0"/>
      <sheetName val="ANX3A11"/>
      <sheetName val="bolts"/>
      <sheetName val="매립"/>
      <sheetName val="Curves"/>
      <sheetName val="Tables"/>
      <sheetName val="설계내역서"/>
      <sheetName val="간선계산"/>
      <sheetName val="소상 &quot;1&quot;"/>
      <sheetName val="Z- GENERAL PRICE SUMMARY"/>
      <sheetName val=" Estimate  "/>
      <sheetName val="200"/>
      <sheetName val="B2BERP"/>
      <sheetName val="데이타"/>
      <sheetName val="신우"/>
      <sheetName val="6동"/>
      <sheetName val="환산매출"/>
      <sheetName val="해외 연수비용 계산-삭제"/>
      <sheetName val="해외 기술훈련비 (합계)"/>
      <sheetName val="마스터"/>
      <sheetName val="일반자료"/>
      <sheetName val="이름표"/>
      <sheetName val="회사정보"/>
      <sheetName val="guard(mac)"/>
      <sheetName val="F-1,2"/>
      <sheetName val="손익계산서(管理)"/>
      <sheetName val="Data_인원계획"/>
      <sheetName val="관계주식"/>
      <sheetName val="ITB COST"/>
      <sheetName val="제잡비"/>
      <sheetName val="??-BLDG"/>
      <sheetName val="DAF-2"/>
      <sheetName val="설비"/>
      <sheetName val="영지실적"/>
      <sheetName val="교통대책내역"/>
      <sheetName val="공비대비"/>
      <sheetName val="BOX 본체"/>
      <sheetName val="입출재고현황 (2)"/>
      <sheetName val="날개벽"/>
      <sheetName val="예정(3)"/>
      <sheetName val="견적대비표"/>
      <sheetName val="포장복구집계"/>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인력정보"/>
      <sheetName val="data_dci"/>
      <sheetName val="data_mci"/>
      <sheetName val="behind"/>
      <sheetName val="TACE"/>
      <sheetName val="inter"/>
      <sheetName val="영동(D)"/>
      <sheetName val="h-013211-2"/>
      <sheetName val="기계내역서"/>
      <sheetName val="맨홀수량산출"/>
      <sheetName val="가감수량"/>
      <sheetName val="백분율"/>
      <sheetName val="DHEQSUPT"/>
      <sheetName val="간접비"/>
      <sheetName val="Process Piping"/>
      <sheetName val="기기리스트"/>
      <sheetName val="CJI3"/>
      <sheetName val="과천MAIN"/>
      <sheetName val="노무산출서"/>
      <sheetName val="H.Sat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sheetData sheetId="118" refreshError="1"/>
      <sheetData sheetId="119" refreshError="1"/>
      <sheetData sheetId="120"/>
      <sheetData sheetId="12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sheetData sheetId="549"/>
      <sheetData sheetId="550"/>
      <sheetData sheetId="551" refreshError="1"/>
      <sheetData sheetId="552" refreshError="1"/>
      <sheetData sheetId="553" refreshError="1"/>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EXCHANGE RATE"/>
      <sheetName val="SUMMARY"/>
      <sheetName val="BREAKDOWN"/>
      <sheetName val="KOREAN STAFF SALARY_BREAKDOWN"/>
      <sheetName val="KOREAN STAFF SALARY - HOME"/>
      <sheetName val="KOREAN STAFF SALARY - SITE"/>
      <sheetName val="KOREAN STAFF SALARY - BRANCH"/>
      <sheetName val="KOREAN STAFF SALARY - 현지불 수당"/>
      <sheetName val="KOREAN STAFF SALARY - 연장수당"/>
      <sheetName val="KOREAN STAFF SALARY - 직책수당"/>
      <sheetName val="KOREAN STAFF SALARY - 단신부임수당"/>
      <sheetName val="KOREAN STAFF SALARY - SUMMARY"/>
      <sheetName val="KOREAN STAFF SARARY - ALLOWANCE"/>
      <sheetName val="EUR, TCN &amp; LOC STAFF SALARY"/>
      <sheetName val="INDIRECT SALARY"/>
      <sheetName val="STAFF&amp;INDIRECT SALARY - SUMMARY"/>
      <sheetName val="PERSONNEL SETUP"/>
      <sheetName val="STAFF MOBILIZATION PLAN"/>
      <sheetName val="INDIRECT MOBILIZATION PLAN"/>
      <sheetName val="LABOR MOBILIZATION PLAN"/>
      <sheetName val="MEDICAL TEST - SEOUL"/>
      <sheetName val="LIST OF AIR FARE"/>
      <sheetName val="BUSINESS TRIP-TRAVELING EXPENSE"/>
      <sheetName val="BUSINESS TRIP - SEOUL OFFICE"/>
      <sheetName val="BUSINESS TRIP - SITE"/>
      <sheetName val="OPERATING COST - AIR FARE"/>
      <sheetName val="LIST OF OFFICE EQUIPMENT"/>
      <sheetName val="CAMP OPERATING COST"/>
      <sheetName val="WELFARE COST - SITE"/>
      <sheetName val="CLOTHES PAYMENT CONDITION"/>
      <sheetName val="VEHICLE - MOBILIZATION PLAN"/>
      <sheetName val="VEHICLE - COST SUMMARY"/>
      <sheetName val="QUANTITY OF WATER"/>
      <sheetName val="사무기기 - 유지보수"/>
      <sheetName val="사무기기 - 소모품 구입"/>
      <sheetName val="VISA &amp; PERMIT - SUMMARY"/>
      <sheetName val="CAMP - CONSTRUCTION"/>
      <sheetName val="CAMP - RENTAL (AL-SUWAIDI)"/>
      <sheetName val="CAMP - RENTAL (RED SEA)"/>
      <sheetName val="CAMP - COMPARATIVE TABLE"/>
      <sheetName val="INSURANCE - KOREAN STAFF"/>
      <sheetName val="INSURANCE - KOREAN INDIRECT"/>
      <sheetName val="환율"/>
      <sheetName val="RFP007"/>
      <sheetName val="RFP006"/>
      <sheetName val="RFP009"/>
      <sheetName val="주관사업"/>
      <sheetName val="요약배부"/>
      <sheetName val="PRO_A"/>
      <sheetName val="DWG"/>
      <sheetName val="MAIN"/>
      <sheetName val="PRO"/>
      <sheetName val="장비동원"/>
      <sheetName val="VA_code"/>
      <sheetName val="VV보온LINK"/>
      <sheetName val="FIT보온LINK"/>
      <sheetName val="EXCHANGE_RATE"/>
      <sheetName val="KOREAN_STAFF_SALARY_BREAKDOWN"/>
      <sheetName val="KOREAN_STAFF_SALARY_-_HOME"/>
      <sheetName val="KOREAN_STAFF_SALARY_-_SITE"/>
      <sheetName val="KOREAN_STAFF_SALARY_-_BRANCH"/>
      <sheetName val="KOREAN_STAFF_SALARY_-_현지불_수당"/>
      <sheetName val="KOREAN_STAFF_SALARY_-_연장수당"/>
      <sheetName val="KOREAN_STAFF_SALARY_-_직책수당"/>
      <sheetName val="KOREAN_STAFF_SALARY_-_단신부임수당"/>
      <sheetName val="KOREAN_STAFF_SALARY_-_SUMMARY"/>
      <sheetName val="KOREAN_STAFF_SARARY_-_ALLOWANCE"/>
      <sheetName val="EUR,_TCN_&amp;_LOC_STAFF_SALARY"/>
      <sheetName val="INDIRECT_SALARY"/>
      <sheetName val="STAFF&amp;INDIRECT_SALARY_-_SUMMARY"/>
      <sheetName val="PERSONNEL_SETUP"/>
      <sheetName val="STAFF_MOBILIZATION_PLAN"/>
      <sheetName val="INDIRECT_MOBILIZATION_PLAN"/>
      <sheetName val="LABOR_MOBILIZATION_PLAN"/>
      <sheetName val="MEDICAL_TEST_-_SEOUL"/>
      <sheetName val="LIST_OF_AIR_FARE"/>
      <sheetName val="BUSINESS_TRIP-TRAVELING_EXPENSE"/>
      <sheetName val="BUSINESS_TRIP_-_SEOUL_OFFICE"/>
      <sheetName val="BUSINESS_TRIP_-_SITE"/>
      <sheetName val="OPERATING_COST_-_AIR_FARE"/>
      <sheetName val="LIST_OF_OFFICE_EQUIPMENT"/>
      <sheetName val="CAMP_OPERATING_COST"/>
      <sheetName val="WELFARE_COST_-_SITE"/>
      <sheetName val="CLOTHES_PAYMENT_CONDITION"/>
      <sheetName val="VEHICLE_-_MOBILIZATION_PLAN"/>
      <sheetName val="VEHICLE_-_COST_SUMMARY"/>
      <sheetName val="QUANTITY_OF_WATER"/>
      <sheetName val="사무기기_-_유지보수"/>
      <sheetName val="사무기기_-_소모품_구입"/>
      <sheetName val="VISA_&amp;_PERMIT_-_SUMMARY"/>
      <sheetName val="CAMP_-_CONSTRUCTION"/>
      <sheetName val="CAMP_-_RENTAL_(AL-SUWAIDI)"/>
      <sheetName val="CAMP_-_RENTAL_(RED_SEA)"/>
      <sheetName val="CAMP_-_COMPARATIVE_TABLE"/>
      <sheetName val="INSURANCE_-_KOREAN_STAFF"/>
      <sheetName val="INSURANCE_-_KOREAN_INDIRECT"/>
    </sheetNames>
    <sheetDataSet>
      <sheetData sheetId="0" refreshError="1"/>
      <sheetData sheetId="1" refreshError="1"/>
      <sheetData sheetId="2" refreshError="1"/>
      <sheetData sheetId="3" refreshError="1">
        <row r="52">
          <cell r="F52" t="str">
            <v>KOR</v>
          </cell>
          <cell r="J52">
            <v>15</v>
          </cell>
          <cell r="K52" t="str">
            <v>Person</v>
          </cell>
          <cell r="N52">
            <v>446</v>
          </cell>
          <cell r="O52" t="str">
            <v>MM</v>
          </cell>
          <cell r="P52">
            <v>2949.9905175635281</v>
          </cell>
          <cell r="Q52" t="str">
            <v>USD/MM</v>
          </cell>
          <cell r="R52">
            <v>1315695.7708333335</v>
          </cell>
        </row>
        <row r="53">
          <cell r="F53" t="str">
            <v>EUR</v>
          </cell>
          <cell r="J53">
            <v>0</v>
          </cell>
          <cell r="K53" t="str">
            <v>Person</v>
          </cell>
          <cell r="N53">
            <v>0</v>
          </cell>
          <cell r="O53" t="str">
            <v>MM</v>
          </cell>
          <cell r="P53">
            <v>0</v>
          </cell>
          <cell r="Q53" t="str">
            <v>USD/MM</v>
          </cell>
          <cell r="R53">
            <v>0</v>
          </cell>
        </row>
        <row r="54">
          <cell r="F54" t="str">
            <v>TCN</v>
          </cell>
          <cell r="J54">
            <v>0</v>
          </cell>
          <cell r="K54" t="str">
            <v>Person</v>
          </cell>
          <cell r="N54">
            <v>0</v>
          </cell>
          <cell r="O54" t="str">
            <v>MM</v>
          </cell>
          <cell r="P54">
            <v>0</v>
          </cell>
          <cell r="Q54" t="str">
            <v>USD/MM</v>
          </cell>
          <cell r="R54">
            <v>0</v>
          </cell>
        </row>
      </sheetData>
      <sheetData sheetId="4" refreshError="1">
        <row r="40">
          <cell r="F40" t="str">
            <v>SM</v>
          </cell>
          <cell r="G40">
            <v>3980000</v>
          </cell>
          <cell r="H40">
            <v>3760000</v>
          </cell>
          <cell r="I40">
            <v>3560000</v>
          </cell>
          <cell r="J40">
            <v>3020000</v>
          </cell>
          <cell r="K40">
            <v>4340000</v>
          </cell>
          <cell r="L40">
            <v>0</v>
          </cell>
        </row>
        <row r="41">
          <cell r="F41" t="str">
            <v>SB</v>
          </cell>
          <cell r="G41">
            <v>3680000</v>
          </cell>
          <cell r="H41">
            <v>3470000</v>
          </cell>
          <cell r="I41">
            <v>3290000</v>
          </cell>
          <cell r="J41">
            <v>2800000</v>
          </cell>
          <cell r="K41">
            <v>4010000</v>
          </cell>
          <cell r="L41">
            <v>0</v>
          </cell>
        </row>
        <row r="42">
          <cell r="F42" t="str">
            <v>SBD</v>
          </cell>
          <cell r="G42">
            <v>3400000</v>
          </cell>
          <cell r="H42">
            <v>3210000</v>
          </cell>
          <cell r="I42">
            <v>3020000</v>
          </cell>
          <cell r="J42">
            <v>2570000</v>
          </cell>
          <cell r="K42">
            <v>3680000</v>
          </cell>
          <cell r="L42">
            <v>0</v>
          </cell>
        </row>
        <row r="43">
          <cell r="F43" t="str">
            <v>BJ</v>
          </cell>
          <cell r="G43">
            <v>3400000</v>
          </cell>
          <cell r="H43">
            <v>3210000</v>
          </cell>
          <cell r="I43">
            <v>3020000</v>
          </cell>
          <cell r="J43">
            <v>2570000</v>
          </cell>
          <cell r="K43">
            <v>3680000</v>
          </cell>
          <cell r="L43">
            <v>0</v>
          </cell>
        </row>
        <row r="44">
          <cell r="F44" t="str">
            <v>BD</v>
          </cell>
          <cell r="G44">
            <v>3220000</v>
          </cell>
          <cell r="H44">
            <v>3060000</v>
          </cell>
          <cell r="I44">
            <v>2860000</v>
          </cell>
          <cell r="J44">
            <v>2450000</v>
          </cell>
          <cell r="K44">
            <v>3510000</v>
          </cell>
          <cell r="L44">
            <v>0</v>
          </cell>
        </row>
        <row r="45">
          <cell r="F45" t="str">
            <v>CJ</v>
          </cell>
          <cell r="G45">
            <v>2930000</v>
          </cell>
          <cell r="H45">
            <v>2780000</v>
          </cell>
          <cell r="I45">
            <v>2600000</v>
          </cell>
          <cell r="J45">
            <v>2220000</v>
          </cell>
          <cell r="K45">
            <v>3200000</v>
          </cell>
          <cell r="L45">
            <v>0</v>
          </cell>
        </row>
        <row r="46">
          <cell r="F46" t="str">
            <v>GJ</v>
          </cell>
          <cell r="G46">
            <v>2600000</v>
          </cell>
          <cell r="H46">
            <v>2470000</v>
          </cell>
          <cell r="I46">
            <v>2290000</v>
          </cell>
          <cell r="J46">
            <v>1960000</v>
          </cell>
          <cell r="K46">
            <v>2830000</v>
          </cell>
          <cell r="L46">
            <v>0</v>
          </cell>
        </row>
        <row r="47">
          <cell r="F47" t="str">
            <v>DR</v>
          </cell>
          <cell r="G47">
            <v>2290000</v>
          </cell>
          <cell r="H47">
            <v>2180000</v>
          </cell>
          <cell r="I47">
            <v>2020000</v>
          </cell>
          <cell r="J47">
            <v>1730000</v>
          </cell>
          <cell r="K47">
            <v>2500000</v>
          </cell>
          <cell r="L47">
            <v>0</v>
          </cell>
        </row>
        <row r="48">
          <cell r="F48" t="str">
            <v>4SW</v>
          </cell>
          <cell r="G48">
            <v>2030000</v>
          </cell>
          <cell r="H48">
            <v>1940000</v>
          </cell>
          <cell r="I48">
            <v>1780000</v>
          </cell>
          <cell r="J48">
            <v>1530000</v>
          </cell>
          <cell r="K48">
            <v>2200000</v>
          </cell>
          <cell r="L48">
            <v>0</v>
          </cell>
        </row>
        <row r="49">
          <cell r="F49" t="str">
            <v>5SW</v>
          </cell>
          <cell r="G49">
            <v>1870000</v>
          </cell>
          <cell r="H49">
            <v>1680000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9">
          <cell r="I69">
            <v>81</v>
          </cell>
          <cell r="J69">
            <v>2543</v>
          </cell>
        </row>
        <row r="70">
          <cell r="G70" t="str">
            <v>PHL</v>
          </cell>
          <cell r="I70">
            <v>14</v>
          </cell>
          <cell r="J70">
            <v>310</v>
          </cell>
        </row>
        <row r="71">
          <cell r="G71" t="str">
            <v>THL</v>
          </cell>
          <cell r="I71">
            <v>0</v>
          </cell>
          <cell r="J71">
            <v>0</v>
          </cell>
        </row>
        <row r="72">
          <cell r="G72" t="str">
            <v>IND</v>
          </cell>
          <cell r="I72">
            <v>35</v>
          </cell>
          <cell r="J72">
            <v>1197</v>
          </cell>
        </row>
        <row r="73">
          <cell r="G73" t="str">
            <v>BNG</v>
          </cell>
          <cell r="I73">
            <v>32</v>
          </cell>
          <cell r="J73">
            <v>1036</v>
          </cell>
        </row>
      </sheetData>
      <sheetData sheetId="17" refreshError="1">
        <row r="18">
          <cell r="D18" t="str">
            <v>STAFF</v>
          </cell>
          <cell r="J18">
            <v>256</v>
          </cell>
          <cell r="K18">
            <v>6821</v>
          </cell>
          <cell r="L18">
            <v>48</v>
          </cell>
          <cell r="M18">
            <v>1014</v>
          </cell>
          <cell r="O18">
            <v>6280</v>
          </cell>
          <cell r="P18">
            <v>6280</v>
          </cell>
          <cell r="Q18">
            <v>1014</v>
          </cell>
          <cell r="R18">
            <v>1014</v>
          </cell>
          <cell r="T18">
            <v>23</v>
          </cell>
          <cell r="U18">
            <v>541</v>
          </cell>
          <cell r="V18">
            <v>0</v>
          </cell>
          <cell r="W18">
            <v>0</v>
          </cell>
        </row>
        <row r="19">
          <cell r="F19" t="str">
            <v>KOR</v>
          </cell>
          <cell r="J19">
            <v>113</v>
          </cell>
          <cell r="K19">
            <v>2760</v>
          </cell>
          <cell r="L19">
            <v>48</v>
          </cell>
          <cell r="M19">
            <v>1005</v>
          </cell>
          <cell r="O19">
            <v>92</v>
          </cell>
          <cell r="P19">
            <v>2430</v>
          </cell>
          <cell r="Q19">
            <v>48</v>
          </cell>
          <cell r="R19">
            <v>1005</v>
          </cell>
          <cell r="T19">
            <v>13</v>
          </cell>
          <cell r="U19">
            <v>330</v>
          </cell>
          <cell r="V19">
            <v>0</v>
          </cell>
          <cell r="W19">
            <v>0</v>
          </cell>
        </row>
        <row r="20">
          <cell r="F20" t="str">
            <v>EUR</v>
          </cell>
          <cell r="J20">
            <v>1</v>
          </cell>
          <cell r="K20">
            <v>41</v>
          </cell>
          <cell r="L20">
            <v>0</v>
          </cell>
          <cell r="M20">
            <v>0</v>
          </cell>
          <cell r="O20">
            <v>1</v>
          </cell>
          <cell r="P20">
            <v>41</v>
          </cell>
          <cell r="Q20">
            <v>0</v>
          </cell>
          <cell r="R20">
            <v>0</v>
          </cell>
          <cell r="T20">
            <v>0</v>
          </cell>
          <cell r="U20">
            <v>0</v>
          </cell>
          <cell r="V20">
            <v>0</v>
          </cell>
          <cell r="W20">
            <v>0</v>
          </cell>
        </row>
        <row r="21">
          <cell r="F21" t="str">
            <v>TCN</v>
          </cell>
          <cell r="J21">
            <v>128</v>
          </cell>
          <cell r="K21">
            <v>3336</v>
          </cell>
          <cell r="L21">
            <v>3</v>
          </cell>
          <cell r="M21">
            <v>9</v>
          </cell>
          <cell r="O21">
            <v>121</v>
          </cell>
          <cell r="P21">
            <v>3125</v>
          </cell>
          <cell r="Q21">
            <v>3</v>
          </cell>
          <cell r="R21">
            <v>9</v>
          </cell>
          <cell r="T21">
            <v>10</v>
          </cell>
          <cell r="U21">
            <v>211</v>
          </cell>
          <cell r="V21">
            <v>0</v>
          </cell>
          <cell r="W21">
            <v>0</v>
          </cell>
        </row>
        <row r="22">
          <cell r="H22" t="str">
            <v>PHL</v>
          </cell>
          <cell r="J22">
            <v>114</v>
          </cell>
          <cell r="K22">
            <v>2665</v>
          </cell>
          <cell r="L22">
            <v>0</v>
          </cell>
          <cell r="M22">
            <v>0</v>
          </cell>
          <cell r="O22">
            <v>107</v>
          </cell>
          <cell r="P22">
            <v>2454</v>
          </cell>
          <cell r="Q22">
            <v>0</v>
          </cell>
          <cell r="R22">
            <v>0</v>
          </cell>
          <cell r="T22">
            <v>10</v>
          </cell>
          <cell r="U22">
            <v>211</v>
          </cell>
          <cell r="V22">
            <v>0</v>
          </cell>
          <cell r="W22">
            <v>0</v>
          </cell>
        </row>
        <row r="23">
          <cell r="H23" t="str">
            <v>THL</v>
          </cell>
          <cell r="J23">
            <v>0</v>
          </cell>
          <cell r="K23">
            <v>0</v>
          </cell>
          <cell r="L23">
            <v>0</v>
          </cell>
          <cell r="M23">
            <v>0</v>
          </cell>
          <cell r="O23">
            <v>0</v>
          </cell>
          <cell r="P23">
            <v>0</v>
          </cell>
          <cell r="Q23">
            <v>0</v>
          </cell>
          <cell r="R23">
            <v>0</v>
          </cell>
          <cell r="T23">
            <v>0</v>
          </cell>
          <cell r="U23">
            <v>0</v>
          </cell>
          <cell r="V23">
            <v>0</v>
          </cell>
          <cell r="W23">
            <v>0</v>
          </cell>
        </row>
        <row r="24">
          <cell r="H24" t="str">
            <v>IND</v>
          </cell>
          <cell r="J24">
            <v>35</v>
          </cell>
          <cell r="K24">
            <v>671</v>
          </cell>
          <cell r="L24">
            <v>3</v>
          </cell>
          <cell r="M24">
            <v>9</v>
          </cell>
          <cell r="O24">
            <v>35</v>
          </cell>
          <cell r="P24">
            <v>671</v>
          </cell>
          <cell r="Q24">
            <v>3</v>
          </cell>
          <cell r="R24">
            <v>9</v>
          </cell>
          <cell r="T24">
            <v>0</v>
          </cell>
          <cell r="U24">
            <v>0</v>
          </cell>
          <cell r="V24">
            <v>0</v>
          </cell>
          <cell r="W24">
            <v>0</v>
          </cell>
        </row>
        <row r="25">
          <cell r="H25" t="str">
            <v>BNG</v>
          </cell>
          <cell r="J25">
            <v>0</v>
          </cell>
          <cell r="K25">
            <v>0</v>
          </cell>
          <cell r="L25">
            <v>0</v>
          </cell>
          <cell r="M25">
            <v>0</v>
          </cell>
          <cell r="O25">
            <v>0</v>
          </cell>
          <cell r="P25">
            <v>0</v>
          </cell>
          <cell r="Q25">
            <v>0</v>
          </cell>
          <cell r="R25">
            <v>0</v>
          </cell>
          <cell r="T25">
            <v>0</v>
          </cell>
          <cell r="U25">
            <v>0</v>
          </cell>
          <cell r="V25">
            <v>0</v>
          </cell>
          <cell r="W25">
            <v>0</v>
          </cell>
        </row>
        <row r="26">
          <cell r="H26" t="str">
            <v>CHN</v>
          </cell>
          <cell r="J26">
            <v>0</v>
          </cell>
          <cell r="K26">
            <v>0</v>
          </cell>
          <cell r="L26">
            <v>0</v>
          </cell>
          <cell r="M26">
            <v>0</v>
          </cell>
          <cell r="O26">
            <v>0</v>
          </cell>
          <cell r="P26">
            <v>0</v>
          </cell>
          <cell r="Q26">
            <v>0</v>
          </cell>
          <cell r="R26">
            <v>0</v>
          </cell>
          <cell r="T26">
            <v>0</v>
          </cell>
          <cell r="U26">
            <v>0</v>
          </cell>
          <cell r="V26">
            <v>0</v>
          </cell>
          <cell r="W26">
            <v>0</v>
          </cell>
        </row>
        <row r="27">
          <cell r="F27" t="str">
            <v>LOC</v>
          </cell>
          <cell r="J27">
            <v>25</v>
          </cell>
          <cell r="K27">
            <v>684</v>
          </cell>
          <cell r="L27">
            <v>0</v>
          </cell>
          <cell r="M27">
            <v>0</v>
          </cell>
          <cell r="O27">
            <v>25</v>
          </cell>
          <cell r="P27">
            <v>684</v>
          </cell>
          <cell r="Q27">
            <v>0</v>
          </cell>
          <cell r="R27">
            <v>0</v>
          </cell>
          <cell r="T27">
            <v>0</v>
          </cell>
          <cell r="U27">
            <v>0</v>
          </cell>
          <cell r="V27">
            <v>0</v>
          </cell>
          <cell r="W27">
            <v>0</v>
          </cell>
        </row>
        <row r="30">
          <cell r="D30" t="str">
            <v>INDIRECT</v>
          </cell>
          <cell r="J30">
            <v>103</v>
          </cell>
          <cell r="K30">
            <v>3298</v>
          </cell>
          <cell r="L30">
            <v>15</v>
          </cell>
          <cell r="M30">
            <v>446</v>
          </cell>
          <cell r="O30">
            <v>103</v>
          </cell>
          <cell r="P30">
            <v>3298</v>
          </cell>
          <cell r="Q30">
            <v>15</v>
          </cell>
          <cell r="R30">
            <v>446</v>
          </cell>
          <cell r="T30">
            <v>0</v>
          </cell>
          <cell r="U30">
            <v>0</v>
          </cell>
          <cell r="V30">
            <v>0</v>
          </cell>
          <cell r="W30">
            <v>0</v>
          </cell>
        </row>
        <row r="31">
          <cell r="F31" t="str">
            <v>KOR</v>
          </cell>
          <cell r="J31">
            <v>7</v>
          </cell>
          <cell r="K31">
            <v>262</v>
          </cell>
          <cell r="L31">
            <v>15</v>
          </cell>
          <cell r="M31">
            <v>446</v>
          </cell>
          <cell r="O31">
            <v>7</v>
          </cell>
          <cell r="P31">
            <v>262</v>
          </cell>
          <cell r="Q31">
            <v>15</v>
          </cell>
          <cell r="R31">
            <v>446</v>
          </cell>
          <cell r="T31">
            <v>0</v>
          </cell>
          <cell r="U31">
            <v>0</v>
          </cell>
          <cell r="V31">
            <v>0</v>
          </cell>
          <cell r="W31">
            <v>0</v>
          </cell>
        </row>
        <row r="32">
          <cell r="F32" t="str">
            <v>EUR</v>
          </cell>
          <cell r="J32">
            <v>0</v>
          </cell>
          <cell r="K32">
            <v>0</v>
          </cell>
          <cell r="L32">
            <v>0</v>
          </cell>
          <cell r="M32">
            <v>0</v>
          </cell>
          <cell r="O32">
            <v>0</v>
          </cell>
          <cell r="P32">
            <v>0</v>
          </cell>
          <cell r="Q32">
            <v>0</v>
          </cell>
          <cell r="R32">
            <v>0</v>
          </cell>
          <cell r="T32">
            <v>0</v>
          </cell>
          <cell r="U32">
            <v>0</v>
          </cell>
          <cell r="V32">
            <v>0</v>
          </cell>
          <cell r="W32">
            <v>0</v>
          </cell>
        </row>
        <row r="33">
          <cell r="F33" t="str">
            <v>TCN</v>
          </cell>
          <cell r="J33">
            <v>81</v>
          </cell>
          <cell r="K33">
            <v>2543</v>
          </cell>
          <cell r="L33">
            <v>0</v>
          </cell>
          <cell r="M33">
            <v>0</v>
          </cell>
          <cell r="O33">
            <v>81</v>
          </cell>
          <cell r="P33">
            <v>2543</v>
          </cell>
          <cell r="Q33">
            <v>0</v>
          </cell>
          <cell r="R33">
            <v>0</v>
          </cell>
          <cell r="T33">
            <v>0</v>
          </cell>
          <cell r="U33">
            <v>0</v>
          </cell>
          <cell r="V33">
            <v>0</v>
          </cell>
          <cell r="W33">
            <v>0</v>
          </cell>
        </row>
        <row r="34">
          <cell r="H34" t="str">
            <v>PHL</v>
          </cell>
          <cell r="J34">
            <v>14</v>
          </cell>
          <cell r="K34">
            <v>310</v>
          </cell>
          <cell r="L34">
            <v>0</v>
          </cell>
          <cell r="M34">
            <v>0</v>
          </cell>
          <cell r="O34">
            <v>14</v>
          </cell>
          <cell r="P34">
            <v>310</v>
          </cell>
          <cell r="Q34">
            <v>0</v>
          </cell>
          <cell r="R34">
            <v>0</v>
          </cell>
          <cell r="T34">
            <v>0</v>
          </cell>
          <cell r="U34">
            <v>0</v>
          </cell>
          <cell r="V34">
            <v>0</v>
          </cell>
          <cell r="W34">
            <v>0</v>
          </cell>
        </row>
        <row r="35">
          <cell r="H35" t="str">
            <v>THL</v>
          </cell>
          <cell r="J35">
            <v>0</v>
          </cell>
          <cell r="K35">
            <v>0</v>
          </cell>
          <cell r="L35">
            <v>0</v>
          </cell>
          <cell r="M35">
            <v>0</v>
          </cell>
          <cell r="O35">
            <v>0</v>
          </cell>
          <cell r="P35">
            <v>0</v>
          </cell>
          <cell r="Q35">
            <v>0</v>
          </cell>
          <cell r="R35">
            <v>0</v>
          </cell>
          <cell r="T35">
            <v>0</v>
          </cell>
          <cell r="U35">
            <v>0</v>
          </cell>
          <cell r="V35">
            <v>0</v>
          </cell>
          <cell r="W35">
            <v>0</v>
          </cell>
        </row>
        <row r="36">
          <cell r="H36" t="str">
            <v>IND</v>
          </cell>
          <cell r="J36">
            <v>35</v>
          </cell>
          <cell r="K36">
            <v>1197</v>
          </cell>
          <cell r="L36">
            <v>0</v>
          </cell>
          <cell r="M36">
            <v>0</v>
          </cell>
          <cell r="O36">
            <v>35</v>
          </cell>
          <cell r="P36">
            <v>1197</v>
          </cell>
          <cell r="Q36">
            <v>0</v>
          </cell>
          <cell r="R36">
            <v>0</v>
          </cell>
          <cell r="T36">
            <v>0</v>
          </cell>
          <cell r="U36">
            <v>0</v>
          </cell>
          <cell r="V36">
            <v>0</v>
          </cell>
          <cell r="W36">
            <v>0</v>
          </cell>
        </row>
        <row r="37">
          <cell r="H37" t="str">
            <v>BNG</v>
          </cell>
          <cell r="J37">
            <v>32</v>
          </cell>
          <cell r="K37">
            <v>1036</v>
          </cell>
          <cell r="L37">
            <v>0</v>
          </cell>
          <cell r="M37">
            <v>0</v>
          </cell>
          <cell r="O37">
            <v>32</v>
          </cell>
          <cell r="P37">
            <v>1036</v>
          </cell>
          <cell r="Q37">
            <v>0</v>
          </cell>
          <cell r="R37">
            <v>0</v>
          </cell>
          <cell r="T37">
            <v>0</v>
          </cell>
          <cell r="U37">
            <v>0</v>
          </cell>
          <cell r="V37">
            <v>0</v>
          </cell>
          <cell r="W37">
            <v>0</v>
          </cell>
        </row>
        <row r="38">
          <cell r="H38" t="str">
            <v>CHN</v>
          </cell>
          <cell r="J38">
            <v>0</v>
          </cell>
          <cell r="K38">
            <v>0</v>
          </cell>
          <cell r="L38">
            <v>0</v>
          </cell>
          <cell r="M38">
            <v>0</v>
          </cell>
          <cell r="O38">
            <v>0</v>
          </cell>
          <cell r="P38">
            <v>0</v>
          </cell>
          <cell r="Q38">
            <v>0</v>
          </cell>
          <cell r="R38">
            <v>0</v>
          </cell>
          <cell r="T38">
            <v>0</v>
          </cell>
          <cell r="U38">
            <v>0</v>
          </cell>
          <cell r="V38">
            <v>0</v>
          </cell>
          <cell r="W38">
            <v>0</v>
          </cell>
        </row>
        <row r="39">
          <cell r="F39" t="str">
            <v>LOC</v>
          </cell>
          <cell r="J39">
            <v>15</v>
          </cell>
          <cell r="K39">
            <v>493</v>
          </cell>
          <cell r="L39">
            <v>0</v>
          </cell>
          <cell r="M39">
            <v>0</v>
          </cell>
          <cell r="O39">
            <v>15</v>
          </cell>
          <cell r="P39">
            <v>493</v>
          </cell>
          <cell r="Q39">
            <v>0</v>
          </cell>
          <cell r="R39">
            <v>0</v>
          </cell>
          <cell r="T39">
            <v>0</v>
          </cell>
          <cell r="U39">
            <v>0</v>
          </cell>
          <cell r="V39">
            <v>0</v>
          </cell>
          <cell r="W39">
            <v>0</v>
          </cell>
        </row>
        <row r="42">
          <cell r="D42" t="str">
            <v>LABOR</v>
          </cell>
          <cell r="J42">
            <v>2892</v>
          </cell>
          <cell r="K42">
            <v>51874</v>
          </cell>
          <cell r="L42">
            <v>0</v>
          </cell>
          <cell r="M42">
            <v>0</v>
          </cell>
          <cell r="O42">
            <v>2892</v>
          </cell>
          <cell r="P42">
            <v>51874</v>
          </cell>
          <cell r="Q42">
            <v>0</v>
          </cell>
          <cell r="R42">
            <v>0</v>
          </cell>
          <cell r="T42">
            <v>0</v>
          </cell>
          <cell r="U42">
            <v>0</v>
          </cell>
          <cell r="V42">
            <v>0</v>
          </cell>
          <cell r="W42">
            <v>0</v>
          </cell>
        </row>
        <row r="43">
          <cell r="F43" t="str">
            <v>KOR</v>
          </cell>
          <cell r="J43">
            <v>41</v>
          </cell>
          <cell r="K43">
            <v>743</v>
          </cell>
          <cell r="L43">
            <v>0</v>
          </cell>
          <cell r="M43">
            <v>0</v>
          </cell>
          <cell r="O43">
            <v>41</v>
          </cell>
          <cell r="P43">
            <v>743</v>
          </cell>
          <cell r="Q43">
            <v>0</v>
          </cell>
          <cell r="R43">
            <v>0</v>
          </cell>
          <cell r="T43">
            <v>0</v>
          </cell>
          <cell r="U43">
            <v>0</v>
          </cell>
          <cell r="V43">
            <v>0</v>
          </cell>
          <cell r="W43">
            <v>0</v>
          </cell>
        </row>
        <row r="44">
          <cell r="F44" t="str">
            <v>TCN</v>
          </cell>
          <cell r="J44">
            <v>2075</v>
          </cell>
          <cell r="K44">
            <v>33106</v>
          </cell>
          <cell r="L44">
            <v>0</v>
          </cell>
          <cell r="M44">
            <v>0</v>
          </cell>
          <cell r="O44">
            <v>2075</v>
          </cell>
          <cell r="P44">
            <v>33106</v>
          </cell>
          <cell r="Q44">
            <v>0</v>
          </cell>
          <cell r="R44">
            <v>0</v>
          </cell>
          <cell r="T44">
            <v>0</v>
          </cell>
          <cell r="U44">
            <v>0</v>
          </cell>
          <cell r="V44">
            <v>0</v>
          </cell>
          <cell r="W44">
            <v>0</v>
          </cell>
        </row>
        <row r="45">
          <cell r="H45" t="str">
            <v>PHL</v>
          </cell>
          <cell r="J45">
            <v>0</v>
          </cell>
          <cell r="K45">
            <v>0</v>
          </cell>
          <cell r="L45">
            <v>0</v>
          </cell>
          <cell r="M45">
            <v>0</v>
          </cell>
        </row>
        <row r="46">
          <cell r="H46" t="str">
            <v>THL</v>
          </cell>
          <cell r="J46">
            <v>0</v>
          </cell>
          <cell r="K46">
            <v>0</v>
          </cell>
          <cell r="L46">
            <v>0</v>
          </cell>
          <cell r="M46">
            <v>0</v>
          </cell>
        </row>
        <row r="47">
          <cell r="H47" t="str">
            <v>IND</v>
          </cell>
          <cell r="J47">
            <v>0</v>
          </cell>
          <cell r="K47">
            <v>0</v>
          </cell>
          <cell r="L47">
            <v>0</v>
          </cell>
          <cell r="M47">
            <v>0</v>
          </cell>
        </row>
        <row r="48">
          <cell r="H48" t="str">
            <v>BNG</v>
          </cell>
          <cell r="J48">
            <v>0</v>
          </cell>
          <cell r="K48">
            <v>0</v>
          </cell>
          <cell r="L48">
            <v>0</v>
          </cell>
          <cell r="M48">
            <v>0</v>
          </cell>
        </row>
        <row r="49">
          <cell r="H49" t="str">
            <v>CHN</v>
          </cell>
          <cell r="J49">
            <v>0</v>
          </cell>
          <cell r="K49">
            <v>0</v>
          </cell>
          <cell r="L49">
            <v>0</v>
          </cell>
          <cell r="M49">
            <v>0</v>
          </cell>
        </row>
        <row r="50">
          <cell r="F50" t="str">
            <v>LOC</v>
          </cell>
          <cell r="J50">
            <v>962</v>
          </cell>
          <cell r="K50">
            <v>18023</v>
          </cell>
          <cell r="L50">
            <v>0</v>
          </cell>
          <cell r="M50">
            <v>0</v>
          </cell>
          <cell r="O50">
            <v>962</v>
          </cell>
          <cell r="P50">
            <v>18023</v>
          </cell>
          <cell r="Q50">
            <v>0</v>
          </cell>
          <cell r="R50">
            <v>0</v>
          </cell>
          <cell r="T50">
            <v>0</v>
          </cell>
          <cell r="U50">
            <v>0</v>
          </cell>
          <cell r="V50">
            <v>0</v>
          </cell>
          <cell r="W50">
            <v>0</v>
          </cell>
        </row>
        <row r="58">
          <cell r="D58" t="str">
            <v>JM</v>
          </cell>
          <cell r="J58">
            <v>0</v>
          </cell>
          <cell r="K58">
            <v>0</v>
          </cell>
          <cell r="L58">
            <v>0</v>
          </cell>
          <cell r="M58">
            <v>0</v>
          </cell>
          <cell r="O58">
            <v>0</v>
          </cell>
          <cell r="P58">
            <v>0</v>
          </cell>
          <cell r="Q58">
            <v>0</v>
          </cell>
          <cell r="R58">
            <v>0</v>
          </cell>
          <cell r="T58">
            <v>0</v>
          </cell>
          <cell r="U58">
            <v>0</v>
          </cell>
          <cell r="V58">
            <v>0</v>
          </cell>
          <cell r="W58">
            <v>0</v>
          </cell>
        </row>
        <row r="59">
          <cell r="D59" t="str">
            <v>SM</v>
          </cell>
          <cell r="J59">
            <v>0</v>
          </cell>
          <cell r="K59">
            <v>0</v>
          </cell>
          <cell r="L59">
            <v>0</v>
          </cell>
          <cell r="M59">
            <v>0</v>
          </cell>
          <cell r="O59">
            <v>0</v>
          </cell>
          <cell r="P59">
            <v>0</v>
          </cell>
          <cell r="Q59">
            <v>0</v>
          </cell>
          <cell r="R59">
            <v>0</v>
          </cell>
          <cell r="T59">
            <v>0</v>
          </cell>
          <cell r="U59">
            <v>0</v>
          </cell>
          <cell r="V59">
            <v>0</v>
          </cell>
          <cell r="W59">
            <v>0</v>
          </cell>
        </row>
        <row r="60">
          <cell r="D60" t="str">
            <v>SB</v>
          </cell>
          <cell r="J60">
            <v>1</v>
          </cell>
          <cell r="K60">
            <v>38</v>
          </cell>
          <cell r="L60">
            <v>1</v>
          </cell>
          <cell r="M60">
            <v>11</v>
          </cell>
          <cell r="O60">
            <v>1</v>
          </cell>
          <cell r="P60">
            <v>38</v>
          </cell>
          <cell r="Q60">
            <v>1</v>
          </cell>
          <cell r="R60">
            <v>11</v>
          </cell>
          <cell r="T60">
            <v>0</v>
          </cell>
          <cell r="U60">
            <v>0</v>
          </cell>
          <cell r="V60">
            <v>0</v>
          </cell>
          <cell r="W60">
            <v>0</v>
          </cell>
        </row>
        <row r="61">
          <cell r="D61" t="str">
            <v>SBD</v>
          </cell>
          <cell r="J61">
            <v>0</v>
          </cell>
          <cell r="K61">
            <v>0</v>
          </cell>
          <cell r="L61">
            <v>0</v>
          </cell>
          <cell r="M61">
            <v>0</v>
          </cell>
          <cell r="O61">
            <v>0</v>
          </cell>
          <cell r="P61">
            <v>0</v>
          </cell>
          <cell r="Q61">
            <v>0</v>
          </cell>
          <cell r="R61">
            <v>0</v>
          </cell>
          <cell r="T61">
            <v>0</v>
          </cell>
          <cell r="U61">
            <v>0</v>
          </cell>
          <cell r="V61">
            <v>0</v>
          </cell>
          <cell r="W61">
            <v>0</v>
          </cell>
        </row>
        <row r="62">
          <cell r="D62" t="str">
            <v>BJ</v>
          </cell>
          <cell r="J62">
            <v>5</v>
          </cell>
          <cell r="K62">
            <v>133</v>
          </cell>
          <cell r="L62">
            <v>4</v>
          </cell>
          <cell r="M62">
            <v>64</v>
          </cell>
          <cell r="O62">
            <v>4</v>
          </cell>
          <cell r="P62">
            <v>107</v>
          </cell>
          <cell r="Q62">
            <v>4</v>
          </cell>
          <cell r="R62">
            <v>64</v>
          </cell>
          <cell r="T62">
            <v>1</v>
          </cell>
          <cell r="U62">
            <v>26</v>
          </cell>
          <cell r="V62">
            <v>0</v>
          </cell>
          <cell r="W62">
            <v>0</v>
          </cell>
        </row>
        <row r="63">
          <cell r="D63" t="str">
            <v>BD</v>
          </cell>
          <cell r="J63">
            <v>11</v>
          </cell>
          <cell r="K63">
            <v>244</v>
          </cell>
          <cell r="L63">
            <v>8</v>
          </cell>
          <cell r="M63">
            <v>146</v>
          </cell>
          <cell r="O63">
            <v>10</v>
          </cell>
          <cell r="P63">
            <v>225</v>
          </cell>
          <cell r="Q63">
            <v>8</v>
          </cell>
          <cell r="R63">
            <v>146</v>
          </cell>
          <cell r="T63">
            <v>1</v>
          </cell>
          <cell r="U63">
            <v>19</v>
          </cell>
          <cell r="V63">
            <v>0</v>
          </cell>
          <cell r="W63">
            <v>0</v>
          </cell>
        </row>
        <row r="64">
          <cell r="D64" t="str">
            <v>CJ</v>
          </cell>
          <cell r="J64">
            <v>34</v>
          </cell>
          <cell r="K64">
            <v>919</v>
          </cell>
          <cell r="L64">
            <v>16</v>
          </cell>
          <cell r="M64">
            <v>334</v>
          </cell>
          <cell r="O64">
            <v>29</v>
          </cell>
          <cell r="P64">
            <v>744</v>
          </cell>
          <cell r="Q64">
            <v>16</v>
          </cell>
          <cell r="R64">
            <v>334</v>
          </cell>
          <cell r="T64">
            <v>7</v>
          </cell>
          <cell r="U64">
            <v>175</v>
          </cell>
          <cell r="V64">
            <v>0</v>
          </cell>
          <cell r="W64">
            <v>0</v>
          </cell>
        </row>
        <row r="65">
          <cell r="D65" t="str">
            <v>GJ</v>
          </cell>
          <cell r="J65">
            <v>31</v>
          </cell>
          <cell r="K65">
            <v>872</v>
          </cell>
          <cell r="L65">
            <v>13</v>
          </cell>
          <cell r="M65">
            <v>255</v>
          </cell>
          <cell r="O65">
            <v>29</v>
          </cell>
          <cell r="P65">
            <v>806</v>
          </cell>
          <cell r="Q65">
            <v>13</v>
          </cell>
          <cell r="R65">
            <v>255</v>
          </cell>
          <cell r="T65">
            <v>2</v>
          </cell>
          <cell r="U65">
            <v>66</v>
          </cell>
          <cell r="V65">
            <v>0</v>
          </cell>
          <cell r="W65">
            <v>0</v>
          </cell>
        </row>
        <row r="66">
          <cell r="D66" t="str">
            <v>DR</v>
          </cell>
          <cell r="J66">
            <v>18</v>
          </cell>
          <cell r="K66">
            <v>451</v>
          </cell>
          <cell r="L66">
            <v>8</v>
          </cell>
          <cell r="M66">
            <v>108</v>
          </cell>
          <cell r="O66">
            <v>16</v>
          </cell>
          <cell r="P66">
            <v>407</v>
          </cell>
          <cell r="Q66">
            <v>8</v>
          </cell>
          <cell r="R66">
            <v>108</v>
          </cell>
          <cell r="T66">
            <v>2</v>
          </cell>
          <cell r="U66">
            <v>44</v>
          </cell>
          <cell r="V66">
            <v>0</v>
          </cell>
          <cell r="W66">
            <v>0</v>
          </cell>
        </row>
        <row r="67">
          <cell r="D67" t="str">
            <v>4SW</v>
          </cell>
          <cell r="J67">
            <v>5</v>
          </cell>
          <cell r="K67">
            <v>103</v>
          </cell>
          <cell r="L67">
            <v>4</v>
          </cell>
          <cell r="M67">
            <v>87</v>
          </cell>
          <cell r="O67">
            <v>5</v>
          </cell>
          <cell r="P67">
            <v>103</v>
          </cell>
          <cell r="Q67">
            <v>4</v>
          </cell>
          <cell r="R67">
            <v>87</v>
          </cell>
          <cell r="T67">
            <v>0</v>
          </cell>
          <cell r="U67">
            <v>0</v>
          </cell>
          <cell r="V67">
            <v>0</v>
          </cell>
          <cell r="W67">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20">
          <cell r="E20" t="str">
            <v>DESKTOP COMPUTER</v>
          </cell>
          <cell r="L20">
            <v>926.15980466447752</v>
          </cell>
        </row>
        <row r="21">
          <cell r="E21" t="str">
            <v>Desktop Computer</v>
          </cell>
          <cell r="H21" t="str">
            <v>HP: DX7400</v>
          </cell>
          <cell r="J21">
            <v>926.15980466447752</v>
          </cell>
          <cell r="L21">
            <v>926.15980466447752</v>
          </cell>
          <cell r="O21" t="str">
            <v>Hyundai C&amp;I</v>
          </cell>
        </row>
        <row r="22">
          <cell r="E22" t="str">
            <v>LCD Monitor (17")</v>
          </cell>
          <cell r="H22" t="str">
            <v xml:space="preserve"> -</v>
          </cell>
          <cell r="J22">
            <v>0</v>
          </cell>
          <cell r="L22">
            <v>0</v>
          </cell>
          <cell r="O22" t="str">
            <v>Included in Price of Desktop Computer</v>
          </cell>
        </row>
        <row r="23">
          <cell r="E23" t="str">
            <v>LAPTOP COMPUTER</v>
          </cell>
          <cell r="H23" t="str">
            <v>HP: Business Notebook 8510P</v>
          </cell>
          <cell r="J23">
            <v>1220.8470152395385</v>
          </cell>
          <cell r="L23">
            <v>1220.8470152395385</v>
          </cell>
        </row>
        <row r="24">
          <cell r="E24" t="str">
            <v>3D MODELING WORKSTATION</v>
          </cell>
          <cell r="H24" t="str">
            <v>HP: Workstation XW-8600 Base</v>
          </cell>
          <cell r="J24">
            <v>5760.7139850130507</v>
          </cell>
          <cell r="L24">
            <v>5760.7139850130507</v>
          </cell>
          <cell r="O24" t="str">
            <v>LCD Monitor is included.</v>
          </cell>
        </row>
        <row r="25">
          <cell r="E25" t="str">
            <v>SERVER</v>
          </cell>
        </row>
        <row r="26">
          <cell r="E26" t="str">
            <v>FILE / FTP SERVER</v>
          </cell>
          <cell r="H26" t="str">
            <v>HP: ML380</v>
          </cell>
          <cell r="J26">
            <v>9261.5980466447745</v>
          </cell>
          <cell r="L26">
            <v>9261.5980466447745</v>
          </cell>
          <cell r="O26" t="str">
            <v>Hyundai C&amp;I</v>
          </cell>
        </row>
        <row r="27">
          <cell r="E27" t="str">
            <v>UPS</v>
          </cell>
          <cell r="H27" t="str">
            <v>HP: T1000, IEC-320-C14</v>
          </cell>
          <cell r="J27">
            <v>673.57076702871097</v>
          </cell>
          <cell r="L27">
            <v>673.57076702871097</v>
          </cell>
          <cell r="O27" t="str">
            <v>Hyundai C&amp;I</v>
          </cell>
        </row>
        <row r="28">
          <cell r="E28" t="str">
            <v>BACK-UP EQUIPMENT</v>
          </cell>
          <cell r="H28" t="str">
            <v>HP: Ultrium 920</v>
          </cell>
          <cell r="J28">
            <v>7998.6528584659427</v>
          </cell>
          <cell r="L28">
            <v>7998.6528584659427</v>
          </cell>
          <cell r="O28" t="str">
            <v>Hyundai C&amp;I</v>
          </cell>
        </row>
        <row r="29">
          <cell r="E29" t="str">
            <v>PRINTER</v>
          </cell>
        </row>
        <row r="30">
          <cell r="E30" t="str">
            <v>Monochrome Laser Printer</v>
          </cell>
          <cell r="H30" t="str">
            <v>HP: LaserJet 9040n</v>
          </cell>
          <cell r="J30">
            <v>2610.0867222362549</v>
          </cell>
          <cell r="L30">
            <v>2610.0867222362549</v>
          </cell>
          <cell r="O30" t="str">
            <v>Average Price of DANAWA</v>
          </cell>
        </row>
        <row r="31">
          <cell r="E31" t="str">
            <v>Color Laser Printer</v>
          </cell>
          <cell r="H31" t="str">
            <v>HP: Color LaserJet 5550DN</v>
          </cell>
          <cell r="J31">
            <v>3536.2465269007325</v>
          </cell>
          <cell r="L31">
            <v>3536.2465269007325</v>
          </cell>
          <cell r="O31" t="str">
            <v>Hyundai C&amp;I</v>
          </cell>
        </row>
        <row r="32">
          <cell r="E32" t="str">
            <v>Desktop Monochrome Laser Printer</v>
          </cell>
          <cell r="H32" t="str">
            <v>HP: LaserJet P2014</v>
          </cell>
          <cell r="J32">
            <v>198.70337627346973</v>
          </cell>
          <cell r="L32">
            <v>198.70337627346973</v>
          </cell>
          <cell r="O32" t="str">
            <v>Average Price of DANAWA</v>
          </cell>
        </row>
        <row r="33">
          <cell r="E33" t="str">
            <v>PHOTOCOPY MACHINE</v>
          </cell>
          <cell r="H33" t="str">
            <v>FUJI XEROX: DCII2055CP-W</v>
          </cell>
          <cell r="J33">
            <v>4630.7990233223873</v>
          </cell>
          <cell r="L33">
            <v>4630.7990233223873</v>
          </cell>
        </row>
        <row r="34">
          <cell r="E34" t="str">
            <v>PLOTTER</v>
          </cell>
          <cell r="H34" t="str">
            <v>FUJI XEROX: DW6050 MF</v>
          </cell>
          <cell r="J34">
            <v>41677.191209901488</v>
          </cell>
          <cell r="L34">
            <v>41677.191209901488</v>
          </cell>
        </row>
        <row r="35">
          <cell r="E35" t="str">
            <v>FAX MACHINE</v>
          </cell>
          <cell r="H35" t="str">
            <v>CANON: FAX-L120</v>
          </cell>
          <cell r="J35">
            <v>404.14246021722658</v>
          </cell>
          <cell r="L35">
            <v>404.14246021722658</v>
          </cell>
          <cell r="O35" t="str">
            <v>Hyundai C&amp;I</v>
          </cell>
        </row>
        <row r="36">
          <cell r="E36" t="str">
            <v>SCANNER</v>
          </cell>
        </row>
        <row r="37">
          <cell r="E37" t="str">
            <v>Color Scanner</v>
          </cell>
          <cell r="H37" t="str">
            <v>CANON: DR-5010C</v>
          </cell>
          <cell r="J37">
            <v>4630.7990233223873</v>
          </cell>
          <cell r="L37">
            <v>4630.7990233223873</v>
          </cell>
          <cell r="O37" t="str">
            <v>sdcd.co.kr</v>
          </cell>
        </row>
        <row r="38">
          <cell r="E38" t="str">
            <v>Monochrome Scanner</v>
          </cell>
          <cell r="H38" t="str">
            <v>CANON: DR-1210C</v>
          </cell>
          <cell r="J38">
            <v>606.21369032583982</v>
          </cell>
          <cell r="L38">
            <v>606.21369032583982</v>
          </cell>
          <cell r="O38" t="str">
            <v>Average Price of DANAWA</v>
          </cell>
        </row>
        <row r="39">
          <cell r="E39" t="str">
            <v>PROJECTOR</v>
          </cell>
          <cell r="H39" t="str">
            <v>EPSON: EMP-1815</v>
          </cell>
          <cell r="J39">
            <v>2197.5246274311694</v>
          </cell>
          <cell r="L39">
            <v>2197.5246274311694</v>
          </cell>
          <cell r="O39" t="str">
            <v>Including Screen &amp; Installation Cost</v>
          </cell>
        </row>
        <row r="40">
          <cell r="E40" t="str">
            <v>CALCULATOR</v>
          </cell>
          <cell r="J40">
            <v>4.2098172939294436</v>
          </cell>
          <cell r="L40">
            <v>4.2098172939294436</v>
          </cell>
        </row>
        <row r="41">
          <cell r="E41" t="str">
            <v>TELEPHONE</v>
          </cell>
        </row>
        <row r="42">
          <cell r="E42" t="str">
            <v>Digital Phone</v>
          </cell>
          <cell r="H42" t="str">
            <v>PANASONIC: 7665</v>
          </cell>
          <cell r="J42">
            <v>294.68721057506104</v>
          </cell>
          <cell r="L42">
            <v>294.68721057506104</v>
          </cell>
          <cell r="O42" t="str">
            <v>Hyundai C&amp;I</v>
          </cell>
        </row>
        <row r="43">
          <cell r="E43" t="str">
            <v>Analog Phone</v>
          </cell>
          <cell r="H43" t="str">
            <v>PANASONIC: T500</v>
          </cell>
          <cell r="J43">
            <v>42.098172939294436</v>
          </cell>
          <cell r="L43">
            <v>42.098172939294436</v>
          </cell>
          <cell r="O43" t="str">
            <v>Hyundai C&amp;I</v>
          </cell>
        </row>
        <row r="44">
          <cell r="E44" t="str">
            <v>SOFTWARE</v>
          </cell>
        </row>
        <row r="45">
          <cell r="E45" t="str">
            <v>SmartPlant Instrumentation</v>
          </cell>
          <cell r="J45">
            <v>0</v>
          </cell>
          <cell r="L45">
            <v>0</v>
          </cell>
        </row>
        <row r="46">
          <cell r="E46" t="str">
            <v>ETAP</v>
          </cell>
          <cell r="J46">
            <v>0</v>
          </cell>
          <cell r="L46">
            <v>0</v>
          </cell>
        </row>
        <row r="47">
          <cell r="E47" t="str">
            <v>SmartPlant Review</v>
          </cell>
          <cell r="J47">
            <v>0</v>
          </cell>
          <cell r="L47">
            <v>0</v>
          </cell>
        </row>
        <row r="48">
          <cell r="E48" t="str">
            <v>SmartPlant Electrical</v>
          </cell>
          <cell r="J48">
            <v>0</v>
          </cell>
          <cell r="L48">
            <v>0</v>
          </cell>
        </row>
        <row r="49">
          <cell r="E49" t="str">
            <v>SmartPlant PID</v>
          </cell>
          <cell r="J49">
            <v>0</v>
          </cell>
          <cell r="L49">
            <v>0</v>
          </cell>
        </row>
        <row r="50">
          <cell r="E50" t="str">
            <v>PDS 3D</v>
          </cell>
          <cell r="J50">
            <v>0</v>
          </cell>
          <cell r="L50">
            <v>0</v>
          </cell>
        </row>
        <row r="51">
          <cell r="E51" t="str">
            <v>Microstation</v>
          </cell>
          <cell r="J51">
            <v>0</v>
          </cell>
          <cell r="L51">
            <v>0</v>
          </cell>
        </row>
        <row r="52">
          <cell r="E52" t="str">
            <v>AutoCAD</v>
          </cell>
          <cell r="J52">
            <v>0</v>
          </cell>
          <cell r="L52">
            <v>0</v>
          </cell>
        </row>
        <row r="53">
          <cell r="E53" t="str">
            <v>Primavera P3 Project Planner</v>
          </cell>
          <cell r="J53">
            <v>0</v>
          </cell>
          <cell r="L53">
            <v>0</v>
          </cell>
        </row>
        <row r="54">
          <cell r="E54" t="str">
            <v>ICAPS</v>
          </cell>
          <cell r="J54">
            <v>0</v>
          </cell>
          <cell r="L54">
            <v>0</v>
          </cell>
          <cell r="O54" t="str">
            <v>Included in Pre-Comm. Direct Cost</v>
          </cell>
        </row>
        <row r="55">
          <cell r="E55" t="str">
            <v>Microsoft Windows Vista</v>
          </cell>
          <cell r="J55">
            <v>0</v>
          </cell>
          <cell r="L55">
            <v>0</v>
          </cell>
          <cell r="O55" t="str">
            <v>Included in H.W. Price</v>
          </cell>
        </row>
        <row r="56">
          <cell r="E56" t="str">
            <v>Microsoft Office</v>
          </cell>
          <cell r="J56">
            <v>0</v>
          </cell>
          <cell r="L56">
            <v>0</v>
          </cell>
          <cell r="O56" t="str">
            <v>Use the HDEC's License</v>
          </cell>
        </row>
        <row r="57">
          <cell r="E57" t="str">
            <v>Adobe Acrobat Professional 8.0</v>
          </cell>
          <cell r="J57">
            <v>544.58196514271276</v>
          </cell>
          <cell r="L57">
            <v>544.58196514271276</v>
          </cell>
        </row>
        <row r="61">
          <cell r="E61" t="str">
            <v>DESKTOP COMPUTER</v>
          </cell>
          <cell r="L61">
            <v>833.54382419802982</v>
          </cell>
        </row>
        <row r="62">
          <cell r="E62" t="str">
            <v>Desktop Computer</v>
          </cell>
          <cell r="H62" t="str">
            <v>HP: DX7400</v>
          </cell>
          <cell r="J62">
            <v>833.54382419802982</v>
          </cell>
          <cell r="L62">
            <v>833.54382419802982</v>
          </cell>
          <cell r="O62" t="str">
            <v>Hyundai C&amp;I</v>
          </cell>
        </row>
        <row r="63">
          <cell r="E63" t="str">
            <v>LCD Monitor (17")</v>
          </cell>
          <cell r="H63" t="str">
            <v xml:space="preserve"> -</v>
          </cell>
          <cell r="J63">
            <v>0</v>
          </cell>
          <cell r="L63">
            <v>0</v>
          </cell>
          <cell r="O63" t="str">
            <v>Included in Price of Desktop Computer</v>
          </cell>
        </row>
        <row r="64">
          <cell r="E64" t="str">
            <v>LAPTOP COMPUTER</v>
          </cell>
          <cell r="H64" t="str">
            <v>HP: Business Notebook 8510P</v>
          </cell>
          <cell r="J64">
            <v>1220.8470152395385</v>
          </cell>
          <cell r="L64">
            <v>1220.8470152395385</v>
          </cell>
          <cell r="O64" t="str">
            <v>Hyundai C&amp;I, Apply the Unit Price of SEOUL OFFICE</v>
          </cell>
        </row>
        <row r="65">
          <cell r="E65" t="str">
            <v>3D MODELING WORKSTATION</v>
          </cell>
          <cell r="H65" t="str">
            <v>HP: Workstation XW-8600 Base</v>
          </cell>
          <cell r="J65">
            <v>5184.6425865117453</v>
          </cell>
          <cell r="L65">
            <v>5184.6425865117453</v>
          </cell>
          <cell r="O65" t="str">
            <v>LCD Monitor is included.</v>
          </cell>
        </row>
        <row r="66">
          <cell r="E66" t="str">
            <v>SERVER</v>
          </cell>
        </row>
        <row r="67">
          <cell r="E67" t="str">
            <v>DB SERVER</v>
          </cell>
          <cell r="H67" t="str">
            <v>HP: ML380</v>
          </cell>
          <cell r="J67">
            <v>9093.2053548875974</v>
          </cell>
          <cell r="L67">
            <v>9093.2053548875974</v>
          </cell>
          <cell r="O67" t="str">
            <v>Hyundai C&amp;I</v>
          </cell>
        </row>
        <row r="68">
          <cell r="E68" t="str">
            <v>FILE / FTP SERVER</v>
          </cell>
          <cell r="H68" t="str">
            <v>HP: ML380</v>
          </cell>
          <cell r="J68">
            <v>8335.4382419802969</v>
          </cell>
          <cell r="L68">
            <v>8335.4382419802969</v>
          </cell>
          <cell r="O68" t="str">
            <v>Hyundai C&amp;I</v>
          </cell>
        </row>
        <row r="69">
          <cell r="E69" t="str">
            <v>UPS</v>
          </cell>
          <cell r="H69" t="str">
            <v>HP: T1000, IEC-320-C14</v>
          </cell>
          <cell r="J69">
            <v>1212.4273806516796</v>
          </cell>
          <cell r="L69">
            <v>1212.4273806516796</v>
          </cell>
          <cell r="O69" t="str">
            <v>Hyundai C&amp;I</v>
          </cell>
        </row>
        <row r="70">
          <cell r="E70" t="str">
            <v>BACK-UP EQUIPMENT</v>
          </cell>
          <cell r="H70" t="str">
            <v>HP: Ultrium 920</v>
          </cell>
          <cell r="J70">
            <v>7198.7875726193479</v>
          </cell>
          <cell r="L70">
            <v>7198.7875726193479</v>
          </cell>
          <cell r="O70" t="str">
            <v>Hyundai C&amp;I</v>
          </cell>
        </row>
        <row r="71">
          <cell r="E71" t="str">
            <v>PRINTER</v>
          </cell>
        </row>
        <row r="72">
          <cell r="E72" t="str">
            <v>Monochrome Laser Printer</v>
          </cell>
          <cell r="H72" t="str">
            <v>HP: LaserJet 9040n</v>
          </cell>
          <cell r="J72">
            <v>2349.0780500126293</v>
          </cell>
          <cell r="L72">
            <v>2349.0780500126293</v>
          </cell>
          <cell r="O72" t="str">
            <v>Average Price of DANAWA</v>
          </cell>
        </row>
        <row r="73">
          <cell r="E73" t="str">
            <v>Color Laser Printer</v>
          </cell>
          <cell r="H73" t="str">
            <v>HP: Color LaserJet 5550DN</v>
          </cell>
          <cell r="J73">
            <v>3182.6218742106589</v>
          </cell>
          <cell r="L73">
            <v>3182.6218742106589</v>
          </cell>
          <cell r="O73" t="str">
            <v>Hyundai C&amp;I</v>
          </cell>
        </row>
        <row r="74">
          <cell r="E74" t="str">
            <v>Desktop Monochrome Laser Printer</v>
          </cell>
          <cell r="H74" t="str">
            <v>HP: LaserJet P2014</v>
          </cell>
          <cell r="J74">
            <v>178.83303864612276</v>
          </cell>
          <cell r="L74">
            <v>178.83303864612276</v>
          </cell>
          <cell r="O74" t="str">
            <v>Average Price of DANAWA</v>
          </cell>
        </row>
        <row r="75">
          <cell r="E75" t="str">
            <v>PHOTOCOPY MACHINE</v>
          </cell>
          <cell r="H75" t="str">
            <v>FUJI XEROX: DCII2055CP-W</v>
          </cell>
          <cell r="J75">
            <v>4167.7191209901484</v>
          </cell>
          <cell r="L75">
            <v>4167.7191209901484</v>
          </cell>
        </row>
        <row r="76">
          <cell r="E76" t="str">
            <v>PLOTTER</v>
          </cell>
          <cell r="H76" t="str">
            <v>FUJI XEROX: DW6050 MF</v>
          </cell>
          <cell r="J76">
            <v>37509.472088911338</v>
          </cell>
          <cell r="L76">
            <v>37509.472088911338</v>
          </cell>
        </row>
        <row r="77">
          <cell r="E77" t="str">
            <v>FAX MACHINE</v>
          </cell>
          <cell r="H77" t="str">
            <v>CANON: FAX-L120</v>
          </cell>
          <cell r="J77">
            <v>363.72821419550388</v>
          </cell>
          <cell r="L77">
            <v>363.72821419550388</v>
          </cell>
          <cell r="O77" t="str">
            <v>Average Price of DANAWA</v>
          </cell>
        </row>
        <row r="78">
          <cell r="E78" t="str">
            <v>SCANNER</v>
          </cell>
        </row>
        <row r="79">
          <cell r="E79" t="str">
            <v>Color Scanner</v>
          </cell>
          <cell r="H79" t="str">
            <v>CANON: DR-5010C</v>
          </cell>
          <cell r="J79">
            <v>4167.7191209901484</v>
          </cell>
          <cell r="L79">
            <v>4167.7191209901484</v>
          </cell>
          <cell r="O79" t="str">
            <v>sdcd.co.kr</v>
          </cell>
        </row>
        <row r="80">
          <cell r="E80" t="str">
            <v>Monochrome Scanner</v>
          </cell>
          <cell r="H80" t="str">
            <v>CANON: DR-1210C</v>
          </cell>
          <cell r="J80">
            <v>545.59232129325585</v>
          </cell>
          <cell r="L80">
            <v>545.59232129325585</v>
          </cell>
          <cell r="O80" t="str">
            <v>Average Price of DANAWA</v>
          </cell>
        </row>
        <row r="81">
          <cell r="E81" t="str">
            <v>PROJECTOR</v>
          </cell>
          <cell r="H81" t="str">
            <v>EPSON: EMP-1815</v>
          </cell>
          <cell r="J81">
            <v>1977.7721646880525</v>
          </cell>
          <cell r="L81">
            <v>1977.7721646880525</v>
          </cell>
          <cell r="O81" t="str">
            <v>Including Screen &amp; Installation Cost</v>
          </cell>
        </row>
        <row r="82">
          <cell r="E82" t="str">
            <v>CAMERA</v>
          </cell>
        </row>
        <row r="83">
          <cell r="E83" t="str">
            <v>Camera for Schedule Control</v>
          </cell>
          <cell r="H83" t="str">
            <v>NIKON: D300</v>
          </cell>
          <cell r="J83">
            <v>1333.6701187168476</v>
          </cell>
          <cell r="L83">
            <v>1333.6701187168476</v>
          </cell>
          <cell r="O83" t="str">
            <v>Average Price of DANAWA</v>
          </cell>
        </row>
        <row r="84">
          <cell r="E84" t="str">
            <v>General Digital Camera</v>
          </cell>
          <cell r="H84" t="str">
            <v>CANON: EOS 1000D</v>
          </cell>
          <cell r="J84">
            <v>469.81561000252589</v>
          </cell>
          <cell r="L84">
            <v>469.81561000252589</v>
          </cell>
          <cell r="O84" t="str">
            <v>Average Price of DANAWA</v>
          </cell>
        </row>
        <row r="85">
          <cell r="E85" t="str">
            <v>Video Camera</v>
          </cell>
          <cell r="H85" t="str">
            <v>SONY: HandyCam HDR-CX12</v>
          </cell>
          <cell r="J85">
            <v>689.56807274564278</v>
          </cell>
          <cell r="L85">
            <v>689.56807274564278</v>
          </cell>
          <cell r="O85" t="str">
            <v>Average Price of DANAWA</v>
          </cell>
        </row>
        <row r="86">
          <cell r="E86" t="str">
            <v>CALCULATOR</v>
          </cell>
          <cell r="J86">
            <v>3.7888355645364991</v>
          </cell>
          <cell r="L86">
            <v>3.7888355645364991</v>
          </cell>
        </row>
        <row r="87">
          <cell r="E87" t="str">
            <v>TELEPHONE</v>
          </cell>
        </row>
        <row r="88">
          <cell r="E88" t="str">
            <v>Digital Phone</v>
          </cell>
          <cell r="H88" t="str">
            <v>PANASONIC: 7665</v>
          </cell>
          <cell r="J88">
            <v>265.21848951755493</v>
          </cell>
          <cell r="L88">
            <v>265.21848951755493</v>
          </cell>
          <cell r="O88" t="str">
            <v>Hyundai C&amp;I</v>
          </cell>
        </row>
        <row r="89">
          <cell r="E89" t="str">
            <v>Analog Phone</v>
          </cell>
          <cell r="H89" t="str">
            <v>PANASONIC: T500</v>
          </cell>
          <cell r="J89">
            <v>37.888355645364989</v>
          </cell>
          <cell r="L89">
            <v>37.888355645364989</v>
          </cell>
          <cell r="O89" t="str">
            <v>Hyundai C&amp;I</v>
          </cell>
        </row>
        <row r="90">
          <cell r="E90" t="str">
            <v>WALKIE TALKIE</v>
          </cell>
          <cell r="H90" t="str">
            <v>MOTOROLA: GP-328PLUS</v>
          </cell>
          <cell r="J90">
            <v>515.28163677696386</v>
          </cell>
          <cell r="L90">
            <v>515.28163677696386</v>
          </cell>
        </row>
        <row r="91">
          <cell r="E91" t="str">
            <v>SOFTWARE</v>
          </cell>
        </row>
        <row r="92">
          <cell r="E92" t="str">
            <v>SmartPlant Instrumentation</v>
          </cell>
          <cell r="J92">
            <v>0</v>
          </cell>
          <cell r="L92">
            <v>0</v>
          </cell>
        </row>
        <row r="93">
          <cell r="E93" t="str">
            <v>ETAP</v>
          </cell>
          <cell r="J93">
            <v>0</v>
          </cell>
          <cell r="L93">
            <v>0</v>
          </cell>
        </row>
        <row r="94">
          <cell r="E94" t="str">
            <v>SmartPlant Review</v>
          </cell>
          <cell r="J94">
            <v>0</v>
          </cell>
          <cell r="L94">
            <v>0</v>
          </cell>
        </row>
        <row r="95">
          <cell r="E95" t="str">
            <v>SmartPlant Electrical</v>
          </cell>
          <cell r="J95">
            <v>0</v>
          </cell>
          <cell r="L95">
            <v>0</v>
          </cell>
        </row>
        <row r="96">
          <cell r="E96" t="str">
            <v>SmartPlant PID</v>
          </cell>
          <cell r="J96">
            <v>0</v>
          </cell>
          <cell r="L96">
            <v>0</v>
          </cell>
        </row>
        <row r="97">
          <cell r="E97" t="str">
            <v>PDS 3D</v>
          </cell>
          <cell r="J97">
            <v>0</v>
          </cell>
          <cell r="L97">
            <v>0</v>
          </cell>
        </row>
        <row r="98">
          <cell r="E98" t="str">
            <v>Microstation</v>
          </cell>
          <cell r="J98">
            <v>0</v>
          </cell>
          <cell r="L98">
            <v>0</v>
          </cell>
        </row>
        <row r="99">
          <cell r="E99" t="str">
            <v>AutoCAD</v>
          </cell>
          <cell r="J99">
            <v>0</v>
          </cell>
          <cell r="L99">
            <v>0</v>
          </cell>
        </row>
        <row r="100">
          <cell r="E100" t="str">
            <v>Primavera P3 Project Planner</v>
          </cell>
          <cell r="J100">
            <v>0</v>
          </cell>
          <cell r="L100">
            <v>0</v>
          </cell>
        </row>
        <row r="101">
          <cell r="E101" t="str">
            <v>ICAPS</v>
          </cell>
          <cell r="J101">
            <v>0</v>
          </cell>
          <cell r="L101">
            <v>0</v>
          </cell>
          <cell r="O101" t="str">
            <v>Included in Pre-Comm. Direct Cost</v>
          </cell>
        </row>
        <row r="102">
          <cell r="E102" t="str">
            <v>Microsoft Windows Vista</v>
          </cell>
          <cell r="J102">
            <v>0</v>
          </cell>
          <cell r="L102">
            <v>0</v>
          </cell>
          <cell r="O102" t="str">
            <v>Included in H.W. Price</v>
          </cell>
        </row>
        <row r="103">
          <cell r="E103" t="str">
            <v>Microsoft Office</v>
          </cell>
          <cell r="J103">
            <v>0</v>
          </cell>
          <cell r="L103">
            <v>0</v>
          </cell>
          <cell r="O103" t="str">
            <v>Use the HDEC's License</v>
          </cell>
        </row>
        <row r="104">
          <cell r="E104" t="str">
            <v>Adobe Acrobat Professional 8.0</v>
          </cell>
          <cell r="J104">
            <v>490.1237686284415</v>
          </cell>
          <cell r="L104">
            <v>490.1237686284415</v>
          </cell>
        </row>
      </sheetData>
      <sheetData sheetId="28" refreshError="1">
        <row r="18">
          <cell r="E18" t="str">
            <v>KOR</v>
          </cell>
          <cell r="F18">
            <v>113</v>
          </cell>
          <cell r="G18">
            <v>2760</v>
          </cell>
          <cell r="I18">
            <v>5</v>
          </cell>
          <cell r="J18">
            <v>13800</v>
          </cell>
          <cell r="L18">
            <v>4</v>
          </cell>
          <cell r="M18">
            <v>11040</v>
          </cell>
          <cell r="O18">
            <v>5</v>
          </cell>
          <cell r="P18">
            <v>13800</v>
          </cell>
          <cell r="R18">
            <v>30</v>
          </cell>
          <cell r="S18">
            <v>82800</v>
          </cell>
          <cell r="U18">
            <v>50</v>
          </cell>
          <cell r="V18">
            <v>138000</v>
          </cell>
          <cell r="X18">
            <v>259440</v>
          </cell>
        </row>
        <row r="19">
          <cell r="E19" t="str">
            <v>EUR</v>
          </cell>
          <cell r="F19">
            <v>1</v>
          </cell>
          <cell r="G19">
            <v>41</v>
          </cell>
          <cell r="I19">
            <v>5</v>
          </cell>
          <cell r="J19">
            <v>205</v>
          </cell>
          <cell r="L19">
            <v>4</v>
          </cell>
          <cell r="M19">
            <v>164</v>
          </cell>
          <cell r="O19">
            <v>5</v>
          </cell>
          <cell r="P19">
            <v>205</v>
          </cell>
          <cell r="R19">
            <v>30</v>
          </cell>
          <cell r="S19">
            <v>1230</v>
          </cell>
          <cell r="U19">
            <v>50</v>
          </cell>
          <cell r="V19">
            <v>2050</v>
          </cell>
          <cell r="X19">
            <v>3854</v>
          </cell>
        </row>
        <row r="20">
          <cell r="E20" t="str">
            <v>TCN</v>
          </cell>
          <cell r="F20">
            <v>128</v>
          </cell>
          <cell r="G20">
            <v>3336</v>
          </cell>
          <cell r="I20">
            <v>5</v>
          </cell>
          <cell r="J20">
            <v>16680</v>
          </cell>
          <cell r="L20">
            <v>4</v>
          </cell>
          <cell r="M20">
            <v>13344</v>
          </cell>
          <cell r="O20">
            <v>5</v>
          </cell>
          <cell r="P20">
            <v>16680</v>
          </cell>
          <cell r="R20">
            <v>15</v>
          </cell>
          <cell r="S20">
            <v>50040</v>
          </cell>
          <cell r="U20">
            <v>25</v>
          </cell>
          <cell r="V20">
            <v>83400</v>
          </cell>
          <cell r="X20">
            <v>180144</v>
          </cell>
        </row>
        <row r="21">
          <cell r="E21" t="str">
            <v>LOC</v>
          </cell>
          <cell r="F21">
            <v>25</v>
          </cell>
          <cell r="G21">
            <v>684</v>
          </cell>
          <cell r="I21">
            <v>5</v>
          </cell>
          <cell r="J21">
            <v>3420</v>
          </cell>
          <cell r="L21">
            <v>4</v>
          </cell>
          <cell r="M21">
            <v>2736</v>
          </cell>
          <cell r="O21">
            <v>5</v>
          </cell>
          <cell r="P21">
            <v>3420</v>
          </cell>
          <cell r="R21">
            <v>30</v>
          </cell>
          <cell r="S21">
            <v>20520</v>
          </cell>
          <cell r="U21">
            <v>25</v>
          </cell>
          <cell r="V21">
            <v>17100</v>
          </cell>
          <cell r="X21">
            <v>47196</v>
          </cell>
        </row>
        <row r="22">
          <cell r="E22" t="str">
            <v>KOR</v>
          </cell>
          <cell r="F22">
            <v>7</v>
          </cell>
          <cell r="G22">
            <v>262</v>
          </cell>
          <cell r="I22">
            <v>5</v>
          </cell>
          <cell r="J22">
            <v>1310</v>
          </cell>
          <cell r="L22">
            <v>4</v>
          </cell>
          <cell r="M22">
            <v>1048</v>
          </cell>
          <cell r="O22">
            <v>5</v>
          </cell>
          <cell r="P22">
            <v>1310</v>
          </cell>
          <cell r="R22">
            <v>30</v>
          </cell>
          <cell r="S22">
            <v>7860</v>
          </cell>
          <cell r="U22">
            <v>50</v>
          </cell>
          <cell r="V22">
            <v>13100</v>
          </cell>
          <cell r="X22">
            <v>24628</v>
          </cell>
        </row>
        <row r="23">
          <cell r="E23" t="str">
            <v>EUR</v>
          </cell>
          <cell r="F23">
            <v>0</v>
          </cell>
          <cell r="G23">
            <v>0</v>
          </cell>
          <cell r="I23">
            <v>5</v>
          </cell>
          <cell r="J23">
            <v>0</v>
          </cell>
          <cell r="L23">
            <v>4</v>
          </cell>
          <cell r="M23">
            <v>0</v>
          </cell>
          <cell r="O23">
            <v>5</v>
          </cell>
          <cell r="P23">
            <v>0</v>
          </cell>
          <cell r="R23">
            <v>30</v>
          </cell>
          <cell r="S23">
            <v>0</v>
          </cell>
          <cell r="U23">
            <v>50</v>
          </cell>
          <cell r="V23">
            <v>0</v>
          </cell>
          <cell r="X23">
            <v>0</v>
          </cell>
        </row>
        <row r="24">
          <cell r="E24" t="str">
            <v>TCN</v>
          </cell>
          <cell r="F24">
            <v>81</v>
          </cell>
          <cell r="G24">
            <v>2543</v>
          </cell>
          <cell r="J24">
            <v>0</v>
          </cell>
          <cell r="M24">
            <v>0</v>
          </cell>
          <cell r="P24">
            <v>0</v>
          </cell>
          <cell r="S24">
            <v>0</v>
          </cell>
          <cell r="V24">
            <v>0</v>
          </cell>
          <cell r="X24">
            <v>0</v>
          </cell>
        </row>
        <row r="25">
          <cell r="E25" t="str">
            <v>LOC</v>
          </cell>
          <cell r="F25">
            <v>15</v>
          </cell>
          <cell r="G25">
            <v>493</v>
          </cell>
          <cell r="I25">
            <v>5</v>
          </cell>
          <cell r="J25">
            <v>2465</v>
          </cell>
          <cell r="L25">
            <v>4</v>
          </cell>
          <cell r="M25">
            <v>1972</v>
          </cell>
          <cell r="O25">
            <v>5</v>
          </cell>
          <cell r="P25">
            <v>2465</v>
          </cell>
          <cell r="R25">
            <v>30</v>
          </cell>
          <cell r="S25">
            <v>14790</v>
          </cell>
          <cell r="U25">
            <v>25</v>
          </cell>
          <cell r="V25">
            <v>12325</v>
          </cell>
          <cell r="X25">
            <v>34017</v>
          </cell>
        </row>
        <row r="26">
          <cell r="E26" t="str">
            <v>KOR</v>
          </cell>
          <cell r="F26">
            <v>41</v>
          </cell>
          <cell r="G26">
            <v>743</v>
          </cell>
          <cell r="I26">
            <v>5</v>
          </cell>
          <cell r="J26">
            <v>3715</v>
          </cell>
          <cell r="L26">
            <v>4</v>
          </cell>
          <cell r="M26">
            <v>2972</v>
          </cell>
          <cell r="O26">
            <v>5</v>
          </cell>
          <cell r="P26">
            <v>3715</v>
          </cell>
          <cell r="R26">
            <v>30</v>
          </cell>
          <cell r="S26">
            <v>22290</v>
          </cell>
          <cell r="U26">
            <v>25</v>
          </cell>
          <cell r="V26">
            <v>18575</v>
          </cell>
          <cell r="X26">
            <v>51267</v>
          </cell>
        </row>
        <row r="27">
          <cell r="E27" t="str">
            <v>TCN</v>
          </cell>
          <cell r="F27">
            <v>2075</v>
          </cell>
          <cell r="G27">
            <v>33106</v>
          </cell>
          <cell r="J27">
            <v>0</v>
          </cell>
          <cell r="M27">
            <v>0</v>
          </cell>
          <cell r="P27">
            <v>0</v>
          </cell>
          <cell r="S27">
            <v>0</v>
          </cell>
          <cell r="V27">
            <v>0</v>
          </cell>
          <cell r="X27">
            <v>0</v>
          </cell>
        </row>
        <row r="28">
          <cell r="E28" t="str">
            <v>LOC</v>
          </cell>
          <cell r="F28">
            <v>962</v>
          </cell>
          <cell r="G28">
            <v>18023</v>
          </cell>
          <cell r="J28">
            <v>0</v>
          </cell>
          <cell r="M28">
            <v>0</v>
          </cell>
          <cell r="P28">
            <v>0</v>
          </cell>
          <cell r="S28">
            <v>0</v>
          </cell>
          <cell r="V28">
            <v>0</v>
          </cell>
          <cell r="X28">
            <v>0</v>
          </cell>
        </row>
      </sheetData>
      <sheetData sheetId="29" refreshError="1">
        <row r="18">
          <cell r="E18" t="str">
            <v>KOR</v>
          </cell>
          <cell r="F18">
            <v>113</v>
          </cell>
          <cell r="G18">
            <v>2760</v>
          </cell>
          <cell r="I18">
            <v>730</v>
          </cell>
          <cell r="J18">
            <v>30</v>
          </cell>
          <cell r="K18">
            <v>2097600</v>
          </cell>
          <cell r="M18">
            <v>25</v>
          </cell>
          <cell r="N18">
            <v>69000</v>
          </cell>
          <cell r="P18">
            <v>100</v>
          </cell>
          <cell r="Q18">
            <v>276000</v>
          </cell>
          <cell r="S18">
            <v>20</v>
          </cell>
          <cell r="T18">
            <v>55200</v>
          </cell>
          <cell r="V18">
            <v>100</v>
          </cell>
          <cell r="W18">
            <v>276000</v>
          </cell>
          <cell r="Y18">
            <v>16.502483792203417</v>
          </cell>
          <cell r="Z18">
            <v>45546.855266481434</v>
          </cell>
          <cell r="AB18">
            <v>2773800</v>
          </cell>
        </row>
        <row r="19">
          <cell r="E19" t="str">
            <v>EUR</v>
          </cell>
          <cell r="F19">
            <v>1</v>
          </cell>
          <cell r="G19">
            <v>41</v>
          </cell>
          <cell r="I19">
            <v>730</v>
          </cell>
          <cell r="J19">
            <v>30</v>
          </cell>
          <cell r="K19">
            <v>31160</v>
          </cell>
          <cell r="M19">
            <v>25</v>
          </cell>
          <cell r="N19">
            <v>1025</v>
          </cell>
          <cell r="P19">
            <v>100</v>
          </cell>
          <cell r="Q19">
            <v>4100</v>
          </cell>
          <cell r="S19">
            <v>20</v>
          </cell>
          <cell r="T19">
            <v>820</v>
          </cell>
          <cell r="V19">
            <v>100</v>
          </cell>
          <cell r="W19">
            <v>4100</v>
          </cell>
          <cell r="Y19">
            <v>16.502483792203417</v>
          </cell>
          <cell r="Z19">
            <v>676.60183548034013</v>
          </cell>
          <cell r="AB19">
            <v>41205</v>
          </cell>
        </row>
        <row r="20">
          <cell r="E20" t="str">
            <v>TCN</v>
          </cell>
          <cell r="F20">
            <v>128</v>
          </cell>
          <cell r="G20">
            <v>3336</v>
          </cell>
          <cell r="I20">
            <v>115</v>
          </cell>
          <cell r="J20">
            <v>10</v>
          </cell>
          <cell r="K20">
            <v>417000</v>
          </cell>
          <cell r="M20">
            <v>20</v>
          </cell>
          <cell r="N20">
            <v>66720</v>
          </cell>
          <cell r="P20">
            <v>50</v>
          </cell>
          <cell r="Q20">
            <v>166800</v>
          </cell>
          <cell r="S20">
            <v>20</v>
          </cell>
          <cell r="T20">
            <v>66720</v>
          </cell>
          <cell r="V20">
            <v>20</v>
          </cell>
          <cell r="W20">
            <v>66720</v>
          </cell>
          <cell r="Y20">
            <v>13.639808032331397</v>
          </cell>
          <cell r="Z20">
            <v>45502.39959585754</v>
          </cell>
          <cell r="AB20">
            <v>783960</v>
          </cell>
        </row>
        <row r="21">
          <cell r="E21" t="str">
            <v>LOC</v>
          </cell>
          <cell r="F21">
            <v>25</v>
          </cell>
          <cell r="G21">
            <v>684</v>
          </cell>
          <cell r="I21">
            <v>115</v>
          </cell>
          <cell r="J21">
            <v>10</v>
          </cell>
          <cell r="K21">
            <v>85500</v>
          </cell>
          <cell r="M21">
            <v>20</v>
          </cell>
          <cell r="N21">
            <v>13680</v>
          </cell>
          <cell r="P21">
            <v>50</v>
          </cell>
          <cell r="Q21">
            <v>34200</v>
          </cell>
          <cell r="S21">
            <v>20</v>
          </cell>
          <cell r="T21">
            <v>13680</v>
          </cell>
          <cell r="V21">
            <v>20</v>
          </cell>
          <cell r="W21">
            <v>13680</v>
          </cell>
          <cell r="Y21">
            <v>13.639808032331397</v>
          </cell>
          <cell r="Z21">
            <v>9329.6286941146755</v>
          </cell>
          <cell r="AB21">
            <v>160740</v>
          </cell>
        </row>
        <row r="22">
          <cell r="E22" t="str">
            <v>KOR</v>
          </cell>
          <cell r="F22">
            <v>7</v>
          </cell>
          <cell r="G22">
            <v>262</v>
          </cell>
          <cell r="I22">
            <v>730</v>
          </cell>
          <cell r="J22">
            <v>30</v>
          </cell>
          <cell r="K22">
            <v>199120</v>
          </cell>
          <cell r="M22">
            <v>25</v>
          </cell>
          <cell r="N22">
            <v>6550</v>
          </cell>
          <cell r="P22">
            <v>75</v>
          </cell>
          <cell r="Q22">
            <v>19650</v>
          </cell>
          <cell r="S22">
            <v>20</v>
          </cell>
          <cell r="T22">
            <v>5240</v>
          </cell>
          <cell r="V22">
            <v>100</v>
          </cell>
          <cell r="W22">
            <v>26200</v>
          </cell>
          <cell r="Y22">
            <v>11.064803120877887</v>
          </cell>
          <cell r="Z22">
            <v>2898.9784176700064</v>
          </cell>
          <cell r="AB22">
            <v>256760</v>
          </cell>
        </row>
        <row r="23">
          <cell r="E23" t="str">
            <v>EUR</v>
          </cell>
          <cell r="F23">
            <v>0</v>
          </cell>
          <cell r="G23">
            <v>0</v>
          </cell>
          <cell r="I23">
            <v>215</v>
          </cell>
          <cell r="J23">
            <v>30</v>
          </cell>
          <cell r="K23">
            <v>0</v>
          </cell>
          <cell r="M23">
            <v>25</v>
          </cell>
          <cell r="N23">
            <v>0</v>
          </cell>
          <cell r="P23">
            <v>75</v>
          </cell>
          <cell r="Q23">
            <v>0</v>
          </cell>
          <cell r="S23">
            <v>20</v>
          </cell>
          <cell r="T23">
            <v>0</v>
          </cell>
          <cell r="V23">
            <v>100</v>
          </cell>
          <cell r="W23">
            <v>0</v>
          </cell>
          <cell r="Y23">
            <v>11.064803120877887</v>
          </cell>
          <cell r="Z23">
            <v>0</v>
          </cell>
          <cell r="AB23">
            <v>0</v>
          </cell>
        </row>
        <row r="24">
          <cell r="E24" t="str">
            <v>TCN</v>
          </cell>
          <cell r="F24">
            <v>81</v>
          </cell>
          <cell r="G24">
            <v>2543</v>
          </cell>
          <cell r="I24">
            <v>115</v>
          </cell>
          <cell r="J24">
            <v>5</v>
          </cell>
          <cell r="K24">
            <v>305160</v>
          </cell>
          <cell r="M24">
            <v>20</v>
          </cell>
          <cell r="N24">
            <v>50860</v>
          </cell>
          <cell r="P24">
            <v>50</v>
          </cell>
          <cell r="Q24">
            <v>127150</v>
          </cell>
          <cell r="S24">
            <v>10</v>
          </cell>
          <cell r="T24">
            <v>25430</v>
          </cell>
          <cell r="V24">
            <v>20</v>
          </cell>
          <cell r="W24">
            <v>50860</v>
          </cell>
          <cell r="Y24">
            <v>9.4931379978108943</v>
          </cell>
          <cell r="Z24">
            <v>24141.049928433105</v>
          </cell>
          <cell r="AB24">
            <v>559460</v>
          </cell>
        </row>
        <row r="25">
          <cell r="E25" t="str">
            <v>LOC</v>
          </cell>
          <cell r="F25">
            <v>15</v>
          </cell>
          <cell r="G25">
            <v>493</v>
          </cell>
          <cell r="I25">
            <v>115</v>
          </cell>
          <cell r="J25">
            <v>5</v>
          </cell>
          <cell r="K25">
            <v>59160</v>
          </cell>
          <cell r="M25">
            <v>20</v>
          </cell>
          <cell r="N25">
            <v>9860</v>
          </cell>
          <cell r="P25">
            <v>50</v>
          </cell>
          <cell r="Q25">
            <v>24650</v>
          </cell>
          <cell r="S25">
            <v>10</v>
          </cell>
          <cell r="T25">
            <v>4930</v>
          </cell>
          <cell r="V25">
            <v>20</v>
          </cell>
          <cell r="W25">
            <v>9860</v>
          </cell>
          <cell r="Y25">
            <v>9.4931379978108943</v>
          </cell>
          <cell r="Z25">
            <v>4680.1170329207707</v>
          </cell>
          <cell r="AB25">
            <v>108460</v>
          </cell>
        </row>
        <row r="26">
          <cell r="E26" t="str">
            <v>KOR</v>
          </cell>
          <cell r="F26">
            <v>41</v>
          </cell>
          <cell r="G26">
            <v>743</v>
          </cell>
          <cell r="I26">
            <v>0</v>
          </cell>
          <cell r="J26">
            <v>0</v>
          </cell>
          <cell r="K26">
            <v>0</v>
          </cell>
          <cell r="M26">
            <v>0</v>
          </cell>
          <cell r="N26">
            <v>0</v>
          </cell>
          <cell r="P26">
            <v>75</v>
          </cell>
          <cell r="Q26">
            <v>55725</v>
          </cell>
          <cell r="S26">
            <v>0</v>
          </cell>
          <cell r="T26">
            <v>0</v>
          </cell>
          <cell r="V26">
            <v>0</v>
          </cell>
          <cell r="W26">
            <v>0</v>
          </cell>
          <cell r="Y26">
            <v>0</v>
          </cell>
          <cell r="Z26">
            <v>0</v>
          </cell>
          <cell r="AB26">
            <v>55725</v>
          </cell>
        </row>
        <row r="27">
          <cell r="E27" t="str">
            <v>TCN</v>
          </cell>
          <cell r="F27">
            <v>2075</v>
          </cell>
          <cell r="G27">
            <v>33106</v>
          </cell>
          <cell r="I27">
            <v>0</v>
          </cell>
          <cell r="J27">
            <v>0</v>
          </cell>
          <cell r="K27">
            <v>0</v>
          </cell>
          <cell r="M27">
            <v>0</v>
          </cell>
          <cell r="N27">
            <v>0</v>
          </cell>
          <cell r="P27">
            <v>0</v>
          </cell>
          <cell r="Q27">
            <v>0</v>
          </cell>
          <cell r="S27">
            <v>0</v>
          </cell>
          <cell r="T27">
            <v>0</v>
          </cell>
          <cell r="V27">
            <v>0</v>
          </cell>
          <cell r="W27">
            <v>0</v>
          </cell>
          <cell r="Y27">
            <v>0</v>
          </cell>
          <cell r="Z27">
            <v>0</v>
          </cell>
          <cell r="AB27">
            <v>0</v>
          </cell>
        </row>
        <row r="28">
          <cell r="E28" t="str">
            <v>LOC</v>
          </cell>
          <cell r="F28">
            <v>962</v>
          </cell>
          <cell r="G28">
            <v>18023</v>
          </cell>
          <cell r="I28">
            <v>0</v>
          </cell>
          <cell r="J28">
            <v>0</v>
          </cell>
          <cell r="K28">
            <v>0</v>
          </cell>
          <cell r="M28">
            <v>0</v>
          </cell>
          <cell r="N28">
            <v>0</v>
          </cell>
          <cell r="P28">
            <v>0</v>
          </cell>
          <cell r="Q28">
            <v>0</v>
          </cell>
          <cell r="S28">
            <v>0</v>
          </cell>
          <cell r="T28">
            <v>0</v>
          </cell>
          <cell r="V28">
            <v>0</v>
          </cell>
          <cell r="W28">
            <v>0</v>
          </cell>
          <cell r="Y28">
            <v>0</v>
          </cell>
          <cell r="Z28">
            <v>0</v>
          </cell>
          <cell r="AB28">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rrect"/>
      <sheetName val="Data"/>
      <sheetName val="Temp"/>
      <sheetName val="Code"/>
      <sheetName val="WorkTitle"/>
      <sheetName val="Cover"/>
      <sheetName val="Summary"/>
      <sheetName val="Total"/>
      <sheetName val="TIE-IN"/>
      <sheetName val="ISBL"/>
      <sheetName val="OSBL"/>
      <sheetName val="Equipment"/>
      <sheetName val="Consumable"/>
      <sheetName val="작성기준"/>
      <sheetName val="XZLC004_PART2"/>
    </sheetNames>
    <sheetDataSet>
      <sheetData sheetId="0"/>
      <sheetData sheetId="1" refreshError="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_Master"/>
      <sheetName val="#REF"/>
      <sheetName val="PRO_A"/>
      <sheetName val="DWG"/>
      <sheetName val="MAIN"/>
      <sheetName val="PRO"/>
      <sheetName val="계화배수(3대)"/>
      <sheetName val="포장복구집계"/>
      <sheetName val="BLDG_DCI"/>
      <sheetName val="BLDG_MCI"/>
      <sheetName val="Tipo Terzi"/>
      <sheetName val="ELEC_MCI"/>
      <sheetName val="INST_MCI"/>
      <sheetName val="MECH_MCI"/>
      <sheetName val="BRICK"/>
      <sheetName val="Sheet5"/>
      <sheetName val="BSD (2)"/>
      <sheetName val="손익차9월2"/>
      <sheetName val="주관사업"/>
      <sheetName val="기계내역"/>
      <sheetName val="P.M 별"/>
      <sheetName val="구분자"/>
      <sheetName val="ironmongery"/>
      <sheetName val="집 계 표"/>
      <sheetName val="직노"/>
      <sheetName val="PESOCHNAYA_INITIAL BUDGET_Eng"/>
      <sheetName val="FitOutConfCentre"/>
      <sheetName val="tj定额"/>
      <sheetName val="SILICATE"/>
      <sheetName val="定额"/>
      <sheetName val="Sheet1"/>
      <sheetName val="tower 10ton"/>
      <sheetName val="tower 12ton"/>
      <sheetName val="JIB CRANE,HOIST"/>
      <sheetName val=" GULF"/>
      <sheetName val="조명시설"/>
      <sheetName val="TST"/>
      <sheetName val="노임단가"/>
      <sheetName val="공통부대비"/>
      <sheetName val="사업부배부A"/>
      <sheetName val="95신규호표"/>
      <sheetName val="갑지(추정)"/>
      <sheetName val="PE-F-42 Rev 01 Manpower"/>
      <sheetName val=" Est "/>
      <sheetName val="IPS현황"/>
      <sheetName val="갑지1"/>
      <sheetName val="98수문일위"/>
      <sheetName val="Cash2"/>
      <sheetName val="Z"/>
      <sheetName val="UPA-struc"/>
      <sheetName val="Division 3000"/>
      <sheetName val="BM"/>
      <sheetName val="C&amp;IEVA"/>
      <sheetName val="Plumbing"/>
      <sheetName val="proj description final"/>
      <sheetName val="Masonry"/>
      <sheetName val="GMQ"/>
      <sheetName val="BOQ1"/>
      <sheetName val="NSC"/>
      <sheetName val="PRELIMS"/>
      <sheetName val="Inputs"/>
      <sheetName val="Lookup"/>
      <sheetName val="BD"/>
      <sheetName val="ceiling"/>
      <sheetName val="interior"/>
      <sheetName val="Finishes"/>
      <sheetName val="SANTOGO"/>
      <sheetName val="SANBAISU"/>
      <sheetName val="건축공사실행"/>
      <sheetName val="MixBed"/>
      <sheetName val="CondPol"/>
      <sheetName val="건축원가"/>
      <sheetName val="Sheet2"/>
      <sheetName val="공사수행방안"/>
      <sheetName val="JOB_INFO"/>
      <sheetName val="Code"/>
      <sheetName val="Opening"/>
      <sheetName val="BUR "/>
      <sheetName val="Trade Summary"/>
      <sheetName val="TSA"/>
      <sheetName val="15.rd"/>
      <sheetName val="견적기준"/>
      <sheetName val="기둥(하중)"/>
      <sheetName val="Internal Finishes"/>
      <sheetName val="Col"/>
      <sheetName val="Code03"/>
      <sheetName val="Summary"/>
      <sheetName val="inter"/>
      <sheetName val="예산M6-B"/>
      <sheetName val="insumos en $us"/>
      <sheetName val="jobhist"/>
      <sheetName val="Parameter"/>
      <sheetName val="Config"/>
      <sheetName val="TRANSFER"/>
      <sheetName val="ANAL"/>
      <sheetName val="Matls"/>
      <sheetName val="Labor"/>
      <sheetName val="dervstruc"/>
      <sheetName val="bill_02 CIV. WRKS."/>
      <sheetName val="ph2B_cnstrction_sched_"/>
      <sheetName val="일반공사"/>
      <sheetName val="Others"/>
      <sheetName val="sum mdc"/>
      <sheetName val="CD"/>
      <sheetName val="CI"/>
      <sheetName val="CP"/>
      <sheetName val="Distribuciones"/>
      <sheetName val="DC"/>
      <sheetName val="Schedule_S-Curve_Revision#3"/>
      <sheetName val="GAE8'97"/>
      <sheetName val="CFA"/>
      <sheetName val="Material Price"/>
      <sheetName val="co-no.2"/>
      <sheetName val="주식"/>
      <sheetName val="LIST"/>
      <sheetName val="요약"/>
      <sheetName val="Baby일위대가"/>
      <sheetName val="Schedule_S-Curve_(new_scheme)"/>
      <sheetName val="DATA"/>
      <sheetName val="Info"/>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est"/>
      <sheetName val="Piping System - HYL"/>
      <sheetName val="section prices"/>
      <sheetName val="Cover Page"/>
      <sheetName val="Estimate Total € equiv."/>
      <sheetName val="合成単価作成表-BLDG"/>
      <sheetName val="SILICATE"/>
      <sheetName val="jobhist"/>
      <sheetName val="2,000"/>
      <sheetName val="6,000"/>
      <sheetName val="GC_1_4,000"/>
      <sheetName val="#REF"/>
      <sheetName val="Price Calculation Summary"/>
      <sheetName val="Estimate QR port."/>
      <sheetName val="Estimate € port."/>
      <sheetName val="Estimate Total USD equiv."/>
      <sheetName val="Temp. Facilities &amp; Living Camp"/>
      <sheetName val="Indirect Mhrs"/>
      <sheetName val="Cost of Dir. mhrs TOT"/>
      <sheetName val="INPUT DATA OF SCHEDULE"/>
      <sheetName val="lookup"/>
      <sheetName val="대비내역"/>
      <sheetName val="Tipo Terzi"/>
      <sheetName val="w't table"/>
      <sheetName val="작성기준"/>
      <sheetName val="Indirect-Sum"/>
      <sheetName val="DATA"/>
      <sheetName val="CAMP OPERATING COST"/>
      <sheetName val="PERSONNEL SETUP"/>
      <sheetName val="STAFF&amp;INDIRECT SALARY - SUMMARY"/>
      <sheetName val="KOREAN STAFF SALARY_BREAKDOWN"/>
      <sheetName val="BREAKDOWN"/>
      <sheetName val="WELFARE COST - SITE"/>
      <sheetName val="ITB COST"/>
      <sheetName val="CAMP - CONSTRUCTIO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 개요"/>
      <sheetName val="공통비 예산 편성 내역"/>
      <sheetName val="공통부대"/>
      <sheetName val="경상비"/>
      <sheetName val="서울사무소"/>
      <sheetName val="인원분석"/>
      <sheetName val="직원동원계획(서울)"/>
      <sheetName val="직원동원계획(현장)"/>
      <sheetName val="현채직원(서울)"/>
      <sheetName val="현채직원(현장)"/>
      <sheetName val="간접인원동원계획(현장)"/>
      <sheetName val="직원급여"/>
      <sheetName val="임금인상"/>
      <sheetName val="차량동원계획"/>
      <sheetName val="차량 구매 및 보험료"/>
    </sheetNames>
    <sheetDataSet>
      <sheetData sheetId="0">
        <row r="9">
          <cell r="D9">
            <v>1050</v>
          </cell>
        </row>
        <row r="15">
          <cell r="G15">
            <v>485181858</v>
          </cell>
        </row>
      </sheetData>
      <sheetData sheetId="1"/>
      <sheetData sheetId="2"/>
      <sheetData sheetId="3">
        <row r="79">
          <cell r="M79">
            <v>4848.4834710743798</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9_1차이내역"/>
      <sheetName val="주관사업"/>
      <sheetName val="9-1Â÷ÀÌ³»¿ª"/>
      <sheetName val="산출근거#2-3"/>
      <sheetName val="영업소실적"/>
      <sheetName val="96CONF"/>
      <sheetName val="AILC004"/>
      <sheetName val="연습"/>
      <sheetName val="수입"/>
      <sheetName val="집계표"/>
      <sheetName val="개시대사 (2)"/>
      <sheetName val="세금자료"/>
      <sheetName val="경제지표"/>
      <sheetName val="세부내역"/>
      <sheetName val="총괄표양식"/>
      <sheetName val="차량운영비"/>
      <sheetName val="E_Rate PM"/>
      <sheetName val="용수량"/>
      <sheetName val="견적조건"/>
      <sheetName val="97 사업추정(WEKI)"/>
      <sheetName val="사업부배부A"/>
      <sheetName val="VA_code"/>
      <sheetName val="eq_data"/>
      <sheetName val="상반기손익차2총괄"/>
      <sheetName val="BLDG_DCI"/>
      <sheetName val="BLDG_MCI"/>
      <sheetName val="내역서"/>
      <sheetName val="수주현황2월"/>
      <sheetName val="소화실적"/>
      <sheetName val="#REF"/>
      <sheetName val="cp1"/>
      <sheetName val="일위대가"/>
      <sheetName val="개시대사_(2)"/>
      <sheetName val="E_Rate_PM"/>
      <sheetName val="97_사업추정(WEKI)"/>
      <sheetName val="data_dci"/>
      <sheetName val="data_mci"/>
      <sheetName val="behind"/>
      <sheetName val="Main"/>
      <sheetName val="sw1"/>
      <sheetName val="예산"/>
      <sheetName val="정 "/>
      <sheetName val="정산서  (2)"/>
      <sheetName val="DATE"/>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HVAC집계"/>
      <sheetName val="손익차9월2"/>
      <sheetName val="bahan"/>
      <sheetName val="Upah"/>
      <sheetName val="95삼성급(본사)"/>
      <sheetName val="RENUN"/>
      <sheetName val="lookup"/>
      <sheetName val="VXXXXXXX"/>
      <sheetName val="sum"/>
      <sheetName val="Sheet1"/>
      <sheetName val="건축"/>
      <sheetName val="간접비내역-1"/>
      <sheetName val="대치판정"/>
      <sheetName val="CAT_5"/>
      <sheetName val="DATA"/>
      <sheetName val="기타경비"/>
      <sheetName val="분개"/>
      <sheetName val="자재"/>
      <sheetName val="장산"/>
      <sheetName val="인산"/>
      <sheetName val="인원현황"/>
      <sheetName val="B31.1"/>
      <sheetName val="PSIZE"/>
      <sheetName val="기술개발"/>
      <sheetName val="수익증대"/>
      <sheetName val="독서"/>
      <sheetName val="Cyber"/>
      <sheetName val="전문기량"/>
      <sheetName val="신우"/>
      <sheetName val="정부노임단가"/>
      <sheetName val="경상"/>
      <sheetName val="9-1????"/>
      <sheetName val="9-1____"/>
      <sheetName val="정산표2"/>
      <sheetName val="General"/>
      <sheetName val="Menus"/>
      <sheetName val="일위대가(가설)"/>
      <sheetName val="Sheet6"/>
      <sheetName val="CAL(1)."/>
      <sheetName val="7.3.2.D(BASE)_Sorting"/>
      <sheetName val="7.3.2.E(OPTION)_Sorting"/>
      <sheetName val="Questions to Vendor"/>
      <sheetName val="내역"/>
      <sheetName val="Articoli da prezziario"/>
      <sheetName val="첨1.4"/>
      <sheetName val="첨1.5"/>
      <sheetName val="첨1.3"/>
      <sheetName val="2.1.1"/>
      <sheetName val="남양시작동자105노65기1.3화1.2"/>
      <sheetName val="EQUIPMENT"/>
      <sheetName val="다이꾸"/>
      <sheetName val="집계표(OPTION)"/>
      <sheetName val="인원계획"/>
      <sheetName val="분전함신설"/>
      <sheetName val="접지1종"/>
      <sheetName val="COMPARISON TABLE"/>
      <sheetName val="중기비"/>
      <sheetName val="BATCH"/>
      <sheetName val="Billing and Status Register"/>
      <sheetName val="Information"/>
      <sheetName val="T1"/>
      <sheetName val="자료입력"/>
      <sheetName val="카니발(자105노60)"/>
      <sheetName val="Regenerator  Concrete Structure"/>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근로자동원계획 (PKG-1)"/>
      <sheetName val="INSPECTOR (PKG-1)"/>
      <sheetName val="근로자동원계획 (PKG-4)"/>
      <sheetName val="INSPECTOR (PKG-4)"/>
      <sheetName val="Saudization"/>
      <sheetName val="Inspector 비교"/>
    </sheetNames>
    <sheetDataSet>
      <sheetData sheetId="0">
        <row r="128">
          <cell r="U128">
            <v>2</v>
          </cell>
        </row>
      </sheetData>
      <sheetData sheetId="1">
        <row r="8">
          <cell r="D8">
            <v>10</v>
          </cell>
        </row>
      </sheetData>
      <sheetData sheetId="2">
        <row r="159">
          <cell r="I159">
            <v>0</v>
          </cell>
        </row>
      </sheetData>
      <sheetData sheetId="3">
        <row r="8">
          <cell r="D8">
            <v>10</v>
          </cell>
        </row>
      </sheetData>
      <sheetData sheetId="4" refreshError="1"/>
      <sheetData sheetId="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eq_data"/>
      <sheetName val="97 사업추정_WEKI_"/>
      <sheetName val="수입"/>
      <sheetName val="PriceBreakdown"/>
      <sheetName val="2"/>
      <sheetName val="요약"/>
      <sheetName val="간접비"/>
      <sheetName val="9-1차이내역"/>
      <sheetName val="PumpSpec"/>
      <sheetName val="수량집계"/>
      <sheetName val="총괄집계표"/>
      <sheetName val="상반기손익차2총괄"/>
      <sheetName val="97SAUPCU"/>
      <sheetName val="Expat Conditions"/>
      <sheetName val="RCF CLAIMED"/>
      <sheetName val="투찰가"/>
      <sheetName val="단면가정"/>
      <sheetName val="손익차9월2"/>
      <sheetName val="시행예산"/>
      <sheetName val="95삼성급(본사)"/>
      <sheetName val="Total"/>
      <sheetName val="fitting"/>
      <sheetName val="VENDOR LIST"/>
      <sheetName val="공통비"/>
      <sheetName val="ITB COST"/>
      <sheetName val="영업소실적"/>
      <sheetName val="TTL"/>
      <sheetName val="터널조도"/>
      <sheetName val="환율"/>
      <sheetName val="정부노임단가"/>
      <sheetName val="PBS"/>
      <sheetName val="SILICATE"/>
      <sheetName val="h-013211-2"/>
      <sheetName val="main-sht"/>
      <sheetName val="단가비교(TOTAL)"/>
      <sheetName val="PRO_A"/>
      <sheetName val="ELEC_MCI"/>
      <sheetName val="MAIN"/>
      <sheetName val="INST_MCI"/>
      <sheetName val="MECH_MCI"/>
      <sheetName val="PRO"/>
      <sheetName val="주관사업"/>
      <sheetName val="Summary Sheets"/>
      <sheetName val="AP1"/>
      <sheetName val="Sheet1"/>
      <sheetName val="요약배부"/>
      <sheetName val="Graph (LGEN)"/>
      <sheetName val="out_prog"/>
      <sheetName val="선적schedule (2)"/>
      <sheetName val="Steam-Sys"/>
      <sheetName val="Option"/>
      <sheetName val="Instruction"/>
      <sheetName val="VA_code"/>
      <sheetName val="97 »ç¾÷ÃßÁ¤(WEKI)"/>
      <sheetName val="Sheet5"/>
      <sheetName val="사업부배부A"/>
      <sheetName val="unit 4"/>
      <sheetName val="J直材4"/>
      <sheetName val="N賃率-職"/>
      <sheetName val="소화실적"/>
      <sheetName val="청산공사"/>
      <sheetName val="Sheet2"/>
      <sheetName val="#REF"/>
      <sheetName val="EACT10"/>
      <sheetName val="일위대가"/>
      <sheetName val="직노"/>
      <sheetName val="Sheet4"/>
      <sheetName val="현금"/>
      <sheetName val="97 ????(WEKI)"/>
      <sheetName val="간접비 총괄표"/>
      <sheetName val="공사비 내역 (가)"/>
      <sheetName val="무전표"/>
      <sheetName val="Regenerator  Concrete Structure"/>
      <sheetName val="인원계획"/>
      <sheetName val="Rekap A"/>
      <sheetName val="CAL."/>
      <sheetName val="회사99"/>
      <sheetName val="VL"/>
      <sheetName val="대비내역"/>
      <sheetName val="보온자재단가표"/>
      <sheetName val="lookup"/>
      <sheetName val="DATE"/>
      <sheetName val="Macro"/>
      <sheetName val="Taux"/>
      <sheetName val="6,000"/>
      <sheetName val="DOC"/>
      <sheetName val="BM DATA SHEET"/>
      <sheetName val="CAMP OPERATING COST"/>
      <sheetName val="PERSONNEL SETUP"/>
      <sheetName val="LIST OF OFFICE EQUIPMENT"/>
      <sheetName val="STAFF&amp;INDIRECT SALARY - SUMMARY"/>
      <sheetName val="KOREAN STAFF SALARY_BREAKDOWN"/>
      <sheetName val="BREAKDOWN"/>
      <sheetName val="WELFARE COST - SITE"/>
      <sheetName val="General Data"/>
      <sheetName val="FORCE"/>
      <sheetName val="6호기"/>
      <sheetName val="단가비교표"/>
      <sheetName val="집계표"/>
      <sheetName val="개시대사 (2)"/>
      <sheetName val="간접비내역-1"/>
      <sheetName val="차량운영비"/>
      <sheetName val="E_Rate PM"/>
      <sheetName val="세부내역"/>
      <sheetName val="guard(mac)"/>
      <sheetName val="B"/>
      <sheetName val="COA-17"/>
      <sheetName val="C-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2"/>
      <sheetName val="Chart1"/>
      <sheetName val="Sheet2"/>
      <sheetName val="Sheet1"/>
      <sheetName val="C-F"/>
      <sheetName val="Chart(국내)"/>
      <sheetName val="Chart(해외)"/>
      <sheetName val="Chart(발전)"/>
      <sheetName val="Chart(플랜트계)"/>
      <sheetName val="변경내용"/>
      <sheetName val="갑지"/>
      <sheetName val="이사회보고대비"/>
      <sheetName val="이사회보고대비 (2)"/>
      <sheetName val="당초계획대비PL"/>
      <sheetName val="간접비비율"/>
      <sheetName val="부사장보고대비"/>
      <sheetName val="05년계획부문PL"/>
      <sheetName val="04년영업외손익"/>
      <sheetName val="부문별매출이익"/>
      <sheetName val="수주목표"/>
      <sheetName val="05년수주이익"/>
      <sheetName val="PJT별수주내역"/>
      <sheetName val="PJT별매출내역"/>
      <sheetName val="PJT별매출내역 ($)"/>
      <sheetName val="PJT별원가내역"/>
      <sheetName val="PJT별이익내역"/>
      <sheetName val="05국내(상)"/>
      <sheetName val="05발전(상)"/>
      <sheetName val="05해외원화(상)"/>
      <sheetName val="05해외USD(상)"/>
      <sheetName val="05통신(상)"/>
      <sheetName val="국내&amp;해외 판매비"/>
      <sheetName val="05판매비(상)"/>
      <sheetName val="05하자보수비(상)"/>
      <sheetName val="05일반관리비(상)"/>
      <sheetName val="관리04실적D"/>
      <sheetName val="pivot04"/>
      <sheetName val="관리비05계획D"/>
      <sheetName val="pivot1"/>
      <sheetName val="pivot2"/>
      <sheetName val="pivot3"/>
      <sheetName val="일반관리비실적"/>
      <sheetName val="04년간접비"/>
      <sheetName val="C-F (간접비포함)"/>
      <sheetName val="Chart(국내) (2)"/>
      <sheetName val="Chart(해외) (2)"/>
      <sheetName val="Chart(발전) (2)"/>
      <sheetName val="Chart(플랜트계) (2)"/>
      <sheetName val="Chart(플랜트계) (3)"/>
      <sheetName val="PCMS09"/>
      <sheetName val="수금09"/>
      <sheetName val="수주실적09"/>
      <sheetName val="sum"/>
      <sheetName val="6월추정대비PL"/>
      <sheetName val="9월추정대비PL"/>
      <sheetName val="부문간접비(9월)"/>
      <sheetName val="수주"/>
      <sheetName val="2-1 Overall"/>
      <sheetName val="2-2 Status"/>
      <sheetName val="2-3 Cashflow"/>
      <sheetName val="2-4 CO Status"/>
      <sheetName val="# Cashflow"/>
      <sheetName val="#3 자금수지"/>
      <sheetName val="#4 구매비"/>
      <sheetName val="1-1 Overall"/>
      <sheetName val="1-2 Status"/>
      <sheetName val="1-3 Cashflow"/>
      <sheetName val="1-4 자금수지"/>
      <sheetName val="별첨 6 구매비"/>
      <sheetName val="별5 CO Status"/>
      <sheetName val="Chart3"/>
      <sheetName val="Summary"/>
      <sheetName val="Status"/>
      <sheetName val="완성예측 Trend"/>
      <sheetName val="사업계획"/>
      <sheetName val="Cashflow"/>
      <sheetName val="자금수지"/>
      <sheetName val="Sheet3"/>
      <sheetName val="07_사확"/>
      <sheetName val="07_수주"/>
      <sheetName val="03_수주-07년"/>
      <sheetName val="07_매출"/>
      <sheetName val="사업대상 확보 (03월)"/>
      <sheetName val="수주 (03월)"/>
      <sheetName val="PL (03월)"/>
      <sheetName val="매출 (03월)"/>
      <sheetName val="01_종합 (2)"/>
      <sheetName val="원가율(03월) (2)"/>
      <sheetName val="원가율(03월)"/>
      <sheetName val="간접비 (03)"/>
      <sheetName val="수금(03월) (2)"/>
      <sheetName val="수금 (03)"/>
      <sheetName val="매출채권 (3)"/>
      <sheetName val="제안사항"/>
      <sheetName val="제안사항 (2)"/>
      <sheetName val="설비"/>
      <sheetName val="총괄(세부)"/>
      <sheetName val="순공사비집계"/>
      <sheetName val="요율"/>
      <sheetName val="보할"/>
      <sheetName val="집계표"/>
      <sheetName val="건축내역서"/>
      <sheetName val="(설비)집계표"/>
      <sheetName val="(설비)내역서"/>
      <sheetName val="전기"/>
      <sheetName val="전기내역서"/>
      <sheetName val="통신내역서"/>
      <sheetName val="분석"/>
      <sheetName val="분석 (2)"/>
      <sheetName val="분석 (3)"/>
      <sheetName val="분석 (4)"/>
      <sheetName val="매출"/>
      <sheetName val="갑지 (증감분)"/>
      <sheetName val="항목"/>
      <sheetName val="사업수지대비"/>
      <sheetName val="추정대비"/>
      <sheetName val="항목 (2)"/>
      <sheetName val="첨부1"/>
      <sheetName val="첨부3"/>
      <sheetName val="첨부3 (화강석수정)"/>
      <sheetName val="칸막이(외벽제외)"/>
      <sheetName val="첨부2"/>
      <sheetName val="보고쉬트"/>
      <sheetName val="보고쉬트 (2)"/>
      <sheetName val="CHECKLIST(동래)"/>
      <sheetName val="CHECKLIST(작성용) "/>
      <sheetName val="공사개요"/>
      <sheetName val="APT"/>
      <sheetName val="부속동"/>
      <sheetName val="철콘비교표"/>
      <sheetName val="보고서"/>
      <sheetName val="대비표(총괄인상적용시)"/>
      <sheetName val="대비표(형틀)"/>
      <sheetName val="대비표(철근)"/>
      <sheetName val="대비표(conc)"/>
      <sheetName val="단가적용기준"/>
      <sheetName val="조사대상"/>
      <sheetName val="조사방법"/>
      <sheetName val="대비표(인상전)"/>
      <sheetName val="대비표(인상적용시)"/>
      <sheetName val="특화"/>
      <sheetName val="특화 (2)"/>
      <sheetName val="표지"/>
      <sheetName val="목차"/>
      <sheetName val="조직도"/>
      <sheetName val="사업수지"/>
      <sheetName val="특화관련"/>
      <sheetName val="특화관련 (2)"/>
      <sheetName val="실제사업계획및실적"/>
      <sheetName val="주요현안 및 해결방안"/>
      <sheetName val="공사진행현황1-2-3 "/>
      <sheetName val="민원현황도 (2)"/>
      <sheetName val="민원현황도"/>
      <sheetName val="Sheet1 (2)"/>
      <sheetName val="방문 1차"/>
      <sheetName val="방문 2차"/>
      <sheetName val="실적분석"/>
      <sheetName val="사유 및 대책"/>
      <sheetName val="수정사업계획"/>
      <sheetName val="실적현황"/>
      <sheetName val="Master Schedule"/>
      <sheetName val="보할공정표(PM)"/>
      <sheetName val="사유 및 대책 (3)"/>
      <sheetName val="사업수지최종"/>
      <sheetName val="변동현황"/>
      <sheetName val="공통가설"/>
      <sheetName val="건축집계표"/>
      <sheetName val="골조집계표"/>
      <sheetName val="아파트상부동"/>
      <sheetName val="주차장+부속동"/>
      <sheetName val="골조공사분석"/>
      <sheetName val="주방가구내역"/>
      <sheetName val="토목공사"/>
      <sheetName val="갑지2"/>
      <sheetName val="포인트도출"/>
      <sheetName val="Action plan"/>
      <sheetName val="포인트도출 (2)"/>
      <sheetName val="원가율변동"/>
      <sheetName val="통합발주"/>
      <sheetName val="원가율"/>
      <sheetName val="목표관리금액"/>
      <sheetName val="1-1.공사개요"/>
      <sheetName val="1-1-1.인원투입"/>
      <sheetName val="1-1-2.자재투입"/>
      <sheetName val="1-2.지질주상도 (TYPICAL SECTION)"/>
      <sheetName val="1-3.PANEL LAYOUT"/>
      <sheetName val="2.원가분석"/>
      <sheetName val="2-1.원가분석"/>
      <sheetName val="2-2.TO"/>
      <sheetName val="2-2.TO-인쇄용"/>
      <sheetName val="증감내역"/>
      <sheetName val="2-3.COST ANALYSIS"/>
      <sheetName val="3.시공상 특기사항"/>
      <sheetName val="4.별첨(수량산출근거)"/>
      <sheetName val="수량산출근거"/>
      <sheetName val="5.지하연속벽산출"/>
      <sheetName val="철근집계표"/>
      <sheetName val="철근"/>
      <sheetName val="철근 (2)"/>
      <sheetName val="3-2.CONCRETE SUIVI"/>
      <sheetName val="CONCRETE"/>
      <sheetName val="3-3.EXCAVATION SUIVI"/>
      <sheetName val="EXCAVATION(HF4000)"/>
      <sheetName val="작업분석(HF4000)"/>
      <sheetName val="작업분석2(HF4000)"/>
      <sheetName val="굴착효율(HF4000)"/>
      <sheetName val="굴착효율2(HF4000)"/>
      <sheetName val="EXCAVATION(HF12000)"/>
      <sheetName val="작업분석(HF12000)"/>
      <sheetName val="작업분석2(HF12000)"/>
      <sheetName val="굴착효율(HF12000)"/>
      <sheetName val="굴착효율2(HF12000)"/>
      <sheetName val="3-4.BREAKDOWN SUIVI"/>
      <sheetName val="BREAK DOWN(HF4000)"/>
      <sheetName val="BREAK DOWN(HF12000)"/>
      <sheetName val="전체 계약내역서 기준 감액공사비디월만"/>
      <sheetName val="임원KPI"/>
      <sheetName val="자리이동"/>
      <sheetName val="집계"/>
      <sheetName val="임원별평가"/>
      <sheetName val="총괄표"/>
      <sheetName val="건축공사 내역서(MODERN TYPE)"/>
      <sheetName val="건축공사 내역서 (CLASSIC TYPE) "/>
      <sheetName val="갑지양식"/>
      <sheetName val="을지양식"/>
      <sheetName val="건축공사"/>
      <sheetName val="본사보고"/>
      <sheetName val="DATA2"/>
      <sheetName val="DATA"/>
      <sheetName val="DATA-설비"/>
      <sheetName val="DATA-전기"/>
      <sheetName val="갑지(보고용)"/>
      <sheetName val="trend분석"/>
      <sheetName val="총괄"/>
      <sheetName val="계약현황"/>
      <sheetName val="분석 (4분기)"/>
      <sheetName val="07.미수채권회수목표"/>
      <sheetName val="2006년 실적"/>
      <sheetName val="참조_05년 자료-준공미수채권 회수율 (2)"/>
      <sheetName val="총괄 집계"/>
      <sheetName val="건축집계"/>
      <sheetName val="전기집계"/>
      <sheetName val="설비집계"/>
      <sheetName val="건축내역대비"/>
      <sheetName val="Plant-건축내역"/>
      <sheetName val="Arch-건축내역"/>
      <sheetName val="elec-건축내역"/>
      <sheetName val="첨부물"/>
      <sheetName val="첨부물-2"/>
      <sheetName val="첨부물-3"/>
      <sheetName val="첨부물-3 Rev.1"/>
      <sheetName val="첨부물 (4)"/>
      <sheetName val="12.20일 협의사항 정리"/>
      <sheetName val="경비제외"/>
      <sheetName val="12.20일 협의사항 (2)"/>
      <sheetName val="경비포함됨"/>
      <sheetName val="12.20일 협의사항"/>
      <sheetName val="당초계획대비PL (억)"/>
      <sheetName val="05년손익대비표 (억)"/>
      <sheetName val="간접비비율 (억)"/>
      <sheetName val="부문별매출이익(억)"/>
      <sheetName val="05년손익대비표"/>
      <sheetName val="당초계획대비PL (억)-보고용"/>
      <sheetName val="부문별매출이익(억)-보고용"/>
      <sheetName val="수주대비표"/>
      <sheetName val="05년증감사유"/>
      <sheetName val="05간접비 추정"/>
      <sheetName val="산업환경(대비)"/>
      <sheetName val="전력(대비)"/>
      <sheetName val="해외원화(대비)"/>
      <sheetName val="해외USD(대비)"/>
      <sheetName val="통신(대비)"/>
      <sheetName val="06부문(상)"/>
      <sheetName val="06산업플랜트(상)"/>
      <sheetName val="06전력(상)"/>
      <sheetName val="(상)"/>
      <sheetName val="(상1)"/>
      <sheetName val="06통신(상)"/>
      <sheetName val="06하자보수비(상)"/>
      <sheetName val="06판매비(상)"/>
      <sheetName val="06일반관리비(상)"/>
      <sheetName val="06금융비용(상)"/>
      <sheetName val="실적→"/>
      <sheetName val="수금10"/>
      <sheetName val="PCMS10"/>
      <sheetName val="사업계획(하)"/>
      <sheetName val="사업계획(상)"/>
      <sheetName val="04년실적"/>
      <sheetName val="일반관리비배분-화공"/>
      <sheetName val="일반관리비배분-산업"/>
      <sheetName val="증감2"/>
      <sheetName val="변경"/>
      <sheetName val="합계"/>
      <sheetName val="화공-국내"/>
      <sheetName val="화공-지원A"/>
      <sheetName val="화공-지원B"/>
      <sheetName val="산업-지원A"/>
      <sheetName val="산업-전력"/>
      <sheetName val="산업-산업환경"/>
      <sheetName val="산업-통신"/>
      <sheetName val="비교"/>
      <sheetName val="비교 (2)"/>
      <sheetName val="월별"/>
      <sheetName val="원자력"/>
      <sheetName val="방폐장"/>
      <sheetName val="복합화력(C)"/>
      <sheetName val="화력(PC)"/>
      <sheetName val="복합화력(PC)"/>
      <sheetName val="열병합"/>
      <sheetName val="평택고덕"/>
      <sheetName val="TL"/>
      <sheetName val="열배관"/>
      <sheetName val="해외Summary"/>
      <sheetName val="멕시코 GRUPO"/>
      <sheetName val="가나CCPP"/>
      <sheetName val="스리랑카CCPP"/>
      <sheetName val="멕시코 T-L"/>
      <sheetName val="제목"/>
      <sheetName val="첨부1.채용대상Project별인원채용계획"/>
      <sheetName val="A. 06년9월계획"/>
      <sheetName val="BMW분석"/>
      <sheetName val="C-2 BMW"/>
      <sheetName val="D. 06년사업계획기준인원및 06.3월인워계획분석"/>
      <sheetName val="E. 채용계획1"/>
      <sheetName val="E. 채용계획2"/>
      <sheetName val="본부별,function"/>
      <sheetName val="생산석분석"/>
      <sheetName val="년평균인력+생산성분석"/>
      <sheetName val="01_집계 (Review)"/>
      <sheetName val="2월(대비)"/>
      <sheetName val="만회방안"/>
      <sheetName val="그래프"/>
      <sheetName val="사확-07 계획"/>
      <sheetName val="수주-07 계획"/>
      <sheetName val="07년 4월 실적"/>
      <sheetName val="최초보고안"/>
      <sheetName val="협의안(070403 Rev.1"/>
      <sheetName val="협의안(070403 Rev.2"/>
      <sheetName val="협의안(070403 Rev.2 (첨부용)"/>
      <sheetName val="최초제출본(0609)"/>
      <sheetName val="협의안(070403 Rev.0)"/>
      <sheetName val="대명최종제시금액"/>
      <sheetName val="도급증액협의"/>
      <sheetName val="입찰결과"/>
      <sheetName val="간접비(빠뽀용)"/>
      <sheetName val="총괄(빠뽀용)"/>
      <sheetName val="직접비(빠뽀용)"/>
      <sheetName val="PKG실행A4"/>
      <sheetName val="증액추정"/>
      <sheetName val="ITC 빠뽀"/>
      <sheetName val="07년"/>
      <sheetName val="08년"/>
      <sheetName val="중국 VendorList"/>
      <sheetName val="Sheet1 (3)"/>
      <sheetName val="07년계획 r2-자산기준 배부+ 전사간접비 조정"/>
      <sheetName val="07년계획 -전사간접비 조정전"/>
      <sheetName val="화공플랜트 Variation 조정"/>
      <sheetName val="07년계획 r2-자산기준 배부"/>
      <sheetName val="07년계획 r1"/>
      <sheetName val="06년 계획"/>
      <sheetName val="06년 계획 r1-자산기준배부"/>
      <sheetName val="06년실적 r1-자산기준배부"/>
      <sheetName val="05년 계획 "/>
      <sheetName val="05년 실적"/>
      <sheetName val="04년 계획"/>
      <sheetName val="04년 실적 "/>
      <sheetName val="03년 계획 "/>
      <sheetName val="03년 실적"/>
      <sheetName val="이전 sheet들"/>
      <sheetName val="05년 계획"/>
      <sheetName val="산업플랜트"/>
      <sheetName val="07년계획"/>
      <sheetName val="06년 계획 (2)"/>
      <sheetName val="VXXXXX"/>
      <sheetName val="제1장"/>
      <sheetName val="제2장"/>
      <sheetName val="제3장"/>
      <sheetName val="제4장"/>
      <sheetName val="5장공내역서"/>
      <sheetName val="제6장"/>
      <sheetName val="7작업장인수인계서"/>
      <sheetName val="직불동의서"/>
      <sheetName val="확약서"/>
      <sheetName val="전자입찰"/>
      <sheetName val="소비자가"/>
      <sheetName val="hvac(제어동)"/>
      <sheetName val="Chart18"/>
      <sheetName val="USD-KRW simul"/>
      <sheetName val="1"/>
      <sheetName val="2"/>
      <sheetName val="3"/>
      <sheetName val=".xls)환변동보험손익"/>
      <sheetName val=".xls)해외PJT"/>
      <sheetName val="USD-KRW 변동"/>
      <sheetName val=".xls)멕시코"/>
      <sheetName val="환변동보험 (2)"/>
      <sheetName val=".xls)IB"/>
      <sheetName val="설계"/>
      <sheetName val="사업"/>
      <sheetName val="부분합계"/>
      <sheetName val="지원A - G&amp;A"/>
      <sheetName val="지원B - G&amp;A"/>
      <sheetName val="지원B - PROPOSAL"/>
      <sheetName val="지원B - PROJECT"/>
      <sheetName val="지원C - G&amp;A"/>
      <sheetName val="지원D - G&amp;A"/>
      <sheetName val="지원D- PROPOSAL"/>
      <sheetName val="지원D - PROJECT"/>
      <sheetName val="기타 PD"/>
      <sheetName val="국내"/>
      <sheetName val="작성방법"/>
      <sheetName val="07일반관리비"/>
      <sheetName val="을"/>
      <sheetName val="데이타"/>
      <sheetName val="식재인부"/>
      <sheetName val="ChartWizardSheet"/>
      <sheetName val="08년 수주"/>
      <sheetName val="Chart15"/>
      <sheetName val="Sheet7"/>
      <sheetName val="Sheet6"/>
      <sheetName val="Sheet5"/>
      <sheetName val="Sheet4"/>
      <sheetName val="PL(억원) (법인포함)"/>
      <sheetName val="PL(백만원) (법인포함)"/>
      <sheetName val="PL(억원)"/>
      <sheetName val="PL(백만원)"/>
      <sheetName val="수주실적"/>
      <sheetName val="증감사유"/>
      <sheetName val="계획대비추정"/>
      <sheetName val="국내(대비)"/>
      <sheetName val="05Summary(추정)"/>
      <sheetName val="08국내(추정)"/>
      <sheetName val="08해외원화(추정)"/>
      <sheetName val="08해외USD(추정)"/>
      <sheetName val="08판매비(추정)"/>
      <sheetName val="08하자보수비(추정)"/>
      <sheetName val="08일반관리비(추정)"/>
      <sheetName val="08금융비용(추정)"/>
      <sheetName val="08금융비용(추정) (2)"/>
      <sheetName val="실적자료→"/>
      <sheetName val="PCMS12"/>
      <sheetName val="PCMS01"/>
      <sheetName val="PCMS02"/>
      <sheetName val="PCMS03"/>
      <sheetName val="PCMS04"/>
      <sheetName val="PCMS05"/>
      <sheetName val="PCMS06"/>
      <sheetName val="수금01"/>
      <sheetName val="수금02"/>
      <sheetName val="수금03"/>
      <sheetName val="수금04"/>
      <sheetName val="수금05"/>
      <sheetName val="수금06"/>
      <sheetName val="08년 BL 부록"/>
      <sheetName val="수주LIST"/>
      <sheetName val="내역서"/>
      <sheetName val="갑지(추정)"/>
      <sheetName val="플랜트 설치"/>
      <sheetName val="MONTHLY PO"/>
      <sheetName val="TOTAL"/>
      <sheetName val="플랜트담당"/>
      <sheetName val="화플"/>
      <sheetName val="화플#01"/>
      <sheetName val="화플#02"/>
      <sheetName val="화플#03"/>
      <sheetName val="산플"/>
      <sheetName val="산플#01"/>
      <sheetName val="산플#02"/>
      <sheetName val="U사업"/>
      <sheetName val="WVAL"/>
      <sheetName val="기성신청"/>
      <sheetName val="전기일위대가"/>
      <sheetName val="일위대가"/>
      <sheetName val="BOQ건축"/>
      <sheetName val="설계서"/>
      <sheetName val="금융비용"/>
      <sheetName val="#REF"/>
      <sheetName val="Chart4"/>
      <sheetName val="I. 수주"/>
      <sheetName val="I-1.1 (R)"/>
      <sheetName val="I-1.1"/>
      <sheetName val="I-2.1 (화플1)"/>
      <sheetName val="I-2.1 (화플2)"/>
      <sheetName val="I-2.1 (화플3)"/>
      <sheetName val="I-2.1 (산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유림골조"/>
      <sheetName val="와동25-3(변경)"/>
      <sheetName val="공통부대비"/>
      <sheetName val="새공통(96임금인상기준)"/>
      <sheetName val="유림총괄"/>
      <sheetName val="비교1"/>
      <sheetName val="봉천제출"/>
      <sheetName val="구의33고"/>
      <sheetName val="공통비(전체)"/>
      <sheetName val="태화42 "/>
      <sheetName val="토목공사"/>
      <sheetName val="단가표"/>
      <sheetName val="001 연결끊기용(내용없음)"/>
      <sheetName val="유림콘도"/>
      <sheetName val="삭제금지단가"/>
      <sheetName val="XL4Poppy"/>
      <sheetName val="상반기손익차2총괄"/>
      <sheetName val="영업소실적"/>
      <sheetName val="97 사업추정(WEKI)"/>
      <sheetName val="9-1차이내역"/>
      <sheetName val="주관사업"/>
      <sheetName val="손익차9월2"/>
      <sheetName val="수입"/>
      <sheetName val="작업지시서-1호"/>
      <sheetName val="Sheet4"/>
      <sheetName val="물량내역서"/>
      <sheetName val="공통가설"/>
      <sheetName val="1월"/>
      <sheetName val="신대방33(적용)"/>
      <sheetName val="동별 및 층별 면적표"/>
      <sheetName val="기본데이타"/>
      <sheetName val="일위대가"/>
      <sheetName val="실행갑지"/>
      <sheetName val="2공구산출내역"/>
      <sheetName val="목표세부명세"/>
      <sheetName val="database"/>
      <sheetName val="현장경비"/>
      <sheetName val="방배동내역(리라)"/>
      <sheetName val="현장관리비"/>
      <sheetName val="건축원가"/>
      <sheetName val="건축공사실행"/>
      <sheetName val="건축공사집계표"/>
      <sheetName val="방배동내역 (총괄)"/>
      <sheetName val="부대공사총괄"/>
      <sheetName val="공사개요"/>
      <sheetName val="1차설계변경내역"/>
      <sheetName val="01"/>
      <sheetName val="Sheet2"/>
      <sheetName val="급여관련자료"/>
      <sheetName val="대비"/>
      <sheetName val="맨홀"/>
      <sheetName val="5.공종별예산내역서"/>
      <sheetName val=""/>
      <sheetName val="을지"/>
      <sheetName val="최적단면"/>
      <sheetName val="99년하반기"/>
      <sheetName val="BSD (2)"/>
      <sheetName val="철근집계표"/>
      <sheetName val="공통비총괄표"/>
      <sheetName val="일반공사"/>
      <sheetName val="돈암사업"/>
      <sheetName val="노임이"/>
      <sheetName val="CONCRETE"/>
      <sheetName val="견적조건"/>
      <sheetName val="Sheet5"/>
      <sheetName val="갑지(추정)"/>
      <sheetName val="esc"/>
      <sheetName val="동해title"/>
      <sheetName val="대비표(토공1안)"/>
      <sheetName val="BSD _2_"/>
      <sheetName val="새공통"/>
      <sheetName val="unit 4"/>
      <sheetName val="입찰내역 발주처 양식"/>
      <sheetName val="총괄"/>
      <sheetName val="태화42_"/>
      <sheetName val="001_연결끊기용(내용없음)"/>
      <sheetName val="97_사업추정(WEKI)"/>
      <sheetName val="#3E1_GCR"/>
      <sheetName val="조명시설"/>
      <sheetName val="터파기및재료"/>
      <sheetName val="갑지"/>
      <sheetName val="공조기"/>
      <sheetName val="물량산출근거"/>
      <sheetName val="저"/>
      <sheetName val="대비표"/>
      <sheetName val="동별내역-3월5일"/>
      <sheetName val="부대시설"/>
      <sheetName val="Apt내역"/>
      <sheetName val="예적금"/>
      <sheetName val="부대내역"/>
      <sheetName val="인천제철"/>
      <sheetName val="견적내역서"/>
      <sheetName val="실행철강하도"/>
      <sheetName val="(0"/>
      <sheetName val="공통비"/>
      <sheetName val="의뢰서"/>
      <sheetName val="P.M 별"/>
      <sheetName val="견적서"/>
      <sheetName val="기본자료"/>
      <sheetName val="유효성검사"/>
      <sheetName val="건물개요"/>
      <sheetName val="투자산정"/>
      <sheetName val="토지조서"/>
      <sheetName val="A&amp;R"/>
      <sheetName val="6조직표"/>
      <sheetName val="일반수량 총집"/>
      <sheetName val="철근수량 총집"/>
      <sheetName val="단면 (2)"/>
      <sheetName val="데이타"/>
      <sheetName val="Cash2"/>
      <sheetName val="Z"/>
      <sheetName val="인제내역"/>
      <sheetName val="FAB별"/>
      <sheetName val="목차"/>
      <sheetName val="6PILE  (돌출)"/>
      <sheetName val="금액내역서"/>
      <sheetName val="DRUM"/>
      <sheetName val="안산기계장치"/>
      <sheetName val="물량표S"/>
      <sheetName val="기타비용(추가)"/>
      <sheetName val="약품공급2"/>
      <sheetName val="수량산출서 갑지"/>
      <sheetName val="수량산출"/>
      <sheetName val="임대차전략"/>
      <sheetName val="CostData"/>
      <sheetName val="IncomeData"/>
      <sheetName val="Summary"/>
      <sheetName val="PropertyData"/>
      <sheetName val="인사자료총집계"/>
      <sheetName val="plan&amp;section of foundation"/>
      <sheetName val="design criteria"/>
      <sheetName val="LTG_DATA"/>
      <sheetName val="구천"/>
      <sheetName val="동별_및_층별_면적표"/>
      <sheetName val="운반비(시흥)"/>
      <sheetName val="F4-F7"/>
      <sheetName val="공문"/>
      <sheetName val="내역서"/>
      <sheetName val="금융비용"/>
      <sheetName val="0226"/>
      <sheetName val="견적의뢰"/>
      <sheetName val="CTEMCOST"/>
      <sheetName val="실행"/>
      <sheetName val="노임단가"/>
      <sheetName val="간접비"/>
      <sheetName val="TOWER 10TON"/>
      <sheetName val="식재인부"/>
      <sheetName val="DATA"/>
      <sheetName val="주식"/>
      <sheetName val="집계표"/>
      <sheetName val="표지"/>
      <sheetName val="일위"/>
      <sheetName val="Total"/>
      <sheetName val="변경내역대비표(2)"/>
      <sheetName val="중기사용료"/>
      <sheetName val="1~9 하중계산"/>
      <sheetName val="대전21토목내역서"/>
      <sheetName val="매크로"/>
      <sheetName val="교통대책내역"/>
      <sheetName val="예산실적전체당월"/>
      <sheetName val="프랜트면허"/>
      <sheetName val="토목주소"/>
      <sheetName val="철골공사"/>
      <sheetName val="DATA1"/>
      <sheetName val="8.PILE  (돌출)"/>
      <sheetName val="본사공가현황"/>
      <sheetName val="일위대가(가설)"/>
      <sheetName val="리스(CIF)산출"/>
      <sheetName val="工완성공사율"/>
      <sheetName val="Variable"/>
      <sheetName val="경비"/>
      <sheetName val="2.대외공문"/>
      <sheetName val="CODE"/>
      <sheetName val="COVER"/>
      <sheetName val="건축집계표"/>
      <sheetName val="ELECTRIC"/>
      <sheetName val="연돌일위집계"/>
      <sheetName val="TTL"/>
      <sheetName val="BQMPALOC"/>
      <sheetName val="TOWER 12TON"/>
      <sheetName val="203"/>
      <sheetName val="인건비"/>
      <sheetName val="단중표"/>
      <sheetName val="단가조견표"/>
      <sheetName val="수량(육교용)"/>
      <sheetName val="수량증감"/>
      <sheetName val="수량집계표"/>
      <sheetName val="경비실"/>
      <sheetName val="산근"/>
      <sheetName val="아파트 기성내역서"/>
      <sheetName val="차액보증"/>
      <sheetName val="자료"/>
      <sheetName val="단"/>
      <sheetName val="갑지1"/>
      <sheetName val="BOQ건축"/>
      <sheetName val="고자현황"/>
      <sheetName val="99노임기준"/>
      <sheetName val="단가"/>
      <sheetName val="1.공사개요(입력)"/>
      <sheetName val="COMPARISON TABLE"/>
      <sheetName val="태화42_1"/>
      <sheetName val="001_연결끊기용(내용없음)1"/>
      <sheetName val="97_사업추정(WEKI)1"/>
      <sheetName val="방배동내역_(총괄)"/>
      <sheetName val="BSD_(2)"/>
      <sheetName val="BSD__2_"/>
      <sheetName val="5_공종별예산내역서"/>
      <sheetName val="unit_4"/>
      <sheetName val="입찰내역_발주처_양식"/>
      <sheetName val="P_M_별"/>
      <sheetName val="일반수량_총집"/>
      <sheetName val="철근수량_총집"/>
      <sheetName val="단면_(2)"/>
      <sheetName val="6PILE__(돌출)"/>
      <sheetName val="설계예산서"/>
      <sheetName val="설계"/>
      <sheetName val="B"/>
      <sheetName val="SCHEDULE"/>
      <sheetName val="분양가표"/>
      <sheetName val="APT-Info"/>
      <sheetName val="세대별 가격산출"/>
      <sheetName val="역T형옹벽(3.0)"/>
      <sheetName val="물건조서"/>
      <sheetName val="보고"/>
      <sheetName val="지장물평가기준"/>
      <sheetName val="C.배수관공"/>
      <sheetName val="배수내역"/>
      <sheetName val="Drop_menu"/>
      <sheetName val="BLDG_Prime_list"/>
      <sheetName val="DHEQSUPT"/>
      <sheetName val="예가표"/>
      <sheetName val="FB25JN"/>
      <sheetName val="계산근거"/>
      <sheetName val="N賃率-職"/>
      <sheetName val="본사출하"/>
      <sheetName val="현지요약"/>
      <sheetName val="転記用"/>
      <sheetName val="賃貸条件"/>
      <sheetName val="방배2E"/>
      <sheetName val="예산내역서"/>
      <sheetName val="II손익관리"/>
      <sheetName val="Baby일위대가"/>
      <sheetName val="추가예산"/>
      <sheetName val="대림경상68억"/>
      <sheetName val="인원계획-미화"/>
      <sheetName val="Door"/>
      <sheetName val="EW"/>
      <sheetName val="IW"/>
      <sheetName val="Wdw"/>
      <sheetName val="LISTS"/>
      <sheetName val="단면가정"/>
      <sheetName val="은행"/>
      <sheetName val="입력"/>
      <sheetName val="일집"/>
      <sheetName val="40총괄"/>
      <sheetName val="40집계"/>
      <sheetName val="1.설계기준"/>
      <sheetName val="전체내역서"/>
      <sheetName val="기성내역"/>
      <sheetName val="산출근거"/>
      <sheetName val="전신환매도율"/>
      <sheetName val="본선 토공 분배표"/>
      <sheetName val="대비2"/>
      <sheetName val="당초"/>
      <sheetName val="설계내역서"/>
      <sheetName val="품셈TABLE"/>
      <sheetName val="가설배관"/>
      <sheetName val="공비대비"/>
      <sheetName val="3.공통공사대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갑지"/>
      <sheetName val="PROPOSAL"/>
      <sheetName val="Piping Design Data"/>
      <sheetName val="Sheet4"/>
      <sheetName val="재료비"/>
      <sheetName val="#REF"/>
      <sheetName val="갑지(추정)"/>
      <sheetName val="2-Conc"/>
      <sheetName val="VXXXXX"/>
      <sheetName val="할증 "/>
      <sheetName val="INSTR"/>
      <sheetName val="연돌일위집계"/>
      <sheetName val="TOTAL"/>
      <sheetName val="M 11"/>
      <sheetName val="Data"/>
      <sheetName val="집계표(OPTION)"/>
      <sheetName val="2,000"/>
      <sheetName val="Chiet tinh dz35"/>
      <sheetName val="Chiet tinh dz22"/>
      <sheetName val="CT Thang Mo"/>
      <sheetName val="CT  PL"/>
      <sheetName val="MTP"/>
      <sheetName val="MTP1"/>
      <sheetName val="금액내역서"/>
      <sheetName val="M3산출"/>
      <sheetName val="BAND(200)"/>
      <sheetName val="EL 표면적"/>
      <sheetName val="부하(성남)"/>
      <sheetName val="기성내역"/>
      <sheetName val="BW"/>
      <sheetName val="COVER"/>
      <sheetName val="BQMPALOC"/>
      <sheetName val="공사비예산서(토목분)"/>
      <sheetName val="LEGEND"/>
      <sheetName val="대비표"/>
      <sheetName val="footing"/>
      <sheetName val="AREA"/>
      <sheetName val="찍기"/>
      <sheetName val="BQ List"/>
      <sheetName val="pipe"/>
      <sheetName val="10241PIP1ON-SITE"/>
      <sheetName val="10241EQLIST"/>
      <sheetName val="jobhist"/>
      <sheetName val="Quantity"/>
      <sheetName val="EQUIP LIST"/>
      <sheetName val="Process Piping"/>
      <sheetName val="SPEC"/>
      <sheetName val="Sheet1"/>
      <sheetName val="단면가정"/>
      <sheetName val="설계조건"/>
      <sheetName val="MTO REV.2(ARMOR)"/>
      <sheetName val="D-3109"/>
      <sheetName val="anti-termite"/>
      <sheetName val="공문"/>
      <sheetName val="HX"/>
      <sheetName val="D-623D"/>
      <sheetName val="B"/>
      <sheetName val="97년추정손익계산서"/>
      <sheetName val="15100"/>
      <sheetName val="견적"/>
      <sheetName val="000000"/>
      <sheetName val="indice"/>
      <sheetName val="BOQ"/>
      <sheetName val="General Data"/>
      <sheetName val="PROCURE"/>
      <sheetName val="배명(단가)"/>
      <sheetName val="자재단가"/>
      <sheetName val="Civil"/>
      <sheetName val="DB@Acess"/>
      <sheetName val="6PILE  (돌출)"/>
      <sheetName val="HRB"/>
      <sheetName val="Payroll_Deduction-Feb 2008"/>
      <sheetName val="견"/>
      <sheetName val="Zinsen"/>
      <sheetName val="Piping_Design_Data"/>
      <sheetName val="할증_"/>
      <sheetName val="equiplist"/>
      <sheetName val="INPUT DATA OF SCHEDULE"/>
      <sheetName val="PI"/>
      <sheetName val="Ummantelung"/>
      <sheetName val=" Armaflex "/>
      <sheetName val="Drahtnetzmatte"/>
      <sheetName val="   Basis-Kalk.   "/>
      <sheetName val="MW-Schale, alukasch."/>
      <sheetName val="UK, Kleinmaterial"/>
      <sheetName val="PUR, FOAMGLAS"/>
      <sheetName val="INVOICE_CERT EIV'S"/>
      <sheetName val="Finansal tamamlanma Eğrisi"/>
      <sheetName val="M_11"/>
      <sheetName val="Chiet_tinh_dz35"/>
      <sheetName val="Chiet_tinh_dz22"/>
      <sheetName val="CT_Thang_Mo"/>
      <sheetName val="CT__PL"/>
      <sheetName val="EL_표면적"/>
      <sheetName val="BQ_List"/>
      <sheetName val="EQUIP_LIST"/>
      <sheetName val="Process_Piping"/>
      <sheetName val="MTO_REV_2(ARMOR)"/>
      <sheetName val="Backup"/>
      <sheetName val="insulation"/>
      <sheetName val="PipWT"/>
      <sheetName val="자바라1"/>
      <sheetName val="해외 연수비용 계산-삭제"/>
      <sheetName val="해외 기술훈련비 (합계)"/>
      <sheetName val="조도계산서 (도서)"/>
      <sheetName val="일위대가목차"/>
      <sheetName val="Equip Sch."/>
      <sheetName val="SCHED PROGRESS"/>
      <sheetName val="INVOICE_CERT_EIV'S"/>
      <sheetName val="Equip_Sch_"/>
      <sheetName val="SCHED_PROGRESS"/>
      <sheetName val="내역"/>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12CGOU"/>
      <sheetName val="Final(1)summary"/>
      <sheetName val="Chart"/>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OA-17"/>
      <sheetName val="C-18"/>
      <sheetName val="95신규호표"/>
      <sheetName val="SALA-002"/>
      <sheetName val="A"/>
      <sheetName val="PNTEXT"/>
      <sheetName val="Planning&amp;reporting"/>
      <sheetName val="Cash2"/>
      <sheetName val="Z"/>
      <sheetName val="EE-PROP"/>
      <sheetName val="DRUM"/>
      <sheetName val="집계표"/>
      <sheetName val="Basic"/>
      <sheetName val="Building BD"/>
      <sheetName val="0000"/>
      <sheetName val="Onerous Terms"/>
      <sheetName val="EQUIPMENT"/>
      <sheetName val="嗔5喸5"/>
      <sheetName val="표지"/>
      <sheetName val="자금운영"/>
      <sheetName val="도"/>
      <sheetName val=" Sum"/>
      <sheetName val="33628-Rev. A"/>
      <sheetName val="TTL"/>
      <sheetName val="실제 도면출도"/>
      <sheetName val="SOHAR(2nd)"/>
      <sheetName val="공사비 내역 (가)"/>
      <sheetName val="ENE-CAL"/>
      <sheetName val="plan&amp;section of foundation"/>
      <sheetName val="design criteria"/>
      <sheetName val="CAL"/>
      <sheetName val="w't table"/>
      <sheetName val="BQMP"/>
      <sheetName val="DESCRIPTION"/>
      <sheetName val="BM DATA SHEET"/>
      <sheetName val="Eq. Mobilization"/>
      <sheetName val="당초"/>
      <sheetName val="CÓDIGOS"/>
      <sheetName val="정부노임단가"/>
      <sheetName val="플랜트 설치"/>
      <sheetName val="월별"/>
      <sheetName val="inter"/>
      <sheetName val="PIPE-HOT"/>
      <sheetName val="CODE"/>
      <sheetName val="단면검토"/>
      <sheetName val="Default"/>
      <sheetName val="C &amp; G RHS"/>
      <sheetName val="95삼성급(본사)"/>
      <sheetName val="SHL"/>
      <sheetName val="WBS 44"/>
      <sheetName val="WBS 41"/>
      <sheetName val="실행내역"/>
      <sheetName val="MEASURE LIST"/>
      <sheetName val="Code_Magics"/>
      <sheetName val="Default_Magics"/>
      <sheetName val="bldg list"/>
      <sheetName val="의왕"/>
      <sheetName val="Piping_Design_Data1"/>
      <sheetName val="할증_1"/>
      <sheetName val="M_111"/>
      <sheetName val="EL_표면적1"/>
      <sheetName val="Chiet_tinh_dz351"/>
      <sheetName val="Chiet_tinh_dz221"/>
      <sheetName val="CT_Thang_Mo1"/>
      <sheetName val="CT__PL1"/>
      <sheetName val="BQ_List1"/>
      <sheetName val="Process_Piping1"/>
      <sheetName val="EQUIP_LIST1"/>
      <sheetName val="MTO_REV_2(ARMOR)1"/>
      <sheetName val="6PILE__(돌출)"/>
      <sheetName val="General_Data"/>
      <sheetName val="_Armaflex_"/>
      <sheetName val="___Basis-Kalk____"/>
      <sheetName val="MW-Schale,_alukasch_"/>
      <sheetName val="UK,_Kleinmaterial"/>
      <sheetName val="PUR,_FOAMGLAS"/>
      <sheetName val="Payroll_Deduction-Feb_2008"/>
      <sheetName val="INPUT_DATA_OF_SCHEDULE"/>
      <sheetName val="Finansal_tamamlanma_Eğrisi"/>
      <sheetName val="해외_연수비용_계산-삭제"/>
      <sheetName val="해외_기술훈련비_(합계)"/>
      <sheetName val="Piping_Design_Data2"/>
      <sheetName val="할증_2"/>
      <sheetName val="M_112"/>
      <sheetName val="EL_표면적2"/>
      <sheetName val="Chiet_tinh_dz352"/>
      <sheetName val="Chiet_tinh_dz222"/>
      <sheetName val="CT_Thang_Mo2"/>
      <sheetName val="CT__PL2"/>
      <sheetName val="BQ_List2"/>
      <sheetName val="Process_Piping2"/>
      <sheetName val="EQUIP_LIST2"/>
      <sheetName val="MTO_REV_2(ARMOR)2"/>
      <sheetName val="6PILE__(돌출)1"/>
      <sheetName val="General_Data1"/>
      <sheetName val="_Armaflex_1"/>
      <sheetName val="___Basis-Kalk____1"/>
      <sheetName val="MW-Schale,_alukasch_1"/>
      <sheetName val="UK,_Kleinmaterial1"/>
      <sheetName val="PUR,_FOAMGLAS1"/>
      <sheetName val="Payroll_Deduction-Feb_20081"/>
      <sheetName val="INPUT_DATA_OF_SCHEDULE1"/>
      <sheetName val="INVOICE_CERT_EIV'S1"/>
      <sheetName val="Finansal_tamamlanma_Eğrisi1"/>
      <sheetName val="해외_연수비용_계산-삭제1"/>
      <sheetName val="해외_기술훈련비_(합계)1"/>
      <sheetName val="Piping_Design_Data3"/>
      <sheetName val="할증_3"/>
      <sheetName val="M_113"/>
      <sheetName val="EL_표면적3"/>
      <sheetName val="Chiet_tinh_dz353"/>
      <sheetName val="Chiet_tinh_dz223"/>
      <sheetName val="CT_Thang_Mo3"/>
      <sheetName val="CT__PL3"/>
      <sheetName val="BQ_List3"/>
      <sheetName val="Process_Piping3"/>
      <sheetName val="EQUIP_LIST3"/>
      <sheetName val="MTO_REV_2(ARMOR)3"/>
      <sheetName val="6PILE__(돌출)2"/>
      <sheetName val="General_Data2"/>
      <sheetName val="_Armaflex_2"/>
      <sheetName val="___Basis-Kalk____2"/>
      <sheetName val="MW-Schale,_alukasch_2"/>
      <sheetName val="UK,_Kleinmaterial2"/>
      <sheetName val="PUR,_FOAMGLAS2"/>
      <sheetName val="Payroll_Deduction-Feb_20082"/>
      <sheetName val="INPUT_DATA_OF_SCHEDULE2"/>
      <sheetName val="INVOICE_CERT_EIV'S2"/>
      <sheetName val="Finansal_tamamlanma_Eğrisi2"/>
      <sheetName val="해외_연수비용_계산-삭제2"/>
      <sheetName val="해외_기술훈련비_(합계)2"/>
      <sheetName val="Piping_Design_Data4"/>
      <sheetName val="할증_4"/>
      <sheetName val="M_114"/>
      <sheetName val="EL_표면적4"/>
      <sheetName val="Chiet_tinh_dz354"/>
      <sheetName val="Chiet_tinh_dz224"/>
      <sheetName val="CT_Thang_Mo4"/>
      <sheetName val="CT__PL4"/>
      <sheetName val="BQ_List4"/>
      <sheetName val="Process_Piping4"/>
      <sheetName val="EQUIP_LIST4"/>
      <sheetName val="MTO_REV_2(ARMOR)4"/>
      <sheetName val="6PILE__(돌출)3"/>
      <sheetName val="General_Data3"/>
      <sheetName val="_Armaflex_3"/>
      <sheetName val="___Basis-Kalk____3"/>
      <sheetName val="MW-Schale,_alukasch_3"/>
      <sheetName val="UK,_Kleinmaterial3"/>
      <sheetName val="PUR,_FOAMGLAS3"/>
      <sheetName val="Payroll_Deduction-Feb_20083"/>
      <sheetName val="INPUT_DATA_OF_SCHEDULE3"/>
      <sheetName val="INVOICE_CERT_EIV'S3"/>
      <sheetName val="Finansal_tamamlanma_Eğrisi3"/>
      <sheetName val="해외_연수비용_계산-삭제3"/>
      <sheetName val="해외_기술훈련비_(합계)3"/>
      <sheetName val="Piping_Design_Data5"/>
      <sheetName val="할증_5"/>
      <sheetName val="M_115"/>
      <sheetName val="EL_표면적5"/>
      <sheetName val="Chiet_tinh_dz355"/>
      <sheetName val="Chiet_tinh_dz225"/>
      <sheetName val="CT_Thang_Mo5"/>
      <sheetName val="CT__PL5"/>
      <sheetName val="BQ_List5"/>
      <sheetName val="Process_Piping5"/>
      <sheetName val="EQUIP_LIST5"/>
      <sheetName val="MTO_REV_2(ARMOR)5"/>
      <sheetName val="6PILE__(돌출)4"/>
      <sheetName val="General_Data4"/>
      <sheetName val="_Armaflex_4"/>
      <sheetName val="___Basis-Kalk____4"/>
      <sheetName val="MW-Schale,_alukasch_4"/>
      <sheetName val="UK,_Kleinmaterial4"/>
      <sheetName val="PUR,_FOAMGLAS4"/>
      <sheetName val="Payroll_Deduction-Feb_20084"/>
      <sheetName val="INPUT_DATA_OF_SCHEDULE4"/>
      <sheetName val="INVOICE_CERT_EIV'S4"/>
      <sheetName val="Finansal_tamamlanma_Eğrisi4"/>
      <sheetName val="해외_연수비용_계산-삭제4"/>
      <sheetName val="해외_기술훈련비_(합계)4"/>
      <sheetName val="07-Raw Mill Grinding"/>
      <sheetName val="08-Farin Silo"/>
      <sheetName val="10-Pre Heater"/>
      <sheetName val="11-Rotary Kiln"/>
      <sheetName val="12+13 Clinker Cooler"/>
      <sheetName val=" 15-Clinker Storage"/>
      <sheetName val="17+18 Lineer Storage"/>
      <sheetName val="20 Cement Mill Dept."/>
      <sheetName val="22 Cement Silos Truck"/>
      <sheetName val="23 Cement Silos Train"/>
      <sheetName val="24+26 Cement Packing Truck"/>
      <sheetName val="25+27 Cement Packing Train"/>
      <sheetName val="DATABASE"/>
      <sheetName val="AG Pipe Qty Analysis"/>
      <sheetName val="Proj Cost Sumry"/>
      <sheetName val="Equip_Sch_1"/>
      <sheetName val="SCHED_PROGRESS1"/>
      <sheetName val="조도계산서_(도서)"/>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Building_BD"/>
      <sheetName val="Onerous_Terms"/>
      <sheetName val="_Sum"/>
      <sheetName val="33628-Rev__A"/>
      <sheetName val="실제_도면출도"/>
      <sheetName val="공사비_내역_(가)"/>
      <sheetName val="plan&amp;section_of_foundation"/>
      <sheetName val="design_criteria"/>
      <sheetName val="w't_table"/>
      <sheetName val="BM_DATA_SHEET"/>
      <sheetName val="Eq__Mobilization"/>
      <sheetName val="플랜트_설치"/>
      <sheetName val="C_&amp;_G_RHS"/>
      <sheetName val="AG_Pipe_Qty_Analysis"/>
      <sheetName val="Proj_Cost_Sumry"/>
      <sheetName val="Rates"/>
      <sheetName val="DropLists"/>
      <sheetName val="Appendix A14"/>
      <sheetName val="M"/>
      <sheetName val="Kiss"/>
      <sheetName val="List"/>
      <sheetName val="ITI"/>
      <sheetName val="IS"/>
      <sheetName val="MCS"/>
      <sheetName val="Act"/>
      <sheetName val="Late"/>
      <sheetName val="Disc"/>
      <sheetName val="PO-MFG-CT"/>
      <sheetName val="Sheet2"/>
      <sheetName val="Input"/>
      <sheetName val="03년 현장공사비 실적 총괄"/>
      <sheetName val="03년 현장공사비 실적 상세"/>
      <sheetName val="03년 현장자재 및 장비비 실적총괄"/>
      <sheetName val="03년 현장 외주비.자재 및 장비비 실적"/>
      <sheetName val="5대총괄"/>
      <sheetName val="??"/>
      <sheetName val="__"/>
      <sheetName val="97 사업추정(WEKI)"/>
      <sheetName val="Appendix_A14"/>
      <sheetName val="03년_현장공사비_실적_총괄"/>
      <sheetName val="03년_현장공사비_실적_상세"/>
      <sheetName val="03년_현장자재_및_장비비_실적총괄"/>
      <sheetName val="03년_현장_외주비_자재_및_장비비_실적"/>
      <sheetName val="97_사업추정(WEKI)"/>
      <sheetName val="운반"/>
      <sheetName val="ASCEandUBC"/>
      <sheetName val="trf(36%)"/>
      <sheetName val="증감대비"/>
      <sheetName val="공종단가"/>
      <sheetName val="단면치수"/>
      <sheetName val="별표총괄"/>
      <sheetName val="예총"/>
      <sheetName val="Tables 3.1 to 3.5 EXH G"/>
      <sheetName val="BQB000"/>
      <sheetName val="MEASURE_LIST"/>
      <sheetName val="Cashflow Analysis"/>
      <sheetName val="PROC%"/>
      <sheetName val="Riesgos y Oportunidades"/>
      <sheetName val="人工时台账"/>
      <sheetName val="Estimating"/>
      <sheetName val="DB_ET200(R. A)"/>
      <sheetName val="Parameters"/>
      <sheetName val="HO Staff Rates 2018-I scale"/>
      <sheetName val="Crew Summary"/>
      <sheetName val="Master Field Staff List"/>
      <sheetName val="PRO_DCI"/>
      <sheetName val="INST_DCI"/>
      <sheetName val="HVAC_DCI"/>
      <sheetName val="PIPE_DCI"/>
      <sheetName val="EQUIPMENT _2"/>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iping_Design_Data6"/>
      <sheetName val="할증_6"/>
      <sheetName val="M_116"/>
      <sheetName val="Chiet_tinh_dz356"/>
      <sheetName val="Chiet_tinh_dz226"/>
      <sheetName val="CT_Thang_Mo6"/>
      <sheetName val="CT__PL6"/>
      <sheetName val="EQUIP_LIST6"/>
      <sheetName val="Process_Piping6"/>
      <sheetName val="EL_표면적6"/>
      <sheetName val="MTO_REV_2(ARMOR)6"/>
      <sheetName val="BQ_List6"/>
      <sheetName val="Finansal_tamamlanma_Eğrisi5"/>
      <sheetName val="6PILE__(돌출)5"/>
      <sheetName val="_Armaflex_5"/>
      <sheetName val="___Basis-Kalk____5"/>
      <sheetName val="MW-Schale,_alukasch_5"/>
      <sheetName val="UK,_Kleinmaterial5"/>
      <sheetName val="PUR,_FOAMGLAS5"/>
      <sheetName val="General_Data5"/>
      <sheetName val="Payroll_Deduction-Feb_20085"/>
      <sheetName val="INPUT_DATA_OF_SCHEDULE5"/>
      <sheetName val="INVOICE_CERT_EIV'S5"/>
      <sheetName val="해외_연수비용_계산-삭제5"/>
      <sheetName val="해외_기술훈련비_(합계)5"/>
      <sheetName val="07-Raw_Mill_Grinding"/>
      <sheetName val="08-Farin_Silo"/>
      <sheetName val="10-Pre_Heater"/>
      <sheetName val="11-Rotary_Kiln"/>
      <sheetName val="12+13_Clinker_Cooler"/>
      <sheetName val="_15-Clinker_Storage"/>
      <sheetName val="17+18_Lineer_Storage"/>
      <sheetName val="20_Cement_Mill_Dept_"/>
      <sheetName val="22_Cement_Silos_Truck"/>
      <sheetName val="23_Cement_Silos_Train"/>
      <sheetName val="24+26_Cement_Packing_Truck"/>
      <sheetName val="25+27_Cement_Packing_Train"/>
      <sheetName val="bldg_list"/>
      <sheetName val="WBS_44"/>
      <sheetName val="WBS_41"/>
      <sheetName val="공사내역"/>
      <sheetName val="HOJA DE CONTROL "/>
      <sheetName val="환율"/>
      <sheetName val="경영현황"/>
      <sheetName val="설산1.나"/>
      <sheetName val="본사S"/>
      <sheetName val="Orbit"/>
      <sheetName val="No Inspection"/>
      <sheetName val="예산"/>
      <sheetName val="손익차9월2"/>
      <sheetName val="Total Staff"/>
      <sheetName val="0. SUMMARY"/>
      <sheetName val="1. Engineering"/>
      <sheetName val="2. Check point"/>
      <sheetName val="II Changes 1"/>
      <sheetName val="III Changes 2"/>
      <sheetName val="Qty."/>
      <sheetName val="MP"/>
      <sheetName val="EQP"/>
      <sheetName val="OQC Summary"/>
      <sheetName val="6.Unit Rates"/>
      <sheetName val="전기"/>
      <sheetName val="S1BOQ"/>
      <sheetName val="01"/>
      <sheetName val="02"/>
      <sheetName val="03"/>
      <sheetName val="04"/>
      <sheetName val="P-Ins &amp; Bonds"/>
      <sheetName val="Analysis"/>
      <sheetName val="FitOutConfCentre"/>
      <sheetName val="拆除费用表"/>
      <sheetName val="gsde01"/>
      <sheetName val="万元指标1"/>
      <sheetName val="建筑定额"/>
      <sheetName val="HRG BAHAN &amp; UPAH okk"/>
      <sheetName val="Analis Kusen okk"/>
      <sheetName val="30万表三"/>
      <sheetName val="GRSummary"/>
      <sheetName val="예산작성기준(전기)"/>
      <sheetName val="영동(D)"/>
      <sheetName val="상반기손익차2총괄"/>
      <sheetName val="PTTLNG - Staff Dipatch plan_130"/>
      <sheetName val="EQT-ESTN"/>
      <sheetName val="SUM_FSBLT2"/>
      <sheetName val="FWBS_90002"/>
      <sheetName val="Overall_Project2"/>
      <sheetName val="Overall_Process2"/>
      <sheetName val="Overall_Utility2"/>
      <sheetName val="FWBS_10002"/>
      <sheetName val="FWBS_20002"/>
      <sheetName val="FWBS_30002"/>
      <sheetName val="FWBS_50002"/>
      <sheetName val="FWBS_60002"/>
      <sheetName val="FWBS_70002"/>
      <sheetName val="FWBS_80002"/>
      <sheetName val="FWBS_A0002"/>
      <sheetName val="FWBS_B0002"/>
      <sheetName val="FWBS_Z0002"/>
      <sheetName val="Building_BD1"/>
      <sheetName val="Onerous_Terms1"/>
      <sheetName val="_Sum1"/>
      <sheetName val="33628-Rev__A1"/>
      <sheetName val="실제_도면출도1"/>
      <sheetName val="공사비_내역_(가)1"/>
      <sheetName val="plan&amp;section_of_foundation1"/>
      <sheetName val="design_criteria1"/>
      <sheetName val="w't_table1"/>
      <sheetName val="BM_DATA_SHEET1"/>
      <sheetName val="Eq__Mobilization1"/>
      <sheetName val="조도계산서_(도서)1"/>
      <sheetName val="플랜트_설치1"/>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Building_BD2"/>
      <sheetName val="Onerous_Terms2"/>
      <sheetName val="_Sum2"/>
      <sheetName val="33628-Rev__A2"/>
      <sheetName val="실제_도면출도2"/>
      <sheetName val="공사비_내역_(가)2"/>
      <sheetName val="plan&amp;section_of_foundation2"/>
      <sheetName val="design_criteria2"/>
      <sheetName val="w't_table2"/>
      <sheetName val="BM_DATA_SHEET2"/>
      <sheetName val="Eq__Mobilization2"/>
      <sheetName val="조도계산서_(도서)2"/>
      <sheetName val="플랜트_설치2"/>
      <sheetName val="Calculation"/>
      <sheetName val="NEW FREIGHT DETERMINATION "/>
      <sheetName val="1.Heavy Cost"/>
      <sheetName val="2.Secondhandling Cost"/>
      <sheetName val="MECH_PKG#3_FCC(FCC)"/>
      <sheetName val="laborrates "/>
      <sheetName val="equip rates as provided to Peme"/>
      <sheetName val="raw equipment rates"/>
      <sheetName val="Auriga crane company rates"/>
      <sheetName val="TA calc_manhours_cheatsheet"/>
      <sheetName val="OLD FREIGHT DETERMINATION"/>
      <sheetName val="Quote summary"/>
      <sheetName val="STORM"/>
      <sheetName val="Currencies"/>
      <sheetName val="Schedule"/>
      <sheetName val="Cash flow"/>
      <sheetName val="Settings"/>
      <sheetName val="data_OH"/>
      <sheetName val="data_analysis"/>
      <sheetName val="F1 subcontract prrice "/>
      <sheetName val="Form 1"/>
      <sheetName val="F2 Direct"/>
      <sheetName val="F3 Material"/>
      <sheetName val="F4 D-Labor"/>
      <sheetName val="F5 Equipt"/>
      <sheetName val="F6 T&amp;C"/>
      <sheetName val="F7 IN-Labor"/>
      <sheetName val="F8 TF"/>
      <sheetName val="F9 Exp"/>
      <sheetName val="F10 Ins"/>
      <sheetName val="F11 HSE"/>
      <sheetName val="F12 O&amp;P"/>
      <sheetName val="F13 Tax"/>
      <sheetName val="LATAM Personnel Cost Prices"/>
      <sheetName val="장비"/>
      <sheetName val="노무"/>
      <sheetName val="자재"/>
      <sheetName val="산근1"/>
      <sheetName val="BID"/>
      <sheetName val="판가반영"/>
      <sheetName val="351BQMCN"/>
      <sheetName val="INST"/>
      <sheetName val="choose"/>
      <sheetName val="수입"/>
      <sheetName val="GeneralFeedDevices_Labels"/>
      <sheetName val="CalmingSection_Labels"/>
      <sheetName val="Welcome"/>
      <sheetName val="WIP"/>
      <sheetName val="현장관리비"/>
      <sheetName val="KP1590_E"/>
      <sheetName val="구성비"/>
      <sheetName val="References"/>
      <sheetName val="7.1유효폭"/>
      <sheetName val="금융비용"/>
      <sheetName val="토목주소"/>
      <sheetName val="프랜트면허"/>
      <sheetName val="영업소실적"/>
      <sheetName val="9-1차이내역"/>
      <sheetName val="TACE"/>
      <sheetName val="소화실적"/>
      <sheetName val="10현장조직"/>
      <sheetName val="간접비 총괄표"/>
      <sheetName val="주관사업"/>
      <sheetName val="GAEYO"/>
      <sheetName val="음료실행"/>
      <sheetName val="Piping_Design_Data7"/>
      <sheetName val="할증_7"/>
      <sheetName val="M_117"/>
      <sheetName val="Chiet_tinh_dz357"/>
      <sheetName val="Chiet_tinh_dz227"/>
      <sheetName val="CT_Thang_Mo7"/>
      <sheetName val="CT__PL7"/>
      <sheetName val="EL_표면적7"/>
      <sheetName val="BQ_List7"/>
      <sheetName val="EQUIP_LIST7"/>
      <sheetName val="Process_Piping7"/>
      <sheetName val="MTO_REV_2(ARMOR)7"/>
      <sheetName val="6PILE__(돌출)6"/>
      <sheetName val="_Armaflex_6"/>
      <sheetName val="___Basis-Kalk____6"/>
      <sheetName val="MW-Schale,_alukasch_6"/>
      <sheetName val="UK,_Kleinmaterial6"/>
      <sheetName val="PUR,_FOAMGLAS6"/>
      <sheetName val="General_Data6"/>
      <sheetName val="Payroll_Deduction-Feb_20086"/>
      <sheetName val="INVOICE_CERT_EIV'S6"/>
      <sheetName val="Finansal_tamamlanma_Eğrisi6"/>
      <sheetName val="INPUT_DATA_OF_SCHEDULE6"/>
      <sheetName val="해외_연수비용_계산-삭제6"/>
      <sheetName val="해외_기술훈련비_(합계)6"/>
      <sheetName val="Equip_Sch_2"/>
      <sheetName val="SCHED_PROGRESS2"/>
      <sheetName val="C_&amp;_G_RHS1"/>
      <sheetName val="MEASURE_LIST1"/>
      <sheetName val="WBS_441"/>
      <sheetName val="WBS_411"/>
      <sheetName val="bldg_list1"/>
      <sheetName val="Cashflow_Analysis"/>
      <sheetName val="AG_Pipe_Qty_Analysis1"/>
      <sheetName val="Proj_Cost_Sumry1"/>
      <sheetName val="EQUIPMENT__2"/>
      <sheetName val="Riesgos_y_Oportunidades"/>
      <sheetName val="07-Raw_Mill_Grinding1"/>
      <sheetName val="08-Farin_Silo1"/>
      <sheetName val="10-Pre_Heater1"/>
      <sheetName val="11-Rotary_Kiln1"/>
      <sheetName val="12+13_Clinker_Cooler1"/>
      <sheetName val="_15-Clinker_Storage1"/>
      <sheetName val="17+18_Lineer_Storage1"/>
      <sheetName val="20_Cement_Mill_Dept_1"/>
      <sheetName val="22_Cement_Silos_Truck1"/>
      <sheetName val="23_Cement_Silos_Train1"/>
      <sheetName val="24+26_Cement_Packing_Truck1"/>
      <sheetName val="25+27_Cement_Packing_Train1"/>
      <sheetName val="Tables_3_1_to_3_5_EXH_G"/>
      <sheetName val="Appendix_A141"/>
      <sheetName val="03년_현장공사비_실적_총괄1"/>
      <sheetName val="03년_현장공사비_실적_상세1"/>
      <sheetName val="03년_현장자재_및_장비비_실적총괄1"/>
      <sheetName val="03년_현장_외주비_자재_및_장비비_실적1"/>
      <sheetName val="97_사업추정(WEKI)1"/>
      <sheetName val="DB_ET200(R__A)"/>
      <sheetName val="HO_Staff_Rates_2018-I_scale"/>
      <sheetName val="Crew_Summary"/>
      <sheetName val="Master_Field_Staff_List"/>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Total_Staff"/>
      <sheetName val="0__SUMMARY"/>
      <sheetName val="1__Engineering"/>
      <sheetName val="2__Check_point"/>
      <sheetName val="II_Changes_1"/>
      <sheetName val="III_Changes_2"/>
      <sheetName val="Qty_"/>
      <sheetName val="OQC_Summary"/>
      <sheetName val="6_Unit_Rates"/>
      <sheetName val="P-Ins_&amp;_Bonds"/>
      <sheetName val="HOJA_DE_CONTROL_"/>
      <sheetName val="설산1_나"/>
      <sheetName val="No_Inspection"/>
      <sheetName val="Pag.5"/>
      <sheetName val="liste"/>
      <sheetName val="CLASS OF GOODS"/>
      <sheetName val="MECPFA-DISCIPLINA"/>
      <sheetName val="Rev.0 rebid - option1"/>
      <sheetName val="Leggimi"/>
      <sheetName val="General"/>
      <sheetName val="EQUIPMENT -2"/>
      <sheetName val="Piping_Design_Data8"/>
      <sheetName val="할증_8"/>
      <sheetName val="M_118"/>
      <sheetName val="Chiet_tinh_dz358"/>
      <sheetName val="Chiet_tinh_dz228"/>
      <sheetName val="CT_Thang_Mo8"/>
      <sheetName val="CT__PL8"/>
      <sheetName val="EL_표면적8"/>
      <sheetName val="BQ_List8"/>
      <sheetName val="EQUIP_LIST8"/>
      <sheetName val="Process_Piping8"/>
      <sheetName val="MTO_REV_2(ARMOR)8"/>
      <sheetName val="INVOICE_CERT_EIV'S7"/>
      <sheetName val="6PILE__(돌출)7"/>
      <sheetName val="_Armaflex_7"/>
      <sheetName val="___Basis-Kalk____7"/>
      <sheetName val="MW-Schale,_alukasch_7"/>
      <sheetName val="UK,_Kleinmaterial7"/>
      <sheetName val="PUR,_FOAMGLAS7"/>
      <sheetName val="General_Data7"/>
      <sheetName val="Payroll_Deduction-Feb_20087"/>
      <sheetName val="Finansal_tamamlanma_Eğrisi7"/>
      <sheetName val="INPUT_DATA_OF_SCHEDULE7"/>
      <sheetName val="해외_연수비용_계산-삭제7"/>
      <sheetName val="해외_기술훈련비_(합계)7"/>
      <sheetName val="Equip_Sch_3"/>
      <sheetName val="SCHED_PROGRESS3"/>
      <sheetName val="C_&amp;_G_RHS2"/>
      <sheetName val="WBS_442"/>
      <sheetName val="WBS_412"/>
      <sheetName val="bldg_list2"/>
      <sheetName val="MEASURE_LIST2"/>
      <sheetName val="AG_Pipe_Qty_Analysis2"/>
      <sheetName val="Proj_Cost_Sumry2"/>
      <sheetName val="Riesgos_y_Oportunidades1"/>
      <sheetName val="Cashflow_Analysis1"/>
      <sheetName val="07-Raw_Mill_Grinding2"/>
      <sheetName val="08-Farin_Silo2"/>
      <sheetName val="10-Pre_Heater2"/>
      <sheetName val="11-Rotary_Kiln2"/>
      <sheetName val="12+13_Clinker_Cooler2"/>
      <sheetName val="_15-Clinker_Storage2"/>
      <sheetName val="17+18_Lineer_Storage2"/>
      <sheetName val="20_Cement_Mill_Dept_2"/>
      <sheetName val="22_Cement_Silos_Truck2"/>
      <sheetName val="23_Cement_Silos_Train2"/>
      <sheetName val="24+26_Cement_Packing_Truck2"/>
      <sheetName val="25+27_Cement_Packing_Train2"/>
      <sheetName val="Appendix_A142"/>
      <sheetName val="03년_현장공사비_실적_총괄2"/>
      <sheetName val="03년_현장공사비_실적_상세2"/>
      <sheetName val="03년_현장자재_및_장비비_실적총괄2"/>
      <sheetName val="03년_현장_외주비_자재_및_장비비_실적2"/>
      <sheetName val="97_사업추정(WEKI)2"/>
      <sheetName val="Tables_3_1_to_3_5_EXH_G1"/>
      <sheetName val="DB_ET200(R__A)1"/>
      <sheetName val="HO_Staff_Rates_2018-I_scale1"/>
      <sheetName val="Crew_Summary1"/>
      <sheetName val="Master_Field_Staff_List1"/>
      <sheetName val="EQUIPMENT__21"/>
      <sheetName val="Total_Staff1"/>
      <sheetName val="0__SUMMARY1"/>
      <sheetName val="1__Engineering1"/>
      <sheetName val="2__Check_point1"/>
      <sheetName val="II_Changes_11"/>
      <sheetName val="III_Changes_21"/>
      <sheetName val="Qty_1"/>
      <sheetName val="OQC_Summary1"/>
      <sheetName val="6_Unit_Rates1"/>
      <sheetName val="P-Ins_&amp;_Bonds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HOJA_DE_CONTROL_1"/>
      <sheetName val="설산1_나1"/>
      <sheetName val="No_Inspection1"/>
      <sheetName val="CONST"/>
      <sheetName val="BASEINPUT"/>
      <sheetName val="PTTLNG_-_Staff_Dipatch_plan_130"/>
      <sheetName val="HRG_BAHAN_&amp;_UPAH_okk"/>
      <sheetName val="Analis_Kusen_okk"/>
      <sheetName val="F1_subcontract_prrice_"/>
      <sheetName val="Form_1"/>
      <sheetName val="F2_Direct"/>
      <sheetName val="F3_Material"/>
      <sheetName val="F4_D-Labor"/>
      <sheetName val="F5_Equipt"/>
      <sheetName val="F6_T&amp;C"/>
      <sheetName val="F7_IN-Labor"/>
      <sheetName val="F8_TF"/>
      <sheetName val="F9_Exp"/>
      <sheetName val="F10_Ins"/>
      <sheetName val="F11_HSE"/>
      <sheetName val="F12_O&amp;P"/>
      <sheetName val="F13_Tax"/>
      <sheetName val="LATAM_Personnel_Cost_Prices"/>
      <sheetName val="NEW_FREIGHT_DETERMINATION_"/>
      <sheetName val="1_Heavy_Cost"/>
      <sheetName val="2_Secondhandling_Cost"/>
      <sheetName val="laborrates_"/>
      <sheetName val="equip_rates_as_provided_to_Peme"/>
      <sheetName val="raw_equipment_rates"/>
      <sheetName val="Auriga_crane_company_rates"/>
      <sheetName val="TA_calc_manhours_cheatsheet"/>
      <sheetName val="OLD_FREIGHT_DETERMINATION"/>
      <sheetName val="Quote_summary"/>
      <sheetName val="Cash_flow"/>
      <sheetName val="MH RATE"/>
      <sheetName val="ALLOWANCE"/>
      <sheetName val="Rate"/>
      <sheetName val="Bid Summary"/>
      <sheetName val="Memb Schd"/>
      <sheetName val="Personnel"/>
      <sheetName val="Sch.6"/>
      <sheetName val="RAP"/>
      <sheetName val="3"/>
      <sheetName val="HYDROTEST DIAGRAM"/>
      <sheetName val="TIE-INS"/>
      <sheetName val="LUGS"/>
      <sheetName val="Earthing"/>
      <sheetName val="Termination"/>
      <sheetName val="name"/>
      <sheetName val="BoQ_Int"/>
      <sheetName val="RAB"/>
      <sheetName val="RAB_ALT (2)"/>
      <sheetName val="PaintBreak"/>
      <sheetName val="INSSUBCON"/>
      <sheetName val="Memb_Schd"/>
      <sheetName val="Sch_6"/>
      <sheetName val="DATASHT"/>
      <sheetName val="Basic Price"/>
      <sheetName val="NP"/>
      <sheetName val="HARVEST02"/>
      <sheetName val="FWBS 1530"/>
      <sheetName val="영업2"/>
      <sheetName val="영업3"/>
      <sheetName val="Utility and Fire flange"/>
      <sheetName val="RFP003D"/>
      <sheetName val="Master_Data"/>
      <sheetName val="97"/>
      <sheetName val="ERECT"/>
      <sheetName val="表六 "/>
      <sheetName val="AHS"/>
      <sheetName val="VC2 10.99"/>
      <sheetName val="Peralatan (2)"/>
      <sheetName val="BQ GEDUNG"/>
      <sheetName val="Peralatan"/>
      <sheetName val="BM"/>
      <sheetName val="일위대가"/>
      <sheetName val="수질정화시설"/>
      <sheetName val="alat (2)"/>
      <sheetName val="I-KAMAR"/>
      <sheetName val="Ahs.2"/>
      <sheetName val="Ahs.1"/>
      <sheetName val="MAPP"/>
      <sheetName val="sal"/>
      <sheetName val="LTR-2"/>
      <sheetName val="XZLC003_PART1"/>
      <sheetName val="XZLC004_PART2"/>
      <sheetName val="Precios por Administración"/>
      <sheetName val="Resumen"/>
      <sheetName val="Precios Unitarios"/>
      <sheetName val="PL PBC"/>
      <sheetName val="Material "/>
      <sheetName val="Labour &amp; Plant"/>
      <sheetName val="Galian 1"/>
      <sheetName val="an. struktur"/>
      <sheetName val="harsat"/>
      <sheetName val="Dashboard"/>
      <sheetName val="Harga Bahan &amp; Upah "/>
      <sheetName val="GKP"/>
      <sheetName val="Bill rekap"/>
      <sheetName val="Bill of Qty"/>
      <sheetName val="Bahan"/>
      <sheetName val="Analisa Upah &amp; Bahan Plum"/>
      <sheetName val="POL6차-PIPING"/>
      <sheetName val="물량"/>
      <sheetName val="WEIGHT LIST"/>
      <sheetName val="산#2-1 (2)"/>
      <sheetName val="산#3-1"/>
      <sheetName val="SAFETY-FACTOR"/>
      <sheetName val="escon"/>
      <sheetName val="Ex_Rate"/>
      <sheetName val="Koordinat"/>
      <sheetName val="LOKASI"/>
      <sheetName val="IGCC査定"/>
      <sheetName val="Pengalaman Per"/>
      <sheetName val="5.Cennik"/>
      <sheetName val="Piping_Design_Data9"/>
      <sheetName val="할증_9"/>
      <sheetName val="M_119"/>
      <sheetName val="Chiet_tinh_dz359"/>
      <sheetName val="Chiet_tinh_dz229"/>
      <sheetName val="CT_Thang_Mo9"/>
      <sheetName val="CT__PL9"/>
      <sheetName val="EL_표면적9"/>
      <sheetName val="BQ_List9"/>
      <sheetName val="EQUIP_LIST9"/>
      <sheetName val="Process_Piping9"/>
      <sheetName val="MTO_REV_2(ARMOR)9"/>
      <sheetName val="INVOICE_CERT_EIV'S8"/>
      <sheetName val="6PILE__(돌출)8"/>
      <sheetName val="_Armaflex_8"/>
      <sheetName val="___Basis-Kalk____8"/>
      <sheetName val="MW-Schale,_alukasch_8"/>
      <sheetName val="UK,_Kleinmaterial8"/>
      <sheetName val="PUR,_FOAMGLAS8"/>
      <sheetName val="General_Data8"/>
      <sheetName val="Payroll_Deduction-Feb_20088"/>
      <sheetName val="Finansal_tamamlanma_Eğrisi8"/>
      <sheetName val="INPUT_DATA_OF_SCHEDULE8"/>
      <sheetName val="SUM_FSBLT4"/>
      <sheetName val="FWBS_90004"/>
      <sheetName val="Overall_Project4"/>
      <sheetName val="Overall_Process4"/>
      <sheetName val="Overall_Utility4"/>
      <sheetName val="FWBS_10004"/>
      <sheetName val="FWBS_20004"/>
      <sheetName val="FWBS_30004"/>
      <sheetName val="FWBS_50004"/>
      <sheetName val="FWBS_60004"/>
      <sheetName val="FWBS_70004"/>
      <sheetName val="FWBS_80004"/>
      <sheetName val="FWBS_A0004"/>
      <sheetName val="FWBS_B0004"/>
      <sheetName val="FWBS_Z0004"/>
      <sheetName val="Building_BD3"/>
      <sheetName val="Onerous_Terms3"/>
      <sheetName val="_Sum3"/>
      <sheetName val="33628-Rev__A3"/>
      <sheetName val="실제_도면출도3"/>
      <sheetName val="공사비_내역_(가)3"/>
      <sheetName val="plan&amp;section_of_foundation3"/>
      <sheetName val="design_criteria3"/>
      <sheetName val="w't_table3"/>
      <sheetName val="BM_DATA_SHEET3"/>
      <sheetName val="Eq__Mobilization3"/>
      <sheetName val="조도계산서_(도서)3"/>
      <sheetName val="해외_연수비용_계산-삭제8"/>
      <sheetName val="해외_기술훈련비_(합계)8"/>
      <sheetName val="플랜트_설치3"/>
      <sheetName val="Equip_Sch_4"/>
      <sheetName val="SCHED_PROGRESS4"/>
      <sheetName val="C_&amp;_G_RHS3"/>
      <sheetName val="WBS_443"/>
      <sheetName val="WBS_413"/>
      <sheetName val="bldg_list3"/>
      <sheetName val="MEASURE_LIST3"/>
      <sheetName val="AG_Pipe_Qty_Analysis3"/>
      <sheetName val="Proj_Cost_Sumry3"/>
      <sheetName val="Riesgos_y_Oportunidades2"/>
      <sheetName val="Cashflow_Analysis2"/>
      <sheetName val="07-Raw_Mill_Grinding3"/>
      <sheetName val="08-Farin_Silo3"/>
      <sheetName val="10-Pre_Heater3"/>
      <sheetName val="11-Rotary_Kiln3"/>
      <sheetName val="12+13_Clinker_Cooler3"/>
      <sheetName val="_15-Clinker_Storage3"/>
      <sheetName val="17+18_Lineer_Storage3"/>
      <sheetName val="20_Cement_Mill_Dept_3"/>
      <sheetName val="22_Cement_Silos_Truck3"/>
      <sheetName val="23_Cement_Silos_Train3"/>
      <sheetName val="24+26_Cement_Packing_Truck3"/>
      <sheetName val="25+27_Cement_Packing_Train3"/>
      <sheetName val="Appendix_A143"/>
      <sheetName val="03년_현장공사비_실적_총괄3"/>
      <sheetName val="03년_현장공사비_실적_상세3"/>
      <sheetName val="03년_현장자재_및_장비비_실적총괄3"/>
      <sheetName val="03년_현장_외주비_자재_및_장비비_실적3"/>
      <sheetName val="97_사업추정(WEKI)3"/>
      <sheetName val="Tables_3_1_to_3_5_EXH_G2"/>
      <sheetName val="DB_ET200(R__A)2"/>
      <sheetName val="HO_Staff_Rates_2018-I_scale2"/>
      <sheetName val="Crew_Summary2"/>
      <sheetName val="Master_Field_Staff_List2"/>
      <sheetName val="EQUIPMENT__22"/>
      <sheetName val="Total_Staff2"/>
      <sheetName val="0__SUMMARY2"/>
      <sheetName val="1__Engineering2"/>
      <sheetName val="2__Check_point2"/>
      <sheetName val="II_Changes_12"/>
      <sheetName val="III_Changes_22"/>
      <sheetName val="Qty_2"/>
      <sheetName val="OQC_Summary2"/>
      <sheetName val="6_Unit_Rates2"/>
      <sheetName val="P-Ins_&amp;_Bonds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HOJA_DE_CONTROL_2"/>
      <sheetName val="설산1_나2"/>
      <sheetName val="No_Inspection2"/>
      <sheetName val="EQUIPMENT_-2"/>
      <sheetName val="Pag_5"/>
      <sheetName val="CLASS_OF_GOODS"/>
      <sheetName val="Rev_0_rebid_-_option1"/>
      <sheetName val="Lookups"/>
      <sheetName val="Paint Mat Summ"/>
      <sheetName val="PP"/>
      <sheetName val="Hot "/>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업무분장"/>
      <sheetName val="schedule nos"/>
      <sheetName val=""/>
      <sheetName val="HRG_BAHAN_&amp;_UPAH_okk1"/>
      <sheetName val="Analis_Kusen_okk1"/>
      <sheetName val="PTTLNG_-_Staff_Dipatch_plan_131"/>
      <sheetName val="F1_subcontract_prrice_1"/>
      <sheetName val="Form_11"/>
      <sheetName val="F2_Direct1"/>
      <sheetName val="F3_Material1"/>
      <sheetName val="F4_D-Labor1"/>
      <sheetName val="F5_Equipt1"/>
      <sheetName val="F6_T&amp;C1"/>
      <sheetName val="F7_IN-Labor1"/>
      <sheetName val="F8_TF1"/>
      <sheetName val="F9_Exp1"/>
      <sheetName val="F10_Ins1"/>
      <sheetName val="F11_HSE1"/>
      <sheetName val="F12_O&amp;P1"/>
      <sheetName val="F13_Tax1"/>
      <sheetName val="LATAM_Personnel_Cost_Prices1"/>
      <sheetName val="NEW_FREIGHT_DETERMINATION_1"/>
      <sheetName val="1_Heavy_Cost1"/>
      <sheetName val="2_Secondhandling_Cost1"/>
      <sheetName val="laborrates_1"/>
      <sheetName val="equip_rates_as_provided_to_Pem1"/>
      <sheetName val="raw_equipment_rates1"/>
      <sheetName val="Auriga_crane_company_rates1"/>
      <sheetName val="TA_calc_manhours_cheatsheet1"/>
      <sheetName val="OLD_FREIGHT_DETERMINATION1"/>
      <sheetName val="Quote_summary1"/>
      <sheetName val="Cash_flow1"/>
      <sheetName val="HYDROTEST_DIAGRAM"/>
      <sheetName val="Bid_Summary"/>
      <sheetName val="Memb_Schd1"/>
      <sheetName val="Sch_61"/>
      <sheetName val="RAB_ALT_(2)"/>
      <sheetName val="Basic_Price"/>
      <sheetName val="MH_RATE"/>
      <sheetName val="FWBS_1530"/>
      <sheetName val="Utility_and_Fire_flange"/>
      <sheetName val="表六_"/>
      <sheetName val="VC2_10_99"/>
      <sheetName val="Peralatan_(2)"/>
      <sheetName val="BQ_GEDUNG"/>
      <sheetName val="alat_(2)"/>
      <sheetName val="Ahs_2"/>
      <sheetName val="Ahs_1"/>
      <sheetName val="Piping_Design_Data10"/>
      <sheetName val="할증_10"/>
      <sheetName val="M_1110"/>
      <sheetName val="Chiet_tinh_dz3510"/>
      <sheetName val="Chiet_tinh_dz2210"/>
      <sheetName val="CT_Thang_Mo10"/>
      <sheetName val="CT__PL10"/>
      <sheetName val="EL_표면적10"/>
      <sheetName val="BQ_List10"/>
      <sheetName val="EQUIP_LIST10"/>
      <sheetName val="Process_Piping10"/>
      <sheetName val="MTO_REV_2(ARMOR)10"/>
      <sheetName val="INVOICE_CERT_EIV'S9"/>
      <sheetName val="Finansal_tamamlanma_Eğrisi9"/>
      <sheetName val="SUM_FSBLT5"/>
      <sheetName val="FWBS_90005"/>
      <sheetName val="Overall_Project5"/>
      <sheetName val="Overall_Process5"/>
      <sheetName val="Overall_Utility5"/>
      <sheetName val="FWBS_10005"/>
      <sheetName val="FWBS_20005"/>
      <sheetName val="FWBS_30005"/>
      <sheetName val="FWBS_50005"/>
      <sheetName val="FWBS_60005"/>
      <sheetName val="FWBS_70005"/>
      <sheetName val="FWBS_80005"/>
      <sheetName val="FWBS_A0005"/>
      <sheetName val="FWBS_B0005"/>
      <sheetName val="FWBS_Z0005"/>
      <sheetName val="Building_BD4"/>
      <sheetName val="Onerous_Terms4"/>
      <sheetName val="_Sum4"/>
      <sheetName val="33628-Rev__A4"/>
      <sheetName val="실제_도면출도4"/>
      <sheetName val="공사비_내역_(가)4"/>
      <sheetName val="plan&amp;section_of_foundation4"/>
      <sheetName val="design_criteria4"/>
      <sheetName val="w't_table4"/>
      <sheetName val="BM_DATA_SHEET4"/>
      <sheetName val="Eq__Mobilization4"/>
      <sheetName val="6PILE__(돌출)9"/>
      <sheetName val="_Armaflex_9"/>
      <sheetName val="___Basis-Kalk____9"/>
      <sheetName val="MW-Schale,_alukasch_9"/>
      <sheetName val="UK,_Kleinmaterial9"/>
      <sheetName val="PUR,_FOAMGLAS9"/>
      <sheetName val="General_Data9"/>
      <sheetName val="Payroll_Deduction-Feb_20089"/>
      <sheetName val="INPUT_DATA_OF_SCHEDULE9"/>
      <sheetName val="조도계산서_(도서)4"/>
      <sheetName val="플랜트_설치4"/>
      <sheetName val="해외_연수비용_계산-삭제9"/>
      <sheetName val="해외_기술훈련비_(합계)9"/>
      <sheetName val="Equip_Sch_5"/>
      <sheetName val="SCHED_PROGRESS5"/>
      <sheetName val="C_&amp;_G_RHS4"/>
      <sheetName val="WBS_444"/>
      <sheetName val="WBS_414"/>
      <sheetName val="bldg_list4"/>
      <sheetName val="MEASURE_LIST4"/>
      <sheetName val="AG_Pipe_Qty_Analysis4"/>
      <sheetName val="Proj_Cost_Sumry4"/>
      <sheetName val="07-Raw_Mill_Grinding4"/>
      <sheetName val="08-Farin_Silo4"/>
      <sheetName val="10-Pre_Heater4"/>
      <sheetName val="11-Rotary_Kiln4"/>
      <sheetName val="12+13_Clinker_Cooler4"/>
      <sheetName val="_15-Clinker_Storage4"/>
      <sheetName val="17+18_Lineer_Storage4"/>
      <sheetName val="20_Cement_Mill_Dept_4"/>
      <sheetName val="22_Cement_Silos_Truck4"/>
      <sheetName val="23_Cement_Silos_Train4"/>
      <sheetName val="24+26_Cement_Packing_Truck4"/>
      <sheetName val="25+27_Cement_Packing_Train4"/>
      <sheetName val="Appendix_A144"/>
      <sheetName val="03년_현장공사비_실적_총괄4"/>
      <sheetName val="03년_현장공사비_실적_상세4"/>
      <sheetName val="03년_현장자재_및_장비비_실적총괄4"/>
      <sheetName val="03년_현장_외주비_자재_및_장비비_실적4"/>
      <sheetName val="97_사업추정(WEKI)4"/>
      <sheetName val="Tables_3_1_to_3_5_EXH_G3"/>
      <sheetName val="Cashflow_Analysis3"/>
      <sheetName val="HO_Staff_Rates_2018-I_scale3"/>
      <sheetName val="Crew_Summary3"/>
      <sheetName val="Master_Field_Staff_List3"/>
      <sheetName val="DB_ET200(R__A)3"/>
      <sheetName val="EQUIPMENT__23"/>
      <sheetName val="Riesgos_y_Oportunidade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Total_Staff3"/>
      <sheetName val="0__SUMMARY3"/>
      <sheetName val="1__Engineering3"/>
      <sheetName val="2__Check_point3"/>
      <sheetName val="II_Changes_13"/>
      <sheetName val="III_Changes_23"/>
      <sheetName val="Qty_3"/>
      <sheetName val="OQC_Summary3"/>
      <sheetName val="6_Unit_Rates3"/>
      <sheetName val="HOJA_DE_CONTROL_3"/>
      <sheetName val="설산1_나3"/>
      <sheetName val="No_Inspection3"/>
      <sheetName val="P-Ins_&amp;_Bonds3"/>
      <sheetName val="HRG_BAHAN_&amp;_UPAH_okk2"/>
      <sheetName val="Analis_Kusen_okk2"/>
      <sheetName val="PTTLNG_-_Staff_Dipatch_plan_132"/>
      <sheetName val="F1_subcontract_prrice_2"/>
      <sheetName val="Form_12"/>
      <sheetName val="F2_Direct2"/>
      <sheetName val="F3_Material2"/>
      <sheetName val="F4_D-Labor2"/>
      <sheetName val="F5_Equipt2"/>
      <sheetName val="F6_T&amp;C2"/>
      <sheetName val="F7_IN-Labor2"/>
      <sheetName val="F8_TF2"/>
      <sheetName val="F9_Exp2"/>
      <sheetName val="F10_Ins2"/>
      <sheetName val="F11_HSE2"/>
      <sheetName val="F12_O&amp;P2"/>
      <sheetName val="F13_Tax2"/>
      <sheetName val="LATAM_Personnel_Cost_Prices2"/>
      <sheetName val="NEW_FREIGHT_DETERMINATION_2"/>
      <sheetName val="1_Heavy_Cost2"/>
      <sheetName val="2_Secondhandling_Cost2"/>
      <sheetName val="laborrates_2"/>
      <sheetName val="equip_rates_as_provided_to_Pem2"/>
      <sheetName val="raw_equipment_rates2"/>
      <sheetName val="Auriga_crane_company_rates2"/>
      <sheetName val="TA_calc_manhours_cheatsheet2"/>
      <sheetName val="OLD_FREIGHT_DETERMINATION2"/>
      <sheetName val="Quote_summary2"/>
      <sheetName val="Cash_flow2"/>
      <sheetName val="Pag_51"/>
      <sheetName val="CLASS_OF_GOODS1"/>
      <sheetName val="Rev_0_rebid_-_option11"/>
      <sheetName val="EQUIPMENT_-21"/>
      <sheetName val="MH_RATE1"/>
      <sheetName val="Bid_Summary1"/>
      <sheetName val="Memb_Schd2"/>
      <sheetName val="Sch_62"/>
      <sheetName val="HYDROTEST_DIAGRAM1"/>
      <sheetName val="RAB_ALT_(2)1"/>
      <sheetName val="Basic_Price1"/>
      <sheetName val="FWBS_15301"/>
      <sheetName val="Utility_and_Fire_flange1"/>
      <sheetName val="表六_1"/>
      <sheetName val="VC2_10_991"/>
      <sheetName val="Peralatan_(2)1"/>
      <sheetName val="BQ_GEDUNG1"/>
      <sheetName val="alat_(2)1"/>
      <sheetName val="Ahs_21"/>
      <sheetName val="Ahs_11"/>
      <sheetName val="Precios_por_Administración"/>
      <sheetName val="Precios_Unitarios"/>
      <sheetName val="7_1유효폭"/>
      <sheetName val="간접비_총괄표"/>
      <sheetName val="WEIGHT_LIST"/>
      <sheetName val="산#2-1_(2)"/>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PL_PBC"/>
      <sheetName val="Material_"/>
      <sheetName val="Labour_&amp;_Plant"/>
      <sheetName val="Galian_1"/>
      <sheetName val="an__struktur"/>
      <sheetName val="Harga_Bahan_&amp;_Upah_"/>
      <sheetName val="Bill_rekap"/>
      <sheetName val="Bill_of_Qty"/>
      <sheetName val="Analisa_Upah_&amp;_Bahan_Plum"/>
      <sheetName val="5_Cennik"/>
      <sheetName val="PriceSummary"/>
      <sheetName val="S. Détail Matériel"/>
      <sheetName val="COEF KV"/>
      <sheetName val="bau"/>
      <sheetName val="GAJI"/>
      <sheetName val="REKAP"/>
      <sheetName val="여흥"/>
      <sheetName val="Curves"/>
      <sheetName val="Note"/>
      <sheetName val="Tables"/>
      <sheetName val="AILC004"/>
      <sheetName val="작성기준"/>
      <sheetName val="조명시설"/>
      <sheetName val="CAP"/>
      <sheetName val="Var."/>
      <sheetName val="R"/>
      <sheetName val="정리"/>
      <sheetName val="dV&amp;Cl"/>
      <sheetName val="을"/>
      <sheetName val="CTEMCOST"/>
      <sheetName val="유림골조"/>
      <sheetName val="주식"/>
      <sheetName val="COVER-P"/>
      <sheetName val="설계내역서"/>
      <sheetName val="Equip. Sch"/>
      <sheetName val="Labor"/>
      <sheetName val="SB"/>
      <sheetName val="config"/>
      <sheetName val="1) COMMON FACILITIES"/>
      <sheetName val="Summary Sheets"/>
      <sheetName val="TABLE"/>
      <sheetName val="Titles"/>
      <sheetName val="Information"/>
      <sheetName val="UNIT PRICE"/>
      <sheetName val="Rekapitulasi"/>
      <sheetName val="BUL"/>
      <sheetName val="기본대가"/>
      <sheetName val="Basis of Unit Price"/>
      <sheetName val="7. Comparison of Asphalt etc"/>
      <sheetName val="7a. Compar.Asphalt (Machine)"/>
      <sheetName val="4.Equipment Cost"/>
      <sheetName val="1. Coeficient"/>
      <sheetName val="6. Comparison of Sand Volume"/>
      <sheetName val="5a. Excav. (Machine)"/>
      <sheetName val="2. Coeficient butt fushion"/>
      <sheetName val="upah_borong"/>
      <sheetName val="satuan_pek"/>
      <sheetName val="DAF-4"/>
      <sheetName val="DAF-5"/>
      <sheetName val="iTEM hARSAT"/>
      <sheetName val="Daf 1"/>
      <sheetName val="EXTERNAL WORK"/>
      <sheetName val="ANAL.BOW"/>
      <sheetName val="SEX"/>
      <sheetName val="Unit-P"/>
      <sheetName val="61004"/>
      <sheetName val="61005"/>
      <sheetName val="61006"/>
      <sheetName val="61007"/>
      <sheetName val="61008"/>
      <sheetName val="Own"/>
      <sheetName val="Dash"/>
      <sheetName val="BREAKSCD"/>
      <sheetName val="DQE-MEN-EXT"/>
      <sheetName val="Paint_Mat_Summ"/>
      <sheetName val="Hot_"/>
      <sheetName val="1)_COMMON_FACILITIES"/>
      <sheetName val="Summary_Sheets"/>
      <sheetName val="Hist Fcst"/>
      <sheetName val="DB"/>
      <sheetName val="Administrative Prices"/>
      <sheetName val="GRAPH_DATA"/>
      <sheetName val="x"/>
      <sheetName val="DHEQSUPT"/>
      <sheetName val="office"/>
      <sheetName val="Lab"/>
      <sheetName val="Ra  stair"/>
      <sheetName val="Basis"/>
      <sheetName val="Day work"/>
      <sheetName val="Assumptions"/>
      <sheetName val="@risk rents and incentives"/>
      <sheetName val="Car park lease"/>
      <sheetName val="Net rent analysis"/>
      <sheetName val="Bill No. 3 Podium"/>
      <sheetName val="Sheet9"/>
      <sheetName val="チューブ仕様"/>
      <sheetName val="P-Ins_&amp;_Bonds4"/>
      <sheetName val="Piping_Design_Data11"/>
      <sheetName val="할증_11"/>
      <sheetName val="EQUIP_LIST11"/>
      <sheetName val="M_1111"/>
      <sheetName val="Chiet_tinh_dz3511"/>
      <sheetName val="Chiet_tinh_dz2211"/>
      <sheetName val="CT_Thang_Mo11"/>
      <sheetName val="CT__PL11"/>
      <sheetName val="EL_표면적11"/>
      <sheetName val="BQ_List11"/>
      <sheetName val="Process_Piping11"/>
      <sheetName val="MTO_REV_2(ARMOR)11"/>
      <sheetName val="INVOICE_CERT_EIV'S10"/>
      <sheetName val="Finansal_tamamlanma_Eğrisi10"/>
      <sheetName val="SUM_FSBLT6"/>
      <sheetName val="FWBS_90006"/>
      <sheetName val="Overall_Project6"/>
      <sheetName val="Overall_Process6"/>
      <sheetName val="Overall_Utility6"/>
      <sheetName val="FWBS_10006"/>
      <sheetName val="FWBS_20006"/>
      <sheetName val="FWBS_30006"/>
      <sheetName val="FWBS_50006"/>
      <sheetName val="FWBS_60006"/>
      <sheetName val="FWBS_70006"/>
      <sheetName val="FWBS_80006"/>
      <sheetName val="FWBS_A0006"/>
      <sheetName val="FWBS_B0006"/>
      <sheetName val="FWBS_Z0006"/>
      <sheetName val="Building_BD5"/>
      <sheetName val="Onerous_Terms5"/>
      <sheetName val="_Sum5"/>
      <sheetName val="33628-Rev__A5"/>
      <sheetName val="실제_도면출도5"/>
      <sheetName val="공사비_내역_(가)5"/>
      <sheetName val="plan&amp;section_of_foundation5"/>
      <sheetName val="design_criteria5"/>
      <sheetName val="w't_table5"/>
      <sheetName val="BM_DATA_SHEET5"/>
      <sheetName val="Eq__Mobilization5"/>
      <sheetName val="6PILE__(돌출)10"/>
      <sheetName val="_Armaflex_10"/>
      <sheetName val="___Basis-Kalk____10"/>
      <sheetName val="MW-Schale,_alukasch_10"/>
      <sheetName val="UK,_Kleinmaterial10"/>
      <sheetName val="PUR,_FOAMGLAS10"/>
      <sheetName val="General_Data10"/>
      <sheetName val="Payroll_Deduction-Feb_200810"/>
      <sheetName val="플랜트_설치5"/>
      <sheetName val="INPUT_DATA_OF_SCHEDULE10"/>
      <sheetName val="조도계산서_(도서)5"/>
      <sheetName val="해외_연수비용_계산-삭제10"/>
      <sheetName val="해외_기술훈련비_(합계)10"/>
      <sheetName val="Equip_Sch_6"/>
      <sheetName val="SCHED_PROGRESS6"/>
      <sheetName val="bldg_list5"/>
      <sheetName val="MEASURE_LIST5"/>
      <sheetName val="P-Ins_&amp;_Bonds5"/>
      <sheetName val="C_&amp;_G_RHS5"/>
      <sheetName val="WBS_445"/>
      <sheetName val="WBS_415"/>
      <sheetName val="AG_Pipe_Qty_Analysis5"/>
      <sheetName val="Proj_Cost_Sumry5"/>
      <sheetName val="07-Raw_Mill_Grinding5"/>
      <sheetName val="08-Farin_Silo5"/>
      <sheetName val="10-Pre_Heater5"/>
      <sheetName val="11-Rotary_Kiln5"/>
      <sheetName val="12+13_Clinker_Cooler5"/>
      <sheetName val="_15-Clinker_Storage5"/>
      <sheetName val="17+18_Lineer_Storage5"/>
      <sheetName val="20_Cement_Mill_Dept_5"/>
      <sheetName val="22_Cement_Silos_Truck5"/>
      <sheetName val="23_Cement_Silos_Train5"/>
      <sheetName val="24+26_Cement_Packing_Truck5"/>
      <sheetName val="25+27_Cement_Packing_Train5"/>
      <sheetName val="Riesgos_y_Oportunidades4"/>
      <sheetName val="Appendix_A145"/>
      <sheetName val="03년_현장공사비_실적_총괄5"/>
      <sheetName val="03년_현장공사비_실적_상세5"/>
      <sheetName val="03년_현장자재_및_장비비_실적총괄5"/>
      <sheetName val="03년_현장_외주비_자재_및_장비비_실적5"/>
      <sheetName val="97_사업추정(WEKI)5"/>
      <sheetName val="Cashflow_Analysis4"/>
      <sheetName val="Tables_3_1_to_3_5_EXH_G4"/>
      <sheetName val="DB_ET200(R__A)4"/>
      <sheetName val="HO_Staff_Rates_2018-I_scale4"/>
      <sheetName val="Crew_Summary4"/>
      <sheetName val="Master_Field_Staff_List4"/>
      <sheetName val="EQUIPMENT__2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Total_Staff4"/>
      <sheetName val="0__SUMMARY4"/>
      <sheetName val="1__Engineering4"/>
      <sheetName val="2__Check_point4"/>
      <sheetName val="II_Changes_14"/>
      <sheetName val="III_Changes_24"/>
      <sheetName val="Qty_4"/>
      <sheetName val="OQC_Summary4"/>
      <sheetName val="6_Unit_Rates4"/>
      <sheetName val="HOJA_DE_CONTROL_4"/>
      <sheetName val="설산1_나4"/>
      <sheetName val="No_Inspection4"/>
      <sheetName val="HRG_BAHAN_&amp;_UPAH_okk3"/>
      <sheetName val="Analis_Kusen_okk3"/>
      <sheetName val="PTTLNG_-_Staff_Dipatch_plan_133"/>
      <sheetName val="F1_subcontract_prrice_3"/>
      <sheetName val="Form_13"/>
      <sheetName val="F2_Direct3"/>
      <sheetName val="F3_Material3"/>
      <sheetName val="F4_D-Labor3"/>
      <sheetName val="F5_Equipt3"/>
      <sheetName val="F6_T&amp;C3"/>
      <sheetName val="F7_IN-Labor3"/>
      <sheetName val="F8_TF3"/>
      <sheetName val="F9_Exp3"/>
      <sheetName val="F10_Ins3"/>
      <sheetName val="F11_HSE3"/>
      <sheetName val="F12_O&amp;P3"/>
      <sheetName val="F13_Tax3"/>
      <sheetName val="LATAM_Personnel_Cost_Prices3"/>
      <sheetName val="NEW_FREIGHT_DETERMINATION_3"/>
      <sheetName val="1_Heavy_Cost3"/>
      <sheetName val="2_Secondhandling_Cost3"/>
      <sheetName val="laborrates_3"/>
      <sheetName val="equip_rates_as_provided_to_Pem3"/>
      <sheetName val="raw_equipment_rates3"/>
      <sheetName val="Auriga_crane_company_rates3"/>
      <sheetName val="TA_calc_manhours_cheatsheet3"/>
      <sheetName val="OLD_FREIGHT_DETERMINATION3"/>
      <sheetName val="Quote_summary3"/>
      <sheetName val="Cash_flow3"/>
      <sheetName val="EQUIPMENT_-22"/>
      <sheetName val="Pag_52"/>
      <sheetName val="CLASS_OF_GOODS2"/>
      <sheetName val="Rev_0_rebid_-_option12"/>
      <sheetName val="Precios_por_Administración1"/>
      <sheetName val="Precios_Unitarios1"/>
      <sheetName val="Bid_Summary2"/>
      <sheetName val="Memb_Schd3"/>
      <sheetName val="Sch_63"/>
      <sheetName val="7_1유효폭1"/>
      <sheetName val="간접비_총괄표1"/>
      <sheetName val="MH_RATE2"/>
      <sheetName val="PL_PBC1"/>
      <sheetName val="Material_1"/>
      <sheetName val="Labour_&amp;_Plant1"/>
      <sheetName val="HYDROTEST_DIAGRAM2"/>
      <sheetName val="RAB_ALT_(2)2"/>
      <sheetName val="Basic_Price2"/>
      <sheetName val="FWBS_15302"/>
      <sheetName val="Utility_and_Fire_flange2"/>
      <sheetName val="表六_2"/>
      <sheetName val="VC2_10_992"/>
      <sheetName val="Peralatan_(2)2"/>
      <sheetName val="BQ_GEDUNG2"/>
      <sheetName val="alat_(2)2"/>
      <sheetName val="Ahs_22"/>
      <sheetName val="Ahs_12"/>
      <sheetName val="0_INDIRECTS1"/>
      <sheetName val="1__Civil_Works1"/>
      <sheetName val="2__Struct__Steel_SST1"/>
      <sheetName val="3__Fireproofing_SST1"/>
      <sheetName val="4_2__Fireproofing_EQU1"/>
      <sheetName val="4_1__Equipment1"/>
      <sheetName val="4_1__Equipment_(Tag)1"/>
      <sheetName val="BoQ_Equipment1"/>
      <sheetName val="4_3__Insulation_for_Equip1"/>
      <sheetName val="4_4__Structural_Steel_EQU1"/>
      <sheetName val="4_5__Heavy_Lifting1"/>
      <sheetName val="5_1__AG_PIPING1"/>
      <sheetName val="1A_AG_PIPING_PREFABRICATION1"/>
      <sheetName val="5_2_UG_PIPING1"/>
      <sheetName val="5_3a_VALVES1"/>
      <sheetName val="5_3b_INLINE_INST_1"/>
      <sheetName val="5_3c_FLANGE_BOLTED_JOINTS1"/>
      <sheetName val="5_4__SUPPORTS1"/>
      <sheetName val="5_5__WRAPPING1"/>
      <sheetName val="5_6__PAINT1"/>
      <sheetName val="5_7__INSULATION1"/>
      <sheetName val="5_8__NDT1"/>
      <sheetName val="5_9__PWHT1"/>
      <sheetName val="5_10_TIE-INS1"/>
      <sheetName val="6__Pipeline_Works1"/>
      <sheetName val="7_1__Cathodic_Protection_Erec1"/>
      <sheetName val="7_2__CP_Auxiliary_Prices1"/>
      <sheetName val="8_1__Electrical_Erection1"/>
      <sheetName val="8_2__Instruments_Erection1"/>
      <sheetName val="8_3__Telecom_Erection1"/>
      <sheetName val="9_1__HSE_-_Inside_Bldg1"/>
      <sheetName val="9_2__HSE_-_Outside_Bldg1"/>
      <sheetName val="21__MODIFICATION_PRICES1"/>
      <sheetName val="2__CHANGES-11"/>
      <sheetName val="3__CHANGES-21"/>
      <sheetName val="5__CHANGES-41"/>
      <sheetName val="WEIGHT_LIST1"/>
      <sheetName val="산#2-1_(2)1"/>
      <sheetName val="5_Cennik1"/>
      <sheetName val="S__Détail_Matériel"/>
      <sheetName val="COEF_KV"/>
      <sheetName val="an__struktur1"/>
      <sheetName val="Harga_Bahan_&amp;_Upah_1"/>
      <sheetName val="Analisa_Upah_&amp;_Bahan_Plum1"/>
      <sheetName val="Bill_rekap1"/>
      <sheetName val="Bill_of_Qty1"/>
      <sheetName val="Galian_11"/>
      <sheetName val="Piping_Design_Data12"/>
      <sheetName val="할증_12"/>
      <sheetName val="M_1112"/>
      <sheetName val="Chiet_tinh_dz3512"/>
      <sheetName val="Chiet_tinh_dz2212"/>
      <sheetName val="CT_Thang_Mo12"/>
      <sheetName val="CT__PL12"/>
      <sheetName val="EL_표면적12"/>
      <sheetName val="BQ_List12"/>
      <sheetName val="EQUIP_LIST12"/>
      <sheetName val="Process_Piping12"/>
      <sheetName val="MTO_REV_2(ARMOR)12"/>
      <sheetName val="INVOICE_CERT_EIV'S11"/>
      <sheetName val="SUM_FSBLT7"/>
      <sheetName val="FWBS_90007"/>
      <sheetName val="Overall_Project7"/>
      <sheetName val="Overall_Process7"/>
      <sheetName val="Overall_Utility7"/>
      <sheetName val="FWBS_10007"/>
      <sheetName val="FWBS_20007"/>
      <sheetName val="FWBS_30007"/>
      <sheetName val="FWBS_50007"/>
      <sheetName val="FWBS_60007"/>
      <sheetName val="FWBS_70007"/>
      <sheetName val="FWBS_80007"/>
      <sheetName val="FWBS_A0007"/>
      <sheetName val="FWBS_B0007"/>
      <sheetName val="FWBS_Z0007"/>
      <sheetName val="Building_BD6"/>
      <sheetName val="Onerous_Terms6"/>
      <sheetName val="_Sum6"/>
      <sheetName val="33628-Rev__A6"/>
      <sheetName val="실제_도면출도6"/>
      <sheetName val="공사비_내역_(가)6"/>
      <sheetName val="plan&amp;section_of_foundation6"/>
      <sheetName val="design_criteria6"/>
      <sheetName val="w't_table6"/>
      <sheetName val="BM_DATA_SHEET6"/>
      <sheetName val="Eq__Mobilization6"/>
      <sheetName val="Finansal_tamamlanma_Eğrisi11"/>
      <sheetName val="6PILE__(돌출)11"/>
      <sheetName val="_Armaflex_11"/>
      <sheetName val="___Basis-Kalk____11"/>
      <sheetName val="MW-Schale,_alukasch_11"/>
      <sheetName val="UK,_Kleinmaterial11"/>
      <sheetName val="PUR,_FOAMGLAS11"/>
      <sheetName val="General_Data11"/>
      <sheetName val="Payroll_Deduction-Feb_200811"/>
      <sheetName val="플랜트_설치6"/>
      <sheetName val="INPUT_DATA_OF_SCHEDULE11"/>
      <sheetName val="조도계산서_(도서)6"/>
      <sheetName val="해외_연수비용_계산-삭제11"/>
      <sheetName val="해외_기술훈련비_(합계)11"/>
      <sheetName val="Equip_Sch_7"/>
      <sheetName val="SCHED_PROGRESS7"/>
      <sheetName val="C_&amp;_G_RHS6"/>
      <sheetName val="WBS_446"/>
      <sheetName val="WBS_416"/>
      <sheetName val="bldg_list6"/>
      <sheetName val="MEASURE_LIST6"/>
      <sheetName val="AG_Pipe_Qty_Analysis6"/>
      <sheetName val="Proj_Cost_Sumry6"/>
      <sheetName val="07-Raw_Mill_Grinding6"/>
      <sheetName val="08-Farin_Silo6"/>
      <sheetName val="10-Pre_Heater6"/>
      <sheetName val="11-Rotary_Kiln6"/>
      <sheetName val="12+13_Clinker_Cooler6"/>
      <sheetName val="_15-Clinker_Storage6"/>
      <sheetName val="17+18_Lineer_Storage6"/>
      <sheetName val="20_Cement_Mill_Dept_6"/>
      <sheetName val="22_Cement_Silos_Truck6"/>
      <sheetName val="23_Cement_Silos_Train6"/>
      <sheetName val="24+26_Cement_Packing_Truck6"/>
      <sheetName val="25+27_Cement_Packing_Train6"/>
      <sheetName val="Riesgos_y_Oportunidades5"/>
      <sheetName val="Appendix_A146"/>
      <sheetName val="03년_현장공사비_실적_총괄6"/>
      <sheetName val="03년_현장공사비_실적_상세6"/>
      <sheetName val="03년_현장자재_및_장비비_실적총괄6"/>
      <sheetName val="03년_현장_외주비_자재_및_장비비_실적6"/>
      <sheetName val="97_사업추정(WEKI)6"/>
      <sheetName val="Cashflow_Analysis5"/>
      <sheetName val="Tables_3_1_to_3_5_EXH_G5"/>
      <sheetName val="DB_ET200(R__A)5"/>
      <sheetName val="HO_Staff_Rates_2018-I_scale5"/>
      <sheetName val="Crew_Summary5"/>
      <sheetName val="Master_Field_Staff_List5"/>
      <sheetName val="EQUIPMENT__2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Total_Staff5"/>
      <sheetName val="0__SUMMARY5"/>
      <sheetName val="1__Engineering5"/>
      <sheetName val="2__Check_point5"/>
      <sheetName val="II_Changes_15"/>
      <sheetName val="III_Changes_25"/>
      <sheetName val="Qty_5"/>
      <sheetName val="OQC_Summary5"/>
      <sheetName val="6_Unit_Rates5"/>
      <sheetName val="HOJA_DE_CONTROL_5"/>
      <sheetName val="설산1_나5"/>
      <sheetName val="No_Inspection5"/>
      <sheetName val="HRG_BAHAN_&amp;_UPAH_okk4"/>
      <sheetName val="Analis_Kusen_okk4"/>
      <sheetName val="PTTLNG_-_Staff_Dipatch_plan_134"/>
      <sheetName val="F1_subcontract_prrice_4"/>
      <sheetName val="Form_14"/>
      <sheetName val="F2_Direct4"/>
      <sheetName val="F3_Material4"/>
      <sheetName val="F4_D-Labor4"/>
      <sheetName val="F5_Equipt4"/>
      <sheetName val="F6_T&amp;C4"/>
      <sheetName val="F7_IN-Labor4"/>
      <sheetName val="F8_TF4"/>
      <sheetName val="F9_Exp4"/>
      <sheetName val="F10_Ins4"/>
      <sheetName val="F11_HSE4"/>
      <sheetName val="F12_O&amp;P4"/>
      <sheetName val="F13_Tax4"/>
      <sheetName val="LATAM_Personnel_Cost_Prices4"/>
      <sheetName val="NEW_FREIGHT_DETERMINATION_4"/>
      <sheetName val="1_Heavy_Cost4"/>
      <sheetName val="2_Secondhandling_Cost4"/>
      <sheetName val="laborrates_4"/>
      <sheetName val="equip_rates_as_provided_to_Pem4"/>
      <sheetName val="raw_equipment_rates4"/>
      <sheetName val="Auriga_crane_company_rates4"/>
      <sheetName val="TA_calc_manhours_cheatsheet4"/>
      <sheetName val="OLD_FREIGHT_DETERMINATION4"/>
      <sheetName val="Quote_summary4"/>
      <sheetName val="Cash_flow4"/>
      <sheetName val="EQUIPMENT_-23"/>
      <sheetName val="Pag_53"/>
      <sheetName val="CLASS_OF_GOODS3"/>
      <sheetName val="Rev_0_rebid_-_option13"/>
      <sheetName val="Precios_por_Administración2"/>
      <sheetName val="Precios_Unitarios2"/>
      <sheetName val="Bid_Summary3"/>
      <sheetName val="Memb_Schd4"/>
      <sheetName val="Sch_64"/>
      <sheetName val="7_1유효폭2"/>
      <sheetName val="간접비_총괄표2"/>
      <sheetName val="MH_RATE3"/>
      <sheetName val="PL_PBC2"/>
      <sheetName val="Material_2"/>
      <sheetName val="Labour_&amp;_Plant2"/>
      <sheetName val="HYDROTEST_DIAGRAM3"/>
      <sheetName val="RAB_ALT_(2)3"/>
      <sheetName val="Basic_Price3"/>
      <sheetName val="FWBS_15303"/>
      <sheetName val="Utility_and_Fire_flange3"/>
      <sheetName val="表六_3"/>
      <sheetName val="VC2_10_993"/>
      <sheetName val="Peralatan_(2)3"/>
      <sheetName val="BQ_GEDUNG3"/>
      <sheetName val="alat_(2)3"/>
      <sheetName val="Ahs_23"/>
      <sheetName val="Ahs_13"/>
      <sheetName val="0_INDIRECTS2"/>
      <sheetName val="1__Civil_Works2"/>
      <sheetName val="2__Struct__Steel_SST2"/>
      <sheetName val="3__Fireproofing_SST2"/>
      <sheetName val="4_2__Fireproofing_EQU2"/>
      <sheetName val="4_1__Equipment2"/>
      <sheetName val="4_1__Equipment_(Tag)2"/>
      <sheetName val="BoQ_Equipment2"/>
      <sheetName val="4_3__Insulation_for_Equip2"/>
      <sheetName val="4_4__Structural_Steel_EQU2"/>
      <sheetName val="4_5__Heavy_Lifting2"/>
      <sheetName val="5_1__AG_PIPING2"/>
      <sheetName val="1A_AG_PIPING_PREFABRICATION2"/>
      <sheetName val="5_2_UG_PIPING2"/>
      <sheetName val="5_3a_VALVES2"/>
      <sheetName val="5_3b_INLINE_INST_2"/>
      <sheetName val="5_3c_FLANGE_BOLTED_JOINTS2"/>
      <sheetName val="5_4__SUPPORTS2"/>
      <sheetName val="5_5__WRAPPING2"/>
      <sheetName val="5_6__PAINT2"/>
      <sheetName val="5_7__INSULATION2"/>
      <sheetName val="5_8__NDT2"/>
      <sheetName val="5_9__PWHT2"/>
      <sheetName val="5_10_TIE-INS2"/>
      <sheetName val="6__Pipeline_Works2"/>
      <sheetName val="7_1__Cathodic_Protection_Erec2"/>
      <sheetName val="7_2__CP_Auxiliary_Prices2"/>
      <sheetName val="8_1__Electrical_Erection2"/>
      <sheetName val="8_2__Instruments_Erection2"/>
      <sheetName val="8_3__Telecom_Erection2"/>
      <sheetName val="9_1__HSE_-_Inside_Bldg2"/>
      <sheetName val="9_2__HSE_-_Outside_Bldg2"/>
      <sheetName val="21__MODIFICATION_PRICES2"/>
      <sheetName val="2__CHANGES-12"/>
      <sheetName val="3__CHANGES-22"/>
      <sheetName val="5__CHANGES-42"/>
      <sheetName val="WEIGHT_LIST2"/>
      <sheetName val="산#2-1_(2)2"/>
      <sheetName val="5_Cennik2"/>
      <sheetName val="1)_COMMON_FACILITIES1"/>
      <sheetName val="Summary_Sheets1"/>
      <sheetName val="S__Détail_Matériel1"/>
      <sheetName val="COEF_KV1"/>
      <sheetName val="an__struktur2"/>
      <sheetName val="Harga_Bahan_&amp;_Upah_2"/>
      <sheetName val="Analisa_Upah_&amp;_Bahan_Plum2"/>
      <sheetName val="Bill_rekap2"/>
      <sheetName val="Bill_of_Qty2"/>
      <sheetName val="Galian_12"/>
      <sheetName val="PT_DPT_Manifold (TR)"/>
      <sheetName val="PT_DPT_Seal (TR)"/>
      <sheetName val="Item Details"/>
      <sheetName val="각입중량산출서"/>
      <sheetName val="Buildg-200"/>
      <sheetName val="Pengalaman_Per"/>
      <sheetName val="分析"/>
      <sheetName val="海盐加工装置"/>
      <sheetName val="内外控制表"/>
      <sheetName val="Statement"/>
      <sheetName val="CTRs (HOURS) "/>
      <sheetName val="价差测算"/>
      <sheetName val="参数表"/>
      <sheetName val="Paint_Mat_Summ1"/>
      <sheetName val="Hot_1"/>
      <sheetName val="schedule_nos"/>
      <sheetName val="MTO-5"/>
      <sheetName val="입찰안"/>
      <sheetName val="계약"/>
      <sheetName val="BGC_Cashcalls.MID"/>
      <sheetName val="cost curve calc"/>
      <sheetName val="Tbl 1y 4"/>
      <sheetName val="tifico"/>
      <sheetName val="表四"/>
      <sheetName val="gd_02"/>
      <sheetName val="电气b2"/>
      <sheetName val="机务b2"/>
      <sheetName val="土建b2"/>
      <sheetName val="Hardware"/>
      <sheetName val="ADI Edison Termoelettrica"/>
      <sheetName val="B1"/>
      <sheetName val="configuration"/>
      <sheetName val="Service List"/>
      <sheetName val="pile Fabrication"/>
      <sheetName val="Arc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refreshError="1"/>
      <sheetData sheetId="1119" refreshError="1"/>
      <sheetData sheetId="1120" refreshError="1"/>
      <sheetData sheetId="1121" refreshError="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refreshError="1"/>
      <sheetData sheetId="1159" refreshError="1"/>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refreshError="1"/>
      <sheetData sheetId="1935" refreshError="1"/>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sheetData sheetId="1946"/>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 val="정부노임단가"/>
      <sheetName val="INSTR"/>
      <sheetName val="환율표"/>
      <sheetName val="Cover"/>
      <sheetName val="수입"/>
      <sheetName val="data_dci"/>
      <sheetName val="data_mci"/>
      <sheetName val="behind"/>
      <sheetName val="Main"/>
      <sheetName val="BB2현대건설견적"/>
      <sheetName val="Resource"/>
      <sheetName val="h-013211-2"/>
      <sheetName val="A"/>
      <sheetName val="ELEC_DCI"/>
      <sheetName val="INST_DCI"/>
      <sheetName val="일위대가"/>
      <sheetName val="일위대가표"/>
      <sheetName val="7.6.3(B) UG Piping"/>
      <sheetName val="Elect (3)"/>
      <sheetName val="crude.SLAB RE-bar"/>
      <sheetName val="CRUDE RE-bar"/>
      <sheetName val="공사내역"/>
      <sheetName val="SUMMARY (0)"/>
    </sheetNames>
    <sheetDataSet>
      <sheetData sheetId="0"/>
      <sheetData sheetId="1"/>
      <sheetData sheetId="2">
        <row r="5">
          <cell r="C5" t="str">
            <v>Isolated type</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총괄표"/>
      <sheetName val="h-013211-2"/>
    </sheetNames>
    <sheetDataSet>
      <sheetData sheetId="0"/>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97 사업추정_WEKI_"/>
      <sheetName val="9-1차이내역"/>
      <sheetName val="PumpSpec"/>
      <sheetName val="수량집계"/>
      <sheetName val="총괄집계표"/>
      <sheetName val="상반기손익차2총괄"/>
      <sheetName val="97SAUPCU"/>
      <sheetName val="Expat Conditions"/>
      <sheetName val="RCF CLAIMED"/>
      <sheetName val="투찰가"/>
      <sheetName val="eq_data"/>
      <sheetName val="단면가정"/>
      <sheetName val="수입"/>
      <sheetName val="손익차9월2"/>
      <sheetName val="시행예산"/>
      <sheetName val="95삼성급(본사)"/>
      <sheetName val="Total"/>
      <sheetName val="fitting"/>
      <sheetName val="VENDOR LIST"/>
      <sheetName val="공통비"/>
      <sheetName val="ITB COST"/>
      <sheetName val="영업소실적"/>
      <sheetName val="TTL"/>
      <sheetName val="터널조도"/>
      <sheetName val="환율"/>
      <sheetName val="PRO_A"/>
      <sheetName val="ELEC_MCI"/>
      <sheetName val="MAIN"/>
      <sheetName val="INST_MCI"/>
      <sheetName val="MECH_MCI"/>
      <sheetName val="PRO"/>
      <sheetName val="정부노임단가"/>
      <sheetName val="PBS"/>
      <sheetName val="SILICATE"/>
      <sheetName val="h-013211-2"/>
      <sheetName val="main-sht"/>
      <sheetName val="요약배부"/>
      <sheetName val="주관사업"/>
      <sheetName val="Option"/>
      <sheetName val="Graph (LGEN)"/>
      <sheetName val="out_prog"/>
      <sheetName val="선적schedule (2)"/>
      <sheetName val="단가비교(TOTAL)"/>
      <sheetName val="Summary Sheets"/>
      <sheetName val="AP1"/>
      <sheetName val="Sheet1"/>
      <sheetName val="VA_code"/>
      <sheetName val="인원계획"/>
      <sheetName val="Regenerator  Concrete Structure"/>
      <sheetName val="97 »ç¾÷ÃßÁ¤(WEKI)"/>
      <sheetName val="Sheet5"/>
      <sheetName val="사업부배부A"/>
      <sheetName val="unit 4"/>
      <sheetName val="J直材4"/>
      <sheetName val="N賃率-職"/>
      <sheetName val="소화실적"/>
      <sheetName val="청산공사"/>
      <sheetName val="Sheet2"/>
      <sheetName val="#REF"/>
      <sheetName val="EACT10"/>
      <sheetName val="일위대가"/>
      <sheetName val="직노"/>
      <sheetName val="Sheet4"/>
      <sheetName val="현금"/>
      <sheetName val="97 ????(WEKI)"/>
      <sheetName val="간접비 총괄표"/>
      <sheetName val="공사비 내역 (가)"/>
      <sheetName val="무전표"/>
      <sheetName val="Steam-Sys"/>
      <sheetName val="Rekap A"/>
      <sheetName val="대비내역"/>
      <sheetName val="보온자재단가표"/>
      <sheetName val="Instruction"/>
      <sheetName val="CAL."/>
      <sheetName val="회사99"/>
      <sheetName val="VL"/>
      <sheetName val="lookup"/>
      <sheetName val="DATE"/>
      <sheetName val="Macro"/>
      <sheetName val="Taux"/>
      <sheetName val="6,000"/>
      <sheetName val="DOC"/>
      <sheetName val="BM DATA SHEET"/>
      <sheetName val="CAMP OPERATING COST"/>
      <sheetName val="PERSONNEL SETUP"/>
      <sheetName val="LIST OF OFFICE EQUIPMENT"/>
      <sheetName val="STAFF&amp;INDIRECT SALARY - SUMMARY"/>
      <sheetName val="KOREAN STAFF SALARY_BREAKDOWN"/>
      <sheetName val="BREAKDOWN"/>
      <sheetName val="WELFARE COST - SITE"/>
      <sheetName val="General Data"/>
      <sheetName val="FORCE"/>
      <sheetName val="6호기"/>
      <sheetName val="단가비교표"/>
      <sheetName val="간접비내역-1"/>
      <sheetName val="차량운영비"/>
      <sheetName val="E_Rate PM"/>
      <sheetName val="세부내역"/>
      <sheetName val="guard(mac)"/>
      <sheetName val="B"/>
      <sheetName val="COA-17"/>
      <sheetName val="C-18"/>
      <sheetName val="집계표"/>
      <sheetName val="개시대사 (2)"/>
      <sheetName val="MEXICO-C"/>
      <sheetName val="견적기준"/>
      <sheetName val="inter"/>
      <sheetName val="1-11조직표"/>
      <sheetName val="전기"/>
      <sheetName val="Info"/>
      <sheetName val="97_사업추정(WEKI)"/>
      <sheetName val="97_사업추정_WEKI_"/>
      <sheetName val="RCF_CLAIMED"/>
      <sheetName val="PRO_DCI"/>
      <sheetName val="INST_DCI"/>
      <sheetName val="HVAC_DCI"/>
      <sheetName val="PIPE_DCI"/>
      <sheetName val="설계내"/>
      <sheetName val="TABLE 2-3"/>
      <sheetName val="CB"/>
      <sheetName val="EQUIP"/>
      <sheetName val="뜃맟뭁돽띿맟?-BLDG"/>
      <sheetName val="인원현황"/>
      <sheetName val="Tipo Terzi"/>
      <sheetName val="실행내역"/>
      <sheetName val="97 ____(WEKI)"/>
      <sheetName val="기둥(원형)"/>
      <sheetName val="Library"/>
      <sheetName val="D2old"/>
      <sheetName val="R2_0908"/>
      <sheetName val="ELEC_DCI"/>
      <sheetName val="가도공"/>
      <sheetName val="ELECTRICAL"/>
      <sheetName val="DATA"/>
      <sheetName val="CAT_5"/>
      <sheetName val="DATA1"/>
      <sheetName val="노임"/>
      <sheetName val="Cal"/>
      <sheetName val="Data_ST"/>
      <sheetName val="총괄표양식"/>
      <sheetName val="유림골조"/>
      <sheetName val="경영혁신본부"/>
      <sheetName val="잡비"/>
      <sheetName val="총체보활공정표"/>
      <sheetName val="기간등록"/>
      <sheetName val="개시전표"/>
      <sheetName val="공사집계"/>
      <sheetName val="차수"/>
      <sheetName val="공통부대비"/>
      <sheetName val="pier(각형)"/>
      <sheetName val="교각1"/>
      <sheetName val="구조물공"/>
      <sheetName val="배수공"/>
      <sheetName val="부대공"/>
      <sheetName val="토공"/>
      <sheetName val="포장공"/>
      <sheetName val="내역"/>
      <sheetName val="재집"/>
      <sheetName val="M-EQPT-Z"/>
      <sheetName val="비교1"/>
      <sheetName val="공통"/>
      <sheetName val="Baby일위대가"/>
      <sheetName val="Sheet2 (2)"/>
      <sheetName val="연결임시"/>
      <sheetName val="구의33고"/>
      <sheetName val="기계공사"/>
      <sheetName val="Dbase"/>
      <sheetName val="가설건물"/>
      <sheetName val="을지"/>
      <sheetName val="기초단가"/>
      <sheetName val="내역서"/>
      <sheetName val="가로등내역서"/>
      <sheetName val="일반공사"/>
      <sheetName val="저"/>
      <sheetName val="토공검토G"/>
      <sheetName val="C급보 "/>
      <sheetName val="Eq. Mobilization"/>
      <sheetName val="Raw Data"/>
      <sheetName val="97SAUPCU.XLS"/>
      <sheetName val="Long Son"/>
      <sheetName val="costing_FE"/>
      <sheetName val="세금자료"/>
      <sheetName val="간접비총괄"/>
      <sheetName val="Unit 49_분개표"/>
      <sheetName val="Unit 76_분개표"/>
      <sheetName val="UnitList"/>
      <sheetName val="ANALYSER"/>
      <sheetName val="S0"/>
      <sheetName val="15100"/>
      <sheetName val="일위대가(가설)"/>
      <sheetName val="공통비총괄표"/>
      <sheetName val="매각(6)"/>
      <sheetName val="공정표 "/>
      <sheetName val="배수내역"/>
      <sheetName val="1단계"/>
      <sheetName val="계수시트"/>
      <sheetName val="부속동"/>
      <sheetName val="P.M 별"/>
      <sheetName val="TUAS"/>
      <sheetName val="1월"/>
      <sheetName val="정산표實"/>
      <sheetName val="sum"/>
      <sheetName val="L형 옹벽"/>
      <sheetName val="3)교육종류"/>
      <sheetName val="Macro3"/>
      <sheetName val="자재목록"/>
      <sheetName val="sort"/>
      <sheetName val="평형공사비"/>
      <sheetName val="터파기및재료"/>
      <sheetName val="사급자재"/>
      <sheetName val="경상"/>
      <sheetName val="96.12"/>
      <sheetName val="APT"/>
      <sheetName val="토공(우물통,기타) "/>
      <sheetName val="철거산출근거"/>
      <sheetName val="기계경비(시간당)"/>
      <sheetName val="램머"/>
      <sheetName val="공사비_NDE"/>
      <sheetName val="공사금액 내역 (1)"/>
      <sheetName val="단가조사"/>
      <sheetName val="노임단가"/>
      <sheetName val="ABUT수량-A1"/>
      <sheetName val="RFP007"/>
      <sheetName val="INPUT DATA"/>
      <sheetName val="CIVIL WORK"/>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공통가설"/>
      <sheetName val="토목공사"/>
      <sheetName val="마산월령동골조물량변경"/>
      <sheetName val="건축원가"/>
      <sheetName val="물건조서"/>
      <sheetName val="안산기계장치"/>
      <sheetName val="리스(CIF)산출"/>
      <sheetName val="콤보박스와 리스트박스의 연결"/>
      <sheetName val="용산1(해보)"/>
      <sheetName val="개별요인비교번호"/>
      <sheetName val="일반자료"/>
      <sheetName val="기본자료"/>
      <sheetName val="PriceBreakdown"/>
      <sheetName val="2"/>
      <sheetName val="요약"/>
      <sheetName val="간접비"/>
      <sheetName val="뜃맟뭁돽띿맟_-BLDG"/>
      <sheetName val="PROJECT"/>
      <sheetName val="총괄표"/>
      <sheetName val="Y-WORK"/>
      <sheetName val="DWG"/>
      <sheetName val="Invoice Backup"/>
      <sheetName val="LABTOTAL"/>
      <sheetName val="3.Standard Drawing"/>
      <sheetName val="노무비"/>
      <sheetName val="205동"/>
      <sheetName val="지사"/>
      <sheetName val="COMPRESSOR"/>
      <sheetName val="배수공 주요자재 집계표"/>
      <sheetName val="WIND-EQ"/>
      <sheetName val="HORI. VESSEL"/>
      <sheetName val="D-3503"/>
      <sheetName val="plan&amp;section of foundation"/>
      <sheetName val="working load at the btm ft."/>
      <sheetName val="stability check"/>
      <sheetName val="design criteria"/>
      <sheetName val="2.설계제원"/>
      <sheetName val="calcul"/>
      <sheetName val="input"/>
      <sheetName val="5"/>
      <sheetName val="BCPAB"/>
      <sheetName val="공정회의자료(월요일 10시까지)"/>
      <sheetName val="cover"/>
      <sheetName val="정산표"/>
      <sheetName val="년말집계"/>
      <sheetName val="관급"/>
      <sheetName val="화재 탐지 설비"/>
      <sheetName val="내역서(당초변경)"/>
      <sheetName val="M+1"/>
      <sheetName val="변수데이타"/>
      <sheetName val="PLAN_FEB97"/>
      <sheetName val="직원동원SCH"/>
      <sheetName val="실행철강하도"/>
      <sheetName val="평균환율-USD"/>
      <sheetName val="Personnel Assignment Schedule"/>
      <sheetName val="적용 환율"/>
      <sheetName val="Spread_sht"/>
      <sheetName val="SHEET 19"/>
      <sheetName val="PAGE 2"/>
      <sheetName val="I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fdn_bm_pro"/>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예산서"/>
      <sheetName val="수입"/>
      <sheetName val="P3"/>
      <sheetName val="Sheet1"/>
      <sheetName val="전기일위대가"/>
      <sheetName val="BLR 1"/>
      <sheetName val="GEN"/>
      <sheetName val="GAS"/>
      <sheetName val="DEAE"/>
      <sheetName val="BLR2"/>
      <sheetName val="BLR3"/>
      <sheetName val="BLR4"/>
      <sheetName val="BLR5"/>
      <sheetName val="DEM"/>
      <sheetName val="SAM"/>
      <sheetName val="CHEM"/>
      <sheetName val="COP"/>
      <sheetName val="TOEC"/>
      <sheetName val="갑지(추정)"/>
      <sheetName val="CAT_5"/>
      <sheetName val="CONS. EQUIP.  "/>
      <sheetName val="투입실적"/>
      <sheetName val="A"/>
      <sheetName val="일위대가"/>
      <sheetName val="T1"/>
      <sheetName val="기별수량산출서"/>
      <sheetName val="출력X"/>
      <sheetName val="가시설공"/>
      <sheetName val="VA_code"/>
      <sheetName val="REINF."/>
      <sheetName val="SKETCH"/>
      <sheetName val="LOADS"/>
      <sheetName val="CHECK1"/>
      <sheetName val="ELEC_DCI"/>
      <sheetName val="INST_DCI"/>
      <sheetName val="PRO_A"/>
      <sheetName val="DWG"/>
      <sheetName val="ELEC_MCI"/>
      <sheetName val="MAIN"/>
      <sheetName val="INST_MCI"/>
      <sheetName val="MECH_MCI"/>
      <sheetName val="PRO"/>
      <sheetName val="환율표"/>
      <sheetName val="ITB COST"/>
      <sheetName val="SPEC"/>
      <sheetName val="ACTDATA"/>
      <sheetName val="PIP"/>
      <sheetName val="건축"/>
      <sheetName val="97 사업추정(WEKI)"/>
      <sheetName val="인건비"/>
      <sheetName val="보온 회사분"/>
      <sheetName val="토공"/>
      <sheetName val="TL,Termination"/>
      <sheetName val="Cable,Conduit"/>
      <sheetName val="WORK"/>
      <sheetName val="h-013211-2"/>
      <sheetName val="소비자가"/>
      <sheetName val="FACTOR"/>
      <sheetName val="90EL JACKET"/>
      <sheetName val="BAND(200)"/>
      <sheetName val="보온재"/>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예산"/>
      <sheetName val="Cost control"/>
      <sheetName val="#REF"/>
      <sheetName val="부표총괄"/>
      <sheetName val="을"/>
      <sheetName val="Elect"/>
      <sheetName val="FIRE FIGHTING"/>
      <sheetName val="내역"/>
      <sheetName val="내역서"/>
      <sheetName val="Macro(전선)"/>
      <sheetName val="배관"/>
      <sheetName val="9-1차이내역"/>
      <sheetName val="Tipo Terzi"/>
      <sheetName val="plan&amp;section of foundation"/>
      <sheetName val="design criteria"/>
      <sheetName val="주관사업"/>
      <sheetName val="요약배부"/>
      <sheetName val="DESCRIPTION"/>
      <sheetName val="BM DATA SHEET"/>
      <sheetName val="Y-WORK"/>
      <sheetName val="DATA"/>
      <sheetName val="PBS"/>
      <sheetName val="costing_CV"/>
      <sheetName val="costing_ESDV"/>
      <sheetName val="costing_FE"/>
      <sheetName val="costing_Misc"/>
      <sheetName val="costing_MOV"/>
      <sheetName val="costing_Press"/>
      <sheetName val="PRC-SUM"/>
      <sheetName val="Dati"/>
      <sheetName val="DN"/>
      <sheetName val="Fluidi"/>
      <sheetName val="Temperatura"/>
      <sheetName val="Mat Stelo"/>
      <sheetName val="CIVIL"/>
      <sheetName val="N+"/>
      <sheetName val="DWTables"/>
      <sheetName val="도"/>
      <sheetName val="CHK_OUT_BM_090914"/>
      <sheetName val="Unit SUM"/>
      <sheetName val="BB2현대건설견적"/>
      <sheetName val="SHL"/>
      <sheetName val="1.설계기준"/>
      <sheetName val="working load at the btm ft."/>
      <sheetName val="stability check"/>
      <sheetName val="환율"/>
      <sheetName val="DATA1"/>
      <sheetName val="HRS"/>
      <sheetName val="BREAKDOWN"/>
      <sheetName val="Resource"/>
      <sheetName val="R2_0908"/>
      <sheetName val="BAP"/>
      <sheetName val="OUTER AREA(겹침없음)"/>
      <sheetName val="JACKET(50,50)"/>
      <sheetName val="FLANGE"/>
      <sheetName val="조경"/>
      <sheetName val="AILC004"/>
      <sheetName val="Schedule(1)"/>
      <sheetName val="95삼성급(본사)"/>
      <sheetName val="IT-BAT"/>
      <sheetName val="Total"/>
      <sheetName val="dnc4"/>
      <sheetName val="Page2"/>
      <sheetName val="bill 2"/>
      <sheetName val="Sheet2"/>
      <sheetName val="Material Specification"/>
      <sheetName val="special item 양진규 작성"/>
      <sheetName val="MOTOR"/>
      <sheetName val="CODE"/>
      <sheetName val="방유제용량 계산서"/>
      <sheetName val="SILICATE"/>
      <sheetName val="Sch.6"/>
      <sheetName val="Tables"/>
      <sheetName val="Break Dw"/>
      <sheetName val="TblPriceDB"/>
      <sheetName val="sum"/>
      <sheetName val="정부노임단가"/>
      <sheetName val="인원계획"/>
      <sheetName val="CAPVC"/>
      <sheetName val="Condition"/>
      <sheetName val="표지 (2)"/>
      <sheetName val="UNSTEADY"/>
      <sheetName val="CAL"/>
      <sheetName val="제품현황"/>
      <sheetName val="pile bearing capa &amp; arrenge"/>
      <sheetName val="design load"/>
      <sheetName val="oper_load"/>
      <sheetName val="evap"/>
      <sheetName val="Fab. Skid"/>
      <sheetName val="lookup"/>
      <sheetName val="세금자료"/>
      <sheetName val="경제지표"/>
      <sheetName val="대비내역"/>
      <sheetName val="자료"/>
      <sheetName val="CAMP OPERATING COST"/>
      <sheetName val="PERSONNEL SETUP"/>
      <sheetName val="LIST OF OFFICE EQUIPMENT"/>
      <sheetName val="STAFF&amp;INDIRECT SALARY - SUMMARY"/>
      <sheetName val="KOREAN STAFF SALARY_BREAKDOWN"/>
      <sheetName val="WELFARE COST - SITE"/>
      <sheetName val="combi(wall)"/>
      <sheetName val="仪表分析表"/>
      <sheetName val="개시대사 (2)"/>
      <sheetName val="집계표"/>
      <sheetName val="data_dci"/>
      <sheetName val="data_mci"/>
      <sheetName val="behind"/>
      <sheetName val="입고장부 (4)"/>
      <sheetName val="공통비"/>
      <sheetName val="FEUILLE INTERNE"/>
      <sheetName val="단가정보"/>
      <sheetName val="INPUT DATA"/>
      <sheetName val="CSTSUM"/>
      <sheetName val="Sheet5"/>
      <sheetName val="ITB_COST"/>
      <sheetName val="Mat_Stelo"/>
      <sheetName val="Unit_SUM"/>
      <sheetName val="sheeet2"/>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BLR_11"/>
      <sheetName val="97_사업추정(WEKI)"/>
      <sheetName val="Cost_control"/>
      <sheetName val="90EL_JACKET"/>
      <sheetName val="보온_회사분"/>
      <sheetName val="FIRE_FIGHTING"/>
      <sheetName val="Tipo_Terzi"/>
      <sheetName val="plan&amp;section_of_foundation"/>
      <sheetName val="design_criteria"/>
      <sheetName val="BM_DATA_SHEET"/>
      <sheetName val="A-4"/>
      <sheetName val="변수적용"/>
      <sheetName val="평3"/>
      <sheetName val="IBL-C"/>
      <sheetName val="e4-6-%"/>
      <sheetName val="설계조건"/>
      <sheetName val="조명시설"/>
      <sheetName val="심사계산"/>
      <sheetName val="심사물량"/>
      <sheetName val="역T형"/>
      <sheetName val="인원현황"/>
      <sheetName val="BLDG_MCI"/>
      <sheetName val="건축내역"/>
      <sheetName val="eq_data _x0000__x0000__x0000__x0000_"/>
      <sheetName val="COMPARISON TABLE"/>
      <sheetName val="L V Separator"/>
      <sheetName val="CAMP - CONSTRUCTION"/>
      <sheetName val="EG-09"/>
      <sheetName val="총괄표양식"/>
      <sheetName val="차량운영비"/>
      <sheetName val="세부내역"/>
      <sheetName val="E_Rate PM"/>
      <sheetName val="Schedule 2 and 3"/>
      <sheetName val="갑지"/>
      <sheetName val="견적의뢰"/>
      <sheetName val="input"/>
      <sheetName val="CAL."/>
      <sheetName val="BOQ건축"/>
      <sheetName val="LD-OVERALL"/>
      <sheetName val="BOQ"/>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NDOCBT"/>
      <sheetName val="Summary"/>
      <sheetName val="Definitions"/>
      <sheetName val="LABTOTAL"/>
      <sheetName val="Contents"/>
      <sheetName val="Summary Sheets"/>
      <sheetName val="Sheet6"/>
      <sheetName val="Design"/>
      <sheetName val="RFP002"/>
      <sheetName val="BSD (2)"/>
      <sheetName val="KLHT"/>
      <sheetName val="General"/>
      <sheetName val="Menus"/>
      <sheetName val="단가"/>
      <sheetName val="TRAY BM"/>
      <sheetName val="Set"/>
      <sheetName val="기둥(원형)"/>
      <sheetName val="기계공사비집계(원안)"/>
      <sheetName val="10현장조직"/>
      <sheetName val="예산M11A"/>
      <sheetName val="Graph (LGEN)"/>
      <sheetName val="out_prog"/>
      <sheetName val="선적schedule (2)"/>
      <sheetName val="원본"/>
      <sheetName val="Cover sheet"/>
      <sheetName val="실행내역"/>
      <sheetName val="가도공"/>
      <sheetName val="공사"/>
      <sheetName val="MyLists"/>
      <sheetName val="산근"/>
      <sheetName val="대치판정"/>
      <sheetName val="품셈1-17"/>
      <sheetName val="11.자재단가"/>
      <sheetName val="Imp-Data"/>
      <sheetName val="PROJECT"/>
      <sheetName val="1 OF 9"/>
      <sheetName val="EE-PROP"/>
      <sheetName val="을지"/>
      <sheetName val="#3E1_GCR"/>
      <sheetName val="Sheet3"/>
      <sheetName val="영업2"/>
      <sheetName val="영업3"/>
      <sheetName val="Code_Magics"/>
      <sheetName val="Titel"/>
      <sheetName val="1_설계기준"/>
      <sheetName val="bill_2"/>
      <sheetName val="NAMES"/>
      <sheetName val="NPC500"/>
      <sheetName val="표지"/>
      <sheetName val="데이타"/>
      <sheetName val="11"/>
      <sheetName val="Sheet10"/>
      <sheetName val="품셈 "/>
      <sheetName val="PAINT"/>
      <sheetName val="방화도료"/>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NC"/>
      <sheetName val="Resource summary"/>
      <sheetName val="작성기준"/>
      <sheetName val="TB-내역서"/>
      <sheetName val="SG"/>
      <sheetName val="Data_Vert"/>
      <sheetName val="Rebar"/>
      <sheetName val="Data_ST"/>
      <sheetName val="Load"/>
      <sheetName val="건축집계"/>
      <sheetName val="Diainch"/>
      <sheetName val="Source"/>
      <sheetName val="Preface"/>
      <sheetName val="급여일반"/>
      <sheetName val="Lists"/>
      <sheetName val="B"/>
      <sheetName val="new급여T(4을-운전)"/>
      <sheetName val="INSTR"/>
      <sheetName val="공사비_NDE"/>
      <sheetName val="OUT"/>
      <sheetName val="영업소실적"/>
      <sheetName val="직원동원계획"/>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현황CODE"/>
      <sheetName val="손익현황"/>
      <sheetName val="BOM_DWG"/>
      <sheetName val="회사99"/>
      <sheetName val="laroux"/>
      <sheetName val="7.5.2 BOQ Summary "/>
      <sheetName val="Perfiles"/>
      <sheetName val="PumpSpec"/>
      <sheetName val="Rekap A"/>
      <sheetName val="RFP009"/>
      <sheetName val="RFP007"/>
      <sheetName val="NP"/>
      <sheetName val="견적기준"/>
      <sheetName val="OD5000"/>
      <sheetName val="upah"/>
      <sheetName val="bahan"/>
      <sheetName val="measure"/>
      <sheetName val="paint mat"/>
      <sheetName val="工완성공사율"/>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w't table"/>
      <sheetName val="Tiburon"/>
      <sheetName val="차액보증"/>
      <sheetName val="말뚝지지력산정"/>
      <sheetName val="단중표"/>
      <sheetName val="choose"/>
      <sheetName val="당초"/>
      <sheetName val="eq_data _x005f_x0000__x005f_x0000__x005f_x0000__x"/>
      <sheetName val="cashflow"/>
      <sheetName val="Quotation"/>
      <sheetName val="Info"/>
      <sheetName val="SORTING"/>
      <sheetName val="배관물량 (STEEL)"/>
      <sheetName val="Sheet 1"/>
      <sheetName val="Offertemodel"/>
      <sheetName val="3.0 Overall Progress S-curve"/>
      <sheetName val="3-4 SPI"/>
      <sheetName val="VV-REV2"/>
      <sheetName val="-15.0"/>
      <sheetName val="부재치수입력"/>
      <sheetName val="BLDG_DCI"/>
      <sheetName val="BREAKDOWN(철거설치)"/>
      <sheetName val="맨홀수량산출"/>
      <sheetName val="단가비교"/>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BQLIST"/>
      <sheetName val="Struct-Grass root"/>
      <sheetName val="연돌일위집계"/>
      <sheetName val="품셈"/>
      <sheetName val="Break Down"/>
      <sheetName val="BQ"/>
      <sheetName val="22-Plant"/>
      <sheetName val="Supervision List"/>
      <sheetName val="Equip_Pipe_Insulation"/>
      <sheetName val="BQ_Piping"/>
      <sheetName val="PROCURE"/>
      <sheetName val="labor"/>
      <sheetName val="입력값"/>
      <sheetName val="제출계산서"/>
      <sheetName val="품셈1-26"/>
      <sheetName val="PAGE 2"/>
      <sheetName val="LEGEND"/>
      <sheetName val="KP1590_E"/>
      <sheetName val="Page 10"/>
      <sheetName val="한계원가"/>
      <sheetName val="미입고자재목록_설계1과"/>
      <sheetName val="SPEC-DT2"/>
      <sheetName val="북제주-표지"/>
      <sheetName val="_x0000_è"/>
      <sheetName val="자재군별"/>
      <sheetName val="재료내역"/>
      <sheetName val="간접비 총괄표"/>
      <sheetName val="Macro"/>
      <sheetName val="Taux"/>
      <sheetName val="Eng.hour_DB"/>
      <sheetName val="POWER"/>
      <sheetName val="SBR_CR"/>
      <sheetName val="CRUDE RE-bar"/>
      <sheetName val="database-emp"/>
      <sheetName val="평균환율-USD"/>
      <sheetName val="DUTCH CONE"/>
      <sheetName val="harga"/>
      <sheetName val="koef"/>
      <sheetName val="Resume"/>
      <sheetName val="C급보 "/>
      <sheetName val="EXCHANGE_RATE"/>
      <sheetName val="Scaffold"/>
      <sheetName val="Access"/>
      <sheetName val="PAGE 3_GENERAL DETAILS"/>
      <sheetName val="Proposal"/>
      <sheetName val="적용 환율"/>
      <sheetName val="Assumptions"/>
      <sheetName val="TDC_ADMIN"/>
      <sheetName val="Requisitions"/>
      <sheetName val="ICDS"/>
      <sheetName val="Rectangular Beam"/>
      <sheetName val="현금"/>
      <sheetName val="CARBOLINE분석"/>
      <sheetName val="요율"/>
      <sheetName val="자재대"/>
      <sheetName val="eq_data _x0000__x0000__x0000__x"/>
      <sheetName val=""/>
      <sheetName val="나이대조표"/>
      <sheetName val="KP_List"/>
      <sheetName val="TIE-INS"/>
      <sheetName val="DDC"/>
      <sheetName val="COST UP"/>
      <sheetName val="PUMP SHT"/>
      <sheetName val="FLD"/>
      <sheetName val="norms"/>
      <sheetName val="HVAC"/>
      <sheetName val="공사내역"/>
      <sheetName val="八幡"/>
      <sheetName val="GM 000"/>
      <sheetName val="PRECAST lightconc-II"/>
      <sheetName val="csdim"/>
      <sheetName val="cdsload"/>
      <sheetName val="chsload"/>
      <sheetName val="CLAMP"/>
      <sheetName val="cvsload"/>
      <sheetName val="Cash2"/>
      <sheetName val="Z"/>
      <sheetName val="환산표"/>
      <sheetName val="Elect (3)"/>
      <sheetName val="El(Increased)"/>
      <sheetName val="Rev No"/>
      <sheetName val="COVER-P"/>
      <sheetName val="FC-01"/>
      <sheetName val="FC-06"/>
      <sheetName val="MC-01"/>
      <sheetName val="Sal"/>
      <sheetName val="수량산출"/>
      <sheetName val="REG-BASIS"/>
      <sheetName val="TENDER PROG."/>
      <sheetName val="PROC.PROG"/>
      <sheetName val="2.Calculation_1"/>
      <sheetName val="IBC(2006)DATA"/>
      <sheetName val="Datasheet GLL double weir (1)"/>
      <sheetName val="단면가정"/>
      <sheetName val="ITEM"/>
      <sheetName val="물량집계(전기)"/>
      <sheetName val="물량집계(계장)"/>
      <sheetName val="bdown"/>
      <sheetName val="33628-Rev. A"/>
      <sheetName val="TYPE-B 평균H"/>
      <sheetName val="SALA-002"/>
      <sheetName val="eq_data _x005f_x0000__x00"/>
      <sheetName val="DIAPHRAGM"/>
      <sheetName val="TG9504"/>
      <sheetName val="Block D"/>
      <sheetName val="PRICE-COMP"/>
      <sheetName val="Notes"/>
      <sheetName val="engg"/>
      <sheetName val="공수"/>
      <sheetName val="Table"/>
      <sheetName val=" "/>
      <sheetName val="간접비내역-1"/>
      <sheetName val="co-no.2"/>
      <sheetName val="PSV"/>
      <sheetName val="명단"/>
      <sheetName val="EST-1"/>
      <sheetName val="6.공사비 내역 (가)"/>
      <sheetName val="Sheet2 (2)"/>
      <sheetName val="6호기"/>
      <sheetName val="노임이"/>
      <sheetName val="Form A.1"/>
      <sheetName val="Form A.1.1"/>
      <sheetName val="BOM Indirect"/>
      <sheetName val="Form A.1.II.2"/>
      <sheetName val="94D"/>
      <sheetName val="95D"/>
      <sheetName val="6.GSTG PIPING"/>
      <sheetName val="INDEX"/>
      <sheetName val="Sheet4"/>
      <sheetName val="NONS  2,189"/>
      <sheetName val="P&amp;ID650"/>
      <sheetName val="Calculations"/>
      <sheetName val="대우단가(풍산)"/>
      <sheetName val="토공정보"/>
      <sheetName val="기초자료"/>
      <sheetName val="견적집계표"/>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RFP005"/>
      <sheetName val="RFP006"/>
      <sheetName val="CostDB"/>
      <sheetName val="FWBS7000,8000"/>
      <sheetName val="Reference Table"/>
      <sheetName val="Lookups"/>
      <sheetName val="CAL(1)."/>
      <sheetName val="Activity(new)"/>
      <sheetName val="뜃맟뭁돽띿맟?-BLDG"/>
      <sheetName val="D-623D"/>
      <sheetName val="member design"/>
      <sheetName val="soil bearing check"/>
      <sheetName val="OCT.FDN"/>
      <sheetName val="PRI CIV"/>
      <sheetName val="FOR CIV"/>
      <sheetName val="SUB CIV"/>
      <sheetName val="ANA CIV"/>
      <sheetName val="AUX CIV"/>
      <sheetName val="내역서 "/>
      <sheetName val="hori. vessel(E-895)"/>
      <sheetName val="TS-TC"/>
      <sheetName val="DCS"/>
      <sheetName val="2.3"/>
      <sheetName val="대기업"/>
      <sheetName val="각종자료"/>
      <sheetName val="견적"/>
      <sheetName val="S N"/>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PREAM"/>
      <sheetName val="LBR"/>
      <sheetName val="SUMMARY (0)"/>
      <sheetName val="PL-DATA"/>
      <sheetName val="FRP내역서"/>
      <sheetName val="7_5_1(A)_Data5"/>
      <sheetName val="7_5_1(B)_BOQ_Breakdown5"/>
      <sheetName val="7_5_1(C)_Scope5"/>
      <sheetName val="7_5_1(D)_Basis5"/>
      <sheetName val="7_5_1(E)_Allowance5"/>
      <sheetName val="7_5_2_BOQ_Summary5"/>
      <sheetName val="7_5_3_BOQ5"/>
      <sheetName val="A__Erec_BOQ(Shop)5"/>
      <sheetName val="B__Erec_BOQ(Field)5"/>
      <sheetName val="C__Surface_Protection5"/>
      <sheetName val="A__Erec_BOQ(Shop)_(2)5"/>
      <sheetName val="B__Erec_BOQ(Field)_(2)5"/>
      <sheetName val="C__Surf_Protection5"/>
      <sheetName val="Attachment_#15"/>
      <sheetName val="Attachment_#25"/>
      <sheetName val="302_C15"/>
      <sheetName val="302_C25"/>
      <sheetName val="SUPPLY_(2)5"/>
      <sheetName val="RETURN_(2)5"/>
      <sheetName val="303_(2)5"/>
      <sheetName val="308_(2)5"/>
      <sheetName val="309_(2)5"/>
      <sheetName val="JUNCTION_BOX5"/>
      <sheetName val="PIPE_FITTING5"/>
      <sheetName val="TUBE_FITTING5"/>
      <sheetName val="CABLE_GLAND5"/>
      <sheetName val="BLR_15"/>
      <sheetName val="CONS__EQUIP___5"/>
      <sheetName val="REINF_5"/>
      <sheetName val="ITB_COST4"/>
      <sheetName val="97_사업추정(WEKI)4"/>
      <sheetName val="FIRE_FIGHTING4"/>
      <sheetName val="Cost_control4"/>
      <sheetName val="90EL_JACKET4"/>
      <sheetName val="보온_회사분4"/>
      <sheetName val="plan&amp;section_of_foundation3"/>
      <sheetName val="design_criteria3"/>
      <sheetName val="BM_DATA_SHEET3"/>
      <sheetName val="Tipo_Terzi3"/>
      <sheetName val="Mat_Stelo3"/>
      <sheetName val="Sch_62"/>
      <sheetName val="bill_22"/>
      <sheetName val="1_설계기준2"/>
      <sheetName val="Unit_SUM3"/>
      <sheetName val="표지_(2)2"/>
      <sheetName val="Sheet_12"/>
      <sheetName val="배관물량_(STEEL)2"/>
      <sheetName val="working_load_at_the_btm_ft_2"/>
      <sheetName val="stability_check2"/>
      <sheetName val="Break_Dw2"/>
      <sheetName val="방유제용량_계산서2"/>
      <sheetName val="Material_Specification2"/>
      <sheetName val="special_item_양진규_작성2"/>
      <sheetName val="OUTER_AREA(겹침없음)2"/>
      <sheetName val="CAMP_OPERATING_COST2"/>
      <sheetName val="PERSONNEL_SETUP2"/>
      <sheetName val="LIST_OF_OFFICE_EQUIPMENT2"/>
      <sheetName val="STAFF&amp;INDIRECT_SALARY_-_SUMMAR2"/>
      <sheetName val="KOREAN_STAFF_SALARY_BREAKDOWN2"/>
      <sheetName val="WELFARE_COST_-_SITE2"/>
      <sheetName val="INPUT_DATA2"/>
      <sheetName val="개시대사_(2)2"/>
      <sheetName val="pile_bearing_capa_&amp;_arrenge2"/>
      <sheetName val="design_load2"/>
      <sheetName val="Fab__Skid2"/>
      <sheetName val="입고장부_(4)2"/>
      <sheetName val="FEUILLE_INTERNE2"/>
      <sheetName val="L_V_Separator2"/>
      <sheetName val="CAMP_-_CONSTRUCTION2"/>
      <sheetName val="E_Rate_PM2"/>
      <sheetName val="Schedule_2_and_32"/>
      <sheetName val="CAL_2"/>
      <sheetName val="COMPARISON_TABLE2"/>
      <sheetName val="3_0_Overall_Progress_S-curve2"/>
      <sheetName val="3-4_SPI2"/>
      <sheetName val="7_5_1(A)_Data4"/>
      <sheetName val="7_5_1(B)_BOQ_Breakdown4"/>
      <sheetName val="7_5_1(C)_Scope4"/>
      <sheetName val="7_5_1(D)_Basis4"/>
      <sheetName val="7_5_1(E)_Allowance4"/>
      <sheetName val="7_5_2_BOQ_Summary4"/>
      <sheetName val="7_5_3_BOQ4"/>
      <sheetName val="A__Erec_BOQ(Shop)4"/>
      <sheetName val="B__Erec_BOQ(Field)4"/>
      <sheetName val="C__Surface_Protection4"/>
      <sheetName val="A__Erec_BOQ(Shop)_(2)4"/>
      <sheetName val="B__Erec_BOQ(Field)_(2)4"/>
      <sheetName val="C__Surf_Protection4"/>
      <sheetName val="Attachment_#14"/>
      <sheetName val="Attachment_#24"/>
      <sheetName val="302_C14"/>
      <sheetName val="302_C24"/>
      <sheetName val="SUPPLY_(2)4"/>
      <sheetName val="RETURN_(2)4"/>
      <sheetName val="303_(2)4"/>
      <sheetName val="308_(2)4"/>
      <sheetName val="309_(2)4"/>
      <sheetName val="JUNCTION_BOX4"/>
      <sheetName val="PIPE_FITTING4"/>
      <sheetName val="TUBE_FITTING4"/>
      <sheetName val="CABLE_GLAND4"/>
      <sheetName val="BLR_14"/>
      <sheetName val="CONS__EQUIP___4"/>
      <sheetName val="REINF_4"/>
      <sheetName val="ITB_COST3"/>
      <sheetName val="97_사업추정(WEKI)3"/>
      <sheetName val="FIRE_FIGHTING3"/>
      <sheetName val="Cost_control3"/>
      <sheetName val="90EL_JACKET3"/>
      <sheetName val="보온_회사분3"/>
      <sheetName val="Sheet_11"/>
      <sheetName val="배관물량_(STEEL)1"/>
      <sheetName val="CAL_1"/>
      <sheetName val="3_0_Overall_Progress_S-curve1"/>
      <sheetName val="3-4_SPI1"/>
      <sheetName val="REF.ONLY"/>
      <sheetName val="CONCRETE"/>
      <sheetName val="PRO_DCI"/>
      <sheetName val="HVAC_DCI"/>
      <sheetName val="PIPE_DCI"/>
      <sheetName val="Loading Table"/>
      <sheetName val="BATCH"/>
      <sheetName val="Pipelines ASAB I-II Brownfield"/>
      <sheetName val="ORIGN"/>
      <sheetName val="P-Ph3-F-002"/>
      <sheetName val="전기"/>
      <sheetName val="200"/>
      <sheetName val="BM1"/>
      <sheetName val="REDUCER"/>
      <sheetName val="WE'T"/>
      <sheetName val="Vent Line size"/>
      <sheetName val="input data-090908"/>
      <sheetName val="LD-OVERA÷_x0000_"/>
      <sheetName val="LD-OVERA᯷㧓"/>
      <sheetName val="DIRECT-OFF"/>
      <sheetName val="PLAGCoct03"/>
      <sheetName val="表三甲"/>
      <sheetName val="调整"/>
      <sheetName val="Comp Rate "/>
      <sheetName val="HRG BHN"/>
      <sheetName val="4.1구조설계"/>
      <sheetName val="DOWNLOAD"/>
      <sheetName val="상반기손익차2총괄"/>
      <sheetName val="MH Estimation Guide"/>
      <sheetName val="CIV-DWG-ADA"/>
      <sheetName val="CIV-DOC-ADA"/>
      <sheetName val="공사비 내역 (가)"/>
      <sheetName val="STATIC"/>
      <sheetName val="diamètres"/>
      <sheetName val="설계예산서1"/>
      <sheetName val="내"/>
      <sheetName val="실행자재"/>
      <sheetName val="spinning1"/>
      <sheetName val="Tank"/>
      <sheetName val="Q5434 EQ LIST"/>
      <sheetName val="motor power"/>
      <sheetName val="Painting"/>
      <sheetName val="입사시직위"/>
      <sheetName val="MR"/>
      <sheetName val="Expenses per Cost Code "/>
      <sheetName val="공구"/>
      <sheetName val="PI"/>
      <sheetName val="집계표(OPTION)"/>
      <sheetName val="공문"/>
      <sheetName val="COMB MNG&amp;STAFF (ALL)  (2)"/>
      <sheetName val="Fill this out first..."/>
      <sheetName val="Fill this out first___"/>
      <sheetName val="공량예산"/>
      <sheetName val="예산M6-B"/>
      <sheetName val="Forecast Drivers"/>
      <sheetName val="REPORT"/>
      <sheetName val="공통가설"/>
      <sheetName val="MEASURE LIST"/>
      <sheetName val="Don gia"/>
      <sheetName val="Data 1"/>
      <sheetName val="뜃맟뭁돽띿맟_-BLDG"/>
      <sheetName val="SUBCON"/>
      <sheetName val="45,46"/>
      <sheetName val="01"/>
      <sheetName val="Unit Cost"/>
      <sheetName val="Total_mem"/>
      <sheetName val="Log"/>
      <sheetName val="Section 1~4(1)"/>
      <sheetName val="Section 1~4 "/>
      <sheetName val="Section 5"/>
      <sheetName val="Section 5.2"/>
      <sheetName val="Section 5.3"/>
      <sheetName val="Section 6"/>
      <sheetName val="Section 6.2"/>
      <sheetName val="Attachment 1"/>
      <sheetName val="Attachmenet 2"/>
      <sheetName val="Moment_Con_Capa"/>
      <sheetName val="Moment"/>
      <sheetName val="Shear_Con_Capa"/>
      <sheetName val="Shear"/>
      <sheetName val="PUMP_SHT"/>
      <sheetName val="Elect_(3)"/>
      <sheetName val="C급보_"/>
      <sheetName val="Rev_No"/>
      <sheetName val="Page_10"/>
      <sheetName val="Rectangular_Beam"/>
      <sheetName val="COST_UP"/>
      <sheetName val="간접비_총괄표"/>
      <sheetName val="Eng_hour_DB"/>
      <sheetName val="CRUDE_RE-bar"/>
      <sheetName val="DUTCH_CONE"/>
      <sheetName val="eq_data__x"/>
      <sheetName val="_"/>
      <sheetName val="2_Calculation_1"/>
      <sheetName val="PAGE_3_GENERAL_DETAILS"/>
      <sheetName val="적용_환율"/>
      <sheetName val="GM_000"/>
      <sheetName val="PRECAST_lightconc-II"/>
      <sheetName val="TENDER_PROG_"/>
      <sheetName val="PROC_PROG"/>
      <sheetName val="Block_D"/>
      <sheetName val="Datasheet_GLL_double_weir_(1)"/>
      <sheetName val="eq_data__x005f_x0000__x00"/>
      <sheetName val="33628-Rev__A"/>
      <sheetName val="TYPE-B_평균H"/>
      <sheetName val="Sheet2_(2)"/>
      <sheetName val="6_공사비_내역_(가)"/>
      <sheetName val="7.0 Crack Check"/>
      <sheetName val="축열조 기초"/>
      <sheetName val="M_B"/>
      <sheetName val="TACE"/>
      <sheetName val="기계공사비집계(珆꭭/"/>
      <sheetName val="FA"/>
      <sheetName val="Analisa HS"/>
      <sheetName val="Eng_Hrs"/>
      <sheetName val="NAME"/>
      <sheetName val="Coupling"/>
      <sheetName val="RAW MATERIALS "/>
      <sheetName val="COST-PERSON-J.O."/>
      <sheetName val="GT"/>
      <sheetName val="COST-EST LTI P5C"/>
      <sheetName val="기계시공"/>
      <sheetName val="SLEIPNER - ORMEN LANGE"/>
      <sheetName val="전기 BM_revA('090624).xls"/>
      <sheetName val="定额 (06)"/>
      <sheetName val="4-3LEVEL-5 epic.4"/>
      <sheetName val="COST-TZ"/>
      <sheetName val="Coeff."/>
      <sheetName val="대비"/>
      <sheetName val="SUMMARY_(0)"/>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4.단락전류"/>
      <sheetName val="[fdn_bm_pro.xls]기계공사비집계(珆꭭/"/>
      <sheetName val="Exchange rates"/>
      <sheetName val="P_x0007__x0000__x000e__x0000_"/>
      <sheetName val="7_5_1(A)_Data6"/>
      <sheetName val="7_5_1(B)_BOQ_Breakdown6"/>
      <sheetName val="7_5_1(C)_Scope6"/>
      <sheetName val="7_5_1(D)_Basis6"/>
      <sheetName val="7_5_1(E)_Allowance6"/>
      <sheetName val="7_5_2_BOQ_Summary6"/>
      <sheetName val="7_5_3_BOQ6"/>
      <sheetName val="A__Erec_BOQ(Shop)6"/>
      <sheetName val="B__Erec_BOQ(Field)6"/>
      <sheetName val="C__Surface_Protection6"/>
      <sheetName val="A__Erec_BOQ(Shop)_(2)6"/>
      <sheetName val="B__Erec_BOQ(Field)_(2)6"/>
      <sheetName val="C__Surf_Protection6"/>
      <sheetName val="Attachment_#16"/>
      <sheetName val="Attachment_#26"/>
      <sheetName val="302_C16"/>
      <sheetName val="302_C26"/>
      <sheetName val="SUPPLY_(2)6"/>
      <sheetName val="RETURN_(2)6"/>
      <sheetName val="303_(2)6"/>
      <sheetName val="308_(2)6"/>
      <sheetName val="309_(2)6"/>
      <sheetName val="JUNCTION_BOX6"/>
      <sheetName val="PIPE_FITTING6"/>
      <sheetName val="TUBE_FITTING6"/>
      <sheetName val="CABLE_GLAND6"/>
      <sheetName val="CONS__EQUIP___6"/>
      <sheetName val="BLR_16"/>
      <sheetName val="REINF_6"/>
      <sheetName val="ITB_COST5"/>
      <sheetName val="97_사업추정(WEKI)5"/>
      <sheetName val="Cost_control5"/>
      <sheetName val="90EL_JACKET5"/>
      <sheetName val="보온_회사분5"/>
      <sheetName val="FIRE_FIGHTING5"/>
      <sheetName val="Tipo_Terzi4"/>
      <sheetName val="plan&amp;section_of_foundation4"/>
      <sheetName val="design_criteria4"/>
      <sheetName val="BM_DATA_SHEET4"/>
      <sheetName val="Mat_Stelo4"/>
      <sheetName val="Unit_SUM4"/>
      <sheetName val="working_load_at_the_btm_ft_3"/>
      <sheetName val="stability_check3"/>
      <sheetName val="OUTER_AREA(겹침없음)3"/>
      <sheetName val="1_설계기준3"/>
      <sheetName val="bill_23"/>
      <sheetName val="표지_(2)3"/>
      <sheetName val="Break_Dw3"/>
      <sheetName val="방유제용량_계산서3"/>
      <sheetName val="Material_Specification3"/>
      <sheetName val="special_item_양진규_작성3"/>
      <sheetName val="Sch_63"/>
      <sheetName val="pile_bearing_capa_&amp;_arrenge3"/>
      <sheetName val="design_load3"/>
      <sheetName val="Fab__Skid3"/>
      <sheetName val="INPUT_DATA3"/>
      <sheetName val="CAMP_OPERATING_COST3"/>
      <sheetName val="PERSONNEL_SETUP3"/>
      <sheetName val="LIST_OF_OFFICE_EQUIPMENT3"/>
      <sheetName val="STAFF&amp;INDIRECT_SALARY_-_SUMMAR3"/>
      <sheetName val="KOREAN_STAFF_SALARY_BREAKDOWN3"/>
      <sheetName val="WELFARE_COST_-_SITE3"/>
      <sheetName val="개시대사_(2)3"/>
      <sheetName val="입고장부_(4)3"/>
      <sheetName val="FEUILLE_INTERNE3"/>
      <sheetName val="COMPARISON_TABLE3"/>
      <sheetName val="L_V_Separator3"/>
      <sheetName val="CAMP_-_CONSTRUCTION3"/>
      <sheetName val="E_Rate_PM3"/>
      <sheetName val="Schedule_2_and_33"/>
      <sheetName val="Cover_sheet1"/>
      <sheetName val="CAL_3"/>
      <sheetName val="Summary_Sheets1"/>
      <sheetName val="BSD_(2)1"/>
      <sheetName val="TRAY_BM1"/>
      <sheetName val="11_자재단가2"/>
      <sheetName val="1_OF_92"/>
      <sheetName val="품셈_1"/>
      <sheetName val="sc0314_Index1"/>
      <sheetName val="Graph_(LGEN)1"/>
      <sheetName val="선적schedule_(2)1"/>
      <sheetName val="Resource_summary1"/>
      <sheetName val="배관물량_(STEEL)3"/>
      <sheetName val="Sheet_13"/>
      <sheetName val="w't_table1"/>
      <sheetName val="eq_data__x005f_x0000__x005f_x0000__x005f_x0000__1"/>
      <sheetName val="Break_Down1"/>
      <sheetName val="Supervision_List1"/>
      <sheetName val="General_Data3"/>
      <sheetName val="PRICE_COMP3"/>
      <sheetName val="A(Rev_3)3"/>
      <sheetName val="static_cal1"/>
      <sheetName val="crude_SLAB_RE-bar1"/>
      <sheetName val="7_6_3(B)_UG_Piping1"/>
      <sheetName val="PRICE_LIST1"/>
      <sheetName val="7_5_2_BOQ_Summary_1"/>
      <sheetName val="Rekap_A1"/>
      <sheetName val="paint_mat1"/>
      <sheetName val="VE_Estimate1"/>
      <sheetName val="TABLE2-2_OSBL-(SITE_PREP)1"/>
      <sheetName val="OFFER_RATE1"/>
      <sheetName val="Job_Data1"/>
      <sheetName val="Piping_Design_Data1"/>
      <sheetName val="Summary_20021"/>
      <sheetName val="ASME_B_36_10_M1"/>
      <sheetName val="Struct-Grass_root1"/>
      <sheetName val="3_0_Overall_Progress_S-curve3"/>
      <sheetName val="3-4_SPI3"/>
      <sheetName val="-15_01"/>
      <sheetName val="견적_집계1"/>
      <sheetName val="PULLING_SUPT등1"/>
      <sheetName val="Sheet1_(2)1"/>
      <sheetName val="PAGE_11"/>
      <sheetName val="_생산성_분석_체계_절차_xlsx1"/>
      <sheetName val="BQ_List1"/>
      <sheetName val="PAGE_21"/>
      <sheetName val="Page_101"/>
      <sheetName val="C급보_1"/>
      <sheetName val="Rectangular_Beam1"/>
      <sheetName val="CRUDE_RE-bar1"/>
      <sheetName val="COST_UP1"/>
      <sheetName val="간접비_총괄표1"/>
      <sheetName val="Eng_hour_DB1"/>
      <sheetName val="DUTCH_CONE1"/>
      <sheetName val="2_Calculation_11"/>
      <sheetName val="PAGE_3_GENERAL_DETAILS1"/>
      <sheetName val="적용_환율1"/>
      <sheetName val="Elect_(3)1"/>
      <sheetName val="GM_0001"/>
      <sheetName val="PRECAST_lightconc-II1"/>
      <sheetName val="Rev_No1"/>
      <sheetName val="PUMP_SHT1"/>
      <sheetName val="Datasheet_GLL_double_weir_(1)1"/>
      <sheetName val="_1"/>
      <sheetName val="eq_data__x005f_x0000__x001"/>
      <sheetName val="TENDER_PROG_1"/>
      <sheetName val="PROC_PROG1"/>
      <sheetName val="Block_D1"/>
      <sheetName val="Sheet2_(2)1"/>
      <sheetName val="33628-Rev__A1"/>
      <sheetName val="TYPE-B_평균H1"/>
      <sheetName val="co-no_2"/>
      <sheetName val="6_공사비_내역_(가)1"/>
      <sheetName val="Form_A_1"/>
      <sheetName val="Form_A_1_1"/>
      <sheetName val="BOM_Indirect"/>
      <sheetName val="Form_A_1_II_2"/>
      <sheetName val="6_GSTG_PIPING"/>
      <sheetName val="NONS__2,189"/>
      <sheetName val="Reference_Table"/>
      <sheetName val="CAL(1)_"/>
      <sheetName val="member_design"/>
      <sheetName val="soil_bearing_check"/>
      <sheetName val="OCT_FDN"/>
      <sheetName val="PRI_CIV"/>
      <sheetName val="FOR_CIV"/>
      <sheetName val="SUB_CIV"/>
      <sheetName val="ANA_CIV"/>
      <sheetName val="AUX_CIV"/>
      <sheetName val="내역서_"/>
      <sheetName val="hori__vessel(E-895)"/>
      <sheetName val="2_3"/>
      <sheetName val="S_N"/>
      <sheetName val="REF_ONLY"/>
      <sheetName val="SUMMARY_(0)1"/>
      <sheetName val="Loading_Table"/>
      <sheetName val="Pipelines_ASAB_I-II_Brownfield"/>
      <sheetName val="Vent_Line_size"/>
      <sheetName val="4_1구조설계"/>
      <sheetName val="input_data-090908"/>
      <sheetName val="HRG_BHN"/>
      <sheetName val="MH_Estimation_Guide"/>
      <sheetName val="공사비_내역_(가)"/>
      <sheetName val="Comp_Rate_"/>
      <sheetName val="Expenses_per_Cost_Code_"/>
      <sheetName val="COMB_MNG&amp;STAFF_(ALL)__(2)"/>
      <sheetName val="Q5434_EQ_LIST"/>
      <sheetName val="motor_power"/>
      <sheetName val="Forecast_Drivers"/>
      <sheetName val="Fill_this_out_first___"/>
      <sheetName val="Fill_this_out_first___1"/>
      <sheetName val="7_0_Crack_Check"/>
      <sheetName val="축열조_기초"/>
      <sheetName val="Data_1"/>
      <sheetName val="Unit_Cost"/>
      <sheetName val="Section_1~4(1)"/>
      <sheetName val="Section_1~4_"/>
      <sheetName val="Section_5"/>
      <sheetName val="Section_5_2"/>
      <sheetName val="Section_5_3"/>
      <sheetName val="Section_6"/>
      <sheetName val="Section_6_2"/>
      <sheetName val="Attachment_1"/>
      <sheetName val="Attachmenet_2"/>
      <sheetName val="MEASURE_LIST"/>
      <sheetName val="Don_gia"/>
      <sheetName val="Analisa_HS"/>
      <sheetName val="COST-EST_LTI_P5C"/>
      <sheetName val="SLEIPNER_-_ORMEN_LANGE"/>
      <sheetName val="전기_BM_revA('090624)_xls"/>
      <sheetName val="定额_(06)"/>
      <sheetName val="Coeff_"/>
      <sheetName val="RAW_MATERIALS_"/>
      <sheetName val="COST-PERSON-J_O_"/>
      <sheetName val="4-3LEVEL-5_epic_4"/>
      <sheetName val="4_단락전류"/>
      <sheetName val="[fdn_bm_pro_xls]기계공사비집계(珆꭭/"/>
      <sheetName val="Exchange_rates"/>
      <sheetName val="P"/>
      <sheetName val="7_5_1(A)_Data7"/>
      <sheetName val="7_5_1(B)_BOQ_Breakdown7"/>
      <sheetName val="7_5_1(C)_Scope7"/>
      <sheetName val="7_5_1(D)_Basis7"/>
      <sheetName val="7_5_1(E)_Allowance7"/>
      <sheetName val="7_5_2_BOQ_Summary7"/>
      <sheetName val="7_5_3_BOQ7"/>
      <sheetName val="A__Erec_BOQ(Shop)7"/>
      <sheetName val="B__Erec_BOQ(Field)7"/>
      <sheetName val="C__Surface_Protection7"/>
      <sheetName val="A__Erec_BOQ(Shop)_(2)7"/>
      <sheetName val="B__Erec_BOQ(Field)_(2)7"/>
      <sheetName val="C__Surf_Protection7"/>
      <sheetName val="Attachment_#17"/>
      <sheetName val="Attachment_#27"/>
      <sheetName val="302_C17"/>
      <sheetName val="302_C27"/>
      <sheetName val="SUPPLY_(2)7"/>
      <sheetName val="RETURN_(2)7"/>
      <sheetName val="303_(2)7"/>
      <sheetName val="308_(2)7"/>
      <sheetName val="309_(2)7"/>
      <sheetName val="JUNCTION_BOX7"/>
      <sheetName val="PIPE_FITTING7"/>
      <sheetName val="TUBE_FITTING7"/>
      <sheetName val="CABLE_GLAND7"/>
      <sheetName val="CONS__EQUIP___7"/>
      <sheetName val="BLR_17"/>
      <sheetName val="REINF_7"/>
      <sheetName val="ITB_COST6"/>
      <sheetName val="97_사업추정(WEKI)6"/>
      <sheetName val="Cost_control6"/>
      <sheetName val="90EL_JACKET6"/>
      <sheetName val="보온_회사분6"/>
      <sheetName val="FIRE_FIGHTING6"/>
      <sheetName val="Tipo_Terzi5"/>
      <sheetName val="plan&amp;section_of_foundation5"/>
      <sheetName val="design_criteria5"/>
      <sheetName val="BM_DATA_SHEET5"/>
      <sheetName val="Mat_Stelo5"/>
      <sheetName val="Unit_SUM5"/>
      <sheetName val="working_load_at_the_btm_ft_4"/>
      <sheetName val="stability_check4"/>
      <sheetName val="OUTER_AREA(겹침없음)4"/>
      <sheetName val="1_설계기준4"/>
      <sheetName val="bill_24"/>
      <sheetName val="표지_(2)4"/>
      <sheetName val="Break_Dw4"/>
      <sheetName val="방유제용량_계산서4"/>
      <sheetName val="Material_Specification4"/>
      <sheetName val="special_item_양진규_작성4"/>
      <sheetName val="Sch_64"/>
      <sheetName val="pile_bearing_capa_&amp;_arrenge4"/>
      <sheetName val="design_load4"/>
      <sheetName val="Fab__Skid4"/>
      <sheetName val="INPUT_DATA4"/>
      <sheetName val="CAMP_OPERATING_COST4"/>
      <sheetName val="PERSONNEL_SETUP4"/>
      <sheetName val="LIST_OF_OFFICE_EQUIPMENT4"/>
      <sheetName val="STAFF&amp;INDIRECT_SALARY_-_SUMMAR4"/>
      <sheetName val="KOREAN_STAFF_SALARY_BREAKDOWN4"/>
      <sheetName val="WELFARE_COST_-_SITE4"/>
      <sheetName val="개시대사_(2)4"/>
      <sheetName val="입고장부_(4)4"/>
      <sheetName val="FEUILLE_INTERNE4"/>
      <sheetName val="COMPARISON_TABLE4"/>
      <sheetName val="L_V_Separator4"/>
      <sheetName val="CAMP_-_CONSTRUCTION4"/>
      <sheetName val="E_Rate_PM4"/>
      <sheetName val="Schedule_2_and_34"/>
      <sheetName val="Cover_sheet2"/>
      <sheetName val="CAL_4"/>
      <sheetName val="Summary_Sheets2"/>
      <sheetName val="BSD_(2)2"/>
      <sheetName val="TRAY_BM2"/>
      <sheetName val="11_자재단가3"/>
      <sheetName val="1_OF_93"/>
      <sheetName val="품셈_2"/>
      <sheetName val="sc0314_Index2"/>
      <sheetName val="Graph_(LGEN)2"/>
      <sheetName val="선적schedule_(2)2"/>
      <sheetName val="Resource_summary2"/>
      <sheetName val="배관물량_(STEEL)4"/>
      <sheetName val="Sheet_14"/>
      <sheetName val="w't_table2"/>
      <sheetName val="eq_data__x005f_x0000__x005f_x0000__x005f_x0000__2"/>
      <sheetName val="Break_Down2"/>
      <sheetName val="Supervision_List2"/>
      <sheetName val="General_Data4"/>
      <sheetName val="PRICE_COMP4"/>
      <sheetName val="A(Rev_3)4"/>
      <sheetName val="static_cal2"/>
      <sheetName val="crude_SLAB_RE-bar2"/>
      <sheetName val="7_6_3(B)_UG_Piping2"/>
      <sheetName val="PRICE_LIST2"/>
      <sheetName val="7_5_2_BOQ_Summary_2"/>
      <sheetName val="Rekap_A2"/>
      <sheetName val="paint_mat2"/>
      <sheetName val="VE_Estimate2"/>
      <sheetName val="TABLE2-2_OSBL-(SITE_PREP)2"/>
      <sheetName val="OFFER_RATE2"/>
      <sheetName val="Job_Data2"/>
      <sheetName val="Piping_Design_Data2"/>
      <sheetName val="Summary_20022"/>
      <sheetName val="ASME_B_36_10_M2"/>
      <sheetName val="Struct-Grass_root2"/>
      <sheetName val="3_0_Overall_Progress_S-curve4"/>
      <sheetName val="3-4_SPI4"/>
      <sheetName val="-15_02"/>
      <sheetName val="견적_집계2"/>
      <sheetName val="PULLING_SUPT등2"/>
      <sheetName val="Sheet1_(2)2"/>
      <sheetName val="PAGE_12"/>
      <sheetName val="_생산성_분석_체계_절차_xlsx2"/>
      <sheetName val="BQ_List2"/>
      <sheetName val="PAGE_22"/>
      <sheetName val="Page_102"/>
      <sheetName val="C급보_2"/>
      <sheetName val="Rectangular_Beam2"/>
      <sheetName val="CRUDE_RE-bar2"/>
      <sheetName val="COST_UP2"/>
      <sheetName val="간접비_총괄표2"/>
      <sheetName val="Eng_hour_DB2"/>
      <sheetName val="DUTCH_CONE2"/>
      <sheetName val="2_Calculation_12"/>
      <sheetName val="PAGE_3_GENERAL_DETAILS2"/>
      <sheetName val="적용_환율2"/>
      <sheetName val="Elect_(3)2"/>
      <sheetName val="GM_0002"/>
      <sheetName val="PRECAST_lightconc-II2"/>
      <sheetName val="Rev_No2"/>
      <sheetName val="PUMP_SHT2"/>
      <sheetName val="Datasheet_GLL_double_weir_(1)2"/>
      <sheetName val="_2"/>
      <sheetName val="eq_data__x005f_x0000__x002"/>
      <sheetName val="TENDER_PROG_2"/>
      <sheetName val="PROC_PROG2"/>
      <sheetName val="Block_D2"/>
      <sheetName val="Sheet2_(2)2"/>
      <sheetName val="33628-Rev__A2"/>
      <sheetName val="TYPE-B_평균H2"/>
      <sheetName val="co-no_21"/>
      <sheetName val="6_공사비_내역_(가)2"/>
      <sheetName val="Form_A_11"/>
      <sheetName val="Form_A_1_11"/>
      <sheetName val="BOM_Indirect1"/>
      <sheetName val="Form_A_1_II_21"/>
      <sheetName val="6_GSTG_PIPING1"/>
      <sheetName val="NONS__2,1891"/>
      <sheetName val="Reference_Table1"/>
      <sheetName val="CAL(1)_1"/>
      <sheetName val="member_design1"/>
      <sheetName val="soil_bearing_check1"/>
      <sheetName val="OCT_FDN1"/>
      <sheetName val="PRI_CIV1"/>
      <sheetName val="FOR_CIV1"/>
      <sheetName val="SUB_CIV1"/>
      <sheetName val="ANA_CIV1"/>
      <sheetName val="AUX_CIV1"/>
      <sheetName val="내역서_1"/>
      <sheetName val="hori__vessel(E-895)1"/>
      <sheetName val="2_31"/>
      <sheetName val="S_N1"/>
      <sheetName val="REF_ONLY1"/>
      <sheetName val="SUMMARY_(0)2"/>
      <sheetName val="Loading_Table1"/>
      <sheetName val="Pipelines_ASAB_I-II_Brownfield1"/>
      <sheetName val="Vent_Line_size1"/>
      <sheetName val="4_1구조설계1"/>
      <sheetName val="input_data-0909081"/>
      <sheetName val="HRG_BHN1"/>
      <sheetName val="MH_Estimation_Guide1"/>
      <sheetName val="공사비_내역_(가)1"/>
      <sheetName val="Comp_Rate_1"/>
      <sheetName val="Expenses_per_Cost_Code_1"/>
      <sheetName val="COMB_MNG&amp;STAFF_(ALL)__(2)1"/>
      <sheetName val="Q5434_EQ_LIST1"/>
      <sheetName val="motor_power1"/>
      <sheetName val="Forecast_Drivers1"/>
      <sheetName val="Fill_this_out_first___2"/>
      <sheetName val="Fill_this_out_first___3"/>
      <sheetName val="7_0_Crack_Check1"/>
      <sheetName val="축열조_기초1"/>
      <sheetName val="Data_11"/>
      <sheetName val="Unit_Cost1"/>
      <sheetName val="Section_1~4(1)1"/>
      <sheetName val="Section_1~4_1"/>
      <sheetName val="Section_51"/>
      <sheetName val="Section_5_21"/>
      <sheetName val="Section_5_31"/>
      <sheetName val="Section_61"/>
      <sheetName val="Section_6_21"/>
      <sheetName val="Attachment_11"/>
      <sheetName val="Attachmenet_21"/>
      <sheetName val="MEASURE_LIST1"/>
      <sheetName val="Don_gia1"/>
      <sheetName val="Analisa_HS1"/>
      <sheetName val="COST-EST_LTI_P5C1"/>
      <sheetName val="SLEIPNER_-_ORMEN_LANGE1"/>
      <sheetName val="전기_BM_revA('090624)_xls1"/>
      <sheetName val="定额_(06)1"/>
      <sheetName val="Coeff_1"/>
      <sheetName val="RAW_MATERIALS_1"/>
      <sheetName val="COST-PERSON-J_O_1"/>
      <sheetName val="4-3LEVEL-5_epic_41"/>
      <sheetName val="4_단락전류1"/>
      <sheetName val="[fdn_bm_pro_xls]기계공사비집계(珆꭭/1"/>
      <sheetName val="Exchange_rates1"/>
      <sheetName val="P_x0007_"/>
      <sheetName val="2-SITE "/>
      <sheetName val="COST-SUM"/>
      <sheetName val="PAD-F"/>
      <sheetName val="LME"/>
      <sheetName val="Tie Beam GN"/>
      <sheetName val="PileCap"/>
      <sheetName val="06-Progress"/>
      <sheetName val="04-Safety"/>
      <sheetName val="BM"/>
      <sheetName val="현장배치"/>
      <sheetName val="system &amp; LOOK_UP_FUNC"/>
      <sheetName val="Base_Data"/>
      <sheetName val="LABT橿⿋_x0000__x0000_"/>
      <sheetName val="96.12"/>
      <sheetName val="hvac내역서(제어동)"/>
      <sheetName val="Consumables"/>
      <sheetName val="Thick"/>
      <sheetName val="BID FORM"/>
      <sheetName val="Form of Bid"/>
      <sheetName val="건설성적"/>
      <sheetName val="삼성전기"/>
      <sheetName val="Grafenpa"/>
      <sheetName val="단가표"/>
      <sheetName val="노무비"/>
      <sheetName val="LOB"/>
      <sheetName val="등부표"/>
      <sheetName val="NPK_Gresik"/>
      <sheetName val="Finish list"/>
      <sheetName val="Bldg정보"/>
      <sheetName val="가동비율"/>
      <sheetName val="INST LIST"/>
      <sheetName val="터널조도"/>
      <sheetName val="Rekapsub-total-ME"/>
      <sheetName val="Item Dominan"/>
      <sheetName val="기계공사비집계(᝔턀"/>
      <sheetName val="기계공사비집계(ࠀᝋ턀"/>
      <sheetName val="기계공사비집계("/>
      <sheetName val="기계공사비집계(﹗맕ԯ"/>
      <sheetName val="기계공사비집계(ၩ_x0000_堀"/>
      <sheetName val="기계공사비집계(թ_x0000_缀"/>
      <sheetName val="기계공사비집계(썩"/>
      <sheetName val="기계공사비집계(ၩ_x0000_렀"/>
      <sheetName val="기계공사비집계(౩⁯吀"/>
      <sheetName val="기계공사비집계(偩⑔鰀"/>
      <sheetName val="기계공사비집계(i_x0000_ꀀ"/>
      <sheetName val="기계공사비집계(桩♗洀"/>
      <sheetName val="APP-9"/>
      <sheetName val="Indeks"/>
      <sheetName val="PCC EAF"/>
      <sheetName val="PCC LF"/>
      <sheetName val="5-ALAT(1)"/>
      <sheetName val="4-Basic Price"/>
      <sheetName val="1-Rekap"/>
      <sheetName val="기계공사비집계(珆꭭_"/>
      <sheetName val="_fdn_bm_pro.xls_기계공사비집계(珆꭭_"/>
      <sheetName val="STD"/>
      <sheetName val="MANPOWER DIRECT TRACKING"/>
      <sheetName val="Timescaled Data"/>
      <sheetName val="Home Office"/>
      <sheetName val="6-2차"/>
      <sheetName val="Code 02"/>
      <sheetName val="Code 03"/>
      <sheetName val="Code 04"/>
      <sheetName val="Code 05"/>
      <sheetName val="Code 06"/>
      <sheetName val="Code 07"/>
      <sheetName val="Code 09"/>
      <sheetName val="Code03"/>
      <sheetName val="5-Digit"/>
      <sheetName val="MixBed"/>
      <sheetName val="CondPol"/>
      <sheetName val="Inputs"/>
      <sheetName val="BD"/>
      <sheetName val="LAB"/>
      <sheetName val="4300 UTILITY BLDG (2)"/>
      <sheetName val="WT-LIST"/>
      <sheetName val="예가표"/>
      <sheetName val="자재단가"/>
      <sheetName val="Price Breakdown(Building)"/>
      <sheetName val="ECL"/>
      <sheetName val="Salary"/>
      <sheetName val="Dati base"/>
      <sheetName val="US Inflation Factors"/>
      <sheetName val="Ratios"/>
      <sheetName val="Cover Page"/>
      <sheetName val="유림골조"/>
      <sheetName val="sOURCES"/>
      <sheetName val="eq_data ????"/>
      <sheetName val="?è"/>
      <sheetName val="자재집계 &amp; 총괄표"/>
      <sheetName val="기계공사비집계(ၩ"/>
      <sheetName val="기계공사비집계(թ"/>
      <sheetName val="기계공사비집계(i"/>
      <sheetName val="Engrg Est"/>
      <sheetName val="7"/>
      <sheetName val="5_Peralatan"/>
      <sheetName val="Cover_Flex"/>
      <sheetName val="[fdn_bm_pro.xls]_fdn_bm_pro_x_2"/>
      <sheetName val="제직재"/>
      <sheetName val="설직재-1"/>
      <sheetName val="제-노임"/>
      <sheetName val="생산량"/>
      <sheetName val="가설개략"/>
      <sheetName val="dlvoid"/>
      <sheetName val="Unit. Price"/>
      <sheetName val="BD-PP-OFF"/>
      <sheetName val="M1"/>
      <sheetName val="InsertListDrawing 1 "/>
      <sheetName val="barTable"/>
      <sheetName val="Testing"/>
      <sheetName val="BILL Of QUANTITIES"/>
      <sheetName val="뜃맟뭁돽띿맟-BLDG"/>
      <sheetName val="기계공사비집계(珆꭭"/>
      <sheetName val="fdn_bm_pro.xls기계공사비집계(珆꭭"/>
      <sheetName val="H.Satuan"/>
      <sheetName val="Div26 - Elect"/>
      <sheetName val="2.4.1 Elec_BOQ"/>
      <sheetName val="2.4.1 Inst_BOQ"/>
      <sheetName val="PTF Report"/>
      <sheetName val="GASATAGG.XLS"/>
      <sheetName val="Informasi"/>
      <sheetName val="CBD"/>
      <sheetName val="6PILE  (돌출)"/>
      <sheetName val="SAT"/>
      <sheetName val="BEND LOSS"/>
      <sheetName val="page 142"/>
      <sheetName val="Listenfelder"/>
      <sheetName val="Tie_Beam_GN"/>
      <sheetName val="system_&amp;_LOOK_UP_FUNC"/>
      <sheetName val="96_12"/>
      <sheetName val="tabulación final"/>
      <sheetName val="選択リスト"/>
      <sheetName val="図面番号参照"/>
      <sheetName val="Forecast"/>
      <sheetName val="Sh_x0005__x0000__x0000_"/>
      <sheetName val="DataFormat"/>
      <sheetName val="DataPrep"/>
      <sheetName val="암거공"/>
      <sheetName val="Sh_x0005_"/>
      <sheetName val="NOC"/>
      <sheetName val="EMPLOYMENT CERTIFICATE"/>
      <sheetName val="Salary cer"/>
      <sheetName val="Master file"/>
      <sheetName val="Line dP"/>
      <sheetName val="Motor Table"/>
      <sheetName val=" Input "/>
      <sheetName val="77521"/>
      <sheetName val="Connections"/>
      <sheetName val="Calc"/>
      <sheetName val="3514-HV-0201"/>
      <sheetName val="Table-1"/>
      <sheetName val="금융비용"/>
      <sheetName val="ELECTRIC"/>
      <sheetName val="CTEMCOST"/>
      <sheetName val="SCHEDULE"/>
      <sheetName val="chart"/>
      <sheetName val="Bend_fact "/>
      <sheetName val="Bend_fact_"/>
      <sheetName val="982-6B@"/>
      <sheetName val="간접비"/>
      <sheetName val="system_&amp;_LOOK_UP_FUNC1"/>
      <sheetName val="PROCESS"/>
      <sheetName val="E.1"/>
      <sheetName val="OD"/>
      <sheetName val="Estimate"/>
      <sheetName val="Unitwise breakup"/>
      <sheetName val="실행철강하도"/>
      <sheetName val="Droplist"/>
      <sheetName val="tunda2"/>
      <sheetName val="rekap.c"/>
      <sheetName val="HARGA MATERIAL"/>
      <sheetName val="H_param"/>
      <sheetName val="BQ Arsit"/>
      <sheetName val="An HarSatPek"/>
      <sheetName val="Sat Bah &amp; Up"/>
      <sheetName val="1.사업개요"/>
      <sheetName val="HT-INTROD"/>
      <sheetName val="Site Expenses"/>
      <sheetName val="Récapitulatif"/>
      <sheetName val="ABUT수량-A1"/>
      <sheetName val="steel-gr"/>
      <sheetName val="Cause&amp;Effects"/>
      <sheetName val="Paint - Mat Summ"/>
      <sheetName val="Paint_-_Mat_Summ"/>
      <sheetName val="Piling &amp; Tk Fdn"/>
      <sheetName val="특수선일위대가"/>
      <sheetName val="95WBS"/>
      <sheetName val="RDLEVLST"/>
      <sheetName val="DTmpData"/>
      <sheetName val="eq_data _x00"/>
      <sheetName val="송강"/>
      <sheetName val="ADMIN TB-557066_00A"/>
      <sheetName val="LABORATORY TB-557091_00A"/>
      <sheetName val="OME5 TB-557088-001_00A"/>
      <sheetName val="OME4 TB-557087-001_00A"/>
      <sheetName val="OME3 TB-557086-001_00A"/>
      <sheetName val="CMB EMTS TB-557084_00A"/>
      <sheetName val="SLCB TB-557083-002_00B"/>
      <sheetName val="PIB9 TB-557082-003_00B"/>
      <sheetName val="PIB7 TB-557081-003_00B"/>
      <sheetName val="PIB6 TB-557080-003_00B"/>
      <sheetName val="PIB5 TB-557079-002_00B"/>
      <sheetName val="PIB4 TB-557078-002_00B"/>
      <sheetName val="PIB3 TB-557077-002_00B"/>
      <sheetName val="CCB TB-557075-001_00B"/>
      <sheetName val="CCB TB-557073-002_00B"/>
      <sheetName val="CCB TB-557072-001_00A"/>
      <sheetName val="CCB TB-557051_00B"/>
      <sheetName val="MASTER"/>
      <sheetName val="예정공정표 (2)"/>
      <sheetName val="공사계획서"/>
      <sheetName val="품셈표"/>
      <sheetName val="Budget Weight Instructions A"/>
      <sheetName val="P-base-1"/>
      <sheetName val="E-base-1"/>
      <sheetName val="Basic data"/>
      <sheetName val="Isolasi Luar Dalam"/>
      <sheetName val="Isolasi Luar"/>
      <sheetName val="AC"/>
      <sheetName val="PDMP"/>
      <sheetName val="PCE"/>
      <sheetName val="PRODUK"/>
      <sheetName val="TOOL-ME"/>
      <sheetName val="eq_data _x005f_x005f_x005f_x0000__x005f_x005f_x00"/>
      <sheetName val="eq_data _x005f_x005f_x005f_x0000__x00"/>
      <sheetName val="eq_data__x005f_x005f_x005f_x0000__x005f_x005f_x00"/>
      <sheetName val="7_5_1(A)_Data8"/>
      <sheetName val="7_5_1(B)_BOQ_Breakdown8"/>
      <sheetName val="7_5_1(C)_Scope8"/>
      <sheetName val="7_5_1(D)_Basis8"/>
      <sheetName val="7_5_1(E)_Allowance8"/>
      <sheetName val="7_5_2_BOQ_Summary8"/>
      <sheetName val="7_5_3_BOQ8"/>
      <sheetName val="A__Erec_BOQ(Shop)8"/>
      <sheetName val="B__Erec_BOQ(Field)8"/>
      <sheetName val="C__Surface_Protection8"/>
      <sheetName val="A__Erec_BOQ(Shop)_(2)8"/>
      <sheetName val="B__Erec_BOQ(Field)_(2)8"/>
      <sheetName val="C__Surf_Protection8"/>
      <sheetName val="Attachment_#18"/>
      <sheetName val="Attachment_#28"/>
      <sheetName val="302_C18"/>
      <sheetName val="302_C28"/>
      <sheetName val="SUPPLY_(2)8"/>
      <sheetName val="RETURN_(2)8"/>
      <sheetName val="303_(2)8"/>
      <sheetName val="308_(2)8"/>
      <sheetName val="309_(2)8"/>
      <sheetName val="JUNCTION_BOX8"/>
      <sheetName val="PIPE_FITTING8"/>
      <sheetName val="TUBE_FITTING8"/>
      <sheetName val="CABLE_GLAND8"/>
      <sheetName val="CONS__EQUIP___8"/>
      <sheetName val="BLR_18"/>
      <sheetName val="REINF_8"/>
      <sheetName val="ITB_COST7"/>
      <sheetName val="97_사업추정(WEKI)7"/>
      <sheetName val="90EL_JACKET7"/>
      <sheetName val="보온_회사분7"/>
      <sheetName val="Cost_control7"/>
      <sheetName val="FIRE_FIGHTING7"/>
      <sheetName val="Tipo_Terzi6"/>
      <sheetName val="plan&amp;section_of_foundation6"/>
      <sheetName val="design_criteria6"/>
      <sheetName val="BM_DATA_SHEET6"/>
      <sheetName val="Mat_Stelo6"/>
      <sheetName val="Unit_SUM6"/>
      <sheetName val="1_설계기준5"/>
      <sheetName val="working_load_at_the_btm_ft_5"/>
      <sheetName val="stability_check5"/>
      <sheetName val="Break_Dw5"/>
      <sheetName val="OUTER_AREA(겹침없음)5"/>
      <sheetName val="special_item_양진규_작성5"/>
      <sheetName val="개시대사_(2)5"/>
      <sheetName val="bill_25"/>
      <sheetName val="Material_Specification5"/>
      <sheetName val="방유제용량_계산서5"/>
      <sheetName val="Sch_65"/>
      <sheetName val="표지_(2)5"/>
      <sheetName val="INPUT_DATA5"/>
      <sheetName val="CAMP_OPERATING_COST5"/>
      <sheetName val="PERSONNEL_SETUP5"/>
      <sheetName val="LIST_OF_OFFICE_EQUIPMENT5"/>
      <sheetName val="STAFF&amp;INDIRECT_SALARY_-_SUMMAR5"/>
      <sheetName val="KOREAN_STAFF_SALARY_BREAKDOWN5"/>
      <sheetName val="WELFARE_COST_-_SITE5"/>
      <sheetName val="pile_bearing_capa_&amp;_arrenge5"/>
      <sheetName val="design_load5"/>
      <sheetName val="Fab__Skid5"/>
      <sheetName val="입고장부_(4)5"/>
      <sheetName val="FEUILLE_INTERNE5"/>
      <sheetName val="COMPARISON_TABLE5"/>
      <sheetName val="L_V_Separator5"/>
      <sheetName val="CAMP_-_CONSTRUCTION5"/>
      <sheetName val="E_Rate_PM5"/>
      <sheetName val="Schedule_2_and_35"/>
      <sheetName val="CAL_5"/>
      <sheetName val="BSD_(2)3"/>
      <sheetName val="TRAY_BM3"/>
      <sheetName val="eq_data_1"/>
      <sheetName val="Cover_sheet3"/>
      <sheetName val="11_자재단가4"/>
      <sheetName val="1_OF_94"/>
      <sheetName val="Graph_(LGEN)3"/>
      <sheetName val="선적schedule_(2)3"/>
      <sheetName val="Summary_Sheets3"/>
      <sheetName val="품셈_3"/>
      <sheetName val="sc0314_Index3"/>
      <sheetName val="Resource_summary3"/>
      <sheetName val="w't_table3"/>
      <sheetName val="eq_data__x005f_x0000__x005f_x0000__x005f_x0000__3"/>
      <sheetName val="General_Data5"/>
      <sheetName val="PRICE_COMP5"/>
      <sheetName val="A(Rev_3)5"/>
      <sheetName val="static_cal3"/>
      <sheetName val="crude_SLAB_RE-bar3"/>
      <sheetName val="7_6_3(B)_UG_Piping3"/>
      <sheetName val="PRICE_LIST3"/>
      <sheetName val="7_5_2_BOQ_Summary_3"/>
      <sheetName val="Rekap_A3"/>
      <sheetName val="paint_mat3"/>
      <sheetName val="VE_Estimate3"/>
      <sheetName val="TABLE2-2_OSBL-(SITE_PREP)3"/>
      <sheetName val="OFFER_RATE3"/>
      <sheetName val="Job_Data3"/>
      <sheetName val="Piping_Design_Data3"/>
      <sheetName val="Summary_20023"/>
      <sheetName val="ASME_B_36_10_M3"/>
      <sheetName val="배관물량_(STEEL)5"/>
      <sheetName val="Sheet_15"/>
      <sheetName val="3_0_Overall_Progress_S-curve5"/>
      <sheetName val="3-4_SPI5"/>
      <sheetName val="-15_03"/>
      <sheetName val="Struct-Grass_root3"/>
      <sheetName val="견적_집계3"/>
      <sheetName val="PULLING_SUPT등3"/>
      <sheetName val="Sheet1_(2)3"/>
      <sheetName val="PAGE_13"/>
      <sheetName val="_생산성_분석_체계_절차_xlsx3"/>
      <sheetName val="BQ_List3"/>
      <sheetName val="Break_Down3"/>
      <sheetName val="Supervision_List3"/>
      <sheetName val="PAGE_23"/>
      <sheetName val="Page_103"/>
      <sheetName val="간접비_총괄표3"/>
      <sheetName val="Eng_hour_DB3"/>
      <sheetName val="CRUDE_RE-bar3"/>
      <sheetName val="DUTCH_CONE3"/>
      <sheetName val="C급보_3"/>
      <sheetName val="Rectangular_Beam3"/>
      <sheetName val="COST_UP3"/>
      <sheetName val="PUMP_SHT3"/>
      <sheetName val="PAGE_3_GENERAL_DETAILS3"/>
      <sheetName val="적용_환율3"/>
      <sheetName val="GM_0003"/>
      <sheetName val="PRECAST_lightconc-II3"/>
      <sheetName val="Rev_No3"/>
      <sheetName val="Elect_(3)3"/>
      <sheetName val="2_Calculation_13"/>
      <sheetName val="TENDER_PROG_3"/>
      <sheetName val="PROC_PROG3"/>
      <sheetName val="Block_D3"/>
      <sheetName val="Datasheet_GLL_double_weir_(1)3"/>
      <sheetName val="_3"/>
      <sheetName val="eq_data__x005f_x0000__x003"/>
      <sheetName val="co-no_22"/>
      <sheetName val="33628-Rev__A3"/>
      <sheetName val="TYPE-B_평균H3"/>
      <sheetName val="6_공사비_내역_(가)3"/>
      <sheetName val="Sheet2_(2)3"/>
      <sheetName val="Form_A_12"/>
      <sheetName val="Form_A_1_12"/>
      <sheetName val="BOM_Indirect2"/>
      <sheetName val="Form_A_1_II_22"/>
      <sheetName val="6_GSTG_PIPING2"/>
      <sheetName val="NONS__2,1892"/>
      <sheetName val="내역서_2"/>
      <sheetName val="REF_ONLY2"/>
      <sheetName val="Reference_Table2"/>
      <sheetName val="CAL(1)_2"/>
      <sheetName val="member_design2"/>
      <sheetName val="soil_bearing_check2"/>
      <sheetName val="OCT_FDN2"/>
      <sheetName val="PRI_CIV2"/>
      <sheetName val="FOR_CIV2"/>
      <sheetName val="SUB_CIV2"/>
      <sheetName val="ANA_CIV2"/>
      <sheetName val="AUX_CIV2"/>
      <sheetName val="hori__vessel(E-895)2"/>
      <sheetName val="2_32"/>
      <sheetName val="S_N2"/>
      <sheetName val="Pipelines_ASAB_I-II_Brownfield2"/>
      <sheetName val="COMB_MNG&amp;STAFF_(ALL)__(2)2"/>
      <sheetName val="Loading_Table2"/>
      <sheetName val="SUMMARY_(0)3"/>
      <sheetName val="4_1구조설계2"/>
      <sheetName val="input_data-0909082"/>
      <sheetName val="Vent_Line_size2"/>
      <sheetName val="Expenses_per_Cost_Code_2"/>
      <sheetName val="MH_Estimation_Guide2"/>
      <sheetName val="공사비_내역_(가)2"/>
      <sheetName val="Comp_Rate_2"/>
      <sheetName val="HRG_BHN2"/>
      <sheetName val="Section_1~4(1)2"/>
      <sheetName val="Section_1~4_2"/>
      <sheetName val="Section_52"/>
      <sheetName val="Section_5_22"/>
      <sheetName val="Section_5_32"/>
      <sheetName val="Section_62"/>
      <sheetName val="Section_6_22"/>
      <sheetName val="Attachment_12"/>
      <sheetName val="Attachmenet_22"/>
      <sheetName val="Forecast_Drivers2"/>
      <sheetName val="Analisa_HS2"/>
      <sheetName val="Fill_this_out_first___4"/>
      <sheetName val="Fill_this_out_first___5"/>
      <sheetName val="RAW_MATERIALS_2"/>
      <sheetName val="COST-PERSON-J_O_2"/>
      <sheetName val="7_0_Crack_Check2"/>
      <sheetName val="축열조_기초2"/>
      <sheetName val="MEASURE_LIST2"/>
      <sheetName val="Don_gia2"/>
      <sheetName val="COST-EST_LTI_P5C2"/>
      <sheetName val="SLEIPNER_-_ORMEN_LANGE2"/>
      <sheetName val="전기_BM_revA('090624)_xls2"/>
      <sheetName val="定额_(06)2"/>
      <sheetName val="Q5434_EQ_LIST2"/>
      <sheetName val="motor_power2"/>
      <sheetName val="Data_12"/>
      <sheetName val="4-3LEVEL-5_epic_42"/>
      <sheetName val="Unit_Cost2"/>
      <sheetName val="4_단락전류2"/>
      <sheetName val="Coeff_2"/>
      <sheetName val="Exchange_rates2"/>
      <sheetName val="[fdn_bm_pro_xls]기계공사비집계(珆꭭/2"/>
      <sheetName val="Item_Dominan"/>
      <sheetName val="PCC_EAF"/>
      <sheetName val="PCC_LF"/>
      <sheetName val="4-Basic_Price"/>
      <sheetName val="_fdn_bm_pro_xls_기계공사비집계(珆꭭_"/>
      <sheetName val="BID_FORM"/>
      <sheetName val="Form_of_Bid"/>
      <sheetName val="INST_LIST"/>
      <sheetName val="MANPOWER_DIRECT_TRACKING"/>
      <sheetName val="Timescaled_Data"/>
      <sheetName val="Home_Office"/>
      <sheetName val="Code_02"/>
      <sheetName val="Code_03"/>
      <sheetName val="Code_04"/>
      <sheetName val="Code_05"/>
      <sheetName val="Code_06"/>
      <sheetName val="Code_07"/>
      <sheetName val="Code_09"/>
      <sheetName val="4300_UTILITY_BLDG_(2)"/>
      <sheetName val="Price_Breakdown(Building)"/>
      <sheetName val="2-SITE_"/>
      <sheetName val="eq_data_????"/>
      <sheetName val="자재집계_&amp;_총괄표"/>
      <sheetName val="Dati_base"/>
      <sheetName val="US_Inflation_Factors"/>
      <sheetName val="Cover_Page"/>
      <sheetName val="Finish_list"/>
      <sheetName val="Engrg_Est"/>
      <sheetName val="[fdn_bm_pro_xls]_fdn_bm_pro_x_2"/>
      <sheetName val="Unit__Price"/>
      <sheetName val="Div26_-_Elect"/>
      <sheetName val="eq_data__x1"/>
      <sheetName val="2_4_1_Elec_BOQ"/>
      <sheetName val="2_4_1_Inst_BOQ"/>
      <sheetName val="PTF_Report"/>
      <sheetName val="InsertListDrawing_1_"/>
      <sheetName val="BILL_Of_QUANTITIES"/>
      <sheetName val="fdn_bm_pro_xls기계공사비집계(珆꭭"/>
      <sheetName val="GASATAGG_XLS"/>
      <sheetName val="page_142"/>
      <sheetName val="가수금대체"/>
      <sheetName val="손익예상"/>
      <sheetName val="working"/>
      <sheetName val="배관내역"/>
      <sheetName val="공정현황"/>
      <sheetName val="PPJan'06"/>
      <sheetName val="PkRp"/>
      <sheetName val="Cost"/>
      <sheetName val="KEYS"/>
      <sheetName val="Eq. Mobilization"/>
      <sheetName val="COVER "/>
      <sheetName val="DTS schedule"/>
      <sheetName val="3.Procurement"/>
      <sheetName val="Data Pembukaan_1.1"/>
      <sheetName val="[fdn_bm_pro.xls]_fdn_bm_pro_x_3"/>
      <sheetName val="[fdn_bm_pro.xls]_fdn_bm_pro_x_4"/>
      <sheetName val="[fdn_bm_pro.xls]_fdn_bm_pro_x_5"/>
      <sheetName val="_fdn_bm_pro_xls_기계공사비집계(珆꭭_1"/>
      <sheetName val="eq_data ____"/>
      <sheetName val="_è"/>
      <sheetName val="_fdn_bm_pro.xls__fdn_bm_pro_x_2"/>
      <sheetName val="Pipe ID"/>
      <sheetName val="Step"/>
      <sheetName val="database"/>
      <sheetName val="5-Peralatan"/>
      <sheetName val="afis"/>
      <sheetName val="D&amp;W"/>
      <sheetName val="100"/>
      <sheetName val="104(1)a"/>
      <sheetName val="CT-35"/>
      <sheetName val="CT-0.4KV"/>
      <sheetName val="[fdn_bm_pro.xls]_fdn_bm_pro_x_6"/>
      <sheetName val="[fdn_bm_pro.xls]_fdn_bm_pro_x_7"/>
      <sheetName val="[fdn_bm_pro.xls]_fdn_bm_pro_x_8"/>
      <sheetName val="eq_data__x00"/>
      <sheetName val="listes"/>
      <sheetName val="Cutoff"/>
      <sheetName val="BEND_LOSS"/>
      <sheetName val="7_5_1(A)_Data9"/>
      <sheetName val="7_5_1(B)_BOQ_Breakdown9"/>
      <sheetName val="7_5_1(C)_Scope9"/>
      <sheetName val="7_5_1(D)_Basis9"/>
      <sheetName val="7_5_1(E)_Allowance9"/>
      <sheetName val="7_5_2_BOQ_Summary9"/>
      <sheetName val="7_5_3_BOQ9"/>
      <sheetName val="A__Erec_BOQ(Shop)9"/>
      <sheetName val="B__Erec_BOQ(Field)9"/>
      <sheetName val="C__Surface_Protection9"/>
      <sheetName val="A__Erec_BOQ(Shop)_(2)9"/>
      <sheetName val="B__Erec_BOQ(Field)_(2)9"/>
      <sheetName val="C__Surf_Protection9"/>
      <sheetName val="Attachment_#19"/>
      <sheetName val="Attachment_#29"/>
      <sheetName val="302_C19"/>
      <sheetName val="302_C29"/>
      <sheetName val="SUPPLY_(2)9"/>
      <sheetName val="RETURN_(2)9"/>
      <sheetName val="303_(2)9"/>
      <sheetName val="308_(2)9"/>
      <sheetName val="309_(2)9"/>
      <sheetName val="JUNCTION_BOX9"/>
      <sheetName val="PIPE_FITTING9"/>
      <sheetName val="TUBE_FITTING9"/>
      <sheetName val="CABLE_GLAND9"/>
      <sheetName val="CONS__EQUIP___9"/>
      <sheetName val="BLR_19"/>
      <sheetName val="REINF_9"/>
      <sheetName val="ITB_COST8"/>
      <sheetName val="97_사업추정(WEKI)8"/>
      <sheetName val="90EL_JACKET8"/>
      <sheetName val="보온_회사분8"/>
      <sheetName val="Cost_control8"/>
      <sheetName val="FIRE_FIGHTING8"/>
      <sheetName val="Tipo_Terzi7"/>
      <sheetName val="plan&amp;section_of_foundation7"/>
      <sheetName val="design_criteria7"/>
      <sheetName val="BM_DATA_SHEET7"/>
      <sheetName val="Mat_Stelo7"/>
      <sheetName val="Unit_SUM7"/>
      <sheetName val="1_설계기준6"/>
      <sheetName val="working_load_at_the_btm_ft_6"/>
      <sheetName val="stability_check6"/>
      <sheetName val="OUTER_AREA(겹침없음)6"/>
      <sheetName val="Material_Specification6"/>
      <sheetName val="special_item_양진규_작성6"/>
      <sheetName val="bill_26"/>
      <sheetName val="방유제용량_계산서6"/>
      <sheetName val="Break_Dw6"/>
      <sheetName val="표지_(2)6"/>
      <sheetName val="pile_bearing_capa_&amp;_arrenge6"/>
      <sheetName val="design_load6"/>
      <sheetName val="Fab__Skid6"/>
      <sheetName val="Sch_66"/>
      <sheetName val="INPUT_DATA6"/>
      <sheetName val="CAMP_OPERATING_COST6"/>
      <sheetName val="PERSONNEL_SETUP6"/>
      <sheetName val="LIST_OF_OFFICE_EQUIPMENT6"/>
      <sheetName val="STAFF&amp;INDIRECT_SALARY_-_SUMMAR6"/>
      <sheetName val="KOREAN_STAFF_SALARY_BREAKDOWN6"/>
      <sheetName val="WELFARE_COST_-_SITE6"/>
      <sheetName val="개시대사_(2)6"/>
      <sheetName val="입고장부_(4)6"/>
      <sheetName val="FEUILLE_INTERNE6"/>
      <sheetName val="COMPARISON_TABLE6"/>
      <sheetName val="L_V_Separator6"/>
      <sheetName val="CAMP_-_CONSTRUCTION6"/>
      <sheetName val="E_Rate_PM6"/>
      <sheetName val="Schedule_2_and_36"/>
      <sheetName val="CAL_6"/>
      <sheetName val="11_자재단가5"/>
      <sheetName val="1_OF_95"/>
      <sheetName val="Cover_sheet4"/>
      <sheetName val="BSD_(2)4"/>
      <sheetName val="TRAY_BM4"/>
      <sheetName val="Graph_(LGEN)4"/>
      <sheetName val="선적schedule_(2)4"/>
      <sheetName val="Summary_Sheets4"/>
      <sheetName val="품셈_4"/>
      <sheetName val="sc0314_Index4"/>
      <sheetName val="Resource_summary4"/>
      <sheetName val="배관물량_(STEEL)6"/>
      <sheetName val="Sheet_16"/>
      <sheetName val="w't_table4"/>
      <sheetName val="eq_data__x005f_x0000__x005f_x0000__x005f_x0000__4"/>
      <sheetName val="Struct-Grass_root4"/>
      <sheetName val="-15_04"/>
      <sheetName val="3_0_Overall_Progress_S-curve6"/>
      <sheetName val="3-4_SPI6"/>
      <sheetName val="General_Data6"/>
      <sheetName val="PRICE_COMP6"/>
      <sheetName val="A(Rev_3)6"/>
      <sheetName val="static_cal4"/>
      <sheetName val="crude_SLAB_RE-bar4"/>
      <sheetName val="7_6_3(B)_UG_Piping4"/>
      <sheetName val="PRICE_LIST4"/>
      <sheetName val="7_5_2_BOQ_Summary_4"/>
      <sheetName val="Rekap_A4"/>
      <sheetName val="paint_mat4"/>
      <sheetName val="VE_Estimate4"/>
      <sheetName val="TABLE2-2_OSBL-(SITE_PREP)4"/>
      <sheetName val="PAGE_24"/>
      <sheetName val="OFFER_RATE4"/>
      <sheetName val="Job_Data4"/>
      <sheetName val="Piping_Design_Data4"/>
      <sheetName val="Summary_20024"/>
      <sheetName val="ASME_B_36_10_M4"/>
      <sheetName val="Break_Down4"/>
      <sheetName val="Supervision_List4"/>
      <sheetName val="견적_집계4"/>
      <sheetName val="PULLING_SUPT등4"/>
      <sheetName val="Sheet1_(2)4"/>
      <sheetName val="PAGE_14"/>
      <sheetName val="_생산성_분석_체계_절차_xlsx4"/>
      <sheetName val="BQ_List4"/>
      <sheetName val="Page_104"/>
      <sheetName val="C급보_4"/>
      <sheetName val="Rectangular_Beam4"/>
      <sheetName val="간접비_총괄표4"/>
      <sheetName val="Eng_hour_DB4"/>
      <sheetName val="CRUDE_RE-bar4"/>
      <sheetName val="DUTCH_CONE4"/>
      <sheetName val="PAGE_3_GENERAL_DETAILS4"/>
      <sheetName val="적용_환율4"/>
      <sheetName val="GM_0004"/>
      <sheetName val="PRECAST_lightconc-II4"/>
      <sheetName val="Elect_(3)4"/>
      <sheetName val="Rev_No4"/>
      <sheetName val="COST_UP4"/>
      <sheetName val="PUMP_SHT4"/>
      <sheetName val="TENDER_PROG_4"/>
      <sheetName val="PROC_PROG4"/>
      <sheetName val="Block_D4"/>
      <sheetName val="2_Calculation_14"/>
      <sheetName val="Datasheet_GLL_double_weir_(1)4"/>
      <sheetName val="_4"/>
      <sheetName val="eq_data__x005f_x0000__x004"/>
      <sheetName val="33628-Rev__A4"/>
      <sheetName val="TYPE-B_평균H4"/>
      <sheetName val="6_공사비_내역_(가)4"/>
      <sheetName val="Sheet2_(2)4"/>
      <sheetName val="REF_ONLY3"/>
      <sheetName val="co-no_23"/>
      <sheetName val="Form_A_13"/>
      <sheetName val="Form_A_1_13"/>
      <sheetName val="BOM_Indirect3"/>
      <sheetName val="Form_A_1_II_23"/>
      <sheetName val="6_GSTG_PIPING3"/>
      <sheetName val="NONS__2,1893"/>
      <sheetName val="COMB_MNG&amp;STAFF_(ALL)__(2)3"/>
      <sheetName val="Reference_Table3"/>
      <sheetName val="CAL(1)_3"/>
      <sheetName val="member_design3"/>
      <sheetName val="soil_bearing_check3"/>
      <sheetName val="OCT_FDN3"/>
      <sheetName val="PRI_CIV3"/>
      <sheetName val="FOR_CIV3"/>
      <sheetName val="SUB_CIV3"/>
      <sheetName val="ANA_CIV3"/>
      <sheetName val="AUX_CIV3"/>
      <sheetName val="내역서_3"/>
      <sheetName val="hori__vessel(E-895)3"/>
      <sheetName val="2_33"/>
      <sheetName val="S_N3"/>
      <sheetName val="Loading_Table3"/>
      <sheetName val="SUMMARY_(0)4"/>
      <sheetName val="4_1구조설계3"/>
      <sheetName val="Pipelines_ASAB_I-II_Brownfield3"/>
      <sheetName val="MH_Estimation_Guide3"/>
      <sheetName val="공사비_내역_(가)3"/>
      <sheetName val="input_data-0909083"/>
      <sheetName val="HRG_BHN3"/>
      <sheetName val="Vent_Line_size3"/>
      <sheetName val="Expenses_per_Cost_Code_3"/>
      <sheetName val="Comp_Rate_3"/>
      <sheetName val="Analisa_HS3"/>
      <sheetName val="Section_1~4(1)3"/>
      <sheetName val="Section_1~4_3"/>
      <sheetName val="Section_53"/>
      <sheetName val="Section_5_23"/>
      <sheetName val="Section_5_33"/>
      <sheetName val="Section_63"/>
      <sheetName val="Section_6_23"/>
      <sheetName val="Attachment_13"/>
      <sheetName val="Attachmenet_23"/>
      <sheetName val="7_0_Crack_Check3"/>
      <sheetName val="축열조_기초3"/>
      <sheetName val="Fill_this_out_first___6"/>
      <sheetName val="Fill_this_out_first___7"/>
      <sheetName val="Forecast_Drivers3"/>
      <sheetName val="RAW_MATERIALS_3"/>
      <sheetName val="COST-PERSON-J_O_3"/>
      <sheetName val="MEASURE_LIST3"/>
      <sheetName val="Don_gia3"/>
      <sheetName val="COST-EST_LTI_P5C3"/>
      <sheetName val="SLEIPNER_-_ORMEN_LANGE3"/>
      <sheetName val="전기_BM_revA('090624)_xls3"/>
      <sheetName val="定额_(06)3"/>
      <sheetName val="Tie_Beam_GN1"/>
      <sheetName val="4_단락전류3"/>
      <sheetName val="Q5434_EQ_LIST3"/>
      <sheetName val="motor_power3"/>
      <sheetName val="Data_13"/>
      <sheetName val="4-3LEVEL-5_epic_43"/>
      <sheetName val="Unit_Cost3"/>
      <sheetName val="Coeff_3"/>
      <sheetName val="[fdn_bm_pro_xls]기계공사비집계(珆꭭/3"/>
      <sheetName val="96_121"/>
      <sheetName val="Exchange_rates3"/>
      <sheetName val="BID_FORM1"/>
      <sheetName val="Form_of_Bid1"/>
      <sheetName val="INST_LIST1"/>
      <sheetName val="Item_Dominan1"/>
      <sheetName val="Code_021"/>
      <sheetName val="Code_031"/>
      <sheetName val="Code_041"/>
      <sheetName val="Code_051"/>
      <sheetName val="Code_061"/>
      <sheetName val="Code_071"/>
      <sheetName val="Code_091"/>
      <sheetName val="4300_UTILITY_BLDG_(2)1"/>
      <sheetName val="Price_Breakdown(Building)1"/>
      <sheetName val="MANPOWER_DIRECT_TRACKING1"/>
      <sheetName val="Timescaled_Data1"/>
      <sheetName val="Home_Office1"/>
      <sheetName val="fdn_bm_pro_xls기계공사비집계(珆꭭1"/>
      <sheetName val="2-SITE_1"/>
      <sheetName val="eq_data_????1"/>
      <sheetName val="PCC_EAF1"/>
      <sheetName val="PCC_LF1"/>
      <sheetName val="4-Basic_Price1"/>
      <sheetName val="Finish_list1"/>
      <sheetName val="Dati_base1"/>
      <sheetName val="US_Inflation_Factors1"/>
      <sheetName val="Cover_Page1"/>
      <sheetName val="Unit__Price1"/>
      <sheetName val="자재집계_&amp;_총괄표1"/>
      <sheetName val="Engrg_Est1"/>
      <sheetName val="[fdn_bm_pro_xls]_fdn_bm_pro_x_1"/>
      <sheetName val="GASATAGG_XLS1"/>
      <sheetName val="BEND_LOSS1"/>
      <sheetName val="eq_data_2"/>
      <sheetName val="7_5_1(A)_Data10"/>
      <sheetName val="7_5_1(B)_BOQ_Breakdown10"/>
      <sheetName val="7_5_1(C)_Scope10"/>
      <sheetName val="7_5_1(D)_Basis10"/>
      <sheetName val="7_5_1(E)_Allowance10"/>
      <sheetName val="7_5_2_BOQ_Summary10"/>
      <sheetName val="7_5_3_BOQ10"/>
      <sheetName val="A__Erec_BOQ(Shop)10"/>
      <sheetName val="B__Erec_BOQ(Field)10"/>
      <sheetName val="C__Surface_Protection10"/>
      <sheetName val="A__Erec_BOQ(Shop)_(2)10"/>
      <sheetName val="B__Erec_BOQ(Field)_(2)10"/>
      <sheetName val="C__Surf_Protection10"/>
      <sheetName val="Attachment_#110"/>
      <sheetName val="Attachment_#210"/>
      <sheetName val="302_C110"/>
      <sheetName val="302_C210"/>
      <sheetName val="SUPPLY_(2)10"/>
      <sheetName val="RETURN_(2)10"/>
      <sheetName val="303_(2)10"/>
      <sheetName val="308_(2)10"/>
      <sheetName val="309_(2)10"/>
      <sheetName val="JUNCTION_BOX10"/>
      <sheetName val="PIPE_FITTING10"/>
      <sheetName val="TUBE_FITTING10"/>
      <sheetName val="CABLE_GLAND10"/>
      <sheetName val="CONS__EQUIP___10"/>
      <sheetName val="BLR_110"/>
      <sheetName val="REINF_10"/>
      <sheetName val="ITB_COST9"/>
      <sheetName val="97_사업추정(WEKI)9"/>
      <sheetName val="90EL_JACKET9"/>
      <sheetName val="보온_회사분9"/>
      <sheetName val="Cost_control9"/>
      <sheetName val="FIRE_FIGHTING9"/>
      <sheetName val="Tipo_Terzi8"/>
      <sheetName val="plan&amp;section_of_foundation8"/>
      <sheetName val="design_criteria8"/>
      <sheetName val="BM_DATA_SHEET8"/>
      <sheetName val="Mat_Stelo8"/>
      <sheetName val="Unit_SUM8"/>
      <sheetName val="1_설계기준7"/>
      <sheetName val="working_load_at_the_btm_ft_7"/>
      <sheetName val="stability_check7"/>
      <sheetName val="OUTER_AREA(겹침없음)7"/>
      <sheetName val="Material_Specification7"/>
      <sheetName val="special_item_양진규_작성7"/>
      <sheetName val="bill_27"/>
      <sheetName val="방유제용량_계산서7"/>
      <sheetName val="Break_Dw7"/>
      <sheetName val="표지_(2)7"/>
      <sheetName val="pile_bearing_capa_&amp;_arrenge7"/>
      <sheetName val="design_load7"/>
      <sheetName val="Fab__Skid7"/>
      <sheetName val="Sch_67"/>
      <sheetName val="INPUT_DATA7"/>
      <sheetName val="CAMP_OPERATING_COST7"/>
      <sheetName val="PERSONNEL_SETUP7"/>
      <sheetName val="LIST_OF_OFFICE_EQUIPMENT7"/>
      <sheetName val="STAFF&amp;INDIRECT_SALARY_-_SUMMAR7"/>
      <sheetName val="KOREAN_STAFF_SALARY_BREAKDOWN7"/>
      <sheetName val="WELFARE_COST_-_SITE7"/>
      <sheetName val="개시대사_(2)7"/>
      <sheetName val="입고장부_(4)7"/>
      <sheetName val="FEUILLE_INTERNE7"/>
      <sheetName val="COMPARISON_TABLE7"/>
      <sheetName val="L_V_Separator7"/>
      <sheetName val="CAMP_-_CONSTRUCTION7"/>
      <sheetName val="E_Rate_PM7"/>
      <sheetName val="Schedule_2_and_37"/>
      <sheetName val="CAL_7"/>
      <sheetName val="11_자재단가6"/>
      <sheetName val="1_OF_96"/>
      <sheetName val="Cover_sheet5"/>
      <sheetName val="BSD_(2)5"/>
      <sheetName val="TRAY_BM5"/>
      <sheetName val="Graph_(LGEN)5"/>
      <sheetName val="선적schedule_(2)5"/>
      <sheetName val="Summary_Sheets5"/>
      <sheetName val="품셈_5"/>
      <sheetName val="sc0314_Index5"/>
      <sheetName val="Resource_summary5"/>
      <sheetName val="배관물량_(STEEL)7"/>
      <sheetName val="Sheet_17"/>
      <sheetName val="w't_table5"/>
      <sheetName val="eq_data__x005f_x0000__x005f_x0000__x005f_x0000__5"/>
      <sheetName val="Struct-Grass_root5"/>
      <sheetName val="-15_05"/>
      <sheetName val="3_0_Overall_Progress_S-curve7"/>
      <sheetName val="3-4_SPI7"/>
      <sheetName val="General_Data7"/>
      <sheetName val="PRICE_COMP7"/>
      <sheetName val="A(Rev_3)7"/>
      <sheetName val="static_cal5"/>
      <sheetName val="crude_SLAB_RE-bar5"/>
      <sheetName val="7_6_3(B)_UG_Piping5"/>
      <sheetName val="PRICE_LIST5"/>
      <sheetName val="7_5_2_BOQ_Summary_5"/>
      <sheetName val="Rekap_A5"/>
      <sheetName val="paint_mat5"/>
      <sheetName val="VE_Estimate5"/>
      <sheetName val="TABLE2-2_OSBL-(SITE_PREP)5"/>
      <sheetName val="PAGE_25"/>
      <sheetName val="OFFER_RATE5"/>
      <sheetName val="Job_Data5"/>
      <sheetName val="Piping_Design_Data5"/>
      <sheetName val="Summary_20025"/>
      <sheetName val="ASME_B_36_10_M5"/>
      <sheetName val="Break_Down5"/>
      <sheetName val="Supervision_List5"/>
      <sheetName val="견적_집계5"/>
      <sheetName val="PULLING_SUPT등5"/>
      <sheetName val="Sheet1_(2)5"/>
      <sheetName val="PAGE_15"/>
      <sheetName val="_생산성_분석_체계_절차_xlsx5"/>
      <sheetName val="BQ_List5"/>
      <sheetName val="Page_105"/>
      <sheetName val="C급보_5"/>
      <sheetName val="Rectangular_Beam5"/>
      <sheetName val="간접비_총괄표5"/>
      <sheetName val="Eng_hour_DB5"/>
      <sheetName val="CRUDE_RE-bar5"/>
      <sheetName val="DUTCH_CONE5"/>
      <sheetName val="PAGE_3_GENERAL_DETAILS5"/>
      <sheetName val="적용_환율5"/>
      <sheetName val="GM_0005"/>
      <sheetName val="PRECAST_lightconc-II5"/>
      <sheetName val="Elect_(3)5"/>
      <sheetName val="Rev_No5"/>
      <sheetName val="COST_UP5"/>
      <sheetName val="PUMP_SHT5"/>
      <sheetName val="TENDER_PROG_5"/>
      <sheetName val="PROC_PROG5"/>
      <sheetName val="Block_D5"/>
      <sheetName val="2_Calculation_15"/>
      <sheetName val="Datasheet_GLL_double_weir_(1)5"/>
      <sheetName val="_5"/>
      <sheetName val="eq_data__x005f_x0000__x005"/>
      <sheetName val="33628-Rev__A5"/>
      <sheetName val="TYPE-B_평균H5"/>
      <sheetName val="6_공사비_내역_(가)5"/>
      <sheetName val="Sheet2_(2)5"/>
      <sheetName val="REF_ONLY4"/>
      <sheetName val="co-no_24"/>
      <sheetName val="Form_A_14"/>
      <sheetName val="Form_A_1_14"/>
      <sheetName val="BOM_Indirect4"/>
      <sheetName val="Form_A_1_II_24"/>
      <sheetName val="6_GSTG_PIPING4"/>
      <sheetName val="NONS__2,1894"/>
      <sheetName val="COMB_MNG&amp;STAFF_(ALL)__(2)4"/>
      <sheetName val="Reference_Table4"/>
      <sheetName val="CAL(1)_4"/>
      <sheetName val="member_design4"/>
      <sheetName val="soil_bearing_check4"/>
      <sheetName val="OCT_FDN4"/>
      <sheetName val="PRI_CIV4"/>
      <sheetName val="FOR_CIV4"/>
      <sheetName val="SUB_CIV4"/>
      <sheetName val="ANA_CIV4"/>
      <sheetName val="AUX_CIV4"/>
      <sheetName val="내역서_4"/>
      <sheetName val="hori__vessel(E-895)4"/>
      <sheetName val="2_34"/>
      <sheetName val="S_N4"/>
      <sheetName val="Loading_Table4"/>
      <sheetName val="SUMMARY_(0)5"/>
      <sheetName val="4_1구조설계4"/>
      <sheetName val="Pipelines_ASAB_I-II_Brownfield4"/>
      <sheetName val="MH_Estimation_Guide4"/>
      <sheetName val="공사비_내역_(가)4"/>
      <sheetName val="input_data-0909084"/>
      <sheetName val="HRG_BHN4"/>
      <sheetName val="Vent_Line_size4"/>
      <sheetName val="Expenses_per_Cost_Code_4"/>
      <sheetName val="Comp_Rate_4"/>
      <sheetName val="Analisa_HS4"/>
      <sheetName val="Section_1~4(1)4"/>
      <sheetName val="Section_1~4_4"/>
      <sheetName val="Section_54"/>
      <sheetName val="Section_5_24"/>
      <sheetName val="Section_5_34"/>
      <sheetName val="Section_64"/>
      <sheetName val="Section_6_24"/>
      <sheetName val="Attachment_14"/>
      <sheetName val="Attachmenet_24"/>
      <sheetName val="7_0_Crack_Check4"/>
      <sheetName val="축열조_기초4"/>
      <sheetName val="Fill_this_out_first___8"/>
      <sheetName val="Fill_this_out_first___9"/>
      <sheetName val="Forecast_Drivers4"/>
      <sheetName val="RAW_MATERIALS_4"/>
      <sheetName val="COST-PERSON-J_O_4"/>
      <sheetName val="MEASURE_LIST4"/>
      <sheetName val="Don_gia4"/>
      <sheetName val="COST-EST_LTI_P5C4"/>
      <sheetName val="SLEIPNER_-_ORMEN_LANGE4"/>
      <sheetName val="전기_BM_revA('090624)_xls4"/>
      <sheetName val="定额_(06)4"/>
      <sheetName val="Tie_Beam_GN2"/>
      <sheetName val="4_단락전류4"/>
      <sheetName val="system_&amp;_LOOK_UP_FUNC2"/>
      <sheetName val="Q5434_EQ_LIST4"/>
      <sheetName val="motor_power4"/>
      <sheetName val="Data_14"/>
      <sheetName val="4-3LEVEL-5_epic_44"/>
      <sheetName val="Unit_Cost4"/>
      <sheetName val="Coeff_4"/>
      <sheetName val="[fdn_bm_pro_xls]기계공사비집계(珆꭭/4"/>
      <sheetName val="96_122"/>
      <sheetName val="Exchange_rates4"/>
      <sheetName val="BID_FORM2"/>
      <sheetName val="Form_of_Bid2"/>
      <sheetName val="INST_LIST2"/>
      <sheetName val="Item_Dominan2"/>
      <sheetName val="Code_022"/>
      <sheetName val="Code_032"/>
      <sheetName val="Code_042"/>
      <sheetName val="Code_052"/>
      <sheetName val="Code_062"/>
      <sheetName val="Code_072"/>
      <sheetName val="Code_092"/>
      <sheetName val="4300_UTILITY_BLDG_(2)2"/>
      <sheetName val="Price_Breakdown(Building)2"/>
      <sheetName val="MANPOWER_DIRECT_TRACKING2"/>
      <sheetName val="Timescaled_Data2"/>
      <sheetName val="Home_Office2"/>
      <sheetName val="fdn_bm_pro_xls기계공사비집계(珆꭭2"/>
      <sheetName val="2-SITE_2"/>
      <sheetName val="eq_data_????2"/>
      <sheetName val="PCC_EAF2"/>
      <sheetName val="PCC_LF2"/>
      <sheetName val="4-Basic_Price2"/>
      <sheetName val="_fdn_bm_pro_xls_기계공사비집계(珆꭭_2"/>
      <sheetName val="Finish_list2"/>
      <sheetName val="Dati_base2"/>
      <sheetName val="US_Inflation_Factors2"/>
      <sheetName val="Cover_Page2"/>
      <sheetName val="Unit__Price2"/>
      <sheetName val="자재집계_&amp;_총괄표2"/>
      <sheetName val="Engrg_Est2"/>
      <sheetName val="[fdn_bm_pro_xls]_fdn_bm_pro_x_3"/>
      <sheetName val="GASATAGG_XLS2"/>
      <sheetName val="BEND_LOSS2"/>
      <sheetName val="eq_data_3"/>
      <sheetName val="7_5_1(A)_Data11"/>
      <sheetName val="7_5_1(B)_BOQ_Breakdown11"/>
      <sheetName val="7_5_1(C)_Scope11"/>
      <sheetName val="7_5_1(D)_Basis11"/>
      <sheetName val="7_5_1(E)_Allowance11"/>
      <sheetName val="7_5_2_BOQ_Summary11"/>
      <sheetName val="7_5_3_BOQ11"/>
      <sheetName val="A__Erec_BOQ(Shop)11"/>
      <sheetName val="B__Erec_BOQ(Field)11"/>
      <sheetName val="C__Surface_Protection11"/>
      <sheetName val="A__Erec_BOQ(Shop)_(2)11"/>
      <sheetName val="B__Erec_BOQ(Field)_(2)11"/>
      <sheetName val="C__Surf_Protection11"/>
      <sheetName val="Attachment_#111"/>
      <sheetName val="Attachment_#211"/>
      <sheetName val="302_C111"/>
      <sheetName val="302_C211"/>
      <sheetName val="SUPPLY_(2)11"/>
      <sheetName val="RETURN_(2)11"/>
      <sheetName val="303_(2)11"/>
      <sheetName val="308_(2)11"/>
      <sheetName val="309_(2)11"/>
      <sheetName val="JUNCTION_BOX11"/>
      <sheetName val="PIPE_FITTING11"/>
      <sheetName val="TUBE_FITTING11"/>
      <sheetName val="CABLE_GLAND11"/>
      <sheetName val="CONS__EQUIP___11"/>
      <sheetName val="BLR_111"/>
      <sheetName val="REINF_11"/>
      <sheetName val="ITB_COST10"/>
      <sheetName val="97_사업추정(WEKI)10"/>
      <sheetName val="90EL_JACKET10"/>
      <sheetName val="보온_회사분10"/>
      <sheetName val="Cost_control10"/>
      <sheetName val="FIRE_FIGHTING10"/>
      <sheetName val="Tipo_Terzi9"/>
      <sheetName val="plan&amp;section_of_foundation9"/>
      <sheetName val="design_criteria9"/>
      <sheetName val="BM_DATA_SHEET9"/>
      <sheetName val="Mat_Stelo9"/>
      <sheetName val="Unit_SUM9"/>
      <sheetName val="1_설계기준8"/>
      <sheetName val="working_load_at_the_btm_ft_8"/>
      <sheetName val="stability_check8"/>
      <sheetName val="OUTER_AREA(겹침없음)8"/>
      <sheetName val="Material_Specification8"/>
      <sheetName val="special_item_양진규_작성8"/>
      <sheetName val="bill_28"/>
      <sheetName val="방유제용량_계산서8"/>
      <sheetName val="Break_Dw8"/>
      <sheetName val="표지_(2)8"/>
      <sheetName val="pile_bearing_capa_&amp;_arrenge8"/>
      <sheetName val="design_load8"/>
      <sheetName val="Fab__Skid8"/>
      <sheetName val="Sch_68"/>
      <sheetName val="INPUT_DATA8"/>
      <sheetName val="CAMP_OPERATING_COST8"/>
      <sheetName val="PERSONNEL_SETUP8"/>
      <sheetName val="LIST_OF_OFFICE_EQUIPMENT8"/>
      <sheetName val="STAFF&amp;INDIRECT_SALARY_-_SUMMAR8"/>
      <sheetName val="KOREAN_STAFF_SALARY_BREAKDOWN8"/>
      <sheetName val="WELFARE_COST_-_SITE8"/>
      <sheetName val="개시대사_(2)8"/>
      <sheetName val="입고장부_(4)8"/>
      <sheetName val="FEUILLE_INTERNE8"/>
      <sheetName val="COMPARISON_TABLE8"/>
      <sheetName val="L_V_Separator8"/>
      <sheetName val="CAMP_-_CONSTRUCTION8"/>
      <sheetName val="E_Rate_PM8"/>
      <sheetName val="Schedule_2_and_38"/>
      <sheetName val="CAL_8"/>
      <sheetName val="11_자재단가7"/>
      <sheetName val="1_OF_97"/>
      <sheetName val="Cover_sheet6"/>
      <sheetName val="BSD_(2)6"/>
      <sheetName val="TRAY_BM6"/>
      <sheetName val="Graph_(LGEN)6"/>
      <sheetName val="선적schedule_(2)6"/>
      <sheetName val="Summary_Sheets6"/>
      <sheetName val="품셈_6"/>
      <sheetName val="sc0314_Index6"/>
      <sheetName val="Resource_summary6"/>
      <sheetName val="배관물량_(STEEL)8"/>
      <sheetName val="Sheet_18"/>
      <sheetName val="w't_table6"/>
      <sheetName val="eq_data__x005f_x0000__x005f_x0000__x005f_x0000__6"/>
      <sheetName val="Struct-Grass_root6"/>
      <sheetName val="-15_06"/>
      <sheetName val="3_0_Overall_Progress_S-curve8"/>
      <sheetName val="3-4_SPI8"/>
      <sheetName val="General_Data8"/>
      <sheetName val="PRICE_COMP8"/>
      <sheetName val="A(Rev_3)8"/>
      <sheetName val="static_cal6"/>
      <sheetName val="crude_SLAB_RE-bar6"/>
      <sheetName val="7_6_3(B)_UG_Piping6"/>
      <sheetName val="PRICE_LIST6"/>
      <sheetName val="7_5_2_BOQ_Summary_6"/>
      <sheetName val="Rekap_A6"/>
      <sheetName val="paint_mat6"/>
      <sheetName val="VE_Estimate6"/>
      <sheetName val="TABLE2-2_OSBL-(SITE_PREP)6"/>
      <sheetName val="PAGE_26"/>
      <sheetName val="OFFER_RATE6"/>
      <sheetName val="Job_Data6"/>
      <sheetName val="Piping_Design_Data6"/>
      <sheetName val="Summary_20026"/>
      <sheetName val="ASME_B_36_10_M6"/>
      <sheetName val="Break_Down6"/>
      <sheetName val="Supervision_List6"/>
      <sheetName val="견적_집계6"/>
      <sheetName val="PULLING_SUPT등6"/>
      <sheetName val="Sheet1_(2)6"/>
      <sheetName val="PAGE_16"/>
      <sheetName val="_생산성_분석_체계_절차_xlsx6"/>
      <sheetName val="BQ_List6"/>
      <sheetName val="Page_106"/>
      <sheetName val="C급보_6"/>
      <sheetName val="Rectangular_Beam6"/>
      <sheetName val="간접비_총괄표6"/>
      <sheetName val="Eng_hour_DB6"/>
      <sheetName val="CRUDE_RE-bar6"/>
      <sheetName val="DUTCH_CONE6"/>
      <sheetName val="PAGE_3_GENERAL_DETAILS6"/>
      <sheetName val="적용_환율6"/>
      <sheetName val="GM_0006"/>
      <sheetName val="PRECAST_lightconc-II6"/>
      <sheetName val="Elect_(3)6"/>
      <sheetName val="Rev_No6"/>
      <sheetName val="COST_UP6"/>
      <sheetName val="PUMP_SHT6"/>
      <sheetName val="TENDER_PROG_6"/>
      <sheetName val="PROC_PROG6"/>
      <sheetName val="Block_D6"/>
      <sheetName val="2_Calculation_16"/>
      <sheetName val="Datasheet_GLL_double_weir_(1)6"/>
      <sheetName val="_6"/>
      <sheetName val="eq_data__x005f_x0000__x006"/>
      <sheetName val="33628-Rev__A6"/>
      <sheetName val="TYPE-B_평균H6"/>
      <sheetName val="6_공사비_내역_(가)6"/>
      <sheetName val="Sheet2_(2)6"/>
      <sheetName val="REF_ONLY5"/>
      <sheetName val="co-no_25"/>
      <sheetName val="Form_A_15"/>
      <sheetName val="Form_A_1_15"/>
      <sheetName val="BOM_Indirect5"/>
      <sheetName val="Form_A_1_II_25"/>
      <sheetName val="6_GSTG_PIPING5"/>
      <sheetName val="NONS__2,1895"/>
      <sheetName val="COMB_MNG&amp;STAFF_(ALL)__(2)5"/>
      <sheetName val="Reference_Table5"/>
      <sheetName val="CAL(1)_5"/>
      <sheetName val="member_design5"/>
      <sheetName val="soil_bearing_check5"/>
      <sheetName val="OCT_FDN5"/>
      <sheetName val="PRI_CIV5"/>
      <sheetName val="FOR_CIV5"/>
      <sheetName val="SUB_CIV5"/>
      <sheetName val="ANA_CIV5"/>
      <sheetName val="AUX_CIV5"/>
      <sheetName val="내역서_5"/>
      <sheetName val="hori__vessel(E-895)5"/>
      <sheetName val="2_35"/>
      <sheetName val="S_N5"/>
      <sheetName val="Loading_Table5"/>
      <sheetName val="SUMMARY_(0)6"/>
      <sheetName val="4_1구조설계5"/>
      <sheetName val="Pipelines_ASAB_I-II_Brownfield5"/>
      <sheetName val="MH_Estimation_Guide5"/>
      <sheetName val="공사비_내역_(가)5"/>
      <sheetName val="input_data-0909085"/>
      <sheetName val="HRG_BHN5"/>
      <sheetName val="Vent_Line_size5"/>
      <sheetName val="Expenses_per_Cost_Code_5"/>
      <sheetName val="Comp_Rate_5"/>
      <sheetName val="Analisa_HS5"/>
      <sheetName val="Section_1~4(1)5"/>
      <sheetName val="Section_1~4_5"/>
      <sheetName val="Section_55"/>
      <sheetName val="Section_5_25"/>
      <sheetName val="Section_5_35"/>
      <sheetName val="Section_65"/>
      <sheetName val="Section_6_25"/>
      <sheetName val="Attachment_15"/>
      <sheetName val="Attachmenet_25"/>
      <sheetName val="7_0_Crack_Check5"/>
      <sheetName val="축열조_기초5"/>
      <sheetName val="Fill_this_out_first___10"/>
      <sheetName val="Fill_this_out_first___11"/>
      <sheetName val="Forecast_Drivers5"/>
      <sheetName val="RAW_MATERIALS_5"/>
      <sheetName val="COST-PERSON-J_O_5"/>
      <sheetName val="MEASURE_LIST5"/>
      <sheetName val="Don_gia5"/>
      <sheetName val="COST-EST_LTI_P5C5"/>
      <sheetName val="SLEIPNER_-_ORMEN_LANGE5"/>
      <sheetName val="전기_BM_revA('090624)_xls5"/>
      <sheetName val="定额_(06)5"/>
      <sheetName val="Tie_Beam_GN3"/>
      <sheetName val="4_단락전류5"/>
      <sheetName val="system_&amp;_LOOK_UP_FUNC3"/>
      <sheetName val="Q5434_EQ_LIST5"/>
      <sheetName val="motor_power5"/>
      <sheetName val="Data_15"/>
      <sheetName val="4-3LEVEL-5_epic_45"/>
      <sheetName val="Unit_Cost5"/>
      <sheetName val="Coeff_5"/>
      <sheetName val="[fdn_bm_pro_xls]기계공사비집계(珆꭭/5"/>
      <sheetName val="96_123"/>
      <sheetName val="Exchange_rates5"/>
      <sheetName val="BID_FORM3"/>
      <sheetName val="Form_of_Bid3"/>
      <sheetName val="INST_LIST3"/>
      <sheetName val="Item_Dominan3"/>
      <sheetName val="Code_023"/>
      <sheetName val="Code_033"/>
      <sheetName val="Code_043"/>
      <sheetName val="Code_053"/>
      <sheetName val="Code_063"/>
      <sheetName val="Code_073"/>
      <sheetName val="Code_093"/>
      <sheetName val="4300_UTILITY_BLDG_(2)3"/>
      <sheetName val="Price_Breakdown(Building)3"/>
      <sheetName val="MANPOWER_DIRECT_TRACKING3"/>
      <sheetName val="Timescaled_Data3"/>
      <sheetName val="Home_Office3"/>
      <sheetName val="fdn_bm_pro_xls기계공사비집계(珆꭭3"/>
      <sheetName val="2-SITE_3"/>
      <sheetName val="eq_data_????3"/>
      <sheetName val="PCC_EAF3"/>
      <sheetName val="PCC_LF3"/>
      <sheetName val="4-Basic_Price3"/>
      <sheetName val="_fdn_bm_pro_xls_기계공사비집계(珆꭭_3"/>
      <sheetName val="Finish_list3"/>
      <sheetName val="Dati_base3"/>
      <sheetName val="US_Inflation_Factors3"/>
      <sheetName val="Cover_Page3"/>
      <sheetName val="Unit__Price3"/>
      <sheetName val="자재집계_&amp;_총괄표3"/>
      <sheetName val="Engrg_Est3"/>
      <sheetName val="[fdn_bm_pro_xls]_fdn_bm_pro_x_4"/>
      <sheetName val="GASATAGG_XLS3"/>
      <sheetName val="BEND_LOSS3"/>
      <sheetName val="eq_data_4"/>
      <sheetName val="7_5_1(A)_Data12"/>
      <sheetName val="7_5_1(B)_BOQ_Breakdown12"/>
      <sheetName val="7_5_1(C)_Scope12"/>
      <sheetName val="7_5_1(D)_Basis12"/>
      <sheetName val="7_5_1(E)_Allowance12"/>
      <sheetName val="7_5_2_BOQ_Summary12"/>
      <sheetName val="7_5_3_BOQ12"/>
      <sheetName val="A__Erec_BOQ(Shop)12"/>
      <sheetName val="B__Erec_BOQ(Field)12"/>
      <sheetName val="C__Surface_Protection12"/>
      <sheetName val="A__Erec_BOQ(Shop)_(2)12"/>
      <sheetName val="B__Erec_BOQ(Field)_(2)12"/>
      <sheetName val="C__Surf_Protection12"/>
      <sheetName val="Attachment_#112"/>
      <sheetName val="Attachment_#212"/>
      <sheetName val="302_C112"/>
      <sheetName val="302_C212"/>
      <sheetName val="SUPPLY_(2)12"/>
      <sheetName val="RETURN_(2)12"/>
      <sheetName val="303_(2)12"/>
      <sheetName val="308_(2)12"/>
      <sheetName val="309_(2)12"/>
      <sheetName val="JUNCTION_BOX12"/>
      <sheetName val="PIPE_FITTING12"/>
      <sheetName val="TUBE_FITTING12"/>
      <sheetName val="CABLE_GLAND12"/>
      <sheetName val="CONS__EQUIP___12"/>
      <sheetName val="BLR_112"/>
      <sheetName val="REINF_12"/>
      <sheetName val="ITB_COST11"/>
      <sheetName val="97_사업추정(WEKI)11"/>
      <sheetName val="90EL_JACKET11"/>
      <sheetName val="보온_회사분11"/>
      <sheetName val="Cost_control11"/>
      <sheetName val="FIRE_FIGHTING11"/>
      <sheetName val="Tipo_Terzi10"/>
      <sheetName val="plan&amp;section_of_foundation10"/>
      <sheetName val="design_criteria10"/>
      <sheetName val="BM_DATA_SHEET10"/>
      <sheetName val="Mat_Stelo10"/>
      <sheetName val="Unit_SUM10"/>
      <sheetName val="1_설계기준9"/>
      <sheetName val="working_load_at_the_btm_ft_9"/>
      <sheetName val="stability_check9"/>
      <sheetName val="OUTER_AREA(겹침없음)9"/>
      <sheetName val="Material_Specification9"/>
      <sheetName val="special_item_양진규_작성9"/>
      <sheetName val="bill_29"/>
      <sheetName val="방유제용량_계산서9"/>
      <sheetName val="Break_Dw9"/>
      <sheetName val="표지_(2)9"/>
      <sheetName val="pile_bearing_capa_&amp;_arrenge9"/>
      <sheetName val="design_load9"/>
      <sheetName val="Fab__Skid9"/>
      <sheetName val="Sch_69"/>
      <sheetName val="INPUT_DATA9"/>
      <sheetName val="CAMP_OPERATING_COST9"/>
      <sheetName val="PERSONNEL_SETUP9"/>
      <sheetName val="LIST_OF_OFFICE_EQUIPMENT9"/>
      <sheetName val="STAFF&amp;INDIRECT_SALARY_-_SUMMAR9"/>
      <sheetName val="KOREAN_STAFF_SALARY_BREAKDOWN9"/>
      <sheetName val="WELFARE_COST_-_SITE9"/>
      <sheetName val="개시대사_(2)9"/>
      <sheetName val="입고장부_(4)9"/>
      <sheetName val="FEUILLE_INTERNE9"/>
      <sheetName val="COMPARISON_TABLE9"/>
      <sheetName val="L_V_Separator9"/>
      <sheetName val="CAMP_-_CONSTRUCTION9"/>
      <sheetName val="E_Rate_PM9"/>
      <sheetName val="Schedule_2_and_39"/>
      <sheetName val="CAL_9"/>
      <sheetName val="11_자재단가8"/>
      <sheetName val="1_OF_98"/>
      <sheetName val="Cover_sheet7"/>
      <sheetName val="BSD_(2)7"/>
      <sheetName val="TRAY_BM7"/>
      <sheetName val="Graph_(LGEN)7"/>
      <sheetName val="선적schedule_(2)7"/>
      <sheetName val="Summary_Sheets7"/>
      <sheetName val="품셈_7"/>
      <sheetName val="sc0314_Index7"/>
      <sheetName val="Resource_summary7"/>
      <sheetName val="배관물량_(STEEL)9"/>
      <sheetName val="Sheet_19"/>
      <sheetName val="w't_table7"/>
      <sheetName val="eq_data__x005f_x0000__x005f_x0000__x005f_x0000__7"/>
      <sheetName val="Struct-Grass_root7"/>
      <sheetName val="-15_07"/>
      <sheetName val="3_0_Overall_Progress_S-curve9"/>
      <sheetName val="3-4_SPI9"/>
      <sheetName val="General_Data9"/>
      <sheetName val="PRICE_COMP9"/>
      <sheetName val="A(Rev_3)9"/>
      <sheetName val="static_cal7"/>
      <sheetName val="crude_SLAB_RE-bar7"/>
      <sheetName val="7_6_3(B)_UG_Piping7"/>
      <sheetName val="PRICE_LIST7"/>
      <sheetName val="7_5_2_BOQ_Summary_7"/>
      <sheetName val="Rekap_A7"/>
      <sheetName val="paint_mat7"/>
      <sheetName val="VE_Estimate7"/>
      <sheetName val="TABLE2-2_OSBL-(SITE_PREP)7"/>
      <sheetName val="PAGE_27"/>
      <sheetName val="OFFER_RATE7"/>
      <sheetName val="Job_Data7"/>
      <sheetName val="Piping_Design_Data7"/>
      <sheetName val="Summary_20027"/>
      <sheetName val="ASME_B_36_10_M7"/>
      <sheetName val="Break_Down7"/>
      <sheetName val="Supervision_List7"/>
      <sheetName val="견적_집계7"/>
      <sheetName val="PULLING_SUPT등7"/>
      <sheetName val="Sheet1_(2)7"/>
      <sheetName val="PAGE_17"/>
      <sheetName val="_생산성_분석_체계_절차_xlsx7"/>
      <sheetName val="BQ_List7"/>
      <sheetName val="Page_107"/>
      <sheetName val="C급보_7"/>
      <sheetName val="Rectangular_Beam7"/>
      <sheetName val="간접비_총괄표7"/>
      <sheetName val="Eng_hour_DB7"/>
      <sheetName val="CRUDE_RE-bar7"/>
      <sheetName val="DUTCH_CONE7"/>
      <sheetName val="PAGE_3_GENERAL_DETAILS7"/>
      <sheetName val="적용_환율7"/>
      <sheetName val="GM_0007"/>
      <sheetName val="PRECAST_lightconc-II7"/>
      <sheetName val="Elect_(3)7"/>
      <sheetName val="Rev_No7"/>
      <sheetName val="COST_UP7"/>
      <sheetName val="PUMP_SHT7"/>
      <sheetName val="TENDER_PROG_7"/>
      <sheetName val="PROC_PROG7"/>
      <sheetName val="Block_D7"/>
      <sheetName val="2_Calculation_17"/>
      <sheetName val="Datasheet_GLL_double_weir_(1)7"/>
      <sheetName val="_7"/>
      <sheetName val="eq_data__x005f_x0000__x007"/>
      <sheetName val="33628-Rev__A7"/>
      <sheetName val="TYPE-B_평균H7"/>
      <sheetName val="6_공사비_내역_(가)7"/>
      <sheetName val="Sheet2_(2)7"/>
      <sheetName val="REF_ONLY6"/>
      <sheetName val="co-no_26"/>
      <sheetName val="Form_A_16"/>
      <sheetName val="Form_A_1_16"/>
      <sheetName val="BOM_Indirect6"/>
      <sheetName val="Form_A_1_II_26"/>
      <sheetName val="6_GSTG_PIPING6"/>
      <sheetName val="NONS__2,1896"/>
      <sheetName val="COMB_MNG&amp;STAFF_(ALL)__(2)6"/>
      <sheetName val="Reference_Table6"/>
      <sheetName val="CAL(1)_6"/>
      <sheetName val="member_design6"/>
      <sheetName val="soil_bearing_check6"/>
      <sheetName val="OCT_FDN6"/>
      <sheetName val="PRI_CIV6"/>
      <sheetName val="FOR_CIV6"/>
      <sheetName val="SUB_CIV6"/>
      <sheetName val="ANA_CIV6"/>
      <sheetName val="AUX_CIV6"/>
      <sheetName val="내역서_6"/>
      <sheetName val="hori__vessel(E-895)6"/>
      <sheetName val="2_36"/>
      <sheetName val="S_N6"/>
      <sheetName val="Loading_Table6"/>
      <sheetName val="SUMMARY_(0)7"/>
      <sheetName val="4_1구조설계6"/>
      <sheetName val="Pipelines_ASAB_I-II_Brownfield6"/>
      <sheetName val="MH_Estimation_Guide6"/>
      <sheetName val="공사비_내역_(가)6"/>
      <sheetName val="input_data-0909086"/>
      <sheetName val="HRG_BHN6"/>
      <sheetName val="Vent_Line_size6"/>
      <sheetName val="Expenses_per_Cost_Code_6"/>
      <sheetName val="Comp_Rate_6"/>
      <sheetName val="Analisa_HS6"/>
      <sheetName val="Section_1~4(1)6"/>
      <sheetName val="Section_1~4_6"/>
      <sheetName val="Section_56"/>
      <sheetName val="Section_5_26"/>
      <sheetName val="Section_5_36"/>
      <sheetName val="Section_66"/>
      <sheetName val="Section_6_26"/>
      <sheetName val="Attachment_16"/>
      <sheetName val="Attachmenet_26"/>
      <sheetName val="7_0_Crack_Check6"/>
      <sheetName val="축열조_기초6"/>
      <sheetName val="Fill_this_out_first___12"/>
      <sheetName val="Fill_this_out_first___13"/>
      <sheetName val="Forecast_Drivers6"/>
      <sheetName val="RAW_MATERIALS_6"/>
      <sheetName val="COST-PERSON-J_O_6"/>
      <sheetName val="MEASURE_LIST6"/>
      <sheetName val="Don_gia6"/>
      <sheetName val="COST-EST_LTI_P5C6"/>
      <sheetName val="SLEIPNER_-_ORMEN_LANGE6"/>
      <sheetName val="전기_BM_revA('090624)_xls6"/>
      <sheetName val="定额_(06)6"/>
      <sheetName val="Tie_Beam_GN4"/>
      <sheetName val="4_단락전류6"/>
      <sheetName val="system_&amp;_LOOK_UP_FUNC4"/>
      <sheetName val="Q5434_EQ_LIST6"/>
      <sheetName val="motor_power6"/>
      <sheetName val="Data_16"/>
      <sheetName val="4-3LEVEL-5_epic_46"/>
      <sheetName val="Unit_Cost6"/>
      <sheetName val="Coeff_6"/>
      <sheetName val="[fdn_bm_pro_xls]기계공사비집계(珆꭭/6"/>
      <sheetName val="96_124"/>
      <sheetName val="Exchange_rates6"/>
      <sheetName val="BID_FORM4"/>
      <sheetName val="Form_of_Bid4"/>
      <sheetName val="INST_LIST4"/>
      <sheetName val="Item_Dominan4"/>
      <sheetName val="Code_024"/>
      <sheetName val="Code_034"/>
      <sheetName val="Code_044"/>
      <sheetName val="Code_054"/>
      <sheetName val="Code_064"/>
      <sheetName val="Code_074"/>
      <sheetName val="Code_094"/>
      <sheetName val="4300_UTILITY_BLDG_(2)4"/>
      <sheetName val="Price_Breakdown(Building)4"/>
      <sheetName val="MANPOWER_DIRECT_TRACKING4"/>
      <sheetName val="Timescaled_Data4"/>
      <sheetName val="Home_Office4"/>
      <sheetName val="fdn_bm_pro_xls기계공사비집계(珆꭭4"/>
      <sheetName val="2-SITE_4"/>
      <sheetName val="eq_data_????4"/>
      <sheetName val="PCC_EAF4"/>
      <sheetName val="PCC_LF4"/>
      <sheetName val="4-Basic_Price4"/>
      <sheetName val="_fdn_bm_pro_xls_기계공사비집계(珆꭭_4"/>
      <sheetName val="Finish_list4"/>
      <sheetName val="Dati_base4"/>
      <sheetName val="US_Inflation_Factors4"/>
      <sheetName val="Cover_Page4"/>
      <sheetName val="Unit__Price4"/>
      <sheetName val="자재집계_&amp;_총괄표4"/>
      <sheetName val="Engrg_Est4"/>
      <sheetName val="[fdn_bm_pro_xls]_fdn_bm_pro_x_5"/>
      <sheetName val="GASATAGG_XLS4"/>
      <sheetName val="BEND_LOSS4"/>
      <sheetName val="eq_data_5"/>
      <sheetName val="7_5_1(A)_Data13"/>
      <sheetName val="7_5_1(B)_BOQ_Breakdown13"/>
      <sheetName val="7_5_1(C)_Scope13"/>
      <sheetName val="7_5_1(D)_Basis13"/>
      <sheetName val="7_5_1(E)_Allowance13"/>
      <sheetName val="7_5_2_BOQ_Summary13"/>
      <sheetName val="7_5_3_BOQ13"/>
      <sheetName val="A__Erec_BOQ(Shop)13"/>
      <sheetName val="B__Erec_BOQ(Field)13"/>
      <sheetName val="C__Surface_Protection13"/>
      <sheetName val="A__Erec_BOQ(Shop)_(2)13"/>
      <sheetName val="B__Erec_BOQ(Field)_(2)13"/>
      <sheetName val="C__Surf_Protection13"/>
      <sheetName val="Attachment_#113"/>
      <sheetName val="Attachment_#213"/>
      <sheetName val="302_C113"/>
      <sheetName val="302_C213"/>
      <sheetName val="SUPPLY_(2)13"/>
      <sheetName val="RETURN_(2)13"/>
      <sheetName val="303_(2)13"/>
      <sheetName val="308_(2)13"/>
      <sheetName val="309_(2)13"/>
      <sheetName val="JUNCTION_BOX13"/>
      <sheetName val="PIPE_FITTING13"/>
      <sheetName val="TUBE_FITTING13"/>
      <sheetName val="CABLE_GLAND13"/>
      <sheetName val="CONS__EQUIP___13"/>
      <sheetName val="BLR_113"/>
      <sheetName val="REINF_13"/>
      <sheetName val="ITB_COST12"/>
      <sheetName val="97_사업추정(WEKI)12"/>
      <sheetName val="90EL_JACKET12"/>
      <sheetName val="보온_회사분12"/>
      <sheetName val="Cost_control12"/>
      <sheetName val="FIRE_FIGHTING12"/>
      <sheetName val="Tipo_Terzi11"/>
      <sheetName val="plan&amp;section_of_foundation11"/>
      <sheetName val="design_criteria11"/>
      <sheetName val="BM_DATA_SHEET11"/>
      <sheetName val="Mat_Stelo11"/>
      <sheetName val="Unit_SUM11"/>
      <sheetName val="1_설계기준10"/>
      <sheetName val="working_load_at_the_btm_ft_10"/>
      <sheetName val="stability_check10"/>
      <sheetName val="OUTER_AREA(겹침없음)10"/>
      <sheetName val="Material_Specification10"/>
      <sheetName val="special_item_양진규_작성10"/>
      <sheetName val="bill_210"/>
      <sheetName val="방유제용량_계산서10"/>
      <sheetName val="Break_Dw10"/>
      <sheetName val="표지_(2)10"/>
      <sheetName val="pile_bearing_capa_&amp;_arrenge10"/>
      <sheetName val="design_load10"/>
      <sheetName val="Fab__Skid10"/>
      <sheetName val="Sch_610"/>
      <sheetName val="INPUT_DATA10"/>
      <sheetName val="CAMP_OPERATING_COST10"/>
      <sheetName val="PERSONNEL_SETUP10"/>
      <sheetName val="LIST_OF_OFFICE_EQUIPMENT10"/>
      <sheetName val="STAFF&amp;INDIRECT_SALARY_-_SUMMA10"/>
      <sheetName val="KOREAN_STAFF_SALARY_BREAKDOWN10"/>
      <sheetName val="WELFARE_COST_-_SITE10"/>
      <sheetName val="개시대사_(2)10"/>
      <sheetName val="입고장부_(4)10"/>
      <sheetName val="FEUILLE_INTERNE10"/>
      <sheetName val="COMPARISON_TABLE10"/>
      <sheetName val="L_V_Separator10"/>
      <sheetName val="CAMP_-_CONSTRUCTION10"/>
      <sheetName val="E_Rate_PM10"/>
      <sheetName val="Schedule_2_and_310"/>
      <sheetName val="CAL_10"/>
      <sheetName val="11_자재단가9"/>
      <sheetName val="1_OF_99"/>
      <sheetName val="Cover_sheet8"/>
      <sheetName val="BSD_(2)8"/>
      <sheetName val="TRAY_BM8"/>
      <sheetName val="Graph_(LGEN)8"/>
      <sheetName val="선적schedule_(2)8"/>
      <sheetName val="Summary_Sheets8"/>
      <sheetName val="품셈_8"/>
      <sheetName val="sc0314_Index8"/>
      <sheetName val="Resource_summary8"/>
      <sheetName val="배관물량_(STEEL)10"/>
      <sheetName val="Sheet_110"/>
      <sheetName val="w't_table8"/>
      <sheetName val="eq_data__x005f_x0000__x005f_x0000__x005f_x0000__8"/>
      <sheetName val="Struct-Grass_root8"/>
      <sheetName val="-15_08"/>
      <sheetName val="3_0_Overall_Progress_S-curve10"/>
      <sheetName val="3-4_SPI10"/>
      <sheetName val="General_Data10"/>
      <sheetName val="PRICE_COMP10"/>
      <sheetName val="A(Rev_3)10"/>
      <sheetName val="static_cal8"/>
      <sheetName val="crude_SLAB_RE-bar8"/>
      <sheetName val="7_6_3(B)_UG_Piping8"/>
      <sheetName val="PRICE_LIST8"/>
      <sheetName val="7_5_2_BOQ_Summary_8"/>
      <sheetName val="Rekap_A8"/>
      <sheetName val="paint_mat8"/>
      <sheetName val="VE_Estimate8"/>
      <sheetName val="TABLE2-2_OSBL-(SITE_PREP)8"/>
      <sheetName val="PAGE_28"/>
      <sheetName val="OFFER_RATE8"/>
      <sheetName val="Job_Data8"/>
      <sheetName val="Piping_Design_Data8"/>
      <sheetName val="Summary_20028"/>
      <sheetName val="ASME_B_36_10_M8"/>
      <sheetName val="Break_Down8"/>
      <sheetName val="Supervision_List8"/>
      <sheetName val="견적_집계8"/>
      <sheetName val="PULLING_SUPT등8"/>
      <sheetName val="Sheet1_(2)8"/>
      <sheetName val="PAGE_18"/>
      <sheetName val="_생산성_분석_체계_절차_xlsx8"/>
      <sheetName val="BQ_List8"/>
      <sheetName val="Page_108"/>
      <sheetName val="C급보_8"/>
      <sheetName val="Rectangular_Beam8"/>
      <sheetName val="간접비_총괄표8"/>
      <sheetName val="Eng_hour_DB8"/>
      <sheetName val="CRUDE_RE-bar8"/>
      <sheetName val="DUTCH_CONE8"/>
      <sheetName val="PAGE_3_GENERAL_DETAILS8"/>
      <sheetName val="적용_환율8"/>
      <sheetName val="GM_0008"/>
      <sheetName val="PRECAST_lightconc-II8"/>
      <sheetName val="Elect_(3)8"/>
      <sheetName val="Rev_No8"/>
      <sheetName val="COST_UP8"/>
      <sheetName val="PUMP_SHT8"/>
      <sheetName val="TENDER_PROG_8"/>
      <sheetName val="PROC_PROG8"/>
      <sheetName val="Block_D8"/>
      <sheetName val="2_Calculation_18"/>
      <sheetName val="Datasheet_GLL_double_weir_(1)8"/>
      <sheetName val="_8"/>
      <sheetName val="eq_data__x005f_x0000__x008"/>
      <sheetName val="33628-Rev__A8"/>
      <sheetName val="TYPE-B_평균H8"/>
      <sheetName val="6_공사비_내역_(가)8"/>
      <sheetName val="Sheet2_(2)8"/>
      <sheetName val="REF_ONLY7"/>
      <sheetName val="co-no_27"/>
      <sheetName val="Form_A_17"/>
      <sheetName val="Form_A_1_17"/>
      <sheetName val="BOM_Indirect7"/>
      <sheetName val="Form_A_1_II_27"/>
      <sheetName val="6_GSTG_PIPING7"/>
      <sheetName val="NONS__2,1897"/>
      <sheetName val="COMB_MNG&amp;STAFF_(ALL)__(2)7"/>
      <sheetName val="Reference_Table7"/>
      <sheetName val="CAL(1)_7"/>
      <sheetName val="member_design7"/>
      <sheetName val="soil_bearing_check7"/>
      <sheetName val="OCT_FDN7"/>
      <sheetName val="PRI_CIV7"/>
      <sheetName val="FOR_CIV7"/>
      <sheetName val="SUB_CIV7"/>
      <sheetName val="ANA_CIV7"/>
      <sheetName val="AUX_CIV7"/>
      <sheetName val="내역서_7"/>
      <sheetName val="hori__vessel(E-895)7"/>
      <sheetName val="2_37"/>
      <sheetName val="S_N7"/>
      <sheetName val="Loading_Table7"/>
      <sheetName val="SUMMARY_(0)8"/>
      <sheetName val="4_1구조설계7"/>
      <sheetName val="Pipelines_ASAB_I-II_Brownfield7"/>
      <sheetName val="MH_Estimation_Guide7"/>
      <sheetName val="공사비_내역_(가)7"/>
      <sheetName val="input_data-0909087"/>
      <sheetName val="HRG_BHN7"/>
      <sheetName val="Vent_Line_size7"/>
      <sheetName val="Expenses_per_Cost_Code_7"/>
      <sheetName val="Comp_Rate_7"/>
      <sheetName val="Analisa_HS7"/>
      <sheetName val="Section_1~4(1)7"/>
      <sheetName val="Section_1~4_7"/>
      <sheetName val="Section_57"/>
      <sheetName val="Section_5_27"/>
      <sheetName val="Section_5_37"/>
      <sheetName val="Section_67"/>
      <sheetName val="Section_6_27"/>
      <sheetName val="Attachment_17"/>
      <sheetName val="Attachmenet_27"/>
      <sheetName val="7_0_Crack_Check7"/>
      <sheetName val="축열조_기초7"/>
      <sheetName val="Fill_this_out_first___14"/>
      <sheetName val="Fill_this_out_first___15"/>
      <sheetName val="Forecast_Drivers7"/>
      <sheetName val="RAW_MATERIALS_7"/>
      <sheetName val="COST-PERSON-J_O_7"/>
      <sheetName val="MEASURE_LIST7"/>
      <sheetName val="Don_gia7"/>
      <sheetName val="COST-EST_LTI_P5C7"/>
      <sheetName val="SLEIPNER_-_ORMEN_LANGE7"/>
      <sheetName val="전기_BM_revA('090624)_xls7"/>
      <sheetName val="定额_(06)7"/>
      <sheetName val="Tie_Beam_GN5"/>
      <sheetName val="4_단락전류7"/>
      <sheetName val="system_&amp;_LOOK_UP_FUNC5"/>
      <sheetName val="Q5434_EQ_LIST7"/>
      <sheetName val="motor_power7"/>
      <sheetName val="Data_17"/>
      <sheetName val="4-3LEVEL-5_epic_47"/>
      <sheetName val="Unit_Cost7"/>
      <sheetName val="Coeff_7"/>
      <sheetName val="[fdn_bm_pro_xls]기계공사비집계(珆꭭/7"/>
      <sheetName val="96_125"/>
      <sheetName val="Exchange_rates7"/>
      <sheetName val="BID_FORM5"/>
      <sheetName val="Form_of_Bid5"/>
      <sheetName val="INST_LIST5"/>
      <sheetName val="Item_Dominan5"/>
      <sheetName val="Code_025"/>
      <sheetName val="Code_035"/>
      <sheetName val="Code_045"/>
      <sheetName val="Code_055"/>
      <sheetName val="Code_065"/>
      <sheetName val="Code_075"/>
      <sheetName val="Code_095"/>
      <sheetName val="4300_UTILITY_BLDG_(2)5"/>
      <sheetName val="Price_Breakdown(Building)5"/>
      <sheetName val="MANPOWER_DIRECT_TRACKING5"/>
      <sheetName val="Timescaled_Data5"/>
      <sheetName val="Home_Office5"/>
      <sheetName val="fdn_bm_pro_xls기계공사비집계(珆꭭5"/>
      <sheetName val="2-SITE_5"/>
      <sheetName val="eq_data_????5"/>
      <sheetName val="PCC_EAF5"/>
      <sheetName val="PCC_LF5"/>
      <sheetName val="4-Basic_Price5"/>
      <sheetName val="_fdn_bm_pro_xls_기계공사비집계(珆꭭_5"/>
      <sheetName val="Finish_list5"/>
      <sheetName val="Dati_base5"/>
      <sheetName val="US_Inflation_Factors5"/>
      <sheetName val="Cover_Page5"/>
      <sheetName val="Unit__Price5"/>
      <sheetName val="자재집계_&amp;_총괄표5"/>
      <sheetName val="Engrg_Est5"/>
      <sheetName val="[fdn_bm_pro_xls]_fdn_bm_pro_x_6"/>
      <sheetName val="GASATAGG_XLS5"/>
      <sheetName val="BEND_LOSS5"/>
      <sheetName val="eq_data_6"/>
      <sheetName val="7_5_1(A)_Data14"/>
      <sheetName val="7_5_1(B)_BOQ_Breakdown14"/>
      <sheetName val="7_5_1(C)_Scope14"/>
      <sheetName val="7_5_1(D)_Basis14"/>
      <sheetName val="7_5_1(E)_Allowance14"/>
      <sheetName val="7_5_2_BOQ_Summary14"/>
      <sheetName val="7_5_3_BOQ14"/>
      <sheetName val="A__Erec_BOQ(Shop)14"/>
      <sheetName val="B__Erec_BOQ(Field)14"/>
      <sheetName val="C__Surface_Protection14"/>
      <sheetName val="A__Erec_BOQ(Shop)_(2)14"/>
      <sheetName val="B__Erec_BOQ(Field)_(2)14"/>
      <sheetName val="C__Surf_Protection14"/>
      <sheetName val="Attachment_#114"/>
      <sheetName val="Attachment_#214"/>
      <sheetName val="302_C114"/>
      <sheetName val="302_C214"/>
      <sheetName val="SUPPLY_(2)14"/>
      <sheetName val="RETURN_(2)14"/>
      <sheetName val="303_(2)14"/>
      <sheetName val="308_(2)14"/>
      <sheetName val="309_(2)14"/>
      <sheetName val="JUNCTION_BOX14"/>
      <sheetName val="PIPE_FITTING14"/>
      <sheetName val="TUBE_FITTING14"/>
      <sheetName val="CABLE_GLAND14"/>
      <sheetName val="CONS__EQUIP___14"/>
      <sheetName val="BLR_114"/>
      <sheetName val="REINF_14"/>
      <sheetName val="ITB_COST13"/>
      <sheetName val="97_사업추정(WEKI)13"/>
      <sheetName val="90EL_JACKET13"/>
      <sheetName val="보온_회사분13"/>
      <sheetName val="Cost_control13"/>
      <sheetName val="FIRE_FIGHTING13"/>
      <sheetName val="Tipo_Terzi12"/>
      <sheetName val="plan&amp;section_of_foundation12"/>
      <sheetName val="design_criteria12"/>
      <sheetName val="BM_DATA_SHEET12"/>
      <sheetName val="Mat_Stelo12"/>
      <sheetName val="Unit_SUM12"/>
      <sheetName val="1_설계기준11"/>
      <sheetName val="working_load_at_the_btm_ft_11"/>
      <sheetName val="stability_check11"/>
      <sheetName val="OUTER_AREA(겹침없음)11"/>
      <sheetName val="Material_Specification11"/>
      <sheetName val="special_item_양진규_작성11"/>
      <sheetName val="bill_211"/>
      <sheetName val="방유제용량_계산서11"/>
      <sheetName val="Break_Dw11"/>
      <sheetName val="표지_(2)11"/>
      <sheetName val="pile_bearing_capa_&amp;_arrenge11"/>
      <sheetName val="design_load11"/>
      <sheetName val="Fab__Skid11"/>
      <sheetName val="Sch_611"/>
      <sheetName val="INPUT_DATA11"/>
      <sheetName val="CAMP_OPERATING_COST11"/>
      <sheetName val="PERSONNEL_SETUP11"/>
      <sheetName val="LIST_OF_OFFICE_EQUIPMENT11"/>
      <sheetName val="STAFF&amp;INDIRECT_SALARY_-_SUMMA11"/>
      <sheetName val="KOREAN_STAFF_SALARY_BREAKDOWN11"/>
      <sheetName val="WELFARE_COST_-_SITE11"/>
      <sheetName val="개시대사_(2)11"/>
      <sheetName val="입고장부_(4)11"/>
      <sheetName val="FEUILLE_INTERNE11"/>
      <sheetName val="COMPARISON_TABLE11"/>
      <sheetName val="L_V_Separator11"/>
      <sheetName val="CAMP_-_CONSTRUCTION11"/>
      <sheetName val="E_Rate_PM11"/>
      <sheetName val="Schedule_2_and_311"/>
      <sheetName val="CAL_11"/>
      <sheetName val="11_자재단가10"/>
      <sheetName val="1_OF_910"/>
      <sheetName val="Cover_sheet9"/>
      <sheetName val="BSD_(2)9"/>
      <sheetName val="TRAY_BM9"/>
      <sheetName val="Graph_(LGEN)9"/>
      <sheetName val="선적schedule_(2)9"/>
      <sheetName val="Summary_Sheets9"/>
      <sheetName val="품셈_9"/>
      <sheetName val="sc0314_Index9"/>
      <sheetName val="Resource_summary9"/>
      <sheetName val="배관물량_(STEEL)11"/>
      <sheetName val="Sheet_111"/>
      <sheetName val="w't_table9"/>
      <sheetName val="eq_data__x005f_x0000__x005f_x0000__x005f_x0000__9"/>
      <sheetName val="Struct-Grass_root9"/>
      <sheetName val="-15_09"/>
      <sheetName val="3_0_Overall_Progress_S-curve11"/>
      <sheetName val="3-4_SPI11"/>
      <sheetName val="General_Data11"/>
      <sheetName val="PRICE_COMP11"/>
      <sheetName val="A(Rev_3)11"/>
      <sheetName val="static_cal9"/>
      <sheetName val="crude_SLAB_RE-bar9"/>
      <sheetName val="7_6_3(B)_UG_Piping9"/>
      <sheetName val="PRICE_LIST9"/>
      <sheetName val="7_5_2_BOQ_Summary_9"/>
      <sheetName val="Rekap_A9"/>
      <sheetName val="paint_mat9"/>
      <sheetName val="VE_Estimate9"/>
      <sheetName val="TABLE2-2_OSBL-(SITE_PREP)9"/>
      <sheetName val="PAGE_29"/>
      <sheetName val="OFFER_RATE9"/>
      <sheetName val="Job_Data9"/>
      <sheetName val="Piping_Design_Data9"/>
      <sheetName val="Summary_20029"/>
      <sheetName val="ASME_B_36_10_M9"/>
      <sheetName val="Break_Down9"/>
      <sheetName val="Supervision_List9"/>
      <sheetName val="견적_집계9"/>
      <sheetName val="PULLING_SUPT등9"/>
      <sheetName val="Sheet1_(2)9"/>
      <sheetName val="PAGE_19"/>
      <sheetName val="_생산성_분석_체계_절차_xlsx9"/>
      <sheetName val="BQ_List9"/>
      <sheetName val="Page_109"/>
      <sheetName val="C급보_9"/>
      <sheetName val="Rectangular_Beam9"/>
      <sheetName val="간접비_총괄표9"/>
      <sheetName val="Eng_hour_DB9"/>
      <sheetName val="CRUDE_RE-bar9"/>
      <sheetName val="DUTCH_CONE9"/>
      <sheetName val="PAGE_3_GENERAL_DETAILS9"/>
      <sheetName val="적용_환율9"/>
      <sheetName val="GM_0009"/>
      <sheetName val="PRECAST_lightconc-II9"/>
      <sheetName val="Elect_(3)9"/>
      <sheetName val="Rev_No9"/>
      <sheetName val="COST_UP9"/>
      <sheetName val="PUMP_SHT9"/>
      <sheetName val="TENDER_PROG_9"/>
      <sheetName val="PROC_PROG9"/>
      <sheetName val="Block_D9"/>
      <sheetName val="2_Calculation_19"/>
      <sheetName val="Datasheet_GLL_double_weir_(1)9"/>
      <sheetName val="_9"/>
      <sheetName val="eq_data__x005f_x0000__x009"/>
      <sheetName val="33628-Rev__A9"/>
      <sheetName val="TYPE-B_평균H9"/>
      <sheetName val="6_공사비_내역_(가)9"/>
      <sheetName val="Sheet2_(2)9"/>
      <sheetName val="REF_ONLY8"/>
      <sheetName val="co-no_28"/>
      <sheetName val="Form_A_18"/>
      <sheetName val="Form_A_1_18"/>
      <sheetName val="BOM_Indirect8"/>
      <sheetName val="Form_A_1_II_28"/>
      <sheetName val="6_GSTG_PIPING8"/>
      <sheetName val="NONS__2,1898"/>
      <sheetName val="COMB_MNG&amp;STAFF_(ALL)__(2)8"/>
      <sheetName val="Reference_Table8"/>
      <sheetName val="CAL(1)_8"/>
      <sheetName val="member_design8"/>
      <sheetName val="soil_bearing_check8"/>
      <sheetName val="OCT_FDN8"/>
      <sheetName val="PRI_CIV8"/>
      <sheetName val="FOR_CIV8"/>
      <sheetName val="SUB_CIV8"/>
      <sheetName val="ANA_CIV8"/>
      <sheetName val="AUX_CIV8"/>
      <sheetName val="내역서_8"/>
      <sheetName val="hori__vessel(E-895)8"/>
      <sheetName val="2_38"/>
      <sheetName val="S_N8"/>
      <sheetName val="Loading_Table8"/>
      <sheetName val="SUMMARY_(0)9"/>
      <sheetName val="4_1구조설계8"/>
      <sheetName val="Pipelines_ASAB_I-II_Brownfield8"/>
      <sheetName val="MH_Estimation_Guide8"/>
      <sheetName val="공사비_내역_(가)8"/>
      <sheetName val="input_data-0909088"/>
      <sheetName val="HRG_BHN8"/>
      <sheetName val="Vent_Line_size8"/>
      <sheetName val="Expenses_per_Cost_Code_8"/>
      <sheetName val="Comp_Rate_8"/>
      <sheetName val="Analisa_HS8"/>
      <sheetName val="Section_1~4(1)8"/>
      <sheetName val="Section_1~4_8"/>
      <sheetName val="Section_58"/>
      <sheetName val="Section_5_28"/>
      <sheetName val="Section_5_38"/>
      <sheetName val="Section_68"/>
      <sheetName val="Section_6_28"/>
      <sheetName val="Attachment_18"/>
      <sheetName val="Attachmenet_28"/>
      <sheetName val="7_0_Crack_Check8"/>
      <sheetName val="축열조_기초8"/>
      <sheetName val="Fill_this_out_first___16"/>
      <sheetName val="Fill_this_out_first___17"/>
      <sheetName val="Forecast_Drivers8"/>
      <sheetName val="RAW_MATERIALS_8"/>
      <sheetName val="COST-PERSON-J_O_8"/>
      <sheetName val="MEASURE_LIST8"/>
      <sheetName val="Don_gia8"/>
      <sheetName val="COST-EST_LTI_P5C8"/>
      <sheetName val="SLEIPNER_-_ORMEN_LANGE8"/>
      <sheetName val="전기_BM_revA('090624)_xls8"/>
      <sheetName val="定额_(06)8"/>
      <sheetName val="Tie_Beam_GN6"/>
      <sheetName val="4_단락전류8"/>
      <sheetName val="system_&amp;_LOOK_UP_FUNC6"/>
      <sheetName val="Q5434_EQ_LIST8"/>
      <sheetName val="motor_power8"/>
      <sheetName val="Data_18"/>
      <sheetName val="4-3LEVEL-5_epic_48"/>
      <sheetName val="Unit_Cost8"/>
      <sheetName val="Coeff_8"/>
      <sheetName val="[fdn_bm_pro_xls]기계공사비집계(珆꭭/8"/>
      <sheetName val="96_126"/>
      <sheetName val="Exchange_rates8"/>
      <sheetName val="BID_FORM6"/>
      <sheetName val="Form_of_Bid6"/>
      <sheetName val="INST_LIST6"/>
      <sheetName val="Item_Dominan6"/>
      <sheetName val="Code_026"/>
      <sheetName val="Code_036"/>
      <sheetName val="Code_046"/>
      <sheetName val="Code_056"/>
      <sheetName val="Code_066"/>
      <sheetName val="Code_076"/>
      <sheetName val="Code_096"/>
      <sheetName val="4300_UTILITY_BLDG_(2)6"/>
      <sheetName val="Price_Breakdown(Building)6"/>
      <sheetName val="MANPOWER_DIRECT_TRACKING6"/>
      <sheetName val="Timescaled_Data6"/>
      <sheetName val="Home_Office6"/>
      <sheetName val="fdn_bm_pro_xls기계공사비집계(珆꭭6"/>
      <sheetName val="2-SITE_6"/>
      <sheetName val="eq_data_????6"/>
      <sheetName val="PCC_EAF6"/>
      <sheetName val="PCC_LF6"/>
      <sheetName val="4-Basic_Price6"/>
      <sheetName val="_fdn_bm_pro_xls_기계공사비집계(珆꭭_6"/>
      <sheetName val="Finish_list6"/>
      <sheetName val="Dati_base6"/>
      <sheetName val="US_Inflation_Factors6"/>
      <sheetName val="Cover_Page6"/>
      <sheetName val="Unit__Price6"/>
      <sheetName val="자재집계_&amp;_총괄표6"/>
      <sheetName val="Engrg_Est6"/>
      <sheetName val="[fdn_bm_pro_xls]_fdn_bm_pro_x_7"/>
      <sheetName val="GASATAGG_XLS6"/>
      <sheetName val="BEND_LOSS6"/>
      <sheetName val="eq_data_7"/>
      <sheetName val="PREMI"/>
      <sheetName val="직원동원SCH"/>
      <sheetName val="관람석제출"/>
      <sheetName val="GAJI"/>
      <sheetName val="H_Satuan"/>
      <sheetName val="6PILE__(돌출)"/>
      <sheetName val="tabulación_final"/>
      <sheetName val="예정공정표_(2)"/>
      <sheetName val="Sh"/>
      <sheetName val="ADMIN_TB-557066_00A"/>
      <sheetName val="LABORATORY_TB-557091_00A"/>
      <sheetName val="OME5_TB-557088-001_00A"/>
      <sheetName val="OME4_TB-557087-001_00A"/>
      <sheetName val="OME3_TB-557086-001_00A"/>
      <sheetName val="CMB_EMTS_TB-557084_00A"/>
      <sheetName val="SLCB_TB-557083-002_00B"/>
      <sheetName val="PIB9_TB-557082-003_00B"/>
      <sheetName val="PIB7_TB-557081-003_00B"/>
      <sheetName val="PIB6_TB-557080-003_00B"/>
      <sheetName val="PIB5_TB-557079-002_00B"/>
      <sheetName val="PIB4_TB-557078-002_00B"/>
      <sheetName val="PIB3_TB-557077-002_00B"/>
      <sheetName val="CCB_TB-557075-001_00B"/>
      <sheetName val="CCB_TB-557073-002_00B"/>
      <sheetName val="CCB_TB-557072-001_00A"/>
      <sheetName val="CCB_TB-557051_00B"/>
      <sheetName val="Budget_Weight_Instructions_A"/>
      <sheetName val="Basic_data"/>
      <sheetName val="Isolasi_Luar_Dalam"/>
      <sheetName val="Isolasi_Luar"/>
      <sheetName val="Sh"/>
      <sheetName val="EMPLOYMENT_CERTIFICATE"/>
      <sheetName val="Salary_cer"/>
      <sheetName val="Master_file"/>
      <sheetName val="eq_data__x2"/>
      <sheetName val="page_1421"/>
      <sheetName val="InsertListDrawing_1_1"/>
      <sheetName val="BILL_Of_QUANTITIES1"/>
      <sheetName val="H_Satuan1"/>
      <sheetName val="Div26_-_Elect1"/>
      <sheetName val="2_4_1_Elec_BOQ1"/>
      <sheetName val="2_4_1_Inst_BOQ1"/>
      <sheetName val="PTF_Report1"/>
      <sheetName val="6PILE__(돌출)1"/>
      <sheetName val="tabulación_final1"/>
      <sheetName val="예정공정표_(2)1"/>
      <sheetName val="ADMIN_TB-557066_00A1"/>
      <sheetName val="LABORATORY_TB-557091_00A1"/>
      <sheetName val="OME5_TB-557088-001_00A1"/>
      <sheetName val="OME4_TB-557087-001_00A1"/>
      <sheetName val="OME3_TB-557086-001_00A1"/>
      <sheetName val="CMB_EMTS_TB-557084_00A1"/>
      <sheetName val="SLCB_TB-557083-002_00B1"/>
      <sheetName val="PIB9_TB-557082-003_00B1"/>
      <sheetName val="PIB7_TB-557081-003_00B1"/>
      <sheetName val="PIB6_TB-557080-003_00B1"/>
      <sheetName val="PIB5_TB-557079-002_00B1"/>
      <sheetName val="PIB4_TB-557078-002_00B1"/>
      <sheetName val="PIB3_TB-557077-002_00B1"/>
      <sheetName val="CCB_TB-557075-001_00B1"/>
      <sheetName val="CCB_TB-557073-002_00B1"/>
      <sheetName val="CCB_TB-557072-001_00A1"/>
      <sheetName val="CCB_TB-557051_00B1"/>
      <sheetName val="Budget_Weight_Instructions_A1"/>
      <sheetName val="Basic_data1"/>
      <sheetName val="Isolasi_Luar_Dalam1"/>
      <sheetName val="Isolasi_Luar1"/>
      <sheetName val="EMPLOYMENT_CERTIFICATE1"/>
      <sheetName val="Salary_cer1"/>
      <sheetName val="Master_file1"/>
      <sheetName val="eq_data__x3"/>
      <sheetName val="page_1422"/>
      <sheetName val="InsertListDrawing_1_2"/>
      <sheetName val="BILL_Of_QUANTITIES2"/>
      <sheetName val="H_Satuan2"/>
      <sheetName val="Div26_-_Elect2"/>
      <sheetName val="2_4_1_Elec_BOQ2"/>
      <sheetName val="2_4_1_Inst_BOQ2"/>
      <sheetName val="PTF_Report2"/>
      <sheetName val="6PILE__(돌출)2"/>
      <sheetName val="tabulación_final2"/>
      <sheetName val="예정공정표_(2)2"/>
      <sheetName val="ADMIN_TB-557066_00A2"/>
      <sheetName val="LABORATORY_TB-557091_00A2"/>
      <sheetName val="OME5_TB-557088-001_00A2"/>
      <sheetName val="OME4_TB-557087-001_00A2"/>
      <sheetName val="OME3_TB-557086-001_00A2"/>
      <sheetName val="CMB_EMTS_TB-557084_00A2"/>
      <sheetName val="SLCB_TB-557083-002_00B2"/>
      <sheetName val="PIB9_TB-557082-003_00B2"/>
      <sheetName val="PIB7_TB-557081-003_00B2"/>
      <sheetName val="PIB6_TB-557080-003_00B2"/>
      <sheetName val="PIB5_TB-557079-002_00B2"/>
      <sheetName val="PIB4_TB-557078-002_00B2"/>
      <sheetName val="PIB3_TB-557077-002_00B2"/>
      <sheetName val="CCB_TB-557075-001_00B2"/>
      <sheetName val="CCB_TB-557073-002_00B2"/>
      <sheetName val="CCB_TB-557072-001_00A2"/>
      <sheetName val="CCB_TB-557051_00B2"/>
      <sheetName val="Budget_Weight_Instructions_A2"/>
      <sheetName val="Basic_data2"/>
      <sheetName val="Isolasi_Luar_Dalam2"/>
      <sheetName val="Isolasi_Luar2"/>
      <sheetName val="EMPLOYMENT_CERTIFICATE2"/>
      <sheetName val="Salary_cer2"/>
      <sheetName val="Master_file2"/>
      <sheetName val="eq_data__x4"/>
      <sheetName val="page_1423"/>
      <sheetName val="InsertListDrawing_1_3"/>
      <sheetName val="BILL_Of_QUANTITIES3"/>
      <sheetName val="H_Satuan3"/>
      <sheetName val="Div26_-_Elect3"/>
      <sheetName val="2_4_1_Elec_BOQ3"/>
      <sheetName val="2_4_1_Inst_BOQ3"/>
      <sheetName val="PTF_Report3"/>
      <sheetName val="6PILE__(돌출)3"/>
      <sheetName val="tabulación_final3"/>
      <sheetName val="예정공정표_(2)3"/>
      <sheetName val="ADMIN_TB-557066_00A3"/>
      <sheetName val="LABORATORY_TB-557091_00A3"/>
      <sheetName val="OME5_TB-557088-001_00A3"/>
      <sheetName val="OME4_TB-557087-001_00A3"/>
      <sheetName val="OME3_TB-557086-001_00A3"/>
      <sheetName val="CMB_EMTS_TB-557084_00A3"/>
      <sheetName val="SLCB_TB-557083-002_00B3"/>
      <sheetName val="PIB9_TB-557082-003_00B3"/>
      <sheetName val="PIB7_TB-557081-003_00B3"/>
      <sheetName val="PIB6_TB-557080-003_00B3"/>
      <sheetName val="PIB5_TB-557079-002_00B3"/>
      <sheetName val="PIB4_TB-557078-002_00B3"/>
      <sheetName val="PIB3_TB-557077-002_00B3"/>
      <sheetName val="CCB_TB-557075-001_00B3"/>
      <sheetName val="CCB_TB-557073-002_00B3"/>
      <sheetName val="CCB_TB-557072-001_00A3"/>
      <sheetName val="CCB_TB-557051_00B3"/>
      <sheetName val="Budget_Weight_Instructions_A3"/>
      <sheetName val="Basic_data3"/>
      <sheetName val="Isolasi_Luar_Dalam3"/>
      <sheetName val="Isolasi_Luar3"/>
      <sheetName val="EMPLOYMENT_CERTIFICATE3"/>
      <sheetName val="Salary_cer3"/>
      <sheetName val="Master_file3"/>
      <sheetName val="eq_data__x5"/>
      <sheetName val="page_1424"/>
      <sheetName val="InsertListDrawing_1_4"/>
      <sheetName val="BILL_Of_QUANTITIES4"/>
      <sheetName val="H_Satuan4"/>
      <sheetName val="Div26_-_Elect4"/>
      <sheetName val="2_4_1_Elec_BOQ4"/>
      <sheetName val="2_4_1_Inst_BOQ4"/>
      <sheetName val="PTF_Report4"/>
      <sheetName val="6PILE__(돌출)4"/>
      <sheetName val="tabulación_final4"/>
      <sheetName val="예정공정표_(2)4"/>
      <sheetName val="ADMIN_TB-557066_00A4"/>
      <sheetName val="LABORATORY_TB-557091_00A4"/>
      <sheetName val="OME5_TB-557088-001_00A4"/>
      <sheetName val="OME4_TB-557087-001_00A4"/>
      <sheetName val="OME3_TB-557086-001_00A4"/>
      <sheetName val="CMB_EMTS_TB-557084_00A4"/>
      <sheetName val="SLCB_TB-557083-002_00B4"/>
      <sheetName val="PIB9_TB-557082-003_00B4"/>
      <sheetName val="PIB7_TB-557081-003_00B4"/>
      <sheetName val="PIB6_TB-557080-003_00B4"/>
      <sheetName val="PIB5_TB-557079-002_00B4"/>
      <sheetName val="PIB4_TB-557078-002_00B4"/>
      <sheetName val="PIB3_TB-557077-002_00B4"/>
      <sheetName val="CCB_TB-557075-001_00B4"/>
      <sheetName val="CCB_TB-557073-002_00B4"/>
      <sheetName val="CCB_TB-557072-001_00A4"/>
      <sheetName val="CCB_TB-557051_00B4"/>
      <sheetName val="Budget_Weight_Instructions_A4"/>
      <sheetName val="Basic_data4"/>
      <sheetName val="Isolasi_Luar_Dalam4"/>
      <sheetName val="Isolasi_Luar4"/>
      <sheetName val="EMPLOYMENT_CERTIFICATE4"/>
      <sheetName val="Salary_cer4"/>
      <sheetName val="Master_file4"/>
      <sheetName val="eq_data__x6"/>
      <sheetName val="page_1425"/>
      <sheetName val="InsertListDrawing_1_5"/>
      <sheetName val="BILL_Of_QUANTITIES5"/>
      <sheetName val="H_Satuan5"/>
      <sheetName val="Div26_-_Elect5"/>
      <sheetName val="2_4_1_Elec_BOQ5"/>
      <sheetName val="2_4_1_Inst_BOQ5"/>
      <sheetName val="PTF_Report5"/>
      <sheetName val="6PILE__(돌출)5"/>
      <sheetName val="tabulación_final5"/>
      <sheetName val="예정공정표_(2)5"/>
      <sheetName val="ADMIN_TB-557066_00A5"/>
      <sheetName val="LABORATORY_TB-557091_00A5"/>
      <sheetName val="OME5_TB-557088-001_00A5"/>
      <sheetName val="OME4_TB-557087-001_00A5"/>
      <sheetName val="OME3_TB-557086-001_00A5"/>
      <sheetName val="CMB_EMTS_TB-557084_00A5"/>
      <sheetName val="SLCB_TB-557083-002_00B5"/>
      <sheetName val="PIB9_TB-557082-003_00B5"/>
      <sheetName val="PIB7_TB-557081-003_00B5"/>
      <sheetName val="PIB6_TB-557080-003_00B5"/>
      <sheetName val="PIB5_TB-557079-002_00B5"/>
      <sheetName val="PIB4_TB-557078-002_00B5"/>
      <sheetName val="PIB3_TB-557077-002_00B5"/>
      <sheetName val="CCB_TB-557075-001_00B5"/>
      <sheetName val="CCB_TB-557073-002_00B5"/>
      <sheetName val="CCB_TB-557072-001_00A5"/>
      <sheetName val="CCB_TB-557051_00B5"/>
      <sheetName val="Budget_Weight_Instructions_A5"/>
      <sheetName val="Basic_data5"/>
      <sheetName val="Isolasi_Luar_Dalam5"/>
      <sheetName val="Isolasi_Luar5"/>
      <sheetName val="EMPLOYMENT_CERTIFICATE5"/>
      <sheetName val="Salary_cer5"/>
      <sheetName val="Master_file5"/>
    </sheetNames>
    <sheetDataSet>
      <sheetData sheetId="0">
        <row r="5">
          <cell r="C5" t="str">
            <v>Isolated type</v>
          </cell>
        </row>
      </sheetData>
      <sheetData sheetId="1">
        <row r="5">
          <cell r="C5" t="str">
            <v>Isolated type</v>
          </cell>
        </row>
      </sheetData>
      <sheetData sheetId="2" refreshError="1">
        <row r="5">
          <cell r="C5" t="str">
            <v>Isolated type</v>
          </cell>
        </row>
        <row r="6">
          <cell r="C6" t="str">
            <v>Sleeper type</v>
          </cell>
        </row>
        <row r="7">
          <cell r="C7" t="str">
            <v xml:space="preserve"> Horizontal Vessel</v>
          </cell>
        </row>
        <row r="8">
          <cell r="C8" t="str">
            <v>Vertical vessel type</v>
          </cell>
        </row>
        <row r="9">
          <cell r="C9" t="str">
            <v>Pump Type</v>
          </cell>
        </row>
        <row r="10">
          <cell r="C10" t="str">
            <v>Combined type</v>
          </cell>
        </row>
        <row r="11">
          <cell r="C11" t="str">
            <v>기타1</v>
          </cell>
        </row>
        <row r="12">
          <cell r="C12" t="str">
            <v>기타2</v>
          </cell>
        </row>
        <row r="13">
          <cell r="C13" t="str">
            <v>기타3</v>
          </cell>
        </row>
        <row r="14">
          <cell r="C14" t="str">
            <v>기타4</v>
          </cell>
        </row>
        <row r="15">
          <cell r="C15" t="e">
            <v>#REF!</v>
          </cell>
        </row>
        <row r="16">
          <cell r="C16" t="e">
            <v>#REF!</v>
          </cell>
        </row>
        <row r="17">
          <cell r="C17" t="e">
            <v>#REF!</v>
          </cell>
        </row>
        <row r="18">
          <cell r="C18" t="e">
            <v>#REF!</v>
          </cell>
        </row>
        <row r="19">
          <cell r="C19" t="e">
            <v>#REF!</v>
          </cell>
        </row>
        <row r="20">
          <cell r="C20" t="e">
            <v>#REF!</v>
          </cell>
        </row>
        <row r="21">
          <cell r="C21" t="e">
            <v>#REF!</v>
          </cell>
        </row>
        <row r="22">
          <cell r="C22" t="e">
            <v>#REF!</v>
          </cell>
        </row>
        <row r="23">
          <cell r="C23" t="e">
            <v>#REF!</v>
          </cell>
        </row>
        <row r="24">
          <cell r="C24" t="e">
            <v>#REF!</v>
          </cell>
        </row>
        <row r="25">
          <cell r="C25" t="e">
            <v>#REF!</v>
          </cell>
        </row>
        <row r="26">
          <cell r="C26" t="e">
            <v>#REF!</v>
          </cell>
        </row>
        <row r="27">
          <cell r="C27" t="e">
            <v>#REF!</v>
          </cell>
        </row>
        <row r="28">
          <cell r="C28" t="e">
            <v>#REF!</v>
          </cell>
        </row>
        <row r="29">
          <cell r="C29" t="e">
            <v>#REF!</v>
          </cell>
        </row>
        <row r="30">
          <cell r="C30" t="e">
            <v>#REF!</v>
          </cell>
        </row>
        <row r="31">
          <cell r="C31" t="e">
            <v>#REF!</v>
          </cell>
        </row>
        <row r="32">
          <cell r="C32" t="e">
            <v>#REF!</v>
          </cell>
        </row>
        <row r="33">
          <cell r="C33" t="e">
            <v>#REF!</v>
          </cell>
        </row>
        <row r="34">
          <cell r="C34" t="e">
            <v>#REF!</v>
          </cell>
        </row>
        <row r="35">
          <cell r="C35" t="e">
            <v>#REF!</v>
          </cell>
        </row>
        <row r="36">
          <cell r="C36" t="e">
            <v>#REF!</v>
          </cell>
        </row>
        <row r="37">
          <cell r="C37" t="e">
            <v>#REF!</v>
          </cell>
        </row>
        <row r="38">
          <cell r="C38" t="e">
            <v>#REF!</v>
          </cell>
        </row>
        <row r="39">
          <cell r="C39" t="e">
            <v>#REF!</v>
          </cell>
        </row>
        <row r="40">
          <cell r="C40" t="e">
            <v>#REF!</v>
          </cell>
        </row>
        <row r="41">
          <cell r="C41" t="e">
            <v>#REF!</v>
          </cell>
        </row>
        <row r="42">
          <cell r="C42" t="e">
            <v>#REF!</v>
          </cell>
        </row>
        <row r="43">
          <cell r="C43" t="e">
            <v>#REF!</v>
          </cell>
        </row>
        <row r="44">
          <cell r="C44" t="e">
            <v>#REF!</v>
          </cell>
        </row>
        <row r="45">
          <cell r="C45" t="e">
            <v>#REF!</v>
          </cell>
        </row>
        <row r="46">
          <cell r="C46" t="e">
            <v>#REF!</v>
          </cell>
        </row>
        <row r="47">
          <cell r="C47" t="e">
            <v>#REF!</v>
          </cell>
        </row>
        <row r="48">
          <cell r="C48" t="e">
            <v>#REF!</v>
          </cell>
        </row>
        <row r="49">
          <cell r="C49" t="e">
            <v>#REF!</v>
          </cell>
        </row>
        <row r="50">
          <cell r="C50" t="e">
            <v>#REF!</v>
          </cell>
        </row>
        <row r="51">
          <cell r="C51" t="e">
            <v>#REF!</v>
          </cell>
        </row>
        <row r="52">
          <cell r="C52" t="e">
            <v>#REF!</v>
          </cell>
        </row>
        <row r="53">
          <cell r="C53" t="e">
            <v>#REF!</v>
          </cell>
        </row>
        <row r="54">
          <cell r="C54" t="e">
            <v>#REF!</v>
          </cell>
        </row>
      </sheetData>
      <sheetData sheetId="3">
        <row r="5">
          <cell r="C5" t="str">
            <v>Isolated type</v>
          </cell>
        </row>
      </sheetData>
      <sheetData sheetId="4"/>
      <sheetData sheetId="5"/>
      <sheetData sheetId="6">
        <row r="5">
          <cell r="C5" t="str">
            <v>PACKAGE NO.</v>
          </cell>
        </row>
      </sheetData>
      <sheetData sheetId="7">
        <row r="5">
          <cell r="C5" t="str">
            <v>PACKAGE NO.</v>
          </cell>
        </row>
      </sheetData>
      <sheetData sheetId="8">
        <row r="5">
          <cell r="C5" t="str">
            <v>PACKAGE NO.</v>
          </cell>
        </row>
      </sheetData>
      <sheetData sheetId="9">
        <row r="5">
          <cell r="C5" t="str">
            <v>PACKAGE NO.</v>
          </cell>
        </row>
      </sheetData>
      <sheetData sheetId="10">
        <row r="5">
          <cell r="C5" t="str">
            <v>PACKAGE NO.</v>
          </cell>
        </row>
      </sheetData>
      <sheetData sheetId="11">
        <row r="5">
          <cell r="C5" t="str">
            <v>PACKAGE NO.</v>
          </cell>
        </row>
      </sheetData>
      <sheetData sheetId="12">
        <row r="5">
          <cell r="C5" t="str">
            <v>PACKAGE NO.</v>
          </cell>
        </row>
      </sheetData>
      <sheetData sheetId="13">
        <row r="5">
          <cell r="C5" t="str">
            <v>PACKAGE NO.</v>
          </cell>
        </row>
      </sheetData>
      <sheetData sheetId="14">
        <row r="5">
          <cell r="C5" t="str">
            <v>PACKAGE NO.</v>
          </cell>
        </row>
      </sheetData>
      <sheetData sheetId="15">
        <row r="5">
          <cell r="C5" t="str">
            <v>PACKAGE NO.</v>
          </cell>
        </row>
      </sheetData>
      <sheetData sheetId="16">
        <row r="5">
          <cell r="C5" t="str">
            <v>PACKAGE NO.</v>
          </cell>
        </row>
      </sheetData>
      <sheetData sheetId="17" refreshError="1"/>
      <sheetData sheetId="18" refreshError="1"/>
      <sheetData sheetId="19" refreshError="1"/>
      <sheetData sheetId="20" refreshError="1"/>
      <sheetData sheetId="21" refreshError="1"/>
      <sheetData sheetId="22">
        <row r="5">
          <cell r="C5" t="str">
            <v>PACKAGE NO.</v>
          </cell>
        </row>
      </sheetData>
      <sheetData sheetId="23">
        <row r="5">
          <cell r="C5" t="str">
            <v>PACKAGE NO.</v>
          </cell>
        </row>
      </sheetData>
      <sheetData sheetId="24">
        <row r="5">
          <cell r="C5" t="str">
            <v>PACKAGE NO.</v>
          </cell>
        </row>
      </sheetData>
      <sheetData sheetId="25">
        <row r="5">
          <cell r="C5" t="str">
            <v>PACKAGE NO.</v>
          </cell>
        </row>
      </sheetData>
      <sheetData sheetId="26">
        <row r="5">
          <cell r="C5" t="str">
            <v>PACKAGE NO.</v>
          </cell>
        </row>
      </sheetData>
      <sheetData sheetId="27">
        <row r="5">
          <cell r="C5" t="str">
            <v>PACKAGE NO.</v>
          </cell>
        </row>
      </sheetData>
      <sheetData sheetId="28">
        <row r="5">
          <cell r="C5" t="str">
            <v>PACKAGE NO.</v>
          </cell>
        </row>
      </sheetData>
      <sheetData sheetId="29">
        <row r="5">
          <cell r="C5" t="str">
            <v>PACKAGE NO.</v>
          </cell>
        </row>
      </sheetData>
      <sheetData sheetId="30">
        <row r="5">
          <cell r="C5" t="str">
            <v>PACKAGE NO.</v>
          </cell>
        </row>
      </sheetData>
      <sheetData sheetId="31">
        <row r="5">
          <cell r="C5" t="str">
            <v>PACKAGE NO.</v>
          </cell>
        </row>
      </sheetData>
      <sheetData sheetId="32">
        <row r="5">
          <cell r="C5" t="str">
            <v>PACKAGE NO.</v>
          </cell>
        </row>
      </sheetData>
      <sheetData sheetId="33">
        <row r="5">
          <cell r="C5" t="str">
            <v>PACKAGE NO.</v>
          </cell>
        </row>
      </sheetData>
      <sheetData sheetId="34">
        <row r="5">
          <cell r="C5" t="str">
            <v>PACKAGE NO.</v>
          </cell>
        </row>
      </sheetData>
      <sheetData sheetId="35">
        <row r="5">
          <cell r="C5" t="str">
            <v>PACKAGE NO.</v>
          </cell>
        </row>
      </sheetData>
      <sheetData sheetId="36">
        <row r="5">
          <cell r="C5" t="str">
            <v>PACKAGE NO.</v>
          </cell>
        </row>
      </sheetData>
      <sheetData sheetId="37">
        <row r="5">
          <cell r="C5" t="str">
            <v>PACKAGE NO.</v>
          </cell>
        </row>
      </sheetData>
      <sheetData sheetId="38">
        <row r="5">
          <cell r="C5" t="str">
            <v>PACKAGE NO.</v>
          </cell>
        </row>
      </sheetData>
      <sheetData sheetId="39">
        <row r="5">
          <cell r="C5" t="str">
            <v>PACKAGE NO.</v>
          </cell>
        </row>
      </sheetData>
      <sheetData sheetId="40">
        <row r="5">
          <cell r="C5" t="str">
            <v>PACKAGE NO.</v>
          </cell>
        </row>
      </sheetData>
      <sheetData sheetId="41" refreshError="1"/>
      <sheetData sheetId="42">
        <row r="5">
          <cell r="C5" t="str">
            <v>PACKAGE NO.</v>
          </cell>
        </row>
      </sheetData>
      <sheetData sheetId="43">
        <row r="5">
          <cell r="C5" t="str">
            <v>PACKAGE NO.</v>
          </cell>
        </row>
      </sheetData>
      <sheetData sheetId="44">
        <row r="5">
          <cell r="C5" t="str">
            <v>PACKAGE NO.</v>
          </cell>
        </row>
      </sheetData>
      <sheetData sheetId="45">
        <row r="5">
          <cell r="C5" t="str">
            <v>PACKAGE NO.</v>
          </cell>
        </row>
      </sheetData>
      <sheetData sheetId="46">
        <row r="5">
          <cell r="C5" t="str">
            <v>PACKAGE NO.</v>
          </cell>
        </row>
      </sheetData>
      <sheetData sheetId="47">
        <row r="5">
          <cell r="C5" t="str">
            <v>PACKAGE NO.</v>
          </cell>
        </row>
      </sheetData>
      <sheetData sheetId="48">
        <row r="5">
          <cell r="C5" t="str">
            <v>PACKAGE NO.</v>
          </cell>
        </row>
      </sheetData>
      <sheetData sheetId="49">
        <row r="5">
          <cell r="C5" t="str">
            <v>PACKAGE NO.</v>
          </cell>
        </row>
      </sheetData>
      <sheetData sheetId="50">
        <row r="5">
          <cell r="C5" t="str">
            <v>PACKAGE NO.</v>
          </cell>
        </row>
      </sheetData>
      <sheetData sheetId="51">
        <row r="5">
          <cell r="C5" t="str">
            <v>PACKAGE NO.</v>
          </cell>
        </row>
      </sheetData>
      <sheetData sheetId="52">
        <row r="5">
          <cell r="C5" t="str">
            <v>PACKAGE NO.</v>
          </cell>
        </row>
      </sheetData>
      <sheetData sheetId="53">
        <row r="5">
          <cell r="C5" t="str">
            <v>PACKAGE NO.</v>
          </cell>
        </row>
      </sheetData>
      <sheetData sheetId="54">
        <row r="5">
          <cell r="C5" t="str">
            <v>PACKAGE NO.</v>
          </cell>
        </row>
      </sheetData>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ow r="5">
          <cell r="C5">
            <v>100</v>
          </cell>
        </row>
      </sheetData>
      <sheetData sheetId="740">
        <row r="5">
          <cell r="C5">
            <v>100</v>
          </cell>
        </row>
      </sheetData>
      <sheetData sheetId="741">
        <row r="5">
          <cell r="C5">
            <v>100</v>
          </cell>
        </row>
      </sheetData>
      <sheetData sheetId="742">
        <row r="5">
          <cell r="C5">
            <v>100</v>
          </cell>
        </row>
      </sheetData>
      <sheetData sheetId="743">
        <row r="5">
          <cell r="C5">
            <v>100</v>
          </cell>
        </row>
      </sheetData>
      <sheetData sheetId="744">
        <row r="5">
          <cell r="C5">
            <v>100</v>
          </cell>
        </row>
      </sheetData>
      <sheetData sheetId="745">
        <row r="5">
          <cell r="C5">
            <v>100</v>
          </cell>
        </row>
      </sheetData>
      <sheetData sheetId="746">
        <row r="5">
          <cell r="C5">
            <v>100</v>
          </cell>
        </row>
      </sheetData>
      <sheetData sheetId="747">
        <row r="5">
          <cell r="C5">
            <v>100</v>
          </cell>
        </row>
      </sheetData>
      <sheetData sheetId="748">
        <row r="5">
          <cell r="C5">
            <v>100</v>
          </cell>
        </row>
      </sheetData>
      <sheetData sheetId="749">
        <row r="5">
          <cell r="C5">
            <v>100</v>
          </cell>
        </row>
      </sheetData>
      <sheetData sheetId="750">
        <row r="5">
          <cell r="C5">
            <v>100</v>
          </cell>
        </row>
      </sheetData>
      <sheetData sheetId="751">
        <row r="5">
          <cell r="C5">
            <v>100</v>
          </cell>
        </row>
      </sheetData>
      <sheetData sheetId="752">
        <row r="5">
          <cell r="C5">
            <v>100</v>
          </cell>
        </row>
      </sheetData>
      <sheetData sheetId="753">
        <row r="5">
          <cell r="C5">
            <v>100</v>
          </cell>
        </row>
      </sheetData>
      <sheetData sheetId="754">
        <row r="5">
          <cell r="C5">
            <v>100</v>
          </cell>
        </row>
      </sheetData>
      <sheetData sheetId="755">
        <row r="5">
          <cell r="C5">
            <v>100</v>
          </cell>
        </row>
      </sheetData>
      <sheetData sheetId="756">
        <row r="5">
          <cell r="C5">
            <v>100</v>
          </cell>
        </row>
      </sheetData>
      <sheetData sheetId="757">
        <row r="5">
          <cell r="C5">
            <v>100</v>
          </cell>
        </row>
      </sheetData>
      <sheetData sheetId="758">
        <row r="5">
          <cell r="C5">
            <v>100</v>
          </cell>
        </row>
      </sheetData>
      <sheetData sheetId="759">
        <row r="5">
          <cell r="C5">
            <v>100</v>
          </cell>
        </row>
      </sheetData>
      <sheetData sheetId="760">
        <row r="5">
          <cell r="C5">
            <v>100</v>
          </cell>
        </row>
      </sheetData>
      <sheetData sheetId="761">
        <row r="5">
          <cell r="C5">
            <v>100</v>
          </cell>
        </row>
      </sheetData>
      <sheetData sheetId="762">
        <row r="5">
          <cell r="C5">
            <v>100</v>
          </cell>
        </row>
      </sheetData>
      <sheetData sheetId="763">
        <row r="5">
          <cell r="C5">
            <v>100</v>
          </cell>
        </row>
      </sheetData>
      <sheetData sheetId="764">
        <row r="5">
          <cell r="C5">
            <v>100</v>
          </cell>
        </row>
      </sheetData>
      <sheetData sheetId="765">
        <row r="5">
          <cell r="C5">
            <v>100</v>
          </cell>
        </row>
      </sheetData>
      <sheetData sheetId="766">
        <row r="5">
          <cell r="C5">
            <v>100</v>
          </cell>
        </row>
      </sheetData>
      <sheetData sheetId="767">
        <row r="5">
          <cell r="C5">
            <v>100</v>
          </cell>
        </row>
      </sheetData>
      <sheetData sheetId="768">
        <row r="5">
          <cell r="C5">
            <v>100</v>
          </cell>
        </row>
      </sheetData>
      <sheetData sheetId="769">
        <row r="5">
          <cell r="C5">
            <v>100</v>
          </cell>
        </row>
      </sheetData>
      <sheetData sheetId="770">
        <row r="5">
          <cell r="C5">
            <v>100</v>
          </cell>
        </row>
      </sheetData>
      <sheetData sheetId="771">
        <row r="5">
          <cell r="C5">
            <v>100</v>
          </cell>
        </row>
      </sheetData>
      <sheetData sheetId="772">
        <row r="5">
          <cell r="C5">
            <v>100</v>
          </cell>
        </row>
      </sheetData>
      <sheetData sheetId="773">
        <row r="5">
          <cell r="C5">
            <v>100</v>
          </cell>
        </row>
      </sheetData>
      <sheetData sheetId="774">
        <row r="5">
          <cell r="C5">
            <v>100</v>
          </cell>
        </row>
      </sheetData>
      <sheetData sheetId="775">
        <row r="5">
          <cell r="C5">
            <v>100</v>
          </cell>
        </row>
      </sheetData>
      <sheetData sheetId="776">
        <row r="5">
          <cell r="C5">
            <v>100</v>
          </cell>
        </row>
      </sheetData>
      <sheetData sheetId="777">
        <row r="5">
          <cell r="C5">
            <v>100</v>
          </cell>
        </row>
      </sheetData>
      <sheetData sheetId="778">
        <row r="5">
          <cell r="C5">
            <v>100</v>
          </cell>
        </row>
      </sheetData>
      <sheetData sheetId="779">
        <row r="5">
          <cell r="C5">
            <v>100</v>
          </cell>
        </row>
      </sheetData>
      <sheetData sheetId="780">
        <row r="5">
          <cell r="C5">
            <v>100</v>
          </cell>
        </row>
      </sheetData>
      <sheetData sheetId="781">
        <row r="5">
          <cell r="C5">
            <v>100</v>
          </cell>
        </row>
      </sheetData>
      <sheetData sheetId="782">
        <row r="5">
          <cell r="C5">
            <v>100</v>
          </cell>
        </row>
      </sheetData>
      <sheetData sheetId="783">
        <row r="5">
          <cell r="C5">
            <v>100</v>
          </cell>
        </row>
      </sheetData>
      <sheetData sheetId="784">
        <row r="5">
          <cell r="C5">
            <v>100</v>
          </cell>
        </row>
      </sheetData>
      <sheetData sheetId="785">
        <row r="5">
          <cell r="C5">
            <v>100</v>
          </cell>
        </row>
      </sheetData>
      <sheetData sheetId="786">
        <row r="5">
          <cell r="C5">
            <v>100</v>
          </cell>
        </row>
      </sheetData>
      <sheetData sheetId="787">
        <row r="5">
          <cell r="C5">
            <v>100</v>
          </cell>
        </row>
      </sheetData>
      <sheetData sheetId="788">
        <row r="5">
          <cell r="C5">
            <v>100</v>
          </cell>
        </row>
      </sheetData>
      <sheetData sheetId="789">
        <row r="5">
          <cell r="C5">
            <v>100</v>
          </cell>
        </row>
      </sheetData>
      <sheetData sheetId="790">
        <row r="5">
          <cell r="C5">
            <v>100</v>
          </cell>
        </row>
      </sheetData>
      <sheetData sheetId="791">
        <row r="5">
          <cell r="C5">
            <v>100</v>
          </cell>
        </row>
      </sheetData>
      <sheetData sheetId="792">
        <row r="5">
          <cell r="C5">
            <v>100</v>
          </cell>
        </row>
      </sheetData>
      <sheetData sheetId="793">
        <row r="5">
          <cell r="C5">
            <v>100</v>
          </cell>
        </row>
      </sheetData>
      <sheetData sheetId="794">
        <row r="5">
          <cell r="C5">
            <v>100</v>
          </cell>
        </row>
      </sheetData>
      <sheetData sheetId="795">
        <row r="5">
          <cell r="C5">
            <v>100</v>
          </cell>
        </row>
      </sheetData>
      <sheetData sheetId="796">
        <row r="5">
          <cell r="C5">
            <v>100</v>
          </cell>
        </row>
      </sheetData>
      <sheetData sheetId="797">
        <row r="5">
          <cell r="C5">
            <v>100</v>
          </cell>
        </row>
      </sheetData>
      <sheetData sheetId="798">
        <row r="5">
          <cell r="C5">
            <v>100</v>
          </cell>
        </row>
      </sheetData>
      <sheetData sheetId="799">
        <row r="5">
          <cell r="C5">
            <v>100</v>
          </cell>
        </row>
      </sheetData>
      <sheetData sheetId="800">
        <row r="5">
          <cell r="C5">
            <v>100</v>
          </cell>
        </row>
      </sheetData>
      <sheetData sheetId="801">
        <row r="5">
          <cell r="C5">
            <v>100</v>
          </cell>
        </row>
      </sheetData>
      <sheetData sheetId="802">
        <row r="5">
          <cell r="C5">
            <v>100</v>
          </cell>
        </row>
      </sheetData>
      <sheetData sheetId="803">
        <row r="5">
          <cell r="C5">
            <v>100</v>
          </cell>
        </row>
      </sheetData>
      <sheetData sheetId="804">
        <row r="5">
          <cell r="C5">
            <v>100</v>
          </cell>
        </row>
      </sheetData>
      <sheetData sheetId="805">
        <row r="5">
          <cell r="C5">
            <v>100</v>
          </cell>
        </row>
      </sheetData>
      <sheetData sheetId="806">
        <row r="5">
          <cell r="C5">
            <v>100</v>
          </cell>
        </row>
      </sheetData>
      <sheetData sheetId="807">
        <row r="5">
          <cell r="C5">
            <v>100</v>
          </cell>
        </row>
      </sheetData>
      <sheetData sheetId="808">
        <row r="5">
          <cell r="C5">
            <v>100</v>
          </cell>
        </row>
      </sheetData>
      <sheetData sheetId="809">
        <row r="5">
          <cell r="C5">
            <v>100</v>
          </cell>
        </row>
      </sheetData>
      <sheetData sheetId="810">
        <row r="5">
          <cell r="C5">
            <v>100</v>
          </cell>
        </row>
      </sheetData>
      <sheetData sheetId="811">
        <row r="5">
          <cell r="C5">
            <v>100</v>
          </cell>
        </row>
      </sheetData>
      <sheetData sheetId="812">
        <row r="5">
          <cell r="C5">
            <v>100</v>
          </cell>
        </row>
      </sheetData>
      <sheetData sheetId="813">
        <row r="5">
          <cell r="C5">
            <v>100</v>
          </cell>
        </row>
      </sheetData>
      <sheetData sheetId="814">
        <row r="5">
          <cell r="C5">
            <v>100</v>
          </cell>
        </row>
      </sheetData>
      <sheetData sheetId="815">
        <row r="5">
          <cell r="C5">
            <v>100</v>
          </cell>
        </row>
      </sheetData>
      <sheetData sheetId="816">
        <row r="5">
          <cell r="C5">
            <v>100</v>
          </cell>
        </row>
      </sheetData>
      <sheetData sheetId="817">
        <row r="5">
          <cell r="C5">
            <v>100</v>
          </cell>
        </row>
      </sheetData>
      <sheetData sheetId="818">
        <row r="5">
          <cell r="C5">
            <v>100</v>
          </cell>
        </row>
      </sheetData>
      <sheetData sheetId="819">
        <row r="5">
          <cell r="C5">
            <v>100</v>
          </cell>
        </row>
      </sheetData>
      <sheetData sheetId="820">
        <row r="5">
          <cell r="C5">
            <v>100</v>
          </cell>
        </row>
      </sheetData>
      <sheetData sheetId="821">
        <row r="5">
          <cell r="C5">
            <v>100</v>
          </cell>
        </row>
      </sheetData>
      <sheetData sheetId="822">
        <row r="5">
          <cell r="C5">
            <v>100</v>
          </cell>
        </row>
      </sheetData>
      <sheetData sheetId="823">
        <row r="5">
          <cell r="C5">
            <v>100</v>
          </cell>
        </row>
      </sheetData>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ow r="5">
          <cell r="C5">
            <v>100</v>
          </cell>
        </row>
      </sheetData>
      <sheetData sheetId="852">
        <row r="5">
          <cell r="C5">
            <v>100</v>
          </cell>
        </row>
      </sheetData>
      <sheetData sheetId="853">
        <row r="5">
          <cell r="C5">
            <v>100</v>
          </cell>
        </row>
      </sheetData>
      <sheetData sheetId="854">
        <row r="5">
          <cell r="C5">
            <v>100</v>
          </cell>
        </row>
      </sheetData>
      <sheetData sheetId="855">
        <row r="5">
          <cell r="C5">
            <v>100</v>
          </cell>
        </row>
      </sheetData>
      <sheetData sheetId="856">
        <row r="5">
          <cell r="C5">
            <v>100</v>
          </cell>
        </row>
      </sheetData>
      <sheetData sheetId="857">
        <row r="5">
          <cell r="C5">
            <v>100</v>
          </cell>
        </row>
      </sheetData>
      <sheetData sheetId="858">
        <row r="5">
          <cell r="C5">
            <v>100</v>
          </cell>
        </row>
      </sheetData>
      <sheetData sheetId="859">
        <row r="5">
          <cell r="C5">
            <v>100</v>
          </cell>
        </row>
      </sheetData>
      <sheetData sheetId="860">
        <row r="5">
          <cell r="C5">
            <v>100</v>
          </cell>
        </row>
      </sheetData>
      <sheetData sheetId="861">
        <row r="5">
          <cell r="C5">
            <v>100</v>
          </cell>
        </row>
      </sheetData>
      <sheetData sheetId="862">
        <row r="5">
          <cell r="C5">
            <v>100</v>
          </cell>
        </row>
      </sheetData>
      <sheetData sheetId="863">
        <row r="5">
          <cell r="C5">
            <v>100</v>
          </cell>
        </row>
      </sheetData>
      <sheetData sheetId="864">
        <row r="5">
          <cell r="C5">
            <v>100</v>
          </cell>
        </row>
      </sheetData>
      <sheetData sheetId="865">
        <row r="5">
          <cell r="C5">
            <v>100</v>
          </cell>
        </row>
      </sheetData>
      <sheetData sheetId="866" refreshError="1"/>
      <sheetData sheetId="867" refreshError="1"/>
      <sheetData sheetId="868" refreshError="1"/>
      <sheetData sheetId="869" refreshError="1"/>
      <sheetData sheetId="870" refreshError="1"/>
      <sheetData sheetId="871">
        <row r="5">
          <cell r="C5">
            <v>100</v>
          </cell>
        </row>
      </sheetData>
      <sheetData sheetId="872">
        <row r="5">
          <cell r="C5">
            <v>100</v>
          </cell>
        </row>
      </sheetData>
      <sheetData sheetId="873">
        <row r="5">
          <cell r="C5">
            <v>100</v>
          </cell>
        </row>
      </sheetData>
      <sheetData sheetId="874">
        <row r="5">
          <cell r="C5">
            <v>100</v>
          </cell>
        </row>
      </sheetData>
      <sheetData sheetId="875">
        <row r="5">
          <cell r="C5">
            <v>100</v>
          </cell>
        </row>
      </sheetData>
      <sheetData sheetId="876">
        <row r="5">
          <cell r="C5">
            <v>100</v>
          </cell>
        </row>
      </sheetData>
      <sheetData sheetId="877">
        <row r="5">
          <cell r="C5">
            <v>100</v>
          </cell>
        </row>
      </sheetData>
      <sheetData sheetId="878">
        <row r="5">
          <cell r="C5">
            <v>100</v>
          </cell>
        </row>
      </sheetData>
      <sheetData sheetId="879">
        <row r="5">
          <cell r="C5">
            <v>100</v>
          </cell>
        </row>
      </sheetData>
      <sheetData sheetId="880">
        <row r="5">
          <cell r="C5">
            <v>100</v>
          </cell>
        </row>
      </sheetData>
      <sheetData sheetId="881">
        <row r="5">
          <cell r="C5">
            <v>100</v>
          </cell>
        </row>
      </sheetData>
      <sheetData sheetId="882">
        <row r="5">
          <cell r="C5">
            <v>100</v>
          </cell>
        </row>
      </sheetData>
      <sheetData sheetId="883">
        <row r="5">
          <cell r="C5">
            <v>100</v>
          </cell>
        </row>
      </sheetData>
      <sheetData sheetId="884">
        <row r="5">
          <cell r="C5">
            <v>100</v>
          </cell>
        </row>
      </sheetData>
      <sheetData sheetId="885">
        <row r="5">
          <cell r="C5">
            <v>100</v>
          </cell>
        </row>
      </sheetData>
      <sheetData sheetId="886">
        <row r="5">
          <cell r="C5">
            <v>100</v>
          </cell>
        </row>
      </sheetData>
      <sheetData sheetId="887">
        <row r="5">
          <cell r="C5">
            <v>100</v>
          </cell>
        </row>
      </sheetData>
      <sheetData sheetId="888">
        <row r="5">
          <cell r="C5">
            <v>100</v>
          </cell>
        </row>
      </sheetData>
      <sheetData sheetId="889">
        <row r="5">
          <cell r="C5">
            <v>100</v>
          </cell>
        </row>
      </sheetData>
      <sheetData sheetId="890">
        <row r="5">
          <cell r="C5">
            <v>100</v>
          </cell>
        </row>
      </sheetData>
      <sheetData sheetId="891">
        <row r="5">
          <cell r="C5">
            <v>100</v>
          </cell>
        </row>
      </sheetData>
      <sheetData sheetId="892">
        <row r="5">
          <cell r="C5">
            <v>100</v>
          </cell>
        </row>
      </sheetData>
      <sheetData sheetId="893">
        <row r="5">
          <cell r="C5">
            <v>100</v>
          </cell>
        </row>
      </sheetData>
      <sheetData sheetId="894">
        <row r="5">
          <cell r="C5">
            <v>100</v>
          </cell>
        </row>
      </sheetData>
      <sheetData sheetId="895">
        <row r="5">
          <cell r="C5">
            <v>100</v>
          </cell>
        </row>
      </sheetData>
      <sheetData sheetId="896">
        <row r="5">
          <cell r="C5">
            <v>100</v>
          </cell>
        </row>
      </sheetData>
      <sheetData sheetId="897">
        <row r="5">
          <cell r="C5">
            <v>100</v>
          </cell>
        </row>
      </sheetData>
      <sheetData sheetId="898">
        <row r="5">
          <cell r="C5">
            <v>100</v>
          </cell>
        </row>
      </sheetData>
      <sheetData sheetId="899">
        <row r="5">
          <cell r="C5">
            <v>100</v>
          </cell>
        </row>
      </sheetData>
      <sheetData sheetId="900">
        <row r="5">
          <cell r="C5">
            <v>100</v>
          </cell>
        </row>
      </sheetData>
      <sheetData sheetId="901">
        <row r="5">
          <cell r="C5">
            <v>100</v>
          </cell>
        </row>
      </sheetData>
      <sheetData sheetId="902">
        <row r="5">
          <cell r="C5">
            <v>100</v>
          </cell>
        </row>
      </sheetData>
      <sheetData sheetId="903">
        <row r="5">
          <cell r="C5">
            <v>100</v>
          </cell>
        </row>
      </sheetData>
      <sheetData sheetId="904">
        <row r="5">
          <cell r="C5">
            <v>100</v>
          </cell>
        </row>
      </sheetData>
      <sheetData sheetId="905">
        <row r="5">
          <cell r="C5">
            <v>100</v>
          </cell>
        </row>
      </sheetData>
      <sheetData sheetId="906">
        <row r="5">
          <cell r="C5">
            <v>100</v>
          </cell>
        </row>
      </sheetData>
      <sheetData sheetId="907">
        <row r="5">
          <cell r="C5">
            <v>100</v>
          </cell>
        </row>
      </sheetData>
      <sheetData sheetId="908">
        <row r="5">
          <cell r="C5">
            <v>100</v>
          </cell>
        </row>
      </sheetData>
      <sheetData sheetId="909">
        <row r="5">
          <cell r="C5">
            <v>100</v>
          </cell>
        </row>
      </sheetData>
      <sheetData sheetId="910">
        <row r="5">
          <cell r="C5">
            <v>100</v>
          </cell>
        </row>
      </sheetData>
      <sheetData sheetId="911">
        <row r="5">
          <cell r="C5">
            <v>100</v>
          </cell>
        </row>
      </sheetData>
      <sheetData sheetId="912">
        <row r="5">
          <cell r="C5">
            <v>100</v>
          </cell>
        </row>
      </sheetData>
      <sheetData sheetId="913">
        <row r="5">
          <cell r="C5">
            <v>100</v>
          </cell>
        </row>
      </sheetData>
      <sheetData sheetId="914">
        <row r="5">
          <cell r="C5">
            <v>100</v>
          </cell>
        </row>
      </sheetData>
      <sheetData sheetId="915">
        <row r="5">
          <cell r="C5">
            <v>100</v>
          </cell>
        </row>
      </sheetData>
      <sheetData sheetId="916">
        <row r="5">
          <cell r="C5">
            <v>100</v>
          </cell>
        </row>
      </sheetData>
      <sheetData sheetId="917">
        <row r="5">
          <cell r="C5">
            <v>100</v>
          </cell>
        </row>
      </sheetData>
      <sheetData sheetId="918">
        <row r="5">
          <cell r="C5">
            <v>100</v>
          </cell>
        </row>
      </sheetData>
      <sheetData sheetId="919">
        <row r="5">
          <cell r="C5">
            <v>100</v>
          </cell>
        </row>
      </sheetData>
      <sheetData sheetId="920">
        <row r="5">
          <cell r="C5">
            <v>100</v>
          </cell>
        </row>
      </sheetData>
      <sheetData sheetId="921">
        <row r="5">
          <cell r="C5">
            <v>100</v>
          </cell>
        </row>
      </sheetData>
      <sheetData sheetId="922">
        <row r="5">
          <cell r="C5">
            <v>100</v>
          </cell>
        </row>
      </sheetData>
      <sheetData sheetId="923">
        <row r="5">
          <cell r="C5">
            <v>100</v>
          </cell>
        </row>
      </sheetData>
      <sheetData sheetId="924">
        <row r="5">
          <cell r="C5">
            <v>100</v>
          </cell>
        </row>
      </sheetData>
      <sheetData sheetId="925">
        <row r="5">
          <cell r="C5">
            <v>100</v>
          </cell>
        </row>
      </sheetData>
      <sheetData sheetId="926">
        <row r="5">
          <cell r="C5">
            <v>100</v>
          </cell>
        </row>
      </sheetData>
      <sheetData sheetId="927">
        <row r="5">
          <cell r="C5">
            <v>100</v>
          </cell>
        </row>
      </sheetData>
      <sheetData sheetId="928">
        <row r="5">
          <cell r="C5">
            <v>100</v>
          </cell>
        </row>
      </sheetData>
      <sheetData sheetId="929">
        <row r="5">
          <cell r="C5">
            <v>100</v>
          </cell>
        </row>
      </sheetData>
      <sheetData sheetId="930">
        <row r="5">
          <cell r="C5">
            <v>100</v>
          </cell>
        </row>
      </sheetData>
      <sheetData sheetId="931">
        <row r="5">
          <cell r="C5">
            <v>100</v>
          </cell>
        </row>
      </sheetData>
      <sheetData sheetId="932">
        <row r="5">
          <cell r="C5">
            <v>100</v>
          </cell>
        </row>
      </sheetData>
      <sheetData sheetId="933">
        <row r="5">
          <cell r="C5">
            <v>100</v>
          </cell>
        </row>
      </sheetData>
      <sheetData sheetId="934">
        <row r="5">
          <cell r="C5">
            <v>100</v>
          </cell>
        </row>
      </sheetData>
      <sheetData sheetId="935">
        <row r="5">
          <cell r="C5">
            <v>100</v>
          </cell>
        </row>
      </sheetData>
      <sheetData sheetId="936">
        <row r="5">
          <cell r="C5">
            <v>100</v>
          </cell>
        </row>
      </sheetData>
      <sheetData sheetId="937">
        <row r="5">
          <cell r="C5">
            <v>100</v>
          </cell>
        </row>
      </sheetData>
      <sheetData sheetId="938">
        <row r="5">
          <cell r="C5">
            <v>100</v>
          </cell>
        </row>
      </sheetData>
      <sheetData sheetId="939">
        <row r="5">
          <cell r="C5">
            <v>100</v>
          </cell>
        </row>
      </sheetData>
      <sheetData sheetId="940">
        <row r="5">
          <cell r="C5">
            <v>100</v>
          </cell>
        </row>
      </sheetData>
      <sheetData sheetId="941">
        <row r="5">
          <cell r="C5">
            <v>100</v>
          </cell>
        </row>
      </sheetData>
      <sheetData sheetId="942">
        <row r="5">
          <cell r="C5">
            <v>100</v>
          </cell>
        </row>
      </sheetData>
      <sheetData sheetId="943">
        <row r="5">
          <cell r="C5">
            <v>100</v>
          </cell>
        </row>
      </sheetData>
      <sheetData sheetId="944">
        <row r="5">
          <cell r="C5">
            <v>100</v>
          </cell>
        </row>
      </sheetData>
      <sheetData sheetId="945">
        <row r="5">
          <cell r="C5">
            <v>100</v>
          </cell>
        </row>
      </sheetData>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ow r="5">
          <cell r="C5">
            <v>100</v>
          </cell>
        </row>
      </sheetData>
      <sheetData sheetId="1004">
        <row r="5">
          <cell r="C5">
            <v>100</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ow r="5">
          <cell r="C5">
            <v>100</v>
          </cell>
        </row>
      </sheetData>
      <sheetData sheetId="1052">
        <row r="5">
          <cell r="C5">
            <v>100</v>
          </cell>
        </row>
      </sheetData>
      <sheetData sheetId="1053">
        <row r="5">
          <cell r="C5">
            <v>100</v>
          </cell>
        </row>
      </sheetData>
      <sheetData sheetId="1054">
        <row r="5">
          <cell r="C5">
            <v>100</v>
          </cell>
        </row>
      </sheetData>
      <sheetData sheetId="1055">
        <row r="5">
          <cell r="C5">
            <v>100</v>
          </cell>
        </row>
      </sheetData>
      <sheetData sheetId="1056">
        <row r="5">
          <cell r="C5">
            <v>100</v>
          </cell>
        </row>
      </sheetData>
      <sheetData sheetId="1057">
        <row r="5">
          <cell r="C5">
            <v>100</v>
          </cell>
        </row>
      </sheetData>
      <sheetData sheetId="1058">
        <row r="5">
          <cell r="C5">
            <v>100</v>
          </cell>
        </row>
      </sheetData>
      <sheetData sheetId="1059">
        <row r="5">
          <cell r="C5">
            <v>100</v>
          </cell>
        </row>
      </sheetData>
      <sheetData sheetId="1060">
        <row r="5">
          <cell r="C5">
            <v>100</v>
          </cell>
        </row>
      </sheetData>
      <sheetData sheetId="1061">
        <row r="5">
          <cell r="C5">
            <v>100</v>
          </cell>
        </row>
      </sheetData>
      <sheetData sheetId="1062">
        <row r="5">
          <cell r="C5">
            <v>100</v>
          </cell>
        </row>
      </sheetData>
      <sheetData sheetId="1063">
        <row r="5">
          <cell r="C5">
            <v>100</v>
          </cell>
        </row>
      </sheetData>
      <sheetData sheetId="1064">
        <row r="5">
          <cell r="C5">
            <v>100</v>
          </cell>
        </row>
      </sheetData>
      <sheetData sheetId="1065">
        <row r="5">
          <cell r="C5">
            <v>100</v>
          </cell>
        </row>
      </sheetData>
      <sheetData sheetId="1066">
        <row r="5">
          <cell r="C5">
            <v>100</v>
          </cell>
        </row>
      </sheetData>
      <sheetData sheetId="1067">
        <row r="5">
          <cell r="C5">
            <v>100</v>
          </cell>
        </row>
      </sheetData>
      <sheetData sheetId="1068">
        <row r="5">
          <cell r="C5">
            <v>100</v>
          </cell>
        </row>
      </sheetData>
      <sheetData sheetId="1069">
        <row r="5">
          <cell r="C5">
            <v>100</v>
          </cell>
        </row>
      </sheetData>
      <sheetData sheetId="1070">
        <row r="5">
          <cell r="C5">
            <v>100</v>
          </cell>
        </row>
      </sheetData>
      <sheetData sheetId="1071">
        <row r="5">
          <cell r="C5">
            <v>100</v>
          </cell>
        </row>
      </sheetData>
      <sheetData sheetId="1072">
        <row r="5">
          <cell r="C5">
            <v>100</v>
          </cell>
        </row>
      </sheetData>
      <sheetData sheetId="1073">
        <row r="5">
          <cell r="C5">
            <v>100</v>
          </cell>
        </row>
      </sheetData>
      <sheetData sheetId="1074">
        <row r="5">
          <cell r="C5">
            <v>100</v>
          </cell>
        </row>
      </sheetData>
      <sheetData sheetId="1075">
        <row r="5">
          <cell r="C5">
            <v>100</v>
          </cell>
        </row>
      </sheetData>
      <sheetData sheetId="1076">
        <row r="5">
          <cell r="C5">
            <v>100</v>
          </cell>
        </row>
      </sheetData>
      <sheetData sheetId="1077">
        <row r="5">
          <cell r="C5">
            <v>100</v>
          </cell>
        </row>
      </sheetData>
      <sheetData sheetId="1078">
        <row r="5">
          <cell r="C5">
            <v>100</v>
          </cell>
        </row>
      </sheetData>
      <sheetData sheetId="1079">
        <row r="5">
          <cell r="C5">
            <v>100</v>
          </cell>
        </row>
      </sheetData>
      <sheetData sheetId="1080">
        <row r="5">
          <cell r="C5">
            <v>100</v>
          </cell>
        </row>
      </sheetData>
      <sheetData sheetId="1081">
        <row r="5">
          <cell r="C5">
            <v>100</v>
          </cell>
        </row>
      </sheetData>
      <sheetData sheetId="1082">
        <row r="5">
          <cell r="C5">
            <v>100</v>
          </cell>
        </row>
      </sheetData>
      <sheetData sheetId="1083">
        <row r="5">
          <cell r="C5">
            <v>100</v>
          </cell>
        </row>
      </sheetData>
      <sheetData sheetId="1084">
        <row r="5">
          <cell r="C5">
            <v>100</v>
          </cell>
        </row>
      </sheetData>
      <sheetData sheetId="1085">
        <row r="5">
          <cell r="C5">
            <v>100</v>
          </cell>
        </row>
      </sheetData>
      <sheetData sheetId="1086">
        <row r="5">
          <cell r="C5">
            <v>100</v>
          </cell>
        </row>
      </sheetData>
      <sheetData sheetId="1087">
        <row r="5">
          <cell r="C5">
            <v>100</v>
          </cell>
        </row>
      </sheetData>
      <sheetData sheetId="1088">
        <row r="5">
          <cell r="C5">
            <v>100</v>
          </cell>
        </row>
      </sheetData>
      <sheetData sheetId="1089">
        <row r="5">
          <cell r="C5">
            <v>100</v>
          </cell>
        </row>
      </sheetData>
      <sheetData sheetId="1090">
        <row r="5">
          <cell r="C5">
            <v>100</v>
          </cell>
        </row>
      </sheetData>
      <sheetData sheetId="1091">
        <row r="5">
          <cell r="C5">
            <v>100</v>
          </cell>
        </row>
      </sheetData>
      <sheetData sheetId="1092">
        <row r="5">
          <cell r="C5">
            <v>100</v>
          </cell>
        </row>
      </sheetData>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ow r="5">
          <cell r="C5">
            <v>100</v>
          </cell>
        </row>
      </sheetData>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ow r="5">
          <cell r="C5">
            <v>100</v>
          </cell>
        </row>
      </sheetData>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ow r="5">
          <cell r="C5" t="str">
            <v>PACKAGE NO.</v>
          </cell>
        </row>
      </sheetData>
      <sheetData sheetId="1146">
        <row r="5">
          <cell r="C5" t="str">
            <v>PACKAGE NO.</v>
          </cell>
        </row>
      </sheetData>
      <sheetData sheetId="1147">
        <row r="5">
          <cell r="C5" t="str">
            <v>PACKAGE NO.</v>
          </cell>
        </row>
      </sheetData>
      <sheetData sheetId="1148">
        <row r="5">
          <cell r="C5" t="str">
            <v>PACKAGE NO.</v>
          </cell>
        </row>
      </sheetData>
      <sheetData sheetId="1149">
        <row r="5">
          <cell r="C5" t="str">
            <v>PACKAGE NO.</v>
          </cell>
        </row>
      </sheetData>
      <sheetData sheetId="1150">
        <row r="5">
          <cell r="C5" t="str">
            <v>PACKAGE NO.</v>
          </cell>
        </row>
      </sheetData>
      <sheetData sheetId="1151">
        <row r="5">
          <cell r="C5" t="str">
            <v>PACKAGE NO.</v>
          </cell>
        </row>
      </sheetData>
      <sheetData sheetId="1152">
        <row r="5">
          <cell r="C5" t="str">
            <v>PACKAGE NO.</v>
          </cell>
        </row>
      </sheetData>
      <sheetData sheetId="1153">
        <row r="5">
          <cell r="C5" t="str">
            <v>PACKAGE NO.</v>
          </cell>
        </row>
      </sheetData>
      <sheetData sheetId="1154">
        <row r="5">
          <cell r="C5" t="str">
            <v>PACKAGE NO.</v>
          </cell>
        </row>
      </sheetData>
      <sheetData sheetId="1155">
        <row r="5">
          <cell r="C5" t="str">
            <v>PACKAGE NO.</v>
          </cell>
        </row>
      </sheetData>
      <sheetData sheetId="1156">
        <row r="5">
          <cell r="C5" t="str">
            <v>PACKAGE NO.</v>
          </cell>
        </row>
      </sheetData>
      <sheetData sheetId="1157">
        <row r="5">
          <cell r="C5" t="str">
            <v>PACKAGE NO.</v>
          </cell>
        </row>
      </sheetData>
      <sheetData sheetId="1158">
        <row r="5">
          <cell r="C5" t="str">
            <v>PACKAGE NO.</v>
          </cell>
        </row>
      </sheetData>
      <sheetData sheetId="1159">
        <row r="5">
          <cell r="C5" t="str">
            <v>PACKAGE NO.</v>
          </cell>
        </row>
      </sheetData>
      <sheetData sheetId="1160">
        <row r="5">
          <cell r="C5" t="str">
            <v>PACKAGE NO.</v>
          </cell>
        </row>
      </sheetData>
      <sheetData sheetId="1161">
        <row r="5">
          <cell r="C5" t="str">
            <v>PACKAGE NO.</v>
          </cell>
        </row>
      </sheetData>
      <sheetData sheetId="1162">
        <row r="5">
          <cell r="C5" t="str">
            <v>PACKAGE NO.</v>
          </cell>
        </row>
      </sheetData>
      <sheetData sheetId="1163">
        <row r="5">
          <cell r="C5" t="str">
            <v>PACKAGE NO.</v>
          </cell>
        </row>
      </sheetData>
      <sheetData sheetId="1164">
        <row r="5">
          <cell r="C5" t="str">
            <v>PACKAGE NO.</v>
          </cell>
        </row>
      </sheetData>
      <sheetData sheetId="1165">
        <row r="5">
          <cell r="C5" t="str">
            <v>PACKAGE NO.</v>
          </cell>
        </row>
      </sheetData>
      <sheetData sheetId="1166">
        <row r="5">
          <cell r="C5" t="str">
            <v>PACKAGE NO.</v>
          </cell>
        </row>
      </sheetData>
      <sheetData sheetId="1167">
        <row r="5">
          <cell r="C5" t="str">
            <v>PACKAGE NO.</v>
          </cell>
        </row>
      </sheetData>
      <sheetData sheetId="1168">
        <row r="5">
          <cell r="C5" t="str">
            <v>PACKAGE NO.</v>
          </cell>
        </row>
      </sheetData>
      <sheetData sheetId="1169">
        <row r="5">
          <cell r="C5" t="str">
            <v>PACKAGE NO.</v>
          </cell>
        </row>
      </sheetData>
      <sheetData sheetId="1170">
        <row r="5">
          <cell r="C5" t="str">
            <v>PACKAGE NO.</v>
          </cell>
        </row>
      </sheetData>
      <sheetData sheetId="1171">
        <row r="5">
          <cell r="C5" t="str">
            <v>PACKAGE NO.</v>
          </cell>
        </row>
      </sheetData>
      <sheetData sheetId="1172">
        <row r="5">
          <cell r="C5" t="str">
            <v>PACKAGE NO.</v>
          </cell>
        </row>
      </sheetData>
      <sheetData sheetId="1173">
        <row r="5">
          <cell r="C5" t="str">
            <v>PACKAGE NO.</v>
          </cell>
        </row>
      </sheetData>
      <sheetData sheetId="1174">
        <row r="5">
          <cell r="C5" t="str">
            <v>PACKAGE NO.</v>
          </cell>
        </row>
      </sheetData>
      <sheetData sheetId="1175">
        <row r="5">
          <cell r="C5" t="str">
            <v>PACKAGE NO.</v>
          </cell>
        </row>
      </sheetData>
      <sheetData sheetId="1176">
        <row r="5">
          <cell r="C5" t="str">
            <v>PACKAGE NO.</v>
          </cell>
        </row>
      </sheetData>
      <sheetData sheetId="1177">
        <row r="5">
          <cell r="C5" t="str">
            <v>PACKAGE NO.</v>
          </cell>
        </row>
      </sheetData>
      <sheetData sheetId="1178">
        <row r="5">
          <cell r="C5" t="str">
            <v>PACKAGE NO.</v>
          </cell>
        </row>
      </sheetData>
      <sheetData sheetId="1179">
        <row r="5">
          <cell r="C5" t="str">
            <v>PACKAGE NO.</v>
          </cell>
        </row>
      </sheetData>
      <sheetData sheetId="1180">
        <row r="5">
          <cell r="C5" t="str">
            <v>PACKAGE NO.</v>
          </cell>
        </row>
      </sheetData>
      <sheetData sheetId="1181">
        <row r="5">
          <cell r="C5" t="str">
            <v>PACKAGE NO.</v>
          </cell>
        </row>
      </sheetData>
      <sheetData sheetId="1182">
        <row r="5">
          <cell r="C5" t="str">
            <v>PACKAGE NO.</v>
          </cell>
        </row>
      </sheetData>
      <sheetData sheetId="1183">
        <row r="5">
          <cell r="C5" t="str">
            <v>PACKAGE NO.</v>
          </cell>
        </row>
      </sheetData>
      <sheetData sheetId="1184">
        <row r="5">
          <cell r="C5" t="str">
            <v>PACKAGE NO.</v>
          </cell>
        </row>
      </sheetData>
      <sheetData sheetId="1185">
        <row r="5">
          <cell r="C5" t="str">
            <v>PACKAGE NO.</v>
          </cell>
        </row>
      </sheetData>
      <sheetData sheetId="1186">
        <row r="5">
          <cell r="C5" t="str">
            <v>PACKAGE NO.</v>
          </cell>
        </row>
      </sheetData>
      <sheetData sheetId="1187">
        <row r="5">
          <cell r="C5" t="str">
            <v>PACKAGE NO.</v>
          </cell>
        </row>
      </sheetData>
      <sheetData sheetId="1188">
        <row r="5">
          <cell r="C5" t="str">
            <v>PACKAGE NO.</v>
          </cell>
        </row>
      </sheetData>
      <sheetData sheetId="1189">
        <row r="5">
          <cell r="C5" t="str">
            <v>PACKAGE NO.</v>
          </cell>
        </row>
      </sheetData>
      <sheetData sheetId="1190">
        <row r="5">
          <cell r="C5" t="str">
            <v>PACKAGE NO.</v>
          </cell>
        </row>
      </sheetData>
      <sheetData sheetId="1191">
        <row r="5">
          <cell r="C5" t="str">
            <v>PACKAGE NO.</v>
          </cell>
        </row>
      </sheetData>
      <sheetData sheetId="1192">
        <row r="5">
          <cell r="C5" t="str">
            <v>PACKAGE NO.</v>
          </cell>
        </row>
      </sheetData>
      <sheetData sheetId="1193">
        <row r="5">
          <cell r="C5" t="str">
            <v>PACKAGE NO.</v>
          </cell>
        </row>
      </sheetData>
      <sheetData sheetId="1194">
        <row r="5">
          <cell r="C5" t="str">
            <v>PACKAGE NO.</v>
          </cell>
        </row>
      </sheetData>
      <sheetData sheetId="1195">
        <row r="5">
          <cell r="C5" t="str">
            <v>PACKAGE NO.</v>
          </cell>
        </row>
      </sheetData>
      <sheetData sheetId="1196">
        <row r="5">
          <cell r="C5" t="str">
            <v>PACKAGE NO.</v>
          </cell>
        </row>
      </sheetData>
      <sheetData sheetId="1197">
        <row r="5">
          <cell r="C5" t="str">
            <v>PACKAGE NO.</v>
          </cell>
        </row>
      </sheetData>
      <sheetData sheetId="1198">
        <row r="5">
          <cell r="C5" t="str">
            <v>PACKAGE NO.</v>
          </cell>
        </row>
      </sheetData>
      <sheetData sheetId="1199">
        <row r="5">
          <cell r="C5" t="str">
            <v>PACKAGE NO.</v>
          </cell>
        </row>
      </sheetData>
      <sheetData sheetId="1200">
        <row r="5">
          <cell r="C5" t="str">
            <v>PACKAGE NO.</v>
          </cell>
        </row>
      </sheetData>
      <sheetData sheetId="1201">
        <row r="5">
          <cell r="C5" t="str">
            <v>PACKAGE NO.</v>
          </cell>
        </row>
      </sheetData>
      <sheetData sheetId="1202">
        <row r="5">
          <cell r="C5" t="str">
            <v>PACKAGE NO.</v>
          </cell>
        </row>
      </sheetData>
      <sheetData sheetId="1203">
        <row r="5">
          <cell r="C5" t="str">
            <v>PACKAGE NO.</v>
          </cell>
        </row>
      </sheetData>
      <sheetData sheetId="1204">
        <row r="5">
          <cell r="C5" t="str">
            <v>PACKAGE NO.</v>
          </cell>
        </row>
      </sheetData>
      <sheetData sheetId="1205">
        <row r="5">
          <cell r="C5" t="str">
            <v>PACKAGE NO.</v>
          </cell>
        </row>
      </sheetData>
      <sheetData sheetId="1206">
        <row r="5">
          <cell r="C5" t="str">
            <v>PACKAGE NO.</v>
          </cell>
        </row>
      </sheetData>
      <sheetData sheetId="1207">
        <row r="5">
          <cell r="C5" t="str">
            <v>PACKAGE NO.</v>
          </cell>
        </row>
      </sheetData>
      <sheetData sheetId="1208">
        <row r="5">
          <cell r="C5" t="str">
            <v>PACKAGE NO.</v>
          </cell>
        </row>
      </sheetData>
      <sheetData sheetId="1209">
        <row r="5">
          <cell r="C5" t="str">
            <v>PACKAGE NO.</v>
          </cell>
        </row>
      </sheetData>
      <sheetData sheetId="1210">
        <row r="5">
          <cell r="C5" t="str">
            <v>PACKAGE NO.</v>
          </cell>
        </row>
      </sheetData>
      <sheetData sheetId="1211">
        <row r="5">
          <cell r="C5" t="str">
            <v>PACKAGE NO.</v>
          </cell>
        </row>
      </sheetData>
      <sheetData sheetId="1212">
        <row r="5">
          <cell r="C5" t="str">
            <v>PACKAGE NO.</v>
          </cell>
        </row>
      </sheetData>
      <sheetData sheetId="1213">
        <row r="5">
          <cell r="C5" t="str">
            <v>PACKAGE NO.</v>
          </cell>
        </row>
      </sheetData>
      <sheetData sheetId="1214">
        <row r="5">
          <cell r="C5" t="str">
            <v>PACKAGE NO.</v>
          </cell>
        </row>
      </sheetData>
      <sheetData sheetId="1215">
        <row r="5">
          <cell r="C5" t="str">
            <v>PACKAGE NO.</v>
          </cell>
        </row>
      </sheetData>
      <sheetData sheetId="1216">
        <row r="5">
          <cell r="C5" t="str">
            <v>PACKAGE NO.</v>
          </cell>
        </row>
      </sheetData>
      <sheetData sheetId="1217">
        <row r="5">
          <cell r="C5" t="str">
            <v>PACKAGE NO.</v>
          </cell>
        </row>
      </sheetData>
      <sheetData sheetId="1218">
        <row r="5">
          <cell r="C5" t="str">
            <v>PACKAGE NO.</v>
          </cell>
        </row>
      </sheetData>
      <sheetData sheetId="1219">
        <row r="5">
          <cell r="C5" t="str">
            <v>PACKAGE NO.</v>
          </cell>
        </row>
      </sheetData>
      <sheetData sheetId="1220">
        <row r="5">
          <cell r="C5" t="str">
            <v>PACKAGE NO.</v>
          </cell>
        </row>
      </sheetData>
      <sheetData sheetId="1221">
        <row r="5">
          <cell r="C5" t="str">
            <v>PACKAGE NO.</v>
          </cell>
        </row>
      </sheetData>
      <sheetData sheetId="1222">
        <row r="5">
          <cell r="C5" t="str">
            <v>PACKAGE NO.</v>
          </cell>
        </row>
      </sheetData>
      <sheetData sheetId="1223">
        <row r="5">
          <cell r="C5" t="str">
            <v>PACKAGE NO.</v>
          </cell>
        </row>
      </sheetData>
      <sheetData sheetId="1224">
        <row r="5">
          <cell r="C5" t="str">
            <v>PACKAGE NO.</v>
          </cell>
        </row>
      </sheetData>
      <sheetData sheetId="1225">
        <row r="5">
          <cell r="C5" t="str">
            <v>PACKAGE NO.</v>
          </cell>
        </row>
      </sheetData>
      <sheetData sheetId="1226">
        <row r="5">
          <cell r="C5" t="str">
            <v>PACKAGE NO.</v>
          </cell>
        </row>
      </sheetData>
      <sheetData sheetId="1227">
        <row r="5">
          <cell r="C5" t="str">
            <v>PACKAGE NO.</v>
          </cell>
        </row>
      </sheetData>
      <sheetData sheetId="1228">
        <row r="5">
          <cell r="C5" t="str">
            <v>PACKAGE NO.</v>
          </cell>
        </row>
      </sheetData>
      <sheetData sheetId="1229">
        <row r="5">
          <cell r="C5" t="str">
            <v>PACKAGE NO.</v>
          </cell>
        </row>
      </sheetData>
      <sheetData sheetId="1230">
        <row r="5">
          <cell r="C5" t="str">
            <v>PACKAGE NO.</v>
          </cell>
        </row>
      </sheetData>
      <sheetData sheetId="1231">
        <row r="5">
          <cell r="C5" t="str">
            <v>PACKAGE NO.</v>
          </cell>
        </row>
      </sheetData>
      <sheetData sheetId="1232">
        <row r="5">
          <cell r="C5" t="str">
            <v>PACKAGE NO.</v>
          </cell>
        </row>
      </sheetData>
      <sheetData sheetId="1233">
        <row r="5">
          <cell r="C5" t="str">
            <v>PACKAGE NO.</v>
          </cell>
        </row>
      </sheetData>
      <sheetData sheetId="1234">
        <row r="5">
          <cell r="C5" t="str">
            <v>PACKAGE NO.</v>
          </cell>
        </row>
      </sheetData>
      <sheetData sheetId="1235">
        <row r="5">
          <cell r="C5" t="str">
            <v>PACKAGE NO.</v>
          </cell>
        </row>
      </sheetData>
      <sheetData sheetId="1236">
        <row r="5">
          <cell r="C5" t="str">
            <v>PACKAGE NO.</v>
          </cell>
        </row>
      </sheetData>
      <sheetData sheetId="1237">
        <row r="5">
          <cell r="C5" t="str">
            <v>PACKAGE NO.</v>
          </cell>
        </row>
      </sheetData>
      <sheetData sheetId="1238">
        <row r="5">
          <cell r="C5" t="str">
            <v>PACKAGE NO.</v>
          </cell>
        </row>
      </sheetData>
      <sheetData sheetId="1239">
        <row r="5">
          <cell r="C5" t="str">
            <v>PACKAGE NO.</v>
          </cell>
        </row>
      </sheetData>
      <sheetData sheetId="1240">
        <row r="5">
          <cell r="C5" t="str">
            <v>PACKAGE NO.</v>
          </cell>
        </row>
      </sheetData>
      <sheetData sheetId="1241">
        <row r="5">
          <cell r="C5" t="str">
            <v>PACKAGE NO.</v>
          </cell>
        </row>
      </sheetData>
      <sheetData sheetId="1242">
        <row r="5">
          <cell r="C5" t="str">
            <v>PACKAGE NO.</v>
          </cell>
        </row>
      </sheetData>
      <sheetData sheetId="1243">
        <row r="5">
          <cell r="C5" t="str">
            <v>PACKAGE NO.</v>
          </cell>
        </row>
      </sheetData>
      <sheetData sheetId="1244">
        <row r="5">
          <cell r="C5" t="str">
            <v>PACKAGE NO.</v>
          </cell>
        </row>
      </sheetData>
      <sheetData sheetId="1245">
        <row r="5">
          <cell r="C5" t="str">
            <v>PACKAGE NO.</v>
          </cell>
        </row>
      </sheetData>
      <sheetData sheetId="1246">
        <row r="5">
          <cell r="C5" t="str">
            <v>PACKAGE NO.</v>
          </cell>
        </row>
      </sheetData>
      <sheetData sheetId="1247">
        <row r="5">
          <cell r="C5" t="str">
            <v>PACKAGE NO.</v>
          </cell>
        </row>
      </sheetData>
      <sheetData sheetId="1248">
        <row r="5">
          <cell r="C5" t="str">
            <v>PACKAGE NO.</v>
          </cell>
        </row>
      </sheetData>
      <sheetData sheetId="1249">
        <row r="5">
          <cell r="C5" t="str">
            <v>PACKAGE NO.</v>
          </cell>
        </row>
      </sheetData>
      <sheetData sheetId="1250">
        <row r="5">
          <cell r="C5" t="str">
            <v>PACKAGE NO.</v>
          </cell>
        </row>
      </sheetData>
      <sheetData sheetId="1251">
        <row r="5">
          <cell r="C5" t="str">
            <v>PACKAGE NO.</v>
          </cell>
        </row>
      </sheetData>
      <sheetData sheetId="1252">
        <row r="5">
          <cell r="C5" t="str">
            <v>PACKAGE NO.</v>
          </cell>
        </row>
      </sheetData>
      <sheetData sheetId="1253">
        <row r="5">
          <cell r="C5" t="str">
            <v>PACKAGE NO.</v>
          </cell>
        </row>
      </sheetData>
      <sheetData sheetId="1254">
        <row r="5">
          <cell r="C5" t="str">
            <v>PACKAGE NO.</v>
          </cell>
        </row>
      </sheetData>
      <sheetData sheetId="1255">
        <row r="5">
          <cell r="C5" t="str">
            <v>PACKAGE NO.</v>
          </cell>
        </row>
      </sheetData>
      <sheetData sheetId="1256">
        <row r="5">
          <cell r="C5" t="str">
            <v>PACKAGE NO.</v>
          </cell>
        </row>
      </sheetData>
      <sheetData sheetId="1257">
        <row r="5">
          <cell r="C5" t="str">
            <v>PACKAGE NO.</v>
          </cell>
        </row>
      </sheetData>
      <sheetData sheetId="1258">
        <row r="5">
          <cell r="C5" t="str">
            <v>PACKAGE NO.</v>
          </cell>
        </row>
      </sheetData>
      <sheetData sheetId="1259">
        <row r="5">
          <cell r="C5" t="str">
            <v>PACKAGE NO.</v>
          </cell>
        </row>
      </sheetData>
      <sheetData sheetId="1260">
        <row r="5">
          <cell r="C5" t="str">
            <v>PACKAGE NO.</v>
          </cell>
        </row>
      </sheetData>
      <sheetData sheetId="1261">
        <row r="5">
          <cell r="C5" t="str">
            <v>PACKAGE NO.</v>
          </cell>
        </row>
      </sheetData>
      <sheetData sheetId="1262">
        <row r="5">
          <cell r="C5" t="str">
            <v>PACKAGE NO.</v>
          </cell>
        </row>
      </sheetData>
      <sheetData sheetId="1263">
        <row r="5">
          <cell r="C5" t="str">
            <v>PACKAGE NO.</v>
          </cell>
        </row>
      </sheetData>
      <sheetData sheetId="1264">
        <row r="5">
          <cell r="C5" t="str">
            <v>PACKAGE NO.</v>
          </cell>
        </row>
      </sheetData>
      <sheetData sheetId="1265">
        <row r="5">
          <cell r="C5" t="str">
            <v>PACKAGE NO.</v>
          </cell>
        </row>
      </sheetData>
      <sheetData sheetId="1266">
        <row r="5">
          <cell r="C5" t="str">
            <v>PACKAGE NO.</v>
          </cell>
        </row>
      </sheetData>
      <sheetData sheetId="1267">
        <row r="5">
          <cell r="C5" t="str">
            <v>PACKAGE NO.</v>
          </cell>
        </row>
      </sheetData>
      <sheetData sheetId="1268">
        <row r="5">
          <cell r="C5" t="str">
            <v>PACKAGE NO.</v>
          </cell>
        </row>
      </sheetData>
      <sheetData sheetId="1269">
        <row r="5">
          <cell r="C5" t="str">
            <v>PACKAGE NO.</v>
          </cell>
        </row>
      </sheetData>
      <sheetData sheetId="1270">
        <row r="5">
          <cell r="C5" t="str">
            <v>PACKAGE NO.</v>
          </cell>
        </row>
      </sheetData>
      <sheetData sheetId="1271">
        <row r="5">
          <cell r="C5" t="str">
            <v>PACKAGE NO.</v>
          </cell>
        </row>
      </sheetData>
      <sheetData sheetId="1272">
        <row r="5">
          <cell r="C5" t="str">
            <v>PACKAGE NO.</v>
          </cell>
        </row>
      </sheetData>
      <sheetData sheetId="1273">
        <row r="5">
          <cell r="C5" t="str">
            <v>PACKAGE NO.</v>
          </cell>
        </row>
      </sheetData>
      <sheetData sheetId="1274">
        <row r="5">
          <cell r="C5" t="str">
            <v>PACKAGE NO.</v>
          </cell>
        </row>
      </sheetData>
      <sheetData sheetId="1275">
        <row r="5">
          <cell r="C5" t="str">
            <v>PACKAGE NO.</v>
          </cell>
        </row>
      </sheetData>
      <sheetData sheetId="1276">
        <row r="5">
          <cell r="C5" t="str">
            <v>PACKAGE NO.</v>
          </cell>
        </row>
      </sheetData>
      <sheetData sheetId="1277">
        <row r="5">
          <cell r="C5" t="str">
            <v>PACKAGE NO.</v>
          </cell>
        </row>
      </sheetData>
      <sheetData sheetId="1278">
        <row r="5">
          <cell r="C5" t="str">
            <v>PACKAGE NO.</v>
          </cell>
        </row>
      </sheetData>
      <sheetData sheetId="1279">
        <row r="5">
          <cell r="C5" t="str">
            <v>PACKAGE NO.</v>
          </cell>
        </row>
      </sheetData>
      <sheetData sheetId="1280">
        <row r="5">
          <cell r="C5" t="str">
            <v>PACKAGE NO.</v>
          </cell>
        </row>
      </sheetData>
      <sheetData sheetId="1281">
        <row r="5">
          <cell r="C5" t="str">
            <v>PACKAGE NO.</v>
          </cell>
        </row>
      </sheetData>
      <sheetData sheetId="1282">
        <row r="5">
          <cell r="C5" t="str">
            <v>PACKAGE NO.</v>
          </cell>
        </row>
      </sheetData>
      <sheetData sheetId="1283">
        <row r="5">
          <cell r="C5" t="str">
            <v>PACKAGE NO.</v>
          </cell>
        </row>
      </sheetData>
      <sheetData sheetId="1284">
        <row r="5">
          <cell r="C5" t="str">
            <v>PACKAGE NO.</v>
          </cell>
        </row>
      </sheetData>
      <sheetData sheetId="1285">
        <row r="5">
          <cell r="C5" t="str">
            <v>PACKAGE NO.</v>
          </cell>
        </row>
      </sheetData>
      <sheetData sheetId="1286">
        <row r="5">
          <cell r="C5" t="str">
            <v>PACKAGE NO.</v>
          </cell>
        </row>
      </sheetData>
      <sheetData sheetId="1287">
        <row r="5">
          <cell r="C5" t="str">
            <v>PACKAGE NO.</v>
          </cell>
        </row>
      </sheetData>
      <sheetData sheetId="1288">
        <row r="5">
          <cell r="C5" t="str">
            <v>PACKAGE NO.</v>
          </cell>
        </row>
      </sheetData>
      <sheetData sheetId="1289">
        <row r="5">
          <cell r="C5" t="str">
            <v>PACKAGE NO.</v>
          </cell>
        </row>
      </sheetData>
      <sheetData sheetId="1290">
        <row r="5">
          <cell r="C5" t="str">
            <v>PACKAGE NO.</v>
          </cell>
        </row>
      </sheetData>
      <sheetData sheetId="1291">
        <row r="5">
          <cell r="C5" t="str">
            <v>PACKAGE NO.</v>
          </cell>
        </row>
      </sheetData>
      <sheetData sheetId="1292">
        <row r="5">
          <cell r="C5" t="str">
            <v>PACKAGE NO.</v>
          </cell>
        </row>
      </sheetData>
      <sheetData sheetId="1293">
        <row r="5">
          <cell r="C5" t="str">
            <v>PACKAGE NO.</v>
          </cell>
        </row>
      </sheetData>
      <sheetData sheetId="1294">
        <row r="5">
          <cell r="C5" t="str">
            <v>PACKAGE NO.</v>
          </cell>
        </row>
      </sheetData>
      <sheetData sheetId="1295">
        <row r="5">
          <cell r="C5" t="str">
            <v>PACKAGE NO.</v>
          </cell>
        </row>
      </sheetData>
      <sheetData sheetId="1296">
        <row r="5">
          <cell r="C5" t="str">
            <v>PACKAGE NO.</v>
          </cell>
        </row>
      </sheetData>
      <sheetData sheetId="1297">
        <row r="5">
          <cell r="C5" t="str">
            <v>PACKAGE NO.</v>
          </cell>
        </row>
      </sheetData>
      <sheetData sheetId="1298">
        <row r="5">
          <cell r="C5" t="str">
            <v>PACKAGE NO.</v>
          </cell>
        </row>
      </sheetData>
      <sheetData sheetId="1299">
        <row r="5">
          <cell r="C5" t="str">
            <v>PACKAGE NO.</v>
          </cell>
        </row>
      </sheetData>
      <sheetData sheetId="1300">
        <row r="5">
          <cell r="C5" t="str">
            <v>PACKAGE NO.</v>
          </cell>
        </row>
      </sheetData>
      <sheetData sheetId="1301">
        <row r="5">
          <cell r="C5" t="str">
            <v>PACKAGE NO.</v>
          </cell>
        </row>
      </sheetData>
      <sheetData sheetId="1302">
        <row r="5">
          <cell r="C5" t="str">
            <v>PACKAGE NO.</v>
          </cell>
        </row>
      </sheetData>
      <sheetData sheetId="1303">
        <row r="5">
          <cell r="C5" t="str">
            <v>PACKAGE NO.</v>
          </cell>
        </row>
      </sheetData>
      <sheetData sheetId="1304">
        <row r="5">
          <cell r="C5" t="str">
            <v>PACKAGE NO.</v>
          </cell>
        </row>
      </sheetData>
      <sheetData sheetId="1305">
        <row r="5">
          <cell r="C5" t="str">
            <v>PACKAGE NO.</v>
          </cell>
        </row>
      </sheetData>
      <sheetData sheetId="1306">
        <row r="5">
          <cell r="C5" t="str">
            <v>PACKAGE NO.</v>
          </cell>
        </row>
      </sheetData>
      <sheetData sheetId="1307">
        <row r="5">
          <cell r="C5" t="str">
            <v>PACKAGE NO.</v>
          </cell>
        </row>
      </sheetData>
      <sheetData sheetId="1308">
        <row r="5">
          <cell r="C5" t="str">
            <v>PACKAGE NO.</v>
          </cell>
        </row>
      </sheetData>
      <sheetData sheetId="1309">
        <row r="5">
          <cell r="C5" t="str">
            <v>PACKAGE NO.</v>
          </cell>
        </row>
      </sheetData>
      <sheetData sheetId="1310">
        <row r="5">
          <cell r="C5" t="str">
            <v>PACKAGE NO.</v>
          </cell>
        </row>
      </sheetData>
      <sheetData sheetId="1311">
        <row r="5">
          <cell r="C5" t="str">
            <v>PACKAGE NO.</v>
          </cell>
        </row>
      </sheetData>
      <sheetData sheetId="1312">
        <row r="5">
          <cell r="C5" t="str">
            <v>PACKAGE NO.</v>
          </cell>
        </row>
      </sheetData>
      <sheetData sheetId="1313">
        <row r="5">
          <cell r="C5" t="str">
            <v>PACKAGE NO.</v>
          </cell>
        </row>
      </sheetData>
      <sheetData sheetId="1314">
        <row r="5">
          <cell r="C5" t="str">
            <v>PACKAGE NO.</v>
          </cell>
        </row>
      </sheetData>
      <sheetData sheetId="1315">
        <row r="5">
          <cell r="C5" t="str">
            <v>PACKAGE NO.</v>
          </cell>
        </row>
      </sheetData>
      <sheetData sheetId="1316">
        <row r="5">
          <cell r="C5" t="str">
            <v>PACKAGE NO.</v>
          </cell>
        </row>
      </sheetData>
      <sheetData sheetId="1317">
        <row r="5">
          <cell r="C5" t="str">
            <v>PACKAGE NO.</v>
          </cell>
        </row>
      </sheetData>
      <sheetData sheetId="1318">
        <row r="5">
          <cell r="C5" t="str">
            <v>PACKAGE NO.</v>
          </cell>
        </row>
      </sheetData>
      <sheetData sheetId="1319">
        <row r="5">
          <cell r="C5" t="str">
            <v>PACKAGE NO.</v>
          </cell>
        </row>
      </sheetData>
      <sheetData sheetId="1320">
        <row r="5">
          <cell r="C5" t="str">
            <v>PACKAGE NO.</v>
          </cell>
        </row>
      </sheetData>
      <sheetData sheetId="1321">
        <row r="5">
          <cell r="C5" t="str">
            <v>PACKAGE NO.</v>
          </cell>
        </row>
      </sheetData>
      <sheetData sheetId="1322">
        <row r="5">
          <cell r="C5" t="str">
            <v>PACKAGE NO.</v>
          </cell>
        </row>
      </sheetData>
      <sheetData sheetId="1323">
        <row r="5">
          <cell r="C5" t="str">
            <v>PACKAGE NO.</v>
          </cell>
        </row>
      </sheetData>
      <sheetData sheetId="1324">
        <row r="5">
          <cell r="C5" t="str">
            <v>PACKAGE NO.</v>
          </cell>
        </row>
      </sheetData>
      <sheetData sheetId="1325">
        <row r="5">
          <cell r="C5" t="str">
            <v>PACKAGE NO.</v>
          </cell>
        </row>
      </sheetData>
      <sheetData sheetId="1326">
        <row r="5">
          <cell r="C5" t="str">
            <v>PACKAGE NO.</v>
          </cell>
        </row>
      </sheetData>
      <sheetData sheetId="1327">
        <row r="5">
          <cell r="C5" t="str">
            <v>PACKAGE NO.</v>
          </cell>
        </row>
      </sheetData>
      <sheetData sheetId="1328">
        <row r="5">
          <cell r="C5" t="str">
            <v>PACKAGE NO.</v>
          </cell>
        </row>
      </sheetData>
      <sheetData sheetId="1329">
        <row r="5">
          <cell r="C5" t="str">
            <v>PACKAGE NO.</v>
          </cell>
        </row>
      </sheetData>
      <sheetData sheetId="1330">
        <row r="5">
          <cell r="C5" t="str">
            <v>PACKAGE NO.</v>
          </cell>
        </row>
      </sheetData>
      <sheetData sheetId="1331">
        <row r="5">
          <cell r="C5" t="str">
            <v>PACKAGE NO.</v>
          </cell>
        </row>
      </sheetData>
      <sheetData sheetId="1332">
        <row r="5">
          <cell r="C5" t="str">
            <v>PACKAGE NO.</v>
          </cell>
        </row>
      </sheetData>
      <sheetData sheetId="1333">
        <row r="5">
          <cell r="C5" t="str">
            <v>PACKAGE NO.</v>
          </cell>
        </row>
      </sheetData>
      <sheetData sheetId="1334">
        <row r="5">
          <cell r="C5" t="str">
            <v>PACKAGE NO.</v>
          </cell>
        </row>
      </sheetData>
      <sheetData sheetId="1335">
        <row r="5">
          <cell r="C5" t="str">
            <v>PACKAGE NO.</v>
          </cell>
        </row>
      </sheetData>
      <sheetData sheetId="1336">
        <row r="5">
          <cell r="C5" t="str">
            <v>PACKAGE NO.</v>
          </cell>
        </row>
      </sheetData>
      <sheetData sheetId="1337">
        <row r="5">
          <cell r="C5" t="str">
            <v>PACKAGE NO.</v>
          </cell>
        </row>
      </sheetData>
      <sheetData sheetId="1338">
        <row r="5">
          <cell r="C5" t="str">
            <v>PACKAGE NO.</v>
          </cell>
        </row>
      </sheetData>
      <sheetData sheetId="1339">
        <row r="5">
          <cell r="C5" t="str">
            <v>PACKAGE NO.</v>
          </cell>
        </row>
      </sheetData>
      <sheetData sheetId="1340">
        <row r="5">
          <cell r="C5" t="str">
            <v>PACKAGE NO.</v>
          </cell>
        </row>
      </sheetData>
      <sheetData sheetId="1341">
        <row r="5">
          <cell r="C5" t="str">
            <v>PACKAGE NO.</v>
          </cell>
        </row>
      </sheetData>
      <sheetData sheetId="1342">
        <row r="5">
          <cell r="C5" t="str">
            <v>PACKAGE NO.</v>
          </cell>
        </row>
      </sheetData>
      <sheetData sheetId="1343">
        <row r="5">
          <cell r="C5" t="str">
            <v>PACKAGE NO.</v>
          </cell>
        </row>
      </sheetData>
      <sheetData sheetId="1344">
        <row r="5">
          <cell r="C5" t="str">
            <v>PACKAGE NO.</v>
          </cell>
        </row>
      </sheetData>
      <sheetData sheetId="1345">
        <row r="5">
          <cell r="C5" t="str">
            <v>PACKAGE NO.</v>
          </cell>
        </row>
      </sheetData>
      <sheetData sheetId="1346">
        <row r="5">
          <cell r="C5" t="str">
            <v>PACKAGE NO.</v>
          </cell>
        </row>
      </sheetData>
      <sheetData sheetId="1347">
        <row r="5">
          <cell r="C5" t="str">
            <v>PACKAGE NO.</v>
          </cell>
        </row>
      </sheetData>
      <sheetData sheetId="1348">
        <row r="5">
          <cell r="C5" t="str">
            <v>PACKAGE NO.</v>
          </cell>
        </row>
      </sheetData>
      <sheetData sheetId="1349">
        <row r="5">
          <cell r="C5" t="str">
            <v>PACKAGE NO.</v>
          </cell>
        </row>
      </sheetData>
      <sheetData sheetId="1350">
        <row r="5">
          <cell r="C5" t="str">
            <v>PACKAGE NO.</v>
          </cell>
        </row>
      </sheetData>
      <sheetData sheetId="1351">
        <row r="5">
          <cell r="C5" t="str">
            <v>PACKAGE NO.</v>
          </cell>
        </row>
      </sheetData>
      <sheetData sheetId="1352">
        <row r="5">
          <cell r="C5" t="str">
            <v>PACKAGE NO.</v>
          </cell>
        </row>
      </sheetData>
      <sheetData sheetId="1353">
        <row r="5">
          <cell r="C5" t="str">
            <v>PACKAGE NO.</v>
          </cell>
        </row>
      </sheetData>
      <sheetData sheetId="1354">
        <row r="5">
          <cell r="C5" t="str">
            <v>PACKAGE NO.</v>
          </cell>
        </row>
      </sheetData>
      <sheetData sheetId="1355">
        <row r="5">
          <cell r="C5" t="str">
            <v>PACKAGE NO.</v>
          </cell>
        </row>
      </sheetData>
      <sheetData sheetId="1356">
        <row r="5">
          <cell r="C5" t="str">
            <v>PACKAGE NO.</v>
          </cell>
        </row>
      </sheetData>
      <sheetData sheetId="1357">
        <row r="5">
          <cell r="C5" t="str">
            <v>PACKAGE NO.</v>
          </cell>
        </row>
      </sheetData>
      <sheetData sheetId="1358">
        <row r="5">
          <cell r="C5" t="str">
            <v>PACKAGE NO.</v>
          </cell>
        </row>
      </sheetData>
      <sheetData sheetId="1359">
        <row r="5">
          <cell r="C5" t="str">
            <v>PACKAGE NO.</v>
          </cell>
        </row>
      </sheetData>
      <sheetData sheetId="1360">
        <row r="5">
          <cell r="C5" t="str">
            <v>PACKAGE NO.</v>
          </cell>
        </row>
      </sheetData>
      <sheetData sheetId="1361">
        <row r="5">
          <cell r="C5" t="str">
            <v>PACKAGE NO.</v>
          </cell>
        </row>
      </sheetData>
      <sheetData sheetId="1362">
        <row r="5">
          <cell r="C5" t="str">
            <v>PACKAGE NO.</v>
          </cell>
        </row>
      </sheetData>
      <sheetData sheetId="1363">
        <row r="5">
          <cell r="C5" t="str">
            <v>PACKAGE NO.</v>
          </cell>
        </row>
      </sheetData>
      <sheetData sheetId="1364">
        <row r="5">
          <cell r="C5" t="str">
            <v>PACKAGE NO.</v>
          </cell>
        </row>
      </sheetData>
      <sheetData sheetId="1365">
        <row r="5">
          <cell r="C5" t="str">
            <v>PACKAGE NO.</v>
          </cell>
        </row>
      </sheetData>
      <sheetData sheetId="1366">
        <row r="5">
          <cell r="C5" t="str">
            <v>PACKAGE NO.</v>
          </cell>
        </row>
      </sheetData>
      <sheetData sheetId="1367">
        <row r="5">
          <cell r="C5" t="str">
            <v>PACKAGE NO.</v>
          </cell>
        </row>
      </sheetData>
      <sheetData sheetId="1368">
        <row r="5">
          <cell r="C5" t="str">
            <v>PACKAGE NO.</v>
          </cell>
        </row>
      </sheetData>
      <sheetData sheetId="1369">
        <row r="5">
          <cell r="C5" t="str">
            <v>PACKAGE NO.</v>
          </cell>
        </row>
      </sheetData>
      <sheetData sheetId="1370">
        <row r="5">
          <cell r="C5" t="str">
            <v>PACKAGE NO.</v>
          </cell>
        </row>
      </sheetData>
      <sheetData sheetId="1371">
        <row r="5">
          <cell r="C5" t="str">
            <v>PACKAGE NO.</v>
          </cell>
        </row>
      </sheetData>
      <sheetData sheetId="1372">
        <row r="5">
          <cell r="C5" t="str">
            <v>PACKAGE NO.</v>
          </cell>
        </row>
      </sheetData>
      <sheetData sheetId="1373">
        <row r="5">
          <cell r="C5" t="str">
            <v>PACKAGE NO.</v>
          </cell>
        </row>
      </sheetData>
      <sheetData sheetId="1374">
        <row r="5">
          <cell r="C5" t="str">
            <v>PACKAGE NO.</v>
          </cell>
        </row>
      </sheetData>
      <sheetData sheetId="1375">
        <row r="5">
          <cell r="C5" t="str">
            <v>PACKAGE NO.</v>
          </cell>
        </row>
      </sheetData>
      <sheetData sheetId="1376">
        <row r="5">
          <cell r="C5" t="str">
            <v>PACKAGE NO.</v>
          </cell>
        </row>
      </sheetData>
      <sheetData sheetId="1377">
        <row r="5">
          <cell r="C5" t="str">
            <v>PACKAGE NO.</v>
          </cell>
        </row>
      </sheetData>
      <sheetData sheetId="1378">
        <row r="5">
          <cell r="C5" t="str">
            <v>PACKAGE NO.</v>
          </cell>
        </row>
      </sheetData>
      <sheetData sheetId="1379">
        <row r="5">
          <cell r="C5" t="str">
            <v>PACKAGE NO.</v>
          </cell>
        </row>
      </sheetData>
      <sheetData sheetId="1380">
        <row r="5">
          <cell r="C5" t="str">
            <v>PACKAGE NO.</v>
          </cell>
        </row>
      </sheetData>
      <sheetData sheetId="1381">
        <row r="5">
          <cell r="C5" t="str">
            <v>PACKAGE NO.</v>
          </cell>
        </row>
      </sheetData>
      <sheetData sheetId="1382">
        <row r="5">
          <cell r="C5" t="str">
            <v>PACKAGE NO.</v>
          </cell>
        </row>
      </sheetData>
      <sheetData sheetId="1383">
        <row r="5">
          <cell r="C5" t="str">
            <v>PACKAGE NO.</v>
          </cell>
        </row>
      </sheetData>
      <sheetData sheetId="1384">
        <row r="5">
          <cell r="C5" t="str">
            <v>PACKAGE NO.</v>
          </cell>
        </row>
      </sheetData>
      <sheetData sheetId="1385">
        <row r="5">
          <cell r="C5" t="str">
            <v>PACKAGE NO.</v>
          </cell>
        </row>
      </sheetData>
      <sheetData sheetId="1386">
        <row r="5">
          <cell r="C5" t="str">
            <v>PACKAGE NO.</v>
          </cell>
        </row>
      </sheetData>
      <sheetData sheetId="1387">
        <row r="5">
          <cell r="C5" t="str">
            <v>PACKAGE NO.</v>
          </cell>
        </row>
      </sheetData>
      <sheetData sheetId="1388">
        <row r="5">
          <cell r="C5" t="str">
            <v>PACKAGE NO.</v>
          </cell>
        </row>
      </sheetData>
      <sheetData sheetId="1389">
        <row r="5">
          <cell r="C5" t="str">
            <v>PACKAGE NO.</v>
          </cell>
        </row>
      </sheetData>
      <sheetData sheetId="1390">
        <row r="5">
          <cell r="C5" t="str">
            <v>PACKAGE NO.</v>
          </cell>
        </row>
      </sheetData>
      <sheetData sheetId="1391">
        <row r="5">
          <cell r="C5" t="str">
            <v>PACKAGE NO.</v>
          </cell>
        </row>
      </sheetData>
      <sheetData sheetId="1392">
        <row r="5">
          <cell r="C5" t="str">
            <v>PACKAGE NO.</v>
          </cell>
        </row>
      </sheetData>
      <sheetData sheetId="1393">
        <row r="5">
          <cell r="C5" t="str">
            <v>PACKAGE NO.</v>
          </cell>
        </row>
      </sheetData>
      <sheetData sheetId="1394">
        <row r="5">
          <cell r="C5" t="str">
            <v>PACKAGE NO.</v>
          </cell>
        </row>
      </sheetData>
      <sheetData sheetId="1395">
        <row r="5">
          <cell r="C5" t="str">
            <v>PACKAGE NO.</v>
          </cell>
        </row>
      </sheetData>
      <sheetData sheetId="1396">
        <row r="5">
          <cell r="C5" t="str">
            <v>PACKAGE NO.</v>
          </cell>
        </row>
      </sheetData>
      <sheetData sheetId="1397">
        <row r="5">
          <cell r="C5" t="str">
            <v>PACKAGE NO.</v>
          </cell>
        </row>
      </sheetData>
      <sheetData sheetId="1398">
        <row r="5">
          <cell r="C5" t="str">
            <v>PACKAGE NO.</v>
          </cell>
        </row>
      </sheetData>
      <sheetData sheetId="1399">
        <row r="5">
          <cell r="C5" t="str">
            <v>PACKAGE NO.</v>
          </cell>
        </row>
      </sheetData>
      <sheetData sheetId="1400">
        <row r="5">
          <cell r="C5" t="str">
            <v>PACKAGE NO.</v>
          </cell>
        </row>
      </sheetData>
      <sheetData sheetId="1401">
        <row r="5">
          <cell r="C5" t="str">
            <v>PACKAGE NO.</v>
          </cell>
        </row>
      </sheetData>
      <sheetData sheetId="1402">
        <row r="5">
          <cell r="C5" t="str">
            <v>PACKAGE NO.</v>
          </cell>
        </row>
      </sheetData>
      <sheetData sheetId="1403">
        <row r="5">
          <cell r="C5" t="str">
            <v>PACKAGE NO.</v>
          </cell>
        </row>
      </sheetData>
      <sheetData sheetId="1404">
        <row r="5">
          <cell r="C5" t="str">
            <v>PACKAGE NO.</v>
          </cell>
        </row>
      </sheetData>
      <sheetData sheetId="1405">
        <row r="5">
          <cell r="C5" t="str">
            <v>PACKAGE NO.</v>
          </cell>
        </row>
      </sheetData>
      <sheetData sheetId="1406">
        <row r="5">
          <cell r="C5" t="str">
            <v>PACKAGE NO.</v>
          </cell>
        </row>
      </sheetData>
      <sheetData sheetId="1407">
        <row r="5">
          <cell r="C5" t="str">
            <v>PACKAGE NO.</v>
          </cell>
        </row>
      </sheetData>
      <sheetData sheetId="1408">
        <row r="5">
          <cell r="C5" t="str">
            <v>PACKAGE NO.</v>
          </cell>
        </row>
      </sheetData>
      <sheetData sheetId="1409">
        <row r="5">
          <cell r="C5" t="str">
            <v>PACKAGE NO.</v>
          </cell>
        </row>
      </sheetData>
      <sheetData sheetId="1410">
        <row r="5">
          <cell r="C5" t="str">
            <v>PACKAGE NO.</v>
          </cell>
        </row>
      </sheetData>
      <sheetData sheetId="1411">
        <row r="5">
          <cell r="C5" t="str">
            <v>PACKAGE NO.</v>
          </cell>
        </row>
      </sheetData>
      <sheetData sheetId="1412">
        <row r="5">
          <cell r="C5" t="str">
            <v>PACKAGE NO.</v>
          </cell>
        </row>
      </sheetData>
      <sheetData sheetId="1413">
        <row r="5">
          <cell r="C5" t="str">
            <v>PACKAGE NO.</v>
          </cell>
        </row>
      </sheetData>
      <sheetData sheetId="1414">
        <row r="5">
          <cell r="C5" t="str">
            <v>PACKAGE NO.</v>
          </cell>
        </row>
      </sheetData>
      <sheetData sheetId="1415">
        <row r="5">
          <cell r="C5" t="str">
            <v>PACKAGE NO.</v>
          </cell>
        </row>
      </sheetData>
      <sheetData sheetId="1416">
        <row r="5">
          <cell r="C5" t="str">
            <v>PACKAGE NO.</v>
          </cell>
        </row>
      </sheetData>
      <sheetData sheetId="1417">
        <row r="5">
          <cell r="C5" t="str">
            <v>PACKAGE NO.</v>
          </cell>
        </row>
      </sheetData>
      <sheetData sheetId="1418">
        <row r="5">
          <cell r="C5" t="str">
            <v>PACKAGE NO.</v>
          </cell>
        </row>
      </sheetData>
      <sheetData sheetId="1419">
        <row r="5">
          <cell r="C5" t="str">
            <v>PACKAGE NO.</v>
          </cell>
        </row>
      </sheetData>
      <sheetData sheetId="1420">
        <row r="5">
          <cell r="C5" t="str">
            <v>PACKAGE NO.</v>
          </cell>
        </row>
      </sheetData>
      <sheetData sheetId="1421">
        <row r="5">
          <cell r="C5" t="str">
            <v>PACKAGE NO.</v>
          </cell>
        </row>
      </sheetData>
      <sheetData sheetId="1422">
        <row r="5">
          <cell r="C5" t="str">
            <v>PACKAGE NO.</v>
          </cell>
        </row>
      </sheetData>
      <sheetData sheetId="1423">
        <row r="5">
          <cell r="C5" t="str">
            <v>PACKAGE NO.</v>
          </cell>
        </row>
      </sheetData>
      <sheetData sheetId="1424">
        <row r="5">
          <cell r="C5" t="str">
            <v>PACKAGE NO.</v>
          </cell>
        </row>
      </sheetData>
      <sheetData sheetId="1425">
        <row r="5">
          <cell r="C5" t="str">
            <v>PACKAGE NO.</v>
          </cell>
        </row>
      </sheetData>
      <sheetData sheetId="1426">
        <row r="5">
          <cell r="C5" t="str">
            <v>PACKAGE NO.</v>
          </cell>
        </row>
      </sheetData>
      <sheetData sheetId="1427">
        <row r="5">
          <cell r="C5" t="str">
            <v>PACKAGE NO.</v>
          </cell>
        </row>
      </sheetData>
      <sheetData sheetId="1428">
        <row r="5">
          <cell r="C5" t="str">
            <v>PACKAGE NO.</v>
          </cell>
        </row>
      </sheetData>
      <sheetData sheetId="1429">
        <row r="5">
          <cell r="C5" t="str">
            <v>PACKAGE NO.</v>
          </cell>
        </row>
      </sheetData>
      <sheetData sheetId="1430">
        <row r="5">
          <cell r="C5" t="str">
            <v>PACKAGE NO.</v>
          </cell>
        </row>
      </sheetData>
      <sheetData sheetId="1431">
        <row r="5">
          <cell r="C5" t="str">
            <v>PACKAGE NO.</v>
          </cell>
        </row>
      </sheetData>
      <sheetData sheetId="1432">
        <row r="5">
          <cell r="C5" t="str">
            <v>PACKAGE NO.</v>
          </cell>
        </row>
      </sheetData>
      <sheetData sheetId="1433">
        <row r="5">
          <cell r="C5" t="str">
            <v>PACKAGE NO.</v>
          </cell>
        </row>
      </sheetData>
      <sheetData sheetId="1434">
        <row r="5">
          <cell r="C5" t="str">
            <v>PACKAGE NO.</v>
          </cell>
        </row>
      </sheetData>
      <sheetData sheetId="1435">
        <row r="5">
          <cell r="C5" t="str">
            <v>PACKAGE NO.</v>
          </cell>
        </row>
      </sheetData>
      <sheetData sheetId="1436">
        <row r="5">
          <cell r="C5" t="str">
            <v>PACKAGE NO.</v>
          </cell>
        </row>
      </sheetData>
      <sheetData sheetId="1437">
        <row r="5">
          <cell r="C5" t="str">
            <v>PACKAGE NO.</v>
          </cell>
        </row>
      </sheetData>
      <sheetData sheetId="1438">
        <row r="5">
          <cell r="C5" t="str">
            <v>PACKAGE NO.</v>
          </cell>
        </row>
      </sheetData>
      <sheetData sheetId="1439">
        <row r="5">
          <cell r="C5" t="str">
            <v>PACKAGE NO.</v>
          </cell>
        </row>
      </sheetData>
      <sheetData sheetId="1440">
        <row r="5">
          <cell r="C5" t="str">
            <v>PACKAGE NO.</v>
          </cell>
        </row>
      </sheetData>
      <sheetData sheetId="1441">
        <row r="5">
          <cell r="C5" t="str">
            <v>PACKAGE NO.</v>
          </cell>
        </row>
      </sheetData>
      <sheetData sheetId="1442">
        <row r="5">
          <cell r="C5" t="str">
            <v>PACKAGE NO.</v>
          </cell>
        </row>
      </sheetData>
      <sheetData sheetId="1443">
        <row r="5">
          <cell r="C5" t="str">
            <v>PACKAGE NO.</v>
          </cell>
        </row>
      </sheetData>
      <sheetData sheetId="1444">
        <row r="5">
          <cell r="C5" t="str">
            <v>PACKAGE NO.</v>
          </cell>
        </row>
      </sheetData>
      <sheetData sheetId="1445">
        <row r="5">
          <cell r="C5" t="str">
            <v>PACKAGE NO.</v>
          </cell>
        </row>
      </sheetData>
      <sheetData sheetId="1446">
        <row r="5">
          <cell r="C5" t="str">
            <v>PACKAGE NO.</v>
          </cell>
        </row>
      </sheetData>
      <sheetData sheetId="1447">
        <row r="5">
          <cell r="C5" t="str">
            <v>PACKAGE NO.</v>
          </cell>
        </row>
      </sheetData>
      <sheetData sheetId="1448">
        <row r="5">
          <cell r="C5" t="str">
            <v>PACKAGE NO.</v>
          </cell>
        </row>
      </sheetData>
      <sheetData sheetId="1449">
        <row r="5">
          <cell r="C5" t="str">
            <v>PACKAGE NO.</v>
          </cell>
        </row>
      </sheetData>
      <sheetData sheetId="1450">
        <row r="5">
          <cell r="C5" t="str">
            <v>PACKAGE NO.</v>
          </cell>
        </row>
      </sheetData>
      <sheetData sheetId="1451">
        <row r="5">
          <cell r="C5" t="str">
            <v>PACKAGE NO.</v>
          </cell>
        </row>
      </sheetData>
      <sheetData sheetId="1452">
        <row r="5">
          <cell r="C5" t="str">
            <v>PACKAGE NO.</v>
          </cell>
        </row>
      </sheetData>
      <sheetData sheetId="1453">
        <row r="5">
          <cell r="C5">
            <v>100</v>
          </cell>
        </row>
      </sheetData>
      <sheetData sheetId="1454">
        <row r="5">
          <cell r="C5">
            <v>100</v>
          </cell>
        </row>
      </sheetData>
      <sheetData sheetId="1455">
        <row r="5">
          <cell r="C5">
            <v>100</v>
          </cell>
        </row>
      </sheetData>
      <sheetData sheetId="1456">
        <row r="5">
          <cell r="C5">
            <v>100</v>
          </cell>
        </row>
      </sheetData>
      <sheetData sheetId="1457">
        <row r="5">
          <cell r="C5">
            <v>100</v>
          </cell>
        </row>
      </sheetData>
      <sheetData sheetId="1458">
        <row r="5">
          <cell r="C5">
            <v>100</v>
          </cell>
        </row>
      </sheetData>
      <sheetData sheetId="1459">
        <row r="5">
          <cell r="C5">
            <v>100</v>
          </cell>
        </row>
      </sheetData>
      <sheetData sheetId="1460">
        <row r="5">
          <cell r="C5">
            <v>100</v>
          </cell>
        </row>
      </sheetData>
      <sheetData sheetId="1461">
        <row r="5">
          <cell r="C5">
            <v>100</v>
          </cell>
        </row>
      </sheetData>
      <sheetData sheetId="1462">
        <row r="5">
          <cell r="C5">
            <v>100</v>
          </cell>
        </row>
      </sheetData>
      <sheetData sheetId="1463">
        <row r="5">
          <cell r="C5">
            <v>100</v>
          </cell>
        </row>
      </sheetData>
      <sheetData sheetId="1464">
        <row r="5">
          <cell r="C5">
            <v>100</v>
          </cell>
        </row>
      </sheetData>
      <sheetData sheetId="1465">
        <row r="5">
          <cell r="C5">
            <v>100</v>
          </cell>
        </row>
      </sheetData>
      <sheetData sheetId="1466">
        <row r="5">
          <cell r="C5">
            <v>100</v>
          </cell>
        </row>
      </sheetData>
      <sheetData sheetId="1467">
        <row r="5">
          <cell r="C5">
            <v>100</v>
          </cell>
        </row>
      </sheetData>
      <sheetData sheetId="1468">
        <row r="5">
          <cell r="C5">
            <v>100</v>
          </cell>
        </row>
      </sheetData>
      <sheetData sheetId="1469">
        <row r="5">
          <cell r="C5">
            <v>100</v>
          </cell>
        </row>
      </sheetData>
      <sheetData sheetId="1470">
        <row r="5">
          <cell r="C5">
            <v>100</v>
          </cell>
        </row>
      </sheetData>
      <sheetData sheetId="1471">
        <row r="5">
          <cell r="C5">
            <v>100</v>
          </cell>
        </row>
      </sheetData>
      <sheetData sheetId="1472">
        <row r="5">
          <cell r="C5">
            <v>100</v>
          </cell>
        </row>
      </sheetData>
      <sheetData sheetId="1473">
        <row r="5">
          <cell r="C5">
            <v>100</v>
          </cell>
        </row>
      </sheetData>
      <sheetData sheetId="1474">
        <row r="5">
          <cell r="C5">
            <v>100</v>
          </cell>
        </row>
      </sheetData>
      <sheetData sheetId="1475">
        <row r="5">
          <cell r="C5">
            <v>100</v>
          </cell>
        </row>
      </sheetData>
      <sheetData sheetId="1476">
        <row r="5">
          <cell r="C5">
            <v>100</v>
          </cell>
        </row>
      </sheetData>
      <sheetData sheetId="1477">
        <row r="5">
          <cell r="C5">
            <v>100</v>
          </cell>
        </row>
      </sheetData>
      <sheetData sheetId="1478">
        <row r="5">
          <cell r="C5">
            <v>100</v>
          </cell>
        </row>
      </sheetData>
      <sheetData sheetId="1479">
        <row r="5">
          <cell r="C5">
            <v>100</v>
          </cell>
        </row>
      </sheetData>
      <sheetData sheetId="1480">
        <row r="5">
          <cell r="C5">
            <v>100</v>
          </cell>
        </row>
      </sheetData>
      <sheetData sheetId="1481">
        <row r="5">
          <cell r="C5">
            <v>100</v>
          </cell>
        </row>
      </sheetData>
      <sheetData sheetId="1482">
        <row r="5">
          <cell r="C5">
            <v>100</v>
          </cell>
        </row>
      </sheetData>
      <sheetData sheetId="1483">
        <row r="5">
          <cell r="C5">
            <v>100</v>
          </cell>
        </row>
      </sheetData>
      <sheetData sheetId="1484">
        <row r="5">
          <cell r="C5">
            <v>100</v>
          </cell>
        </row>
      </sheetData>
      <sheetData sheetId="1485">
        <row r="5">
          <cell r="C5" t="str">
            <v>PACKAGE NO.</v>
          </cell>
        </row>
      </sheetData>
      <sheetData sheetId="1486">
        <row r="5">
          <cell r="C5" t="str">
            <v>PACKAGE NO.</v>
          </cell>
        </row>
      </sheetData>
      <sheetData sheetId="1487">
        <row r="5">
          <cell r="C5">
            <v>100</v>
          </cell>
        </row>
      </sheetData>
      <sheetData sheetId="1488">
        <row r="5">
          <cell r="C5">
            <v>100</v>
          </cell>
        </row>
      </sheetData>
      <sheetData sheetId="1489">
        <row r="5">
          <cell r="C5">
            <v>100</v>
          </cell>
        </row>
      </sheetData>
      <sheetData sheetId="1490">
        <row r="5">
          <cell r="C5">
            <v>100</v>
          </cell>
        </row>
      </sheetData>
      <sheetData sheetId="1491">
        <row r="5">
          <cell r="C5">
            <v>100</v>
          </cell>
        </row>
      </sheetData>
      <sheetData sheetId="1492">
        <row r="5">
          <cell r="C5">
            <v>100</v>
          </cell>
        </row>
      </sheetData>
      <sheetData sheetId="1493">
        <row r="5">
          <cell r="C5">
            <v>100</v>
          </cell>
        </row>
      </sheetData>
      <sheetData sheetId="1494">
        <row r="5">
          <cell r="C5">
            <v>100</v>
          </cell>
        </row>
      </sheetData>
      <sheetData sheetId="1495">
        <row r="5">
          <cell r="C5">
            <v>100</v>
          </cell>
        </row>
      </sheetData>
      <sheetData sheetId="1496">
        <row r="5">
          <cell r="C5">
            <v>100</v>
          </cell>
        </row>
      </sheetData>
      <sheetData sheetId="1497">
        <row r="5">
          <cell r="C5">
            <v>100</v>
          </cell>
        </row>
      </sheetData>
      <sheetData sheetId="1498">
        <row r="5">
          <cell r="C5">
            <v>100</v>
          </cell>
        </row>
      </sheetData>
      <sheetData sheetId="1499">
        <row r="5">
          <cell r="C5">
            <v>100</v>
          </cell>
        </row>
      </sheetData>
      <sheetData sheetId="1500">
        <row r="5">
          <cell r="C5">
            <v>100</v>
          </cell>
        </row>
      </sheetData>
      <sheetData sheetId="1501">
        <row r="5">
          <cell r="C5">
            <v>100</v>
          </cell>
        </row>
      </sheetData>
      <sheetData sheetId="1502">
        <row r="5">
          <cell r="C5">
            <v>100</v>
          </cell>
        </row>
      </sheetData>
      <sheetData sheetId="1503">
        <row r="5">
          <cell r="C5">
            <v>100</v>
          </cell>
        </row>
      </sheetData>
      <sheetData sheetId="1504">
        <row r="5">
          <cell r="C5">
            <v>100</v>
          </cell>
        </row>
      </sheetData>
      <sheetData sheetId="1505">
        <row r="5">
          <cell r="C5">
            <v>100</v>
          </cell>
        </row>
      </sheetData>
      <sheetData sheetId="1506">
        <row r="5">
          <cell r="C5">
            <v>100</v>
          </cell>
        </row>
      </sheetData>
      <sheetData sheetId="1507">
        <row r="5">
          <cell r="C5">
            <v>100</v>
          </cell>
        </row>
      </sheetData>
      <sheetData sheetId="1508">
        <row r="5">
          <cell r="C5">
            <v>100</v>
          </cell>
        </row>
      </sheetData>
      <sheetData sheetId="1509">
        <row r="5">
          <cell r="C5">
            <v>100</v>
          </cell>
        </row>
      </sheetData>
      <sheetData sheetId="1510">
        <row r="5">
          <cell r="C5">
            <v>100</v>
          </cell>
        </row>
      </sheetData>
      <sheetData sheetId="1511">
        <row r="5">
          <cell r="C5">
            <v>100</v>
          </cell>
        </row>
      </sheetData>
      <sheetData sheetId="1512">
        <row r="5">
          <cell r="C5">
            <v>100</v>
          </cell>
        </row>
      </sheetData>
      <sheetData sheetId="1513">
        <row r="5">
          <cell r="C5">
            <v>100</v>
          </cell>
        </row>
      </sheetData>
      <sheetData sheetId="1514">
        <row r="5">
          <cell r="C5">
            <v>100</v>
          </cell>
        </row>
      </sheetData>
      <sheetData sheetId="1515">
        <row r="5">
          <cell r="C5">
            <v>100</v>
          </cell>
        </row>
      </sheetData>
      <sheetData sheetId="1516">
        <row r="5">
          <cell r="C5">
            <v>100</v>
          </cell>
        </row>
      </sheetData>
      <sheetData sheetId="1517">
        <row r="5">
          <cell r="C5">
            <v>100</v>
          </cell>
        </row>
      </sheetData>
      <sheetData sheetId="1518">
        <row r="5">
          <cell r="C5">
            <v>100</v>
          </cell>
        </row>
      </sheetData>
      <sheetData sheetId="1519">
        <row r="5">
          <cell r="C5">
            <v>100</v>
          </cell>
        </row>
      </sheetData>
      <sheetData sheetId="1520">
        <row r="5">
          <cell r="C5">
            <v>100</v>
          </cell>
        </row>
      </sheetData>
      <sheetData sheetId="1521">
        <row r="5">
          <cell r="C5">
            <v>100</v>
          </cell>
        </row>
      </sheetData>
      <sheetData sheetId="1522">
        <row r="5">
          <cell r="C5">
            <v>100</v>
          </cell>
        </row>
      </sheetData>
      <sheetData sheetId="1523">
        <row r="5">
          <cell r="C5">
            <v>100</v>
          </cell>
        </row>
      </sheetData>
      <sheetData sheetId="1524">
        <row r="5">
          <cell r="C5">
            <v>100</v>
          </cell>
        </row>
      </sheetData>
      <sheetData sheetId="1525">
        <row r="5">
          <cell r="C5">
            <v>100</v>
          </cell>
        </row>
      </sheetData>
      <sheetData sheetId="1526">
        <row r="5">
          <cell r="C5">
            <v>100</v>
          </cell>
        </row>
      </sheetData>
      <sheetData sheetId="1527">
        <row r="5">
          <cell r="C5">
            <v>100</v>
          </cell>
        </row>
      </sheetData>
      <sheetData sheetId="1528">
        <row r="5">
          <cell r="C5">
            <v>100</v>
          </cell>
        </row>
      </sheetData>
      <sheetData sheetId="1529">
        <row r="5">
          <cell r="C5">
            <v>100</v>
          </cell>
        </row>
      </sheetData>
      <sheetData sheetId="1530">
        <row r="5">
          <cell r="C5">
            <v>100</v>
          </cell>
        </row>
      </sheetData>
      <sheetData sheetId="1531">
        <row r="5">
          <cell r="C5">
            <v>100</v>
          </cell>
        </row>
      </sheetData>
      <sheetData sheetId="1532">
        <row r="5">
          <cell r="C5">
            <v>100</v>
          </cell>
        </row>
      </sheetData>
      <sheetData sheetId="1533">
        <row r="5">
          <cell r="C5">
            <v>100</v>
          </cell>
        </row>
      </sheetData>
      <sheetData sheetId="1534">
        <row r="5">
          <cell r="C5">
            <v>100</v>
          </cell>
        </row>
      </sheetData>
      <sheetData sheetId="1535">
        <row r="5">
          <cell r="C5">
            <v>100</v>
          </cell>
        </row>
      </sheetData>
      <sheetData sheetId="1536">
        <row r="5">
          <cell r="C5">
            <v>100</v>
          </cell>
        </row>
      </sheetData>
      <sheetData sheetId="1537">
        <row r="5">
          <cell r="C5">
            <v>100</v>
          </cell>
        </row>
      </sheetData>
      <sheetData sheetId="1538">
        <row r="5">
          <cell r="C5">
            <v>100</v>
          </cell>
        </row>
      </sheetData>
      <sheetData sheetId="1539">
        <row r="5">
          <cell r="C5">
            <v>100</v>
          </cell>
        </row>
      </sheetData>
      <sheetData sheetId="1540">
        <row r="5">
          <cell r="C5">
            <v>100</v>
          </cell>
        </row>
      </sheetData>
      <sheetData sheetId="1541">
        <row r="5">
          <cell r="C5">
            <v>100</v>
          </cell>
        </row>
      </sheetData>
      <sheetData sheetId="1542">
        <row r="5">
          <cell r="C5">
            <v>100</v>
          </cell>
        </row>
      </sheetData>
      <sheetData sheetId="1543">
        <row r="5">
          <cell r="C5">
            <v>100</v>
          </cell>
        </row>
      </sheetData>
      <sheetData sheetId="1544">
        <row r="5">
          <cell r="C5">
            <v>100</v>
          </cell>
        </row>
      </sheetData>
      <sheetData sheetId="1545">
        <row r="5">
          <cell r="C5">
            <v>100</v>
          </cell>
        </row>
      </sheetData>
      <sheetData sheetId="1546">
        <row r="5">
          <cell r="C5">
            <v>100</v>
          </cell>
        </row>
      </sheetData>
      <sheetData sheetId="1547">
        <row r="5">
          <cell r="C5">
            <v>100</v>
          </cell>
        </row>
      </sheetData>
      <sheetData sheetId="1548">
        <row r="5">
          <cell r="C5">
            <v>100</v>
          </cell>
        </row>
      </sheetData>
      <sheetData sheetId="1549">
        <row r="5">
          <cell r="C5">
            <v>100</v>
          </cell>
        </row>
      </sheetData>
      <sheetData sheetId="1550">
        <row r="5">
          <cell r="C5">
            <v>100</v>
          </cell>
        </row>
      </sheetData>
      <sheetData sheetId="1551">
        <row r="5">
          <cell r="C5">
            <v>100</v>
          </cell>
        </row>
      </sheetData>
      <sheetData sheetId="1552">
        <row r="5">
          <cell r="C5">
            <v>100</v>
          </cell>
        </row>
      </sheetData>
      <sheetData sheetId="1553">
        <row r="5">
          <cell r="C5">
            <v>100</v>
          </cell>
        </row>
      </sheetData>
      <sheetData sheetId="1554">
        <row r="5">
          <cell r="C5">
            <v>100</v>
          </cell>
        </row>
      </sheetData>
      <sheetData sheetId="1555">
        <row r="5">
          <cell r="C5">
            <v>100</v>
          </cell>
        </row>
      </sheetData>
      <sheetData sheetId="1556">
        <row r="5">
          <cell r="C5">
            <v>100</v>
          </cell>
        </row>
      </sheetData>
      <sheetData sheetId="1557">
        <row r="5">
          <cell r="C5">
            <v>100</v>
          </cell>
        </row>
      </sheetData>
      <sheetData sheetId="1558">
        <row r="5">
          <cell r="C5">
            <v>100</v>
          </cell>
        </row>
      </sheetData>
      <sheetData sheetId="1559">
        <row r="5">
          <cell r="C5">
            <v>100</v>
          </cell>
        </row>
      </sheetData>
      <sheetData sheetId="1560">
        <row r="5">
          <cell r="C5">
            <v>100</v>
          </cell>
        </row>
      </sheetData>
      <sheetData sheetId="1561">
        <row r="5">
          <cell r="C5">
            <v>100</v>
          </cell>
        </row>
      </sheetData>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ow r="5">
          <cell r="C5">
            <v>100</v>
          </cell>
        </row>
      </sheetData>
      <sheetData sheetId="1647" refreshError="1"/>
      <sheetData sheetId="1648" refreshError="1"/>
      <sheetData sheetId="1649" refreshError="1"/>
      <sheetData sheetId="1650" refreshError="1"/>
      <sheetData sheetId="1651" refreshError="1"/>
      <sheetData sheetId="1652" refreshError="1"/>
      <sheetData sheetId="1653">
        <row r="5">
          <cell r="C5" t="str">
            <v>PACKAGE NO.</v>
          </cell>
        </row>
      </sheetData>
      <sheetData sheetId="1654">
        <row r="5">
          <cell r="C5" t="str">
            <v>PACKAGE NO.</v>
          </cell>
        </row>
      </sheetData>
      <sheetData sheetId="1655">
        <row r="5">
          <cell r="C5" t="str">
            <v>PACKAGE NO.</v>
          </cell>
        </row>
      </sheetData>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sheetData sheetId="1675"/>
      <sheetData sheetId="1676"/>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refreshError="1"/>
      <sheetData sheetId="1699" refreshError="1"/>
      <sheetData sheetId="1700" refreshError="1"/>
      <sheetData sheetId="1701"/>
      <sheetData sheetId="1702">
        <row r="5">
          <cell r="C5" t="str">
            <v>ARJUN PRASAD CHAUDHARY</v>
          </cell>
        </row>
      </sheetData>
      <sheetData sheetId="1703"/>
      <sheetData sheetId="1704"/>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5">
          <cell r="C5" t="str">
            <v>PACKAGE NO.</v>
          </cell>
        </row>
      </sheetData>
      <sheetData sheetId="1790">
        <row r="5">
          <cell r="C5" t="str">
            <v>PACKAGE NO.</v>
          </cell>
        </row>
      </sheetData>
      <sheetData sheetId="1791">
        <row r="5">
          <cell r="C5" t="str">
            <v>PACKAGE NO.</v>
          </cell>
        </row>
      </sheetData>
      <sheetData sheetId="1792">
        <row r="5">
          <cell r="C5" t="str">
            <v>PACKAGE NO.</v>
          </cell>
        </row>
      </sheetData>
      <sheetData sheetId="1793">
        <row r="5">
          <cell r="C5" t="str">
            <v>PACKAGE NO.</v>
          </cell>
        </row>
      </sheetData>
      <sheetData sheetId="1794">
        <row r="5">
          <cell r="C5" t="str">
            <v>PACKAGE NO.</v>
          </cell>
        </row>
      </sheetData>
      <sheetData sheetId="1795">
        <row r="5">
          <cell r="C5" t="str">
            <v>PACKAGE NO.</v>
          </cell>
        </row>
      </sheetData>
      <sheetData sheetId="1796">
        <row r="5">
          <cell r="C5" t="str">
            <v>PACKAGE NO.</v>
          </cell>
        </row>
      </sheetData>
      <sheetData sheetId="1797">
        <row r="5">
          <cell r="C5" t="str">
            <v>PACKAGE NO.</v>
          </cell>
        </row>
      </sheetData>
      <sheetData sheetId="1798">
        <row r="5">
          <cell r="C5" t="str">
            <v>PACKAGE NO.</v>
          </cell>
        </row>
      </sheetData>
      <sheetData sheetId="1799"/>
      <sheetData sheetId="1800"/>
      <sheetData sheetId="1801"/>
      <sheetData sheetId="1802"/>
      <sheetData sheetId="1803"/>
      <sheetData sheetId="1804">
        <row r="5">
          <cell r="C5" t="str">
            <v>PACKAGE NO.</v>
          </cell>
        </row>
      </sheetData>
      <sheetData sheetId="1805">
        <row r="5">
          <cell r="C5" t="str">
            <v>PACKAGE NO.</v>
          </cell>
        </row>
      </sheetData>
      <sheetData sheetId="1806">
        <row r="5">
          <cell r="C5" t="str">
            <v>PACKAGE NO.</v>
          </cell>
        </row>
      </sheetData>
      <sheetData sheetId="1807">
        <row r="5">
          <cell r="C5" t="str">
            <v>PACKAGE NO.</v>
          </cell>
        </row>
      </sheetData>
      <sheetData sheetId="1808">
        <row r="5">
          <cell r="C5" t="str">
            <v>PACKAGE NO.</v>
          </cell>
        </row>
      </sheetData>
      <sheetData sheetId="1809">
        <row r="5">
          <cell r="C5" t="str">
            <v>PACKAGE NO.</v>
          </cell>
        </row>
      </sheetData>
      <sheetData sheetId="1810">
        <row r="5">
          <cell r="C5" t="str">
            <v>PACKAGE NO.</v>
          </cell>
        </row>
      </sheetData>
      <sheetData sheetId="1811">
        <row r="5">
          <cell r="C5" t="str">
            <v>PACKAGE NO.</v>
          </cell>
        </row>
      </sheetData>
      <sheetData sheetId="1812">
        <row r="5">
          <cell r="C5" t="str">
            <v>PACKAGE NO.</v>
          </cell>
        </row>
      </sheetData>
      <sheetData sheetId="1813">
        <row r="5">
          <cell r="C5" t="str">
            <v>PACKAGE NO.</v>
          </cell>
        </row>
      </sheetData>
      <sheetData sheetId="1814">
        <row r="5">
          <cell r="C5" t="str">
            <v>PACKAGE NO.</v>
          </cell>
        </row>
      </sheetData>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refreshError="1"/>
      <sheetData sheetId="1909"/>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ow r="5">
          <cell r="C5" t="str">
            <v>PACKAGE NO.</v>
          </cell>
        </row>
      </sheetData>
      <sheetData sheetId="2071">
        <row r="5">
          <cell r="C5">
            <v>100</v>
          </cell>
        </row>
      </sheetData>
      <sheetData sheetId="2072" refreshError="1"/>
      <sheetData sheetId="2073" refreshError="1"/>
      <sheetData sheetId="2074" refreshError="1"/>
      <sheetData sheetId="2075" refreshError="1"/>
      <sheetData sheetId="2076">
        <row r="5">
          <cell r="C5" t="str">
            <v>PACKAGE NO.</v>
          </cell>
        </row>
      </sheetData>
      <sheetData sheetId="2077">
        <row r="5">
          <cell r="C5" t="str">
            <v>PACKAGE NO.</v>
          </cell>
        </row>
      </sheetData>
      <sheetData sheetId="2078">
        <row r="5">
          <cell r="C5" t="str">
            <v>PACKAGE NO.</v>
          </cell>
        </row>
      </sheetData>
      <sheetData sheetId="2079">
        <row r="5">
          <cell r="C5" t="str">
            <v>PACKAGE NO.</v>
          </cell>
        </row>
      </sheetData>
      <sheetData sheetId="2080">
        <row r="5">
          <cell r="C5" t="str">
            <v>PACKAGE NO.</v>
          </cell>
        </row>
      </sheetData>
      <sheetData sheetId="2081">
        <row r="5">
          <cell r="C5" t="str">
            <v>PACKAGE NO.</v>
          </cell>
        </row>
      </sheetData>
      <sheetData sheetId="2082">
        <row r="5">
          <cell r="C5" t="str">
            <v>PACKAGE NO.</v>
          </cell>
        </row>
      </sheetData>
      <sheetData sheetId="2083">
        <row r="5">
          <cell r="C5" t="str">
            <v>PACKAGE NO.</v>
          </cell>
        </row>
      </sheetData>
      <sheetData sheetId="2084">
        <row r="5">
          <cell r="C5" t="str">
            <v>PACKAGE NO.</v>
          </cell>
        </row>
      </sheetData>
      <sheetData sheetId="2085">
        <row r="5">
          <cell r="C5" t="str">
            <v>PACKAGE NO.</v>
          </cell>
        </row>
      </sheetData>
      <sheetData sheetId="2086"/>
      <sheetData sheetId="2087"/>
      <sheetData sheetId="2088"/>
      <sheetData sheetId="2089"/>
      <sheetData sheetId="2090"/>
      <sheetData sheetId="2091">
        <row r="5">
          <cell r="C5" t="str">
            <v>PACKAGE NO.</v>
          </cell>
        </row>
      </sheetData>
      <sheetData sheetId="2092">
        <row r="5">
          <cell r="C5" t="str">
            <v>PACKAGE NO.</v>
          </cell>
        </row>
      </sheetData>
      <sheetData sheetId="2093">
        <row r="5">
          <cell r="C5" t="str">
            <v>PACKAGE NO.</v>
          </cell>
        </row>
      </sheetData>
      <sheetData sheetId="2094">
        <row r="5">
          <cell r="C5" t="str">
            <v>PACKAGE NO.</v>
          </cell>
        </row>
      </sheetData>
      <sheetData sheetId="2095">
        <row r="5">
          <cell r="C5" t="str">
            <v>PACKAGE NO.</v>
          </cell>
        </row>
      </sheetData>
      <sheetData sheetId="2096">
        <row r="5">
          <cell r="C5" t="str">
            <v>PACKAGE NO.</v>
          </cell>
        </row>
      </sheetData>
      <sheetData sheetId="2097">
        <row r="5">
          <cell r="C5" t="str">
            <v>PACKAGE NO.</v>
          </cell>
        </row>
      </sheetData>
      <sheetData sheetId="2098">
        <row r="5">
          <cell r="C5" t="str">
            <v>PACKAGE NO.</v>
          </cell>
        </row>
      </sheetData>
      <sheetData sheetId="2099">
        <row r="5">
          <cell r="C5" t="str">
            <v>PACKAGE NO.</v>
          </cell>
        </row>
      </sheetData>
      <sheetData sheetId="2100">
        <row r="5">
          <cell r="C5" t="str">
            <v>PACKAGE NO.</v>
          </cell>
        </row>
      </sheetData>
      <sheetData sheetId="2101">
        <row r="5">
          <cell r="C5" t="str">
            <v>PACKAGE NO.</v>
          </cell>
        </row>
      </sheetData>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row r="5">
          <cell r="C5">
            <v>100</v>
          </cell>
        </row>
      </sheetData>
      <sheetData sheetId="2249">
        <row r="5">
          <cell r="C5">
            <v>100</v>
          </cell>
        </row>
      </sheetData>
      <sheetData sheetId="2250"/>
      <sheetData sheetId="2251"/>
      <sheetData sheetId="2252"/>
      <sheetData sheetId="2253">
        <row r="5">
          <cell r="C5">
            <v>100</v>
          </cell>
        </row>
      </sheetData>
      <sheetData sheetId="2254">
        <row r="5">
          <cell r="C5">
            <v>100</v>
          </cell>
        </row>
      </sheetData>
      <sheetData sheetId="2255">
        <row r="5">
          <cell r="C5">
            <v>100</v>
          </cell>
        </row>
      </sheetData>
      <sheetData sheetId="2256">
        <row r="5">
          <cell r="C5">
            <v>100</v>
          </cell>
        </row>
      </sheetData>
      <sheetData sheetId="2257">
        <row r="5">
          <cell r="C5">
            <v>100</v>
          </cell>
        </row>
      </sheetData>
      <sheetData sheetId="2258">
        <row r="5">
          <cell r="C5">
            <v>100</v>
          </cell>
        </row>
      </sheetData>
      <sheetData sheetId="2259">
        <row r="5">
          <cell r="C5">
            <v>100</v>
          </cell>
        </row>
      </sheetData>
      <sheetData sheetId="2260">
        <row r="5">
          <cell r="C5">
            <v>100</v>
          </cell>
        </row>
      </sheetData>
      <sheetData sheetId="2261">
        <row r="5">
          <cell r="C5">
            <v>100</v>
          </cell>
        </row>
      </sheetData>
      <sheetData sheetId="2262"/>
      <sheetData sheetId="2263"/>
      <sheetData sheetId="2264"/>
      <sheetData sheetId="2265"/>
      <sheetData sheetId="2266"/>
      <sheetData sheetId="2267"/>
      <sheetData sheetId="2268">
        <row r="5">
          <cell r="C5">
            <v>100</v>
          </cell>
        </row>
      </sheetData>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row r="5">
          <cell r="C5" t="str">
            <v>PACKAGE NO.</v>
          </cell>
        </row>
      </sheetData>
      <sheetData sheetId="2320">
        <row r="5">
          <cell r="C5" t="str">
            <v>PACKAGE NO.</v>
          </cell>
        </row>
      </sheetData>
      <sheetData sheetId="2321">
        <row r="5">
          <cell r="C5" t="str">
            <v>PACKAGE NO.</v>
          </cell>
        </row>
      </sheetData>
      <sheetData sheetId="2322">
        <row r="5">
          <cell r="C5" t="str">
            <v>PACKAGE NO.</v>
          </cell>
        </row>
      </sheetData>
      <sheetData sheetId="2323">
        <row r="5">
          <cell r="C5" t="str">
            <v>PACKAGE NO.</v>
          </cell>
        </row>
      </sheetData>
      <sheetData sheetId="2324">
        <row r="5">
          <cell r="C5" t="str">
            <v>PACKAGE NO.</v>
          </cell>
        </row>
      </sheetData>
      <sheetData sheetId="2325">
        <row r="5">
          <cell r="C5" t="str">
            <v>PACKAGE NO.</v>
          </cell>
        </row>
      </sheetData>
      <sheetData sheetId="2326">
        <row r="5">
          <cell r="C5" t="str">
            <v>PACKAGE NO.</v>
          </cell>
        </row>
      </sheetData>
      <sheetData sheetId="2327">
        <row r="5">
          <cell r="C5" t="str">
            <v>PACKAGE NO.</v>
          </cell>
        </row>
      </sheetData>
      <sheetData sheetId="2328">
        <row r="5">
          <cell r="C5" t="str">
            <v>PACKAGE NO.</v>
          </cell>
        </row>
      </sheetData>
      <sheetData sheetId="2329"/>
      <sheetData sheetId="2330"/>
      <sheetData sheetId="2331"/>
      <sheetData sheetId="2332"/>
      <sheetData sheetId="2333"/>
      <sheetData sheetId="2334">
        <row r="5">
          <cell r="C5" t="str">
            <v>PACKAGE NO.</v>
          </cell>
        </row>
      </sheetData>
      <sheetData sheetId="2335">
        <row r="5">
          <cell r="C5" t="str">
            <v>PACKAGE NO.</v>
          </cell>
        </row>
      </sheetData>
      <sheetData sheetId="2336">
        <row r="5">
          <cell r="C5" t="str">
            <v>PACKAGE NO.</v>
          </cell>
        </row>
      </sheetData>
      <sheetData sheetId="2337">
        <row r="5">
          <cell r="C5" t="str">
            <v>PACKAGE NO.</v>
          </cell>
        </row>
      </sheetData>
      <sheetData sheetId="2338">
        <row r="5">
          <cell r="C5" t="str">
            <v>PACKAGE NO.</v>
          </cell>
        </row>
      </sheetData>
      <sheetData sheetId="2339">
        <row r="5">
          <cell r="C5" t="str">
            <v>PACKAGE NO.</v>
          </cell>
        </row>
      </sheetData>
      <sheetData sheetId="2340">
        <row r="5">
          <cell r="C5" t="str">
            <v>PACKAGE NO.</v>
          </cell>
        </row>
      </sheetData>
      <sheetData sheetId="2341">
        <row r="5">
          <cell r="C5" t="str">
            <v>PACKAGE NO.</v>
          </cell>
        </row>
      </sheetData>
      <sheetData sheetId="2342">
        <row r="5">
          <cell r="C5" t="str">
            <v>PACKAGE NO.</v>
          </cell>
        </row>
      </sheetData>
      <sheetData sheetId="2343">
        <row r="5">
          <cell r="C5" t="str">
            <v>PACKAGE NO.</v>
          </cell>
        </row>
      </sheetData>
      <sheetData sheetId="2344">
        <row r="5">
          <cell r="C5" t="str">
            <v>PACKAGE NO.</v>
          </cell>
        </row>
      </sheetData>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row r="5">
          <cell r="C5">
            <v>100</v>
          </cell>
        </row>
      </sheetData>
      <sheetData sheetId="2492">
        <row r="5">
          <cell r="C5">
            <v>100</v>
          </cell>
        </row>
      </sheetData>
      <sheetData sheetId="2493"/>
      <sheetData sheetId="2494"/>
      <sheetData sheetId="2495"/>
      <sheetData sheetId="2496">
        <row r="5">
          <cell r="C5">
            <v>100</v>
          </cell>
        </row>
      </sheetData>
      <sheetData sheetId="2497">
        <row r="5">
          <cell r="C5">
            <v>100</v>
          </cell>
        </row>
      </sheetData>
      <sheetData sheetId="2498">
        <row r="5">
          <cell r="C5">
            <v>100</v>
          </cell>
        </row>
      </sheetData>
      <sheetData sheetId="2499">
        <row r="5">
          <cell r="C5">
            <v>100</v>
          </cell>
        </row>
      </sheetData>
      <sheetData sheetId="2500">
        <row r="5">
          <cell r="C5">
            <v>100</v>
          </cell>
        </row>
      </sheetData>
      <sheetData sheetId="2501">
        <row r="5">
          <cell r="C5">
            <v>100</v>
          </cell>
        </row>
      </sheetData>
      <sheetData sheetId="2502">
        <row r="5">
          <cell r="C5">
            <v>100</v>
          </cell>
        </row>
      </sheetData>
      <sheetData sheetId="2503">
        <row r="5">
          <cell r="C5">
            <v>100</v>
          </cell>
        </row>
      </sheetData>
      <sheetData sheetId="2504">
        <row r="5">
          <cell r="C5">
            <v>100</v>
          </cell>
        </row>
      </sheetData>
      <sheetData sheetId="2505"/>
      <sheetData sheetId="2506"/>
      <sheetData sheetId="2507"/>
      <sheetData sheetId="2508"/>
      <sheetData sheetId="2509"/>
      <sheetData sheetId="2510"/>
      <sheetData sheetId="2511">
        <row r="5">
          <cell r="C5">
            <v>100</v>
          </cell>
        </row>
      </sheetData>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ow r="5">
          <cell r="C5" t="str">
            <v>PACKAGE NO.</v>
          </cell>
        </row>
      </sheetData>
      <sheetData sheetId="2565">
        <row r="5">
          <cell r="C5" t="str">
            <v>PACKAGE NO.</v>
          </cell>
        </row>
      </sheetData>
      <sheetData sheetId="2566">
        <row r="5">
          <cell r="C5" t="str">
            <v>PACKAGE NO.</v>
          </cell>
        </row>
      </sheetData>
      <sheetData sheetId="2567">
        <row r="5">
          <cell r="C5" t="str">
            <v>PACKAGE NO.</v>
          </cell>
        </row>
      </sheetData>
      <sheetData sheetId="2568">
        <row r="5">
          <cell r="C5" t="str">
            <v>PACKAGE NO.</v>
          </cell>
        </row>
      </sheetData>
      <sheetData sheetId="2569">
        <row r="5">
          <cell r="C5" t="str">
            <v>PACKAGE NO.</v>
          </cell>
        </row>
      </sheetData>
      <sheetData sheetId="2570">
        <row r="5">
          <cell r="C5" t="str">
            <v>PACKAGE NO.</v>
          </cell>
        </row>
      </sheetData>
      <sheetData sheetId="2571">
        <row r="5">
          <cell r="C5" t="str">
            <v>PACKAGE NO.</v>
          </cell>
        </row>
      </sheetData>
      <sheetData sheetId="2572">
        <row r="5">
          <cell r="C5" t="str">
            <v>PACKAGE NO.</v>
          </cell>
        </row>
      </sheetData>
      <sheetData sheetId="2573">
        <row r="5">
          <cell r="C5" t="str">
            <v>PACKAGE NO.</v>
          </cell>
        </row>
      </sheetData>
      <sheetData sheetId="2574"/>
      <sheetData sheetId="2575"/>
      <sheetData sheetId="2576"/>
      <sheetData sheetId="2577"/>
      <sheetData sheetId="2578"/>
      <sheetData sheetId="2579">
        <row r="5">
          <cell r="C5" t="str">
            <v>PACKAGE NO.</v>
          </cell>
        </row>
      </sheetData>
      <sheetData sheetId="2580">
        <row r="5">
          <cell r="C5" t="str">
            <v>PACKAGE NO.</v>
          </cell>
        </row>
      </sheetData>
      <sheetData sheetId="2581">
        <row r="5">
          <cell r="C5" t="str">
            <v>PACKAGE NO.</v>
          </cell>
        </row>
      </sheetData>
      <sheetData sheetId="2582">
        <row r="5">
          <cell r="C5" t="str">
            <v>PACKAGE NO.</v>
          </cell>
        </row>
      </sheetData>
      <sheetData sheetId="2583">
        <row r="5">
          <cell r="C5" t="str">
            <v>PACKAGE NO.</v>
          </cell>
        </row>
      </sheetData>
      <sheetData sheetId="2584">
        <row r="5">
          <cell r="C5" t="str">
            <v>PACKAGE NO.</v>
          </cell>
        </row>
      </sheetData>
      <sheetData sheetId="2585">
        <row r="5">
          <cell r="C5" t="str">
            <v>PACKAGE NO.</v>
          </cell>
        </row>
      </sheetData>
      <sheetData sheetId="2586">
        <row r="5">
          <cell r="C5" t="str">
            <v>PACKAGE NO.</v>
          </cell>
        </row>
      </sheetData>
      <sheetData sheetId="2587">
        <row r="5">
          <cell r="C5" t="str">
            <v>PACKAGE NO.</v>
          </cell>
        </row>
      </sheetData>
      <sheetData sheetId="2588">
        <row r="5">
          <cell r="C5" t="str">
            <v>PACKAGE NO.</v>
          </cell>
        </row>
      </sheetData>
      <sheetData sheetId="2589">
        <row r="5">
          <cell r="C5" t="str">
            <v>PACKAGE NO.</v>
          </cell>
        </row>
      </sheetData>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row r="5">
          <cell r="C5">
            <v>100</v>
          </cell>
        </row>
      </sheetData>
      <sheetData sheetId="2737">
        <row r="5">
          <cell r="C5">
            <v>100</v>
          </cell>
        </row>
      </sheetData>
      <sheetData sheetId="2738"/>
      <sheetData sheetId="2739"/>
      <sheetData sheetId="2740"/>
      <sheetData sheetId="2741">
        <row r="5">
          <cell r="C5">
            <v>100</v>
          </cell>
        </row>
      </sheetData>
      <sheetData sheetId="2742">
        <row r="5">
          <cell r="C5">
            <v>100</v>
          </cell>
        </row>
      </sheetData>
      <sheetData sheetId="2743">
        <row r="5">
          <cell r="C5">
            <v>100</v>
          </cell>
        </row>
      </sheetData>
      <sheetData sheetId="2744">
        <row r="5">
          <cell r="C5">
            <v>100</v>
          </cell>
        </row>
      </sheetData>
      <sheetData sheetId="2745">
        <row r="5">
          <cell r="C5">
            <v>100</v>
          </cell>
        </row>
      </sheetData>
      <sheetData sheetId="2746">
        <row r="5">
          <cell r="C5">
            <v>100</v>
          </cell>
        </row>
      </sheetData>
      <sheetData sheetId="2747">
        <row r="5">
          <cell r="C5">
            <v>100</v>
          </cell>
        </row>
      </sheetData>
      <sheetData sheetId="2748">
        <row r="5">
          <cell r="C5">
            <v>100</v>
          </cell>
        </row>
      </sheetData>
      <sheetData sheetId="2749">
        <row r="5">
          <cell r="C5">
            <v>100</v>
          </cell>
        </row>
      </sheetData>
      <sheetData sheetId="2750"/>
      <sheetData sheetId="2751"/>
      <sheetData sheetId="2752"/>
      <sheetData sheetId="2753"/>
      <sheetData sheetId="2754"/>
      <sheetData sheetId="2755"/>
      <sheetData sheetId="2756">
        <row r="5">
          <cell r="C5">
            <v>100</v>
          </cell>
        </row>
      </sheetData>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row r="5">
          <cell r="C5" t="str">
            <v>PACKAGE NO.</v>
          </cell>
        </row>
      </sheetData>
      <sheetData sheetId="2810">
        <row r="5">
          <cell r="C5" t="str">
            <v>PACKAGE NO.</v>
          </cell>
        </row>
      </sheetData>
      <sheetData sheetId="2811">
        <row r="5">
          <cell r="C5" t="str">
            <v>PACKAGE NO.</v>
          </cell>
        </row>
      </sheetData>
      <sheetData sheetId="2812">
        <row r="5">
          <cell r="C5" t="str">
            <v>PACKAGE NO.</v>
          </cell>
        </row>
      </sheetData>
      <sheetData sheetId="2813">
        <row r="5">
          <cell r="C5" t="str">
            <v>PACKAGE NO.</v>
          </cell>
        </row>
      </sheetData>
      <sheetData sheetId="2814">
        <row r="5">
          <cell r="C5" t="str">
            <v>PACKAGE NO.</v>
          </cell>
        </row>
      </sheetData>
      <sheetData sheetId="2815">
        <row r="5">
          <cell r="C5" t="str">
            <v>PACKAGE NO.</v>
          </cell>
        </row>
      </sheetData>
      <sheetData sheetId="2816">
        <row r="5">
          <cell r="C5" t="str">
            <v>PACKAGE NO.</v>
          </cell>
        </row>
      </sheetData>
      <sheetData sheetId="2817">
        <row r="5">
          <cell r="C5" t="str">
            <v>PACKAGE NO.</v>
          </cell>
        </row>
      </sheetData>
      <sheetData sheetId="2818">
        <row r="5">
          <cell r="C5" t="str">
            <v>PACKAGE NO.</v>
          </cell>
        </row>
      </sheetData>
      <sheetData sheetId="2819"/>
      <sheetData sheetId="2820"/>
      <sheetData sheetId="2821"/>
      <sheetData sheetId="2822"/>
      <sheetData sheetId="2823"/>
      <sheetData sheetId="2824">
        <row r="5">
          <cell r="C5" t="str">
            <v>PACKAGE NO.</v>
          </cell>
        </row>
      </sheetData>
      <sheetData sheetId="2825">
        <row r="5">
          <cell r="C5" t="str">
            <v>PACKAGE NO.</v>
          </cell>
        </row>
      </sheetData>
      <sheetData sheetId="2826">
        <row r="5">
          <cell r="C5" t="str">
            <v>PACKAGE NO.</v>
          </cell>
        </row>
      </sheetData>
      <sheetData sheetId="2827">
        <row r="5">
          <cell r="C5" t="str">
            <v>PACKAGE NO.</v>
          </cell>
        </row>
      </sheetData>
      <sheetData sheetId="2828">
        <row r="5">
          <cell r="C5" t="str">
            <v>PACKAGE NO.</v>
          </cell>
        </row>
      </sheetData>
      <sheetData sheetId="2829">
        <row r="5">
          <cell r="C5" t="str">
            <v>PACKAGE NO.</v>
          </cell>
        </row>
      </sheetData>
      <sheetData sheetId="2830">
        <row r="5">
          <cell r="C5" t="str">
            <v>PACKAGE NO.</v>
          </cell>
        </row>
      </sheetData>
      <sheetData sheetId="2831">
        <row r="5">
          <cell r="C5" t="str">
            <v>PACKAGE NO.</v>
          </cell>
        </row>
      </sheetData>
      <sheetData sheetId="2832">
        <row r="5">
          <cell r="C5" t="str">
            <v>PACKAGE NO.</v>
          </cell>
        </row>
      </sheetData>
      <sheetData sheetId="2833">
        <row r="5">
          <cell r="C5" t="str">
            <v>PACKAGE NO.</v>
          </cell>
        </row>
      </sheetData>
      <sheetData sheetId="2834">
        <row r="5">
          <cell r="C5" t="str">
            <v>PACKAGE NO.</v>
          </cell>
        </row>
      </sheetData>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row r="5">
          <cell r="C5">
            <v>100</v>
          </cell>
        </row>
      </sheetData>
      <sheetData sheetId="2982">
        <row r="5">
          <cell r="C5">
            <v>100</v>
          </cell>
        </row>
      </sheetData>
      <sheetData sheetId="2983"/>
      <sheetData sheetId="2984"/>
      <sheetData sheetId="2985"/>
      <sheetData sheetId="2986">
        <row r="5">
          <cell r="C5">
            <v>100</v>
          </cell>
        </row>
      </sheetData>
      <sheetData sheetId="2987">
        <row r="5">
          <cell r="C5">
            <v>100</v>
          </cell>
        </row>
      </sheetData>
      <sheetData sheetId="2988">
        <row r="5">
          <cell r="C5">
            <v>100</v>
          </cell>
        </row>
      </sheetData>
      <sheetData sheetId="2989">
        <row r="5">
          <cell r="C5">
            <v>100</v>
          </cell>
        </row>
      </sheetData>
      <sheetData sheetId="2990">
        <row r="5">
          <cell r="C5">
            <v>100</v>
          </cell>
        </row>
      </sheetData>
      <sheetData sheetId="2991">
        <row r="5">
          <cell r="C5">
            <v>100</v>
          </cell>
        </row>
      </sheetData>
      <sheetData sheetId="2992">
        <row r="5">
          <cell r="C5">
            <v>100</v>
          </cell>
        </row>
      </sheetData>
      <sheetData sheetId="2993">
        <row r="5">
          <cell r="C5">
            <v>100</v>
          </cell>
        </row>
      </sheetData>
      <sheetData sheetId="2994">
        <row r="5">
          <cell r="C5">
            <v>100</v>
          </cell>
        </row>
      </sheetData>
      <sheetData sheetId="2995"/>
      <sheetData sheetId="2996"/>
      <sheetData sheetId="2997"/>
      <sheetData sheetId="2998"/>
      <sheetData sheetId="2999"/>
      <sheetData sheetId="3000"/>
      <sheetData sheetId="3001">
        <row r="5">
          <cell r="C5">
            <v>100</v>
          </cell>
        </row>
      </sheetData>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row r="5">
          <cell r="C5" t="str">
            <v>PACKAGE NO.</v>
          </cell>
        </row>
      </sheetData>
      <sheetData sheetId="3055">
        <row r="5">
          <cell r="C5" t="str">
            <v>PACKAGE NO.</v>
          </cell>
        </row>
      </sheetData>
      <sheetData sheetId="3056">
        <row r="5">
          <cell r="C5" t="str">
            <v>PACKAGE NO.</v>
          </cell>
        </row>
      </sheetData>
      <sheetData sheetId="3057">
        <row r="5">
          <cell r="C5" t="str">
            <v>PACKAGE NO.</v>
          </cell>
        </row>
      </sheetData>
      <sheetData sheetId="3058">
        <row r="5">
          <cell r="C5" t="str">
            <v>PACKAGE NO.</v>
          </cell>
        </row>
      </sheetData>
      <sheetData sheetId="3059">
        <row r="5">
          <cell r="C5" t="str">
            <v>PACKAGE NO.</v>
          </cell>
        </row>
      </sheetData>
      <sheetData sheetId="3060">
        <row r="5">
          <cell r="C5" t="str">
            <v>PACKAGE NO.</v>
          </cell>
        </row>
      </sheetData>
      <sheetData sheetId="3061">
        <row r="5">
          <cell r="C5" t="str">
            <v>PACKAGE NO.</v>
          </cell>
        </row>
      </sheetData>
      <sheetData sheetId="3062">
        <row r="5">
          <cell r="C5" t="str">
            <v>PACKAGE NO.</v>
          </cell>
        </row>
      </sheetData>
      <sheetData sheetId="3063">
        <row r="5">
          <cell r="C5" t="str">
            <v>PACKAGE NO.</v>
          </cell>
        </row>
      </sheetData>
      <sheetData sheetId="3064"/>
      <sheetData sheetId="3065"/>
      <sheetData sheetId="3066"/>
      <sheetData sheetId="3067"/>
      <sheetData sheetId="3068"/>
      <sheetData sheetId="3069">
        <row r="5">
          <cell r="C5" t="str">
            <v>PACKAGE NO.</v>
          </cell>
        </row>
      </sheetData>
      <sheetData sheetId="3070">
        <row r="5">
          <cell r="C5" t="str">
            <v>PACKAGE NO.</v>
          </cell>
        </row>
      </sheetData>
      <sheetData sheetId="3071">
        <row r="5">
          <cell r="C5" t="str">
            <v>PACKAGE NO.</v>
          </cell>
        </row>
      </sheetData>
      <sheetData sheetId="3072">
        <row r="5">
          <cell r="C5" t="str">
            <v>PACKAGE NO.</v>
          </cell>
        </row>
      </sheetData>
      <sheetData sheetId="3073">
        <row r="5">
          <cell r="C5" t="str">
            <v>PACKAGE NO.</v>
          </cell>
        </row>
      </sheetData>
      <sheetData sheetId="3074">
        <row r="5">
          <cell r="C5" t="str">
            <v>PACKAGE NO.</v>
          </cell>
        </row>
      </sheetData>
      <sheetData sheetId="3075">
        <row r="5">
          <cell r="C5" t="str">
            <v>PACKAGE NO.</v>
          </cell>
        </row>
      </sheetData>
      <sheetData sheetId="3076">
        <row r="5">
          <cell r="C5" t="str">
            <v>PACKAGE NO.</v>
          </cell>
        </row>
      </sheetData>
      <sheetData sheetId="3077">
        <row r="5">
          <cell r="C5" t="str">
            <v>PACKAGE NO.</v>
          </cell>
        </row>
      </sheetData>
      <sheetData sheetId="3078">
        <row r="5">
          <cell r="C5" t="str">
            <v>PACKAGE NO.</v>
          </cell>
        </row>
      </sheetData>
      <sheetData sheetId="3079">
        <row r="5">
          <cell r="C5" t="str">
            <v>PACKAGE NO.</v>
          </cell>
        </row>
      </sheetData>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row r="5">
          <cell r="C5">
            <v>100</v>
          </cell>
        </row>
      </sheetData>
      <sheetData sheetId="3227">
        <row r="5">
          <cell r="C5">
            <v>100</v>
          </cell>
        </row>
      </sheetData>
      <sheetData sheetId="3228"/>
      <sheetData sheetId="3229"/>
      <sheetData sheetId="3230"/>
      <sheetData sheetId="3231">
        <row r="5">
          <cell r="C5">
            <v>100</v>
          </cell>
        </row>
      </sheetData>
      <sheetData sheetId="3232">
        <row r="5">
          <cell r="C5">
            <v>100</v>
          </cell>
        </row>
      </sheetData>
      <sheetData sheetId="3233">
        <row r="5">
          <cell r="C5">
            <v>100</v>
          </cell>
        </row>
      </sheetData>
      <sheetData sheetId="3234">
        <row r="5">
          <cell r="C5">
            <v>100</v>
          </cell>
        </row>
      </sheetData>
      <sheetData sheetId="3235">
        <row r="5">
          <cell r="C5">
            <v>100</v>
          </cell>
        </row>
      </sheetData>
      <sheetData sheetId="3236">
        <row r="5">
          <cell r="C5">
            <v>100</v>
          </cell>
        </row>
      </sheetData>
      <sheetData sheetId="3237">
        <row r="5">
          <cell r="C5">
            <v>100</v>
          </cell>
        </row>
      </sheetData>
      <sheetData sheetId="3238">
        <row r="5">
          <cell r="C5">
            <v>100</v>
          </cell>
        </row>
      </sheetData>
      <sheetData sheetId="3239">
        <row r="5">
          <cell r="C5">
            <v>100</v>
          </cell>
        </row>
      </sheetData>
      <sheetData sheetId="3240"/>
      <sheetData sheetId="3241"/>
      <sheetData sheetId="3242"/>
      <sheetData sheetId="3243"/>
      <sheetData sheetId="3244"/>
      <sheetData sheetId="3245"/>
      <sheetData sheetId="3246">
        <row r="5">
          <cell r="C5">
            <v>100</v>
          </cell>
        </row>
      </sheetData>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row r="5">
          <cell r="C5" t="str">
            <v>PACKAGE NO.</v>
          </cell>
        </row>
      </sheetData>
      <sheetData sheetId="3300">
        <row r="5">
          <cell r="C5" t="str">
            <v>PACKAGE NO.</v>
          </cell>
        </row>
      </sheetData>
      <sheetData sheetId="3301">
        <row r="5">
          <cell r="C5" t="str">
            <v>PACKAGE NO.</v>
          </cell>
        </row>
      </sheetData>
      <sheetData sheetId="3302">
        <row r="5">
          <cell r="C5" t="str">
            <v>PACKAGE NO.</v>
          </cell>
        </row>
      </sheetData>
      <sheetData sheetId="3303">
        <row r="5">
          <cell r="C5" t="str">
            <v>PACKAGE NO.</v>
          </cell>
        </row>
      </sheetData>
      <sheetData sheetId="3304">
        <row r="5">
          <cell r="C5" t="str">
            <v>PACKAGE NO.</v>
          </cell>
        </row>
      </sheetData>
      <sheetData sheetId="3305">
        <row r="5">
          <cell r="C5" t="str">
            <v>PACKAGE NO.</v>
          </cell>
        </row>
      </sheetData>
      <sheetData sheetId="3306">
        <row r="5">
          <cell r="C5" t="str">
            <v>PACKAGE NO.</v>
          </cell>
        </row>
      </sheetData>
      <sheetData sheetId="3307">
        <row r="5">
          <cell r="C5" t="str">
            <v>PACKAGE NO.</v>
          </cell>
        </row>
      </sheetData>
      <sheetData sheetId="3308">
        <row r="5">
          <cell r="C5" t="str">
            <v>PACKAGE NO.</v>
          </cell>
        </row>
      </sheetData>
      <sheetData sheetId="3309"/>
      <sheetData sheetId="3310"/>
      <sheetData sheetId="3311"/>
      <sheetData sheetId="3312"/>
      <sheetData sheetId="3313"/>
      <sheetData sheetId="3314">
        <row r="5">
          <cell r="C5" t="str">
            <v>PACKAGE NO.</v>
          </cell>
        </row>
      </sheetData>
      <sheetData sheetId="3315">
        <row r="5">
          <cell r="C5" t="str">
            <v>PACKAGE NO.</v>
          </cell>
        </row>
      </sheetData>
      <sheetData sheetId="3316">
        <row r="5">
          <cell r="C5" t="str">
            <v>PACKAGE NO.</v>
          </cell>
        </row>
      </sheetData>
      <sheetData sheetId="3317">
        <row r="5">
          <cell r="C5" t="str">
            <v>PACKAGE NO.</v>
          </cell>
        </row>
      </sheetData>
      <sheetData sheetId="3318">
        <row r="5">
          <cell r="C5" t="str">
            <v>PACKAGE NO.</v>
          </cell>
        </row>
      </sheetData>
      <sheetData sheetId="3319">
        <row r="5">
          <cell r="C5" t="str">
            <v>PACKAGE NO.</v>
          </cell>
        </row>
      </sheetData>
      <sheetData sheetId="3320">
        <row r="5">
          <cell r="C5" t="str">
            <v>PACKAGE NO.</v>
          </cell>
        </row>
      </sheetData>
      <sheetData sheetId="3321">
        <row r="5">
          <cell r="C5" t="str">
            <v>PACKAGE NO.</v>
          </cell>
        </row>
      </sheetData>
      <sheetData sheetId="3322">
        <row r="5">
          <cell r="C5" t="str">
            <v>PACKAGE NO.</v>
          </cell>
        </row>
      </sheetData>
      <sheetData sheetId="3323">
        <row r="5">
          <cell r="C5" t="str">
            <v>PACKAGE NO.</v>
          </cell>
        </row>
      </sheetData>
      <sheetData sheetId="3324">
        <row r="5">
          <cell r="C5" t="str">
            <v>PACKAGE NO.</v>
          </cell>
        </row>
      </sheetData>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ow r="5">
          <cell r="C5">
            <v>100</v>
          </cell>
        </row>
      </sheetData>
      <sheetData sheetId="3472">
        <row r="5">
          <cell r="C5">
            <v>100</v>
          </cell>
        </row>
      </sheetData>
      <sheetData sheetId="3473"/>
      <sheetData sheetId="3474"/>
      <sheetData sheetId="3475"/>
      <sheetData sheetId="3476">
        <row r="5">
          <cell r="C5">
            <v>100</v>
          </cell>
        </row>
      </sheetData>
      <sheetData sheetId="3477">
        <row r="5">
          <cell r="C5">
            <v>100</v>
          </cell>
        </row>
      </sheetData>
      <sheetData sheetId="3478">
        <row r="5">
          <cell r="C5">
            <v>100</v>
          </cell>
        </row>
      </sheetData>
      <sheetData sheetId="3479">
        <row r="5">
          <cell r="C5">
            <v>100</v>
          </cell>
        </row>
      </sheetData>
      <sheetData sheetId="3480">
        <row r="5">
          <cell r="C5">
            <v>100</v>
          </cell>
        </row>
      </sheetData>
      <sheetData sheetId="3481">
        <row r="5">
          <cell r="C5">
            <v>100</v>
          </cell>
        </row>
      </sheetData>
      <sheetData sheetId="3482">
        <row r="5">
          <cell r="C5">
            <v>100</v>
          </cell>
        </row>
      </sheetData>
      <sheetData sheetId="3483">
        <row r="5">
          <cell r="C5">
            <v>100</v>
          </cell>
        </row>
      </sheetData>
      <sheetData sheetId="3484">
        <row r="5">
          <cell r="C5">
            <v>100</v>
          </cell>
        </row>
      </sheetData>
      <sheetData sheetId="3485"/>
      <sheetData sheetId="3486"/>
      <sheetData sheetId="3487"/>
      <sheetData sheetId="3488"/>
      <sheetData sheetId="3489"/>
      <sheetData sheetId="3490"/>
      <sheetData sheetId="3491">
        <row r="5">
          <cell r="C5">
            <v>100</v>
          </cell>
        </row>
      </sheetData>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refreshError="1"/>
      <sheetData sheetId="3545" refreshError="1"/>
      <sheetData sheetId="3546" refreshError="1"/>
      <sheetData sheetId="3547" refreshError="1"/>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GP1,4&amp;3-Final-20101020"/>
      <sheetName val="E_Rate "/>
      <sheetName val="Sheet3"/>
      <sheetName val="eq_data"/>
      <sheetName val="E_Rate"/>
      <sheetName val="h-013211-2"/>
      <sheetName val="수입"/>
      <sheetName val="차량운영비"/>
      <sheetName val="Elect (3)"/>
      <sheetName val="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손익차9월2"/>
      <sheetName val="eq_data"/>
      <sheetName val="Basic"/>
      <sheetName val="TOTAL"/>
      <sheetName val="Equipment"/>
      <sheetName val="Piping"/>
      <sheetName val="수입"/>
      <sheetName val="E_Rate "/>
      <sheetName val="환율"/>
      <sheetName val="집계표(OPTION)"/>
      <sheetName val="주관사업"/>
      <sheetName val="data_dci"/>
      <sheetName val="data_mci"/>
      <sheetName val="behind"/>
      <sheetName val="Main"/>
      <sheetName val="배부981"/>
      <sheetName val="적용환율"/>
      <sheetName val="PumpSpec"/>
      <sheetName val="97 사업추정(WEKI)"/>
      <sheetName val="B"/>
      <sheetName val="ELEC_DCI"/>
      <sheetName val="INST_DCI"/>
      <sheetName val="카메라"/>
      <sheetName val="해외 기술훈련비 (합계)"/>
      <sheetName val="해외 연수비용 계산-삭제"/>
      <sheetName val="A"/>
      <sheetName val="견적내역서"/>
      <sheetName val="Code"/>
      <sheetName val="E_Rate"/>
      <sheetName val="공사내역"/>
      <sheetName val="6,000"/>
      <sheetName val="사업부배부"/>
      <sheetName val="계정실적"/>
      <sheetName val="계정보고"/>
      <sheetName val="요약배부"/>
      <sheetName val="요약배부 (보고)"/>
      <sheetName val="배부부별"/>
      <sheetName val="배부비목"/>
      <sheetName val="예실차이"/>
      <sheetName val="예실차이 (2)"/>
      <sheetName val="내용분석(비율)"/>
      <sheetName val="임대원가"/>
      <sheetName val="기타매출"/>
      <sheetName val="기타매출1"/>
      <sheetName val="새마을금고"/>
      <sheetName val="Module1"/>
      <sheetName val="참고인원"/>
      <sheetName val="인원대비표"/>
      <sheetName val="04-D(1)"/>
      <sheetName val="04-D(2)"/>
      <sheetName val="04-D(3)"/>
      <sheetName val="04-D(4)"/>
      <sheetName val="04-D(5)"/>
      <sheetName val="04-D(6)"/>
      <sheetName val="04-D(7)"/>
      <sheetName val="04-D(8)"/>
      <sheetName val="04-D(9)"/>
      <sheetName val="04-D(10)"/>
      <sheetName val="04-D(11)"/>
      <sheetName val="04-D(12)"/>
      <sheetName val="04-D(13)"/>
      <sheetName val="04-D(14)"/>
      <sheetName val="04-D(전)"/>
      <sheetName val="out_prog"/>
      <sheetName val="선적schedule (2)"/>
      <sheetName val="INSTR"/>
      <sheetName val="Sheet2"/>
      <sheetName val="BM DATA SHEET"/>
      <sheetName val="사업부배부A"/>
      <sheetName val="단가"/>
      <sheetName val="총괄표"/>
      <sheetName val="3.공통공사대비"/>
      <sheetName val="도급양식"/>
      <sheetName val="현금"/>
      <sheetName val="당초"/>
      <sheetName val="변경내역"/>
      <sheetName val="투찰"/>
      <sheetName val="일위대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시행예산"/>
      <sheetName val="노임단가"/>
      <sheetName val="Sheet1 (2)"/>
      <sheetName val="Sheet1"/>
      <sheetName val="수량산출"/>
      <sheetName val="정산표"/>
      <sheetName val="년말집계"/>
      <sheetName val="백호우계수"/>
      <sheetName val="RCF CLAIMED"/>
      <sheetName val="5.소재"/>
      <sheetName val="내역1"/>
      <sheetName val="유림골조"/>
      <sheetName val="삭제금지단가"/>
      <sheetName val="97 사업추정_WEKI_"/>
      <sheetName val="시중노임단가"/>
      <sheetName val="SIMULATION"/>
      <sheetName val="단가산출내역"/>
      <sheetName val="MOKDONG(1)"/>
      <sheetName val="회사정보"/>
      <sheetName val="PRO_DCI"/>
      <sheetName val="상반기손익차2총괄"/>
      <sheetName val="SILICATE"/>
      <sheetName val="TABLE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6">
          <cell r="G16">
            <v>3100889.7360623879</v>
          </cell>
        </row>
        <row r="17">
          <cell r="G17">
            <v>934385.75607295427</v>
          </cell>
        </row>
        <row r="18">
          <cell r="G18">
            <v>944284.9960087979</v>
          </cell>
        </row>
        <row r="19">
          <cell r="G19">
            <v>1100235.2378667907</v>
          </cell>
        </row>
        <row r="20">
          <cell r="G20">
            <v>1079751.2161132174</v>
          </cell>
        </row>
        <row r="21">
          <cell r="G21">
            <v>1123783.6778401346</v>
          </cell>
        </row>
        <row r="22">
          <cell r="G22">
            <v>1105143.8836787788</v>
          </cell>
        </row>
        <row r="23">
          <cell r="G23">
            <v>1211873.7212221269</v>
          </cell>
        </row>
        <row r="24">
          <cell r="G24">
            <v>1242897.4469518734</v>
          </cell>
        </row>
        <row r="25">
          <cell r="G25">
            <v>1242388.6634660121</v>
          </cell>
        </row>
        <row r="26">
          <cell r="G26">
            <v>1173097.4003922935</v>
          </cell>
        </row>
        <row r="27">
          <cell r="G27">
            <v>1246958.3770815907</v>
          </cell>
        </row>
        <row r="28">
          <cell r="G28">
            <v>1129849.8697283007</v>
          </cell>
        </row>
        <row r="29">
          <cell r="G29">
            <v>1362669.9593027527</v>
          </cell>
        </row>
        <row r="30">
          <cell r="G30">
            <v>1257111.2537174637</v>
          </cell>
        </row>
        <row r="31">
          <cell r="G31">
            <v>766806.14375081041</v>
          </cell>
        </row>
      </sheetData>
      <sheetData sheetId="28" refreshError="1"/>
      <sheetData sheetId="29" refreshError="1"/>
      <sheetData sheetId="3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rrect"/>
      <sheetName val="Data"/>
      <sheetName val="Temp"/>
      <sheetName val="Code"/>
      <sheetName val="WorkTitle"/>
      <sheetName val="적용환율"/>
      <sheetName val="E_Rate "/>
    </sheetNames>
    <sheetDataSet>
      <sheetData sheetId="0"/>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Basic"/>
      <sheetName val="eq_data"/>
      <sheetName val="수입"/>
      <sheetName val="손익차9월2"/>
      <sheetName val="TOTAL"/>
      <sheetName val="Equipment"/>
      <sheetName val="Piping"/>
      <sheetName val="배부98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eq_data"/>
      <sheetName val="Compare-1"/>
      <sheetName val="h-013211-2"/>
      <sheetName val="GeneralNote"/>
      <sheetName val="INSTR"/>
      <sheetName val="영업소실적"/>
      <sheetName val="Proposal"/>
      <sheetName val="MAIN"/>
      <sheetName val="PRO_A"/>
      <sheetName val="PRO"/>
      <sheetName val="수입"/>
      <sheetName val="ELEC_DCI"/>
      <sheetName val="INST_DCI"/>
      <sheetName val="PumpSpec"/>
      <sheetName val="95삼성급(본사)"/>
      <sheetName val="Sheet1"/>
      <sheetName val="Sheet2"/>
      <sheetName val="E_Rate "/>
      <sheetName val="Basic"/>
      <sheetName val="내역"/>
      <sheetName val="lookup"/>
      <sheetName val="차액보증"/>
      <sheetName val="적용환율"/>
      <sheetName val="도"/>
      <sheetName val="Sheet14"/>
      <sheetName val="Sheet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MAN1"/>
      <sheetName val="Eq. Mobilization"/>
      <sheetName val="Basic"/>
      <sheetName val="eq_data"/>
      <sheetName val="JO9707"/>
      <sheetName val="환율"/>
    </sheetNames>
    <sheetDataSet>
      <sheetData sheetId="0" refreshError="1">
        <row r="40">
          <cell r="D40" t="str">
            <v>96.05.26</v>
          </cell>
          <cell r="H40">
            <v>35172</v>
          </cell>
          <cell r="K40" t="str">
            <v xml:space="preserve"> </v>
          </cell>
          <cell r="T40" t="str">
            <v>LCL</v>
          </cell>
          <cell r="U40" t="str">
            <v>Mongkol</v>
          </cell>
          <cell r="X40">
            <v>35440</v>
          </cell>
          <cell r="AG40">
            <v>35198</v>
          </cell>
          <cell r="AW40">
            <v>35093</v>
          </cell>
        </row>
        <row r="41">
          <cell r="D41" t="str">
            <v>LCL</v>
          </cell>
          <cell r="E41" t="str">
            <v>Somsak</v>
          </cell>
          <cell r="G41" t="str">
            <v xml:space="preserve"> </v>
          </cell>
          <cell r="K41" t="str">
            <v xml:space="preserve"> </v>
          </cell>
          <cell r="P41" t="str">
            <v>Tank / Lining</v>
          </cell>
          <cell r="T41">
            <v>35363</v>
          </cell>
          <cell r="X41" t="str">
            <v>LCL</v>
          </cell>
          <cell r="Y41" t="str">
            <v>Prasit</v>
          </cell>
          <cell r="AG41" t="str">
            <v>TCN</v>
          </cell>
          <cell r="AH41" t="str">
            <v>O. Gomez</v>
          </cell>
          <cell r="AW41" t="str">
            <v>LCL</v>
          </cell>
          <cell r="AX41" t="str">
            <v>Manusak</v>
          </cell>
        </row>
        <row r="42">
          <cell r="D42" t="str">
            <v>95.12.25</v>
          </cell>
          <cell r="G42" t="str">
            <v xml:space="preserve"> </v>
          </cell>
          <cell r="H42" t="str">
            <v>Q   /   S</v>
          </cell>
          <cell r="K42" t="str">
            <v xml:space="preserve"> </v>
          </cell>
          <cell r="P42" t="str">
            <v>GJ</v>
          </cell>
          <cell r="Q42" t="str">
            <v>강 민 형</v>
          </cell>
          <cell r="T42" t="str">
            <v>LCL</v>
          </cell>
          <cell r="U42" t="str">
            <v>Nattaphong</v>
          </cell>
          <cell r="X42">
            <v>35440</v>
          </cell>
          <cell r="AG42">
            <v>35183</v>
          </cell>
          <cell r="AW42">
            <v>35268</v>
          </cell>
        </row>
        <row r="43">
          <cell r="D43" t="str">
            <v>LCL</v>
          </cell>
          <cell r="E43" t="str">
            <v>Samart</v>
          </cell>
          <cell r="G43" t="str">
            <v xml:space="preserve"> </v>
          </cell>
          <cell r="H43" t="str">
            <v>TCN</v>
          </cell>
          <cell r="I43" t="str">
            <v xml:space="preserve">  S. ROWE</v>
          </cell>
          <cell r="K43" t="str">
            <v xml:space="preserve"> </v>
          </cell>
          <cell r="P43" t="str">
            <v>95.03.08 / 95.09.14</v>
          </cell>
          <cell r="T43">
            <v>35366</v>
          </cell>
          <cell r="X43" t="str">
            <v>LCL</v>
          </cell>
          <cell r="Y43" t="str">
            <v>Chalit</v>
          </cell>
          <cell r="AG43" t="str">
            <v>TCN</v>
          </cell>
          <cell r="AH43" t="str">
            <v>Rozario</v>
          </cell>
          <cell r="AW43" t="str">
            <v>LCL</v>
          </cell>
          <cell r="AX43" t="str">
            <v>Mankiet</v>
          </cell>
        </row>
        <row r="44">
          <cell r="D44" t="str">
            <v>96.02.05</v>
          </cell>
          <cell r="G44" t="str">
            <v xml:space="preserve"> </v>
          </cell>
          <cell r="H44">
            <v>34895</v>
          </cell>
          <cell r="K44" t="str">
            <v xml:space="preserve"> </v>
          </cell>
          <cell r="P44" t="str">
            <v>LCL</v>
          </cell>
          <cell r="Q44" t="str">
            <v>Prong</v>
          </cell>
          <cell r="T44" t="str">
            <v>TCN</v>
          </cell>
          <cell r="U44" t="str">
            <v>A. Tiongo</v>
          </cell>
          <cell r="X44">
            <v>35445</v>
          </cell>
          <cell r="AG44">
            <v>35258</v>
          </cell>
          <cell r="AW44">
            <v>35205</v>
          </cell>
        </row>
        <row r="45">
          <cell r="D45" t="str">
            <v>LCL</v>
          </cell>
          <cell r="E45" t="str">
            <v>Sathian</v>
          </cell>
          <cell r="G45" t="str">
            <v xml:space="preserve"> </v>
          </cell>
          <cell r="K45" t="str">
            <v xml:space="preserve"> </v>
          </cell>
          <cell r="P45">
            <v>35044</v>
          </cell>
          <cell r="T45">
            <v>35357</v>
          </cell>
          <cell r="X45" t="str">
            <v>LCL</v>
          </cell>
          <cell r="Y45" t="str">
            <v>Kritsada</v>
          </cell>
          <cell r="AG45" t="str">
            <v>TCN</v>
          </cell>
          <cell r="AH45" t="str">
            <v>E. Magadia</v>
          </cell>
          <cell r="AW45" t="str">
            <v>LCL</v>
          </cell>
          <cell r="AX45" t="str">
            <v>Phichet</v>
          </cell>
        </row>
        <row r="46">
          <cell r="D46">
            <v>35328</v>
          </cell>
          <cell r="G46" t="str">
            <v xml:space="preserve"> </v>
          </cell>
          <cell r="K46" t="str">
            <v xml:space="preserve"> </v>
          </cell>
          <cell r="P46" t="str">
            <v>LCL</v>
          </cell>
          <cell r="Q46" t="str">
            <v>Swan</v>
          </cell>
          <cell r="T46" t="str">
            <v>LCL</v>
          </cell>
          <cell r="U46" t="str">
            <v>Suchart</v>
          </cell>
          <cell r="X46">
            <v>35450</v>
          </cell>
          <cell r="AG46">
            <v>35469</v>
          </cell>
          <cell r="AW46">
            <v>35115</v>
          </cell>
        </row>
        <row r="47">
          <cell r="G47" t="str">
            <v xml:space="preserve"> </v>
          </cell>
          <cell r="K47" t="str">
            <v xml:space="preserve"> </v>
          </cell>
          <cell r="P47">
            <v>35464</v>
          </cell>
          <cell r="T47">
            <v>35450</v>
          </cell>
          <cell r="X47" t="str">
            <v>LCL</v>
          </cell>
          <cell r="Y47" t="str">
            <v>Pasathorn</v>
          </cell>
          <cell r="AG47" t="str">
            <v>TCN</v>
          </cell>
          <cell r="AH47" t="str">
            <v>M. Clay</v>
          </cell>
          <cell r="AW47" t="str">
            <v>LCL</v>
          </cell>
          <cell r="AX47" t="str">
            <v>Watcharin</v>
          </cell>
        </row>
        <row r="48">
          <cell r="D48" t="str">
            <v>業           務</v>
          </cell>
          <cell r="G48" t="str">
            <v xml:space="preserve"> </v>
          </cell>
          <cell r="K48" t="str">
            <v xml:space="preserve"> </v>
          </cell>
          <cell r="X48">
            <v>35457</v>
          </cell>
          <cell r="AG48">
            <v>35247</v>
          </cell>
          <cell r="AW48">
            <v>35443</v>
          </cell>
        </row>
        <row r="49">
          <cell r="D49" t="str">
            <v>DR</v>
          </cell>
          <cell r="E49" t="str">
            <v>김 주 범</v>
          </cell>
          <cell r="G49" t="str">
            <v xml:space="preserve"> </v>
          </cell>
          <cell r="K49" t="str">
            <v xml:space="preserve"> </v>
          </cell>
          <cell r="P49" t="str">
            <v>保溫 / 途裝</v>
          </cell>
          <cell r="X49" t="str">
            <v>LCL</v>
          </cell>
          <cell r="Y49" t="str">
            <v>Somsak</v>
          </cell>
          <cell r="AW49" t="str">
            <v>LCL</v>
          </cell>
          <cell r="AX49" t="str">
            <v>Thanin</v>
          </cell>
        </row>
      </sheetData>
      <sheetData sheetId="1" refreshError="1"/>
      <sheetData sheetId="2" refreshError="1"/>
      <sheetData sheetId="3" refreshError="1"/>
      <sheetData sheetId="4" refreshError="1"/>
      <sheetData sheetId="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 개요"/>
      <sheetName val="공통비 예산 편성 내역"/>
      <sheetName val="공통부대"/>
      <sheetName val="경상비"/>
      <sheetName val="발주처사무용품"/>
      <sheetName val="안전,환경관리비 산출기준"/>
      <sheetName val="인원분석"/>
      <sheetName val="직원동원계획(현장)"/>
      <sheetName val="현채직원(현장)"/>
      <sheetName val="간접인원동원계획(현장)"/>
      <sheetName val="차량동원계획"/>
      <sheetName val="차량 구매 및 보험료"/>
      <sheetName val="직원급여"/>
    </sheetNames>
    <sheetDataSet>
      <sheetData sheetId="0">
        <row r="6">
          <cell r="D6">
            <v>1050</v>
          </cell>
        </row>
      </sheetData>
      <sheetData sheetId="1">
        <row r="15">
          <cell r="I15">
            <v>110270</v>
          </cell>
        </row>
      </sheetData>
      <sheetData sheetId="2"/>
      <sheetData sheetId="3"/>
      <sheetData sheetId="4"/>
      <sheetData sheetId="5"/>
      <sheetData sheetId="6"/>
      <sheetData sheetId="7"/>
      <sheetData sheetId="8">
        <row r="10">
          <cell r="H10">
            <v>476</v>
          </cell>
        </row>
      </sheetData>
      <sheetData sheetId="9">
        <row r="11">
          <cell r="H11">
            <v>730</v>
          </cell>
        </row>
      </sheetData>
      <sheetData sheetId="10"/>
      <sheetData sheetId="11"/>
      <sheetData sheetId="1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row r="8">
          <cell r="B8" t="str">
            <v xml:space="preserve">        TURKEY</v>
          </cell>
        </row>
      </sheetData>
      <sheetData sheetId="3" refreshError="1"/>
      <sheetData sheetId="4" refreshError="1"/>
      <sheetData sheetId="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PUMP"/>
      <sheetName val="REC(CHP)"/>
      <sheetName val="REC(HOB)"/>
      <sheetName val="Main"/>
      <sheetName val="Data"/>
      <sheetName val="예산M12A"/>
      <sheetName val="Piping Design Data"/>
      <sheetName val="기준"/>
      <sheetName val="DATE"/>
      <sheetName val="1단계"/>
      <sheetName val="PROJECT"/>
      <sheetName val="BQ"/>
      <sheetName val="CAL"/>
      <sheetName val="SKETCH"/>
      <sheetName val="Sheet1"/>
      <sheetName val="lookup"/>
      <sheetName val="CAL."/>
      <sheetName val="노원열병합  건축공사기성내역서"/>
      <sheetName val="BID"/>
      <sheetName val="표지"/>
      <sheetName val="CAT_5"/>
      <sheetName val="F-Assump"/>
      <sheetName val="Sheet2"/>
      <sheetName val="HVAC"/>
      <sheetName val="laroux"/>
      <sheetName val="slab"/>
      <sheetName val="pile(1)"/>
      <sheetName val="pile(2)"/>
      <sheetName val="pile(3)"/>
      <sheetName val="ITB COST"/>
      <sheetName val="단가대비"/>
      <sheetName val="AILC004"/>
      <sheetName val="TEL"/>
      <sheetName val="부대대비"/>
      <sheetName val="냉연집계"/>
      <sheetName val="#REF"/>
      <sheetName val="Cable Trench in E-3,6,9"/>
      <sheetName val="SILICATE"/>
      <sheetName val="Customer Databas"/>
      <sheetName val="Const Staff"/>
      <sheetName val="FREU Engineering"/>
      <sheetName val="Startup Staff"/>
      <sheetName val="Q827"/>
      <sheetName val="예산서"/>
      <sheetName val="PS"/>
      <sheetName val="공정계획_내부계획25__내부w_f_"/>
      <sheetName val="±âÁØ"/>
      <sheetName val="¿¹»êM12A"/>
      <sheetName val="1´Ü°è"/>
      <sheetName val="´Ü°¡´ëºñ"/>
      <sheetName val="³ë¿ø¿­º´ÇÕ  °ÇÃà°ø»ç±â¼º³»¿ª¼­"/>
      <sheetName val="가BM"/>
      <sheetName val="적용환율"/>
      <sheetName val="General Data"/>
      <sheetName val="간접비내역-1"/>
      <sheetName val="작성기준"/>
      <sheetName val="내역서"/>
      <sheetName val="NAME"/>
      <sheetName val="API Pump"/>
      <sheetName val="ANSI Pump"/>
      <sheetName val="Reciprocating Pump"/>
      <sheetName val="Submersible Pump"/>
      <sheetName val="Fire Pump"/>
      <sheetName val="당초"/>
      <sheetName val="DESIGN CRITERIA"/>
      <sheetName val="Isolasi Luar Dalam"/>
      <sheetName val="Isolasi Luar"/>
      <sheetName val="ASS-UNIT"/>
      <sheetName val="DUTCH CONE"/>
      <sheetName val="Direct Cost"/>
      <sheetName val="BoQ"/>
      <sheetName val="SchA"/>
      <sheetName val="PMT"/>
      <sheetName val="Elect"/>
      <sheetName val="Ins"/>
      <sheetName val="Mech"/>
      <sheetName val="SewAlat"/>
      <sheetName val="SchC"/>
      <sheetName val="Analysis"/>
      <sheetName val="SchB"/>
      <sheetName val="SchD"/>
      <sheetName val="Sum"/>
      <sheetName val="Markup"/>
      <sheetName val="11"/>
      <sheetName val="12"/>
      <sheetName val="13"/>
      <sheetName val="14"/>
      <sheetName val="BoQ C4"/>
      <sheetName val="Invoice Cover"/>
      <sheetName val="EXPAT 21"/>
      <sheetName val="FLUOR 29"/>
      <sheetName val="NONS 84"/>
      <sheetName val="STAFF 158"/>
      <sheetName val="SO 38"/>
      <sheetName val="건축내역"/>
      <sheetName val="Summary Sheets"/>
      <sheetName val="Wt of Mod."/>
      <sheetName val="Module Wt"/>
      <sheetName val="Build Up"/>
      <sheetName val="costing_ESDV"/>
      <sheetName val="costing_Misc"/>
      <sheetName val="costing_MOV"/>
      <sheetName val="costing_Press"/>
      <sheetName val="GammaEquivalents"/>
      <sheetName val="Equipment"/>
      <sheetName val="Piping"/>
      <sheetName val="eq_data"/>
      <sheetName val="A"/>
      <sheetName val="LV-MOTOR"/>
      <sheetName val="단면치수"/>
      <sheetName val="factor"/>
      <sheetName val="Exch_rates"/>
      <sheetName val="차액보증"/>
      <sheetName val="estimate"/>
      <sheetName val="차수"/>
      <sheetName val="입찰안"/>
      <sheetName val="FRT_O"/>
      <sheetName val="FAB_I"/>
      <sheetName val="확산동"/>
      <sheetName val="단가표"/>
      <sheetName val="F4-F7"/>
      <sheetName val="一発シート"/>
      <sheetName val="PROCESS"/>
      <sheetName val="DNW"/>
      <sheetName val="FAB별"/>
      <sheetName val="DI-ES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refreshError="1"/>
      <sheetData sheetId="103" refreshError="1"/>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AI"/>
      <sheetName val="B. Erec_BOQ(Filed)"/>
      <sheetName val="3.현장배치"/>
      <sheetName val="현장배치"/>
      <sheetName val="협조전"/>
    </sheetNames>
    <sheetDataSet>
      <sheetData sheetId="0" refreshError="1">
        <row r="2">
          <cell r="C2">
            <v>2.5110000000000001</v>
          </cell>
        </row>
        <row r="3">
          <cell r="C3">
            <v>1.126000071122474</v>
          </cell>
        </row>
      </sheetData>
      <sheetData sheetId="1" refreshError="1"/>
      <sheetData sheetId="2" refreshError="1"/>
      <sheetData sheetId="3" refreshError="1"/>
      <sheetData sheetId="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내역 (가)"/>
      <sheetName val="총괄표"/>
      <sheetName val="표지"/>
      <sheetName val="색인표"/>
      <sheetName val="목차"/>
      <sheetName val="공사개요"/>
      <sheetName val="공사물량"/>
      <sheetName val="투찰금액"/>
      <sheetName val="공사비 내역(나)"/>
      <sheetName val="공정표"/>
      <sheetName val="직원조직표"/>
      <sheetName val="SCHE-STF"/>
      <sheetName val="SCHE-LAB"/>
      <sheetName val="장비동원"/>
      <sheetName val="공사비 내역(가)"/>
      <sheetName val="MEC"/>
      <sheetName val="PIPING"/>
      <sheetName val="STR_STL"/>
      <sheetName val="EQUIP"/>
      <sheetName val="PA-INS-SPRO"/>
      <sheetName val="ORGAN"/>
      <sheetName val="간접비총괄"/>
      <sheetName val="간접비내역"/>
      <sheetName val="기공동원계획"/>
      <sheetName val="직원동원"/>
      <sheetName val="SEL-OFFICE"/>
      <sheetName val="간접인원"/>
      <sheetName val="MAN-SUMMARY"/>
      <sheetName val="장비비"/>
      <sheetName val="분개"/>
      <sheetName val="ACOM"/>
      <sheetName val="LAYOUT"/>
      <sheetName val="Name List"/>
      <sheetName val="Atten. Status (COMPANY)"/>
      <sheetName val="Atten. Status"/>
      <sheetName val="공사비 내역 _가_"/>
      <sheetName val="calcul"/>
      <sheetName val="Equipment"/>
      <sheetName val="PUMP"/>
      <sheetName val="h-013211-2"/>
      <sheetName val="Sheet2"/>
      <sheetName val="Sheet1"/>
      <sheetName val="공통비"/>
      <sheetName val="spc 배관견적"/>
      <sheetName val="sheet"/>
      <sheetName val="INSULATION"/>
      <sheetName val="Indirect Labour"/>
      <sheetName val="Site Staff"/>
      <sheetName val="Site Est "/>
      <sheetName val="Costing sheet"/>
      <sheetName val="Mat. Summ"/>
      <sheetName val="hot piping"/>
      <sheetName val="Cold piping "/>
      <sheetName val="Pers. Pro"/>
      <sheetName val="Lookup"/>
      <sheetName val="차액보증"/>
      <sheetName val="DESIGN"/>
      <sheetName val="OCT_FDN"/>
      <sheetName val="전기내역"/>
      <sheetName val="노무 단가"/>
      <sheetName val="factor"/>
      <sheetName val="DATA"/>
      <sheetName val="NEW-PANEL"/>
      <sheetName val="KP_List old RV"/>
      <sheetName val="ANALYSER"/>
      <sheetName val="eq_data"/>
      <sheetName val="dg-VTu"/>
      <sheetName val="Pump sh't"/>
      <sheetName val="Proposal"/>
      <sheetName val="OCT.FDN"/>
      <sheetName val="내역서"/>
      <sheetName val="공사비"/>
      <sheetName val="현금"/>
      <sheetName val="원가"/>
      <sheetName val="Tke"/>
      <sheetName val="회사99"/>
      <sheetName val="EXTERNAL(BOQ)"/>
      <sheetName val="ITB COST"/>
      <sheetName val="Break Down"/>
      <sheetName val="Main"/>
      <sheetName val="#REF"/>
      <sheetName val="노임단가"/>
      <sheetName val="BSD (2)"/>
      <sheetName val="CAT_5"/>
      <sheetName val="TOOLS"/>
      <sheetName val="TOEC"/>
      <sheetName val="RATES"/>
      <sheetName val="UG예산"/>
      <sheetName val="Y-WORK"/>
      <sheetName val="TIE-IN"/>
      <sheetName val="E_Rate PM"/>
      <sheetName val="ABUT수량-A1"/>
      <sheetName val="1"/>
      <sheetName val="A"/>
      <sheetName val="적용환율"/>
      <sheetName val="General Data"/>
      <sheetName val="일위대가표(DEEP)"/>
      <sheetName val="공사비예산서(토목분)"/>
      <sheetName val="간접비내역-1"/>
      <sheetName val="TOTAL"/>
      <sheetName val=" 견적서"/>
      <sheetName val="예산M12A"/>
      <sheetName val="BQ"/>
      <sheetName val="BOQ-Bill1-8"/>
      <sheetName val="PROG_DATA"/>
      <sheetName val="INSTR"/>
      <sheetName val="gyun"/>
      <sheetName val="정부노임단가"/>
      <sheetName val="Customer Databas"/>
      <sheetName val="내역(한신APT)"/>
      <sheetName val="물량"/>
      <sheetName val="cable-data"/>
      <sheetName val="kimre scrubber"/>
      <sheetName val="B"/>
      <sheetName val="단위세대"/>
      <sheetName val="일위대가(계측기설치)"/>
      <sheetName val="단가비교"/>
      <sheetName val="SG"/>
      <sheetName val="DCS"/>
      <sheetName val="CP-E2 (품셈표)"/>
      <sheetName val="기준"/>
      <sheetName val="Summary Sheets"/>
      <sheetName val="Wt of Mod."/>
      <sheetName val="Module Wt"/>
      <sheetName val="Build Up"/>
      <sheetName val="costing_ESDV"/>
      <sheetName val="costing_Misc"/>
      <sheetName val="costing_MOV"/>
      <sheetName val="costing_Press"/>
      <sheetName val="BLR 1"/>
      <sheetName val="GEN"/>
      <sheetName val="GAS"/>
      <sheetName val="DEAE"/>
      <sheetName val="BLR2"/>
      <sheetName val="BLR3"/>
      <sheetName val="BLR4"/>
      <sheetName val="BLR5"/>
      <sheetName val="DEM"/>
      <sheetName val="SAM"/>
      <sheetName val="CHEM"/>
      <sheetName val="COP"/>
      <sheetName val="Tank"/>
      <sheetName val="OIL SYST DATA SHTS"/>
      <sheetName val="EQUIP.XLS"/>
      <sheetName val="설계서"/>
      <sheetName val="Man Power &amp; Comp"/>
      <sheetName val="일위대가목차"/>
      <sheetName val="GREEN"/>
      <sheetName val="Hawiyah"/>
      <sheetName val="Hawiyah 하청"/>
      <sheetName val="HDEC 1027"/>
      <sheetName val="Juaymah"/>
      <sheetName val="SIPC"/>
      <sheetName val="11.17~20"/>
      <sheetName val="WORK"/>
      <sheetName val="ITEM"/>
      <sheetName val="간접비(1)"/>
      <sheetName val="V-VESSEL (WITH DEMISTER)"/>
      <sheetName val="산#2-1 (2)"/>
      <sheetName val="WEIGHT LIST"/>
      <sheetName val="DNW"/>
      <sheetName val="FRT_O"/>
      <sheetName val="작성기준"/>
      <sheetName val="Sum"/>
      <sheetName val="비정기tel"/>
      <sheetName val="INPUT DATA"/>
      <sheetName val="설계조건"/>
      <sheetName val="단면검토"/>
      <sheetName val="내역서(총)"/>
      <sheetName val="design criteria"/>
      <sheetName val="working load at the btm ft."/>
      <sheetName val="plan&amp;section of foundation"/>
      <sheetName val="간접비 총괄표"/>
      <sheetName val="수입"/>
      <sheetName val="CAL"/>
      <sheetName val="UR2-Calculation"/>
      <sheetName val="분석"/>
      <sheetName val="as boq list up"/>
      <sheetName val="Compare-1"/>
      <sheetName val="calculation-1"/>
      <sheetName val="PRO_A"/>
      <sheetName val="PRO"/>
      <sheetName val="LEGEND"/>
      <sheetName val="AILC004"/>
      <sheetName val="合成単価作成表-BLDG"/>
      <sheetName val="Option"/>
      <sheetName val="유화"/>
      <sheetName val="표지 (2)"/>
      <sheetName val="inter"/>
      <sheetName val="NAME"/>
      <sheetName val="NEWDRAW"/>
      <sheetName val="GEN PROG"/>
      <sheetName val="REG-BASIS"/>
      <sheetName val="TENDER PROG."/>
      <sheetName val="DET.ENGG.PROG"/>
      <sheetName val="LV data"/>
      <sheetName val="cctv"/>
      <sheetName val="공사내역"/>
      <sheetName val="입찰안"/>
      <sheetName val="말뚝지지력산정"/>
      <sheetName val="사원명부"/>
      <sheetName val="급여등록"/>
      <sheetName val="RFP005"/>
      <sheetName val="RFP007"/>
      <sheetName val="RFP006"/>
      <sheetName val="RFP009"/>
      <sheetName val="2.설계제원"/>
      <sheetName val="Code"/>
      <sheetName val="EXCHANGER_BEAM2"/>
      <sheetName val="EXCHANGER_BEAM1"/>
      <sheetName val="EXCHANGER_COM"/>
      <sheetName val="EXCHANGER"/>
      <sheetName val="data 원본"/>
      <sheetName val="판매"/>
      <sheetName val="member design"/>
      <sheetName val="soil bearing check"/>
      <sheetName val="SPT vs PHI"/>
      <sheetName val="DIV 2"/>
      <sheetName val="6.Base"/>
      <sheetName val="VV보온LINK"/>
      <sheetName val="FIT보온LINK"/>
      <sheetName val="안정계산"/>
      <sheetName val="HVAC"/>
      <sheetName val="EQT-ESTN"/>
      <sheetName val="SILICATE"/>
      <sheetName val="도급양식"/>
      <sheetName val="HRB"/>
      <sheetName val="Curves"/>
      <sheetName val="steel-gr"/>
      <sheetName val="N+"/>
      <sheetName val="데이타"/>
      <sheetName val="접속슬래브"/>
      <sheetName val="현장"/>
      <sheetName val="출자한도"/>
      <sheetName val="산근"/>
      <sheetName val="현장관리비"/>
      <sheetName val="DTmpData"/>
      <sheetName val="101동"/>
      <sheetName val="Project Indirect (SITE)"/>
      <sheetName val="FRP내역서"/>
      <sheetName val="Coversheet "/>
      <sheetName val="XZLC004_PART2"/>
      <sheetName val="XZLC003_PART1"/>
      <sheetName val="당초"/>
      <sheetName val="OD"/>
      <sheetName val="Elect (3)"/>
      <sheetName val="??? ?? (?)"/>
      <sheetName val="full (2)"/>
      <sheetName val="정산입력"/>
      <sheetName val="을"/>
      <sheetName val="전기일위대가"/>
      <sheetName val="VS배관내역서"/>
      <sheetName val="item sort no"/>
      <sheetName val="spec"/>
      <sheetName val="단가표"/>
      <sheetName val="BID"/>
      <sheetName val="jobhist"/>
      <sheetName val="인원현황"/>
      <sheetName val="DATE"/>
      <sheetName val="소일위대가코드표"/>
      <sheetName val="FIT Small"/>
      <sheetName val="WeightTable"/>
      <sheetName val="本体取纏"/>
      <sheetName val="단가비교(TOTAL)"/>
      <sheetName val="FANDBS"/>
      <sheetName val="GRDATA"/>
      <sheetName val="SHAFTDBSE"/>
      <sheetName val="FAB"/>
      <sheetName val="현장지지물물량"/>
      <sheetName val="내역"/>
      <sheetName val="BM"/>
      <sheetName val="Calc"/>
      <sheetName val="주관사업"/>
      <sheetName val="동해title"/>
      <sheetName val="FAB별"/>
      <sheetName val="계장일위대가 "/>
      <sheetName val="견적"/>
      <sheetName val="단가"/>
      <sheetName val="날개벽"/>
      <sheetName val="HORI. VESSEL"/>
      <sheetName val="집계표(OPTION)"/>
      <sheetName val="도"/>
      <sheetName val="type-F"/>
      <sheetName val="look-up"/>
      <sheetName val="Area Lookup"/>
      <sheetName val="7.5.2 BOQ Summary "/>
      <sheetName val="DB@Acess"/>
      <sheetName val="Civil"/>
      <sheetName val="direct"/>
      <sheetName val="wage"/>
      <sheetName val="TYPE-A"/>
      <sheetName val="input"/>
      <sheetName val="수량산출"/>
      <sheetName val="pipe"/>
      <sheetName val="Database"/>
      <sheetName val="SUMMARY"/>
      <sheetName val="Emp_Data"/>
      <sheetName val="REDUCER"/>
      <sheetName val="WE'T"/>
      <sheetName val="Labor Rate"/>
      <sheetName val="footing"/>
      <sheetName val="DIAMOND"/>
      <sheetName val="PipWT"/>
      <sheetName val="List - Components"/>
      <sheetName val="List - Equipment"/>
      <sheetName val="表三"/>
      <sheetName val="参数表"/>
      <sheetName val="RFP003D"/>
      <sheetName val="Utlity"/>
      <sheetName val="gd_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계획"/>
      <sheetName val="EXTERNAL(BOQ)"/>
      <sheetName val="3.현장배치"/>
      <sheetName val="DESCRIPTION"/>
      <sheetName val="Breakdown sum"/>
      <sheetName val="PANTAI"/>
      <sheetName val="총괄"/>
      <sheetName val="Sheet1"/>
      <sheetName val="Sheet2"/>
      <sheetName val="Sheet3"/>
      <sheetName val="#REF"/>
      <sheetName val="Eq. Mobilization"/>
      <sheetName val="사업부배부A"/>
      <sheetName val="손익차9월2"/>
      <sheetName val="as boq list up"/>
    </sheetNames>
    <sheetDataSet>
      <sheetData sheetId="0"/>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접비(1)"/>
      <sheetName val="eq_data"/>
      <sheetName val="사업계획"/>
      <sheetName val="xxxxxx"/>
      <sheetName val="간접비총괄"/>
      <sheetName val="간접비내역서"/>
      <sheetName val="환율"/>
      <sheetName val="간접비변동(Rev.1)"/>
      <sheetName val="간접비 비교표"/>
      <sheetName val="EXTERNAL(BOQ)"/>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소화실적"/>
      <sheetName val="as boq list up"/>
      <sheetName val="기초공"/>
      <sheetName val="기둥(원형)"/>
      <sheetName val="BRICK"/>
      <sheetName val="회사99"/>
      <sheetName val="집계표"/>
      <sheetName val="RENUN"/>
      <sheetName val="유림골조"/>
      <sheetName val="Eq. Mobilization"/>
      <sheetName val="15 문제점"/>
      <sheetName val="97 사업추정(WEKI)"/>
      <sheetName val="간접비Z"/>
      <sheetName val="#REF"/>
      <sheetName val="A"/>
      <sheetName val="주관사업"/>
      <sheetName val="일위대가목차"/>
      <sheetName val="납부내역"/>
      <sheetName val="h-013211-2"/>
      <sheetName val="Unit 49_분개표"/>
      <sheetName val="Unit 76_분개표"/>
      <sheetName val="UnitList"/>
      <sheetName val="ANALYSER"/>
      <sheetName val="RFP007"/>
      <sheetName val="INPUT DATA"/>
      <sheetName val="CIVIL WORK"/>
      <sheetName val="Sheet1"/>
      <sheetName val="96.12"/>
      <sheetName val="직원동원계획"/>
      <sheetName val="공사비 내역 (가)"/>
      <sheetName val="기준"/>
      <sheetName val="조직"/>
      <sheetName val="동원"/>
      <sheetName val="급료"/>
      <sheetName val="인건비"/>
      <sheetName val="본부소개"/>
      <sheetName val="상반기손익차2총괄"/>
      <sheetName val="direct"/>
      <sheetName val="GeneralNote"/>
      <sheetName val="기별수량산출서"/>
      <sheetName val="현금"/>
      <sheetName val="INSTR"/>
      <sheetName val="»ç¾÷°èÈ¹"/>
      <sheetName val="설계조건"/>
      <sheetName val="안정계산"/>
      <sheetName val="단면검토"/>
      <sheetName val="손익차9월2"/>
      <sheetName val="RCF CLAIMED"/>
    </sheetNames>
    <sheetDataSet>
      <sheetData sheetId="0" refreshError="1">
        <row r="13">
          <cell r="AE13">
            <v>765</v>
          </cell>
        </row>
        <row r="41">
          <cell r="AD41">
            <v>47</v>
          </cell>
          <cell r="AE41">
            <v>43</v>
          </cell>
          <cell r="AF41">
            <v>742</v>
          </cell>
        </row>
        <row r="54">
          <cell r="AE54">
            <v>53</v>
          </cell>
          <cell r="AF54">
            <v>742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HDECGTY-HO"/>
      <sheetName val="HDECGTY"/>
      <sheetName val="간접비(1)"/>
      <sheetName val="97년 SEACO예산"/>
      <sheetName val="Breakdown sum"/>
      <sheetName val="사업계획"/>
      <sheetName val="공사비 내역 (가)"/>
      <sheetName val="기준"/>
      <sheetName val="EXTERNAL(BOQ)"/>
      <sheetName val="차수"/>
      <sheetName val="M1"/>
    </sheetNames>
    <sheetDataSet>
      <sheetData sheetId="0" refreshError="1"/>
      <sheetData sheetId="1" refreshError="1"/>
      <sheetData sheetId="2" refreshError="1">
        <row r="9">
          <cell r="A9">
            <v>134</v>
          </cell>
          <cell r="B9" t="str">
            <v>KLRT</v>
          </cell>
          <cell r="C9" t="str">
            <v>PUTRA</v>
          </cell>
          <cell r="D9" t="str">
            <v>P</v>
          </cell>
          <cell r="E9" t="str">
            <v>HBMB.KL</v>
          </cell>
          <cell r="F9">
            <v>950302</v>
          </cell>
          <cell r="G9">
            <v>13943068</v>
          </cell>
          <cell r="J9" t="str">
            <v>0.36%PA</v>
          </cell>
          <cell r="K9">
            <v>980831</v>
          </cell>
          <cell r="L9">
            <v>990301</v>
          </cell>
          <cell r="N9" t="str">
            <v xml:space="preserve"> </v>
          </cell>
          <cell r="O9" t="str">
            <v>KLH950349</v>
          </cell>
        </row>
        <row r="10">
          <cell r="A10">
            <v>149</v>
          </cell>
          <cell r="B10" t="str">
            <v>M272</v>
          </cell>
          <cell r="C10" t="str">
            <v>TNB</v>
          </cell>
          <cell r="D10" t="str">
            <v>P</v>
          </cell>
          <cell r="E10" t="str">
            <v>HBMB.KL</v>
          </cell>
          <cell r="F10">
            <v>950630</v>
          </cell>
          <cell r="G10">
            <v>8073667.8399999999</v>
          </cell>
          <cell r="J10" t="str">
            <v>0.48%PA</v>
          </cell>
          <cell r="K10">
            <v>981026</v>
          </cell>
          <cell r="O10" t="str">
            <v>KLH951140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접총괄"/>
      <sheetName val="가설공통"/>
      <sheetName val="경상비"/>
      <sheetName val="현장조직"/>
      <sheetName val="설직원계획rev"/>
      <sheetName val="직원동원계획rev"/>
      <sheetName val="직접기공"/>
      <sheetName val="간접동원"/>
      <sheetName val="직원급료기준NEW(본사)"/>
      <sheetName val="직원급료NEW(현장)"/>
      <sheetName val="1-4)비품"/>
      <sheetName val="2-6-2)창고관리"/>
      <sheetName val="3)가설수전"/>
      <sheetName val="3-3)가설전기전화설치비"/>
      <sheetName val="5-9,10,11)건강보험, 국민연금 고용보험"/>
      <sheetName val="7)수수료"/>
      <sheetName val="가설인원(X)"/>
      <sheetName val="4-C-6)차량동원계획"/>
      <sheetName val="11)임금인상"/>
      <sheetName val="차량비내역"/>
      <sheetName val="유대비내역"/>
      <sheetName val="2-5)중기공장"/>
      <sheetName val="#REF"/>
      <sheetName val="환율"/>
    </sheetNames>
    <sheetDataSet>
      <sheetData sheetId="0" refreshError="1">
        <row r="42">
          <cell r="D42">
            <v>16931000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SBL (검증)"/>
      <sheetName val="OSBL (검증)"/>
      <sheetName val="OPTION(ISBL) (검증)"/>
      <sheetName val="OPTION(OSBL) (검증)"/>
      <sheetName val="ISBL"/>
      <sheetName val="OSBL"/>
      <sheetName val="OPTION"/>
      <sheetName val="OPTION(ISBL)"/>
      <sheetName val="OPTION(OSBL)"/>
      <sheetName val="7.3.2.A"/>
      <sheetName val="7.3.2.D"/>
      <sheetName val="7.3.3"/>
      <sheetName val="7.3.2.E"/>
      <sheetName val="7.3.3.BOQ"/>
      <sheetName val="7.3.2.B"/>
      <sheetName val="7.3.2.C"/>
      <sheetName val="7.3.3 option"/>
      <sheetName val="7.3.3 option(ISBL)"/>
      <sheetName val="7.3.3 option(OSBL)"/>
      <sheetName val="Testing"/>
      <sheetName val="INDIRECT MOBILIZATION PLAN"/>
      <sheetName val="MANPOWER MOBILIZATION"/>
      <sheetName val="LABOR MOBILIZATION PLAN"/>
      <sheetName val="STAFF MOBILIZATION PLAN"/>
      <sheetName val="BREAKDOWN"/>
      <sheetName val="PERSONNEL SETUP"/>
      <sheetName val="KOREAN STAFF SALARY - SITE"/>
      <sheetName val="TEMPORARY FACILITIES"/>
      <sheetName val="WATER SUPPLY"/>
      <sheetName val="LIST OF OFFICE EQUIPMENT"/>
      <sheetName val="정부노임단가"/>
      <sheetName val="OCT.FDN"/>
      <sheetName val="HORI. VESSEL"/>
      <sheetName val="TABLE2-2 OSBL(total)"/>
      <sheetName val="Table1"/>
      <sheetName val="SE-611"/>
      <sheetName val="공사비 내역 (가)"/>
    </sheetNames>
    <sheetDataSet>
      <sheetData sheetId="0">
        <row r="7">
          <cell r="F7" t="str">
            <v>(5)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A-4"/>
      <sheetName val="영업2"/>
      <sheetName val="전기일위대가"/>
      <sheetName val="ITEM"/>
      <sheetName val="장비당단가 (1)"/>
      <sheetName val="을"/>
      <sheetName val="오산갈곳"/>
      <sheetName val="99-04-19-서울대관련(수정중)"/>
      <sheetName val="ilch"/>
      <sheetName val="단가"/>
      <sheetName val="시설물일위"/>
      <sheetName val="TEL"/>
      <sheetName val="연수동"/>
      <sheetName val="ABUT수량-A1"/>
      <sheetName val="Y-WORK"/>
      <sheetName val="토공사"/>
      <sheetName val="WORK"/>
      <sheetName val="산업개발안내서"/>
      <sheetName val="Sheet4"/>
      <sheetName val="Sheet1"/>
      <sheetName val="INST_DCI"/>
      <sheetName val="HVAC_DCI"/>
      <sheetName val="PIPE_DCI"/>
      <sheetName val="PRO_DCI"/>
      <sheetName val="실행내역"/>
      <sheetName val="BQ"/>
      <sheetName val="Sheet5"/>
      <sheetName val="BSD (2)"/>
      <sheetName val="투찰"/>
      <sheetName val="c_balju"/>
      <sheetName val="환율"/>
      <sheetName val="P.M 별"/>
      <sheetName val="1월"/>
      <sheetName val="VXXXXXXX"/>
      <sheetName val="건축내역"/>
      <sheetName val="도급"/>
      <sheetName val="공통부대비"/>
      <sheetName val="전기공사"/>
      <sheetName val="20관리비율"/>
      <sheetName val="공통가설공사"/>
      <sheetName val="토목내역"/>
      <sheetName val="경비2내역"/>
      <sheetName val="공사비 내역 (가)"/>
      <sheetName val="DATA1"/>
      <sheetName val="내역서(총)"/>
      <sheetName val="CONCRETE"/>
      <sheetName val="일반공사"/>
      <sheetName val="차액보증"/>
      <sheetName val="3련 BOX"/>
      <sheetName val="맨홀수량집계"/>
      <sheetName val="단면(RW1)"/>
      <sheetName val="TYPE-A"/>
      <sheetName val="가시설수량"/>
      <sheetName val="단위수량"/>
      <sheetName val="부대내역"/>
      <sheetName val="일위대가목록"/>
      <sheetName val="MOTOR"/>
      <sheetName val="J直材4"/>
      <sheetName val="교각1"/>
      <sheetName val="BQ-Offsite"/>
      <sheetName val="Cover"/>
      <sheetName val="BQLIST"/>
      <sheetName val="설산1.나"/>
      <sheetName val="본사S"/>
      <sheetName val="TABLE2-1 ISBL-(SlTE PREP)"/>
      <sheetName val="TABLE2.1 ISBL (Soil Invest)"/>
      <sheetName val="TABLE2-2 OSBL(GENERAL-CIVIL)"/>
      <sheetName val="Testing"/>
      <sheetName val="집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기별(종합)"/>
      <sheetName val="DATA(BAC)"/>
      <sheetName val="세부내역"/>
      <sheetName val="TOTAL"/>
      <sheetName val="7.5.2 BOQ Summary "/>
      <sheetName val="BSD _2_"/>
      <sheetName val="내역서"/>
      <sheetName val="내역1"/>
      <sheetName val="3BL공동구 수량"/>
      <sheetName val="EUPDAT2"/>
      <sheetName val="장비집계"/>
      <sheetName val="SLAB"/>
      <sheetName val="건축원가계산서"/>
      <sheetName val="입찰안"/>
      <sheetName val="일위대가표(DEEP)"/>
      <sheetName val="토&amp;흙"/>
      <sheetName val="2F 회의실견적(5_14 일대)"/>
      <sheetName val="보합"/>
      <sheetName val="일위대가목차"/>
      <sheetName val="TABLE"/>
      <sheetName val="물량산출근거"/>
      <sheetName val="공사원가계산서"/>
      <sheetName val="계산근거"/>
      <sheetName val="D-3503"/>
      <sheetName val="Site Expenses"/>
      <sheetName val="을지"/>
      <sheetName val="일위대가목록(1)"/>
      <sheetName val="단가대비표(1)"/>
      <sheetName val="list price"/>
      <sheetName val="聒CD-STRAND PILE 압입및굴착"/>
      <sheetName val="원형맨홀수량"/>
      <sheetName val="갑지(추정)"/>
      <sheetName val="ELECTRIC"/>
      <sheetName val="CTEMCOST"/>
      <sheetName val="SCHEDULE"/>
      <sheetName val="대비"/>
      <sheetName val="단가대비표"/>
      <sheetName val="Bdown_ISBL"/>
      <sheetName val="감가상각"/>
      <sheetName val="ISBL (검증)"/>
      <sheetName val="General Data"/>
      <sheetName val="분류기준"/>
      <sheetName val="INSTR"/>
      <sheetName val="산거각호표"/>
      <sheetName val="Harga material "/>
      <sheetName val="IPL_SCHEDULE"/>
      <sheetName val="TABLE2-2 OSBL-(SITE PREP)"/>
      <sheetName val="CONTENTS"/>
      <sheetName val="BM"/>
      <sheetName val="설계조건"/>
      <sheetName val="안정계산"/>
      <sheetName val="단면검토"/>
      <sheetName val="INPUT"/>
      <sheetName val="단면가정"/>
      <sheetName val="IMP(MAIN)"/>
      <sheetName val="IMP (REACTOR)"/>
      <sheetName val="공사비산출내역"/>
      <sheetName val="가시설단위수량"/>
      <sheetName val="청산공사"/>
      <sheetName val="L형옹벽(key)"/>
      <sheetName val="96수출"/>
      <sheetName val="수량산출서"/>
      <sheetName val="사업계획"/>
      <sheetName val="BOQ0822"/>
      <sheetName val="Base_Data"/>
      <sheetName val="예산서"/>
      <sheetName val="lookup"/>
      <sheetName val="공사비PK5월"/>
      <sheetName val="BD集計用"/>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AH-1 "/>
      <sheetName val="ISBL"/>
      <sheetName val="OSBL"/>
      <sheetName val="TABLE2-1 ISBL(GENEAL-CIVIL)"/>
      <sheetName val="PUMP"/>
      <sheetName val="gyun"/>
      <sheetName val="Customer Databas"/>
      <sheetName val="내역서 "/>
      <sheetName val="기계내역"/>
      <sheetName val=" 견적서"/>
      <sheetName val="RING WALL"/>
      <sheetName val="물량표"/>
      <sheetName val="단위중량"/>
      <sheetName val="원가"/>
      <sheetName val="Dae_Jiju"/>
      <sheetName val="Sikje_ingun"/>
      <sheetName val="TREE_D"/>
      <sheetName val="인건비"/>
      <sheetName val="금액집계"/>
      <sheetName val="투자효율분석"/>
      <sheetName val="설계명세서"/>
      <sheetName val="DATA_BAC_"/>
      <sheetName val="일위대가"/>
      <sheetName val="환률"/>
      <sheetName val="HRSG SMALL07220"/>
      <sheetName val="배수관공"/>
      <sheetName val="wblff(before omi pc&amp;stump)"/>
      <sheetName val=" "/>
      <sheetName val="밸브설치"/>
      <sheetName val="Proposal"/>
      <sheetName val="조경"/>
      <sheetName val="Indirect Cost"/>
      <sheetName val="unit"/>
      <sheetName val="노원열병합  건축공사기성내역서"/>
      <sheetName val="식재품셈"/>
      <sheetName val="단가표 "/>
      <sheetName val="전신환매도율"/>
      <sheetName val="양식"/>
      <sheetName val="단중표"/>
      <sheetName val="cable"/>
      <sheetName val="수량산출"/>
      <sheetName val="SE-611"/>
      <sheetName val="내역"/>
      <sheetName val="Y_WORK"/>
      <sheetName val="방송노임"/>
      <sheetName val="CALCULATION"/>
      <sheetName val="DESIGN_CRETERIA"/>
      <sheetName val="대치판정"/>
      <sheetName val="준검 내역서"/>
      <sheetName val="플랜트 설치"/>
      <sheetName val="dg"/>
      <sheetName val="1"/>
      <sheetName val="남양시작동자105노65기1.3화1.2"/>
      <sheetName val="DATA"/>
      <sheetName val="말뚝물량"/>
      <sheetName val="방배동내역(리라)"/>
      <sheetName val="연습"/>
      <sheetName val="FAB별"/>
      <sheetName val="차량구입"/>
      <sheetName val="별표 "/>
      <sheetName val="Macro1"/>
      <sheetName val="실행예산"/>
      <sheetName val="현황산출서"/>
      <sheetName val="영동(D)"/>
      <sheetName val="우각부보강"/>
      <sheetName val="7내역"/>
      <sheetName val="sum1 (2)"/>
      <sheetName val="FRT_O"/>
      <sheetName val="FAB_I"/>
      <sheetName val="토목"/>
      <sheetName val="P_M_별"/>
      <sheetName val="3련_BOX"/>
      <sheetName val="EACT10"/>
      <sheetName val="도급양식"/>
      <sheetName val="Projekt4"/>
      <sheetName val="3F"/>
      <sheetName val="UOP 508 PG 5-12"/>
      <sheetName val="총괄표"/>
      <sheetName val="변화치수"/>
      <sheetName val="direct"/>
      <sheetName val="wage"/>
      <sheetName val="소비자가"/>
      <sheetName val="날개벽"/>
      <sheetName val="full (2)"/>
      <sheetName val="금액"/>
      <sheetName val="개산공사비"/>
      <sheetName val="06-BATCH "/>
      <sheetName val="WAGE RATE BACK-UP DATA"/>
      <sheetName val="COVERSHEET PAGE"/>
      <sheetName val="날개벽(좌,우=45도,75도)"/>
      <sheetName val="eq_data"/>
      <sheetName val="KP1590_E"/>
      <sheetName val="말뚝지지력산정"/>
      <sheetName val="RAHMEN"/>
      <sheetName val="예산"/>
      <sheetName val="공문"/>
      <sheetName val="단가표"/>
      <sheetName val="자료(통합)"/>
      <sheetName val="대상공사(조달청)"/>
      <sheetName val="SG"/>
      <sheetName val="직접인건비"/>
      <sheetName val="가도공"/>
      <sheetName val="신규단가내역"/>
      <sheetName val="화산경계"/>
      <sheetName val="BID9697"/>
      <sheetName val="교통시설 표지판"/>
      <sheetName val="PipWT"/>
      <sheetName val="I.설계조건"/>
      <sheetName val="1.설계기준"/>
      <sheetName val="COPING"/>
      <sheetName val="DOGI"/>
      <sheetName val="가공비"/>
      <sheetName val="노임단가"/>
      <sheetName val="품셈표"/>
      <sheetName val="TABLE2-1 ISBL(HDEC단가)"/>
      <sheetName val="TABLE2-2 OSBL(HDEC단가)"/>
      <sheetName val="TTL"/>
      <sheetName val="토공(완충)"/>
      <sheetName val="BID"/>
      <sheetName val="예산M12A"/>
      <sheetName val="적용환율"/>
      <sheetName val="PumpSpec"/>
      <sheetName val="유화"/>
      <sheetName val="DESIGN CRITERIA"/>
      <sheetName val="h-013211-2"/>
      <sheetName val="견적의뢰"/>
      <sheetName val="CAT_5"/>
      <sheetName val="현장"/>
      <sheetName val="TT35"/>
      <sheetName val="TTTram"/>
      <sheetName val="(C)원내역"/>
      <sheetName val="공통가설"/>
      <sheetName val="GRDBS"/>
      <sheetName val="옹벽"/>
      <sheetName val="토공계산서(부체도로)"/>
      <sheetName val="설계서"/>
      <sheetName val="1을"/>
      <sheetName val="산출근거"/>
      <sheetName val="plan&amp;section of foundation"/>
      <sheetName val="SL dau tien"/>
      <sheetName val="Basic"/>
      <sheetName val="본지점중"/>
      <sheetName val="갑지"/>
      <sheetName val="RFP002"/>
      <sheetName val="건내용"/>
      <sheetName val="Sheet2"/>
      <sheetName val="중기사용료"/>
      <sheetName val="8"/>
      <sheetName val="10"/>
      <sheetName val="12"/>
      <sheetName val="9"/>
      <sheetName val="11"/>
      <sheetName val="산근"/>
      <sheetName val="가시설(TYPE-A)"/>
      <sheetName val="1-1평균터파기고(1)"/>
      <sheetName val="Sheet13"/>
      <sheetName val="발전기"/>
      <sheetName val="#REF"/>
      <sheetName val="Sheet14"/>
      <sheetName val="공사개요"/>
      <sheetName val="N賃率-職"/>
      <sheetName val="관람석제출"/>
      <sheetName val="SRC-B3U2"/>
      <sheetName val="자재단가비교표"/>
      <sheetName val="부대대비"/>
      <sheetName val="냉연집계"/>
      <sheetName val="신우"/>
      <sheetName val="kimre scrubber"/>
      <sheetName val="단가대비"/>
      <sheetName val="CODE"/>
      <sheetName val="2000년1차"/>
      <sheetName val="시멘트"/>
      <sheetName val="01"/>
      <sheetName val="오억미만"/>
      <sheetName val="실행"/>
      <sheetName val="설계명세서(선로)"/>
      <sheetName val="본장"/>
      <sheetName val="원가계산서"/>
      <sheetName val="직노"/>
      <sheetName val="비교표"/>
      <sheetName val="wall"/>
      <sheetName val="공사입력"/>
      <sheetName val="터파기및재료"/>
      <sheetName val="품셈TABLE"/>
      <sheetName val="부하(성남)"/>
      <sheetName val="자재"/>
      <sheetName val="전체"/>
      <sheetName val="간선계산"/>
      <sheetName val="SALES&amp;COGS"/>
      <sheetName val="2.내역서"/>
      <sheetName val="단가비교표"/>
      <sheetName val="DRAIN DRUM PIT D-301"/>
      <sheetName val="통신집계표1"/>
      <sheetName val="b_balju_cho"/>
      <sheetName val="06_BATCH "/>
      <sheetName val="DATE"/>
      <sheetName val="개요"/>
      <sheetName val="BOM-Form A.1.III"/>
      <sheetName val="자재집계표"/>
      <sheetName val="부재력정리"/>
      <sheetName val="단가조사표"/>
      <sheetName val="1호맨홀가감수량"/>
      <sheetName val="1호맨홀수량산출"/>
      <sheetName val="SORCE1"/>
      <sheetName val="국별인원"/>
      <sheetName val="회사99"/>
      <sheetName val="토사(PE)"/>
      <sheetName val="견적집계표"/>
      <sheetName val="system &amp; LOOK_UP_FUNC"/>
      <sheetName val="Sheet3 (2)"/>
      <sheetName val="보도경계블럭"/>
      <sheetName val="001"/>
      <sheetName val="C &amp; G RHS"/>
      <sheetName val="PROCURE"/>
      <sheetName val="inter"/>
      <sheetName val="계수시트"/>
      <sheetName val="DR(SUM)"/>
      <sheetName val="TL(SUM)"/>
      <sheetName val="목록"/>
      <sheetName val="중기"/>
      <sheetName val="Change rate"/>
      <sheetName val="I一般比"/>
      <sheetName val="MAT"/>
      <sheetName val="2075-Q011"/>
      <sheetName val="총내역서"/>
      <sheetName val="입찰견적보고서"/>
      <sheetName val="주경기-오배수"/>
      <sheetName val="업무처리전"/>
      <sheetName val="교각계산"/>
      <sheetName val="표지판현황"/>
      <sheetName val="손익분석"/>
      <sheetName val="지급자재"/>
      <sheetName val="일반맨홀수량집계"/>
      <sheetName val="FACTOR"/>
      <sheetName val="효성CB 1P기초"/>
      <sheetName val="수선비분석"/>
      <sheetName val="2F_회의실견적(5_14_일대)"/>
      <sheetName val="설계서을"/>
      <sheetName val="6월실적"/>
      <sheetName val="CAPVC"/>
      <sheetName val="갑지_추정_"/>
      <sheetName val="UR2-Calculation"/>
      <sheetName val="소방"/>
      <sheetName val="전사계"/>
      <sheetName val="8월현금흐름표"/>
      <sheetName val="인강기성"/>
      <sheetName val="2.설계제원"/>
      <sheetName val="시중노임DATA"/>
      <sheetName val="을 2"/>
      <sheetName val="정렬"/>
      <sheetName val="설변물량"/>
      <sheetName val="Inputs"/>
      <sheetName val="Timing&amp;Esc"/>
      <sheetName val="단가디비"/>
      <sheetName val="archi(본사)"/>
      <sheetName val="Studio"/>
      <sheetName val="1F"/>
      <sheetName val="Sheet1 (2)"/>
      <sheetName val="FRP내역서"/>
      <sheetName val="첨부파일"/>
      <sheetName val="기초공"/>
      <sheetName val="기둥(원형)"/>
      <sheetName val="Site_Expenses"/>
      <sheetName val="Customer_Databas"/>
      <sheetName val="공사비_내역_(가)"/>
      <sheetName val="3BL공동구_수량"/>
      <sheetName val="聒CD-STRAND_PILE_압입및굴착"/>
      <sheetName val="BSD__2_"/>
      <sheetName val="설산1_나"/>
      <sheetName val="IMP_(REACTOR)"/>
      <sheetName val="단면치수"/>
      <sheetName val="1.우편집중내역서"/>
      <sheetName val="90.03실행 "/>
      <sheetName val="BLOCK(1)"/>
      <sheetName val="XL4Poppy"/>
      <sheetName val="건축내역서"/>
      <sheetName val="FCU (2)"/>
      <sheetName val="조도계산서 (도서)"/>
      <sheetName val="CAL"/>
      <sheetName val="단가사정"/>
      <sheetName val="APT내역"/>
      <sheetName val="재무가정"/>
      <sheetName val="woo(mac)"/>
      <sheetName val="데이타"/>
      <sheetName val="산출근거목록"/>
      <sheetName val="일대목록"/>
      <sheetName val="1-1"/>
      <sheetName val="hvac(제어동)"/>
      <sheetName val="부대"/>
      <sheetName val="인건-측정"/>
      <sheetName val="여과지동"/>
      <sheetName val="기초자료"/>
      <sheetName val="시행예산"/>
      <sheetName val="I-O(번호별)"/>
      <sheetName val="NSMA-status"/>
      <sheetName val="일위대가표"/>
      <sheetName val="인부신상자료"/>
      <sheetName val="DS"/>
      <sheetName val="물량표S"/>
      <sheetName val="보차도경계석"/>
      <sheetName val="경비"/>
      <sheetName val="설계산출기초"/>
      <sheetName val="을부담운반비"/>
      <sheetName val="운반비산출"/>
      <sheetName val="설계산출표지"/>
      <sheetName val="도급예산내역서총괄표"/>
      <sheetName val="조명시설"/>
      <sheetName val="일위대가-1"/>
      <sheetName val="물가자료"/>
      <sheetName val="적용기준"/>
      <sheetName val="산출금액내역"/>
      <sheetName val="산출내역서집계표"/>
      <sheetName val="전압강하계산"/>
      <sheetName val="Mp-team 1"/>
      <sheetName val="전체실적"/>
      <sheetName val="Constant"/>
      <sheetName val=""/>
      <sheetName val="Requirement(Work Crew)"/>
      <sheetName val="계약서"/>
      <sheetName val="통합"/>
      <sheetName val="FANDBS"/>
      <sheetName val="GRDATA"/>
      <sheetName val="SHAFTDBSE"/>
      <sheetName val="연결임시"/>
      <sheetName val="검색"/>
      <sheetName val="실행품의서"/>
      <sheetName val="11.자재단가"/>
      <sheetName val="코드"/>
      <sheetName val="시설물기초"/>
      <sheetName val="1.설계조건"/>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TABLE2-2 OSBL(total)"/>
      <sheetName val="fitting"/>
      <sheetName val="MAIN"/>
      <sheetName val="PRO_A"/>
      <sheetName val="PRO"/>
      <sheetName val="Annex 3_Price Table_Piping Shop"/>
      <sheetName val="March"/>
      <sheetName val="간접총괄"/>
      <sheetName val="Cash2"/>
      <sheetName val="Z"/>
      <sheetName val="PRICE-COMP"/>
      <sheetName val="____(주)경원건축공사비분석표(공)1"/>
      <sheetName val="장비당단가_(1)1"/>
      <sheetName val="BSD_(2)1"/>
      <sheetName val="TABLE2-1_ISBL-(SlTE_PREP)"/>
      <sheetName val="TABLE2_1_ISBL_(Soil_Invest)"/>
      <sheetName val="TABLE2-2_OSBL(GENERAL-CIVIL)"/>
      <sheetName val="7_5_2_BOQ_Summary_"/>
      <sheetName val="GREEN"/>
      <sheetName val="Hawiyah"/>
      <sheetName val="Hawiyah_하청"/>
      <sheetName val="HDEC_1027"/>
      <sheetName val="Juaymah"/>
      <sheetName val="SIPC"/>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장비당단가_(1)2"/>
      <sheetName val="BSD_(2)2"/>
      <sheetName val="P_M_별1"/>
      <sheetName val="설산1_나1"/>
      <sheetName val="TABLE2-1_ISBL-(SlTE_PREP)1"/>
      <sheetName val="TABLE2_1_ISBL_(Soil_Invest)1"/>
      <sheetName val="TABLE2-2_OSBL(GENERAL-CIVIL)1"/>
      <sheetName val="공사비_내역_(가)1"/>
      <sheetName val="3련_BOX1"/>
      <sheetName val="Site_Expenses1"/>
      <sheetName val="7_5_2_BOQ_Summary_1"/>
      <sheetName val="2F_회의실견적(5_14_일대)1"/>
      <sheetName val="BSD__2_1"/>
      <sheetName val="3BL공동구_수량1"/>
      <sheetName val="PRICE COMP"/>
      <sheetName val="Recording,Phone,Headset,PC"/>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b_gunmul"/>
      <sheetName val="TEST1"/>
      <sheetName val="6호기"/>
      <sheetName val="원가계산"/>
      <sheetName val="재료집계"/>
      <sheetName val="자판실행"/>
      <sheetName val="퇴비산출근거"/>
      <sheetName val="송라터널총괄"/>
      <sheetName val="유림콘도"/>
      <sheetName val="일위_파일"/>
      <sheetName val="교통표지"/>
      <sheetName val="공사비예산서(토목분)"/>
      <sheetName val="강관 및 부속"/>
      <sheetName val="발신정보"/>
      <sheetName val="2002상반기노임기준"/>
      <sheetName val="월선수금"/>
      <sheetName val="효율계획(당월)"/>
      <sheetName val="난방열교"/>
      <sheetName val="급탕열교"/>
      <sheetName val="공사비내역서"/>
      <sheetName val="MATRLDATA"/>
      <sheetName val="4 LINE"/>
      <sheetName val="7 th"/>
      <sheetName val="CP-E2 (품셈표)"/>
      <sheetName val="프랜트면허"/>
      <sheetName val="식재인부"/>
      <sheetName val="기자재비"/>
      <sheetName val="재집"/>
      <sheetName val="직재"/>
      <sheetName val="견적내용입력"/>
      <sheetName val="견적서세부내용"/>
      <sheetName val="건축(충일분)"/>
      <sheetName val="danga"/>
      <sheetName val="인건비 "/>
      <sheetName val="일반수량집계"/>
      <sheetName val="Earthwork"/>
      <sheetName val="CAB_OD"/>
      <sheetName val="사용자정의"/>
      <sheetName val="제품표준규격"/>
      <sheetName val="일반맨홀수량집계(A-7 LINE)"/>
      <sheetName val="종합"/>
      <sheetName val="참조"/>
      <sheetName val="6동"/>
      <sheetName val="설 계"/>
      <sheetName val="예산내역서"/>
      <sheetName val="설계예산서"/>
      <sheetName val="총계"/>
      <sheetName val="영업소실적"/>
      <sheetName val="3희질산"/>
      <sheetName val="수량집계"/>
      <sheetName val="예방접종계획"/>
      <sheetName val="근태계획서"/>
      <sheetName val="음료실행"/>
      <sheetName val="배명(단가)"/>
      <sheetName val="분석"/>
      <sheetName val="ACCESS FLOOR"/>
      <sheetName val="토목주소"/>
      <sheetName val="갑지1"/>
      <sheetName val="견적을지"/>
      <sheetName val="EJ"/>
      <sheetName val="예산명세서"/>
      <sheetName val="원하대비"/>
      <sheetName val="원도급"/>
      <sheetName val="자료입력"/>
      <sheetName val="하도급"/>
      <sheetName val="Front"/>
      <sheetName val="현장관리비"/>
      <sheetName val="토공"/>
      <sheetName val="Administrative Prices"/>
      <sheetName val="HDECGTY"/>
      <sheetName val="NAI"/>
      <sheetName val="견적금액(2003.12.22)"/>
      <sheetName val="전기"/>
      <sheetName val="ETC"/>
      <sheetName val="수량산출서 갑지"/>
      <sheetName val="DIAPHRAGM"/>
      <sheetName val="일반설비내역서"/>
      <sheetName val="흄관기초"/>
      <sheetName val="공주-교대(A1)"/>
      <sheetName val="수량산출기초(케블등)"/>
      <sheetName val="기성집계"/>
      <sheetName val="단가산출서"/>
      <sheetName val="단가산출서 (2)"/>
      <sheetName val="주관사업"/>
      <sheetName val="요약배부"/>
      <sheetName val="HWSET"/>
      <sheetName val="비대칭계수"/>
      <sheetName val="전동기 SPEC"/>
      <sheetName val="S0"/>
      <sheetName val="특수선일위대가"/>
      <sheetName val="업무"/>
      <sheetName val="세부내역서(전기)"/>
      <sheetName val="IMPEADENCE MAP 취수장"/>
      <sheetName val="도급내역서"/>
      <sheetName val="목동세대 산출근거"/>
      <sheetName val="덕전리"/>
      <sheetName val="OCT.FDN"/>
      <sheetName val="현금"/>
      <sheetName val="동해title"/>
      <sheetName val="기계"/>
      <sheetName val="단면 (2)"/>
      <sheetName val="케이블및전선관규격표"/>
      <sheetName val="표지"/>
      <sheetName val="Assumptions"/>
      <sheetName val="CJE"/>
      <sheetName val="가설공사비"/>
      <sheetName val="도로구조공사비"/>
      <sheetName val="도로토공공사비"/>
      <sheetName val="여수토공사비"/>
      <sheetName val="Sheet3"/>
      <sheetName val="경산"/>
      <sheetName val="재1"/>
      <sheetName val="견적서"/>
      <sheetName val="순환펌프"/>
      <sheetName val="저수조"/>
      <sheetName val="급,배기팬"/>
      <sheetName val="급탕순환펌프"/>
      <sheetName val="과천MAIN"/>
      <sheetName val="단"/>
      <sheetName val="자재단가"/>
      <sheetName val="수입"/>
      <sheetName val="채권(하반기)"/>
      <sheetName val="SUMMARY(S)"/>
      <sheetName val="CAUDIT"/>
      <sheetName val="Data Vol"/>
      <sheetName val="type-F"/>
      <sheetName val="설직재-1"/>
      <sheetName val="토공(우물통,기타) "/>
      <sheetName val="cost"/>
      <sheetName val="2-3.V.D일위"/>
      <sheetName val="실행철강하도"/>
      <sheetName val="Baby일위대가"/>
      <sheetName val="견적대비표"/>
      <sheetName val="견적대비 견적서"/>
      <sheetName val="견"/>
      <sheetName val="하중계산"/>
      <sheetName val="4안전율"/>
      <sheetName val="기안"/>
      <sheetName val="1995년 섹터별 매출"/>
      <sheetName val="간접"/>
      <sheetName val="주방"/>
      <sheetName val="단가조사"/>
      <sheetName val="1.물가시세표"/>
      <sheetName val="12.부대공"/>
      <sheetName val="5.노임단가"/>
      <sheetName val="4.중기단가산출"/>
      <sheetName val="6.단가목록"/>
      <sheetName val="8.배수공"/>
      <sheetName val="인사자료총집계"/>
      <sheetName val="금융비용"/>
      <sheetName val="건축집계표"/>
      <sheetName val="NPV"/>
      <sheetName val="1. Design Change"/>
      <sheetName val="깨기"/>
      <sheetName val="협조전"/>
      <sheetName val="품목"/>
      <sheetName val="현장코드"/>
      <sheetName val="해외코드"/>
      <sheetName val="경비산출"/>
      <sheetName val="2.대외공문"/>
      <sheetName val="공사비집계"/>
      <sheetName val="잡비"/>
      <sheetName val="잡비계산서(총체2)"/>
      <sheetName val="Material"/>
      <sheetName val="물량"/>
      <sheetName val="SUM (INQNO."/>
      <sheetName val="Sheet15"/>
      <sheetName val="Areas"/>
      <sheetName val="(2)"/>
      <sheetName val="97 사업추정(WEKI)"/>
      <sheetName val="단위별 일위대가표"/>
      <sheetName val="몰탈재료산출"/>
      <sheetName val="AP1"/>
      <sheetName val="D040416"/>
      <sheetName val="건축2"/>
      <sheetName val="시험연구비상각"/>
      <sheetName val="A"/>
      <sheetName val="BOQ건축"/>
      <sheetName val="최초침전지집계표"/>
      <sheetName val="단가산출집계"/>
      <sheetName val="전선 및 전선관"/>
      <sheetName val="주공 갑지"/>
      <sheetName val="진주방향"/>
      <sheetName val="JUCK"/>
      <sheetName val="DS-최종"/>
      <sheetName val="SS"/>
      <sheetName val="기준자료"/>
      <sheetName val="금액내역서"/>
      <sheetName val="남양시작동자105노65기1_3화1_2"/>
      <sheetName val="_견적서"/>
      <sheetName val="list_price"/>
      <sheetName val="Indirect_Cost"/>
      <sheetName val="내역서_"/>
      <sheetName val="_"/>
      <sheetName val="HRSG_SMALL07220"/>
      <sheetName val="Sheet6"/>
      <sheetName val="지수"/>
      <sheetName val="골재산출"/>
      <sheetName val="시화점실행"/>
      <sheetName val="경제성분석"/>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聒CD-STRAND_PILE_압입및굴착1"/>
      <sheetName val="Customer_Databas1"/>
      <sheetName val="wblff(before_omi_pc&amp;stump)"/>
      <sheetName val="IMP_(REACTOR)1"/>
      <sheetName val="노원열병합__건축공사기성내역서"/>
      <sheetName val="별표_"/>
      <sheetName val="I_설계조건"/>
      <sheetName val="1_설계기준"/>
      <sheetName val="플랜트_설치"/>
      <sheetName val="단가표_"/>
      <sheetName val="06-BATCH_"/>
      <sheetName val="Harga_material_"/>
      <sheetName val="kimre_scrubber"/>
      <sheetName val="sum1_(2)"/>
      <sheetName val="AH-1_"/>
      <sheetName val="BOM-Form_A_1_III"/>
      <sheetName val="General_Data"/>
      <sheetName val="RING_WALL"/>
      <sheetName val="full_(2)"/>
      <sheetName val="06_BATCH_"/>
      <sheetName val="DRAIN_DRUM_PIT_D-301"/>
      <sheetName val="plan&amp;section_of_foundation"/>
      <sheetName val="TABLE2-1_ISBL(GENEAL-CIVIL)"/>
      <sheetName val="TABLE2-2_OSBL-(SITE_PREP)"/>
      <sheetName val="ISBL_(검증)"/>
      <sheetName val="교통시설_표지판"/>
      <sheetName val="SL_dau_tien"/>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준검_내역서"/>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Change_rate"/>
      <sheetName val="11_자재단가"/>
      <sheetName val="을_2"/>
      <sheetName val="FCU_(2)"/>
      <sheetName val="조도계산서_(도서)"/>
      <sheetName val="단가산출서_(2)"/>
      <sheetName val="목동세대_산출근거"/>
      <sheetName val="작업내역"/>
      <sheetName val="단가비교"/>
      <sheetName val="GCS 5F-19"/>
      <sheetName val="Grid &amp; A.M"/>
      <sheetName val="전 기"/>
      <sheetName val="수문보고"/>
      <sheetName val="CRUDE RE-bar"/>
      <sheetName val="현황"/>
      <sheetName val="조명투자및환수계획"/>
      <sheetName val="제조중간결과"/>
      <sheetName val="Lookup tables"/>
      <sheetName val="변경총괄지(1)"/>
      <sheetName val="LAND_HOYU"/>
      <sheetName val="LAND_YUKO"/>
      <sheetName val="가동비율"/>
      <sheetName val="H-PILE수량집계"/>
      <sheetName val="내부부하"/>
      <sheetName val="half slab-1"/>
      <sheetName val="가정단면"/>
      <sheetName val="예산M2"/>
      <sheetName val="cctv"/>
      <sheetName val="외자배분"/>
      <sheetName val="외자내역"/>
      <sheetName val="일위"/>
      <sheetName val="기타 정보통신공사"/>
      <sheetName val="방식총괄"/>
      <sheetName val="가설공사내역"/>
      <sheetName val="401"/>
      <sheetName val="CT "/>
      <sheetName val="현장관리비내역서"/>
      <sheetName val="품의서"/>
      <sheetName val="PAC"/>
      <sheetName val="PROJECT BRIEF(EX.NEW)"/>
      <sheetName val="ASTM C585"/>
      <sheetName val="INDIRECT COST-PART l"/>
      <sheetName val="EXPENSE"/>
      <sheetName val="원본"/>
      <sheetName val="재료비"/>
      <sheetName val="IMP_MAIN_"/>
      <sheetName val="IMP _REACTOR_"/>
      <sheetName val="ITEM CODE"/>
      <sheetName val="대가호표"/>
      <sheetName val="산재 안전"/>
      <sheetName val="노무비 경비"/>
      <sheetName val="Rates"/>
      <sheetName val="Rate_Tables"/>
      <sheetName val="Staff_Assignment"/>
      <sheetName val="견적"/>
      <sheetName val="NSMA-s㠨⑎蠀ᔁ"/>
      <sheetName val="NSMA-s㠨⪘ကᔁ"/>
      <sheetName val="cross beam"/>
      <sheetName val="사급자재"/>
      <sheetName val="2000.05"/>
      <sheetName val="C.배수관공"/>
      <sheetName val="설계내역서"/>
      <sheetName val="1.취수장"/>
      <sheetName val="입력DATA"/>
      <sheetName val="바닥판"/>
      <sheetName val="주빔의 설계"/>
      <sheetName val="한일양산"/>
      <sheetName val="보할최종(준공)only"/>
      <sheetName val="NSMA-sက_x0000_諱ԃ"/>
      <sheetName val="토공 갑지"/>
      <sheetName val="장비명"/>
      <sheetName val="입찰보고"/>
      <sheetName val="1.우편집중내_x0004__x0004_"/>
      <sheetName val="ЀԀȀȀЀᨀ"/>
      <sheetName val="in"/>
      <sheetName val="C-노임단가"/>
      <sheetName val="별표총괄"/>
      <sheetName val="______골조부_x0012__x0015__x0008__x0006__x0004_"/>
      <sheetName val="Ѐ_x0000__x0000__x0000_"/>
      <sheetName val="4)유동표"/>
      <sheetName val="Tender Summary"/>
      <sheetName val="b_balju (2)"/>
      <sheetName val="제경집계"/>
      <sheetName val="청제공기계일위대가"/>
      <sheetName val="NOMUBI"/>
      <sheetName val="sw1"/>
      <sheetName val="1.관로"/>
      <sheetName val="OCM"/>
      <sheetName val="REINF."/>
      <sheetName val="LOADS"/>
      <sheetName val="SKETCH"/>
      <sheetName val="CHECK1"/>
      <sheetName val="보도씀鈖ԯ_x0000_"/>
      <sheetName val="LIST OF OFFICE EQUI"/>
      <sheetName val="견적내역서"/>
      <sheetName val="일반부표"/>
      <sheetName val="FAND厰&amp;"/>
      <sheetName val="FAND咀,"/>
      <sheetName val="경비_원본"/>
      <sheetName val="노임"/>
      <sheetName val="FAND唨6"/>
      <sheetName val="FAND_x0010__x0000_"/>
      <sheetName val="납부서"/>
      <sheetName val="97생산제품"/>
      <sheetName val="단계별내역 (2)"/>
      <sheetName val="노무비"/>
      <sheetName val="지표"/>
      <sheetName val="소요자재"/>
      <sheetName val="정산내역서"/>
      <sheetName val="동원인원산출"/>
      <sheetName val="기계설비"/>
      <sheetName val="Code_INTools"/>
      <sheetName val="Default_Magics"/>
      <sheetName val="Code_Magics"/>
      <sheetName val="1단계"/>
      <sheetName val="적용률"/>
      <sheetName val="원가입력"/>
      <sheetName val="품셈"/>
      <sheetName val="바.한일양산"/>
      <sheetName val="CPM챠트 "/>
      <sheetName val="건축외주"/>
      <sheetName val="자  재"/>
      <sheetName val="조작대(1연)"/>
      <sheetName val="부대공집계표"/>
      <sheetName val="기본DATA"/>
      <sheetName val="총중목"/>
      <sheetName val="입찰품의"/>
      <sheetName val="적격점수(대DK)"/>
      <sheetName val="출력표"/>
      <sheetName val="PAINT"/>
      <sheetName val="SUMMARY"/>
      <sheetName val="NSMA-s〯â_x0000__x0000__x0000_"/>
      <sheetName val="약품공급2"/>
      <sheetName val="철거수량(전송)"/>
      <sheetName val="최초침-_x0000_ü_x0000_"/>
      <sheetName val="소업1교"/>
      <sheetName val="관로공표지"/>
      <sheetName val="97"/>
      <sheetName val="0226"/>
      <sheetName val="총괄내역서"/>
      <sheetName val="내역서(음성금왕)"/>
      <sheetName val="관급자재"/>
      <sheetName val="기본사항"/>
      <sheetName val="환산"/>
      <sheetName val="DESIGN(77C-102A)-2"/>
      <sheetName val="일위(PN)"/>
      <sheetName val="1）WELDING POINT"/>
      <sheetName val="대비표"/>
      <sheetName val="토공집계표"/>
      <sheetName val="EKOG10건축"/>
      <sheetName val="안정검토"/>
      <sheetName val="단면설계"/>
      <sheetName val="MATRLDATﺬ"/>
      <sheetName val="Area"/>
      <sheetName val="도급자재"/>
      <sheetName val="대운산출"/>
      <sheetName val="을-ATYPE"/>
      <sheetName val="간접비(1)"/>
      <sheetName val="본부장"/>
      <sheetName val="우배수"/>
      <sheetName val="직공비"/>
      <sheetName val="공사비명세서"/>
      <sheetName val="계산내역(설비)"/>
      <sheetName val="방음벽기초-수량"/>
      <sheetName val="부안일위"/>
      <sheetName val="20131008102524_1_002_BM내역서(설비)2"/>
      <sheetName val="Util&amp; Real"/>
      <sheetName val="내2"/>
      <sheetName val="재료-CODE"/>
      <sheetName val="내역_FILE"/>
      <sheetName val="9.2단가산출서"/>
      <sheetName val="손료"/>
      <sheetName val="기초1"/>
      <sheetName val="Sheet1(X)"/>
      <sheetName val="목차"/>
      <sheetName val="한전고리-을"/>
      <sheetName val="Change r嗠O嘬"/>
      <sheetName val="OD"/>
      <sheetName val="NSMA-sက"/>
      <sheetName val="______골ମ⿥_x0005__x0000__x0000__x0000_"/>
      <sheetName val="CPA33-34"/>
      <sheetName val="in1-3"/>
      <sheetName val="in2-2"/>
      <sheetName val="F5"/>
      <sheetName val="월별지출내역"/>
      <sheetName val="공사비지출기안"/>
      <sheetName val="산출내역서"/>
      <sheetName val="연동내역"/>
      <sheetName val="SILICATE"/>
      <sheetName val="9GNG운반"/>
      <sheetName val="FLANGE"/>
      <sheetName val="VALVE"/>
      <sheetName val="공사수행방안"/>
      <sheetName val="입찰BMTL"/>
      <sheetName val="형상"/>
      <sheetName val="중기일위대가"/>
      <sheetName val="요율"/>
      <sheetName val="KSC칸막이 일위대가"/>
      <sheetName val="표지 (2)"/>
      <sheetName val="기초대가"/>
      <sheetName val="건축"/>
      <sheetName val="발안전력구"/>
      <sheetName val="8.PILE  (돌출)"/>
      <sheetName val="총내역"/>
      <sheetName val="INDIRECT MOBILIZATION Pԟ_x0000_缀"/>
      <sheetName val="______골_x0000__x0000_旨_x0000__x0000__x0000_ㅫ"/>
      <sheetName val="변경내역서"/>
      <sheetName val="RCD-ST_x0015__x0000__x000a__x0000__x0014__x0000__x000e__x0000__x0012__x0000__x0015__x0000__x0004__x0000__x0004__x0000_"/>
      <sheetName val="_x0000__x0004__x0000__x0004_"/>
      <sheetName val="대로근거"/>
      <sheetName val="명세서"/>
      <sheetName val="부하계산서"/>
      <sheetName val="국공유지및사유지"/>
      <sheetName val="토공A"/>
      <sheetName val="Data_Vol"/>
      <sheetName val="전동기_SPEC"/>
      <sheetName val="토공(우물통,기타)_"/>
      <sheetName val="2-3_V_D일위"/>
      <sheetName val="화산肼᭭"/>
      <sheetName val="일용직내역"/>
      <sheetName val="부대공"/>
      <sheetName val="내역을"/>
      <sheetName val="을부︀ꏕԯ_x0000_"/>
      <sheetName val="일반수량집계표"/>
      <sheetName val="1608월"/>
      <sheetName val="공통비"/>
      <sheetName val="WO"/>
      <sheetName val="기별"/>
      <sheetName val="data2"/>
      <sheetName val="수리결과"/>
      <sheetName val="에너지동"/>
      <sheetName val="잡철물"/>
      <sheetName val="Form MF - 2"/>
      <sheetName val="Titel"/>
      <sheetName val="FWBS 9000"/>
      <sheetName val="최초침-"/>
      <sheetName val="______골ମ⿥_x0005_"/>
      <sheetName val="제품"/>
      <sheetName val="DPRKMHDT"/>
      <sheetName val="공사비"/>
      <sheetName val="간접비 총괄표"/>
      <sheetName val="품"/>
      <sheetName val="B"/>
      <sheetName val="01월TTL"/>
      <sheetName val="3.공통공사대비"/>
      <sheetName val="퍼스트"/>
      <sheetName val="SELTDATA"/>
      <sheetName val="98지급계획"/>
      <sheetName val="90.03혁⍧_x0000_"/>
      <sheetName val="Mp-t_x0000__x0000_쩈_x0000__x0000_"/>
      <sheetName val="Mp-t_x0000__x0000_䉨_x0000__x0000_"/>
      <sheetName val="결과조달"/>
      <sheetName val="가격정보"/>
      <sheetName val="Chang"/>
      <sheetName val="연결塠ɪ"/>
      <sheetName val="해평견적"/>
      <sheetName val="설비내역서"/>
      <sheetName val="전기내역서"/>
      <sheetName val="대림경상68억"/>
      <sheetName val="GI-LIST"/>
      <sheetName val="기기리스트"/>
      <sheetName val="1차 내역서"/>
      <sheetName val="거래명세표"/>
      <sheetName val="HORI. VESSEL"/>
      <sheetName val="조명율표"/>
      <sheetName val="참조자료"/>
      <sheetName val="견적갑지"/>
      <sheetName val="을지 "/>
      <sheetName val="A__My_Documents_1999__________2"/>
      <sheetName val="미드수량"/>
      <sheetName val="집계"/>
      <sheetName val="RCD-STRAND_PILE_압입및굴浐ௗ"/>
      <sheetName val="기초0_x0000_"/>
      <sheetName val="DONGIA"/>
      <sheetName val="단위단가"/>
      <sheetName val="FA_x0006__x0000__x0000_棍"/>
      <sheetName val="공사비집계표(서해안고속도로)"/>
      <sheetName val="3.하중산정4.지지력"/>
      <sheetName val="70%"/>
      <sheetName val="parameter"/>
      <sheetName val="WK1B"/>
      <sheetName val="预算"/>
      <sheetName val="CLAUSE"/>
      <sheetName val="Macro2"/>
      <sheetName val="포장공"/>
      <sheetName val="단가목록"/>
      <sheetName val="화설내"/>
      <sheetName val="Macro(전선)"/>
      <sheetName val="화전내"/>
      <sheetName val="청천내"/>
      <sheetName val="기초༂६"/>
      <sheetName val="기초뀘ᬗ"/>
      <sheetName val="기초ဃᭂ"/>
      <sheetName val="기초퀃ᭂ"/>
      <sheetName val="기초됂ふ"/>
      <sheetName val="수량산출(액티비티)"/>
      <sheetName val="____(주)경원건축공ﶻĉ_x0000__x0000_楨◿"/>
      <sheetName val="____(주)경원건축공䔭疖꜀ȭﶻĉ"/>
      <sheetName val="____(주)경원건축공ﶻ_x001e__x0000__x0000_읰∉"/>
      <sheetName val="____(주)경원건축공ﶻ_x001e__x0000__x0000_ﳐ⡷"/>
      <sheetName val="____(주)경원건축공ﶻ_x001e__x0000__x0000_ⱐỹ"/>
      <sheetName val="____(주)경원건축공ﶻ_x001e__x0000__x0000_萨ⓤ"/>
      <sheetName val="인건비_"/>
      <sheetName val="일반맨홀수량집계(A-7_LINE)"/>
      <sheetName val="단면_(2)"/>
      <sheetName val="견적대비_견적서"/>
      <sheetName val="FAND"/>
      <sheetName val="OCT_FDN"/>
      <sheetName val="CRUDE_RE-bar"/>
      <sheetName val="Grid_&amp;_A_M"/>
      <sheetName val="산재_안전"/>
      <sheetName val="노무비_경비"/>
      <sheetName val="전_기"/>
      <sheetName val="gvl"/>
      <sheetName val="롤러"/>
      <sheetName val="8."/>
      <sheetName val="5."/>
      <sheetName val="12."/>
      <sheetName val="14."/>
      <sheetName val="9."/>
      <sheetName val="13"/>
      <sheetName val="7."/>
      <sheetName val="road &amp;paving"/>
      <sheetName val="FLA"/>
      <sheetName val="산정표"/>
      <sheetName val="90.03실행_x0000_"/>
      <sheetName val="전등"/>
      <sheetName val="ITEMS"/>
      <sheetName val="입력"/>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WAGE_RATE_BACK-UP_DATA"/>
      <sheetName val="COVERSHEET_PAGE"/>
      <sheetName val="TABLE2-1_ISBL(HDEC단가)"/>
      <sheetName val="TABLE2-2_OSBL(HDEC단가)"/>
      <sheetName val="DESIGN_CRITERIA"/>
      <sheetName val="1__Design_Change"/>
      <sheetName val="설_계1"/>
      <sheetName val="2_대외공문"/>
      <sheetName val="1995년_섹터별_매출"/>
      <sheetName val="GCS_5F-19"/>
      <sheetName val="1_물가시세표"/>
      <sheetName val="12_부대공"/>
      <sheetName val="5_노임단가"/>
      <sheetName val="4_중기단가산출"/>
      <sheetName val="6_단가목록"/>
      <sheetName val="8_배수공"/>
      <sheetName val="전선_및_전선관"/>
      <sheetName val="Lookup_tables"/>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PROJECT_BRIEF(EX_NEW)"/>
      <sheetName val="주공_갑지"/>
      <sheetName val="2000_05"/>
      <sheetName val="SUM_(INQNO_"/>
      <sheetName val="1_관로"/>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1,2공구원가계산서"/>
      <sheetName val="1공구산출내역서"/>
      <sheetName val="단  가  대  비  표"/>
      <sheetName val="일  위  대  가  목  록"/>
      <sheetName val="수안보-MBR1"/>
      <sheetName val="단가조사׃"/>
      <sheetName val="2002상반기㥾ᆄ㰁딐"/>
      <sheetName val="RCD-ST_x0015__x0000_ _x0000__x0014__x0000__x000e__x0000__x0012__x0000__x0015__x0000__x0004__x0000__x0004__x0000_"/>
      <sheetName val="자동제어"/>
      <sheetName val="EQT-ESTN"/>
      <sheetName val="빙장비사양"/>
      <sheetName val="공종별집계표"/>
      <sheetName val="공종별내역서"/>
      <sheetName val="신규단가"/>
      <sheetName val="공사설정"/>
      <sheetName val="공량산출표"/>
      <sheetName val="공량산출"/>
      <sheetName val="리스트"/>
      <sheetName val="3BL공동구_수량4"/>
      <sheetName val="P_M_별4"/>
      <sheetName val="Site_Expenses4"/>
      <sheetName val="聒CD-STRAND_PILE_압입및굴착4"/>
      <sheetName val="BSD_(2)5"/>
      <sheetName val="장비당단가_(1)5"/>
      <sheetName val="2F_회의실견적(5_14_일대)4"/>
      <sheetName val="3련_BOX4"/>
      <sheetName val="BSD__2_4"/>
      <sheetName val="설산1_나4"/>
      <sheetName val="IMP_(REACTOR)4"/>
      <sheetName val="공사비_내역_(가)4"/>
      <sheetName val="_4"/>
      <sheetName val="_견적서4"/>
      <sheetName val="list_price4"/>
      <sheetName val="내역서_4"/>
      <sheetName val="Customer_Databas4"/>
      <sheetName val="남양시작동자105노65기1_3화1_24"/>
      <sheetName val="TABLE2-1_ISBL-(SlTE_PREP)4"/>
      <sheetName val="TABLE2_1_ISBL_(Soil_Invest)4"/>
      <sheetName val="TABLE2-2_OSBL(GENERAL-CIVIL)4"/>
      <sheetName val="7_5_2_BOQ_Summary_4"/>
      <sheetName val="_2"/>
      <sheetName val="_견적서2"/>
      <sheetName val="list_price2"/>
      <sheetName val="내역서_2"/>
      <sheetName val="남양시작동자105노65기1_3화1_22"/>
      <sheetName val="3BL공동구_수량3"/>
      <sheetName val="P_M_별3"/>
      <sheetName val="Site_Expenses3"/>
      <sheetName val="聒CD-STRAND_PILE_압입및굴착3"/>
      <sheetName val="BSD_(2)4"/>
      <sheetName val="장비당단가_(1)4"/>
      <sheetName val="2F_회의실견적(5_14_일대)3"/>
      <sheetName val="3련_BOX3"/>
      <sheetName val="BSD__2_3"/>
      <sheetName val="설산1_나3"/>
      <sheetName val="IMP_(REACTOR)3"/>
      <sheetName val="공사비_내역_(가)3"/>
      <sheetName val="_3"/>
      <sheetName val="_견적서3"/>
      <sheetName val="list_price3"/>
      <sheetName val="내역서_3"/>
      <sheetName val="Customer_Databas3"/>
      <sheetName val="남양시작동자105노65기1_3화1_23"/>
      <sheetName val="TABLE2-1_ISBL-(SlTE_PREP)3"/>
      <sheetName val="TABLE2_1_ISBL_(Soil_Invest)3"/>
      <sheetName val="TABLE2-2_OSBL(GENERAL-CIVIL)3"/>
      <sheetName val="7_5_2_BOQ_Summary_3"/>
      <sheetName val="운반비정산"/>
      <sheetName val="정산"/>
      <sheetName val="통_x0000_"/>
      <sheetName val="통䓐"/>
      <sheetName val="자재표"/>
      <sheetName val="1공구계약서"/>
      <sheetName val="패널"/>
      <sheetName val="EQ-R1"/>
      <sheetName val="날개벽(좌,우=60도-4개)"/>
      <sheetName val="TIE-IN"/>
      <sheetName val="공수견적"/>
      <sheetName val="일위대가(가설)"/>
      <sheetName val="유림골조"/>
      <sheetName val="조달청적격심사"/>
      <sheetName val="특별교실"/>
      <sheetName val="3.현장배치"/>
      <sheetName val="부재치수입력"/>
      <sheetName val="평당"/>
      <sheetName val="공사비_내역_(ﻆᇕ"/>
      <sheetName val="가로등기초"/>
      <sheetName val="감리을"/>
      <sheetName val="대공종"/>
      <sheetName val="유치원내역"/>
      <sheetName val="입찰"/>
      <sheetName val="현경"/>
      <sheetName val="설비"/>
      <sheetName val="RCD-STRAND_PILE_압입및굴착7"/>
      <sheetName val="______★개인별현황표(김종우기사)7"/>
      <sheetName val="______주소록7"/>
      <sheetName val="______★골조분석표(서태용대리)7"/>
      <sheetName val="______골조부재별비율7"/>
      <sheetName val="____(주)경원건축공사비분석표7"/>
      <sheetName val="____(주)경원건축공사비분석표(공)7"/>
      <sheetName val="wblff(before_omi_pc&amp;stump)2"/>
      <sheetName val="노원열병합__건축공사기성내역서2"/>
      <sheetName val="I_설계조건2"/>
      <sheetName val="1_설계기준2"/>
      <sheetName val="Indirect_Cost2"/>
      <sheetName val="별표_2"/>
      <sheetName val="DRAIN_DRUM_PIT_D-3012"/>
      <sheetName val="단가표_2"/>
      <sheetName val="HRSG_SMALL072202"/>
      <sheetName val="Harga_material_2"/>
      <sheetName val="sum1_(2)2"/>
      <sheetName val="플랜트_설치2"/>
      <sheetName val="kimre_scrubber2"/>
      <sheetName val="06_BATCH_2"/>
      <sheetName val="06-BATCH_2"/>
      <sheetName val="full_(2)2"/>
      <sheetName val="AH-1_2"/>
      <sheetName val="RING_WALL2"/>
      <sheetName val="General_Data2"/>
      <sheetName val="plan&amp;section_of_foundation2"/>
      <sheetName val="SL_dau_tien2"/>
      <sheetName val="ISBL_(검증)2"/>
      <sheetName val="TABLE2-2_OSBL-(SITE_PREP)2"/>
      <sheetName val="INDIRECT_MOBILIZATION_PLAN2"/>
      <sheetName val="MANPOWER_MOBILIZATION2"/>
      <sheetName val="LABOR_MOBILIZATION_PLAN2"/>
      <sheetName val="STAFF_MOBILIZATION_PLAN2"/>
      <sheetName val="LIST_OF_OFFICE_EQUIPMENT2"/>
      <sheetName val="PERSONNEL_SETUP2"/>
      <sheetName val="KOREAN_STAFF_SALARY_-_SITE2"/>
      <sheetName val="TEMPORARY_FACILITIES2"/>
      <sheetName val="WATER_SUPPLY2"/>
      <sheetName val="TABLE2-1_ISBL(GENEAL-CIVIL)2"/>
      <sheetName val="준검_내역서2"/>
      <sheetName val="UOP_508_PG_5-122"/>
      <sheetName val="효성CB_1P기초2"/>
      <sheetName val="교통시설_표지판2"/>
      <sheetName val="C_&amp;_G_RHS2"/>
      <sheetName val="4_LINE2"/>
      <sheetName val="7_th2"/>
      <sheetName val="CP-E2_(품셈표)2"/>
      <sheetName val="ACCESS_FLOOR2"/>
      <sheetName val="Sheet1_(2)2"/>
      <sheetName val="2-3_V_D일위2"/>
      <sheetName val="을_22"/>
      <sheetName val="Requirement(Work_Crew)2"/>
      <sheetName val="1_우편집중내역서2"/>
      <sheetName val="BOM-Form_A_1_III2"/>
      <sheetName val="90_03실행_2"/>
      <sheetName val="Mp-team_12"/>
      <sheetName val="FCU_(2)2"/>
      <sheetName val="조도계산서_(도서)2"/>
      <sheetName val="Change_rate2"/>
      <sheetName val="11_자재단가2"/>
      <sheetName val="2_내역서2"/>
      <sheetName val="1_설계조건2"/>
      <sheetName val="단가산출서_(2)2"/>
      <sheetName val="강관_및_부속2"/>
      <sheetName val="목동세대_산출근거2"/>
      <sheetName val="수량산출서_갑지2"/>
      <sheetName val="Data_Vol2"/>
      <sheetName val="전동기_SPEC2"/>
      <sheetName val="토공(우물통,기타)_2"/>
      <sheetName val="인건비_1"/>
      <sheetName val="일반맨홀수량집계(A-7_LINE)1"/>
      <sheetName val="WAGE_RATE_BACK-UP_DATA1"/>
      <sheetName val="COVERSHEET_PAGE1"/>
      <sheetName val="TABLE2-1_ISBL(HDEC단가)1"/>
      <sheetName val="TABLE2-2_OSBL(HDEC단가)1"/>
      <sheetName val="DESIGN_CRITERIA1"/>
      <sheetName val="설_계2"/>
      <sheetName val="단면_(2)1"/>
      <sheetName val="1__Design_Change1"/>
      <sheetName val="2_대외공문1"/>
      <sheetName val="견적대비_견적서1"/>
      <sheetName val="OCT_FDN1"/>
      <sheetName val="1995년_섹터별_매출1"/>
      <sheetName val="GCS_5F-191"/>
      <sheetName val="Grid_&amp;_A_M1"/>
      <sheetName val="전_기1"/>
      <sheetName val="1_물가시세표1"/>
      <sheetName val="12_부대공1"/>
      <sheetName val="5_노임단가1"/>
      <sheetName val="4_중기단가산출1"/>
      <sheetName val="6_단가목록1"/>
      <sheetName val="8_배수공1"/>
      <sheetName val="CRUDE_RE-bar1"/>
      <sheetName val="전선_및_전선관1"/>
      <sheetName val="Lookup_tables1"/>
      <sheetName val="half_slab-11"/>
      <sheetName val="기타_정보통신공사1"/>
      <sheetName val="CT_1"/>
      <sheetName val="TABLE2-2_OSBL(total)1"/>
      <sheetName val="system_&amp;_LOOK_UP_FUNC1"/>
      <sheetName val="Annex_3_Price_Table_Piping_Sho1"/>
      <sheetName val="Sheet3_(2)1"/>
      <sheetName val="2_설계제원1"/>
      <sheetName val="PRICE_COMP1"/>
      <sheetName val="PROJECT_BRIEF(EX_NEW)1"/>
      <sheetName val="주공_갑지1"/>
      <sheetName val="IMPEADENCE_MAP_취수장1"/>
      <sheetName val="산재_안전1"/>
      <sheetName val="노무비_경비1"/>
      <sheetName val="자__재1"/>
      <sheetName val="b_balju_(2)1"/>
      <sheetName val="단위별_일위대가표1"/>
      <sheetName val="1_관로1"/>
      <sheetName val="2000_051"/>
      <sheetName val="SUM_(INQNO_1"/>
      <sheetName val="단계별내역_(2)1"/>
      <sheetName val="REINF_1"/>
      <sheetName val="cross_beam1"/>
      <sheetName val="토공_갑지1"/>
      <sheetName val="Tender_Summary1"/>
      <sheetName val="97_사업추정(WEKI)1"/>
      <sheetName val="ASTM_C5851"/>
      <sheetName val="INDIRECT_COST-PART_l1"/>
      <sheetName val="Administrative_Prices1"/>
      <sheetName val="견적금액(2003_12_22)1"/>
      <sheetName val="LIST_OF_OFFICE_EQUI1"/>
      <sheetName val="주빔의_설계1"/>
      <sheetName val="9_2단가산출서1"/>
      <sheetName val="1）WELDING_POINT1"/>
      <sheetName val="1_취수장1"/>
      <sheetName val="바_한일양산1"/>
      <sheetName val="CPM챠트_1"/>
      <sheetName val="8_PILE__(돌출)1"/>
      <sheetName val="Util&amp;_Real1"/>
      <sheetName val="C_배수관공1"/>
      <sheetName val="RCD-STRAND_PILE_압입및굴착9"/>
      <sheetName val="______★개인별현황표(김종우기사)9"/>
      <sheetName val="______주소록9"/>
      <sheetName val="______★골조분석표(서태용대리)9"/>
      <sheetName val="______골조부재별비율9"/>
      <sheetName val="____(주)경원건축공사비분석표9"/>
      <sheetName val="____(주)경원건축공사비분석표(공)9"/>
      <sheetName val="P_M_별5"/>
      <sheetName val="BSD_(2)6"/>
      <sheetName val="장비당단가_(1)6"/>
      <sheetName val="3련_BOX5"/>
      <sheetName val="Site_Expenses5"/>
      <sheetName val="聒CD-STRAND_PILE_압입및굴착5"/>
      <sheetName val="2F_회의실견적(5_14_일대)5"/>
      <sheetName val="IMP_(REACTOR)5"/>
      <sheetName val="BSD__2_5"/>
      <sheetName val="3BL공동구_수량5"/>
      <sheetName val="설산1_나5"/>
      <sheetName val="공사비_내역_(가)5"/>
      <sheetName val="Indirect_Cost4"/>
      <sheetName val="Customer_Databas5"/>
      <sheetName val="06-BATCH_4"/>
      <sheetName val="I_설계조건4"/>
      <sheetName val="1_설계기준4"/>
      <sheetName val="별표_4"/>
      <sheetName val="wblff(before_omi_pc&amp;stump)4"/>
      <sheetName val="TABLE2-1_ISBL-(SlTE_PREP)5"/>
      <sheetName val="TABLE2_1_ISBL_(Soil_Invest)5"/>
      <sheetName val="TABLE2-2_OSBL(GENERAL-CIVIL)5"/>
      <sheetName val="7_5_2_BOQ_Summary_5"/>
      <sheetName val="RING_WALL4"/>
      <sheetName val="HRSG_SMALL072204"/>
      <sheetName val="노원열병합__건축공사기성내역서4"/>
      <sheetName val="단가표_4"/>
      <sheetName val="Harga_material_4"/>
      <sheetName val="full_(2)4"/>
      <sheetName val="sum1_(2)4"/>
      <sheetName val="kimre_scrubber4"/>
      <sheetName val="플랜트_설치4"/>
      <sheetName val="AH-1_4"/>
      <sheetName val="General_Data4"/>
      <sheetName val="Sheet1_(2)4"/>
      <sheetName val="DRAIN_DRUM_PIT_D-3014"/>
      <sheetName val="90_03실행_4"/>
      <sheetName val="2_내역서4"/>
      <sheetName val="교통시설_표지판4"/>
      <sheetName val="06_BATCH_4"/>
      <sheetName val="SL_dau_tien4"/>
      <sheetName val="plan&amp;section_of_foundation4"/>
      <sheetName val="효성CB_1P기초4"/>
      <sheetName val="C_&amp;_G_RHS4"/>
      <sheetName val="ISBL_(검증)4"/>
      <sheetName val="TABLE2-2_OSBL-(SITE_PREP)4"/>
      <sheetName val="INDIRECT_MOBILIZATION_PLAN4"/>
      <sheetName val="MANPOWER_MOBILIZATION4"/>
      <sheetName val="LABOR_MOBILIZATION_PLAN4"/>
      <sheetName val="STAFF_MOBILIZATION_PLAN4"/>
      <sheetName val="LIST_OF_OFFICE_EQUIPMENT4"/>
      <sheetName val="PERSONNEL_SETUP4"/>
      <sheetName val="KOREAN_STAFF_SALARY_-_SITE4"/>
      <sheetName val="TEMPORARY_FACILITIES4"/>
      <sheetName val="WATER_SUPPLY4"/>
      <sheetName val="TABLE2-1_ISBL(GENEAL-CIVIL)4"/>
      <sheetName val="준검_내역서4"/>
      <sheetName val="UOP_508_PG_5-124"/>
      <sheetName val="Mp-team_14"/>
      <sheetName val="1_우편집중내역서4"/>
      <sheetName val="BOM-Form_A_1_III4"/>
      <sheetName val="Change_rate4"/>
      <sheetName val="을_24"/>
      <sheetName val="4_LINE4"/>
      <sheetName val="7_th4"/>
      <sheetName val="CP-E2_(품셈표)4"/>
      <sheetName val="인건비_3"/>
      <sheetName val="일반맨홀수량집계(A-7_LINE)3"/>
      <sheetName val="Requirement(Work_Crew)4"/>
      <sheetName val="11_자재단가4"/>
      <sheetName val="1_설계조건4"/>
      <sheetName val="전동기_SPEC4"/>
      <sheetName val="Grid_&amp;_A_M3"/>
      <sheetName val="FCU_(2)4"/>
      <sheetName val="조도계산서_(도서)4"/>
      <sheetName val="단가산출서_(2)4"/>
      <sheetName val="ACCESS_FLOOR4"/>
      <sheetName val="단면_(2)3"/>
      <sheetName val="설_계4"/>
      <sheetName val="OCT_FDN3"/>
      <sheetName val="강관_및_부속4"/>
      <sheetName val="목동세대_산출근거4"/>
      <sheetName val="Data_Vol4"/>
      <sheetName val="토공(우물통,기타)_4"/>
      <sheetName val="2-3_V_D일위4"/>
      <sheetName val="수량산출서_갑지4"/>
      <sheetName val="견적대비_견적서3"/>
      <sheetName val="WAGE_RATE_BACK-UP_DATA3"/>
      <sheetName val="COVERSHEET_PAGE3"/>
      <sheetName val="TABLE2-1_ISBL(HDEC단가)3"/>
      <sheetName val="TABLE2-2_OSBL(HDEC단가)3"/>
      <sheetName val="DESIGN_CRITERIA3"/>
      <sheetName val="1995년_섹터별_매출3"/>
      <sheetName val="1_물가시세표3"/>
      <sheetName val="12_부대공3"/>
      <sheetName val="5_노임단가3"/>
      <sheetName val="4_중기단가산출3"/>
      <sheetName val="6_단가목록3"/>
      <sheetName val="8_배수공3"/>
      <sheetName val="1__Design_Change3"/>
      <sheetName val="CRUDE_RE-bar3"/>
      <sheetName val="전선_및_전선관3"/>
      <sheetName val="주공_갑지3"/>
      <sheetName val="Lookup_tables3"/>
      <sheetName val="2_대외공문3"/>
      <sheetName val="CT_3"/>
      <sheetName val="half_slab-13"/>
      <sheetName val="LIST_OF_OFFICE_EQUI3"/>
      <sheetName val="전_기3"/>
      <sheetName val="IMPEADENCE_MAP_취수장3"/>
      <sheetName val="산재_안전3"/>
      <sheetName val="노무비_경비3"/>
      <sheetName val="GCS_5F-193"/>
      <sheetName val="기타_정보통신공사3"/>
      <sheetName val="TABLE2-2_OSBL(total)3"/>
      <sheetName val="system_&amp;_LOOK_UP_FUNC3"/>
      <sheetName val="Annex_3_Price_Table_Piping_Sho3"/>
      <sheetName val="Sheet3_(2)3"/>
      <sheetName val="2_설계제원3"/>
      <sheetName val="PRICE_COMP3"/>
      <sheetName val="PROJECT_BRIEF(EX_NEW)3"/>
      <sheetName val="자__재3"/>
      <sheetName val="b_balju_(2)3"/>
      <sheetName val="2000_053"/>
      <sheetName val="단계별내역_(2)3"/>
      <sheetName val="단위별_일위대가표3"/>
      <sheetName val="1_관로3"/>
      <sheetName val="SUM_(INQNO_3"/>
      <sheetName val="8_PILE__(돌출)3"/>
      <sheetName val="Tender_Summary3"/>
      <sheetName val="주빔의_설계3"/>
      <sheetName val="토공_갑지3"/>
      <sheetName val="바_한일양산3"/>
      <sheetName val="CPM챠트_3"/>
      <sheetName val="REINF_3"/>
      <sheetName val="cross_beam3"/>
      <sheetName val="C_배수관공3"/>
      <sheetName val="Administrative_Prices3"/>
      <sheetName val="1_취수장3"/>
      <sheetName val="1）WELDING_POINT3"/>
      <sheetName val="97_사업추정(WEKI)3"/>
      <sheetName val="ASTM_C5853"/>
      <sheetName val="INDIRECT_COST-PART_l3"/>
      <sheetName val="견적금액(2003_12_22)3"/>
      <sheetName val="9_2단가산출서3"/>
      <sheetName val="RCD-STRAND_PILE_압입및굴착8"/>
      <sheetName val="______★개인별현황표(김종우기사)8"/>
      <sheetName val="______주소록8"/>
      <sheetName val="______★골조분석표(서태용대리)8"/>
      <sheetName val="______골조부재별비율8"/>
      <sheetName val="____(주)경원건축공사비분석표8"/>
      <sheetName val="____(주)경원건축공사비분석표(공)8"/>
      <sheetName val="Indirect_Cost3"/>
      <sheetName val="06-BATCH_3"/>
      <sheetName val="I_설계조건3"/>
      <sheetName val="1_설계기준3"/>
      <sheetName val="별표_3"/>
      <sheetName val="wblff(before_omi_pc&amp;stump)3"/>
      <sheetName val="RING_WALL3"/>
      <sheetName val="HRSG_SMALL072203"/>
      <sheetName val="노원열병합__건축공사기성내역서3"/>
      <sheetName val="단가표_3"/>
      <sheetName val="Harga_material_3"/>
      <sheetName val="full_(2)3"/>
      <sheetName val="sum1_(2)3"/>
      <sheetName val="kimre_scrubber3"/>
      <sheetName val="플랜트_설치3"/>
      <sheetName val="AH-1_3"/>
      <sheetName val="General_Data3"/>
      <sheetName val="Sheet1_(2)3"/>
      <sheetName val="DRAIN_DRUM_PIT_D-3013"/>
      <sheetName val="90_03실행_3"/>
      <sheetName val="2_내역서3"/>
      <sheetName val="교통시설_표지판3"/>
      <sheetName val="06_BATCH_3"/>
      <sheetName val="SL_dau_tien3"/>
      <sheetName val="plan&amp;section_of_foundation3"/>
      <sheetName val="효성CB_1P기초3"/>
      <sheetName val="C_&amp;_G_RHS3"/>
      <sheetName val="ISBL_(검증)3"/>
      <sheetName val="TABLE2-2_OSBL-(SITE_PREP)3"/>
      <sheetName val="INDIRECT_MOBILIZATION_PLAN3"/>
      <sheetName val="MANPOWER_MOBILIZATION3"/>
      <sheetName val="LABOR_MOBILIZATION_PLAN3"/>
      <sheetName val="STAFF_MOBILIZATION_PLAN3"/>
      <sheetName val="LIST_OF_OFFICE_EQUIPMENT3"/>
      <sheetName val="PERSONNEL_SETUP3"/>
      <sheetName val="KOREAN_STAFF_SALARY_-_SITE3"/>
      <sheetName val="TEMPORARY_FACILITIES3"/>
      <sheetName val="WATER_SUPPLY3"/>
      <sheetName val="TABLE2-1_ISBL(GENEAL-CIVIL)3"/>
      <sheetName val="준검_내역서3"/>
      <sheetName val="UOP_508_PG_5-123"/>
      <sheetName val="Mp-team_13"/>
      <sheetName val="1_우편집중내역서3"/>
      <sheetName val="BOM-Form_A_1_III3"/>
      <sheetName val="Change_rate3"/>
      <sheetName val="을_23"/>
      <sheetName val="4_LINE3"/>
      <sheetName val="7_th3"/>
      <sheetName val="CP-E2_(품셈표)3"/>
      <sheetName val="인건비_2"/>
      <sheetName val="일반맨홀수량집계(A-7_LINE)2"/>
      <sheetName val="Requirement(Work_Crew)3"/>
      <sheetName val="11_자재단가3"/>
      <sheetName val="1_설계조건3"/>
      <sheetName val="전동기_SPEC3"/>
      <sheetName val="Grid_&amp;_A_M2"/>
      <sheetName val="FCU_(2)3"/>
      <sheetName val="조도계산서_(도서)3"/>
      <sheetName val="단가산출서_(2)3"/>
      <sheetName val="ACCESS_FLOOR3"/>
      <sheetName val="단면_(2)2"/>
      <sheetName val="설_계3"/>
      <sheetName val="OCT_FDN2"/>
      <sheetName val="강관_및_부속3"/>
      <sheetName val="목동세대_산출근거3"/>
      <sheetName val="Data_Vol3"/>
      <sheetName val="토공(우물통,기타)_3"/>
      <sheetName val="2-3_V_D일위3"/>
      <sheetName val="수량산출서_갑지3"/>
      <sheetName val="견적대비_견적서2"/>
      <sheetName val="WAGE_RATE_BACK-UP_DATA2"/>
      <sheetName val="COVERSHEET_PAGE2"/>
      <sheetName val="TABLE2-1_ISBL(HDEC단가)2"/>
      <sheetName val="TABLE2-2_OSBL(HDEC단가)2"/>
      <sheetName val="DESIGN_CRITERIA2"/>
      <sheetName val="1995년_섹터별_매출2"/>
      <sheetName val="1_물가시세표2"/>
      <sheetName val="12_부대공2"/>
      <sheetName val="5_노임단가2"/>
      <sheetName val="4_중기단가산출2"/>
      <sheetName val="6_단가목록2"/>
      <sheetName val="8_배수공2"/>
      <sheetName val="1__Design_Change2"/>
      <sheetName val="CRUDE_RE-bar2"/>
      <sheetName val="전선_및_전선관2"/>
      <sheetName val="주공_갑지2"/>
      <sheetName val="Lookup_tables2"/>
      <sheetName val="2_대외공문2"/>
      <sheetName val="CT_2"/>
      <sheetName val="half_slab-12"/>
      <sheetName val="LIST_OF_OFFICE_EQUI2"/>
      <sheetName val="전_기2"/>
      <sheetName val="IMPEADENCE_MAP_취수장2"/>
      <sheetName val="산재_안전2"/>
      <sheetName val="노무비_경비2"/>
      <sheetName val="GCS_5F-192"/>
      <sheetName val="기타_정보통신공사2"/>
      <sheetName val="TABLE2-2_OSBL(total)2"/>
      <sheetName val="system_&amp;_LOOK_UP_FUNC2"/>
      <sheetName val="Annex_3_Price_Table_Piping_Sho2"/>
      <sheetName val="Sheet3_(2)2"/>
      <sheetName val="2_설계제원2"/>
      <sheetName val="PRICE_COMP2"/>
      <sheetName val="PROJECT_BRIEF(EX_NEW)2"/>
      <sheetName val="자__재2"/>
      <sheetName val="b_balju_(2)2"/>
      <sheetName val="2000_052"/>
      <sheetName val="단계별내역_(2)2"/>
      <sheetName val="단위별_일위대가표2"/>
      <sheetName val="1_관로2"/>
      <sheetName val="SUM_(INQNO_2"/>
      <sheetName val="8_PILE__(돌출)2"/>
      <sheetName val="Tender_Summary2"/>
      <sheetName val="주빔의_설계2"/>
      <sheetName val="토공_갑지2"/>
      <sheetName val="바_한일양산2"/>
      <sheetName val="CPM챠트_2"/>
      <sheetName val="REINF_2"/>
      <sheetName val="cross_beam2"/>
      <sheetName val="C_배수관공2"/>
      <sheetName val="Administrative_Prices2"/>
      <sheetName val="1_취수장2"/>
      <sheetName val="1）WELDING_POINT2"/>
      <sheetName val="97_사업추정(WEKI)2"/>
      <sheetName val="ASTM_C5852"/>
      <sheetName val="INDIRECT_COST-PART_l2"/>
      <sheetName val="견적금액(2003_12_22)2"/>
      <sheetName val="9_2단가산출서2"/>
      <sheetName val="집1"/>
      <sheetName val="설계"/>
      <sheetName val="노무산출서"/>
      <sheetName val="FA_x0000__x0000__x0000__x0001_"/>
      <sheetName val="______골조부     "/>
      <sheetName val="FAND _x0000_"/>
      <sheetName val="1.우편집중내  "/>
      <sheetName val="급က_x0000_"/>
      <sheetName val="급ⴀ"/>
      <sheetName val="급_x0000_"/>
      <sheetName val="급䐀"/>
      <sheetName val="급É_x0000_Ԁ"/>
      <sheetName val="RCD-STRAND_PILE_압입및굴착10"/>
      <sheetName val="______★개인별현황표(김종우기사)10"/>
      <sheetName val="______주소록10"/>
      <sheetName val="______★골조분석표(서태용대리)10"/>
      <sheetName val="______골조부재별비율10"/>
      <sheetName val="____(주)경원건축공사비분석표10"/>
      <sheetName val="____(주)경원건축공사비분석표(공)10"/>
      <sheetName val="P_M_별6"/>
      <sheetName val="BSD_(2)7"/>
      <sheetName val="장비당단가_(1)7"/>
      <sheetName val="3련_BOX6"/>
      <sheetName val="Site_Expenses6"/>
      <sheetName val="2F_회의실견적(5_14_일대)6"/>
      <sheetName val="BSD__2_6"/>
      <sheetName val="설산1_나6"/>
      <sheetName val="3BL공동구_수량6"/>
      <sheetName val="聒CD-STRAND_PILE_압입및굴착6"/>
      <sheetName val="Customer_Databas6"/>
      <sheetName val="공사비_내역_(가)6"/>
      <sheetName val="내역서_5"/>
      <sheetName val="list_price5"/>
      <sheetName val="IMP_(REACTOR)6"/>
      <sheetName val="kimre_scrubber5"/>
      <sheetName val="남양시작동자105노65기1_3화1_25"/>
      <sheetName val="_견적서5"/>
      <sheetName val="HRSG_SMALL072205"/>
      <sheetName val="wblff(before_omi_pc&amp;stump)5"/>
      <sheetName val="_5"/>
      <sheetName val="Indirect_Cost5"/>
      <sheetName val="CP-E2_(품셈표)5"/>
      <sheetName val="노원열병합__건축공사기성내역서5"/>
      <sheetName val="ACCESS_FLOOR5"/>
      <sheetName val="4_LINE5"/>
      <sheetName val="7_th5"/>
      <sheetName val="06-BATCH_5"/>
      <sheetName val="Harga_material_5"/>
      <sheetName val="TABLE2-1_ISBL-(SlTE_PREP)6"/>
      <sheetName val="TABLE2_1_ISBL_(Soil_Invest)6"/>
      <sheetName val="TABLE2-2_OSBL(GENERAL-CIVIL)6"/>
      <sheetName val="7_5_2_BOQ_Summary_6"/>
      <sheetName val="단가표_5"/>
      <sheetName val="full_(2)5"/>
      <sheetName val="별표_5"/>
      <sheetName val="2-3_V_D일위5"/>
      <sheetName val="플랜트_설치5"/>
      <sheetName val="I_설계조건5"/>
      <sheetName val="1_설계기준5"/>
      <sheetName val="RING_WALL5"/>
      <sheetName val="sum1_(2)5"/>
      <sheetName val="06_BATCH_5"/>
      <sheetName val="AH-1_5"/>
      <sheetName val="DRAIN_DRUM_PIT_D-3015"/>
      <sheetName val="General_Data5"/>
      <sheetName val="SL_dau_tien5"/>
      <sheetName val="plan&amp;section_of_foundation5"/>
      <sheetName val="ISBL_(검증)5"/>
      <sheetName val="TABLE2-2_OSBL-(SITE_PREP)5"/>
      <sheetName val="INDIRECT_MOBILIZATION_PLAN5"/>
      <sheetName val="MANPOWER_MOBILIZATION5"/>
      <sheetName val="LABOR_MOBILIZATION_PLAN5"/>
      <sheetName val="STAFF_MOBILIZATION_PLAN5"/>
      <sheetName val="LIST_OF_OFFICE_EQUIPMENT5"/>
      <sheetName val="PERSONNEL_SETUP5"/>
      <sheetName val="KOREAN_STAFF_SALARY_-_SITE5"/>
      <sheetName val="TEMPORARY_FACILITIES5"/>
      <sheetName val="WATER_SUPPLY5"/>
      <sheetName val="TABLE2-1_ISBL(GENEAL-CIVIL)5"/>
      <sheetName val="준검_내역서5"/>
      <sheetName val="UOP_508_PG_5-125"/>
      <sheetName val="효성CB_1P기초5"/>
      <sheetName val="교통시설_표지판5"/>
      <sheetName val="Mp-team_15"/>
      <sheetName val="Sheet1_(2)5"/>
      <sheetName val="90_03실행_5"/>
      <sheetName val="C_&amp;_G_RHS5"/>
      <sheetName val="을_25"/>
      <sheetName val="1_우편집중내역서5"/>
      <sheetName val="FCU_(2)5"/>
      <sheetName val="조도계산서_(도서)5"/>
      <sheetName val="BOM-Form_A_1_III5"/>
      <sheetName val="Change_rate5"/>
      <sheetName val="Requirement(Work_Crew)5"/>
      <sheetName val="단가산출서_(2)5"/>
      <sheetName val="11_자재단가5"/>
      <sheetName val="2_내역서5"/>
      <sheetName val="1_설계조건5"/>
      <sheetName val="강관_및_부속5"/>
      <sheetName val="목동세대_산출근거5"/>
      <sheetName val="수량산출서_갑지5"/>
      <sheetName val="Data_Vol5"/>
      <sheetName val="전동기_SPEC5"/>
      <sheetName val="토공(우물통,기타)_5"/>
      <sheetName val="인건비_4"/>
      <sheetName val="일반맨홀수량집계(A-7_LINE)4"/>
      <sheetName val="설_계5"/>
      <sheetName val="단면_(2)4"/>
      <sheetName val="1__Design_Change4"/>
      <sheetName val="WAGE_RATE_BACK-UP_DATA4"/>
      <sheetName val="COVERSHEET_PAGE4"/>
      <sheetName val="TABLE2-1_ISBL(HDEC단가)4"/>
      <sheetName val="TABLE2-2_OSBL(HDEC단가)4"/>
      <sheetName val="DESIGN_CRITERIA4"/>
      <sheetName val="2_대외공문4"/>
      <sheetName val="견적대비_견적서4"/>
      <sheetName val="OCT_FDN4"/>
      <sheetName val="1995년_섹터별_매출4"/>
      <sheetName val="GCS_5F-194"/>
      <sheetName val="1_물가시세표4"/>
      <sheetName val="12_부대공4"/>
      <sheetName val="5_노임단가4"/>
      <sheetName val="4_중기단가산출4"/>
      <sheetName val="6_단가목록4"/>
      <sheetName val="8_배수공4"/>
      <sheetName val="CRUDE_RE-bar4"/>
      <sheetName val="전선_및_전선관4"/>
      <sheetName val="Lookup_tables4"/>
      <sheetName val="Grid_&amp;_A_M4"/>
      <sheetName val="half_slab-14"/>
      <sheetName val="기타_정보통신공사4"/>
      <sheetName val="CT_4"/>
      <sheetName val="TABLE2-2_OSBL(total)4"/>
      <sheetName val="system_&amp;_LOOK_UP_FUNC4"/>
      <sheetName val="Annex_3_Price_Table_Piping_Sho4"/>
      <sheetName val="Sheet3_(2)4"/>
      <sheetName val="2_설계제원4"/>
      <sheetName val="PRICE_COMP4"/>
      <sheetName val="전_기4"/>
      <sheetName val="PROJECT_BRIEF(EX_NEW)4"/>
      <sheetName val="주공_갑지4"/>
      <sheetName val="IMPEADENCE_MAP_취수장4"/>
      <sheetName val="산재_안전4"/>
      <sheetName val="노무비_경비4"/>
      <sheetName val="자__재4"/>
      <sheetName val="b_balju_(2)4"/>
      <sheetName val="단위별_일위대가표4"/>
      <sheetName val="1_관로4"/>
      <sheetName val="2000_054"/>
      <sheetName val="SUM_(INQNO_4"/>
      <sheetName val="97_사업추정(WEKI)4"/>
      <sheetName val="ASTM_C5854"/>
      <sheetName val="INDIRECT_COST-PART_l4"/>
      <sheetName val="Administrative_Prices4"/>
      <sheetName val="견적금액(2003_12_22)4"/>
      <sheetName val="단계별내역_(2)4"/>
      <sheetName val="LIST_OF_OFFICE_EQUI4"/>
      <sheetName val="REINF_4"/>
      <sheetName val="cross_beam4"/>
      <sheetName val="토공_갑지4"/>
      <sheetName val="Tender_Summary4"/>
      <sheetName val="주빔의_설계4"/>
      <sheetName val="1）WELDING_POINT4"/>
      <sheetName val="9_2단가산출서4"/>
      <sheetName val="1_취수장4"/>
      <sheetName val="바_한일양산4"/>
      <sheetName val="CPM챠트_4"/>
      <sheetName val="8_PILE__(돌출)4"/>
      <sheetName val="Util&amp;_Real2"/>
      <sheetName val="C_배수관공4"/>
      <sheetName val="90_03실행"/>
      <sheetName val="KSC칸막이_일위대가"/>
      <sheetName val="INDIRECT_MOBILIZATION_Pԟ缀"/>
      <sheetName val="ITEM_CODE"/>
      <sheetName val="Change_r嗠O嘬"/>
      <sheetName val="IMP__REACTOR_"/>
      <sheetName val="90_03혁⍧"/>
      <sheetName val="표지_(2)"/>
      <sheetName val="road_&amp;paving"/>
      <sheetName val="HORI__VESSEL"/>
      <sheetName val="3_공통공사대비"/>
      <sheetName val="FA棍"/>
      <sheetName val="3_하중산정4_지지력"/>
      <sheetName val="단__가__대__비__표"/>
      <sheetName val="일__위__대__가__목__록"/>
      <sheetName val="RCD-ST_"/>
      <sheetName val="1차_내역서"/>
      <sheetName val="8_"/>
      <sheetName val="5_"/>
      <sheetName val="12_"/>
      <sheetName val="14_"/>
      <sheetName val="9_"/>
      <sheetName val="7_"/>
      <sheetName val="3_현장배치"/>
      <sheetName val="RCD-ST_x0015_"/>
      <sheetName val="INDIRECT MOBILIZATION Pԟ"/>
      <sheetName val="Mp-t"/>
      <sheetName val="FA_x0006_"/>
      <sheetName val="______골"/>
      <sheetName val="대비표(토공1안)"/>
      <sheetName val="견적정보"/>
      <sheetName val="단가견적조사표"/>
      <sheetName val="Detail"/>
      <sheetName val="골재집계"/>
      <sheetName val="입출재고현황 (2)"/>
      <sheetName val="물량기준표"/>
      <sheetName val="용산1(해보)"/>
      <sheetName val="발주서양식"/>
      <sheetName val="이형관기호표1"/>
      <sheetName val="단면치_x0000_"/>
      <sheetName val="DNW"/>
      <sheetName val="2공구산출내역"/>
      <sheetName val="암거치수표"/>
      <sheetName val="재료집계표빽업"/>
      <sheetName val="암거수리계산서"/>
      <sheetName val="◀암거수리계산조서"/>
      <sheetName val="최종단면▶"/>
      <sheetName val="견적서세부_x0000__x0000_"/>
      <sheetName val="차수"/>
      <sheetName val="당초수량"/>
      <sheetName val="DGR &amp; REKSAL"/>
      <sheetName val="건축부하"/>
      <sheetName val="김포IO"/>
      <sheetName val="제원.설계조건"/>
      <sheetName val="Chang_x0000__x0000_Ԁ_x0000_夓"/>
      <sheetName val="Chang_x0000__x0000_Ԁ_x0000_ꀀⱋ"/>
      <sheetName val="일위대가표 (2)"/>
      <sheetName val="2F 회의실견적_5_14 일대_"/>
      <sheetName val="FA⢀㰀⢁"/>
      <sheetName val="FAࢾ㲄︀탕"/>
      <sheetName val="woo("/>
      <sheetName val="woo(_x0000__x0000__x0005__x0000_"/>
      <sheetName val="신'"/>
      <sheetName val="신_x0000_"/>
      <sheetName val="H-pile(298x299)"/>
      <sheetName val="H-pile(250x250)"/>
      <sheetName val="INPUTDATA"/>
      <sheetName val="찍기"/>
      <sheetName val="실행예산-변경분"/>
      <sheetName val="검사현황"/>
      <sheetName val="______골조부_x0012__x0015__x0008__"/>
      <sheetName val="총괄"/>
      <sheetName val="기술부 VENDOR LIST"/>
      <sheetName val="설-원가"/>
      <sheetName val="95삼성급(본사)"/>
      <sheetName val="UNQ CODE"/>
      <sheetName val="F-Assump"/>
      <sheetName val="증감내역"/>
      <sheetName val="운동장 (2)"/>
      <sheetName val="NSMA-sက?諱ԃ"/>
      <sheetName val="Ѐ???"/>
      <sheetName val="FAND_x0010_?"/>
      <sheetName val="NSMA-s〯â???"/>
      <sheetName val="최초침-?ü?"/>
      <sheetName val="보도씀鈖ԯ?"/>
      <sheetName val="RCD-ST_x0015_?_x000a_?_x0014_?_x000e_?_x0012_?_x0015_?_x0004_?_x0004_?"/>
      <sheetName val="?_x0004_?_x0004_"/>
      <sheetName val="______골ମ⿥_x0005_???"/>
      <sheetName val="INDIRECT MOBILIZATION Pԟ?缀"/>
      <sheetName val="FA_x0006_??棍"/>
      <sheetName val="을부︀ꏕԯ?"/>
      <sheetName val="기초0?"/>
      <sheetName val="單價表단가표"/>
      <sheetName val="PACKING LIST"/>
      <sheetName val="전기자료"/>
      <sheetName val="포장복구집계"/>
      <sheetName val="______골조부_____"/>
      <sheetName val="FAND_"/>
      <sheetName val="1_우편집중내__"/>
      <sheetName val="activesheet"/>
      <sheetName val="Ex-Rate"/>
      <sheetName val="GAEYO"/>
      <sheetName val="Ext. Stone-P"/>
      <sheetName val="FURNITURE-01"/>
      <sheetName val="천안IP공장자100노100물량110할증"/>
      <sheetName val="노임이"/>
      <sheetName val="추가예산"/>
      <sheetName val="Girder"/>
      <sheetName val="집행갑지"/>
      <sheetName val="GAEYOXLS"/>
      <sheetName val="Parts"/>
      <sheetName val="Menu A"/>
      <sheetName val="간접경상비"/>
      <sheetName val="APT"/>
      <sheetName val="부속동"/>
      <sheetName val="제출견적(을)"/>
      <sheetName val="매입세율"/>
      <sheetName val="광혁기성"/>
      <sheetName val="양수장(기계)"/>
      <sheetName val="예비품"/>
      <sheetName val="FB25JN"/>
      <sheetName val="XZLC004_PART2"/>
      <sheetName val="원부자재"/>
      <sheetName val="식재총괄"/>
      <sheetName val="COMPOHP (2)"/>
      <sheetName val="공정코드"/>
      <sheetName val="C_d"/>
      <sheetName val="기존"/>
      <sheetName val="대리점판정"/>
      <sheetName val="EQUIPMENT -2"/>
      <sheetName val="건축집계"/>
      <sheetName val="단가산출1"/>
      <sheetName val="45,46"/>
      <sheetName val="chitimc"/>
      <sheetName val="기존단가 (2)"/>
      <sheetName val="PANEL"/>
      <sheetName val="Curves"/>
      <sheetName val="Tables"/>
      <sheetName val="TOTAL1"/>
      <sheetName val="목표세부명세"/>
      <sheetName val="단위세대물량"/>
      <sheetName val="연돌일위집계"/>
      <sheetName val="마산월령동골조물량변경"/>
      <sheetName val="콘크리트타설집계표"/>
      <sheetName val="횡배수관토공수량"/>
      <sheetName val="전계가"/>
      <sheetName val="배수내역 (2)"/>
      <sheetName val="빗물받이(910-510-410)"/>
      <sheetName val="가압장(토목)"/>
      <sheetName val="실행내역서 "/>
      <sheetName val="재료율"/>
      <sheetName val="기존단가_(2)"/>
      <sheetName val="Ext__Stone-P"/>
      <sheetName val="Menu_A"/>
      <sheetName val="연부97-1"/>
      <sheetName val="심의위원명단"/>
      <sheetName val="7월11일"/>
      <sheetName val="Raw Data"/>
      <sheetName val="품종별-이름"/>
      <sheetName val="내역 누락분 수량산출서"/>
      <sheetName val="상반기손익차2총괄"/>
      <sheetName val="평균터파기고(1-2,ASP)"/>
      <sheetName val="VLOOKUP"/>
      <sheetName val="cal-foamglass"/>
      <sheetName val="BQ List"/>
      <sheetName val="7-2"/>
      <sheetName val="F-302"/>
      <sheetName val="F301.303"/>
      <sheetName val="공사설계서"/>
      <sheetName val="날개벽수량표"/>
      <sheetName val="위치조서"/>
      <sheetName val="NYS"/>
      <sheetName val="설계변경내역서"/>
      <sheetName val="HW일위"/>
      <sheetName val="1층"/>
      <sheetName val="기안지"/>
      <sheetName val="업무분장"/>
      <sheetName val="소방사항"/>
      <sheetName val="XZLC003_PART1"/>
      <sheetName val="220 (2)"/>
      <sheetName val="전차선로 물량표"/>
      <sheetName val="금융"/>
      <sheetName val="교통대책내역"/>
      <sheetName val="기흥하도용"/>
      <sheetName val="산#3-2-2"/>
      <sheetName val="EQUIP LIST"/>
      <sheetName val="Note"/>
      <sheetName val="Heads"/>
      <sheetName val="Page 2"/>
      <sheetName val="Dbase"/>
      <sheetName val="가설공사"/>
      <sheetName val="별표집계"/>
      <sheetName val="_REF"/>
      <sheetName val="STAND20"/>
      <sheetName val="ASP"/>
      <sheetName val="부대공Ⅱ"/>
      <sheetName val="COVER-P"/>
      <sheetName val="PIPE(UG)내역"/>
      <sheetName val="낙찰표"/>
      <sheetName val="단가산출"/>
      <sheetName val="VENT"/>
      <sheetName val="점수계산1-2"/>
      <sheetName val="다곡2교"/>
      <sheetName val="Lr"/>
      <sheetName val="진접"/>
      <sheetName val="98수문일위"/>
      <sheetName val="처리단락"/>
      <sheetName val="피벗테이블데이터분석"/>
      <sheetName val="적용단위길이"/>
      <sheetName val="특수기호강도거푸집"/>
      <sheetName val="종배수관면벽신"/>
      <sheetName val="종배수관(신)"/>
      <sheetName val="LD"/>
      <sheetName val="DB"/>
      <sheetName val="VXXXXX"/>
      <sheetName val=" 갑지"/>
      <sheetName val="EXCHANGER-BEAM1"/>
      <sheetName val="EXCHANGER-COM"/>
      <sheetName val="EXCHANGER"/>
      <sheetName val="EXCHANGER-BEAM2"/>
      <sheetName val="방수"/>
      <sheetName val="총원"/>
      <sheetName val="매립"/>
      <sheetName val="D-경비1"/>
      <sheetName val="소요자재명세서"/>
      <sheetName val="노무비명세서"/>
      <sheetName val="____(주)경원건축공ﶻĉ"/>
      <sheetName val="____(주)경원건축공ﶻ_x001e_"/>
      <sheetName val="型钢重"/>
      <sheetName val="급É"/>
      <sheetName val="FA"/>
      <sheetName val="VA_code"/>
      <sheetName val="오억ø_x0000_"/>
      <sheetName val="FA_x0000__x0000_Ԁ_x0000_"/>
      <sheetName val="견적서세부︀駕"/>
      <sheetName val="견적서세부︀"/>
      <sheetName val="A__My_Documents_1999__________3"/>
      <sheetName val="연결_x0000__x0000_"/>
      <sheetName val="노임단"/>
      <sheetName val="노임단렀"/>
      <sheetName val="노임단✀"/>
      <sheetName val="노임단䠀"/>
      <sheetName val="산출내역서집계_x0000_"/>
      <sheetName val="산출내역서집계葨"/>
      <sheetName val="산출내역서집계罸"/>
      <sheetName val="산출내역서집계헾"/>
      <sheetName val="단락전류-A"/>
      <sheetName val="erl-b"/>
      <sheetName val="원︀髕ԯ"/>
      <sheetName val="역T형교대(말뚝기초)"/>
      <sheetName val="기초입력 DATA"/>
      <sheetName val="桥架!"/>
      <sheetName val="노임적용"/>
      <sheetName val="노䃈絎쬂"/>
      <sheetName val="노È_x0000_Ԁ"/>
      <sheetName val="치수표"/>
      <sheetName val="_______x0009__x0000__x0000__x0001_Ԁ_x0000_ﬀ"/>
      <sheetName val="_______x0009__x0000__x0000__x0001_Ԁ_x0000__x0000__x0000_"/>
      <sheetName val="PRO熸B떧⽱"/>
      <sheetName val="Sheet10"/>
      <sheetName val="calcul"/>
      <sheetName val="프랜트면_x0000_"/>
      <sheetName val="간접비"/>
      <sheetName val="부_x0000__x0000_Ԁ"/>
      <sheetName val="archi(본勆_x0010_"/>
      <sheetName val="도체종-상수표"/>
      <sheetName val="eq. mobilization"/>
      <sheetName val="____(주)경원건축공사비분_x0000__x0000_ⓐ_x0000__x0000__x0000_"/>
      <sheetName val="ChangÂ_x0000_Ԁ_x0000__x0000_镡"/>
      <sheetName val="ChangÂ_x0000_Ԁ_x0000_쀀႓"/>
      <sheetName val="ChangÂ_x0000_씀_x0002_　崮"/>
      <sheetName val="ChangÂ쀀_x0000__x0000__x0001_"/>
      <sheetName val="______골ମ⿥ _x0000__x0000__x0000_"/>
      <sheetName val="RCD-ST _x0000__x000a__x0000_ _x0000_ _x0000_ _x0000_ _x0000_ _x0000_ "/>
      <sheetName val="_x0000_ _x0000_ "/>
      <sheetName val="FA _x0000__x0000_棍"/>
      <sheetName val="RCD-ST _x0000_ _x0000_ _x0000_ _x0000_ _x0000_ _x0000_ _x0000_ "/>
      <sheetName val="______골ମ⿥ "/>
      <sheetName val="RCD-ST "/>
      <sheetName val="FA "/>
      <sheetName val="______골조부   _"/>
      <sheetName val="____(주)경원건축공ﶻ _x0000__x0000_읰∉"/>
      <sheetName val="____(주)경원건축공ﶻ _x0000__x0000_ﳐ⡷"/>
      <sheetName val="____(주)경원건축공ﶻ _x0000__x0000_ⱐỹ"/>
      <sheetName val="____(주)경원건축공ﶻ _x0000__x0000_萨ⓤ"/>
      <sheetName val="FAND ?"/>
      <sheetName val="RCD-ST ?_x000a_? ? ? ? ? ? ?"/>
      <sheetName val="? ? "/>
      <sheetName val="______골ମ⿥ ???"/>
      <sheetName val="FA ??棍"/>
      <sheetName val="D-1401A-B-C"/>
      <sheetName val="1ST"/>
      <sheetName val="노È"/>
      <sheetName val="전損R_xda38_"/>
      <sheetName val="전損&lt;俘"/>
      <sheetName val="전㋄Ȳ_xdc00_"/>
      <sheetName val="노집"/>
      <sheetName val="부대tu"/>
      <sheetName val="laroux"/>
      <sheetName val="프랜ㆨӫ"/>
      <sheetName val="______ _x0000__x0000__x0001_Ԁ_x0000_ﬀ"/>
      <sheetName val="______ _x0000__x0000__x0001_Ԁ_x0000__x0000__x0000_"/>
      <sheetName val="A__My_Documents_1999__________4"/>
      <sheetName val="설비_(FAB)"/>
      <sheetName val="터널조도"/>
      <sheetName val="HSA"/>
      <sheetName val="ANALYSER"/>
      <sheetName val="내역서(갑)"/>
      <sheetName val="퇴비산출_x0000__x0000_"/>
      <sheetName val="퇴비산출ꠁ횁"/>
      <sheetName val="대목"/>
      <sheetName val="원형1호맨홀토공수량"/>
      <sheetName val="장비㒰7"/>
      <sheetName val="FOB발"/>
      <sheetName val="그림모음"/>
      <sheetName val="입적표"/>
      <sheetName val="설계_x0000__x0000__x0005__x0000_"/>
      <sheetName val="운반비산_x0000_"/>
      <sheetName val="개인별목표"/>
      <sheetName val="코스트센터 Master"/>
      <sheetName val="personnel"/>
      <sheetName val="방문목록"/>
      <sheetName val="견적접수"/>
      <sheetName val="자판쀀ዣ"/>
      <sheetName val="전체_x0000_騀"/>
      <sheetName val="변수2"/>
      <sheetName val="저항"/>
      <sheetName val="일지-h"/>
      <sheetName val="약전닥트"/>
      <sheetName val="fd"/>
      <sheetName val="99관저"/>
      <sheetName val="fa설치명세"/>
      <sheetName val="2.입력"/>
      <sheetName val="RM"/>
      <sheetName val="wooÁ_x0000_Ԁ_x0000_耀"/>
      <sheetName val="노임_x0003__x0000_"/>
      <sheetName val="DATA 입력란"/>
      <sheetName val="연결砀ૹ"/>
      <sheetName val="______주닑⿂_x0005_"/>
      <sheetName val="______주_x0005__x0000_"/>
      <sheetName val="인부임"/>
      <sheetName val="working load at the btm ft."/>
      <sheetName val="stability check"/>
      <sheetName val="design load"/>
      <sheetName val="수목단가"/>
      <sheetName val="시설수량표"/>
      <sheetName val="식재수량표"/>
      <sheetName val="일위목록"/>
      <sheetName val="Mc1"/>
      <sheetName val="실적(년)"/>
      <sheetName val="견적현황"/>
      <sheetName val="업체방문내역"/>
      <sheetName val="____(주)경원건축공사비분석㖘į"/>
      <sheetName val="조건표"/>
      <sheetName val="자료"/>
      <sheetName val="토목-물가"/>
      <sheetName val="운반비ࠀཿ"/>
      <sheetName val="ASEM내역"/>
      <sheetName val="전㋄Ȳ?"/>
      <sheetName val="기성"/>
      <sheetName val="98비정기소모"/>
      <sheetName val="공종별 집계표"/>
      <sheetName val="총괄집계표"/>
      <sheetName val="앵커구조계산"/>
      <sheetName val="현대물량"/>
      <sheetName val="소상 &quot;1&quot;"/>
      <sheetName val="BJJIN"/>
      <sheetName val="타공종이기"/>
      <sheetName val="용수토공연장조서"/>
      <sheetName val="세부내역서"/>
      <sheetName val="방송(체육관)"/>
      <sheetName val="OHU"/>
      <sheetName val="Construction"/>
      <sheetName val="20_002"/>
      <sheetName val="FAB"/>
      <sheetName val="집수정"/>
      <sheetName val="Rooms"/>
      <sheetName val="식재가격"/>
      <sheetName val="____(주)경원건_x0000__x0000_Ԁ_x0000_耀ഽ㫥_x0002_"/>
      <sheetName val="共機J"/>
      <sheetName val="FINAL SUM."/>
      <sheetName val="원_x0000__x0000_g"/>
      <sheetName val="woo_x0000_Ԁ_x0000__x0000_"/>
      <sheetName val="woo_x0000_Ԁ_x0000_쀀"/>
      <sheetName val="맨홀수량산출"/>
      <sheetName val="가감수량"/>
      <sheetName val="s.v"/>
      <sheetName val="최종견"/>
      <sheetName val="시추주상도"/>
      <sheetName val="안국연체"/>
      <sheetName val="남양내역"/>
      <sheetName val="r"/>
      <sheetName val="cap"/>
      <sheetName val="정리"/>
      <sheetName val="dv&amp;cl"/>
      <sheetName val="var."/>
      <sheetName val="T颰ዯ"/>
      <sheetName val="인건¹_x0000_Ԁ"/>
      <sheetName val="Giá tổng hợp"/>
      <sheetName val="H.Satuan"/>
      <sheetName val="현장관리비집계표"/>
      <sheetName val="____(주)경원건축공사비분"/>
      <sheetName val="상품입고집계"/>
      <sheetName val="수목데이타 "/>
      <sheetName val="단ၒ_x0000__x0000_"/>
      <sheetName val="FAØ_x0000_Ԁ_x0000_"/>
      <sheetName val="광속"/>
      <sheetName val="Macro(전등)"/>
      <sheetName val="ChangÂ"/>
      <sheetName val="ChangÂ쀀"/>
      <sheetName val="90.03灃쾎昈"/>
      <sheetName val="90.03쾌ຩ"/>
      <sheetName val="90.03灃⾎崤"/>
      <sheetName val="90.03C鶎ᜇ"/>
      <sheetName val="purpose&amp;input"/>
      <sheetName val="water prop."/>
      <sheetName val="원가계산 (2)"/>
      <sheetName val="석축설면"/>
      <sheetName val="법면단"/>
      <sheetName val="당진1,2호기전선관설치및접지4차공사내역서-을지"/>
      <sheetName val="UOP 508 PG 2-9"/>
      <sheetName val="staffsch"/>
      <sheetName val="부"/>
      <sheetName val="______ "/>
      <sheetName val="____(주)경원건축공ﶻ "/>
      <sheetName val="wooÁ"/>
      <sheetName val="______주_x0005_"/>
      <sheetName val="____(주)경원건"/>
      <sheetName val="원"/>
      <sheetName val="woo"/>
      <sheetName val="인건¹"/>
      <sheetName val="FAØ"/>
      <sheetName val="sheet17"/>
      <sheetName val="6pile  (돌출)"/>
      <sheetName val="Information"/>
      <sheetName val="1.우편집중禅〝_x0005_"/>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sheetData sheetId="884" refreshError="1"/>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sheetData sheetId="964" refreshError="1"/>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ow r="5">
          <cell r="A5">
            <v>2</v>
          </cell>
        </row>
      </sheetData>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ow r="5">
          <cell r="A5">
            <v>2</v>
          </cell>
        </row>
      </sheetData>
      <sheetData sheetId="1139">
        <row r="5">
          <cell r="A5">
            <v>2</v>
          </cell>
        </row>
      </sheetData>
      <sheetData sheetId="1140">
        <row r="5">
          <cell r="A5">
            <v>2</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ow r="5">
          <cell r="A5">
            <v>2</v>
          </cell>
        </row>
      </sheetData>
      <sheetData sheetId="1175">
        <row r="5">
          <cell r="A5">
            <v>2</v>
          </cell>
        </row>
      </sheetData>
      <sheetData sheetId="1176">
        <row r="5">
          <cell r="A5">
            <v>2</v>
          </cell>
        </row>
      </sheetData>
      <sheetData sheetId="1177">
        <row r="5">
          <cell r="A5">
            <v>2</v>
          </cell>
        </row>
      </sheetData>
      <sheetData sheetId="1178">
        <row r="5">
          <cell r="A5">
            <v>2</v>
          </cell>
        </row>
      </sheetData>
      <sheetData sheetId="1179">
        <row r="5">
          <cell r="A5">
            <v>2</v>
          </cell>
        </row>
      </sheetData>
      <sheetData sheetId="1180">
        <row r="5">
          <cell r="A5">
            <v>2</v>
          </cell>
        </row>
      </sheetData>
      <sheetData sheetId="1181">
        <row r="5">
          <cell r="A5">
            <v>2</v>
          </cell>
        </row>
      </sheetData>
      <sheetData sheetId="1182">
        <row r="5">
          <cell r="A5">
            <v>2</v>
          </cell>
        </row>
      </sheetData>
      <sheetData sheetId="1183">
        <row r="5">
          <cell r="A5">
            <v>2</v>
          </cell>
        </row>
      </sheetData>
      <sheetData sheetId="1184">
        <row r="5">
          <cell r="A5">
            <v>2</v>
          </cell>
        </row>
      </sheetData>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ow r="5">
          <cell r="A5">
            <v>2</v>
          </cell>
        </row>
      </sheetData>
      <sheetData sheetId="1203">
        <row r="5">
          <cell r="A5">
            <v>2</v>
          </cell>
        </row>
      </sheetData>
      <sheetData sheetId="1204">
        <row r="5">
          <cell r="A5">
            <v>2</v>
          </cell>
        </row>
      </sheetData>
      <sheetData sheetId="1205">
        <row r="5">
          <cell r="A5">
            <v>2</v>
          </cell>
        </row>
      </sheetData>
      <sheetData sheetId="1206">
        <row r="5">
          <cell r="A5">
            <v>2</v>
          </cell>
        </row>
      </sheetData>
      <sheetData sheetId="1207">
        <row r="5">
          <cell r="A5">
            <v>2</v>
          </cell>
        </row>
      </sheetData>
      <sheetData sheetId="1208">
        <row r="5">
          <cell r="A5">
            <v>2</v>
          </cell>
        </row>
      </sheetData>
      <sheetData sheetId="1209">
        <row r="5">
          <cell r="A5">
            <v>2</v>
          </cell>
        </row>
      </sheetData>
      <sheetData sheetId="1210">
        <row r="5">
          <cell r="A5">
            <v>2</v>
          </cell>
        </row>
      </sheetData>
      <sheetData sheetId="1211">
        <row r="5">
          <cell r="A5">
            <v>2</v>
          </cell>
        </row>
      </sheetData>
      <sheetData sheetId="1212">
        <row r="5">
          <cell r="A5">
            <v>2</v>
          </cell>
        </row>
      </sheetData>
      <sheetData sheetId="1213">
        <row r="5">
          <cell r="A5">
            <v>2</v>
          </cell>
        </row>
      </sheetData>
      <sheetData sheetId="1214">
        <row r="5">
          <cell r="A5">
            <v>2</v>
          </cell>
        </row>
      </sheetData>
      <sheetData sheetId="1215">
        <row r="5">
          <cell r="A5">
            <v>2</v>
          </cell>
        </row>
      </sheetData>
      <sheetData sheetId="1216">
        <row r="5">
          <cell r="A5">
            <v>2</v>
          </cell>
        </row>
      </sheetData>
      <sheetData sheetId="1217">
        <row r="5">
          <cell r="A5">
            <v>2</v>
          </cell>
        </row>
      </sheetData>
      <sheetData sheetId="1218">
        <row r="5">
          <cell r="A5">
            <v>2</v>
          </cell>
        </row>
      </sheetData>
      <sheetData sheetId="1219">
        <row r="5">
          <cell r="A5">
            <v>2</v>
          </cell>
        </row>
      </sheetData>
      <sheetData sheetId="1220">
        <row r="5">
          <cell r="A5">
            <v>2</v>
          </cell>
        </row>
      </sheetData>
      <sheetData sheetId="1221">
        <row r="5">
          <cell r="A5">
            <v>2</v>
          </cell>
        </row>
      </sheetData>
      <sheetData sheetId="1222">
        <row r="5">
          <cell r="A5">
            <v>2</v>
          </cell>
        </row>
      </sheetData>
      <sheetData sheetId="1223">
        <row r="5">
          <cell r="A5">
            <v>2</v>
          </cell>
        </row>
      </sheetData>
      <sheetData sheetId="1224">
        <row r="5">
          <cell r="A5">
            <v>2</v>
          </cell>
        </row>
      </sheetData>
      <sheetData sheetId="1225">
        <row r="5">
          <cell r="A5">
            <v>2</v>
          </cell>
        </row>
      </sheetData>
      <sheetData sheetId="1226">
        <row r="5">
          <cell r="A5">
            <v>2</v>
          </cell>
        </row>
      </sheetData>
      <sheetData sheetId="1227">
        <row r="5">
          <cell r="A5">
            <v>2</v>
          </cell>
        </row>
      </sheetData>
      <sheetData sheetId="1228">
        <row r="5">
          <cell r="A5">
            <v>2</v>
          </cell>
        </row>
      </sheetData>
      <sheetData sheetId="1229">
        <row r="5">
          <cell r="A5">
            <v>2</v>
          </cell>
        </row>
      </sheetData>
      <sheetData sheetId="1230">
        <row r="5">
          <cell r="A5">
            <v>2</v>
          </cell>
        </row>
      </sheetData>
      <sheetData sheetId="1231">
        <row r="5">
          <cell r="A5">
            <v>2</v>
          </cell>
        </row>
      </sheetData>
      <sheetData sheetId="1232">
        <row r="5">
          <cell r="A5">
            <v>2</v>
          </cell>
        </row>
      </sheetData>
      <sheetData sheetId="1233">
        <row r="5">
          <cell r="A5">
            <v>2</v>
          </cell>
        </row>
      </sheetData>
      <sheetData sheetId="1234">
        <row r="5">
          <cell r="A5">
            <v>2</v>
          </cell>
        </row>
      </sheetData>
      <sheetData sheetId="1235">
        <row r="5">
          <cell r="A5">
            <v>2</v>
          </cell>
        </row>
      </sheetData>
      <sheetData sheetId="1236">
        <row r="5">
          <cell r="A5">
            <v>2</v>
          </cell>
        </row>
      </sheetData>
      <sheetData sheetId="1237">
        <row r="5">
          <cell r="A5">
            <v>2</v>
          </cell>
        </row>
      </sheetData>
      <sheetData sheetId="1238">
        <row r="5">
          <cell r="A5">
            <v>2</v>
          </cell>
        </row>
      </sheetData>
      <sheetData sheetId="1239">
        <row r="5">
          <cell r="A5">
            <v>2</v>
          </cell>
        </row>
      </sheetData>
      <sheetData sheetId="1240">
        <row r="5">
          <cell r="A5">
            <v>2</v>
          </cell>
        </row>
      </sheetData>
      <sheetData sheetId="1241">
        <row r="5">
          <cell r="A5">
            <v>2</v>
          </cell>
        </row>
      </sheetData>
      <sheetData sheetId="1242">
        <row r="5">
          <cell r="A5">
            <v>2</v>
          </cell>
        </row>
      </sheetData>
      <sheetData sheetId="1243">
        <row r="5">
          <cell r="A5">
            <v>2</v>
          </cell>
        </row>
      </sheetData>
      <sheetData sheetId="1244">
        <row r="5">
          <cell r="A5">
            <v>2</v>
          </cell>
        </row>
      </sheetData>
      <sheetData sheetId="1245">
        <row r="5">
          <cell r="A5">
            <v>2</v>
          </cell>
        </row>
      </sheetData>
      <sheetData sheetId="1246">
        <row r="5">
          <cell r="A5">
            <v>2</v>
          </cell>
        </row>
      </sheetData>
      <sheetData sheetId="1247">
        <row r="5">
          <cell r="A5">
            <v>2</v>
          </cell>
        </row>
      </sheetData>
      <sheetData sheetId="1248">
        <row r="5">
          <cell r="A5">
            <v>2</v>
          </cell>
        </row>
      </sheetData>
      <sheetData sheetId="1249">
        <row r="5">
          <cell r="A5">
            <v>2</v>
          </cell>
        </row>
      </sheetData>
      <sheetData sheetId="1250">
        <row r="5">
          <cell r="A5">
            <v>2</v>
          </cell>
        </row>
      </sheetData>
      <sheetData sheetId="1251">
        <row r="5">
          <cell r="A5">
            <v>2</v>
          </cell>
        </row>
      </sheetData>
      <sheetData sheetId="1252">
        <row r="5">
          <cell r="A5">
            <v>2</v>
          </cell>
        </row>
      </sheetData>
      <sheetData sheetId="1253">
        <row r="5">
          <cell r="A5">
            <v>2</v>
          </cell>
        </row>
      </sheetData>
      <sheetData sheetId="1254">
        <row r="5">
          <cell r="A5">
            <v>2</v>
          </cell>
        </row>
      </sheetData>
      <sheetData sheetId="1255">
        <row r="5">
          <cell r="A5">
            <v>2</v>
          </cell>
        </row>
      </sheetData>
      <sheetData sheetId="1256">
        <row r="5">
          <cell r="A5">
            <v>2</v>
          </cell>
        </row>
      </sheetData>
      <sheetData sheetId="1257">
        <row r="5">
          <cell r="A5">
            <v>2</v>
          </cell>
        </row>
      </sheetData>
      <sheetData sheetId="1258">
        <row r="5">
          <cell r="A5">
            <v>2</v>
          </cell>
        </row>
      </sheetData>
      <sheetData sheetId="1259">
        <row r="5">
          <cell r="A5">
            <v>2</v>
          </cell>
        </row>
      </sheetData>
      <sheetData sheetId="1260">
        <row r="5">
          <cell r="A5">
            <v>2</v>
          </cell>
        </row>
      </sheetData>
      <sheetData sheetId="1261">
        <row r="5">
          <cell r="A5">
            <v>2</v>
          </cell>
        </row>
      </sheetData>
      <sheetData sheetId="1262">
        <row r="5">
          <cell r="A5">
            <v>2</v>
          </cell>
        </row>
      </sheetData>
      <sheetData sheetId="1263">
        <row r="5">
          <cell r="A5">
            <v>2</v>
          </cell>
        </row>
      </sheetData>
      <sheetData sheetId="1264">
        <row r="5">
          <cell r="A5">
            <v>2</v>
          </cell>
        </row>
      </sheetData>
      <sheetData sheetId="1265">
        <row r="5">
          <cell r="A5">
            <v>2</v>
          </cell>
        </row>
      </sheetData>
      <sheetData sheetId="1266">
        <row r="5">
          <cell r="A5">
            <v>2</v>
          </cell>
        </row>
      </sheetData>
      <sheetData sheetId="1267">
        <row r="5">
          <cell r="A5">
            <v>2</v>
          </cell>
        </row>
      </sheetData>
      <sheetData sheetId="1268">
        <row r="5">
          <cell r="A5">
            <v>2</v>
          </cell>
        </row>
      </sheetData>
      <sheetData sheetId="1269">
        <row r="5">
          <cell r="A5">
            <v>2</v>
          </cell>
        </row>
      </sheetData>
      <sheetData sheetId="1270">
        <row r="5">
          <cell r="A5">
            <v>2</v>
          </cell>
        </row>
      </sheetData>
      <sheetData sheetId="1271">
        <row r="5">
          <cell r="A5">
            <v>2</v>
          </cell>
        </row>
      </sheetData>
      <sheetData sheetId="1272">
        <row r="5">
          <cell r="A5">
            <v>2</v>
          </cell>
        </row>
      </sheetData>
      <sheetData sheetId="1273">
        <row r="5">
          <cell r="A5">
            <v>2</v>
          </cell>
        </row>
      </sheetData>
      <sheetData sheetId="1274">
        <row r="5">
          <cell r="A5">
            <v>2</v>
          </cell>
        </row>
      </sheetData>
      <sheetData sheetId="1275">
        <row r="5">
          <cell r="A5">
            <v>2</v>
          </cell>
        </row>
      </sheetData>
      <sheetData sheetId="1276">
        <row r="5">
          <cell r="A5">
            <v>2</v>
          </cell>
        </row>
      </sheetData>
      <sheetData sheetId="1277">
        <row r="5">
          <cell r="A5">
            <v>2</v>
          </cell>
        </row>
      </sheetData>
      <sheetData sheetId="1278">
        <row r="5">
          <cell r="A5">
            <v>2</v>
          </cell>
        </row>
      </sheetData>
      <sheetData sheetId="1279">
        <row r="5">
          <cell r="A5">
            <v>2</v>
          </cell>
        </row>
      </sheetData>
      <sheetData sheetId="1280">
        <row r="5">
          <cell r="A5">
            <v>2</v>
          </cell>
        </row>
      </sheetData>
      <sheetData sheetId="1281">
        <row r="5">
          <cell r="A5">
            <v>2</v>
          </cell>
        </row>
      </sheetData>
      <sheetData sheetId="1282">
        <row r="5">
          <cell r="A5">
            <v>2</v>
          </cell>
        </row>
      </sheetData>
      <sheetData sheetId="1283">
        <row r="5">
          <cell r="A5">
            <v>2</v>
          </cell>
        </row>
      </sheetData>
      <sheetData sheetId="1284">
        <row r="5">
          <cell r="A5">
            <v>2</v>
          </cell>
        </row>
      </sheetData>
      <sheetData sheetId="1285">
        <row r="5">
          <cell r="A5">
            <v>2</v>
          </cell>
        </row>
      </sheetData>
      <sheetData sheetId="1286">
        <row r="5">
          <cell r="A5">
            <v>2</v>
          </cell>
        </row>
      </sheetData>
      <sheetData sheetId="1287">
        <row r="5">
          <cell r="A5">
            <v>2</v>
          </cell>
        </row>
      </sheetData>
      <sheetData sheetId="1288">
        <row r="5">
          <cell r="A5">
            <v>2</v>
          </cell>
        </row>
      </sheetData>
      <sheetData sheetId="1289">
        <row r="5">
          <cell r="A5">
            <v>2</v>
          </cell>
        </row>
      </sheetData>
      <sheetData sheetId="1290">
        <row r="5">
          <cell r="A5">
            <v>2</v>
          </cell>
        </row>
      </sheetData>
      <sheetData sheetId="1291">
        <row r="5">
          <cell r="A5">
            <v>2</v>
          </cell>
        </row>
      </sheetData>
      <sheetData sheetId="1292">
        <row r="5">
          <cell r="A5">
            <v>2</v>
          </cell>
        </row>
      </sheetData>
      <sheetData sheetId="1293">
        <row r="5">
          <cell r="A5">
            <v>2</v>
          </cell>
        </row>
      </sheetData>
      <sheetData sheetId="1294">
        <row r="5">
          <cell r="A5">
            <v>2</v>
          </cell>
        </row>
      </sheetData>
      <sheetData sheetId="1295">
        <row r="5">
          <cell r="A5">
            <v>2</v>
          </cell>
        </row>
      </sheetData>
      <sheetData sheetId="1296">
        <row r="5">
          <cell r="A5">
            <v>2</v>
          </cell>
        </row>
      </sheetData>
      <sheetData sheetId="1297">
        <row r="5">
          <cell r="A5">
            <v>2</v>
          </cell>
        </row>
      </sheetData>
      <sheetData sheetId="1298">
        <row r="5">
          <cell r="A5">
            <v>2</v>
          </cell>
        </row>
      </sheetData>
      <sheetData sheetId="1299">
        <row r="5">
          <cell r="A5">
            <v>2</v>
          </cell>
        </row>
      </sheetData>
      <sheetData sheetId="1300">
        <row r="5">
          <cell r="A5">
            <v>2</v>
          </cell>
        </row>
      </sheetData>
      <sheetData sheetId="1301">
        <row r="5">
          <cell r="A5">
            <v>2</v>
          </cell>
        </row>
      </sheetData>
      <sheetData sheetId="1302">
        <row r="5">
          <cell r="A5">
            <v>2</v>
          </cell>
        </row>
      </sheetData>
      <sheetData sheetId="1303">
        <row r="5">
          <cell r="A5">
            <v>2</v>
          </cell>
        </row>
      </sheetData>
      <sheetData sheetId="1304">
        <row r="5">
          <cell r="A5">
            <v>2</v>
          </cell>
        </row>
      </sheetData>
      <sheetData sheetId="1305">
        <row r="5">
          <cell r="A5">
            <v>2</v>
          </cell>
        </row>
      </sheetData>
      <sheetData sheetId="1306">
        <row r="5">
          <cell r="A5">
            <v>2</v>
          </cell>
        </row>
      </sheetData>
      <sheetData sheetId="1307">
        <row r="5">
          <cell r="A5">
            <v>2</v>
          </cell>
        </row>
      </sheetData>
      <sheetData sheetId="1308">
        <row r="5">
          <cell r="A5">
            <v>2</v>
          </cell>
        </row>
      </sheetData>
      <sheetData sheetId="1309">
        <row r="5">
          <cell r="A5">
            <v>2</v>
          </cell>
        </row>
      </sheetData>
      <sheetData sheetId="1310">
        <row r="5">
          <cell r="A5">
            <v>2</v>
          </cell>
        </row>
      </sheetData>
      <sheetData sheetId="1311">
        <row r="5">
          <cell r="A5">
            <v>2</v>
          </cell>
        </row>
      </sheetData>
      <sheetData sheetId="1312">
        <row r="5">
          <cell r="A5">
            <v>2</v>
          </cell>
        </row>
      </sheetData>
      <sheetData sheetId="1313">
        <row r="5">
          <cell r="A5">
            <v>2</v>
          </cell>
        </row>
      </sheetData>
      <sheetData sheetId="1314">
        <row r="5">
          <cell r="A5">
            <v>2</v>
          </cell>
        </row>
      </sheetData>
      <sheetData sheetId="1315">
        <row r="5">
          <cell r="A5">
            <v>2</v>
          </cell>
        </row>
      </sheetData>
      <sheetData sheetId="1316">
        <row r="5">
          <cell r="A5">
            <v>2</v>
          </cell>
        </row>
      </sheetData>
      <sheetData sheetId="1317">
        <row r="5">
          <cell r="A5">
            <v>2</v>
          </cell>
        </row>
      </sheetData>
      <sheetData sheetId="1318">
        <row r="5">
          <cell r="A5">
            <v>2</v>
          </cell>
        </row>
      </sheetData>
      <sheetData sheetId="1319">
        <row r="5">
          <cell r="A5">
            <v>2</v>
          </cell>
        </row>
      </sheetData>
      <sheetData sheetId="1320">
        <row r="5">
          <cell r="A5">
            <v>2</v>
          </cell>
        </row>
      </sheetData>
      <sheetData sheetId="1321">
        <row r="5">
          <cell r="A5">
            <v>2</v>
          </cell>
        </row>
      </sheetData>
      <sheetData sheetId="1322">
        <row r="5">
          <cell r="A5">
            <v>2</v>
          </cell>
        </row>
      </sheetData>
      <sheetData sheetId="1323">
        <row r="5">
          <cell r="A5">
            <v>2</v>
          </cell>
        </row>
      </sheetData>
      <sheetData sheetId="1324">
        <row r="5">
          <cell r="A5">
            <v>2</v>
          </cell>
        </row>
      </sheetData>
      <sheetData sheetId="1325">
        <row r="5">
          <cell r="A5">
            <v>2</v>
          </cell>
        </row>
      </sheetData>
      <sheetData sheetId="1326">
        <row r="5">
          <cell r="A5">
            <v>2</v>
          </cell>
        </row>
      </sheetData>
      <sheetData sheetId="1327">
        <row r="5">
          <cell r="A5">
            <v>2</v>
          </cell>
        </row>
      </sheetData>
      <sheetData sheetId="1328">
        <row r="5">
          <cell r="A5">
            <v>2</v>
          </cell>
        </row>
      </sheetData>
      <sheetData sheetId="1329">
        <row r="5">
          <cell r="A5">
            <v>2</v>
          </cell>
        </row>
      </sheetData>
      <sheetData sheetId="1330">
        <row r="5">
          <cell r="A5">
            <v>2</v>
          </cell>
        </row>
      </sheetData>
      <sheetData sheetId="1331">
        <row r="5">
          <cell r="A5">
            <v>2</v>
          </cell>
        </row>
      </sheetData>
      <sheetData sheetId="1332">
        <row r="5">
          <cell r="A5">
            <v>2</v>
          </cell>
        </row>
      </sheetData>
      <sheetData sheetId="1333">
        <row r="5">
          <cell r="A5">
            <v>2</v>
          </cell>
        </row>
      </sheetData>
      <sheetData sheetId="1334">
        <row r="5">
          <cell r="A5">
            <v>2</v>
          </cell>
        </row>
      </sheetData>
      <sheetData sheetId="1335">
        <row r="5">
          <cell r="A5">
            <v>2</v>
          </cell>
        </row>
      </sheetData>
      <sheetData sheetId="1336">
        <row r="5">
          <cell r="A5">
            <v>2</v>
          </cell>
        </row>
      </sheetData>
      <sheetData sheetId="1337">
        <row r="5">
          <cell r="A5">
            <v>2</v>
          </cell>
        </row>
      </sheetData>
      <sheetData sheetId="1338">
        <row r="5">
          <cell r="A5">
            <v>2</v>
          </cell>
        </row>
      </sheetData>
      <sheetData sheetId="1339">
        <row r="5">
          <cell r="A5">
            <v>2</v>
          </cell>
        </row>
      </sheetData>
      <sheetData sheetId="1340">
        <row r="5">
          <cell r="A5">
            <v>2</v>
          </cell>
        </row>
      </sheetData>
      <sheetData sheetId="1341">
        <row r="5">
          <cell r="A5">
            <v>2</v>
          </cell>
        </row>
      </sheetData>
      <sheetData sheetId="1342">
        <row r="5">
          <cell r="A5">
            <v>2</v>
          </cell>
        </row>
      </sheetData>
      <sheetData sheetId="1343">
        <row r="5">
          <cell r="A5">
            <v>2</v>
          </cell>
        </row>
      </sheetData>
      <sheetData sheetId="1344">
        <row r="5">
          <cell r="A5">
            <v>2</v>
          </cell>
        </row>
      </sheetData>
      <sheetData sheetId="1345">
        <row r="5">
          <cell r="A5">
            <v>2</v>
          </cell>
        </row>
      </sheetData>
      <sheetData sheetId="1346">
        <row r="5">
          <cell r="A5">
            <v>2</v>
          </cell>
        </row>
      </sheetData>
      <sheetData sheetId="1347">
        <row r="5">
          <cell r="A5">
            <v>2</v>
          </cell>
        </row>
      </sheetData>
      <sheetData sheetId="1348">
        <row r="5">
          <cell r="A5">
            <v>2</v>
          </cell>
        </row>
      </sheetData>
      <sheetData sheetId="1349">
        <row r="5">
          <cell r="A5">
            <v>2</v>
          </cell>
        </row>
      </sheetData>
      <sheetData sheetId="1350">
        <row r="5">
          <cell r="A5">
            <v>2</v>
          </cell>
        </row>
      </sheetData>
      <sheetData sheetId="1351">
        <row r="5">
          <cell r="A5">
            <v>2</v>
          </cell>
        </row>
      </sheetData>
      <sheetData sheetId="1352">
        <row r="5">
          <cell r="A5">
            <v>2</v>
          </cell>
        </row>
      </sheetData>
      <sheetData sheetId="1353" refreshError="1"/>
      <sheetData sheetId="1354" refreshError="1"/>
      <sheetData sheetId="1355" refreshError="1"/>
      <sheetData sheetId="1356" refreshError="1"/>
      <sheetData sheetId="1357" refreshError="1"/>
      <sheetData sheetId="1358" refreshError="1"/>
      <sheetData sheetId="1359">
        <row r="5">
          <cell r="A5">
            <v>2</v>
          </cell>
        </row>
      </sheetData>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ow r="5">
          <cell r="A5">
            <v>2</v>
          </cell>
        </row>
      </sheetData>
      <sheetData sheetId="1384">
        <row r="5">
          <cell r="A5">
            <v>2</v>
          </cell>
        </row>
      </sheetData>
      <sheetData sheetId="1385">
        <row r="5">
          <cell r="A5">
            <v>2</v>
          </cell>
        </row>
      </sheetData>
      <sheetData sheetId="1386">
        <row r="5">
          <cell r="A5">
            <v>2</v>
          </cell>
        </row>
      </sheetData>
      <sheetData sheetId="1387" refreshError="1"/>
      <sheetData sheetId="1388">
        <row r="5">
          <cell r="A5">
            <v>2</v>
          </cell>
        </row>
      </sheetData>
      <sheetData sheetId="1389" refreshError="1"/>
      <sheetData sheetId="1390" refreshError="1"/>
      <sheetData sheetId="1391" refreshError="1"/>
      <sheetData sheetId="1392" refreshError="1"/>
      <sheetData sheetId="1393">
        <row r="5">
          <cell r="A5">
            <v>2</v>
          </cell>
        </row>
      </sheetData>
      <sheetData sheetId="1394">
        <row r="5">
          <cell r="A5">
            <v>2</v>
          </cell>
        </row>
      </sheetData>
      <sheetData sheetId="1395">
        <row r="5">
          <cell r="A5">
            <v>2</v>
          </cell>
        </row>
      </sheetData>
      <sheetData sheetId="1396">
        <row r="5">
          <cell r="A5">
            <v>2</v>
          </cell>
        </row>
      </sheetData>
      <sheetData sheetId="1397">
        <row r="5">
          <cell r="A5">
            <v>2</v>
          </cell>
        </row>
      </sheetData>
      <sheetData sheetId="1398">
        <row r="5">
          <cell r="A5">
            <v>2</v>
          </cell>
        </row>
      </sheetData>
      <sheetData sheetId="1399">
        <row r="5">
          <cell r="A5">
            <v>2</v>
          </cell>
        </row>
      </sheetData>
      <sheetData sheetId="1400">
        <row r="5">
          <cell r="A5">
            <v>2</v>
          </cell>
        </row>
      </sheetData>
      <sheetData sheetId="1401">
        <row r="5">
          <cell r="A5">
            <v>2</v>
          </cell>
        </row>
      </sheetData>
      <sheetData sheetId="1402">
        <row r="5">
          <cell r="A5">
            <v>2</v>
          </cell>
        </row>
      </sheetData>
      <sheetData sheetId="1403">
        <row r="5">
          <cell r="A5">
            <v>2</v>
          </cell>
        </row>
      </sheetData>
      <sheetData sheetId="1404">
        <row r="5">
          <cell r="A5">
            <v>2</v>
          </cell>
        </row>
      </sheetData>
      <sheetData sheetId="1405">
        <row r="5">
          <cell r="A5">
            <v>2</v>
          </cell>
        </row>
      </sheetData>
      <sheetData sheetId="1406">
        <row r="5">
          <cell r="A5">
            <v>2</v>
          </cell>
        </row>
      </sheetData>
      <sheetData sheetId="1407">
        <row r="5">
          <cell r="A5">
            <v>2</v>
          </cell>
        </row>
      </sheetData>
      <sheetData sheetId="1408">
        <row r="5">
          <cell r="A5">
            <v>2</v>
          </cell>
        </row>
      </sheetData>
      <sheetData sheetId="1409">
        <row r="5">
          <cell r="A5">
            <v>2</v>
          </cell>
        </row>
      </sheetData>
      <sheetData sheetId="1410" refreshError="1"/>
      <sheetData sheetId="1411" refreshError="1"/>
      <sheetData sheetId="1412" refreshError="1"/>
      <sheetData sheetId="1413" refreshError="1"/>
      <sheetData sheetId="1414">
        <row r="5">
          <cell r="A5">
            <v>2</v>
          </cell>
        </row>
      </sheetData>
      <sheetData sheetId="1415" refreshError="1"/>
      <sheetData sheetId="1416">
        <row r="5">
          <cell r="A5">
            <v>2</v>
          </cell>
        </row>
      </sheetData>
      <sheetData sheetId="1417">
        <row r="5">
          <cell r="A5">
            <v>2</v>
          </cell>
        </row>
      </sheetData>
      <sheetData sheetId="1418">
        <row r="5">
          <cell r="A5">
            <v>2</v>
          </cell>
        </row>
      </sheetData>
      <sheetData sheetId="1419">
        <row r="5">
          <cell r="A5">
            <v>2</v>
          </cell>
        </row>
      </sheetData>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row r="5">
          <cell r="A5">
            <v>2</v>
          </cell>
        </row>
      </sheetData>
      <sheetData sheetId="1448"/>
      <sheetData sheetId="1449"/>
      <sheetData sheetId="1450"/>
      <sheetData sheetId="1451"/>
      <sheetData sheetId="1452">
        <row r="5">
          <cell r="A5">
            <v>2</v>
          </cell>
        </row>
      </sheetData>
      <sheetData sheetId="1453">
        <row r="5">
          <cell r="A5">
            <v>2</v>
          </cell>
        </row>
      </sheetData>
      <sheetData sheetId="1454">
        <row r="5">
          <cell r="A5">
            <v>2</v>
          </cell>
        </row>
      </sheetData>
      <sheetData sheetId="1455">
        <row r="5">
          <cell r="A5">
            <v>2</v>
          </cell>
        </row>
      </sheetData>
      <sheetData sheetId="1456">
        <row r="5">
          <cell r="A5">
            <v>2</v>
          </cell>
        </row>
      </sheetData>
      <sheetData sheetId="1457">
        <row r="5">
          <cell r="A5">
            <v>2</v>
          </cell>
        </row>
      </sheetData>
      <sheetData sheetId="1458">
        <row r="5">
          <cell r="A5">
            <v>2</v>
          </cell>
        </row>
      </sheetData>
      <sheetData sheetId="1459">
        <row r="5">
          <cell r="A5">
            <v>2</v>
          </cell>
        </row>
      </sheetData>
      <sheetData sheetId="1460">
        <row r="5">
          <cell r="A5">
            <v>2</v>
          </cell>
        </row>
      </sheetData>
      <sheetData sheetId="1461">
        <row r="5">
          <cell r="A5">
            <v>2</v>
          </cell>
        </row>
      </sheetData>
      <sheetData sheetId="1462">
        <row r="5">
          <cell r="A5">
            <v>2</v>
          </cell>
        </row>
      </sheetData>
      <sheetData sheetId="1463">
        <row r="5">
          <cell r="A5">
            <v>2</v>
          </cell>
        </row>
      </sheetData>
      <sheetData sheetId="1464">
        <row r="5">
          <cell r="A5">
            <v>2</v>
          </cell>
        </row>
      </sheetData>
      <sheetData sheetId="1465">
        <row r="5">
          <cell r="A5">
            <v>2</v>
          </cell>
        </row>
      </sheetData>
      <sheetData sheetId="1466">
        <row r="5">
          <cell r="A5">
            <v>2</v>
          </cell>
        </row>
      </sheetData>
      <sheetData sheetId="1467">
        <row r="5">
          <cell r="A5">
            <v>2</v>
          </cell>
        </row>
      </sheetData>
      <sheetData sheetId="1468">
        <row r="5">
          <cell r="A5">
            <v>2</v>
          </cell>
        </row>
      </sheetData>
      <sheetData sheetId="1469">
        <row r="5">
          <cell r="A5">
            <v>2</v>
          </cell>
        </row>
      </sheetData>
      <sheetData sheetId="1470">
        <row r="5">
          <cell r="A5">
            <v>2</v>
          </cell>
        </row>
      </sheetData>
      <sheetData sheetId="1471">
        <row r="5">
          <cell r="A5">
            <v>2</v>
          </cell>
        </row>
      </sheetData>
      <sheetData sheetId="1472">
        <row r="5">
          <cell r="A5">
            <v>2</v>
          </cell>
        </row>
      </sheetData>
      <sheetData sheetId="1473">
        <row r="5">
          <cell r="A5">
            <v>2</v>
          </cell>
        </row>
      </sheetData>
      <sheetData sheetId="1474">
        <row r="5">
          <cell r="A5">
            <v>2</v>
          </cell>
        </row>
      </sheetData>
      <sheetData sheetId="1475">
        <row r="5">
          <cell r="A5">
            <v>2</v>
          </cell>
        </row>
      </sheetData>
      <sheetData sheetId="1476">
        <row r="5">
          <cell r="A5">
            <v>2</v>
          </cell>
        </row>
      </sheetData>
      <sheetData sheetId="1477">
        <row r="5">
          <cell r="A5">
            <v>2</v>
          </cell>
        </row>
      </sheetData>
      <sheetData sheetId="1478">
        <row r="5">
          <cell r="A5">
            <v>2</v>
          </cell>
        </row>
      </sheetData>
      <sheetData sheetId="1479">
        <row r="5">
          <cell r="A5">
            <v>2</v>
          </cell>
        </row>
      </sheetData>
      <sheetData sheetId="1480">
        <row r="5">
          <cell r="A5">
            <v>2</v>
          </cell>
        </row>
      </sheetData>
      <sheetData sheetId="1481">
        <row r="5">
          <cell r="A5">
            <v>2</v>
          </cell>
        </row>
      </sheetData>
      <sheetData sheetId="1482">
        <row r="5">
          <cell r="A5">
            <v>2</v>
          </cell>
        </row>
      </sheetData>
      <sheetData sheetId="1483">
        <row r="5">
          <cell r="A5">
            <v>2</v>
          </cell>
        </row>
      </sheetData>
      <sheetData sheetId="1484">
        <row r="5">
          <cell r="A5">
            <v>2</v>
          </cell>
        </row>
      </sheetData>
      <sheetData sheetId="1485">
        <row r="5">
          <cell r="A5">
            <v>2</v>
          </cell>
        </row>
      </sheetData>
      <sheetData sheetId="1486">
        <row r="5">
          <cell r="A5">
            <v>2</v>
          </cell>
        </row>
      </sheetData>
      <sheetData sheetId="1487">
        <row r="5">
          <cell r="A5">
            <v>2</v>
          </cell>
        </row>
      </sheetData>
      <sheetData sheetId="1488">
        <row r="5">
          <cell r="A5">
            <v>2</v>
          </cell>
        </row>
      </sheetData>
      <sheetData sheetId="1489">
        <row r="5">
          <cell r="A5">
            <v>2</v>
          </cell>
        </row>
      </sheetData>
      <sheetData sheetId="1490">
        <row r="5">
          <cell r="A5">
            <v>2</v>
          </cell>
        </row>
      </sheetData>
      <sheetData sheetId="1491">
        <row r="5">
          <cell r="A5">
            <v>2</v>
          </cell>
        </row>
      </sheetData>
      <sheetData sheetId="1492">
        <row r="5">
          <cell r="A5">
            <v>2</v>
          </cell>
        </row>
      </sheetData>
      <sheetData sheetId="1493">
        <row r="5">
          <cell r="A5">
            <v>2</v>
          </cell>
        </row>
      </sheetData>
      <sheetData sheetId="1494">
        <row r="5">
          <cell r="A5">
            <v>2</v>
          </cell>
        </row>
      </sheetData>
      <sheetData sheetId="1495">
        <row r="5">
          <cell r="A5">
            <v>2</v>
          </cell>
        </row>
      </sheetData>
      <sheetData sheetId="1496">
        <row r="5">
          <cell r="A5">
            <v>2</v>
          </cell>
        </row>
      </sheetData>
      <sheetData sheetId="1497">
        <row r="5">
          <cell r="A5">
            <v>2</v>
          </cell>
        </row>
      </sheetData>
      <sheetData sheetId="1498">
        <row r="5">
          <cell r="A5">
            <v>2</v>
          </cell>
        </row>
      </sheetData>
      <sheetData sheetId="1499">
        <row r="5">
          <cell r="A5">
            <v>2</v>
          </cell>
        </row>
      </sheetData>
      <sheetData sheetId="1500">
        <row r="5">
          <cell r="A5">
            <v>2</v>
          </cell>
        </row>
      </sheetData>
      <sheetData sheetId="1501">
        <row r="5">
          <cell r="A5">
            <v>2</v>
          </cell>
        </row>
      </sheetData>
      <sheetData sheetId="1502">
        <row r="5">
          <cell r="A5">
            <v>2</v>
          </cell>
        </row>
      </sheetData>
      <sheetData sheetId="1503">
        <row r="5">
          <cell r="A5">
            <v>2</v>
          </cell>
        </row>
      </sheetData>
      <sheetData sheetId="1504">
        <row r="5">
          <cell r="A5">
            <v>2</v>
          </cell>
        </row>
      </sheetData>
      <sheetData sheetId="1505">
        <row r="5">
          <cell r="A5">
            <v>2</v>
          </cell>
        </row>
      </sheetData>
      <sheetData sheetId="1506">
        <row r="5">
          <cell r="A5">
            <v>2</v>
          </cell>
        </row>
      </sheetData>
      <sheetData sheetId="1507">
        <row r="5">
          <cell r="A5">
            <v>2</v>
          </cell>
        </row>
      </sheetData>
      <sheetData sheetId="1508">
        <row r="5">
          <cell r="A5">
            <v>2</v>
          </cell>
        </row>
      </sheetData>
      <sheetData sheetId="1509">
        <row r="5">
          <cell r="A5">
            <v>2</v>
          </cell>
        </row>
      </sheetData>
      <sheetData sheetId="1510">
        <row r="5">
          <cell r="A5">
            <v>2</v>
          </cell>
        </row>
      </sheetData>
      <sheetData sheetId="1511">
        <row r="5">
          <cell r="A5">
            <v>2</v>
          </cell>
        </row>
      </sheetData>
      <sheetData sheetId="1512">
        <row r="5">
          <cell r="A5">
            <v>2</v>
          </cell>
        </row>
      </sheetData>
      <sheetData sheetId="1513">
        <row r="5">
          <cell r="A5">
            <v>2</v>
          </cell>
        </row>
      </sheetData>
      <sheetData sheetId="1514">
        <row r="5">
          <cell r="A5">
            <v>2</v>
          </cell>
        </row>
      </sheetData>
      <sheetData sheetId="1515">
        <row r="5">
          <cell r="A5">
            <v>2</v>
          </cell>
        </row>
      </sheetData>
      <sheetData sheetId="1516">
        <row r="5">
          <cell r="A5">
            <v>2</v>
          </cell>
        </row>
      </sheetData>
      <sheetData sheetId="1517">
        <row r="5">
          <cell r="A5">
            <v>2</v>
          </cell>
        </row>
      </sheetData>
      <sheetData sheetId="1518">
        <row r="5">
          <cell r="A5">
            <v>2</v>
          </cell>
        </row>
      </sheetData>
      <sheetData sheetId="1519">
        <row r="5">
          <cell r="A5">
            <v>2</v>
          </cell>
        </row>
      </sheetData>
      <sheetData sheetId="1520">
        <row r="5">
          <cell r="A5">
            <v>2</v>
          </cell>
        </row>
      </sheetData>
      <sheetData sheetId="1521">
        <row r="5">
          <cell r="A5">
            <v>2</v>
          </cell>
        </row>
      </sheetData>
      <sheetData sheetId="1522">
        <row r="5">
          <cell r="A5">
            <v>2</v>
          </cell>
        </row>
      </sheetData>
      <sheetData sheetId="1523">
        <row r="5">
          <cell r="A5">
            <v>2</v>
          </cell>
        </row>
      </sheetData>
      <sheetData sheetId="1524">
        <row r="5">
          <cell r="A5">
            <v>2</v>
          </cell>
        </row>
      </sheetData>
      <sheetData sheetId="1525">
        <row r="5">
          <cell r="A5">
            <v>2</v>
          </cell>
        </row>
      </sheetData>
      <sheetData sheetId="1526">
        <row r="5">
          <cell r="A5">
            <v>2</v>
          </cell>
        </row>
      </sheetData>
      <sheetData sheetId="1527">
        <row r="5">
          <cell r="A5">
            <v>2</v>
          </cell>
        </row>
      </sheetData>
      <sheetData sheetId="1528">
        <row r="5">
          <cell r="A5">
            <v>2</v>
          </cell>
        </row>
      </sheetData>
      <sheetData sheetId="1529">
        <row r="5">
          <cell r="A5">
            <v>2</v>
          </cell>
        </row>
      </sheetData>
      <sheetData sheetId="1530">
        <row r="5">
          <cell r="A5">
            <v>2</v>
          </cell>
        </row>
      </sheetData>
      <sheetData sheetId="1531">
        <row r="5">
          <cell r="A5">
            <v>2</v>
          </cell>
        </row>
      </sheetData>
      <sheetData sheetId="1532">
        <row r="5">
          <cell r="A5">
            <v>2</v>
          </cell>
        </row>
      </sheetData>
      <sheetData sheetId="1533">
        <row r="5">
          <cell r="A5">
            <v>2</v>
          </cell>
        </row>
      </sheetData>
      <sheetData sheetId="1534">
        <row r="5">
          <cell r="A5">
            <v>2</v>
          </cell>
        </row>
      </sheetData>
      <sheetData sheetId="1535">
        <row r="5">
          <cell r="A5">
            <v>2</v>
          </cell>
        </row>
      </sheetData>
      <sheetData sheetId="1536">
        <row r="5">
          <cell r="A5">
            <v>2</v>
          </cell>
        </row>
      </sheetData>
      <sheetData sheetId="1537">
        <row r="5">
          <cell r="A5">
            <v>2</v>
          </cell>
        </row>
      </sheetData>
      <sheetData sheetId="1538">
        <row r="5">
          <cell r="A5">
            <v>2</v>
          </cell>
        </row>
      </sheetData>
      <sheetData sheetId="1539">
        <row r="5">
          <cell r="A5">
            <v>2</v>
          </cell>
        </row>
      </sheetData>
      <sheetData sheetId="1540">
        <row r="5">
          <cell r="A5">
            <v>2</v>
          </cell>
        </row>
      </sheetData>
      <sheetData sheetId="1541">
        <row r="5">
          <cell r="A5">
            <v>2</v>
          </cell>
        </row>
      </sheetData>
      <sheetData sheetId="1542">
        <row r="5">
          <cell r="A5">
            <v>2</v>
          </cell>
        </row>
      </sheetData>
      <sheetData sheetId="1543">
        <row r="5">
          <cell r="A5">
            <v>2</v>
          </cell>
        </row>
      </sheetData>
      <sheetData sheetId="1544">
        <row r="5">
          <cell r="A5">
            <v>2</v>
          </cell>
        </row>
      </sheetData>
      <sheetData sheetId="1545">
        <row r="5">
          <cell r="A5">
            <v>2</v>
          </cell>
        </row>
      </sheetData>
      <sheetData sheetId="1546">
        <row r="5">
          <cell r="A5">
            <v>2</v>
          </cell>
        </row>
      </sheetData>
      <sheetData sheetId="1547">
        <row r="5">
          <cell r="A5">
            <v>2</v>
          </cell>
        </row>
      </sheetData>
      <sheetData sheetId="1548">
        <row r="5">
          <cell r="A5">
            <v>2</v>
          </cell>
        </row>
      </sheetData>
      <sheetData sheetId="1549">
        <row r="5">
          <cell r="A5">
            <v>2</v>
          </cell>
        </row>
      </sheetData>
      <sheetData sheetId="1550">
        <row r="5">
          <cell r="A5">
            <v>2</v>
          </cell>
        </row>
      </sheetData>
      <sheetData sheetId="1551">
        <row r="5">
          <cell r="A5">
            <v>2</v>
          </cell>
        </row>
      </sheetData>
      <sheetData sheetId="1552">
        <row r="5">
          <cell r="A5">
            <v>2</v>
          </cell>
        </row>
      </sheetData>
      <sheetData sheetId="1553">
        <row r="5">
          <cell r="A5">
            <v>2</v>
          </cell>
        </row>
      </sheetData>
      <sheetData sheetId="1554">
        <row r="5">
          <cell r="A5">
            <v>2</v>
          </cell>
        </row>
      </sheetData>
      <sheetData sheetId="1555">
        <row r="5">
          <cell r="A5">
            <v>2</v>
          </cell>
        </row>
      </sheetData>
      <sheetData sheetId="1556">
        <row r="5">
          <cell r="A5">
            <v>2</v>
          </cell>
        </row>
      </sheetData>
      <sheetData sheetId="1557">
        <row r="5">
          <cell r="A5">
            <v>2</v>
          </cell>
        </row>
      </sheetData>
      <sheetData sheetId="1558">
        <row r="5">
          <cell r="A5">
            <v>2</v>
          </cell>
        </row>
      </sheetData>
      <sheetData sheetId="1559">
        <row r="5">
          <cell r="A5">
            <v>2</v>
          </cell>
        </row>
      </sheetData>
      <sheetData sheetId="1560">
        <row r="5">
          <cell r="A5">
            <v>2</v>
          </cell>
        </row>
      </sheetData>
      <sheetData sheetId="1561">
        <row r="5">
          <cell r="A5">
            <v>2</v>
          </cell>
        </row>
      </sheetData>
      <sheetData sheetId="1562">
        <row r="5">
          <cell r="A5">
            <v>2</v>
          </cell>
        </row>
      </sheetData>
      <sheetData sheetId="1563">
        <row r="5">
          <cell r="A5">
            <v>2</v>
          </cell>
        </row>
      </sheetData>
      <sheetData sheetId="1564">
        <row r="5">
          <cell r="A5">
            <v>2</v>
          </cell>
        </row>
      </sheetData>
      <sheetData sheetId="1565">
        <row r="5">
          <cell r="A5">
            <v>2</v>
          </cell>
        </row>
      </sheetData>
      <sheetData sheetId="1566">
        <row r="5">
          <cell r="A5">
            <v>2</v>
          </cell>
        </row>
      </sheetData>
      <sheetData sheetId="1567">
        <row r="5">
          <cell r="A5">
            <v>2</v>
          </cell>
        </row>
      </sheetData>
      <sheetData sheetId="1568">
        <row r="5">
          <cell r="A5">
            <v>2</v>
          </cell>
        </row>
      </sheetData>
      <sheetData sheetId="1569">
        <row r="5">
          <cell r="A5">
            <v>2</v>
          </cell>
        </row>
      </sheetData>
      <sheetData sheetId="1570">
        <row r="5">
          <cell r="A5">
            <v>2</v>
          </cell>
        </row>
      </sheetData>
      <sheetData sheetId="1571">
        <row r="5">
          <cell r="A5">
            <v>2</v>
          </cell>
        </row>
      </sheetData>
      <sheetData sheetId="1572">
        <row r="5">
          <cell r="A5">
            <v>2</v>
          </cell>
        </row>
      </sheetData>
      <sheetData sheetId="1573">
        <row r="5">
          <cell r="A5">
            <v>2</v>
          </cell>
        </row>
      </sheetData>
      <sheetData sheetId="1574">
        <row r="5">
          <cell r="A5">
            <v>2</v>
          </cell>
        </row>
      </sheetData>
      <sheetData sheetId="1575">
        <row r="5">
          <cell r="A5">
            <v>2</v>
          </cell>
        </row>
      </sheetData>
      <sheetData sheetId="1576">
        <row r="5">
          <cell r="A5">
            <v>2</v>
          </cell>
        </row>
      </sheetData>
      <sheetData sheetId="1577">
        <row r="5">
          <cell r="A5">
            <v>2</v>
          </cell>
        </row>
      </sheetData>
      <sheetData sheetId="1578">
        <row r="5">
          <cell r="A5">
            <v>2</v>
          </cell>
        </row>
      </sheetData>
      <sheetData sheetId="1579">
        <row r="5">
          <cell r="A5">
            <v>2</v>
          </cell>
        </row>
      </sheetData>
      <sheetData sheetId="1580">
        <row r="5">
          <cell r="A5">
            <v>2</v>
          </cell>
        </row>
      </sheetData>
      <sheetData sheetId="1581">
        <row r="5">
          <cell r="A5">
            <v>2</v>
          </cell>
        </row>
      </sheetData>
      <sheetData sheetId="1582">
        <row r="5">
          <cell r="A5">
            <v>2</v>
          </cell>
        </row>
      </sheetData>
      <sheetData sheetId="1583">
        <row r="5">
          <cell r="A5">
            <v>2</v>
          </cell>
        </row>
      </sheetData>
      <sheetData sheetId="1584">
        <row r="5">
          <cell r="A5">
            <v>2</v>
          </cell>
        </row>
      </sheetData>
      <sheetData sheetId="1585">
        <row r="5">
          <cell r="A5">
            <v>2</v>
          </cell>
        </row>
      </sheetData>
      <sheetData sheetId="1586">
        <row r="5">
          <cell r="A5">
            <v>2</v>
          </cell>
        </row>
      </sheetData>
      <sheetData sheetId="1587">
        <row r="5">
          <cell r="A5">
            <v>2</v>
          </cell>
        </row>
      </sheetData>
      <sheetData sheetId="1588">
        <row r="5">
          <cell r="A5">
            <v>2</v>
          </cell>
        </row>
      </sheetData>
      <sheetData sheetId="1589">
        <row r="5">
          <cell r="A5">
            <v>2</v>
          </cell>
        </row>
      </sheetData>
      <sheetData sheetId="1590">
        <row r="5">
          <cell r="A5">
            <v>2</v>
          </cell>
        </row>
      </sheetData>
      <sheetData sheetId="1591">
        <row r="5">
          <cell r="A5">
            <v>2</v>
          </cell>
        </row>
      </sheetData>
      <sheetData sheetId="1592">
        <row r="5">
          <cell r="A5">
            <v>2</v>
          </cell>
        </row>
      </sheetData>
      <sheetData sheetId="1593">
        <row r="5">
          <cell r="A5">
            <v>2</v>
          </cell>
        </row>
      </sheetData>
      <sheetData sheetId="1594">
        <row r="5">
          <cell r="A5">
            <v>2</v>
          </cell>
        </row>
      </sheetData>
      <sheetData sheetId="1595">
        <row r="5">
          <cell r="A5">
            <v>2</v>
          </cell>
        </row>
      </sheetData>
      <sheetData sheetId="1596">
        <row r="5">
          <cell r="A5">
            <v>2</v>
          </cell>
        </row>
      </sheetData>
      <sheetData sheetId="1597">
        <row r="5">
          <cell r="A5">
            <v>2</v>
          </cell>
        </row>
      </sheetData>
      <sheetData sheetId="1598">
        <row r="5">
          <cell r="A5">
            <v>2</v>
          </cell>
        </row>
      </sheetData>
      <sheetData sheetId="1599">
        <row r="5">
          <cell r="A5">
            <v>2</v>
          </cell>
        </row>
      </sheetData>
      <sheetData sheetId="1600">
        <row r="5">
          <cell r="A5">
            <v>2</v>
          </cell>
        </row>
      </sheetData>
      <sheetData sheetId="1601">
        <row r="5">
          <cell r="A5">
            <v>2</v>
          </cell>
        </row>
      </sheetData>
      <sheetData sheetId="1602">
        <row r="5">
          <cell r="A5">
            <v>2</v>
          </cell>
        </row>
      </sheetData>
      <sheetData sheetId="1603">
        <row r="5">
          <cell r="A5">
            <v>2</v>
          </cell>
        </row>
      </sheetData>
      <sheetData sheetId="1604">
        <row r="5">
          <cell r="A5">
            <v>2</v>
          </cell>
        </row>
      </sheetData>
      <sheetData sheetId="1605">
        <row r="5">
          <cell r="A5">
            <v>2</v>
          </cell>
        </row>
      </sheetData>
      <sheetData sheetId="1606">
        <row r="5">
          <cell r="A5">
            <v>2</v>
          </cell>
        </row>
      </sheetData>
      <sheetData sheetId="1607">
        <row r="5">
          <cell r="A5">
            <v>2</v>
          </cell>
        </row>
      </sheetData>
      <sheetData sheetId="1608">
        <row r="5">
          <cell r="A5">
            <v>2</v>
          </cell>
        </row>
      </sheetData>
      <sheetData sheetId="1609">
        <row r="5">
          <cell r="A5">
            <v>2</v>
          </cell>
        </row>
      </sheetData>
      <sheetData sheetId="1610">
        <row r="5">
          <cell r="A5">
            <v>2</v>
          </cell>
        </row>
      </sheetData>
      <sheetData sheetId="1611">
        <row r="5">
          <cell r="A5">
            <v>2</v>
          </cell>
        </row>
      </sheetData>
      <sheetData sheetId="1612">
        <row r="5">
          <cell r="A5">
            <v>2</v>
          </cell>
        </row>
      </sheetData>
      <sheetData sheetId="1613">
        <row r="5">
          <cell r="A5">
            <v>2</v>
          </cell>
        </row>
      </sheetData>
      <sheetData sheetId="1614">
        <row r="5">
          <cell r="A5">
            <v>2</v>
          </cell>
        </row>
      </sheetData>
      <sheetData sheetId="1615">
        <row r="5">
          <cell r="A5">
            <v>2</v>
          </cell>
        </row>
      </sheetData>
      <sheetData sheetId="1616">
        <row r="5">
          <cell r="A5">
            <v>2</v>
          </cell>
        </row>
      </sheetData>
      <sheetData sheetId="1617">
        <row r="5">
          <cell r="A5">
            <v>2</v>
          </cell>
        </row>
      </sheetData>
      <sheetData sheetId="1618">
        <row r="5">
          <cell r="A5">
            <v>2</v>
          </cell>
        </row>
      </sheetData>
      <sheetData sheetId="1619">
        <row r="5">
          <cell r="A5">
            <v>2</v>
          </cell>
        </row>
      </sheetData>
      <sheetData sheetId="1620">
        <row r="5">
          <cell r="A5">
            <v>2</v>
          </cell>
        </row>
      </sheetData>
      <sheetData sheetId="1621">
        <row r="5">
          <cell r="A5">
            <v>2</v>
          </cell>
        </row>
      </sheetData>
      <sheetData sheetId="1622">
        <row r="5">
          <cell r="A5">
            <v>2</v>
          </cell>
        </row>
      </sheetData>
      <sheetData sheetId="1623">
        <row r="5">
          <cell r="A5">
            <v>2</v>
          </cell>
        </row>
      </sheetData>
      <sheetData sheetId="1624">
        <row r="5">
          <cell r="A5">
            <v>2</v>
          </cell>
        </row>
      </sheetData>
      <sheetData sheetId="1625">
        <row r="5">
          <cell r="A5">
            <v>2</v>
          </cell>
        </row>
      </sheetData>
      <sheetData sheetId="1626">
        <row r="5">
          <cell r="A5">
            <v>2</v>
          </cell>
        </row>
      </sheetData>
      <sheetData sheetId="1627">
        <row r="5">
          <cell r="A5">
            <v>2</v>
          </cell>
        </row>
      </sheetData>
      <sheetData sheetId="1628">
        <row r="5">
          <cell r="A5">
            <v>2</v>
          </cell>
        </row>
      </sheetData>
      <sheetData sheetId="1629">
        <row r="5">
          <cell r="A5">
            <v>2</v>
          </cell>
        </row>
      </sheetData>
      <sheetData sheetId="1630">
        <row r="5">
          <cell r="A5">
            <v>2</v>
          </cell>
        </row>
      </sheetData>
      <sheetData sheetId="1631">
        <row r="5">
          <cell r="A5">
            <v>2</v>
          </cell>
        </row>
      </sheetData>
      <sheetData sheetId="1632">
        <row r="5">
          <cell r="A5">
            <v>2</v>
          </cell>
        </row>
      </sheetData>
      <sheetData sheetId="1633">
        <row r="5">
          <cell r="A5">
            <v>2</v>
          </cell>
        </row>
      </sheetData>
      <sheetData sheetId="1634">
        <row r="5">
          <cell r="A5">
            <v>2</v>
          </cell>
        </row>
      </sheetData>
      <sheetData sheetId="1635">
        <row r="5">
          <cell r="A5">
            <v>2</v>
          </cell>
        </row>
      </sheetData>
      <sheetData sheetId="1636">
        <row r="5">
          <cell r="A5">
            <v>2</v>
          </cell>
        </row>
      </sheetData>
      <sheetData sheetId="1637">
        <row r="5">
          <cell r="A5">
            <v>2</v>
          </cell>
        </row>
      </sheetData>
      <sheetData sheetId="1638">
        <row r="5">
          <cell r="A5">
            <v>2</v>
          </cell>
        </row>
      </sheetData>
      <sheetData sheetId="1639">
        <row r="5">
          <cell r="A5">
            <v>2</v>
          </cell>
        </row>
      </sheetData>
      <sheetData sheetId="1640">
        <row r="5">
          <cell r="A5">
            <v>2</v>
          </cell>
        </row>
      </sheetData>
      <sheetData sheetId="1641">
        <row r="5">
          <cell r="A5">
            <v>2</v>
          </cell>
        </row>
      </sheetData>
      <sheetData sheetId="1642">
        <row r="5">
          <cell r="A5">
            <v>2</v>
          </cell>
        </row>
      </sheetData>
      <sheetData sheetId="1643">
        <row r="5">
          <cell r="A5">
            <v>2</v>
          </cell>
        </row>
      </sheetData>
      <sheetData sheetId="1644">
        <row r="5">
          <cell r="A5">
            <v>2</v>
          </cell>
        </row>
      </sheetData>
      <sheetData sheetId="1645">
        <row r="5">
          <cell r="A5">
            <v>2</v>
          </cell>
        </row>
      </sheetData>
      <sheetData sheetId="1646">
        <row r="5">
          <cell r="A5">
            <v>2</v>
          </cell>
        </row>
      </sheetData>
      <sheetData sheetId="1647">
        <row r="5">
          <cell r="A5">
            <v>2</v>
          </cell>
        </row>
      </sheetData>
      <sheetData sheetId="1648">
        <row r="5">
          <cell r="A5">
            <v>2</v>
          </cell>
        </row>
      </sheetData>
      <sheetData sheetId="1649">
        <row r="5">
          <cell r="A5">
            <v>2</v>
          </cell>
        </row>
      </sheetData>
      <sheetData sheetId="1650"/>
      <sheetData sheetId="1651">
        <row r="5">
          <cell r="A5">
            <v>2</v>
          </cell>
        </row>
      </sheetData>
      <sheetData sheetId="1652">
        <row r="5">
          <cell r="A5">
            <v>2</v>
          </cell>
        </row>
      </sheetData>
      <sheetData sheetId="1653">
        <row r="5">
          <cell r="A5">
            <v>2</v>
          </cell>
        </row>
      </sheetData>
      <sheetData sheetId="1654"/>
      <sheetData sheetId="1655">
        <row r="5">
          <cell r="A5">
            <v>2</v>
          </cell>
        </row>
      </sheetData>
      <sheetData sheetId="1656">
        <row r="5">
          <cell r="A5">
            <v>2</v>
          </cell>
        </row>
      </sheetData>
      <sheetData sheetId="1657">
        <row r="5">
          <cell r="A5">
            <v>2</v>
          </cell>
        </row>
      </sheetData>
      <sheetData sheetId="1658">
        <row r="5">
          <cell r="A5">
            <v>2</v>
          </cell>
        </row>
      </sheetData>
      <sheetData sheetId="1659">
        <row r="5">
          <cell r="A5">
            <v>2</v>
          </cell>
        </row>
      </sheetData>
      <sheetData sheetId="1660"/>
      <sheetData sheetId="1661">
        <row r="5">
          <cell r="A5">
            <v>2</v>
          </cell>
        </row>
      </sheetData>
      <sheetData sheetId="1662">
        <row r="5">
          <cell r="A5">
            <v>2</v>
          </cell>
        </row>
      </sheetData>
      <sheetData sheetId="1663">
        <row r="5">
          <cell r="A5">
            <v>2</v>
          </cell>
        </row>
      </sheetData>
      <sheetData sheetId="1664"/>
      <sheetData sheetId="1665">
        <row r="5">
          <cell r="A5">
            <v>2</v>
          </cell>
        </row>
      </sheetData>
      <sheetData sheetId="1666">
        <row r="5">
          <cell r="A5">
            <v>2</v>
          </cell>
        </row>
      </sheetData>
      <sheetData sheetId="1667"/>
      <sheetData sheetId="1668">
        <row r="5">
          <cell r="A5">
            <v>2</v>
          </cell>
        </row>
      </sheetData>
      <sheetData sheetId="1669">
        <row r="5">
          <cell r="A5">
            <v>2</v>
          </cell>
        </row>
      </sheetData>
      <sheetData sheetId="1670">
        <row r="5">
          <cell r="A5">
            <v>2</v>
          </cell>
        </row>
      </sheetData>
      <sheetData sheetId="1671"/>
      <sheetData sheetId="1672">
        <row r="5">
          <cell r="A5">
            <v>2</v>
          </cell>
        </row>
      </sheetData>
      <sheetData sheetId="1673">
        <row r="5">
          <cell r="A5">
            <v>2</v>
          </cell>
        </row>
      </sheetData>
      <sheetData sheetId="1674">
        <row r="5">
          <cell r="A5">
            <v>2</v>
          </cell>
        </row>
      </sheetData>
      <sheetData sheetId="1675">
        <row r="5">
          <cell r="A5">
            <v>2</v>
          </cell>
        </row>
      </sheetData>
      <sheetData sheetId="1676">
        <row r="5">
          <cell r="A5">
            <v>2</v>
          </cell>
        </row>
      </sheetData>
      <sheetData sheetId="1677">
        <row r="5">
          <cell r="A5">
            <v>2</v>
          </cell>
        </row>
      </sheetData>
      <sheetData sheetId="1678">
        <row r="5">
          <cell r="A5">
            <v>2</v>
          </cell>
        </row>
      </sheetData>
      <sheetData sheetId="1679">
        <row r="5">
          <cell r="A5">
            <v>2</v>
          </cell>
        </row>
      </sheetData>
      <sheetData sheetId="1680">
        <row r="5">
          <cell r="A5">
            <v>2</v>
          </cell>
        </row>
      </sheetData>
      <sheetData sheetId="1681">
        <row r="5">
          <cell r="A5">
            <v>2</v>
          </cell>
        </row>
      </sheetData>
      <sheetData sheetId="1682">
        <row r="5">
          <cell r="A5">
            <v>2</v>
          </cell>
        </row>
      </sheetData>
      <sheetData sheetId="1683">
        <row r="5">
          <cell r="A5">
            <v>2</v>
          </cell>
        </row>
      </sheetData>
      <sheetData sheetId="1684">
        <row r="5">
          <cell r="A5">
            <v>2</v>
          </cell>
        </row>
      </sheetData>
      <sheetData sheetId="1685">
        <row r="5">
          <cell r="A5">
            <v>2</v>
          </cell>
        </row>
      </sheetData>
      <sheetData sheetId="1686">
        <row r="5">
          <cell r="A5">
            <v>2</v>
          </cell>
        </row>
      </sheetData>
      <sheetData sheetId="1687">
        <row r="5">
          <cell r="A5">
            <v>2</v>
          </cell>
        </row>
      </sheetData>
      <sheetData sheetId="1688"/>
      <sheetData sheetId="1689">
        <row r="5">
          <cell r="A5">
            <v>2</v>
          </cell>
        </row>
      </sheetData>
      <sheetData sheetId="1690">
        <row r="5">
          <cell r="A5">
            <v>2</v>
          </cell>
        </row>
      </sheetData>
      <sheetData sheetId="1691">
        <row r="5">
          <cell r="A5">
            <v>2</v>
          </cell>
        </row>
      </sheetData>
      <sheetData sheetId="1692"/>
      <sheetData sheetId="1693"/>
      <sheetData sheetId="1694">
        <row r="5">
          <cell r="A5">
            <v>2</v>
          </cell>
        </row>
      </sheetData>
      <sheetData sheetId="1695">
        <row r="5">
          <cell r="A5">
            <v>2</v>
          </cell>
        </row>
      </sheetData>
      <sheetData sheetId="1696">
        <row r="5">
          <cell r="A5">
            <v>2</v>
          </cell>
        </row>
      </sheetData>
      <sheetData sheetId="1697"/>
      <sheetData sheetId="1698">
        <row r="5">
          <cell r="A5">
            <v>2</v>
          </cell>
        </row>
      </sheetData>
      <sheetData sheetId="1699">
        <row r="5">
          <cell r="A5">
            <v>2</v>
          </cell>
        </row>
      </sheetData>
      <sheetData sheetId="1700"/>
      <sheetData sheetId="1701">
        <row r="5">
          <cell r="A5">
            <v>2</v>
          </cell>
        </row>
      </sheetData>
      <sheetData sheetId="1702">
        <row r="5">
          <cell r="A5">
            <v>2</v>
          </cell>
        </row>
      </sheetData>
      <sheetData sheetId="1703">
        <row r="5">
          <cell r="A5">
            <v>2</v>
          </cell>
        </row>
      </sheetData>
      <sheetData sheetId="1704"/>
      <sheetData sheetId="1705"/>
      <sheetData sheetId="1706"/>
      <sheetData sheetId="1707"/>
      <sheetData sheetId="1708">
        <row r="5">
          <cell r="A5">
            <v>2</v>
          </cell>
        </row>
      </sheetData>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ow r="5">
          <cell r="A5">
            <v>2</v>
          </cell>
        </row>
      </sheetData>
      <sheetData sheetId="1874">
        <row r="5">
          <cell r="A5">
            <v>2</v>
          </cell>
        </row>
      </sheetData>
      <sheetData sheetId="1875">
        <row r="5">
          <cell r="A5">
            <v>2</v>
          </cell>
        </row>
      </sheetData>
      <sheetData sheetId="1876" refreshError="1"/>
      <sheetData sheetId="1877" refreshError="1"/>
      <sheetData sheetId="1878" refreshError="1"/>
      <sheetData sheetId="1879" refreshError="1"/>
      <sheetData sheetId="1880" refreshError="1"/>
      <sheetData sheetId="1881">
        <row r="5">
          <cell r="A5">
            <v>2</v>
          </cell>
        </row>
      </sheetData>
      <sheetData sheetId="1882">
        <row r="5">
          <cell r="A5">
            <v>2</v>
          </cell>
        </row>
      </sheetData>
      <sheetData sheetId="1883">
        <row r="5">
          <cell r="A5">
            <v>2</v>
          </cell>
        </row>
      </sheetData>
      <sheetData sheetId="1884">
        <row r="5">
          <cell r="A5">
            <v>2</v>
          </cell>
        </row>
      </sheetData>
      <sheetData sheetId="1885">
        <row r="5">
          <cell r="A5">
            <v>2</v>
          </cell>
        </row>
      </sheetData>
      <sheetData sheetId="1886">
        <row r="5">
          <cell r="A5">
            <v>2</v>
          </cell>
        </row>
      </sheetData>
      <sheetData sheetId="1887">
        <row r="5">
          <cell r="A5">
            <v>2</v>
          </cell>
        </row>
      </sheetData>
      <sheetData sheetId="1888">
        <row r="5">
          <cell r="A5">
            <v>2</v>
          </cell>
        </row>
      </sheetData>
      <sheetData sheetId="1889">
        <row r="5">
          <cell r="A5">
            <v>2</v>
          </cell>
        </row>
      </sheetData>
      <sheetData sheetId="1890">
        <row r="5">
          <cell r="A5">
            <v>2</v>
          </cell>
        </row>
      </sheetData>
      <sheetData sheetId="1891">
        <row r="5">
          <cell r="A5">
            <v>2</v>
          </cell>
        </row>
      </sheetData>
      <sheetData sheetId="1892">
        <row r="5">
          <cell r="A5">
            <v>2</v>
          </cell>
        </row>
      </sheetData>
      <sheetData sheetId="1893">
        <row r="5">
          <cell r="A5">
            <v>2</v>
          </cell>
        </row>
      </sheetData>
      <sheetData sheetId="1894">
        <row r="5">
          <cell r="A5">
            <v>2</v>
          </cell>
        </row>
      </sheetData>
      <sheetData sheetId="1895">
        <row r="5">
          <cell r="A5">
            <v>2</v>
          </cell>
        </row>
      </sheetData>
      <sheetData sheetId="1896">
        <row r="5">
          <cell r="A5">
            <v>2</v>
          </cell>
        </row>
      </sheetData>
      <sheetData sheetId="1897">
        <row r="5">
          <cell r="A5">
            <v>2</v>
          </cell>
        </row>
      </sheetData>
      <sheetData sheetId="1898">
        <row r="5">
          <cell r="A5">
            <v>2</v>
          </cell>
        </row>
      </sheetData>
      <sheetData sheetId="1899">
        <row r="5">
          <cell r="A5">
            <v>2</v>
          </cell>
        </row>
      </sheetData>
      <sheetData sheetId="1900">
        <row r="5">
          <cell r="A5">
            <v>2</v>
          </cell>
        </row>
      </sheetData>
      <sheetData sheetId="1901">
        <row r="5">
          <cell r="A5">
            <v>2</v>
          </cell>
        </row>
      </sheetData>
      <sheetData sheetId="1902">
        <row r="5">
          <cell r="A5">
            <v>2</v>
          </cell>
        </row>
      </sheetData>
      <sheetData sheetId="1903">
        <row r="5">
          <cell r="A5">
            <v>2</v>
          </cell>
        </row>
      </sheetData>
      <sheetData sheetId="1904">
        <row r="5">
          <cell r="A5">
            <v>2</v>
          </cell>
        </row>
      </sheetData>
      <sheetData sheetId="1905">
        <row r="5">
          <cell r="A5">
            <v>2</v>
          </cell>
        </row>
      </sheetData>
      <sheetData sheetId="1906">
        <row r="5">
          <cell r="A5">
            <v>2</v>
          </cell>
        </row>
      </sheetData>
      <sheetData sheetId="1907">
        <row r="5">
          <cell r="A5">
            <v>2</v>
          </cell>
        </row>
      </sheetData>
      <sheetData sheetId="1908">
        <row r="5">
          <cell r="A5">
            <v>2</v>
          </cell>
        </row>
      </sheetData>
      <sheetData sheetId="1909">
        <row r="5">
          <cell r="A5">
            <v>2</v>
          </cell>
        </row>
      </sheetData>
      <sheetData sheetId="1910">
        <row r="5">
          <cell r="A5">
            <v>2</v>
          </cell>
        </row>
      </sheetData>
      <sheetData sheetId="1911">
        <row r="5">
          <cell r="A5">
            <v>2</v>
          </cell>
        </row>
      </sheetData>
      <sheetData sheetId="1912">
        <row r="5">
          <cell r="A5">
            <v>2</v>
          </cell>
        </row>
      </sheetData>
      <sheetData sheetId="1913">
        <row r="5">
          <cell r="A5">
            <v>2</v>
          </cell>
        </row>
      </sheetData>
      <sheetData sheetId="1914">
        <row r="5">
          <cell r="A5">
            <v>2</v>
          </cell>
        </row>
      </sheetData>
      <sheetData sheetId="1915">
        <row r="5">
          <cell r="A5">
            <v>2</v>
          </cell>
        </row>
      </sheetData>
      <sheetData sheetId="1916">
        <row r="5">
          <cell r="A5">
            <v>2</v>
          </cell>
        </row>
      </sheetData>
      <sheetData sheetId="1917">
        <row r="5">
          <cell r="A5">
            <v>2</v>
          </cell>
        </row>
      </sheetData>
      <sheetData sheetId="1918">
        <row r="5">
          <cell r="A5">
            <v>2</v>
          </cell>
        </row>
      </sheetData>
      <sheetData sheetId="1919">
        <row r="5">
          <cell r="A5">
            <v>2</v>
          </cell>
        </row>
      </sheetData>
      <sheetData sheetId="1920">
        <row r="5">
          <cell r="A5">
            <v>2</v>
          </cell>
        </row>
      </sheetData>
      <sheetData sheetId="1921">
        <row r="5">
          <cell r="A5">
            <v>2</v>
          </cell>
        </row>
      </sheetData>
      <sheetData sheetId="1922">
        <row r="5">
          <cell r="A5">
            <v>2</v>
          </cell>
        </row>
      </sheetData>
      <sheetData sheetId="1923">
        <row r="5">
          <cell r="A5">
            <v>2</v>
          </cell>
        </row>
      </sheetData>
      <sheetData sheetId="1924">
        <row r="5">
          <cell r="A5">
            <v>2</v>
          </cell>
        </row>
      </sheetData>
      <sheetData sheetId="1925">
        <row r="5">
          <cell r="A5">
            <v>2</v>
          </cell>
        </row>
      </sheetData>
      <sheetData sheetId="1926">
        <row r="5">
          <cell r="A5">
            <v>2</v>
          </cell>
        </row>
      </sheetData>
      <sheetData sheetId="1927">
        <row r="5">
          <cell r="A5">
            <v>2</v>
          </cell>
        </row>
      </sheetData>
      <sheetData sheetId="1928">
        <row r="5">
          <cell r="A5">
            <v>2</v>
          </cell>
        </row>
      </sheetData>
      <sheetData sheetId="1929">
        <row r="5">
          <cell r="A5">
            <v>2</v>
          </cell>
        </row>
      </sheetData>
      <sheetData sheetId="1930">
        <row r="5">
          <cell r="A5">
            <v>2</v>
          </cell>
        </row>
      </sheetData>
      <sheetData sheetId="1931">
        <row r="5">
          <cell r="A5">
            <v>2</v>
          </cell>
        </row>
      </sheetData>
      <sheetData sheetId="1932">
        <row r="5">
          <cell r="A5">
            <v>2</v>
          </cell>
        </row>
      </sheetData>
      <sheetData sheetId="1933">
        <row r="5">
          <cell r="A5">
            <v>2</v>
          </cell>
        </row>
      </sheetData>
      <sheetData sheetId="1934">
        <row r="5">
          <cell r="A5">
            <v>2</v>
          </cell>
        </row>
      </sheetData>
      <sheetData sheetId="1935">
        <row r="5">
          <cell r="A5">
            <v>2</v>
          </cell>
        </row>
      </sheetData>
      <sheetData sheetId="1936">
        <row r="5">
          <cell r="A5">
            <v>2</v>
          </cell>
        </row>
      </sheetData>
      <sheetData sheetId="1937">
        <row r="5">
          <cell r="A5">
            <v>2</v>
          </cell>
        </row>
      </sheetData>
      <sheetData sheetId="1938">
        <row r="5">
          <cell r="A5">
            <v>2</v>
          </cell>
        </row>
      </sheetData>
      <sheetData sheetId="1939">
        <row r="5">
          <cell r="A5">
            <v>2</v>
          </cell>
        </row>
      </sheetData>
      <sheetData sheetId="1940">
        <row r="5">
          <cell r="A5">
            <v>2</v>
          </cell>
        </row>
      </sheetData>
      <sheetData sheetId="1941">
        <row r="5">
          <cell r="A5">
            <v>2</v>
          </cell>
        </row>
      </sheetData>
      <sheetData sheetId="1942">
        <row r="5">
          <cell r="A5">
            <v>2</v>
          </cell>
        </row>
      </sheetData>
      <sheetData sheetId="1943">
        <row r="5">
          <cell r="A5">
            <v>2</v>
          </cell>
        </row>
      </sheetData>
      <sheetData sheetId="1944">
        <row r="5">
          <cell r="A5">
            <v>2</v>
          </cell>
        </row>
      </sheetData>
      <sheetData sheetId="1945">
        <row r="5">
          <cell r="A5">
            <v>2</v>
          </cell>
        </row>
      </sheetData>
      <sheetData sheetId="1946">
        <row r="5">
          <cell r="A5">
            <v>2</v>
          </cell>
        </row>
      </sheetData>
      <sheetData sheetId="1947">
        <row r="5">
          <cell r="A5">
            <v>2</v>
          </cell>
        </row>
      </sheetData>
      <sheetData sheetId="1948">
        <row r="5">
          <cell r="A5">
            <v>2</v>
          </cell>
        </row>
      </sheetData>
      <sheetData sheetId="1949">
        <row r="5">
          <cell r="A5">
            <v>2</v>
          </cell>
        </row>
      </sheetData>
      <sheetData sheetId="1950">
        <row r="5">
          <cell r="A5">
            <v>2</v>
          </cell>
        </row>
      </sheetData>
      <sheetData sheetId="1951">
        <row r="5">
          <cell r="A5">
            <v>2</v>
          </cell>
        </row>
      </sheetData>
      <sheetData sheetId="1952">
        <row r="5">
          <cell r="A5">
            <v>2</v>
          </cell>
        </row>
      </sheetData>
      <sheetData sheetId="1953">
        <row r="5">
          <cell r="A5">
            <v>2</v>
          </cell>
        </row>
      </sheetData>
      <sheetData sheetId="1954">
        <row r="5">
          <cell r="A5">
            <v>2</v>
          </cell>
        </row>
      </sheetData>
      <sheetData sheetId="1955">
        <row r="5">
          <cell r="A5">
            <v>2</v>
          </cell>
        </row>
      </sheetData>
      <sheetData sheetId="1956">
        <row r="5">
          <cell r="A5">
            <v>2</v>
          </cell>
        </row>
      </sheetData>
      <sheetData sheetId="1957">
        <row r="5">
          <cell r="A5">
            <v>2</v>
          </cell>
        </row>
      </sheetData>
      <sheetData sheetId="1958">
        <row r="5">
          <cell r="A5">
            <v>2</v>
          </cell>
        </row>
      </sheetData>
      <sheetData sheetId="1959">
        <row r="5">
          <cell r="A5">
            <v>2</v>
          </cell>
        </row>
      </sheetData>
      <sheetData sheetId="1960">
        <row r="5">
          <cell r="A5">
            <v>2</v>
          </cell>
        </row>
      </sheetData>
      <sheetData sheetId="1961">
        <row r="5">
          <cell r="A5">
            <v>2</v>
          </cell>
        </row>
      </sheetData>
      <sheetData sheetId="1962">
        <row r="5">
          <cell r="A5">
            <v>2</v>
          </cell>
        </row>
      </sheetData>
      <sheetData sheetId="1963">
        <row r="5">
          <cell r="A5">
            <v>2</v>
          </cell>
        </row>
      </sheetData>
      <sheetData sheetId="1964">
        <row r="5">
          <cell r="A5">
            <v>2</v>
          </cell>
        </row>
      </sheetData>
      <sheetData sheetId="1965">
        <row r="5">
          <cell r="A5">
            <v>2</v>
          </cell>
        </row>
      </sheetData>
      <sheetData sheetId="1966">
        <row r="5">
          <cell r="A5">
            <v>2</v>
          </cell>
        </row>
      </sheetData>
      <sheetData sheetId="1967">
        <row r="5">
          <cell r="A5">
            <v>2</v>
          </cell>
        </row>
      </sheetData>
      <sheetData sheetId="1968">
        <row r="5">
          <cell r="A5">
            <v>2</v>
          </cell>
        </row>
      </sheetData>
      <sheetData sheetId="1969">
        <row r="5">
          <cell r="A5">
            <v>2</v>
          </cell>
        </row>
      </sheetData>
      <sheetData sheetId="1970">
        <row r="5">
          <cell r="A5">
            <v>2</v>
          </cell>
        </row>
      </sheetData>
      <sheetData sheetId="1971">
        <row r="5">
          <cell r="A5">
            <v>2</v>
          </cell>
        </row>
      </sheetData>
      <sheetData sheetId="1972">
        <row r="5">
          <cell r="A5">
            <v>2</v>
          </cell>
        </row>
      </sheetData>
      <sheetData sheetId="1973">
        <row r="5">
          <cell r="A5">
            <v>2</v>
          </cell>
        </row>
      </sheetData>
      <sheetData sheetId="1974"/>
      <sheetData sheetId="1975">
        <row r="5">
          <cell r="A5">
            <v>2</v>
          </cell>
        </row>
      </sheetData>
      <sheetData sheetId="1976">
        <row r="5">
          <cell r="A5">
            <v>2</v>
          </cell>
        </row>
      </sheetData>
      <sheetData sheetId="1977">
        <row r="5">
          <cell r="A5">
            <v>2</v>
          </cell>
        </row>
      </sheetData>
      <sheetData sheetId="1978">
        <row r="5">
          <cell r="A5">
            <v>2</v>
          </cell>
        </row>
      </sheetData>
      <sheetData sheetId="1979">
        <row r="5">
          <cell r="A5">
            <v>2</v>
          </cell>
        </row>
      </sheetData>
      <sheetData sheetId="1980">
        <row r="5">
          <cell r="A5">
            <v>2</v>
          </cell>
        </row>
      </sheetData>
      <sheetData sheetId="1981">
        <row r="5">
          <cell r="A5">
            <v>2</v>
          </cell>
        </row>
      </sheetData>
      <sheetData sheetId="1982">
        <row r="5">
          <cell r="A5">
            <v>2</v>
          </cell>
        </row>
      </sheetData>
      <sheetData sheetId="1983">
        <row r="5">
          <cell r="A5">
            <v>2</v>
          </cell>
        </row>
      </sheetData>
      <sheetData sheetId="1984">
        <row r="5">
          <cell r="A5">
            <v>2</v>
          </cell>
        </row>
      </sheetData>
      <sheetData sheetId="1985">
        <row r="5">
          <cell r="A5">
            <v>2</v>
          </cell>
        </row>
      </sheetData>
      <sheetData sheetId="1986">
        <row r="5">
          <cell r="A5">
            <v>2</v>
          </cell>
        </row>
      </sheetData>
      <sheetData sheetId="1987">
        <row r="5">
          <cell r="A5">
            <v>2</v>
          </cell>
        </row>
      </sheetData>
      <sheetData sheetId="1988">
        <row r="5">
          <cell r="A5">
            <v>2</v>
          </cell>
        </row>
      </sheetData>
      <sheetData sheetId="1989">
        <row r="5">
          <cell r="A5">
            <v>2</v>
          </cell>
        </row>
      </sheetData>
      <sheetData sheetId="1990">
        <row r="5">
          <cell r="A5">
            <v>2</v>
          </cell>
        </row>
      </sheetData>
      <sheetData sheetId="1991">
        <row r="5">
          <cell r="A5">
            <v>2</v>
          </cell>
        </row>
      </sheetData>
      <sheetData sheetId="1992"/>
      <sheetData sheetId="1993">
        <row r="5">
          <cell r="A5">
            <v>2</v>
          </cell>
        </row>
      </sheetData>
      <sheetData sheetId="1994">
        <row r="5">
          <cell r="A5">
            <v>2</v>
          </cell>
        </row>
      </sheetData>
      <sheetData sheetId="1995">
        <row r="5">
          <cell r="A5">
            <v>2</v>
          </cell>
        </row>
      </sheetData>
      <sheetData sheetId="1996">
        <row r="5">
          <cell r="A5">
            <v>2</v>
          </cell>
        </row>
      </sheetData>
      <sheetData sheetId="1997">
        <row r="5">
          <cell r="A5">
            <v>2</v>
          </cell>
        </row>
      </sheetData>
      <sheetData sheetId="1998">
        <row r="5">
          <cell r="A5">
            <v>2</v>
          </cell>
        </row>
      </sheetData>
      <sheetData sheetId="1999">
        <row r="5">
          <cell r="A5">
            <v>2</v>
          </cell>
        </row>
      </sheetData>
      <sheetData sheetId="2000">
        <row r="5">
          <cell r="A5">
            <v>2</v>
          </cell>
        </row>
      </sheetData>
      <sheetData sheetId="2001">
        <row r="5">
          <cell r="A5">
            <v>2</v>
          </cell>
        </row>
      </sheetData>
      <sheetData sheetId="2002">
        <row r="5">
          <cell r="A5">
            <v>2</v>
          </cell>
        </row>
      </sheetData>
      <sheetData sheetId="2003">
        <row r="5">
          <cell r="A5">
            <v>2</v>
          </cell>
        </row>
      </sheetData>
      <sheetData sheetId="2004">
        <row r="5">
          <cell r="A5">
            <v>2</v>
          </cell>
        </row>
      </sheetData>
      <sheetData sheetId="2005">
        <row r="5">
          <cell r="A5">
            <v>2</v>
          </cell>
        </row>
      </sheetData>
      <sheetData sheetId="2006">
        <row r="5">
          <cell r="A5">
            <v>2</v>
          </cell>
        </row>
      </sheetData>
      <sheetData sheetId="2007">
        <row r="5">
          <cell r="A5">
            <v>2</v>
          </cell>
        </row>
      </sheetData>
      <sheetData sheetId="2008">
        <row r="5">
          <cell r="A5">
            <v>2</v>
          </cell>
        </row>
      </sheetData>
      <sheetData sheetId="2009">
        <row r="5">
          <cell r="A5">
            <v>2</v>
          </cell>
        </row>
      </sheetData>
      <sheetData sheetId="2010">
        <row r="5">
          <cell r="A5">
            <v>2</v>
          </cell>
        </row>
      </sheetData>
      <sheetData sheetId="2011">
        <row r="5">
          <cell r="A5">
            <v>2</v>
          </cell>
        </row>
      </sheetData>
      <sheetData sheetId="2012">
        <row r="5">
          <cell r="A5">
            <v>2</v>
          </cell>
        </row>
      </sheetData>
      <sheetData sheetId="2013">
        <row r="5">
          <cell r="A5">
            <v>2</v>
          </cell>
        </row>
      </sheetData>
      <sheetData sheetId="2014">
        <row r="5">
          <cell r="A5">
            <v>2</v>
          </cell>
        </row>
      </sheetData>
      <sheetData sheetId="2015">
        <row r="5">
          <cell r="A5">
            <v>2</v>
          </cell>
        </row>
      </sheetData>
      <sheetData sheetId="2016">
        <row r="5">
          <cell r="A5">
            <v>2</v>
          </cell>
        </row>
      </sheetData>
      <sheetData sheetId="2017">
        <row r="5">
          <cell r="A5">
            <v>2</v>
          </cell>
        </row>
      </sheetData>
      <sheetData sheetId="2018">
        <row r="5">
          <cell r="A5">
            <v>2</v>
          </cell>
        </row>
      </sheetData>
      <sheetData sheetId="2019"/>
      <sheetData sheetId="2020"/>
      <sheetData sheetId="2021">
        <row r="5">
          <cell r="A5">
            <v>2</v>
          </cell>
        </row>
      </sheetData>
      <sheetData sheetId="2022">
        <row r="5">
          <cell r="A5">
            <v>2</v>
          </cell>
        </row>
      </sheetData>
      <sheetData sheetId="2023"/>
      <sheetData sheetId="2024">
        <row r="5">
          <cell r="A5">
            <v>2</v>
          </cell>
        </row>
      </sheetData>
      <sheetData sheetId="2025"/>
      <sheetData sheetId="2026">
        <row r="5">
          <cell r="A5">
            <v>2</v>
          </cell>
        </row>
      </sheetData>
      <sheetData sheetId="2027">
        <row r="5">
          <cell r="A5">
            <v>2</v>
          </cell>
        </row>
      </sheetData>
      <sheetData sheetId="2028"/>
      <sheetData sheetId="2029">
        <row r="5">
          <cell r="A5">
            <v>2</v>
          </cell>
        </row>
      </sheetData>
      <sheetData sheetId="2030">
        <row r="5">
          <cell r="A5">
            <v>2</v>
          </cell>
        </row>
      </sheetData>
      <sheetData sheetId="2031">
        <row r="5">
          <cell r="A5">
            <v>2</v>
          </cell>
        </row>
      </sheetData>
      <sheetData sheetId="2032"/>
      <sheetData sheetId="2033">
        <row r="5">
          <cell r="A5">
            <v>2</v>
          </cell>
        </row>
      </sheetData>
      <sheetData sheetId="2034">
        <row r="5">
          <cell r="A5">
            <v>2</v>
          </cell>
        </row>
      </sheetData>
      <sheetData sheetId="2035">
        <row r="5">
          <cell r="A5">
            <v>2</v>
          </cell>
        </row>
      </sheetData>
      <sheetData sheetId="2036">
        <row r="5">
          <cell r="A5">
            <v>2</v>
          </cell>
        </row>
      </sheetData>
      <sheetData sheetId="2037">
        <row r="5">
          <cell r="A5">
            <v>2</v>
          </cell>
        </row>
      </sheetData>
      <sheetData sheetId="2038">
        <row r="5">
          <cell r="A5">
            <v>2</v>
          </cell>
        </row>
      </sheetData>
      <sheetData sheetId="2039">
        <row r="5">
          <cell r="A5">
            <v>2</v>
          </cell>
        </row>
      </sheetData>
      <sheetData sheetId="2040">
        <row r="5">
          <cell r="A5">
            <v>2</v>
          </cell>
        </row>
      </sheetData>
      <sheetData sheetId="2041">
        <row r="5">
          <cell r="A5">
            <v>2</v>
          </cell>
        </row>
      </sheetData>
      <sheetData sheetId="2042">
        <row r="5">
          <cell r="A5">
            <v>2</v>
          </cell>
        </row>
      </sheetData>
      <sheetData sheetId="2043">
        <row r="5">
          <cell r="A5">
            <v>2</v>
          </cell>
        </row>
      </sheetData>
      <sheetData sheetId="2044">
        <row r="5">
          <cell r="A5">
            <v>2</v>
          </cell>
        </row>
      </sheetData>
      <sheetData sheetId="2045">
        <row r="5">
          <cell r="A5">
            <v>2</v>
          </cell>
        </row>
      </sheetData>
      <sheetData sheetId="2046">
        <row r="5">
          <cell r="A5">
            <v>2</v>
          </cell>
        </row>
      </sheetData>
      <sheetData sheetId="2047">
        <row r="5">
          <cell r="A5">
            <v>2</v>
          </cell>
        </row>
      </sheetData>
      <sheetData sheetId="2048">
        <row r="5">
          <cell r="A5">
            <v>2</v>
          </cell>
        </row>
      </sheetData>
      <sheetData sheetId="2049">
        <row r="5">
          <cell r="A5">
            <v>2</v>
          </cell>
        </row>
      </sheetData>
      <sheetData sheetId="2050">
        <row r="5">
          <cell r="A5">
            <v>2</v>
          </cell>
        </row>
      </sheetData>
      <sheetData sheetId="2051">
        <row r="5">
          <cell r="A5">
            <v>2</v>
          </cell>
        </row>
      </sheetData>
      <sheetData sheetId="2052">
        <row r="5">
          <cell r="A5">
            <v>2</v>
          </cell>
        </row>
      </sheetData>
      <sheetData sheetId="2053">
        <row r="5">
          <cell r="A5">
            <v>2</v>
          </cell>
        </row>
      </sheetData>
      <sheetData sheetId="2054">
        <row r="5">
          <cell r="A5">
            <v>2</v>
          </cell>
        </row>
      </sheetData>
      <sheetData sheetId="2055">
        <row r="5">
          <cell r="A5">
            <v>2</v>
          </cell>
        </row>
      </sheetData>
      <sheetData sheetId="2056">
        <row r="5">
          <cell r="A5">
            <v>2</v>
          </cell>
        </row>
      </sheetData>
      <sheetData sheetId="2057">
        <row r="5">
          <cell r="A5">
            <v>2</v>
          </cell>
        </row>
      </sheetData>
      <sheetData sheetId="2058">
        <row r="5">
          <cell r="A5">
            <v>2</v>
          </cell>
        </row>
      </sheetData>
      <sheetData sheetId="2059">
        <row r="5">
          <cell r="A5">
            <v>2</v>
          </cell>
        </row>
      </sheetData>
      <sheetData sheetId="2060">
        <row r="5">
          <cell r="A5">
            <v>2</v>
          </cell>
        </row>
      </sheetData>
      <sheetData sheetId="2061">
        <row r="5">
          <cell r="A5">
            <v>2</v>
          </cell>
        </row>
      </sheetData>
      <sheetData sheetId="2062">
        <row r="5">
          <cell r="A5">
            <v>2</v>
          </cell>
        </row>
      </sheetData>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ow r="5">
          <cell r="A5">
            <v>2</v>
          </cell>
        </row>
      </sheetData>
      <sheetData sheetId="2093" refreshError="1"/>
      <sheetData sheetId="2094" refreshError="1"/>
      <sheetData sheetId="2095" refreshError="1"/>
      <sheetData sheetId="2096" refreshError="1"/>
      <sheetData sheetId="2097" refreshError="1"/>
      <sheetData sheetId="2098" refreshError="1"/>
      <sheetData sheetId="2099">
        <row r="5">
          <cell r="A5">
            <v>2</v>
          </cell>
        </row>
      </sheetData>
      <sheetData sheetId="2100">
        <row r="5">
          <cell r="A5">
            <v>2</v>
          </cell>
        </row>
      </sheetData>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ow r="5">
          <cell r="A5">
            <v>2</v>
          </cell>
        </row>
      </sheetData>
      <sheetData sheetId="2136"/>
      <sheetData sheetId="2137">
        <row r="5">
          <cell r="A5">
            <v>2</v>
          </cell>
        </row>
      </sheetData>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ow r="5">
          <cell r="A5">
            <v>2</v>
          </cell>
        </row>
      </sheetData>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sheetData sheetId="2312"/>
      <sheetData sheetId="2313"/>
      <sheetData sheetId="2314"/>
      <sheetData sheetId="2315"/>
      <sheetData sheetId="2316"/>
      <sheetData sheetId="2317" refreshError="1"/>
      <sheetData sheetId="2318"/>
      <sheetData sheetId="2319"/>
      <sheetData sheetId="2320"/>
      <sheetData sheetId="2321"/>
      <sheetData sheetId="2322"/>
      <sheetData sheetId="2323"/>
      <sheetData sheetId="2324"/>
      <sheetData sheetId="2325"/>
      <sheetData sheetId="2326"/>
      <sheetData sheetId="2327"/>
      <sheetData sheetId="2328"/>
      <sheetData sheetId="2329" refreshError="1"/>
      <sheetData sheetId="2330" refreshError="1"/>
      <sheetData sheetId="233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sheetData sheetId="2358"/>
      <sheetData sheetId="2359"/>
      <sheetData sheetId="2360"/>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sheetData sheetId="2427"/>
      <sheetData sheetId="2428"/>
      <sheetData sheetId="2429"/>
      <sheetData sheetId="2430"/>
      <sheetData sheetId="2431"/>
      <sheetData sheetId="2432"/>
      <sheetData sheetId="2433"/>
      <sheetData sheetId="2434"/>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TABLE2-1 ISBL(GENEAL-CIVIL)"/>
      <sheetName val="TABLE2-1 ISBL-(SlTE PREP)"/>
      <sheetName val="TABLE2-2 OSBL(GENERAL-CIVIL)"/>
      <sheetName val="TABLE2-2 OSBL-(SITE PREP)"/>
      <sheetName val="TABLE 2-2 ISBL(BLDG)"/>
      <sheetName val="BOQ(BLD)"/>
      <sheetName val="TABLE 2-2 OSBL(BLDG)"/>
      <sheetName val="TABLE2"/>
      <sheetName val="ISBL (검증)"/>
      <sheetName val="Bdown_ISBL"/>
      <sheetName val="Testing"/>
      <sheetName val="정부노임단가"/>
      <sheetName val="IMP(MAIN)"/>
      <sheetName val="IMP (REACTOR)"/>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BOQ0822"/>
      <sheetName val="BQ"/>
      <sheetName val="TABLE2-1 ISBL(HDEC단가)"/>
      <sheetName val="TABLE2-2 OSBL(HDEC단가)"/>
    </sheetNames>
    <sheetDataSet>
      <sheetData sheetId="0"/>
      <sheetData sheetId="1">
        <row r="8">
          <cell r="B8" t="str">
            <v>Excavation</v>
          </cell>
        </row>
      </sheetData>
      <sheetData sheetId="2">
        <row r="8">
          <cell r="B8" t="str">
            <v>Demolition (Paving)</v>
          </cell>
        </row>
      </sheetData>
      <sheetData sheetId="3">
        <row r="8">
          <cell r="B8" t="str">
            <v>Excavation</v>
          </cell>
        </row>
      </sheetData>
      <sheetData sheetId="4">
        <row r="8">
          <cell r="B8" t="str">
            <v>Demolition (Paving)</v>
          </cell>
        </row>
      </sheetData>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2-1 ISBL(GENEAL-CIVIL)"/>
      <sheetName val="TABLE2-1 ISBL-(SlTE PREP)"/>
      <sheetName val="TABLE2.1 ISBL (Soil Invest)"/>
      <sheetName val="TABLE2-2 OSBL(GENERAL-CIVIL)"/>
      <sheetName val="TABLE2-2 OSBL-(SITE PREP)"/>
      <sheetName val="TABLE 3"/>
      <sheetName val="TABLE 4"/>
      <sheetName val="TABLE 5"/>
      <sheetName val="Bdown_ISBL"/>
      <sheetName val="ISBL (검증)"/>
      <sheetName val="7.3.2.B"/>
      <sheetName val="7.3.2.C"/>
    </sheetNames>
    <sheetDataSet>
      <sheetData sheetId="0">
        <row r="9">
          <cell r="B9" t="str">
            <v>Excavation</v>
          </cell>
        </row>
      </sheetData>
      <sheetData sheetId="1">
        <row r="9">
          <cell r="B9" t="str">
            <v>Demolition (Paving)</v>
          </cell>
        </row>
      </sheetData>
      <sheetData sheetId="2">
        <row r="9">
          <cell r="B9" t="str">
            <v>Soil Investigation</v>
          </cell>
        </row>
      </sheetData>
      <sheetData sheetId="3">
        <row r="9">
          <cell r="B9" t="str">
            <v>Excavation</v>
          </cell>
        </row>
      </sheetData>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1"/>
      <sheetName val="TABLE2-1 ISBL(GENEAL-CIVIL)"/>
      <sheetName val="TABLE2-1 ISBL-(SlTE PREP)"/>
      <sheetName val="TABLE2.1 ISBL (Soil Invest)"/>
      <sheetName val="TABLE2-2 OSBL(GENERAL-CIVIL)"/>
      <sheetName val="TABLE2-2 OSBL-(SITE PREP)"/>
      <sheetName val="TABLE 3"/>
      <sheetName val="TABLE 4"/>
      <sheetName val="TABLE 5"/>
      <sheetName val="Bdown_ISBL"/>
      <sheetName val="ISBL (검증)"/>
      <sheetName val="7.3.2.B"/>
      <sheetName val="Testing"/>
    </sheetNames>
    <sheetDataSet>
      <sheetData sheetId="0"/>
      <sheetData sheetId="1">
        <row r="9">
          <cell r="B9" t="str">
            <v>Excavation</v>
          </cell>
          <cell r="C9" t="str">
            <v>Good soil (by equipment)</v>
          </cell>
          <cell r="D9" t="str">
            <v>m3</v>
          </cell>
          <cell r="E9">
            <v>164037</v>
          </cell>
          <cell r="G9">
            <v>0</v>
          </cell>
          <cell r="I9">
            <v>0.1</v>
          </cell>
          <cell r="J9">
            <v>16403.7</v>
          </cell>
          <cell r="K9">
            <v>1.1000000000000001</v>
          </cell>
          <cell r="L9">
            <v>180440.7</v>
          </cell>
          <cell r="N9">
            <v>0</v>
          </cell>
          <cell r="O9">
            <v>1.2000000000000002</v>
          </cell>
          <cell r="P9">
            <v>196844.40000000002</v>
          </cell>
        </row>
        <row r="10">
          <cell r="B10" t="str">
            <v>Back Fill</v>
          </cell>
          <cell r="C10" t="str">
            <v>Good soil (by equipment) Compaction shall be 95% of maximum dry density in six inch compacted layers.</v>
          </cell>
          <cell r="D10" t="str">
            <v>m3</v>
          </cell>
          <cell r="E10">
            <v>107293</v>
          </cell>
          <cell r="G10">
            <v>0</v>
          </cell>
          <cell r="I10">
            <v>1.1499999999999999</v>
          </cell>
          <cell r="J10">
            <v>123386.95</v>
          </cell>
          <cell r="K10">
            <v>1.1000000000000001</v>
          </cell>
          <cell r="L10">
            <v>118022.3</v>
          </cell>
          <cell r="N10">
            <v>0</v>
          </cell>
          <cell r="O10">
            <v>2.25</v>
          </cell>
          <cell r="P10">
            <v>241409.25</v>
          </cell>
        </row>
        <row r="11">
          <cell r="B11" t="str">
            <v>Disposal</v>
          </cell>
          <cell r="C11" t="str">
            <v>Good soil</v>
          </cell>
          <cell r="D11" t="str">
            <v>m3</v>
          </cell>
          <cell r="E11">
            <v>56744</v>
          </cell>
          <cell r="G11">
            <v>0</v>
          </cell>
          <cell r="I11">
            <v>0.04</v>
          </cell>
          <cell r="J11">
            <v>2269.7600000000002</v>
          </cell>
          <cell r="K11">
            <v>0.96</v>
          </cell>
          <cell r="L11">
            <v>54474.239999999998</v>
          </cell>
          <cell r="N11">
            <v>0</v>
          </cell>
          <cell r="O11">
            <v>1</v>
          </cell>
          <cell r="P11">
            <v>56744</v>
          </cell>
        </row>
        <row r="12">
          <cell r="B12" t="str">
            <v>Concrete</v>
          </cell>
          <cell r="C12" t="str">
            <v>Grade C30 , ASTM C150 (TYPE-V)</v>
          </cell>
          <cell r="D12" t="str">
            <v>m3</v>
          </cell>
          <cell r="E12">
            <v>7590</v>
          </cell>
          <cell r="F12">
            <v>26</v>
          </cell>
          <cell r="G12">
            <v>197340</v>
          </cell>
          <cell r="I12">
            <v>8</v>
          </cell>
          <cell r="J12">
            <v>60720</v>
          </cell>
          <cell r="K12">
            <v>6</v>
          </cell>
          <cell r="L12">
            <v>45540</v>
          </cell>
          <cell r="N12">
            <v>0</v>
          </cell>
          <cell r="O12">
            <v>14</v>
          </cell>
          <cell r="P12">
            <v>106260</v>
          </cell>
        </row>
        <row r="13">
          <cell r="B13" t="str">
            <v>Blinding Con'c</v>
          </cell>
          <cell r="C13" t="str">
            <v>Grade C20, Thk.=50mm. (DEP 34.19.20.31-Gen.)</v>
          </cell>
          <cell r="D13" t="str">
            <v>m3</v>
          </cell>
          <cell r="E13">
            <v>494</v>
          </cell>
          <cell r="F13">
            <v>23</v>
          </cell>
          <cell r="G13">
            <v>11362</v>
          </cell>
          <cell r="I13">
            <v>7</v>
          </cell>
          <cell r="J13">
            <v>3458</v>
          </cell>
          <cell r="K13">
            <v>4</v>
          </cell>
          <cell r="L13">
            <v>1976</v>
          </cell>
          <cell r="N13">
            <v>0</v>
          </cell>
          <cell r="O13">
            <v>11</v>
          </cell>
          <cell r="P13">
            <v>5434</v>
          </cell>
        </row>
        <row r="14">
          <cell r="B14" t="str">
            <v>Form Work</v>
          </cell>
          <cell r="C14" t="str">
            <v>ACI 347</v>
          </cell>
          <cell r="D14" t="str">
            <v>m2</v>
          </cell>
          <cell r="E14">
            <v>25373</v>
          </cell>
          <cell r="F14">
            <v>3</v>
          </cell>
          <cell r="G14">
            <v>76119</v>
          </cell>
          <cell r="I14">
            <v>4.5</v>
          </cell>
          <cell r="J14">
            <v>114178.5</v>
          </cell>
          <cell r="K14">
            <v>0.03</v>
          </cell>
          <cell r="L14">
            <v>761.18999999999994</v>
          </cell>
          <cell r="N14">
            <v>0</v>
          </cell>
          <cell r="O14">
            <v>4.53</v>
          </cell>
          <cell r="P14">
            <v>114939.69</v>
          </cell>
        </row>
        <row r="15">
          <cell r="B15" t="str">
            <v>Re-Bar</v>
          </cell>
          <cell r="C15" t="str">
            <v xml:space="preserve">ASTM A 615 Grade 60 Type S </v>
          </cell>
          <cell r="D15" t="str">
            <v>Ton</v>
          </cell>
          <cell r="E15">
            <v>620</v>
          </cell>
          <cell r="F15">
            <v>145</v>
          </cell>
          <cell r="G15">
            <v>89900</v>
          </cell>
          <cell r="I15">
            <v>68</v>
          </cell>
          <cell r="J15">
            <v>42160</v>
          </cell>
          <cell r="K15">
            <v>2</v>
          </cell>
          <cell r="L15">
            <v>1240</v>
          </cell>
          <cell r="N15">
            <v>0</v>
          </cell>
          <cell r="O15">
            <v>70</v>
          </cell>
          <cell r="P15">
            <v>43400</v>
          </cell>
        </row>
        <row r="16">
          <cell r="B16" t="str">
            <v>Non-Shrinkage Grout</v>
          </cell>
          <cell r="C16" t="str">
            <v>75 N/mm2, DEP 34.19.20.31-Gen</v>
          </cell>
          <cell r="D16" t="str">
            <v>m3</v>
          </cell>
          <cell r="E16">
            <v>29</v>
          </cell>
          <cell r="F16">
            <v>315</v>
          </cell>
          <cell r="G16">
            <v>9135</v>
          </cell>
          <cell r="I16">
            <v>85</v>
          </cell>
          <cell r="J16">
            <v>2465</v>
          </cell>
          <cell r="K16">
            <v>10</v>
          </cell>
          <cell r="L16">
            <v>290</v>
          </cell>
          <cell r="N16">
            <v>0</v>
          </cell>
          <cell r="O16">
            <v>95</v>
          </cell>
          <cell r="P16">
            <v>2755</v>
          </cell>
        </row>
        <row r="17">
          <cell r="B17" t="str">
            <v>Sand/Cement Grout</v>
          </cell>
          <cell r="C17" t="str">
            <v>20 N/mm2,DEP 34.19.20.31-Gen</v>
          </cell>
          <cell r="D17" t="str">
            <v>m3</v>
          </cell>
          <cell r="E17">
            <v>1</v>
          </cell>
          <cell r="F17">
            <v>25</v>
          </cell>
          <cell r="G17">
            <v>25</v>
          </cell>
          <cell r="I17">
            <v>85</v>
          </cell>
          <cell r="J17">
            <v>85</v>
          </cell>
          <cell r="K17">
            <v>10</v>
          </cell>
          <cell r="L17">
            <v>10</v>
          </cell>
          <cell r="N17">
            <v>0</v>
          </cell>
          <cell r="O17">
            <v>95</v>
          </cell>
          <cell r="P17">
            <v>95</v>
          </cell>
        </row>
        <row r="18">
          <cell r="B18" t="str">
            <v>FDN. Surface Coating (U/G)</v>
          </cell>
          <cell r="C18" t="str">
            <v xml:space="preserve">bitu-coating, 2 times, 0.4kg/m2 </v>
          </cell>
          <cell r="D18" t="str">
            <v>m2</v>
          </cell>
          <cell r="E18">
            <v>14567</v>
          </cell>
          <cell r="F18">
            <v>0.25</v>
          </cell>
          <cell r="G18">
            <v>3641.75</v>
          </cell>
          <cell r="I18">
            <v>0.9</v>
          </cell>
          <cell r="J18">
            <v>13110.300000000001</v>
          </cell>
          <cell r="K18">
            <v>0.1</v>
          </cell>
          <cell r="L18">
            <v>1456.7</v>
          </cell>
          <cell r="N18">
            <v>0</v>
          </cell>
          <cell r="O18">
            <v>1</v>
          </cell>
          <cell r="P18">
            <v>14567</v>
          </cell>
        </row>
        <row r="19">
          <cell r="B19" t="str">
            <v>FDN. Surface Coating (A/G)</v>
          </cell>
          <cell r="C19" t="str">
            <v>bitu-coating, 2 times, 0.4kg/m2, 150mm above ground level</v>
          </cell>
          <cell r="D19" t="str">
            <v>m2</v>
          </cell>
          <cell r="E19">
            <v>977</v>
          </cell>
          <cell r="F19">
            <v>0.25</v>
          </cell>
          <cell r="G19">
            <v>244.25</v>
          </cell>
          <cell r="I19">
            <v>0.9</v>
          </cell>
          <cell r="J19">
            <v>879.30000000000007</v>
          </cell>
          <cell r="K19">
            <v>0.1</v>
          </cell>
          <cell r="L19">
            <v>97.7</v>
          </cell>
          <cell r="N19">
            <v>0</v>
          </cell>
          <cell r="O19">
            <v>1</v>
          </cell>
          <cell r="P19">
            <v>977</v>
          </cell>
        </row>
        <row r="20">
          <cell r="B20" t="str">
            <v>Sand Bitumen</v>
          </cell>
          <cell r="C20" t="str">
            <v>50mm sand bitumen mix or oil/sand mix. (DEP 34.18.51.10-Gen. Appendix 3 and 4)</v>
          </cell>
          <cell r="D20" t="str">
            <v>m3</v>
          </cell>
          <cell r="E20">
            <v>3</v>
          </cell>
          <cell r="F20">
            <v>50</v>
          </cell>
          <cell r="G20">
            <v>150</v>
          </cell>
          <cell r="I20">
            <v>10</v>
          </cell>
          <cell r="J20">
            <v>30</v>
          </cell>
          <cell r="K20">
            <v>10</v>
          </cell>
          <cell r="L20">
            <v>30</v>
          </cell>
          <cell r="N20">
            <v>0</v>
          </cell>
          <cell r="O20">
            <v>20</v>
          </cell>
          <cell r="P20">
            <v>60</v>
          </cell>
        </row>
        <row r="21">
          <cell r="B21" t="str">
            <v>Structural Fill (Sand)</v>
          </cell>
          <cell r="C21" t="str">
            <v>Compaction shall be 95% of maximum dry density in six inch compacted layers.</v>
          </cell>
          <cell r="D21" t="str">
            <v>m3</v>
          </cell>
          <cell r="E21">
            <v>21387</v>
          </cell>
          <cell r="F21">
            <v>2</v>
          </cell>
          <cell r="G21">
            <v>42774</v>
          </cell>
          <cell r="I21">
            <v>1</v>
          </cell>
          <cell r="J21">
            <v>21387</v>
          </cell>
          <cell r="K21">
            <v>1</v>
          </cell>
          <cell r="L21">
            <v>21387</v>
          </cell>
          <cell r="N21">
            <v>0</v>
          </cell>
          <cell r="O21">
            <v>2</v>
          </cell>
          <cell r="P21">
            <v>42774</v>
          </cell>
        </row>
        <row r="22">
          <cell r="B22" t="str">
            <v>Structural Fill (Compacted Stone or Gravel)</v>
          </cell>
          <cell r="C22" t="str">
            <v>Compaction shall be 95% of maximum dry density in six inch compacted layers.</v>
          </cell>
          <cell r="D22" t="str">
            <v>m3</v>
          </cell>
          <cell r="E22">
            <v>5</v>
          </cell>
          <cell r="F22">
            <v>12</v>
          </cell>
          <cell r="G22">
            <v>60</v>
          </cell>
          <cell r="I22">
            <v>3</v>
          </cell>
          <cell r="J22">
            <v>15</v>
          </cell>
          <cell r="K22">
            <v>1</v>
          </cell>
          <cell r="L22">
            <v>5</v>
          </cell>
          <cell r="N22">
            <v>0</v>
          </cell>
          <cell r="O22">
            <v>4</v>
          </cell>
          <cell r="P22">
            <v>20</v>
          </cell>
        </row>
        <row r="23">
          <cell r="B23" t="str">
            <v>Water Stop</v>
          </cell>
          <cell r="C23" t="str">
            <v>PVC, W=150mm</v>
          </cell>
          <cell r="D23" t="str">
            <v>m</v>
          </cell>
          <cell r="E23">
            <v>522</v>
          </cell>
          <cell r="F23">
            <v>2</v>
          </cell>
          <cell r="G23">
            <v>1044</v>
          </cell>
          <cell r="I23">
            <v>1.8</v>
          </cell>
          <cell r="J23">
            <v>939.6</v>
          </cell>
          <cell r="K23">
            <v>0.05</v>
          </cell>
          <cell r="L23">
            <v>26.1</v>
          </cell>
          <cell r="N23">
            <v>0</v>
          </cell>
          <cell r="O23">
            <v>1.85</v>
          </cell>
          <cell r="P23">
            <v>965.7</v>
          </cell>
        </row>
        <row r="24">
          <cell r="B24" t="str">
            <v>Outside Water Proofing (for Pit &amp; Basin)</v>
          </cell>
          <cell r="C24" t="str">
            <v xml:space="preserve">bitu-coating, 2 times, 0.4kg/m2 </v>
          </cell>
          <cell r="D24" t="str">
            <v>m2</v>
          </cell>
          <cell r="E24">
            <v>1215</v>
          </cell>
          <cell r="F24">
            <v>1.8</v>
          </cell>
          <cell r="G24">
            <v>2187</v>
          </cell>
          <cell r="I24">
            <v>1.7</v>
          </cell>
          <cell r="J24">
            <v>2065.5</v>
          </cell>
          <cell r="K24">
            <v>0.05</v>
          </cell>
          <cell r="L24">
            <v>60.75</v>
          </cell>
          <cell r="N24">
            <v>0</v>
          </cell>
          <cell r="O24">
            <v>1.75</v>
          </cell>
          <cell r="P24">
            <v>2126.25</v>
          </cell>
        </row>
        <row r="25">
          <cell r="B25" t="str">
            <v>Inside Wall Coating (Water Proofing Only)</v>
          </cell>
          <cell r="C25" t="str">
            <v>Liquid water coating</v>
          </cell>
          <cell r="D25" t="str">
            <v>m2</v>
          </cell>
          <cell r="E25">
            <v>1375</v>
          </cell>
          <cell r="F25">
            <v>1.2</v>
          </cell>
          <cell r="G25">
            <v>1650</v>
          </cell>
          <cell r="I25">
            <v>1.7</v>
          </cell>
          <cell r="J25">
            <v>2337.5</v>
          </cell>
          <cell r="K25">
            <v>0.05</v>
          </cell>
          <cell r="L25">
            <v>68.75</v>
          </cell>
          <cell r="N25">
            <v>0</v>
          </cell>
          <cell r="O25">
            <v>1.75</v>
          </cell>
          <cell r="P25">
            <v>2406.25</v>
          </cell>
        </row>
        <row r="26">
          <cell r="B26" t="str">
            <v>Drain Pipe (for concrete Tank)</v>
          </cell>
          <cell r="C26" t="str">
            <v>HDPE drain pipe (Φ 75x6.9mm)</v>
          </cell>
          <cell r="D26" t="str">
            <v>m</v>
          </cell>
          <cell r="E26">
            <v>1</v>
          </cell>
          <cell r="F26">
            <v>3</v>
          </cell>
          <cell r="G26">
            <v>3</v>
          </cell>
          <cell r="I26">
            <v>4</v>
          </cell>
          <cell r="J26">
            <v>4</v>
          </cell>
          <cell r="L26">
            <v>0</v>
          </cell>
          <cell r="N26">
            <v>0</v>
          </cell>
          <cell r="O26">
            <v>4</v>
          </cell>
          <cell r="P26">
            <v>4</v>
          </cell>
        </row>
        <row r="27">
          <cell r="B27" t="str">
            <v>Geotextile membrane</v>
          </cell>
          <cell r="C27" t="str">
            <v>woven/roven type Nicolon No. 66339 or equivalent</v>
          </cell>
          <cell r="D27" t="str">
            <v>m2</v>
          </cell>
          <cell r="E27">
            <v>128</v>
          </cell>
          <cell r="F27">
            <v>0.5</v>
          </cell>
          <cell r="G27">
            <v>64</v>
          </cell>
          <cell r="I27">
            <v>1</v>
          </cell>
          <cell r="J27">
            <v>128</v>
          </cell>
          <cell r="L27">
            <v>0</v>
          </cell>
          <cell r="N27">
            <v>0</v>
          </cell>
          <cell r="O27">
            <v>1</v>
          </cell>
          <cell r="P27">
            <v>128</v>
          </cell>
        </row>
        <row r="28">
          <cell r="B28" t="str">
            <v>Drain Pipe (for Tank Foundation) 1</v>
          </cell>
          <cell r="C28" t="str">
            <v>HDPE drain pipe (Φ 125mm)</v>
          </cell>
          <cell r="D28" t="str">
            <v>m</v>
          </cell>
          <cell r="E28">
            <v>14</v>
          </cell>
          <cell r="F28">
            <v>2</v>
          </cell>
          <cell r="G28">
            <v>28</v>
          </cell>
          <cell r="I28">
            <v>4</v>
          </cell>
          <cell r="J28">
            <v>56</v>
          </cell>
          <cell r="L28">
            <v>0</v>
          </cell>
          <cell r="N28">
            <v>0</v>
          </cell>
          <cell r="O28">
            <v>4</v>
          </cell>
          <cell r="P28">
            <v>56</v>
          </cell>
        </row>
        <row r="29">
          <cell r="B29" t="str">
            <v>Drain Pipe (for Tank Foundation) 2</v>
          </cell>
          <cell r="C29" t="str">
            <v>HDPE drain pipe (Φ 25mm)</v>
          </cell>
          <cell r="D29" t="str">
            <v>m</v>
          </cell>
          <cell r="E29">
            <v>14</v>
          </cell>
          <cell r="F29">
            <v>0.7</v>
          </cell>
          <cell r="G29">
            <v>9.7999999999999989</v>
          </cell>
          <cell r="I29">
            <v>4</v>
          </cell>
          <cell r="J29">
            <v>56</v>
          </cell>
          <cell r="L29">
            <v>0</v>
          </cell>
          <cell r="N29">
            <v>0</v>
          </cell>
          <cell r="O29">
            <v>4</v>
          </cell>
          <cell r="P29">
            <v>56</v>
          </cell>
        </row>
        <row r="30">
          <cell r="B30" t="str">
            <v>Manhole Cover</v>
          </cell>
          <cell r="C30" t="str">
            <v>Cast Iron cover, Φ600mm (unpaved area)</v>
          </cell>
          <cell r="D30" t="str">
            <v>ea</v>
          </cell>
          <cell r="E30">
            <v>12</v>
          </cell>
          <cell r="F30">
            <v>60</v>
          </cell>
          <cell r="G30">
            <v>720</v>
          </cell>
          <cell r="I30">
            <v>10</v>
          </cell>
          <cell r="J30">
            <v>120</v>
          </cell>
          <cell r="L30">
            <v>0</v>
          </cell>
          <cell r="N30">
            <v>0</v>
          </cell>
          <cell r="O30">
            <v>10</v>
          </cell>
          <cell r="P30">
            <v>120</v>
          </cell>
        </row>
        <row r="31">
          <cell r="B31" t="str">
            <v>Hume Pipe</v>
          </cell>
          <cell r="C31" t="str">
            <v>D=450mm</v>
          </cell>
          <cell r="D31" t="str">
            <v>m</v>
          </cell>
          <cell r="E31">
            <v>1180</v>
          </cell>
          <cell r="F31">
            <v>15</v>
          </cell>
          <cell r="G31">
            <v>17700</v>
          </cell>
          <cell r="I31">
            <v>8</v>
          </cell>
          <cell r="J31">
            <v>9440</v>
          </cell>
          <cell r="K31">
            <v>2</v>
          </cell>
          <cell r="L31">
            <v>2360</v>
          </cell>
          <cell r="N31">
            <v>0</v>
          </cell>
          <cell r="O31">
            <v>10</v>
          </cell>
          <cell r="P31">
            <v>11800</v>
          </cell>
        </row>
        <row r="32">
          <cell r="B32" t="str">
            <v>4" diameter vent pipe</v>
          </cell>
          <cell r="C32" t="str">
            <v>steel pipe</v>
          </cell>
          <cell r="D32" t="str">
            <v>m</v>
          </cell>
          <cell r="E32">
            <v>48</v>
          </cell>
          <cell r="F32">
            <v>6</v>
          </cell>
          <cell r="G32">
            <v>288</v>
          </cell>
          <cell r="I32">
            <v>4</v>
          </cell>
          <cell r="J32">
            <v>192</v>
          </cell>
          <cell r="L32">
            <v>0</v>
          </cell>
          <cell r="N32">
            <v>0</v>
          </cell>
          <cell r="O32">
            <v>4</v>
          </cell>
          <cell r="P32">
            <v>192</v>
          </cell>
        </row>
        <row r="33">
          <cell r="B33" t="str">
            <v>Warning Tape</v>
          </cell>
          <cell r="C33" t="str">
            <v>P.V.C</v>
          </cell>
          <cell r="D33" t="str">
            <v>m</v>
          </cell>
          <cell r="E33">
            <v>16632</v>
          </cell>
          <cell r="F33">
            <v>0.2</v>
          </cell>
          <cell r="G33">
            <v>3326.4</v>
          </cell>
          <cell r="I33">
            <v>0.1</v>
          </cell>
          <cell r="J33">
            <v>1663.2</v>
          </cell>
          <cell r="L33">
            <v>0</v>
          </cell>
          <cell r="N33">
            <v>0</v>
          </cell>
          <cell r="O33">
            <v>0.1</v>
          </cell>
          <cell r="P33">
            <v>1663.2</v>
          </cell>
        </row>
        <row r="34">
          <cell r="B34" t="str">
            <v>Grating</v>
          </cell>
          <cell r="C34" t="str">
            <v>I-55x7, Galvanized</v>
          </cell>
          <cell r="D34" t="str">
            <v>m2</v>
          </cell>
          <cell r="E34">
            <v>54</v>
          </cell>
          <cell r="F34">
            <v>75</v>
          </cell>
          <cell r="G34">
            <v>4050</v>
          </cell>
          <cell r="I34">
            <v>10</v>
          </cell>
          <cell r="J34">
            <v>540</v>
          </cell>
          <cell r="L34">
            <v>0</v>
          </cell>
          <cell r="N34">
            <v>0</v>
          </cell>
          <cell r="O34">
            <v>10</v>
          </cell>
          <cell r="P34">
            <v>540</v>
          </cell>
        </row>
        <row r="35">
          <cell r="B35" t="str">
            <v>Checkered Plate</v>
          </cell>
          <cell r="C35" t="str">
            <v>Thk.=6mm, Galvanized</v>
          </cell>
          <cell r="D35" t="str">
            <v>m2</v>
          </cell>
          <cell r="E35">
            <v>121</v>
          </cell>
          <cell r="F35">
            <v>30</v>
          </cell>
          <cell r="G35">
            <v>3630</v>
          </cell>
          <cell r="I35">
            <v>10</v>
          </cell>
          <cell r="J35">
            <v>1210</v>
          </cell>
          <cell r="L35">
            <v>0</v>
          </cell>
          <cell r="N35">
            <v>0</v>
          </cell>
          <cell r="O35">
            <v>10</v>
          </cell>
          <cell r="P35">
            <v>1210</v>
          </cell>
        </row>
        <row r="36">
          <cell r="B36" t="str">
            <v>Step Iron</v>
          </cell>
          <cell r="C36" t="str">
            <v>ASTM A36, Round Bar Φ20x1200L, Hot dip galvanized</v>
          </cell>
          <cell r="D36" t="str">
            <v>ea</v>
          </cell>
          <cell r="E36">
            <v>704</v>
          </cell>
          <cell r="F36">
            <v>3</v>
          </cell>
          <cell r="G36">
            <v>2112</v>
          </cell>
          <cell r="I36">
            <v>2</v>
          </cell>
          <cell r="J36">
            <v>1408</v>
          </cell>
          <cell r="L36">
            <v>0</v>
          </cell>
          <cell r="N36">
            <v>0</v>
          </cell>
          <cell r="O36">
            <v>2</v>
          </cell>
          <cell r="P36">
            <v>1408</v>
          </cell>
        </row>
        <row r="37">
          <cell r="B37" t="str">
            <v>Misc. Steel</v>
          </cell>
          <cell r="C37" t="str">
            <v>ASTM A36 or equivalent</v>
          </cell>
          <cell r="D37" t="str">
            <v>Ton</v>
          </cell>
          <cell r="E37">
            <v>5</v>
          </cell>
          <cell r="F37">
            <v>300</v>
          </cell>
          <cell r="G37">
            <v>1500</v>
          </cell>
          <cell r="I37">
            <v>300</v>
          </cell>
          <cell r="J37">
            <v>1500</v>
          </cell>
          <cell r="K37">
            <v>80</v>
          </cell>
          <cell r="L37">
            <v>400</v>
          </cell>
          <cell r="N37">
            <v>0</v>
          </cell>
          <cell r="O37">
            <v>380</v>
          </cell>
          <cell r="P37">
            <v>1900</v>
          </cell>
        </row>
        <row r="38">
          <cell r="B38" t="str">
            <v>Anchor Bolt (M24)</v>
          </cell>
          <cell r="C38" t="str">
            <v>ASTM A36 or equivalent (Refer DEP S28.020), Install only</v>
          </cell>
          <cell r="D38" t="str">
            <v>ea</v>
          </cell>
          <cell r="E38">
            <v>38</v>
          </cell>
          <cell r="G38">
            <v>0</v>
          </cell>
          <cell r="I38">
            <v>4</v>
          </cell>
          <cell r="J38">
            <v>152</v>
          </cell>
          <cell r="L38">
            <v>0</v>
          </cell>
          <cell r="N38">
            <v>0</v>
          </cell>
          <cell r="O38">
            <v>4</v>
          </cell>
          <cell r="P38">
            <v>152</v>
          </cell>
        </row>
        <row r="39">
          <cell r="B39" t="str">
            <v>Anchor Bolt (M36)</v>
          </cell>
          <cell r="C39" t="str">
            <v>ASTM A36 or equivalent (Refer DEP S28.020), Install only</v>
          </cell>
          <cell r="D39" t="str">
            <v>ea</v>
          </cell>
          <cell r="E39">
            <v>1238</v>
          </cell>
          <cell r="G39">
            <v>0</v>
          </cell>
          <cell r="I39">
            <v>6</v>
          </cell>
          <cell r="J39">
            <v>7428</v>
          </cell>
          <cell r="L39">
            <v>0</v>
          </cell>
          <cell r="N39">
            <v>0</v>
          </cell>
          <cell r="O39">
            <v>6</v>
          </cell>
          <cell r="P39">
            <v>7428</v>
          </cell>
        </row>
        <row r="40">
          <cell r="B40" t="str">
            <v>Anchor Bolt (M42)</v>
          </cell>
          <cell r="C40" t="str">
            <v>ASTM A36 or equivalent (Refer DEP S28.020), Install only</v>
          </cell>
          <cell r="D40" t="str">
            <v>ea</v>
          </cell>
          <cell r="E40">
            <v>461</v>
          </cell>
          <cell r="G40">
            <v>0</v>
          </cell>
          <cell r="I40">
            <v>9</v>
          </cell>
          <cell r="J40">
            <v>4149</v>
          </cell>
          <cell r="L40">
            <v>0</v>
          </cell>
          <cell r="N40">
            <v>0</v>
          </cell>
          <cell r="O40">
            <v>9</v>
          </cell>
          <cell r="P40">
            <v>4149</v>
          </cell>
        </row>
        <row r="41">
          <cell r="B41" t="str">
            <v>uPVC Pipe (for Cable Duct, Electric or Instrument)</v>
          </cell>
          <cell r="C41" t="str">
            <v>D=150mm, PVC Pipe</v>
          </cell>
          <cell r="D41" t="str">
            <v>m</v>
          </cell>
          <cell r="E41">
            <v>2573</v>
          </cell>
          <cell r="F41">
            <v>1.5</v>
          </cell>
          <cell r="G41">
            <v>3859.5</v>
          </cell>
          <cell r="I41">
            <v>2</v>
          </cell>
          <cell r="J41">
            <v>5146</v>
          </cell>
          <cell r="L41">
            <v>0</v>
          </cell>
          <cell r="N41">
            <v>0</v>
          </cell>
          <cell r="O41">
            <v>2</v>
          </cell>
          <cell r="P41">
            <v>5146</v>
          </cell>
        </row>
        <row r="42">
          <cell r="B42" t="str">
            <v>Electric Con'c Trench Cover (Red Coloring on the Top Surface)</v>
          </cell>
          <cell r="C42" t="str">
            <v>Thk.=50mm, grade C-30 (for Light duty paved area)</v>
          </cell>
          <cell r="D42" t="str">
            <v>m3</v>
          </cell>
          <cell r="E42">
            <v>506</v>
          </cell>
          <cell r="F42">
            <v>40</v>
          </cell>
          <cell r="G42">
            <v>20240</v>
          </cell>
          <cell r="I42">
            <v>18</v>
          </cell>
          <cell r="J42">
            <v>9108</v>
          </cell>
          <cell r="K42">
            <v>10</v>
          </cell>
          <cell r="L42">
            <v>5060</v>
          </cell>
          <cell r="N42">
            <v>0</v>
          </cell>
          <cell r="O42">
            <v>28</v>
          </cell>
          <cell r="P42">
            <v>14168</v>
          </cell>
        </row>
        <row r="43">
          <cell r="B43" t="str">
            <v>Protection Concrete</v>
          </cell>
          <cell r="C43" t="str">
            <v>300x300x60 Concrete</v>
          </cell>
          <cell r="D43" t="str">
            <v>m2</v>
          </cell>
          <cell r="E43">
            <v>12270</v>
          </cell>
          <cell r="F43">
            <v>3.5</v>
          </cell>
          <cell r="G43">
            <v>42945</v>
          </cell>
          <cell r="I43">
            <v>1.1000000000000001</v>
          </cell>
          <cell r="J43">
            <v>13497.000000000002</v>
          </cell>
          <cell r="K43">
            <v>0.25</v>
          </cell>
          <cell r="L43">
            <v>3067.5</v>
          </cell>
          <cell r="N43">
            <v>0</v>
          </cell>
          <cell r="O43">
            <v>1.35</v>
          </cell>
          <cell r="P43">
            <v>16564.5</v>
          </cell>
        </row>
        <row r="44">
          <cell r="B44" t="str">
            <v>Protection Barrier</v>
          </cell>
          <cell r="C44" t="str">
            <v>Heigth 700mm, 4" Line pipe schedule 80.
DEP 80.47.10.31-GEN. (including foundation)</v>
          </cell>
          <cell r="D44" t="str">
            <v>ea</v>
          </cell>
          <cell r="E44">
            <v>110</v>
          </cell>
          <cell r="F44">
            <v>8</v>
          </cell>
          <cell r="G44">
            <v>880</v>
          </cell>
          <cell r="I44">
            <v>4</v>
          </cell>
          <cell r="J44">
            <v>440</v>
          </cell>
          <cell r="K44">
            <v>2</v>
          </cell>
          <cell r="L44">
            <v>220</v>
          </cell>
          <cell r="N44">
            <v>0</v>
          </cell>
          <cell r="O44">
            <v>6</v>
          </cell>
          <cell r="P44">
            <v>660</v>
          </cell>
        </row>
        <row r="45">
          <cell r="B45" t="str">
            <v xml:space="preserve">HDPE membrane </v>
          </cell>
          <cell r="C45" t="str">
            <v>Thk.=2mm, shall be made with a 150mm overlap</v>
          </cell>
          <cell r="D45" t="str">
            <v>m2</v>
          </cell>
          <cell r="E45">
            <v>128</v>
          </cell>
          <cell r="F45">
            <v>2.2999999999999998</v>
          </cell>
          <cell r="G45">
            <v>294.39999999999998</v>
          </cell>
          <cell r="I45">
            <v>0.5</v>
          </cell>
          <cell r="J45">
            <v>64</v>
          </cell>
          <cell r="L45">
            <v>0</v>
          </cell>
          <cell r="N45">
            <v>0</v>
          </cell>
          <cell r="O45">
            <v>0.5</v>
          </cell>
          <cell r="P45">
            <v>64</v>
          </cell>
        </row>
        <row r="46">
          <cell r="B46" t="str">
            <v>Wearing Course (Asphalt Road)</v>
          </cell>
          <cell r="C46" t="str">
            <v>Thk.=50mm</v>
          </cell>
          <cell r="D46" t="str">
            <v>m3</v>
          </cell>
          <cell r="E46">
            <v>950</v>
          </cell>
          <cell r="F46">
            <v>42</v>
          </cell>
          <cell r="G46">
            <v>39900</v>
          </cell>
          <cell r="I46">
            <v>10</v>
          </cell>
          <cell r="J46">
            <v>9500</v>
          </cell>
          <cell r="K46">
            <v>10</v>
          </cell>
          <cell r="L46">
            <v>9500</v>
          </cell>
          <cell r="N46">
            <v>0</v>
          </cell>
          <cell r="O46">
            <v>20</v>
          </cell>
          <cell r="P46">
            <v>19000</v>
          </cell>
        </row>
        <row r="47">
          <cell r="B47" t="str">
            <v>Base Course (Asphalt Road)</v>
          </cell>
          <cell r="C47" t="str">
            <v>Thk.=250mm</v>
          </cell>
          <cell r="D47" t="str">
            <v>m3</v>
          </cell>
          <cell r="E47">
            <v>4800</v>
          </cell>
          <cell r="F47">
            <v>4</v>
          </cell>
          <cell r="G47">
            <v>19200</v>
          </cell>
          <cell r="I47">
            <v>2</v>
          </cell>
          <cell r="J47">
            <v>9600</v>
          </cell>
          <cell r="K47">
            <v>1.65</v>
          </cell>
          <cell r="L47">
            <v>7920</v>
          </cell>
          <cell r="N47">
            <v>0</v>
          </cell>
          <cell r="O47">
            <v>3.65</v>
          </cell>
          <cell r="P47">
            <v>17520</v>
          </cell>
        </row>
        <row r="48">
          <cell r="B48" t="str">
            <v>Sub-Base Course (Asphalt Road)</v>
          </cell>
          <cell r="C48" t="str">
            <v>Thk.=250mm</v>
          </cell>
          <cell r="D48" t="str">
            <v>m3</v>
          </cell>
          <cell r="E48">
            <v>4853</v>
          </cell>
          <cell r="F48">
            <v>2</v>
          </cell>
          <cell r="G48">
            <v>9706</v>
          </cell>
          <cell r="I48">
            <v>2</v>
          </cell>
          <cell r="J48">
            <v>9706</v>
          </cell>
          <cell r="K48">
            <v>1.65</v>
          </cell>
          <cell r="L48">
            <v>8007.45</v>
          </cell>
          <cell r="N48">
            <v>0</v>
          </cell>
          <cell r="O48">
            <v>3.65</v>
          </cell>
          <cell r="P48">
            <v>17713.45</v>
          </cell>
        </row>
        <row r="49">
          <cell r="B49" t="str">
            <v>Shoulder (Gravel)</v>
          </cell>
          <cell r="C49" t="str">
            <v>Thk.=50mm</v>
          </cell>
          <cell r="D49" t="str">
            <v>m2</v>
          </cell>
          <cell r="E49">
            <v>4682</v>
          </cell>
          <cell r="F49">
            <v>0.5</v>
          </cell>
          <cell r="G49">
            <v>2341</v>
          </cell>
          <cell r="I49">
            <v>0.2</v>
          </cell>
          <cell r="J49">
            <v>936.40000000000009</v>
          </cell>
          <cell r="K49">
            <v>0.05</v>
          </cell>
          <cell r="L49">
            <v>234.10000000000002</v>
          </cell>
          <cell r="N49">
            <v>0</v>
          </cell>
          <cell r="O49">
            <v>0.25</v>
          </cell>
          <cell r="P49">
            <v>1170.5</v>
          </cell>
        </row>
        <row r="50">
          <cell r="B50" t="str">
            <v>Traffic Aids</v>
          </cell>
          <cell r="C50">
            <v>0</v>
          </cell>
          <cell r="D50" t="str">
            <v>Lot</v>
          </cell>
          <cell r="E50">
            <v>1</v>
          </cell>
          <cell r="F50">
            <v>3500</v>
          </cell>
          <cell r="G50">
            <v>3500</v>
          </cell>
          <cell r="I50">
            <v>1500</v>
          </cell>
          <cell r="J50">
            <v>1500</v>
          </cell>
          <cell r="L50">
            <v>0</v>
          </cell>
          <cell r="N50">
            <v>0</v>
          </cell>
          <cell r="O50">
            <v>1500</v>
          </cell>
          <cell r="P50">
            <v>1500</v>
          </cell>
        </row>
        <row r="51">
          <cell r="B51" t="str">
            <v>Line Marking</v>
          </cell>
          <cell r="C51">
            <v>0</v>
          </cell>
          <cell r="D51" t="str">
            <v>Lot</v>
          </cell>
          <cell r="E51">
            <v>1</v>
          </cell>
          <cell r="F51">
            <v>3000</v>
          </cell>
          <cell r="G51">
            <v>3000</v>
          </cell>
          <cell r="I51">
            <v>3000</v>
          </cell>
          <cell r="J51">
            <v>3000</v>
          </cell>
          <cell r="L51">
            <v>0</v>
          </cell>
          <cell r="N51">
            <v>0</v>
          </cell>
          <cell r="O51">
            <v>3000</v>
          </cell>
          <cell r="P51">
            <v>3000</v>
          </cell>
        </row>
        <row r="52">
          <cell r="B52" t="str">
            <v>Crash Barrier</v>
          </cell>
          <cell r="C52" t="str">
            <v>Heigth 700mm, 4" Line pipe schedule 80.
DEP 80.47.10.31-GEN. (including foundation)</v>
          </cell>
          <cell r="D52" t="str">
            <v>m</v>
          </cell>
          <cell r="E52">
            <v>2694</v>
          </cell>
          <cell r="F52">
            <v>8</v>
          </cell>
          <cell r="G52">
            <v>21552</v>
          </cell>
          <cell r="I52">
            <v>5</v>
          </cell>
          <cell r="J52">
            <v>13470</v>
          </cell>
          <cell r="K52">
            <v>2</v>
          </cell>
          <cell r="L52">
            <v>5388</v>
          </cell>
          <cell r="N52">
            <v>0</v>
          </cell>
          <cell r="O52">
            <v>7</v>
          </cell>
          <cell r="P52">
            <v>18858</v>
          </cell>
        </row>
        <row r="53">
          <cell r="B53" t="str">
            <v>Concrete Paving (for Light Duty)</v>
          </cell>
          <cell r="C53" t="str">
            <v>Thk.=100mm, grade C-30</v>
          </cell>
          <cell r="D53" t="str">
            <v>m3</v>
          </cell>
          <cell r="E53">
            <v>1280</v>
          </cell>
          <cell r="F53">
            <v>26</v>
          </cell>
          <cell r="G53">
            <v>33280</v>
          </cell>
          <cell r="I53">
            <v>8</v>
          </cell>
          <cell r="J53">
            <v>10240</v>
          </cell>
          <cell r="K53">
            <v>8</v>
          </cell>
          <cell r="L53">
            <v>10240</v>
          </cell>
          <cell r="N53">
            <v>0</v>
          </cell>
          <cell r="O53">
            <v>16</v>
          </cell>
          <cell r="P53">
            <v>20480</v>
          </cell>
        </row>
        <row r="54">
          <cell r="B54" t="str">
            <v>Concrete Paving (for Heavy Duty)</v>
          </cell>
          <cell r="C54" t="str">
            <v>Thk.=150mm, grade C-30</v>
          </cell>
          <cell r="D54" t="str">
            <v>m3</v>
          </cell>
          <cell r="E54">
            <v>246</v>
          </cell>
          <cell r="F54">
            <v>26</v>
          </cell>
          <cell r="G54">
            <v>6396</v>
          </cell>
          <cell r="I54">
            <v>8</v>
          </cell>
          <cell r="J54">
            <v>1968</v>
          </cell>
          <cell r="K54">
            <v>8</v>
          </cell>
          <cell r="L54">
            <v>1968</v>
          </cell>
          <cell r="N54">
            <v>0</v>
          </cell>
          <cell r="O54">
            <v>16</v>
          </cell>
          <cell r="P54">
            <v>3936</v>
          </cell>
        </row>
        <row r="55">
          <cell r="B55" t="str">
            <v>Kerb</v>
          </cell>
          <cell r="C55" t="str">
            <v>100mm Thick, 150mm heigth lean concrete, grade
C-15</v>
          </cell>
          <cell r="D55" t="str">
            <v>m</v>
          </cell>
          <cell r="E55">
            <v>53</v>
          </cell>
          <cell r="F55">
            <v>4</v>
          </cell>
          <cell r="G55">
            <v>212</v>
          </cell>
          <cell r="I55">
            <v>3</v>
          </cell>
          <cell r="J55">
            <v>159</v>
          </cell>
          <cell r="L55">
            <v>0</v>
          </cell>
          <cell r="N55">
            <v>0</v>
          </cell>
          <cell r="O55">
            <v>3</v>
          </cell>
          <cell r="P55">
            <v>159</v>
          </cell>
        </row>
        <row r="56">
          <cell r="B56" t="str">
            <v>Expansion Joint (for Con'c Paving Light Duty)</v>
          </cell>
          <cell r="C56" t="str">
            <v>L=20m, 25 deep x 20 wide Hydrocarbon resistant joint sealant</v>
          </cell>
          <cell r="D56" t="str">
            <v>m</v>
          </cell>
          <cell r="E56">
            <v>6212</v>
          </cell>
          <cell r="F56">
            <v>1.5</v>
          </cell>
          <cell r="G56">
            <v>9318</v>
          </cell>
          <cell r="I56">
            <v>1.5</v>
          </cell>
          <cell r="J56">
            <v>9318</v>
          </cell>
          <cell r="K56">
            <v>0.1</v>
          </cell>
          <cell r="L56">
            <v>621.20000000000005</v>
          </cell>
          <cell r="N56">
            <v>0</v>
          </cell>
          <cell r="O56">
            <v>1.6</v>
          </cell>
          <cell r="P56">
            <v>9939.2000000000007</v>
          </cell>
        </row>
        <row r="57">
          <cell r="B57" t="str">
            <v>Contraction Joint (for Con'c Paving Light Duty)</v>
          </cell>
          <cell r="C57" t="str">
            <v>L=5m, 20mm deep groove to be cut after casting and filled with Hydrocarbon resistant joint sealant</v>
          </cell>
          <cell r="D57" t="str">
            <v>m</v>
          </cell>
          <cell r="E57">
            <v>18637</v>
          </cell>
          <cell r="F57">
            <v>1.1000000000000001</v>
          </cell>
          <cell r="G57">
            <v>20500.7</v>
          </cell>
          <cell r="I57">
            <v>1.8</v>
          </cell>
          <cell r="J57">
            <v>33546.6</v>
          </cell>
          <cell r="K57">
            <v>0.1</v>
          </cell>
          <cell r="L57">
            <v>1863.7</v>
          </cell>
          <cell r="N57">
            <v>0</v>
          </cell>
          <cell r="O57">
            <v>1.9000000000000001</v>
          </cell>
          <cell r="P57">
            <v>35410.300000000003</v>
          </cell>
        </row>
        <row r="58">
          <cell r="B58" t="str">
            <v>Expansion Joint (for Con'c Paving Heavy Duty)</v>
          </cell>
          <cell r="C58" t="str">
            <v>L=20m, 25 deep x 20 wide Oil resistant joint sealant</v>
          </cell>
          <cell r="D58" t="str">
            <v>m</v>
          </cell>
          <cell r="E58">
            <v>86</v>
          </cell>
          <cell r="F58">
            <v>1.5</v>
          </cell>
          <cell r="G58">
            <v>129</v>
          </cell>
          <cell r="I58">
            <v>1.5</v>
          </cell>
          <cell r="J58">
            <v>129</v>
          </cell>
          <cell r="K58">
            <v>0.1</v>
          </cell>
          <cell r="L58">
            <v>8.6</v>
          </cell>
          <cell r="N58">
            <v>0</v>
          </cell>
          <cell r="O58">
            <v>1.6</v>
          </cell>
          <cell r="P58">
            <v>137.6</v>
          </cell>
        </row>
        <row r="59">
          <cell r="B59" t="str">
            <v>Contraction Joint (for Con'c Paving Heavy Duty)</v>
          </cell>
          <cell r="C59" t="str">
            <v>L=5m, 20mm deep groove to be cut after casting and filled with Hydrocarbon resistant joint sealant</v>
          </cell>
          <cell r="D59" t="str">
            <v>m</v>
          </cell>
          <cell r="E59">
            <v>679</v>
          </cell>
          <cell r="F59">
            <v>1.1000000000000001</v>
          </cell>
          <cell r="G59">
            <v>746.90000000000009</v>
          </cell>
          <cell r="I59">
            <v>1.8</v>
          </cell>
          <cell r="J59">
            <v>1222.2</v>
          </cell>
          <cell r="K59">
            <v>0.1</v>
          </cell>
          <cell r="L59">
            <v>67.900000000000006</v>
          </cell>
          <cell r="N59">
            <v>0</v>
          </cell>
          <cell r="O59">
            <v>1.9000000000000001</v>
          </cell>
          <cell r="P59">
            <v>1290.1000000000001</v>
          </cell>
        </row>
        <row r="60">
          <cell r="B60" t="str">
            <v>Wire Fabric. (for Light Duty Con'c paving)</v>
          </cell>
          <cell r="C60" t="str">
            <v xml:space="preserve">φ7-200x200, Cold-drawn finish, ASTM A185 </v>
          </cell>
          <cell r="D60" t="str">
            <v>m2</v>
          </cell>
          <cell r="E60">
            <v>21271</v>
          </cell>
          <cell r="F60">
            <v>0.93</v>
          </cell>
          <cell r="G60">
            <v>19782.030000000002</v>
          </cell>
          <cell r="I60">
            <v>0.4</v>
          </cell>
          <cell r="J60">
            <v>8508.4</v>
          </cell>
          <cell r="L60">
            <v>0</v>
          </cell>
          <cell r="N60">
            <v>0</v>
          </cell>
          <cell r="O60">
            <v>0.4</v>
          </cell>
          <cell r="P60">
            <v>8508.4</v>
          </cell>
        </row>
        <row r="61">
          <cell r="B61" t="str">
            <v>Wire Fabric. (for Heavy Duty Con'c paving)</v>
          </cell>
          <cell r="C61" t="str">
            <v>φ7-200x200-double line, Cold-drawn finish</v>
          </cell>
          <cell r="D61" t="str">
            <v>m2</v>
          </cell>
          <cell r="E61">
            <v>3283</v>
          </cell>
          <cell r="F61">
            <v>1.86</v>
          </cell>
          <cell r="G61">
            <v>6106.38</v>
          </cell>
          <cell r="I61">
            <v>0.84</v>
          </cell>
          <cell r="J61">
            <v>2757.72</v>
          </cell>
          <cell r="L61">
            <v>0</v>
          </cell>
          <cell r="N61">
            <v>0</v>
          </cell>
          <cell r="O61">
            <v>0.84</v>
          </cell>
          <cell r="P61">
            <v>2757.72</v>
          </cell>
        </row>
        <row r="62">
          <cell r="B62" t="str">
            <v>Joint Filler &amp; Sealant (for concrete paving Light Duty)</v>
          </cell>
          <cell r="C62" t="str">
            <v>20 thick flexible jointing material 25 deep x 20 wide Hydrocarbon resistant joint sealant in top.</v>
          </cell>
          <cell r="D62" t="str">
            <v>m</v>
          </cell>
          <cell r="E62">
            <v>6872</v>
          </cell>
          <cell r="F62">
            <v>1.5</v>
          </cell>
          <cell r="G62">
            <v>10308</v>
          </cell>
          <cell r="I62">
            <v>1</v>
          </cell>
          <cell r="J62">
            <v>6872</v>
          </cell>
          <cell r="L62">
            <v>0</v>
          </cell>
          <cell r="N62">
            <v>0</v>
          </cell>
          <cell r="O62">
            <v>1</v>
          </cell>
          <cell r="P62">
            <v>6872</v>
          </cell>
        </row>
        <row r="63">
          <cell r="B63" t="str">
            <v>Gravel paving</v>
          </cell>
          <cell r="C63" t="str">
            <v>Thk.=100mm</v>
          </cell>
          <cell r="D63" t="str">
            <v>m2</v>
          </cell>
          <cell r="E63">
            <v>13499</v>
          </cell>
          <cell r="F63">
            <v>0.93</v>
          </cell>
          <cell r="G63">
            <v>12554.070000000002</v>
          </cell>
          <cell r="I63">
            <v>0.6</v>
          </cell>
          <cell r="J63">
            <v>8099.4</v>
          </cell>
          <cell r="K63">
            <v>0.1</v>
          </cell>
          <cell r="L63">
            <v>1349.9</v>
          </cell>
          <cell r="N63">
            <v>0</v>
          </cell>
          <cell r="O63">
            <v>0.7</v>
          </cell>
          <cell r="P63">
            <v>9449.2999999999993</v>
          </cell>
        </row>
        <row r="64">
          <cell r="B64" t="str">
            <v>Polyethylene membrane</v>
          </cell>
          <cell r="C64" t="str">
            <v>gauge 1000 or equal</v>
          </cell>
          <cell r="D64" t="str">
            <v>m2</v>
          </cell>
          <cell r="E64">
            <v>35551</v>
          </cell>
          <cell r="F64">
            <v>0.25</v>
          </cell>
          <cell r="G64">
            <v>8887.75</v>
          </cell>
          <cell r="I64">
            <v>0.3</v>
          </cell>
          <cell r="J64">
            <v>10665.3</v>
          </cell>
          <cell r="K64">
            <v>0.05</v>
          </cell>
          <cell r="L64">
            <v>1777.5500000000002</v>
          </cell>
          <cell r="N64">
            <v>0</v>
          </cell>
          <cell r="O64">
            <v>0.35</v>
          </cell>
          <cell r="P64">
            <v>12442.849999999999</v>
          </cell>
        </row>
        <row r="65">
          <cell r="B65" t="str">
            <v>Hardboard</v>
          </cell>
          <cell r="C65">
            <v>0</v>
          </cell>
          <cell r="D65" t="str">
            <v>m2</v>
          </cell>
          <cell r="E65">
            <v>15782</v>
          </cell>
          <cell r="F65">
            <v>1.2</v>
          </cell>
          <cell r="G65">
            <v>18938.399999999998</v>
          </cell>
          <cell r="I65">
            <v>0.75</v>
          </cell>
          <cell r="J65">
            <v>11836.5</v>
          </cell>
          <cell r="K65">
            <v>0.05</v>
          </cell>
          <cell r="L65">
            <v>789.1</v>
          </cell>
          <cell r="N65">
            <v>0</v>
          </cell>
          <cell r="O65">
            <v>0.8</v>
          </cell>
          <cell r="P65">
            <v>12625.6</v>
          </cell>
        </row>
        <row r="66">
          <cell r="B66" t="str">
            <v>screed</v>
          </cell>
          <cell r="C66" t="str">
            <v>20mm thick Mortar</v>
          </cell>
          <cell r="D66" t="str">
            <v>m2</v>
          </cell>
          <cell r="E66">
            <v>71102</v>
          </cell>
          <cell r="F66">
            <v>0.6</v>
          </cell>
          <cell r="G66">
            <v>42661.2</v>
          </cell>
          <cell r="I66">
            <v>0.7</v>
          </cell>
          <cell r="J66">
            <v>49771.399999999994</v>
          </cell>
          <cell r="K66">
            <v>0.2</v>
          </cell>
          <cell r="L66">
            <v>14220.400000000001</v>
          </cell>
          <cell r="N66">
            <v>0</v>
          </cell>
          <cell r="O66">
            <v>0.89999999999999991</v>
          </cell>
          <cell r="P66">
            <v>63991.799999999996</v>
          </cell>
        </row>
        <row r="67">
          <cell r="B67" t="str">
            <v>Scaffolding</v>
          </cell>
          <cell r="C67">
            <v>0</v>
          </cell>
          <cell r="D67" t="str">
            <v>m2</v>
          </cell>
          <cell r="E67">
            <v>392</v>
          </cell>
          <cell r="F67">
            <v>1.5</v>
          </cell>
          <cell r="G67">
            <v>588</v>
          </cell>
          <cell r="I67">
            <v>2</v>
          </cell>
          <cell r="J67">
            <v>784</v>
          </cell>
          <cell r="L67">
            <v>0</v>
          </cell>
          <cell r="N67">
            <v>0</v>
          </cell>
          <cell r="O67">
            <v>2</v>
          </cell>
          <cell r="P67">
            <v>784</v>
          </cell>
        </row>
        <row r="68">
          <cell r="B68" t="str">
            <v>Support</v>
          </cell>
          <cell r="C68">
            <v>0</v>
          </cell>
          <cell r="D68" t="str">
            <v>m3</v>
          </cell>
          <cell r="E68">
            <v>1079</v>
          </cell>
          <cell r="F68">
            <v>0.9</v>
          </cell>
          <cell r="G68">
            <v>971.1</v>
          </cell>
          <cell r="I68">
            <v>1.5</v>
          </cell>
          <cell r="J68">
            <v>1618.5</v>
          </cell>
          <cell r="L68">
            <v>0</v>
          </cell>
          <cell r="N68">
            <v>0</v>
          </cell>
          <cell r="O68">
            <v>1.5</v>
          </cell>
          <cell r="P68">
            <v>1618.5</v>
          </cell>
        </row>
        <row r="69">
          <cell r="B69" t="str">
            <v>Fence (New)</v>
          </cell>
          <cell r="C6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69" t="str">
            <v>m</v>
          </cell>
          <cell r="E69">
            <v>1002</v>
          </cell>
          <cell r="F69">
            <v>13</v>
          </cell>
          <cell r="G69">
            <v>13026</v>
          </cell>
          <cell r="I69">
            <v>7</v>
          </cell>
          <cell r="J69">
            <v>7014</v>
          </cell>
          <cell r="K69">
            <v>1</v>
          </cell>
          <cell r="L69">
            <v>1002</v>
          </cell>
          <cell r="N69">
            <v>0</v>
          </cell>
          <cell r="O69">
            <v>8</v>
          </cell>
          <cell r="P69">
            <v>8016</v>
          </cell>
        </row>
        <row r="70">
          <cell r="B70" t="str">
            <v>Vehicular Gate</v>
          </cell>
          <cell r="C70" t="str">
            <v>W=8.0m (Double sliding)</v>
          </cell>
          <cell r="D70" t="str">
            <v>ea</v>
          </cell>
          <cell r="E70">
            <v>4</v>
          </cell>
          <cell r="F70">
            <v>580</v>
          </cell>
          <cell r="G70">
            <v>2320</v>
          </cell>
          <cell r="I70">
            <v>500</v>
          </cell>
          <cell r="J70">
            <v>2000</v>
          </cell>
          <cell r="K70">
            <v>120</v>
          </cell>
          <cell r="L70">
            <v>480</v>
          </cell>
          <cell r="N70">
            <v>0</v>
          </cell>
          <cell r="O70">
            <v>620</v>
          </cell>
          <cell r="P70">
            <v>2480</v>
          </cell>
        </row>
        <row r="71">
          <cell r="B71" t="str">
            <v>Pedestrian Gate</v>
          </cell>
          <cell r="C71" t="str">
            <v>W=1.0m (Single sliding)</v>
          </cell>
          <cell r="D71" t="str">
            <v>ea</v>
          </cell>
          <cell r="E71">
            <v>4</v>
          </cell>
          <cell r="F71">
            <v>230</v>
          </cell>
          <cell r="G71">
            <v>920</v>
          </cell>
          <cell r="I71">
            <v>150</v>
          </cell>
          <cell r="J71">
            <v>600</v>
          </cell>
          <cell r="K71">
            <v>20</v>
          </cell>
          <cell r="L71">
            <v>80</v>
          </cell>
          <cell r="N71">
            <v>0</v>
          </cell>
          <cell r="O71">
            <v>170</v>
          </cell>
          <cell r="P71">
            <v>680</v>
          </cell>
        </row>
      </sheetData>
      <sheetData sheetId="2">
        <row r="9">
          <cell r="B9" t="str">
            <v>Demolition (Paving)</v>
          </cell>
          <cell r="C9">
            <v>0</v>
          </cell>
          <cell r="D9" t="str">
            <v>m2</v>
          </cell>
          <cell r="E9">
            <v>11900</v>
          </cell>
          <cell r="G9">
            <v>0</v>
          </cell>
          <cell r="I9">
            <v>0.2</v>
          </cell>
          <cell r="J9">
            <v>2380</v>
          </cell>
          <cell r="K9">
            <v>1.3</v>
          </cell>
          <cell r="L9">
            <v>15470</v>
          </cell>
          <cell r="N9">
            <v>0</v>
          </cell>
          <cell r="O9">
            <v>1.5</v>
          </cell>
          <cell r="P9">
            <v>17850</v>
          </cell>
        </row>
        <row r="10">
          <cell r="B10" t="str">
            <v>Demolition (Road)</v>
          </cell>
          <cell r="C10">
            <v>0</v>
          </cell>
          <cell r="D10" t="str">
            <v>m2</v>
          </cell>
          <cell r="E10">
            <v>9786</v>
          </cell>
          <cell r="G10">
            <v>0</v>
          </cell>
          <cell r="I10">
            <v>0.2</v>
          </cell>
          <cell r="J10">
            <v>1957.2</v>
          </cell>
          <cell r="K10">
            <v>0.8</v>
          </cell>
          <cell r="L10">
            <v>7828.8</v>
          </cell>
          <cell r="N10">
            <v>0</v>
          </cell>
          <cell r="O10">
            <v>1</v>
          </cell>
          <cell r="P10">
            <v>9786</v>
          </cell>
        </row>
        <row r="11">
          <cell r="B11" t="str">
            <v>Demolition (Fence)</v>
          </cell>
          <cell r="C11" t="str">
            <v>including foundation</v>
          </cell>
          <cell r="D11" t="str">
            <v>m</v>
          </cell>
          <cell r="E11">
            <v>1242</v>
          </cell>
          <cell r="G11">
            <v>0</v>
          </cell>
          <cell r="I11">
            <v>3</v>
          </cell>
          <cell r="J11">
            <v>3726</v>
          </cell>
          <cell r="K11">
            <v>1</v>
          </cell>
          <cell r="L11">
            <v>1242</v>
          </cell>
          <cell r="N11">
            <v>0</v>
          </cell>
          <cell r="O11">
            <v>4</v>
          </cell>
          <cell r="P11">
            <v>4968</v>
          </cell>
        </row>
        <row r="12">
          <cell r="B12" t="str">
            <v>Demolition (Concrete)</v>
          </cell>
          <cell r="C12">
            <v>0</v>
          </cell>
          <cell r="D12" t="str">
            <v>m3</v>
          </cell>
          <cell r="E12">
            <v>1801</v>
          </cell>
          <cell r="G12">
            <v>0</v>
          </cell>
          <cell r="I12">
            <v>8.5</v>
          </cell>
          <cell r="J12">
            <v>15308.5</v>
          </cell>
          <cell r="K12">
            <v>11</v>
          </cell>
          <cell r="L12">
            <v>19811</v>
          </cell>
          <cell r="N12">
            <v>0</v>
          </cell>
          <cell r="O12">
            <v>19.5</v>
          </cell>
          <cell r="P12">
            <v>35119.5</v>
          </cell>
        </row>
        <row r="13">
          <cell r="B13" t="str">
            <v>Stripping, Clearing &amp; Grubbing</v>
          </cell>
          <cell r="C13" t="str">
            <v>Thk.=300mm</v>
          </cell>
          <cell r="D13" t="str">
            <v>m2</v>
          </cell>
          <cell r="E13">
            <v>158040</v>
          </cell>
          <cell r="G13">
            <v>0</v>
          </cell>
          <cell r="I13">
            <v>0.08</v>
          </cell>
          <cell r="J13">
            <v>12643.2</v>
          </cell>
          <cell r="K13">
            <v>0.18</v>
          </cell>
          <cell r="L13">
            <v>28447.200000000001</v>
          </cell>
          <cell r="N13">
            <v>0</v>
          </cell>
          <cell r="O13">
            <v>0.26</v>
          </cell>
          <cell r="P13">
            <v>41090.400000000001</v>
          </cell>
        </row>
        <row r="14">
          <cell r="B14" t="str">
            <v>Topographical Survey</v>
          </cell>
          <cell r="C14">
            <v>0</v>
          </cell>
          <cell r="D14" t="str">
            <v>m2</v>
          </cell>
          <cell r="E14">
            <v>159298</v>
          </cell>
          <cell r="G14">
            <v>0</v>
          </cell>
          <cell r="I14">
            <v>0.04</v>
          </cell>
          <cell r="J14">
            <v>6371.92</v>
          </cell>
          <cell r="K14">
            <v>0.01</v>
          </cell>
          <cell r="L14">
            <v>1592.98</v>
          </cell>
          <cell r="N14">
            <v>0</v>
          </cell>
          <cell r="O14">
            <v>0.05</v>
          </cell>
          <cell r="P14">
            <v>7964.9000000000005</v>
          </cell>
        </row>
        <row r="15">
          <cell r="B15" t="str">
            <v>Cutting</v>
          </cell>
          <cell r="C15" t="str">
            <v>Good soil (by equipment)</v>
          </cell>
          <cell r="D15" t="str">
            <v>m3</v>
          </cell>
          <cell r="E15">
            <v>197550</v>
          </cell>
          <cell r="G15">
            <v>0</v>
          </cell>
          <cell r="I15">
            <v>0.1</v>
          </cell>
          <cell r="J15">
            <v>19755</v>
          </cell>
          <cell r="K15">
            <v>0.8</v>
          </cell>
          <cell r="L15">
            <v>158040</v>
          </cell>
          <cell r="N15">
            <v>0</v>
          </cell>
          <cell r="O15">
            <v>0.9</v>
          </cell>
          <cell r="P15">
            <v>177795</v>
          </cell>
        </row>
      </sheetData>
      <sheetData sheetId="3">
        <row r="9">
          <cell r="B9" t="str">
            <v>Soil Investigation</v>
          </cell>
        </row>
      </sheetData>
      <sheetData sheetId="4">
        <row r="9">
          <cell r="B9" t="str">
            <v>Excavation</v>
          </cell>
          <cell r="C9" t="str">
            <v>Good soil (by hand)</v>
          </cell>
          <cell r="D9" t="str">
            <v>m3</v>
          </cell>
          <cell r="E9">
            <v>38101</v>
          </cell>
          <cell r="G9">
            <v>0</v>
          </cell>
          <cell r="I9">
            <v>1</v>
          </cell>
          <cell r="J9">
            <v>38101</v>
          </cell>
          <cell r="K9">
            <v>4.75</v>
          </cell>
          <cell r="L9">
            <v>180979.75</v>
          </cell>
          <cell r="N9">
            <v>0</v>
          </cell>
          <cell r="O9">
            <v>5.75</v>
          </cell>
          <cell r="P9">
            <v>219080.75</v>
          </cell>
        </row>
        <row r="10">
          <cell r="B10" t="str">
            <v>Back Fill</v>
          </cell>
          <cell r="C10" t="str">
            <v>Good soil (by hand)</v>
          </cell>
          <cell r="D10" t="str">
            <v>m3</v>
          </cell>
          <cell r="E10">
            <v>26265</v>
          </cell>
          <cell r="G10">
            <v>0</v>
          </cell>
          <cell r="I10">
            <v>2</v>
          </cell>
          <cell r="J10">
            <v>52530</v>
          </cell>
          <cell r="K10">
            <v>1.5</v>
          </cell>
          <cell r="L10">
            <v>39397.5</v>
          </cell>
          <cell r="N10">
            <v>0</v>
          </cell>
          <cell r="O10">
            <v>3.5</v>
          </cell>
          <cell r="P10">
            <v>91927.5</v>
          </cell>
        </row>
        <row r="11">
          <cell r="B11" t="str">
            <v>Disposal</v>
          </cell>
          <cell r="C11" t="str">
            <v>Good soil</v>
          </cell>
          <cell r="D11" t="str">
            <v>m3</v>
          </cell>
          <cell r="E11">
            <v>11836</v>
          </cell>
          <cell r="G11">
            <v>0</v>
          </cell>
          <cell r="I11">
            <v>0.04</v>
          </cell>
          <cell r="J11">
            <v>473.44</v>
          </cell>
          <cell r="K11">
            <v>0.96</v>
          </cell>
          <cell r="L11">
            <v>11362.56</v>
          </cell>
          <cell r="N11">
            <v>0</v>
          </cell>
          <cell r="O11">
            <v>1</v>
          </cell>
          <cell r="P11">
            <v>11836</v>
          </cell>
        </row>
        <row r="12">
          <cell r="B12" t="str">
            <v>Concrete</v>
          </cell>
          <cell r="C12" t="str">
            <v>Grade C30 , ASTM C150 (TYPE-V)</v>
          </cell>
          <cell r="D12" t="str">
            <v>m3</v>
          </cell>
          <cell r="E12">
            <v>4182</v>
          </cell>
          <cell r="F12">
            <v>26</v>
          </cell>
          <cell r="G12">
            <v>108732</v>
          </cell>
          <cell r="I12">
            <v>8</v>
          </cell>
          <cell r="J12">
            <v>33456</v>
          </cell>
          <cell r="K12">
            <v>6</v>
          </cell>
          <cell r="L12">
            <v>25092</v>
          </cell>
          <cell r="N12">
            <v>0</v>
          </cell>
          <cell r="O12">
            <v>14</v>
          </cell>
          <cell r="P12">
            <v>58548</v>
          </cell>
        </row>
        <row r="13">
          <cell r="B13" t="str">
            <v>Blinding Con'c</v>
          </cell>
          <cell r="C13" t="str">
            <v>Grade C20, Thk.=50mm. (DEP 34.19.20.31-Gen.)</v>
          </cell>
          <cell r="D13" t="str">
            <v>m3</v>
          </cell>
          <cell r="E13">
            <v>233</v>
          </cell>
          <cell r="F13">
            <v>23</v>
          </cell>
          <cell r="G13">
            <v>5359</v>
          </cell>
          <cell r="I13">
            <v>7</v>
          </cell>
          <cell r="J13">
            <v>1631</v>
          </cell>
          <cell r="K13">
            <v>4</v>
          </cell>
          <cell r="L13">
            <v>932</v>
          </cell>
          <cell r="N13">
            <v>0</v>
          </cell>
          <cell r="O13">
            <v>11</v>
          </cell>
          <cell r="P13">
            <v>2563</v>
          </cell>
        </row>
        <row r="14">
          <cell r="B14" t="str">
            <v>Form Work</v>
          </cell>
          <cell r="C14" t="str">
            <v>ACI 347</v>
          </cell>
          <cell r="D14" t="str">
            <v>m2</v>
          </cell>
          <cell r="E14">
            <v>7738</v>
          </cell>
          <cell r="F14">
            <v>3</v>
          </cell>
          <cell r="G14">
            <v>23214</v>
          </cell>
          <cell r="I14">
            <v>4.5</v>
          </cell>
          <cell r="J14">
            <v>34821</v>
          </cell>
          <cell r="K14">
            <v>0.03</v>
          </cell>
          <cell r="L14">
            <v>232.14</v>
          </cell>
          <cell r="N14">
            <v>0</v>
          </cell>
          <cell r="O14">
            <v>4.53</v>
          </cell>
          <cell r="P14">
            <v>35053.14</v>
          </cell>
        </row>
        <row r="15">
          <cell r="B15" t="str">
            <v>Re-Bar</v>
          </cell>
          <cell r="C15" t="str">
            <v xml:space="preserve">ASTM A 615 Grade 60 Type S </v>
          </cell>
          <cell r="D15" t="str">
            <v>Ton</v>
          </cell>
          <cell r="E15">
            <v>290</v>
          </cell>
          <cell r="F15">
            <v>145</v>
          </cell>
          <cell r="G15">
            <v>42050</v>
          </cell>
          <cell r="I15">
            <v>68</v>
          </cell>
          <cell r="J15">
            <v>19720</v>
          </cell>
          <cell r="K15">
            <v>2</v>
          </cell>
          <cell r="L15">
            <v>580</v>
          </cell>
          <cell r="N15">
            <v>0</v>
          </cell>
          <cell r="O15">
            <v>70</v>
          </cell>
          <cell r="P15">
            <v>20300</v>
          </cell>
        </row>
        <row r="16">
          <cell r="B16" t="str">
            <v>Non-Shrinkage Grout</v>
          </cell>
          <cell r="C16" t="str">
            <v>75 N/mm2, DEP 34.19.20.31-Gen</v>
          </cell>
          <cell r="D16" t="str">
            <v>m3</v>
          </cell>
          <cell r="E16">
            <v>8</v>
          </cell>
          <cell r="F16">
            <v>315</v>
          </cell>
          <cell r="G16">
            <v>2520</v>
          </cell>
          <cell r="I16">
            <v>85</v>
          </cell>
          <cell r="J16">
            <v>680</v>
          </cell>
          <cell r="K16">
            <v>10</v>
          </cell>
          <cell r="L16">
            <v>80</v>
          </cell>
          <cell r="N16">
            <v>0</v>
          </cell>
          <cell r="O16">
            <v>95</v>
          </cell>
          <cell r="P16">
            <v>760</v>
          </cell>
        </row>
        <row r="17">
          <cell r="B17" t="str">
            <v>FDN. Surface Coating (U/G)</v>
          </cell>
          <cell r="C17" t="str">
            <v xml:space="preserve">bitu-coating, 2 times, 0.4kg/m2 </v>
          </cell>
          <cell r="D17" t="str">
            <v>m2</v>
          </cell>
          <cell r="E17">
            <v>7670</v>
          </cell>
          <cell r="F17">
            <v>0.25</v>
          </cell>
          <cell r="G17">
            <v>1917.5</v>
          </cell>
          <cell r="I17">
            <v>0.9</v>
          </cell>
          <cell r="J17">
            <v>6903</v>
          </cell>
          <cell r="K17">
            <v>0.1</v>
          </cell>
          <cell r="L17">
            <v>767</v>
          </cell>
          <cell r="N17">
            <v>0</v>
          </cell>
          <cell r="O17">
            <v>1</v>
          </cell>
          <cell r="P17">
            <v>7670</v>
          </cell>
        </row>
        <row r="18">
          <cell r="B18" t="str">
            <v>FDN. Surface Coating (A/G)</v>
          </cell>
          <cell r="C18" t="str">
            <v>bitu-coating, 2 times, 0.4kg/m2, 150mm above ground level</v>
          </cell>
          <cell r="D18" t="str">
            <v>m2</v>
          </cell>
          <cell r="E18">
            <v>1920</v>
          </cell>
          <cell r="F18">
            <v>0.25</v>
          </cell>
          <cell r="G18">
            <v>480</v>
          </cell>
          <cell r="I18">
            <v>0.9</v>
          </cell>
          <cell r="J18">
            <v>1728</v>
          </cell>
          <cell r="K18">
            <v>0.1</v>
          </cell>
          <cell r="L18">
            <v>192</v>
          </cell>
          <cell r="N18">
            <v>0</v>
          </cell>
          <cell r="O18">
            <v>1</v>
          </cell>
          <cell r="P18">
            <v>1920</v>
          </cell>
        </row>
        <row r="19">
          <cell r="B19" t="str">
            <v>Sand Bitumen</v>
          </cell>
          <cell r="C19" t="str">
            <v>50mm sand bitumen mix or oil/sand mix. (DEP 34.18.51.10-Gen. Appendix 3 and 4)</v>
          </cell>
          <cell r="D19" t="str">
            <v>m3</v>
          </cell>
          <cell r="E19">
            <v>8</v>
          </cell>
          <cell r="F19">
            <v>50</v>
          </cell>
          <cell r="G19">
            <v>400</v>
          </cell>
          <cell r="I19">
            <v>10</v>
          </cell>
          <cell r="J19">
            <v>80</v>
          </cell>
          <cell r="K19">
            <v>10</v>
          </cell>
          <cell r="L19">
            <v>80</v>
          </cell>
          <cell r="N19">
            <v>0</v>
          </cell>
          <cell r="O19">
            <v>20</v>
          </cell>
          <cell r="P19">
            <v>160</v>
          </cell>
        </row>
        <row r="20">
          <cell r="B20" t="str">
            <v>Structural Fill (Sand)</v>
          </cell>
          <cell r="C20" t="str">
            <v>Compaction shall be 95% of maximum dry density in six inch compacted layers.</v>
          </cell>
          <cell r="D20" t="str">
            <v>m3</v>
          </cell>
          <cell r="E20">
            <v>2630</v>
          </cell>
          <cell r="F20">
            <v>2</v>
          </cell>
          <cell r="G20">
            <v>5260</v>
          </cell>
          <cell r="I20">
            <v>1</v>
          </cell>
          <cell r="J20">
            <v>2630</v>
          </cell>
          <cell r="K20">
            <v>1</v>
          </cell>
          <cell r="L20">
            <v>2630</v>
          </cell>
          <cell r="N20">
            <v>0</v>
          </cell>
          <cell r="O20">
            <v>2</v>
          </cell>
          <cell r="P20">
            <v>5260</v>
          </cell>
        </row>
        <row r="21">
          <cell r="B21" t="str">
            <v>Structural Fill (Compacted Stone or Gravel)</v>
          </cell>
          <cell r="C21" t="str">
            <v>Compaction shall be 95% of maximum dry density in six inch compacted layers.</v>
          </cell>
          <cell r="D21" t="str">
            <v>m3</v>
          </cell>
          <cell r="E21">
            <v>225</v>
          </cell>
          <cell r="F21">
            <v>12</v>
          </cell>
          <cell r="G21">
            <v>2700</v>
          </cell>
          <cell r="I21">
            <v>3</v>
          </cell>
          <cell r="J21">
            <v>675</v>
          </cell>
          <cell r="K21">
            <v>1</v>
          </cell>
          <cell r="L21">
            <v>225</v>
          </cell>
          <cell r="N21">
            <v>0</v>
          </cell>
          <cell r="O21">
            <v>4</v>
          </cell>
          <cell r="P21">
            <v>900</v>
          </cell>
        </row>
        <row r="22">
          <cell r="B22" t="str">
            <v>Water Stop</v>
          </cell>
          <cell r="C22" t="str">
            <v>PVC, W=150mm</v>
          </cell>
          <cell r="D22" t="str">
            <v>m</v>
          </cell>
          <cell r="E22">
            <v>59</v>
          </cell>
          <cell r="F22">
            <v>2</v>
          </cell>
          <cell r="G22">
            <v>118</v>
          </cell>
          <cell r="I22">
            <v>1.8</v>
          </cell>
          <cell r="J22">
            <v>106.2</v>
          </cell>
          <cell r="K22">
            <v>0.05</v>
          </cell>
          <cell r="L22">
            <v>2.95</v>
          </cell>
          <cell r="N22">
            <v>0</v>
          </cell>
          <cell r="O22">
            <v>1.85</v>
          </cell>
          <cell r="P22">
            <v>109.15</v>
          </cell>
        </row>
        <row r="23">
          <cell r="B23" t="str">
            <v>Outside Water Proofing (for Pit &amp; Basin)</v>
          </cell>
          <cell r="C23" t="str">
            <v xml:space="preserve">bitu-coating, 2 times, 0.4kg/m2 </v>
          </cell>
          <cell r="D23" t="str">
            <v>m2</v>
          </cell>
          <cell r="E23">
            <v>173</v>
          </cell>
          <cell r="F23">
            <v>1.8</v>
          </cell>
          <cell r="G23">
            <v>311.40000000000003</v>
          </cell>
          <cell r="I23">
            <v>1.7</v>
          </cell>
          <cell r="J23">
            <v>294.09999999999997</v>
          </cell>
          <cell r="K23">
            <v>0.05</v>
          </cell>
          <cell r="L23">
            <v>8.65</v>
          </cell>
          <cell r="N23">
            <v>0</v>
          </cell>
          <cell r="O23">
            <v>1.75</v>
          </cell>
          <cell r="P23">
            <v>302.75</v>
          </cell>
        </row>
        <row r="24">
          <cell r="B24" t="str">
            <v>Inside Wall Coating (Water Proofing Only)</v>
          </cell>
          <cell r="C24" t="str">
            <v>Liquid water coating</v>
          </cell>
          <cell r="D24" t="str">
            <v>m2</v>
          </cell>
          <cell r="E24">
            <v>13</v>
          </cell>
          <cell r="F24">
            <v>1.2</v>
          </cell>
          <cell r="G24">
            <v>15.6</v>
          </cell>
          <cell r="I24">
            <v>1.7</v>
          </cell>
          <cell r="J24">
            <v>22.099999999999998</v>
          </cell>
          <cell r="K24">
            <v>0.05</v>
          </cell>
          <cell r="L24">
            <v>0.65</v>
          </cell>
          <cell r="N24">
            <v>0</v>
          </cell>
          <cell r="O24">
            <v>1.75</v>
          </cell>
          <cell r="P24">
            <v>22.75</v>
          </cell>
        </row>
        <row r="25">
          <cell r="B25" t="str">
            <v>Chemical Coating (inside only)</v>
          </cell>
          <cell r="C25" t="str">
            <v>Chemical resistant bricks or tiles or by a monolithic epoxy compound</v>
          </cell>
          <cell r="D25" t="str">
            <v>m2</v>
          </cell>
          <cell r="E25">
            <v>177</v>
          </cell>
          <cell r="F25">
            <v>12.6</v>
          </cell>
          <cell r="G25">
            <v>2230.1999999999998</v>
          </cell>
          <cell r="I25">
            <v>1.1000000000000001</v>
          </cell>
          <cell r="J25">
            <v>194.70000000000002</v>
          </cell>
          <cell r="K25">
            <v>0.1</v>
          </cell>
          <cell r="L25">
            <v>17.7</v>
          </cell>
          <cell r="N25">
            <v>0</v>
          </cell>
          <cell r="O25">
            <v>1.2000000000000002</v>
          </cell>
          <cell r="P25">
            <v>212.40000000000003</v>
          </cell>
        </row>
        <row r="26">
          <cell r="B26" t="str">
            <v>Drain Pipe (for concrete Tank)</v>
          </cell>
          <cell r="C26" t="str">
            <v>HDPE drain pipe (Φ 75x6.9mm)</v>
          </cell>
          <cell r="D26" t="str">
            <v>m</v>
          </cell>
          <cell r="E26">
            <v>8</v>
          </cell>
          <cell r="F26">
            <v>3</v>
          </cell>
          <cell r="G26">
            <v>24</v>
          </cell>
          <cell r="I26">
            <v>4</v>
          </cell>
          <cell r="J26">
            <v>32</v>
          </cell>
          <cell r="L26">
            <v>0</v>
          </cell>
          <cell r="N26">
            <v>0</v>
          </cell>
          <cell r="O26">
            <v>4</v>
          </cell>
          <cell r="P26">
            <v>32</v>
          </cell>
        </row>
        <row r="27">
          <cell r="B27" t="str">
            <v>Geotextile membrane</v>
          </cell>
          <cell r="C27" t="str">
            <v>woven/roven type Nicolon No. 66339 or equivalent</v>
          </cell>
          <cell r="D27" t="str">
            <v>m2</v>
          </cell>
          <cell r="E27">
            <v>167</v>
          </cell>
          <cell r="F27">
            <v>0.5</v>
          </cell>
          <cell r="G27">
            <v>83.5</v>
          </cell>
          <cell r="I27">
            <v>1</v>
          </cell>
          <cell r="J27">
            <v>167</v>
          </cell>
          <cell r="L27">
            <v>0</v>
          </cell>
          <cell r="N27">
            <v>0</v>
          </cell>
          <cell r="O27">
            <v>1</v>
          </cell>
          <cell r="P27">
            <v>167</v>
          </cell>
        </row>
        <row r="28">
          <cell r="B28" t="str">
            <v>Drain Pipe (for Tank Foundation)</v>
          </cell>
          <cell r="C28" t="str">
            <v>HDPE drain pipe (Φ 125mm)</v>
          </cell>
          <cell r="D28" t="str">
            <v>m</v>
          </cell>
          <cell r="E28">
            <v>8</v>
          </cell>
          <cell r="F28">
            <v>2</v>
          </cell>
          <cell r="G28">
            <v>16</v>
          </cell>
          <cell r="I28">
            <v>4</v>
          </cell>
          <cell r="J28">
            <v>32</v>
          </cell>
          <cell r="L28">
            <v>0</v>
          </cell>
          <cell r="N28">
            <v>0</v>
          </cell>
          <cell r="O28">
            <v>4</v>
          </cell>
          <cell r="P28">
            <v>32</v>
          </cell>
        </row>
        <row r="29">
          <cell r="B29" t="str">
            <v>Hume Pipe</v>
          </cell>
          <cell r="C29" t="str">
            <v>D=450mm</v>
          </cell>
          <cell r="D29" t="str">
            <v>m</v>
          </cell>
          <cell r="E29">
            <v>92</v>
          </cell>
          <cell r="F29">
            <v>15</v>
          </cell>
          <cell r="G29">
            <v>1380</v>
          </cell>
          <cell r="I29">
            <v>8</v>
          </cell>
          <cell r="J29">
            <v>736</v>
          </cell>
          <cell r="K29">
            <v>2</v>
          </cell>
          <cell r="L29">
            <v>184</v>
          </cell>
          <cell r="N29">
            <v>0</v>
          </cell>
          <cell r="O29">
            <v>10</v>
          </cell>
          <cell r="P29">
            <v>920</v>
          </cell>
        </row>
        <row r="30">
          <cell r="B30" t="str">
            <v>Warning Tape</v>
          </cell>
          <cell r="C30" t="str">
            <v>P.V.C</v>
          </cell>
          <cell r="D30" t="str">
            <v>m</v>
          </cell>
          <cell r="E30">
            <v>6322</v>
          </cell>
          <cell r="F30">
            <v>0.2</v>
          </cell>
          <cell r="G30">
            <v>1264.4000000000001</v>
          </cell>
          <cell r="I30">
            <v>0.1</v>
          </cell>
          <cell r="J30">
            <v>632.20000000000005</v>
          </cell>
          <cell r="L30">
            <v>0</v>
          </cell>
          <cell r="N30">
            <v>0</v>
          </cell>
          <cell r="O30">
            <v>0.1</v>
          </cell>
          <cell r="P30">
            <v>632.20000000000005</v>
          </cell>
        </row>
        <row r="31">
          <cell r="B31" t="str">
            <v>Checkered Plate</v>
          </cell>
          <cell r="C31" t="str">
            <v>Thk.=6mm, Galvanized</v>
          </cell>
          <cell r="D31" t="str">
            <v>m2</v>
          </cell>
          <cell r="E31">
            <v>90</v>
          </cell>
          <cell r="F31">
            <v>30</v>
          </cell>
          <cell r="G31">
            <v>2700</v>
          </cell>
          <cell r="I31">
            <v>10</v>
          </cell>
          <cell r="J31">
            <v>900</v>
          </cell>
          <cell r="L31">
            <v>0</v>
          </cell>
          <cell r="N31">
            <v>0</v>
          </cell>
          <cell r="O31">
            <v>10</v>
          </cell>
          <cell r="P31">
            <v>900</v>
          </cell>
        </row>
        <row r="32">
          <cell r="B32" t="str">
            <v>Grating</v>
          </cell>
          <cell r="C32" t="str">
            <v>I-55x7, Galvanized</v>
          </cell>
          <cell r="D32" t="str">
            <v>m2</v>
          </cell>
          <cell r="E32">
            <v>1</v>
          </cell>
          <cell r="F32">
            <v>75</v>
          </cell>
          <cell r="G32">
            <v>75</v>
          </cell>
          <cell r="I32">
            <v>10</v>
          </cell>
          <cell r="J32">
            <v>10</v>
          </cell>
          <cell r="L32">
            <v>0</v>
          </cell>
          <cell r="N32">
            <v>0</v>
          </cell>
          <cell r="O32">
            <v>10</v>
          </cell>
          <cell r="P32">
            <v>10</v>
          </cell>
        </row>
        <row r="33">
          <cell r="B33" t="str">
            <v>Step Iron</v>
          </cell>
          <cell r="C33" t="str">
            <v>ASTM A36, Round Bar Φ20x1200L, Hot dip galvanized</v>
          </cell>
          <cell r="D33" t="str">
            <v>ea</v>
          </cell>
          <cell r="E33">
            <v>41</v>
          </cell>
          <cell r="F33">
            <v>3</v>
          </cell>
          <cell r="G33">
            <v>123</v>
          </cell>
          <cell r="I33">
            <v>2</v>
          </cell>
          <cell r="J33">
            <v>82</v>
          </cell>
          <cell r="L33">
            <v>0</v>
          </cell>
          <cell r="N33">
            <v>0</v>
          </cell>
          <cell r="O33">
            <v>2</v>
          </cell>
          <cell r="P33">
            <v>82</v>
          </cell>
        </row>
        <row r="34">
          <cell r="B34" t="str">
            <v>Misc. Steel</v>
          </cell>
          <cell r="C34" t="str">
            <v>ASTM A36 or equivalent</v>
          </cell>
          <cell r="D34" t="str">
            <v>Ton</v>
          </cell>
          <cell r="E34">
            <v>4</v>
          </cell>
          <cell r="F34">
            <v>300</v>
          </cell>
          <cell r="G34">
            <v>1200</v>
          </cell>
          <cell r="I34">
            <v>300</v>
          </cell>
          <cell r="J34">
            <v>1200</v>
          </cell>
          <cell r="K34">
            <v>80</v>
          </cell>
          <cell r="L34">
            <v>320</v>
          </cell>
          <cell r="N34">
            <v>0</v>
          </cell>
          <cell r="O34">
            <v>380</v>
          </cell>
          <cell r="P34">
            <v>1520</v>
          </cell>
        </row>
        <row r="35">
          <cell r="B35" t="str">
            <v>Anchor Bolt (M24)</v>
          </cell>
          <cell r="C35" t="str">
            <v>ASTM A36 or equivalent (Refer DEP S28.020), Install only</v>
          </cell>
          <cell r="D35" t="str">
            <v>ea</v>
          </cell>
          <cell r="E35">
            <v>38</v>
          </cell>
          <cell r="G35">
            <v>0</v>
          </cell>
          <cell r="I35">
            <v>4</v>
          </cell>
          <cell r="J35">
            <v>152</v>
          </cell>
          <cell r="L35">
            <v>0</v>
          </cell>
          <cell r="N35">
            <v>0</v>
          </cell>
          <cell r="O35">
            <v>4</v>
          </cell>
          <cell r="P35">
            <v>152</v>
          </cell>
        </row>
        <row r="36">
          <cell r="B36" t="str">
            <v>Anchor Bolt (M42)</v>
          </cell>
          <cell r="C36" t="str">
            <v>ASTM A36 or equivalent (Refer DEP S28.020), Install only</v>
          </cell>
          <cell r="D36" t="str">
            <v>ea</v>
          </cell>
          <cell r="E36">
            <v>806</v>
          </cell>
          <cell r="G36">
            <v>0</v>
          </cell>
          <cell r="I36">
            <v>9</v>
          </cell>
          <cell r="J36">
            <v>7254</v>
          </cell>
          <cell r="L36">
            <v>0</v>
          </cell>
          <cell r="N36">
            <v>0</v>
          </cell>
          <cell r="O36">
            <v>9</v>
          </cell>
          <cell r="P36">
            <v>7254</v>
          </cell>
        </row>
        <row r="37">
          <cell r="B37" t="str">
            <v>Wearing Course (Asphalt Road)</v>
          </cell>
          <cell r="C37" t="str">
            <v>Thk.=50mm</v>
          </cell>
          <cell r="D37" t="str">
            <v>m3</v>
          </cell>
          <cell r="E37">
            <v>75</v>
          </cell>
          <cell r="F37">
            <v>42</v>
          </cell>
          <cell r="G37">
            <v>3150</v>
          </cell>
          <cell r="I37">
            <v>10</v>
          </cell>
          <cell r="J37">
            <v>750</v>
          </cell>
          <cell r="K37">
            <v>10</v>
          </cell>
          <cell r="L37">
            <v>750</v>
          </cell>
          <cell r="N37">
            <v>0</v>
          </cell>
          <cell r="O37">
            <v>20</v>
          </cell>
          <cell r="P37">
            <v>1500</v>
          </cell>
        </row>
        <row r="38">
          <cell r="B38" t="str">
            <v>Base Course (Asphalt Road)</v>
          </cell>
          <cell r="C38" t="str">
            <v>Thk.=250mm</v>
          </cell>
          <cell r="D38" t="str">
            <v>m3</v>
          </cell>
          <cell r="E38">
            <v>379</v>
          </cell>
          <cell r="F38">
            <v>4</v>
          </cell>
          <cell r="G38">
            <v>1516</v>
          </cell>
          <cell r="I38">
            <v>2</v>
          </cell>
          <cell r="J38">
            <v>758</v>
          </cell>
          <cell r="K38">
            <v>1.65</v>
          </cell>
          <cell r="L38">
            <v>625.35</v>
          </cell>
          <cell r="N38">
            <v>0</v>
          </cell>
          <cell r="O38">
            <v>3.65</v>
          </cell>
          <cell r="P38">
            <v>1383.35</v>
          </cell>
        </row>
        <row r="39">
          <cell r="B39" t="str">
            <v>Sub-Base Course (Asphalt Road)</v>
          </cell>
          <cell r="C39" t="str">
            <v>Thk.=250mm</v>
          </cell>
          <cell r="D39" t="str">
            <v>m3</v>
          </cell>
          <cell r="E39">
            <v>383</v>
          </cell>
          <cell r="F39">
            <v>2</v>
          </cell>
          <cell r="G39">
            <v>766</v>
          </cell>
          <cell r="I39">
            <v>2</v>
          </cell>
          <cell r="J39">
            <v>766</v>
          </cell>
          <cell r="K39">
            <v>1.65</v>
          </cell>
          <cell r="L39">
            <v>631.94999999999993</v>
          </cell>
          <cell r="N39">
            <v>0</v>
          </cell>
          <cell r="O39">
            <v>3.65</v>
          </cell>
          <cell r="P39">
            <v>1397.95</v>
          </cell>
        </row>
        <row r="40">
          <cell r="B40" t="str">
            <v>Shoulder (Gravel)</v>
          </cell>
          <cell r="C40" t="str">
            <v>Thk.=50mm</v>
          </cell>
          <cell r="D40" t="str">
            <v>m2</v>
          </cell>
          <cell r="E40">
            <v>749</v>
          </cell>
          <cell r="F40">
            <v>0.5</v>
          </cell>
          <cell r="G40">
            <v>374.5</v>
          </cell>
          <cell r="I40">
            <v>0.2</v>
          </cell>
          <cell r="J40">
            <v>149.80000000000001</v>
          </cell>
          <cell r="K40">
            <v>0.05</v>
          </cell>
          <cell r="L40">
            <v>37.450000000000003</v>
          </cell>
          <cell r="N40">
            <v>0</v>
          </cell>
          <cell r="O40">
            <v>0.25</v>
          </cell>
          <cell r="P40">
            <v>187.25</v>
          </cell>
        </row>
        <row r="41">
          <cell r="B41" t="str">
            <v>Concrete Paving (for Light Duty)</v>
          </cell>
          <cell r="C41" t="str">
            <v>Thk.=100mm, grade C-30</v>
          </cell>
          <cell r="D41" t="str">
            <v>m3</v>
          </cell>
          <cell r="E41">
            <v>99</v>
          </cell>
          <cell r="F41">
            <v>26</v>
          </cell>
          <cell r="G41">
            <v>2574</v>
          </cell>
          <cell r="I41">
            <v>8</v>
          </cell>
          <cell r="J41">
            <v>792</v>
          </cell>
          <cell r="K41">
            <v>8</v>
          </cell>
          <cell r="L41">
            <v>792</v>
          </cell>
          <cell r="N41">
            <v>0</v>
          </cell>
          <cell r="O41">
            <v>16</v>
          </cell>
          <cell r="P41">
            <v>1584</v>
          </cell>
        </row>
        <row r="42">
          <cell r="B42" t="str">
            <v>Expansion Joint (for Con'c Paving Light Duty)</v>
          </cell>
          <cell r="C42" t="str">
            <v>L=20m, 25 deep x 20 wide Hydrocarbon resistant joint sealant</v>
          </cell>
          <cell r="D42" t="str">
            <v>m</v>
          </cell>
          <cell r="E42">
            <v>120</v>
          </cell>
          <cell r="F42">
            <v>1.5</v>
          </cell>
          <cell r="G42">
            <v>180</v>
          </cell>
          <cell r="I42">
            <v>1.5</v>
          </cell>
          <cell r="J42">
            <v>180</v>
          </cell>
          <cell r="K42">
            <v>0.1</v>
          </cell>
          <cell r="L42">
            <v>12</v>
          </cell>
          <cell r="N42">
            <v>0</v>
          </cell>
          <cell r="O42">
            <v>1.6</v>
          </cell>
          <cell r="P42">
            <v>192</v>
          </cell>
        </row>
        <row r="43">
          <cell r="B43" t="str">
            <v>Contraction Joint (for Con'c Paving Light Duty)</v>
          </cell>
          <cell r="C43" t="str">
            <v>L=5m, 20mm deep groove to be cut after casting and filled with Hydrocarbon resistant joint sealant</v>
          </cell>
          <cell r="D43" t="str">
            <v>m</v>
          </cell>
          <cell r="E43">
            <v>260</v>
          </cell>
          <cell r="F43">
            <v>1.1000000000000001</v>
          </cell>
          <cell r="G43">
            <v>286</v>
          </cell>
          <cell r="I43">
            <v>1.8</v>
          </cell>
          <cell r="J43">
            <v>468</v>
          </cell>
          <cell r="K43">
            <v>0.1</v>
          </cell>
          <cell r="L43">
            <v>26</v>
          </cell>
          <cell r="N43">
            <v>0</v>
          </cell>
          <cell r="O43">
            <v>1.9000000000000001</v>
          </cell>
          <cell r="P43">
            <v>494.00000000000006</v>
          </cell>
        </row>
        <row r="44">
          <cell r="B44" t="str">
            <v>Wire Fabric. (for Light Duty Con'c paving)</v>
          </cell>
          <cell r="C44" t="str">
            <v xml:space="preserve">φ7-200x200, Cold-drawn finish, ASTM A185 </v>
          </cell>
          <cell r="D44" t="str">
            <v>m2</v>
          </cell>
          <cell r="E44">
            <v>10369</v>
          </cell>
          <cell r="F44">
            <v>0.93</v>
          </cell>
          <cell r="G44">
            <v>9643.17</v>
          </cell>
          <cell r="I44">
            <v>0.4</v>
          </cell>
          <cell r="J44">
            <v>4147.6000000000004</v>
          </cell>
          <cell r="L44">
            <v>0</v>
          </cell>
          <cell r="N44">
            <v>0</v>
          </cell>
          <cell r="O44">
            <v>0.4</v>
          </cell>
          <cell r="P44">
            <v>4147.6000000000004</v>
          </cell>
        </row>
        <row r="45">
          <cell r="B45" t="str">
            <v>Joint Filler &amp; Sealant (for concrete paving Light Duty)</v>
          </cell>
          <cell r="C45" t="str">
            <v>20 thick flexible jointing material 25 deep x 20 wide Hydrocarbon resistant joint sealant in top.</v>
          </cell>
          <cell r="D45" t="str">
            <v>m</v>
          </cell>
          <cell r="E45">
            <v>1975</v>
          </cell>
          <cell r="F45">
            <v>1.5</v>
          </cell>
          <cell r="G45">
            <v>2962.5</v>
          </cell>
          <cell r="I45">
            <v>1</v>
          </cell>
          <cell r="J45">
            <v>1975</v>
          </cell>
          <cell r="L45">
            <v>0</v>
          </cell>
          <cell r="N45">
            <v>0</v>
          </cell>
          <cell r="O45">
            <v>1</v>
          </cell>
          <cell r="P45">
            <v>1975</v>
          </cell>
        </row>
        <row r="46">
          <cell r="B46" t="str">
            <v>Polyethylene membrane</v>
          </cell>
          <cell r="C46" t="str">
            <v>gauge 1000 or equal</v>
          </cell>
          <cell r="D46" t="str">
            <v>m2</v>
          </cell>
          <cell r="E46">
            <v>10397</v>
          </cell>
          <cell r="F46">
            <v>0.25</v>
          </cell>
          <cell r="G46">
            <v>2599.25</v>
          </cell>
          <cell r="I46">
            <v>0.3</v>
          </cell>
          <cell r="J46">
            <v>3119.1</v>
          </cell>
          <cell r="K46">
            <v>0.05</v>
          </cell>
          <cell r="L46">
            <v>519.85</v>
          </cell>
          <cell r="N46">
            <v>0</v>
          </cell>
          <cell r="O46">
            <v>0.35</v>
          </cell>
          <cell r="P46">
            <v>3638.95</v>
          </cell>
        </row>
        <row r="47">
          <cell r="B47" t="str">
            <v>Hardboard</v>
          </cell>
          <cell r="C47">
            <v>0</v>
          </cell>
          <cell r="D47" t="str">
            <v>m2</v>
          </cell>
          <cell r="E47">
            <v>7844</v>
          </cell>
          <cell r="F47">
            <v>1.2</v>
          </cell>
          <cell r="G47">
            <v>9412.7999999999993</v>
          </cell>
          <cell r="I47">
            <v>0.75</v>
          </cell>
          <cell r="J47">
            <v>5883</v>
          </cell>
          <cell r="K47">
            <v>0.05</v>
          </cell>
          <cell r="L47">
            <v>392.20000000000005</v>
          </cell>
          <cell r="N47">
            <v>0</v>
          </cell>
          <cell r="O47">
            <v>0.8</v>
          </cell>
          <cell r="P47">
            <v>6275.2000000000007</v>
          </cell>
        </row>
        <row r="48">
          <cell r="B48" t="str">
            <v>screed</v>
          </cell>
          <cell r="C48" t="str">
            <v>20mm thick Mortar</v>
          </cell>
          <cell r="D48" t="str">
            <v>m2</v>
          </cell>
          <cell r="E48">
            <v>20795</v>
          </cell>
          <cell r="F48">
            <v>0.6</v>
          </cell>
          <cell r="G48">
            <v>12477</v>
          </cell>
          <cell r="I48">
            <v>0.7</v>
          </cell>
          <cell r="J48">
            <v>14556.499999999998</v>
          </cell>
          <cell r="K48">
            <v>0.2</v>
          </cell>
          <cell r="L48">
            <v>4159</v>
          </cell>
          <cell r="N48">
            <v>0</v>
          </cell>
          <cell r="O48">
            <v>0.89999999999999991</v>
          </cell>
          <cell r="P48">
            <v>18715.499999999996</v>
          </cell>
        </row>
        <row r="49">
          <cell r="B49" t="str">
            <v>Fence (New)</v>
          </cell>
          <cell r="C4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49" t="str">
            <v>m</v>
          </cell>
          <cell r="E49">
            <v>580</v>
          </cell>
          <cell r="F49">
            <v>13</v>
          </cell>
          <cell r="G49">
            <v>7540</v>
          </cell>
          <cell r="I49">
            <v>7</v>
          </cell>
          <cell r="J49">
            <v>4060</v>
          </cell>
          <cell r="K49">
            <v>1</v>
          </cell>
          <cell r="L49">
            <v>580</v>
          </cell>
          <cell r="N49">
            <v>0</v>
          </cell>
          <cell r="O49">
            <v>8</v>
          </cell>
          <cell r="P49">
            <v>4640</v>
          </cell>
        </row>
      </sheetData>
      <sheetData sheetId="5">
        <row r="9">
          <cell r="B9" t="str">
            <v>Demolition (Paving)</v>
          </cell>
          <cell r="C9">
            <v>0</v>
          </cell>
          <cell r="D9" t="str">
            <v>m2</v>
          </cell>
          <cell r="E9">
            <v>6768</v>
          </cell>
          <cell r="G9">
            <v>0</v>
          </cell>
          <cell r="I9">
            <v>0.2</v>
          </cell>
          <cell r="J9">
            <v>1353.6000000000001</v>
          </cell>
          <cell r="K9">
            <v>1.3</v>
          </cell>
          <cell r="L9">
            <v>8798.4</v>
          </cell>
          <cell r="N9">
            <v>0</v>
          </cell>
          <cell r="O9">
            <v>1.5</v>
          </cell>
          <cell r="P9">
            <v>10152</v>
          </cell>
        </row>
        <row r="10">
          <cell r="B10" t="str">
            <v>Demolition (Road)</v>
          </cell>
          <cell r="C10">
            <v>0</v>
          </cell>
          <cell r="D10" t="str">
            <v>m2</v>
          </cell>
          <cell r="E10">
            <v>4680</v>
          </cell>
          <cell r="G10">
            <v>0</v>
          </cell>
          <cell r="I10">
            <v>0.2</v>
          </cell>
          <cell r="J10">
            <v>936</v>
          </cell>
          <cell r="K10">
            <v>0.8</v>
          </cell>
          <cell r="L10">
            <v>3744</v>
          </cell>
          <cell r="N10">
            <v>0</v>
          </cell>
          <cell r="O10">
            <v>1</v>
          </cell>
          <cell r="P10">
            <v>4680</v>
          </cell>
        </row>
        <row r="11">
          <cell r="B11" t="str">
            <v>Demolition (Fence)</v>
          </cell>
          <cell r="C11" t="str">
            <v>including foundation</v>
          </cell>
          <cell r="D11" t="str">
            <v>m</v>
          </cell>
          <cell r="E11">
            <v>1218</v>
          </cell>
          <cell r="G11">
            <v>0</v>
          </cell>
          <cell r="I11">
            <v>3</v>
          </cell>
          <cell r="J11">
            <v>3654</v>
          </cell>
          <cell r="K11">
            <v>1</v>
          </cell>
          <cell r="L11">
            <v>1218</v>
          </cell>
          <cell r="N11">
            <v>0</v>
          </cell>
          <cell r="O11">
            <v>4</v>
          </cell>
          <cell r="P11">
            <v>4872</v>
          </cell>
        </row>
        <row r="12">
          <cell r="B12" t="str">
            <v>Demolition (Concrete)</v>
          </cell>
          <cell r="C12">
            <v>0</v>
          </cell>
          <cell r="D12" t="str">
            <v>m3</v>
          </cell>
          <cell r="E12">
            <v>1225</v>
          </cell>
          <cell r="G12">
            <v>0</v>
          </cell>
          <cell r="I12">
            <v>8.5</v>
          </cell>
          <cell r="J12">
            <v>10412.5</v>
          </cell>
          <cell r="K12">
            <v>11</v>
          </cell>
          <cell r="L12">
            <v>13475</v>
          </cell>
          <cell r="N12">
            <v>0</v>
          </cell>
          <cell r="O12">
            <v>19.5</v>
          </cell>
          <cell r="P12">
            <v>23887.5</v>
          </cell>
        </row>
      </sheetData>
      <sheetData sheetId="6"/>
      <sheetData sheetId="7"/>
      <sheetData sheetId="8"/>
      <sheetData sheetId="9" refreshError="1"/>
      <sheetData sheetId="10" refreshError="1"/>
      <sheetData sheetId="11" refreshError="1"/>
      <sheetData sheetId="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1"/>
      <sheetName val="TABLE2(Structure)"/>
      <sheetName val="TABLE2(Piping)"/>
      <sheetName val="TIE-IN(OSBL)"/>
      <sheetName val="TABLE2(Insul)"/>
      <sheetName val="TABLE2(Painting)"/>
      <sheetName val="TABLE2-1 ISBL(GENEAL-CIVIL)"/>
      <sheetName val="TABLE2-1 ISBL-(SlTE PREP)"/>
      <sheetName val="TABLE2.1 ISBL (Soil Invest)"/>
      <sheetName val="TABLE2-2 OSBL(GENERAL-CIVIL)"/>
      <sheetName val="TABLE2-2 OSBL-(SITE PREP)"/>
      <sheetName val="TABLE 2-1 ISBL(BLDG)"/>
      <sheetName val="TABLE 2-2 OSBL(BLDG)"/>
      <sheetName val="BOQ(BLD)"/>
      <sheetName val="BUILDING LIST"/>
      <sheetName val="A.Const_Cost(Pipeline)"/>
      <sheetName val="B-1.AG(BOQ)(Pipeline)"/>
      <sheetName val="B-2.UG(BOQ)(Pipeline)"/>
      <sheetName val="TIE-IN(Pipeline)"/>
      <sheetName val="TABLE 3"/>
      <sheetName val="AREA DEFINITION"/>
      <sheetName val="TABLE 4"/>
      <sheetName val="TABLE 5"/>
      <sheetName val="ISBL"/>
      <sheetName val="OSBL"/>
      <sheetName val="Bdown_ISBL"/>
      <sheetName val="ISBL (검증)"/>
    </sheetNames>
    <sheetDataSet>
      <sheetData sheetId="0" refreshError="1"/>
      <sheetData sheetId="1" refreshError="1"/>
      <sheetData sheetId="2" refreshError="1"/>
      <sheetData sheetId="3" refreshError="1"/>
      <sheetData sheetId="4" refreshError="1"/>
      <sheetData sheetId="5" refreshError="1"/>
      <sheetData sheetId="6">
        <row r="8">
          <cell r="B8" t="str">
            <v>Excavation</v>
          </cell>
        </row>
        <row r="9">
          <cell r="B9" t="str">
            <v>Back Fill</v>
          </cell>
          <cell r="C9" t="str">
            <v>Good soil (by equipment) Compaction shall be 95% of maximum dry density in six inch compacted layers.</v>
          </cell>
          <cell r="D9" t="str">
            <v>m3</v>
          </cell>
          <cell r="E9">
            <v>107293</v>
          </cell>
          <cell r="F9">
            <v>0</v>
          </cell>
          <cell r="G9">
            <v>0</v>
          </cell>
          <cell r="H9">
            <v>41023.79</v>
          </cell>
          <cell r="I9">
            <v>1.0990849054421072</v>
          </cell>
          <cell r="J9">
            <v>117924.11675960002</v>
          </cell>
          <cell r="K9">
            <v>3.1281650000000001</v>
          </cell>
          <cell r="L9">
            <v>335630.207345</v>
          </cell>
          <cell r="M9">
            <v>0</v>
          </cell>
          <cell r="N9">
            <v>0</v>
          </cell>
          <cell r="O9">
            <v>4.2272499054421075</v>
          </cell>
          <cell r="P9">
            <v>453554.3241046</v>
          </cell>
          <cell r="Q9">
            <v>4.2272499054421075</v>
          </cell>
          <cell r="R9">
            <v>453554.3241046</v>
          </cell>
          <cell r="S9">
            <v>0</v>
          </cell>
        </row>
        <row r="10">
          <cell r="B10" t="str">
            <v>Disposal</v>
          </cell>
          <cell r="C10" t="str">
            <v>Good soil</v>
          </cell>
          <cell r="D10" t="str">
            <v>m3</v>
          </cell>
          <cell r="E10">
            <v>56744</v>
          </cell>
          <cell r="F10">
            <v>0</v>
          </cell>
          <cell r="G10">
            <v>0</v>
          </cell>
          <cell r="H10">
            <v>6675.76</v>
          </cell>
          <cell r="I10">
            <v>0.33817976161003804</v>
          </cell>
          <cell r="J10">
            <v>19189.672392799999</v>
          </cell>
          <cell r="K10">
            <v>1.6909000000000001</v>
          </cell>
          <cell r="L10">
            <v>95948.429600000003</v>
          </cell>
          <cell r="M10">
            <v>0</v>
          </cell>
          <cell r="N10">
            <v>0</v>
          </cell>
          <cell r="O10">
            <v>2.029079761610038</v>
          </cell>
          <cell r="P10">
            <v>115138.1019928</v>
          </cell>
          <cell r="Q10">
            <v>2.029079761610038</v>
          </cell>
          <cell r="R10">
            <v>115138.1019928</v>
          </cell>
          <cell r="S10">
            <v>0</v>
          </cell>
        </row>
        <row r="11">
          <cell r="B11" t="str">
            <v>Concrete</v>
          </cell>
          <cell r="C11" t="str">
            <v>Grade C30 , ASTM C150 (TYPE-V)</v>
          </cell>
          <cell r="D11" t="str">
            <v>m3</v>
          </cell>
          <cell r="E11">
            <v>7590</v>
          </cell>
          <cell r="F11">
            <v>77.781400000000005</v>
          </cell>
          <cell r="G11">
            <v>590360.826</v>
          </cell>
          <cell r="H11">
            <v>25002.35</v>
          </cell>
          <cell r="I11">
            <v>9.4690391088801054</v>
          </cell>
          <cell r="J11">
            <v>71870.006836400004</v>
          </cell>
          <cell r="K11">
            <v>18.938080000000003</v>
          </cell>
          <cell r="L11">
            <v>143740.02720000001</v>
          </cell>
          <cell r="M11">
            <v>0</v>
          </cell>
          <cell r="N11">
            <v>0</v>
          </cell>
          <cell r="O11">
            <v>28.40711910888011</v>
          </cell>
          <cell r="P11">
            <v>215610.03403640003</v>
          </cell>
          <cell r="Q11">
            <v>106.18851910888012</v>
          </cell>
          <cell r="R11">
            <v>805970.86003640003</v>
          </cell>
          <cell r="S11">
            <v>0</v>
          </cell>
        </row>
        <row r="12">
          <cell r="B12" t="str">
            <v>Blinding Con'c</v>
          </cell>
          <cell r="C12" t="str">
            <v>Grade C20, Thk.=50mm. (DEP 34.19.20.31-Gen.)</v>
          </cell>
          <cell r="D12" t="str">
            <v>m3</v>
          </cell>
          <cell r="E12">
            <v>494</v>
          </cell>
          <cell r="F12">
            <v>64.254199999999997</v>
          </cell>
          <cell r="G12">
            <v>31741.574799999999</v>
          </cell>
          <cell r="H12">
            <v>1452.94</v>
          </cell>
          <cell r="I12">
            <v>8.4544931542510113</v>
          </cell>
          <cell r="J12">
            <v>4176.5196182</v>
          </cell>
          <cell r="K12">
            <v>16.908999999999999</v>
          </cell>
          <cell r="L12">
            <v>8353.0460000000003</v>
          </cell>
          <cell r="M12">
            <v>0</v>
          </cell>
          <cell r="N12">
            <v>0</v>
          </cell>
          <cell r="O12">
            <v>25.36349315425101</v>
          </cell>
          <cell r="P12">
            <v>12529.5656182</v>
          </cell>
          <cell r="Q12">
            <v>89.617693154251015</v>
          </cell>
          <cell r="R12">
            <v>44271.140418199997</v>
          </cell>
          <cell r="S12">
            <v>0</v>
          </cell>
        </row>
        <row r="13">
          <cell r="B13" t="str">
            <v>Form Work</v>
          </cell>
          <cell r="C13" t="str">
            <v>ACI 347</v>
          </cell>
          <cell r="D13" t="str">
            <v>m2</v>
          </cell>
          <cell r="E13">
            <v>25373</v>
          </cell>
          <cell r="F13">
            <v>7.1017800000000006</v>
          </cell>
          <cell r="G13">
            <v>180193.46394000002</v>
          </cell>
          <cell r="H13">
            <v>29850.59</v>
          </cell>
          <cell r="I13">
            <v>3.381800266566823</v>
          </cell>
          <cell r="J13">
            <v>85806.418163599999</v>
          </cell>
          <cell r="K13">
            <v>2.1981700000000002</v>
          </cell>
          <cell r="L13">
            <v>55774.167410000002</v>
          </cell>
          <cell r="M13">
            <v>0</v>
          </cell>
          <cell r="N13">
            <v>0</v>
          </cell>
          <cell r="O13">
            <v>5.5799702665668232</v>
          </cell>
          <cell r="P13">
            <v>141580.58557359999</v>
          </cell>
          <cell r="Q13">
            <v>12.681750266566823</v>
          </cell>
          <cell r="R13">
            <v>321774.04951360001</v>
          </cell>
          <cell r="S13">
            <v>0</v>
          </cell>
        </row>
        <row r="14">
          <cell r="B14" t="str">
            <v>Re-Bar</v>
          </cell>
          <cell r="C14" t="str">
            <v xml:space="preserve">ASTM A 615 Grade 60 Type S </v>
          </cell>
          <cell r="D14" t="str">
            <v>Ton</v>
          </cell>
          <cell r="E14">
            <v>620</v>
          </cell>
          <cell r="F14">
            <v>463.3066</v>
          </cell>
          <cell r="G14">
            <v>287250.092</v>
          </cell>
          <cell r="H14">
            <v>26988.240000000002</v>
          </cell>
          <cell r="I14">
            <v>125.12662181806452</v>
          </cell>
          <cell r="J14">
            <v>77578.505527200003</v>
          </cell>
          <cell r="K14">
            <v>43.9634</v>
          </cell>
          <cell r="L14">
            <v>27257.308000000001</v>
          </cell>
          <cell r="M14">
            <v>0</v>
          </cell>
          <cell r="N14">
            <v>0</v>
          </cell>
          <cell r="O14">
            <v>169.09002181806451</v>
          </cell>
          <cell r="P14">
            <v>104835.81352720001</v>
          </cell>
          <cell r="Q14">
            <v>632.39662181806455</v>
          </cell>
          <cell r="R14">
            <v>392085.90552720003</v>
          </cell>
          <cell r="S14">
            <v>0</v>
          </cell>
        </row>
        <row r="15">
          <cell r="B15" t="str">
            <v>Non-Shrinkage Grout</v>
          </cell>
          <cell r="C15" t="str">
            <v>75 N/mm2, DEP 34.19.20.31-Gen</v>
          </cell>
          <cell r="D15" t="str">
            <v>m3</v>
          </cell>
          <cell r="E15">
            <v>29</v>
          </cell>
          <cell r="F15">
            <v>2908.348</v>
          </cell>
          <cell r="G15">
            <v>84342.092000000004</v>
          </cell>
          <cell r="H15">
            <v>1364.71</v>
          </cell>
          <cell r="I15">
            <v>135.27246645517241</v>
          </cell>
          <cell r="J15">
            <v>3922.9015271999997</v>
          </cell>
          <cell r="K15">
            <v>67.63600000000001</v>
          </cell>
          <cell r="L15">
            <v>1961.4440000000002</v>
          </cell>
          <cell r="M15">
            <v>0</v>
          </cell>
          <cell r="N15">
            <v>0</v>
          </cell>
          <cell r="O15">
            <v>202.9084664551724</v>
          </cell>
          <cell r="P15">
            <v>5884.3455272000001</v>
          </cell>
          <cell r="Q15">
            <v>3111.2564664551724</v>
          </cell>
          <cell r="R15">
            <v>90226.437527200003</v>
          </cell>
          <cell r="S15">
            <v>0</v>
          </cell>
        </row>
        <row r="16">
          <cell r="B16" t="str">
            <v>Sand/Cement Grout</v>
          </cell>
          <cell r="C16" t="str">
            <v>20 N/mm2,DEP 34.19.20.31-Gen</v>
          </cell>
          <cell r="D16" t="str">
            <v>m3</v>
          </cell>
          <cell r="E16">
            <v>1</v>
          </cell>
          <cell r="F16">
            <v>608.72400000000005</v>
          </cell>
          <cell r="G16">
            <v>608.72400000000005</v>
          </cell>
          <cell r="H16">
            <v>47.06</v>
          </cell>
          <cell r="I16">
            <v>135.27538179999999</v>
          </cell>
          <cell r="J16">
            <v>135.27538179999999</v>
          </cell>
          <cell r="K16">
            <v>67.635999999999996</v>
          </cell>
          <cell r="L16">
            <v>67.635999999999996</v>
          </cell>
          <cell r="M16">
            <v>0</v>
          </cell>
          <cell r="N16">
            <v>0</v>
          </cell>
          <cell r="O16">
            <v>202.91138179999999</v>
          </cell>
          <cell r="P16">
            <v>202.91138179999999</v>
          </cell>
          <cell r="Q16">
            <v>811.6353818</v>
          </cell>
          <cell r="R16">
            <v>811.6353818</v>
          </cell>
          <cell r="S16">
            <v>0</v>
          </cell>
        </row>
        <row r="17">
          <cell r="B17" t="str">
            <v>FDN. Surface Coating (U/G)</v>
          </cell>
          <cell r="C17" t="str">
            <v xml:space="preserve">bitu-coating, 2 times, 0.4kg/m2 </v>
          </cell>
          <cell r="D17" t="str">
            <v>m2</v>
          </cell>
          <cell r="E17">
            <v>14567</v>
          </cell>
          <cell r="F17">
            <v>0.84545000000000003</v>
          </cell>
          <cell r="G17">
            <v>12315.67015</v>
          </cell>
          <cell r="H17">
            <v>4284.41</v>
          </cell>
          <cell r="I17">
            <v>0.84544976784512949</v>
          </cell>
          <cell r="J17">
            <v>12315.666768200001</v>
          </cell>
          <cell r="K17">
            <v>0.33818000000000004</v>
          </cell>
          <cell r="L17">
            <v>4926.2680600000003</v>
          </cell>
          <cell r="M17">
            <v>0</v>
          </cell>
          <cell r="N17">
            <v>0</v>
          </cell>
          <cell r="O17">
            <v>1.1836297678451295</v>
          </cell>
          <cell r="P17">
            <v>17241.934828199999</v>
          </cell>
          <cell r="Q17">
            <v>2.0290797678451296</v>
          </cell>
          <cell r="R17">
            <v>29557.604978199997</v>
          </cell>
          <cell r="S17">
            <v>0</v>
          </cell>
        </row>
        <row r="18">
          <cell r="B18" t="str">
            <v>FDN. Surface Coating (A/G)</v>
          </cell>
          <cell r="C18" t="str">
            <v>bitu-coating, 2 times, 0.4kg/m2, 150mm above ground level</v>
          </cell>
          <cell r="D18" t="str">
            <v>m2</v>
          </cell>
          <cell r="E18">
            <v>977</v>
          </cell>
          <cell r="F18">
            <v>0.84545000000000003</v>
          </cell>
          <cell r="G18">
            <v>826.00465000000008</v>
          </cell>
          <cell r="H18">
            <v>287.35000000000002</v>
          </cell>
          <cell r="I18">
            <v>0.84544307717502554</v>
          </cell>
          <cell r="J18">
            <v>825.99788639999997</v>
          </cell>
          <cell r="K18">
            <v>0.33817999999999998</v>
          </cell>
          <cell r="L18">
            <v>330.40186</v>
          </cell>
          <cell r="M18">
            <v>0</v>
          </cell>
          <cell r="N18">
            <v>0</v>
          </cell>
          <cell r="O18">
            <v>1.1836230771750256</v>
          </cell>
          <cell r="P18">
            <v>1156.3997463999999</v>
          </cell>
          <cell r="Q18">
            <v>2.0290730771750258</v>
          </cell>
          <cell r="R18">
            <v>1982.4043964</v>
          </cell>
          <cell r="S18">
            <v>0</v>
          </cell>
        </row>
        <row r="19">
          <cell r="B19" t="str">
            <v>Sand Bitumen</v>
          </cell>
          <cell r="C19" t="str">
            <v>50mm sand bitumen mix or oil/sand mix. (DEP 34.18.51.10-Gen. Appendix 3 and 4)</v>
          </cell>
          <cell r="D19" t="str">
            <v>m3</v>
          </cell>
          <cell r="E19">
            <v>3</v>
          </cell>
          <cell r="F19">
            <v>43.9634</v>
          </cell>
          <cell r="G19">
            <v>131.89019999999999</v>
          </cell>
          <cell r="H19">
            <v>10.59</v>
          </cell>
          <cell r="I19">
            <v>10.147654533333334</v>
          </cell>
          <cell r="J19">
            <v>30.442963600000002</v>
          </cell>
          <cell r="K19">
            <v>13.527200000000001</v>
          </cell>
          <cell r="L19">
            <v>40.581600000000002</v>
          </cell>
          <cell r="M19">
            <v>0</v>
          </cell>
          <cell r="N19">
            <v>0</v>
          </cell>
          <cell r="O19">
            <v>23.674854533333335</v>
          </cell>
          <cell r="P19">
            <v>71.024563600000008</v>
          </cell>
          <cell r="Q19">
            <v>67.638254533333338</v>
          </cell>
          <cell r="R19">
            <v>202.91476360000001</v>
          </cell>
          <cell r="S19">
            <v>0</v>
          </cell>
        </row>
        <row r="20">
          <cell r="B20" t="str">
            <v>Structural Fill (Sand)</v>
          </cell>
          <cell r="C20" t="str">
            <v>Compaction shall be 95% of maximum dry density in six inch compacted layers.</v>
          </cell>
          <cell r="D20" t="str">
            <v>m3</v>
          </cell>
          <cell r="E20">
            <v>21387</v>
          </cell>
          <cell r="F20">
            <v>1.741627</v>
          </cell>
          <cell r="G20">
            <v>37248.176649000001</v>
          </cell>
          <cell r="H20">
            <v>8428.99</v>
          </cell>
          <cell r="I20">
            <v>1.1329025256277179</v>
          </cell>
          <cell r="J20">
            <v>24229.386315600001</v>
          </cell>
          <cell r="K20">
            <v>2.7054399999999998</v>
          </cell>
          <cell r="L20">
            <v>57861.245279999996</v>
          </cell>
          <cell r="M20">
            <v>0</v>
          </cell>
          <cell r="N20">
            <v>0</v>
          </cell>
          <cell r="O20">
            <v>3.8383425256277177</v>
          </cell>
          <cell r="P20">
            <v>82090.631595599989</v>
          </cell>
          <cell r="Q20">
            <v>5.5799695256277175</v>
          </cell>
          <cell r="R20">
            <v>119338.80824459999</v>
          </cell>
          <cell r="S20">
            <v>0</v>
          </cell>
        </row>
        <row r="21">
          <cell r="B21" t="str">
            <v>Structural Fill (Compacted Stone or Gravel)</v>
          </cell>
          <cell r="C21" t="str">
            <v>Compaction shall be 95% of maximum dry density in six inch compacted layers.</v>
          </cell>
          <cell r="D21" t="str">
            <v>m3</v>
          </cell>
          <cell r="E21">
            <v>5</v>
          </cell>
          <cell r="F21">
            <v>28.7453</v>
          </cell>
          <cell r="G21">
            <v>143.72649999999999</v>
          </cell>
          <cell r="H21">
            <v>8.82</v>
          </cell>
          <cell r="I21">
            <v>5.0706709199999995</v>
          </cell>
          <cell r="J21">
            <v>25.353354599999999</v>
          </cell>
          <cell r="K21">
            <v>6.7635999999999994</v>
          </cell>
          <cell r="L21">
            <v>33.817999999999998</v>
          </cell>
          <cell r="M21">
            <v>0</v>
          </cell>
          <cell r="N21">
            <v>0</v>
          </cell>
          <cell r="O21">
            <v>11.834270919999998</v>
          </cell>
          <cell r="P21">
            <v>59.171354600000001</v>
          </cell>
          <cell r="Q21">
            <v>40.579570919999995</v>
          </cell>
          <cell r="R21">
            <v>202.89785459999999</v>
          </cell>
          <cell r="S21">
            <v>0</v>
          </cell>
        </row>
        <row r="22">
          <cell r="B22" t="str">
            <v>Water Stop</v>
          </cell>
          <cell r="C22" t="str">
            <v>PVC, W=150mm</v>
          </cell>
          <cell r="D22" t="str">
            <v>m</v>
          </cell>
          <cell r="E22">
            <v>522</v>
          </cell>
          <cell r="F22">
            <v>4.2272499999999997</v>
          </cell>
          <cell r="G22">
            <v>2206.6244999999999</v>
          </cell>
          <cell r="H22">
            <v>383.82</v>
          </cell>
          <cell r="I22">
            <v>2.1136055643678162</v>
          </cell>
          <cell r="J22">
            <v>1103.3021046000001</v>
          </cell>
          <cell r="K22">
            <v>0.76090500000000005</v>
          </cell>
          <cell r="L22">
            <v>397.19241000000005</v>
          </cell>
          <cell r="M22">
            <v>0</v>
          </cell>
          <cell r="N22">
            <v>0</v>
          </cell>
          <cell r="O22">
            <v>2.8745105643678164</v>
          </cell>
          <cell r="P22">
            <v>1500.4945146000002</v>
          </cell>
          <cell r="Q22">
            <v>7.1017605643678161</v>
          </cell>
          <cell r="R22">
            <v>3707.1190145999999</v>
          </cell>
          <cell r="S22">
            <v>0</v>
          </cell>
        </row>
        <row r="23">
          <cell r="B23" t="str">
            <v>Outside Water Proofing (for Pit &amp; Basin)</v>
          </cell>
          <cell r="C23" t="str">
            <v xml:space="preserve">bitu-coating, 2 times, 0.4kg/m2 </v>
          </cell>
          <cell r="D23" t="str">
            <v>m2</v>
          </cell>
          <cell r="E23">
            <v>1215</v>
          </cell>
          <cell r="F23">
            <v>0.84545000000000003</v>
          </cell>
          <cell r="G23">
            <v>1027.2217499999999</v>
          </cell>
          <cell r="H23">
            <v>357.35</v>
          </cell>
          <cell r="I23">
            <v>0.8454444332510288</v>
          </cell>
          <cell r="J23">
            <v>1027.2149864</v>
          </cell>
          <cell r="K23">
            <v>0.33818000000000004</v>
          </cell>
          <cell r="L23">
            <v>410.88870000000003</v>
          </cell>
          <cell r="M23">
            <v>0</v>
          </cell>
          <cell r="N23">
            <v>0</v>
          </cell>
          <cell r="O23">
            <v>1.1836244332510288</v>
          </cell>
          <cell r="P23">
            <v>1438.1036864</v>
          </cell>
          <cell r="Q23">
            <v>2.0290744332510289</v>
          </cell>
          <cell r="R23">
            <v>2465.3254363999999</v>
          </cell>
          <cell r="S23">
            <v>0</v>
          </cell>
        </row>
        <row r="24">
          <cell r="B24" t="str">
            <v>Inside Wall Coating (Water Proofing Only)</v>
          </cell>
          <cell r="C24" t="str">
            <v>Liquid water coating</v>
          </cell>
          <cell r="D24" t="str">
            <v>m2</v>
          </cell>
          <cell r="E24">
            <v>1375</v>
          </cell>
          <cell r="F24">
            <v>4.2272499999999997</v>
          </cell>
          <cell r="G24">
            <v>5812.46875</v>
          </cell>
          <cell r="H24">
            <v>1981.62</v>
          </cell>
          <cell r="I24">
            <v>4.1427099189818186</v>
          </cell>
          <cell r="J24">
            <v>5696.2261386</v>
          </cell>
          <cell r="K24">
            <v>1.6909000000000001</v>
          </cell>
          <cell r="L24">
            <v>2324.9875000000002</v>
          </cell>
          <cell r="M24">
            <v>0</v>
          </cell>
          <cell r="N24">
            <v>0</v>
          </cell>
          <cell r="O24">
            <v>5.8336099189818187</v>
          </cell>
          <cell r="P24">
            <v>8021.2136386000002</v>
          </cell>
          <cell r="Q24">
            <v>10.060859918981819</v>
          </cell>
          <cell r="R24">
            <v>13833.6823886</v>
          </cell>
          <cell r="S24">
            <v>0</v>
          </cell>
        </row>
        <row r="25">
          <cell r="B25" t="str">
            <v>Drain Pipe (for concrete Tank)</v>
          </cell>
          <cell r="C25" t="str">
            <v>HDPE drain pipe (Φ 75x6.9mm)</v>
          </cell>
          <cell r="D25" t="str">
            <v>m</v>
          </cell>
          <cell r="E25">
            <v>1</v>
          </cell>
          <cell r="F25">
            <v>5.0727000000000002</v>
          </cell>
          <cell r="G25">
            <v>5.0727000000000002</v>
          </cell>
          <cell r="H25">
            <v>0.59</v>
          </cell>
          <cell r="I25">
            <v>1.6976636000000001</v>
          </cell>
          <cell r="J25">
            <v>1.6976636000000001</v>
          </cell>
          <cell r="K25">
            <v>5.0727000000000002</v>
          </cell>
          <cell r="L25">
            <v>5.0727000000000002</v>
          </cell>
          <cell r="M25">
            <v>0</v>
          </cell>
          <cell r="N25">
            <v>0</v>
          </cell>
          <cell r="O25">
            <v>6.7703636000000005</v>
          </cell>
          <cell r="P25">
            <v>6.7703636000000005</v>
          </cell>
          <cell r="Q25">
            <v>11.843063600000001</v>
          </cell>
          <cell r="R25">
            <v>11.843063600000001</v>
          </cell>
          <cell r="S25">
            <v>0</v>
          </cell>
        </row>
        <row r="26">
          <cell r="B26" t="str">
            <v>Geotextile membrane</v>
          </cell>
          <cell r="C26" t="str">
            <v>woven/roven type Nicolon No. 66339 or equivalent</v>
          </cell>
          <cell r="D26" t="str">
            <v>m2</v>
          </cell>
          <cell r="E26">
            <v>128</v>
          </cell>
          <cell r="F26">
            <v>3.3818000000000001</v>
          </cell>
          <cell r="G26">
            <v>432.87040000000002</v>
          </cell>
          <cell r="H26">
            <v>75.290000000000006</v>
          </cell>
          <cell r="I26">
            <v>1.6908207390625001</v>
          </cell>
          <cell r="J26">
            <v>216.42505460000001</v>
          </cell>
          <cell r="K26">
            <v>0.84545000000000003</v>
          </cell>
          <cell r="L26">
            <v>108.2176</v>
          </cell>
          <cell r="M26">
            <v>0</v>
          </cell>
          <cell r="N26">
            <v>0</v>
          </cell>
          <cell r="O26">
            <v>2.5362707390625001</v>
          </cell>
          <cell r="P26">
            <v>324.64265460000001</v>
          </cell>
          <cell r="Q26">
            <v>5.9180707390625003</v>
          </cell>
          <cell r="R26">
            <v>757.51305460000003</v>
          </cell>
          <cell r="S26">
            <v>0</v>
          </cell>
        </row>
        <row r="27">
          <cell r="B27" t="str">
            <v>Drain Pipe (for Tank Foundation) 1</v>
          </cell>
          <cell r="C27" t="str">
            <v>HDPE drain pipe (Φ 125mm)</v>
          </cell>
          <cell r="D27" t="str">
            <v>m</v>
          </cell>
          <cell r="E27">
            <v>14</v>
          </cell>
          <cell r="F27">
            <v>10.1454</v>
          </cell>
          <cell r="G27">
            <v>142.03560000000002</v>
          </cell>
          <cell r="H27">
            <v>12.35</v>
          </cell>
          <cell r="I27">
            <v>2.5358668857142854</v>
          </cell>
          <cell r="J27">
            <v>35.502136399999998</v>
          </cell>
          <cell r="K27">
            <v>5.9181499999999998</v>
          </cell>
          <cell r="L27">
            <v>82.854100000000003</v>
          </cell>
          <cell r="M27">
            <v>0</v>
          </cell>
          <cell r="N27">
            <v>0</v>
          </cell>
          <cell r="O27">
            <v>8.4540168857142852</v>
          </cell>
          <cell r="P27">
            <v>118.3562364</v>
          </cell>
          <cell r="Q27">
            <v>18.599416885714284</v>
          </cell>
          <cell r="R27">
            <v>260.39183639999999</v>
          </cell>
          <cell r="S27">
            <v>0</v>
          </cell>
        </row>
        <row r="28">
          <cell r="B28" t="str">
            <v>Drain Pipe (for Tank Foundation) 2</v>
          </cell>
          <cell r="C28" t="str">
            <v>HDPE drain pipe (Φ 25mm)</v>
          </cell>
          <cell r="D28" t="str">
            <v>m</v>
          </cell>
          <cell r="E28">
            <v>14</v>
          </cell>
          <cell r="F28">
            <v>0.42272500000000002</v>
          </cell>
          <cell r="G28">
            <v>5.9181500000000007</v>
          </cell>
          <cell r="H28">
            <v>4.12</v>
          </cell>
          <cell r="I28">
            <v>0.84593311428571416</v>
          </cell>
          <cell r="J28">
            <v>11.843063599999999</v>
          </cell>
          <cell r="K28">
            <v>0.42272500000000007</v>
          </cell>
          <cell r="L28">
            <v>5.9181500000000007</v>
          </cell>
          <cell r="M28">
            <v>0</v>
          </cell>
          <cell r="N28">
            <v>0</v>
          </cell>
          <cell r="O28">
            <v>1.2686581142857143</v>
          </cell>
          <cell r="P28">
            <v>17.761213599999998</v>
          </cell>
          <cell r="Q28">
            <v>1.6913831142857143</v>
          </cell>
          <cell r="R28">
            <v>23.679363599999999</v>
          </cell>
          <cell r="S28">
            <v>0</v>
          </cell>
        </row>
        <row r="29">
          <cell r="B29" t="str">
            <v>Manhole Cover</v>
          </cell>
          <cell r="C29" t="str">
            <v>Cast Iron cover, Φ600mm (unpaved area)</v>
          </cell>
          <cell r="D29" t="str">
            <v>ea</v>
          </cell>
          <cell r="E29">
            <v>12</v>
          </cell>
          <cell r="F29">
            <v>109.40123000000001</v>
          </cell>
          <cell r="G29">
            <v>1312.8147600000002</v>
          </cell>
          <cell r="H29">
            <v>53.65</v>
          </cell>
          <cell r="I29">
            <v>12.85168545</v>
          </cell>
          <cell r="J29">
            <v>154.2202254</v>
          </cell>
          <cell r="K29">
            <v>19.783530000000003</v>
          </cell>
          <cell r="L29">
            <v>237.40236000000002</v>
          </cell>
          <cell r="M29">
            <v>0</v>
          </cell>
          <cell r="N29">
            <v>0</v>
          </cell>
          <cell r="O29">
            <v>32.635215450000004</v>
          </cell>
          <cell r="P29">
            <v>391.62258540000005</v>
          </cell>
          <cell r="Q29">
            <v>142.03644545000003</v>
          </cell>
          <cell r="R29">
            <v>1704.4373454000001</v>
          </cell>
          <cell r="S29">
            <v>0</v>
          </cell>
        </row>
        <row r="30">
          <cell r="B30" t="str">
            <v>Hume Pipe</v>
          </cell>
          <cell r="C30" t="str">
            <v>D=450mm</v>
          </cell>
          <cell r="D30" t="str">
            <v>m</v>
          </cell>
          <cell r="E30">
            <v>1180</v>
          </cell>
          <cell r="F30">
            <v>37.199800000000003</v>
          </cell>
          <cell r="G30">
            <v>43895.764000000003</v>
          </cell>
          <cell r="H30">
            <v>2082.35</v>
          </cell>
          <cell r="I30">
            <v>5.072694268135594</v>
          </cell>
          <cell r="J30">
            <v>5985.7792364000006</v>
          </cell>
          <cell r="K30">
            <v>11.836300000000001</v>
          </cell>
          <cell r="L30">
            <v>13966.834000000001</v>
          </cell>
          <cell r="M30">
            <v>0</v>
          </cell>
          <cell r="N30">
            <v>0</v>
          </cell>
          <cell r="O30">
            <v>16.908994268135594</v>
          </cell>
          <cell r="P30">
            <v>19952.6132364</v>
          </cell>
          <cell r="Q30">
            <v>54.108794268135597</v>
          </cell>
          <cell r="R30">
            <v>63848.377236400003</v>
          </cell>
          <cell r="S30">
            <v>0</v>
          </cell>
        </row>
        <row r="31">
          <cell r="B31" t="str">
            <v>4" diameter vent pipe</v>
          </cell>
          <cell r="C31" t="str">
            <v>steel pipe</v>
          </cell>
          <cell r="D31" t="str">
            <v>m</v>
          </cell>
          <cell r="E31">
            <v>48</v>
          </cell>
          <cell r="F31">
            <v>152.18100000000001</v>
          </cell>
          <cell r="G31">
            <v>7304.6880000000001</v>
          </cell>
          <cell r="H31">
            <v>225.88</v>
          </cell>
          <cell r="I31">
            <v>13.527059091666667</v>
          </cell>
          <cell r="J31">
            <v>649.29883640000003</v>
          </cell>
          <cell r="K31">
            <v>3.3818000000000001</v>
          </cell>
          <cell r="L31">
            <v>162.32640000000001</v>
          </cell>
          <cell r="M31">
            <v>0</v>
          </cell>
          <cell r="N31">
            <v>0</v>
          </cell>
          <cell r="O31">
            <v>16.908859091666667</v>
          </cell>
          <cell r="P31">
            <v>811.62523640000006</v>
          </cell>
          <cell r="Q31">
            <v>169.08985909166668</v>
          </cell>
          <cell r="R31">
            <v>8116.3132364000003</v>
          </cell>
          <cell r="S31">
            <v>0</v>
          </cell>
        </row>
        <row r="32">
          <cell r="B32" t="str">
            <v>Warning Tape</v>
          </cell>
          <cell r="C32" t="str">
            <v>P.V.C</v>
          </cell>
          <cell r="D32" t="str">
            <v>m</v>
          </cell>
          <cell r="E32">
            <v>16632</v>
          </cell>
          <cell r="F32">
            <v>0.16909000000000002</v>
          </cell>
          <cell r="G32">
            <v>2812.3048800000001</v>
          </cell>
          <cell r="H32">
            <v>880.52</v>
          </cell>
          <cell r="I32">
            <v>0.15218140666185667</v>
          </cell>
          <cell r="J32">
            <v>2531.0811556000003</v>
          </cell>
          <cell r="K32">
            <v>1.6909E-2</v>
          </cell>
          <cell r="L32">
            <v>281.23048799999998</v>
          </cell>
          <cell r="M32">
            <v>0</v>
          </cell>
          <cell r="N32">
            <v>0</v>
          </cell>
          <cell r="O32">
            <v>0.16909040666185668</v>
          </cell>
          <cell r="P32">
            <v>2812.3116436000005</v>
          </cell>
          <cell r="Q32">
            <v>0.33818040666185667</v>
          </cell>
          <cell r="R32">
            <v>5624.6165236000006</v>
          </cell>
          <cell r="S32">
            <v>0</v>
          </cell>
        </row>
        <row r="33">
          <cell r="B33" t="str">
            <v>Grating</v>
          </cell>
          <cell r="C33" t="str">
            <v>I-55x7, Galvanized</v>
          </cell>
          <cell r="D33" t="str">
            <v>m2</v>
          </cell>
          <cell r="E33">
            <v>54</v>
          </cell>
          <cell r="F33">
            <v>67.635999999999996</v>
          </cell>
          <cell r="G33">
            <v>3652.3439999999996</v>
          </cell>
          <cell r="H33">
            <v>190.59</v>
          </cell>
          <cell r="I33">
            <v>10.145525251851852</v>
          </cell>
          <cell r="J33">
            <v>547.85836360000008</v>
          </cell>
          <cell r="K33">
            <v>6.7636000000000003</v>
          </cell>
          <cell r="L33">
            <v>365.23439999999999</v>
          </cell>
          <cell r="M33">
            <v>0</v>
          </cell>
          <cell r="N33">
            <v>0</v>
          </cell>
          <cell r="O33">
            <v>16.909125251851854</v>
          </cell>
          <cell r="P33">
            <v>913.09276360000013</v>
          </cell>
          <cell r="Q33">
            <v>84.545125251851857</v>
          </cell>
          <cell r="R33">
            <v>4565.4367635999997</v>
          </cell>
          <cell r="S33">
            <v>0</v>
          </cell>
        </row>
        <row r="34">
          <cell r="B34" t="str">
            <v>Checkered Plate</v>
          </cell>
          <cell r="C34" t="str">
            <v>Thk.=6mm, Galvanized</v>
          </cell>
          <cell r="D34" t="str">
            <v>m2</v>
          </cell>
          <cell r="E34">
            <v>121</v>
          </cell>
          <cell r="F34">
            <v>169.09</v>
          </cell>
          <cell r="G34">
            <v>20459.89</v>
          </cell>
          <cell r="H34">
            <v>498.24</v>
          </cell>
          <cell r="I34">
            <v>11.836411795041323</v>
          </cell>
          <cell r="J34">
            <v>1432.2058272000002</v>
          </cell>
          <cell r="K34">
            <v>5.0727000000000002</v>
          </cell>
          <cell r="L34">
            <v>613.79669999999999</v>
          </cell>
          <cell r="M34">
            <v>0</v>
          </cell>
          <cell r="N34">
            <v>0</v>
          </cell>
          <cell r="O34">
            <v>16.909111795041323</v>
          </cell>
          <cell r="P34">
            <v>2046.0025272000003</v>
          </cell>
          <cell r="Q34">
            <v>185.99911179504133</v>
          </cell>
          <cell r="R34">
            <v>22505.892527199998</v>
          </cell>
          <cell r="S34">
            <v>0</v>
          </cell>
        </row>
        <row r="35">
          <cell r="B35" t="str">
            <v>Step Iron</v>
          </cell>
          <cell r="C35" t="str">
            <v>ASTM A36, Round Bar Φ20x1200L, Hot dip galvanized</v>
          </cell>
          <cell r="D35" t="str">
            <v>ea</v>
          </cell>
          <cell r="E35">
            <v>704</v>
          </cell>
          <cell r="F35">
            <v>6.7636000000000003</v>
          </cell>
          <cell r="G35">
            <v>4761.5744000000004</v>
          </cell>
          <cell r="H35">
            <v>372.71</v>
          </cell>
          <cell r="I35">
            <v>1.521829214772727</v>
          </cell>
          <cell r="J35">
            <v>1071.3677671999999</v>
          </cell>
          <cell r="K35">
            <v>0.16909000000000002</v>
          </cell>
          <cell r="L35">
            <v>119.03936000000002</v>
          </cell>
          <cell r="M35">
            <v>0</v>
          </cell>
          <cell r="N35">
            <v>0</v>
          </cell>
          <cell r="O35">
            <v>1.690919214772727</v>
          </cell>
          <cell r="P35">
            <v>1190.4071271999999</v>
          </cell>
          <cell r="Q35">
            <v>8.4545192147727271</v>
          </cell>
          <cell r="R35">
            <v>5951.9815272000005</v>
          </cell>
          <cell r="S35">
            <v>0</v>
          </cell>
        </row>
        <row r="36">
          <cell r="B36" t="str">
            <v>Misc. Steel</v>
          </cell>
          <cell r="C36" t="str">
            <v>ASTM A36 or equivalent</v>
          </cell>
          <cell r="D36" t="str">
            <v>Ton</v>
          </cell>
          <cell r="E36">
            <v>5</v>
          </cell>
          <cell r="F36">
            <v>1183.6300000000001</v>
          </cell>
          <cell r="G36">
            <v>5918.1500000000005</v>
          </cell>
          <cell r="H36">
            <v>882.35</v>
          </cell>
          <cell r="I36">
            <v>507.2686472800001</v>
          </cell>
          <cell r="J36">
            <v>2536.3432364000005</v>
          </cell>
          <cell r="K36">
            <v>169.09</v>
          </cell>
          <cell r="L36">
            <v>845.45</v>
          </cell>
          <cell r="M36">
            <v>0</v>
          </cell>
          <cell r="N36">
            <v>0</v>
          </cell>
          <cell r="O36">
            <v>676.35864728000013</v>
          </cell>
          <cell r="P36">
            <v>3381.7932364000008</v>
          </cell>
          <cell r="Q36">
            <v>1859.9886472800004</v>
          </cell>
          <cell r="R36">
            <v>9299.9432364000022</v>
          </cell>
          <cell r="S36">
            <v>0</v>
          </cell>
        </row>
        <row r="37">
          <cell r="B37" t="str">
            <v>Anchor Bolt (M24)</v>
          </cell>
          <cell r="C37" t="str">
            <v>ASTM A36 or equivalent (Refer DEP S28.020), Install only</v>
          </cell>
          <cell r="D37" t="str">
            <v>ea</v>
          </cell>
          <cell r="E37">
            <v>38</v>
          </cell>
          <cell r="F37">
            <v>16.063549999999999</v>
          </cell>
          <cell r="G37">
            <v>610.41489999999999</v>
          </cell>
          <cell r="H37">
            <v>33.53</v>
          </cell>
          <cell r="I37">
            <v>2.5364389947368422</v>
          </cell>
          <cell r="J37">
            <v>96.38468180000001</v>
          </cell>
          <cell r="K37">
            <v>0.84544999999999992</v>
          </cell>
          <cell r="L37">
            <v>32.127099999999999</v>
          </cell>
          <cell r="M37">
            <v>0</v>
          </cell>
          <cell r="N37">
            <v>0</v>
          </cell>
          <cell r="O37">
            <v>3.3818889947368422</v>
          </cell>
          <cell r="P37">
            <v>128.51178179999999</v>
          </cell>
          <cell r="Q37">
            <v>19.44543899473684</v>
          </cell>
          <cell r="R37">
            <v>738.92668179999998</v>
          </cell>
          <cell r="S37">
            <v>0</v>
          </cell>
        </row>
        <row r="38">
          <cell r="B38" t="str">
            <v>Anchor Bolt (M36)</v>
          </cell>
          <cell r="C38" t="str">
            <v>ASTM A36 or equivalent (Refer DEP S28.020), Install only</v>
          </cell>
          <cell r="D38" t="str">
            <v>ea</v>
          </cell>
          <cell r="E38">
            <v>1238</v>
          </cell>
          <cell r="F38">
            <v>30.436199999999999</v>
          </cell>
          <cell r="G38">
            <v>37680.015599999999</v>
          </cell>
          <cell r="H38">
            <v>1820.59</v>
          </cell>
          <cell r="I38">
            <v>4.2272554633279489</v>
          </cell>
          <cell r="J38">
            <v>5233.3422636000005</v>
          </cell>
          <cell r="K38">
            <v>1.6909000000000003</v>
          </cell>
          <cell r="L38">
            <v>2093.3342000000002</v>
          </cell>
          <cell r="M38">
            <v>0</v>
          </cell>
          <cell r="N38">
            <v>0</v>
          </cell>
          <cell r="O38">
            <v>5.918155463327949</v>
          </cell>
          <cell r="P38">
            <v>7326.6764636000007</v>
          </cell>
          <cell r="Q38">
            <v>36.354355463327948</v>
          </cell>
          <cell r="R38">
            <v>45006.6920636</v>
          </cell>
          <cell r="S38">
            <v>0</v>
          </cell>
        </row>
        <row r="39">
          <cell r="B39" t="str">
            <v>Anchor Bolt (M42)</v>
          </cell>
          <cell r="C39" t="str">
            <v>ASTM A36 or equivalent (Refer DEP S28.020), Install only</v>
          </cell>
          <cell r="D39" t="str">
            <v>ea</v>
          </cell>
          <cell r="E39">
            <v>461</v>
          </cell>
          <cell r="F39">
            <v>41.849775000000001</v>
          </cell>
          <cell r="G39">
            <v>19292.746275000001</v>
          </cell>
          <cell r="H39">
            <v>813.53</v>
          </cell>
          <cell r="I39">
            <v>5.0727073357917565</v>
          </cell>
          <cell r="J39">
            <v>2338.5180817999999</v>
          </cell>
          <cell r="K39">
            <v>2.5363500000000001</v>
          </cell>
          <cell r="L39">
            <v>1169.2573500000001</v>
          </cell>
          <cell r="M39">
            <v>0</v>
          </cell>
          <cell r="N39">
            <v>0</v>
          </cell>
          <cell r="O39">
            <v>7.609057335791757</v>
          </cell>
          <cell r="P39">
            <v>3507.7754317999998</v>
          </cell>
          <cell r="Q39">
            <v>49.458832335791755</v>
          </cell>
          <cell r="R39">
            <v>22800.521706800002</v>
          </cell>
          <cell r="S39">
            <v>0</v>
          </cell>
        </row>
        <row r="40">
          <cell r="B40" t="str">
            <v>uPVC Pipe (for Cable Duct, Electric or Instrument)</v>
          </cell>
          <cell r="C40" t="str">
            <v>D=150mm, PVC Pipe</v>
          </cell>
          <cell r="D40" t="str">
            <v>m</v>
          </cell>
          <cell r="E40">
            <v>2573</v>
          </cell>
          <cell r="F40">
            <v>13.527200000000001</v>
          </cell>
          <cell r="G40">
            <v>34805.4856</v>
          </cell>
          <cell r="H40">
            <v>7567.65</v>
          </cell>
          <cell r="I40">
            <v>8.4545039430237079</v>
          </cell>
          <cell r="J40">
            <v>21753.438645400001</v>
          </cell>
          <cell r="K40">
            <v>8.0317749999999997</v>
          </cell>
          <cell r="L40">
            <v>20665.757075000001</v>
          </cell>
          <cell r="M40">
            <v>0</v>
          </cell>
          <cell r="N40">
            <v>0</v>
          </cell>
          <cell r="O40">
            <v>16.486278943023706</v>
          </cell>
          <cell r="P40">
            <v>42419.195720400006</v>
          </cell>
          <cell r="Q40">
            <v>30.013478943023706</v>
          </cell>
          <cell r="R40">
            <v>77224.681320400006</v>
          </cell>
          <cell r="S40">
            <v>0</v>
          </cell>
        </row>
        <row r="41">
          <cell r="B41" t="str">
            <v>Electric Con'c Trench Cover (Red Coloring on the Top Surface)</v>
          </cell>
          <cell r="C41" t="str">
            <v>Thk.=50mm, grade C-30 (for Light duty paved area)</v>
          </cell>
          <cell r="D41" t="str">
            <v>m3</v>
          </cell>
          <cell r="E41">
            <v>506</v>
          </cell>
          <cell r="F41">
            <v>84.545000000000002</v>
          </cell>
          <cell r="G41">
            <v>42779.770000000004</v>
          </cell>
          <cell r="H41">
            <v>1785.88</v>
          </cell>
          <cell r="I41">
            <v>10.145386633201582</v>
          </cell>
          <cell r="J41">
            <v>5133.5656364000006</v>
          </cell>
          <cell r="K41">
            <v>20.290800000000001</v>
          </cell>
          <cell r="L41">
            <v>10267.1448</v>
          </cell>
          <cell r="M41">
            <v>0</v>
          </cell>
          <cell r="N41">
            <v>0</v>
          </cell>
          <cell r="O41">
            <v>30.436186633201583</v>
          </cell>
          <cell r="P41">
            <v>15400.710436400001</v>
          </cell>
          <cell r="Q41">
            <v>114.98118663320159</v>
          </cell>
          <cell r="R41">
            <v>58180.480436400001</v>
          </cell>
          <cell r="S41">
            <v>0</v>
          </cell>
        </row>
        <row r="42">
          <cell r="B42" t="str">
            <v>Protection Concrete</v>
          </cell>
          <cell r="C42" t="str">
            <v>300x300x60 Concrete</v>
          </cell>
          <cell r="D42" t="str">
            <v>m2</v>
          </cell>
          <cell r="E42">
            <v>12270</v>
          </cell>
          <cell r="F42">
            <v>9.6381300000000003</v>
          </cell>
          <cell r="G42">
            <v>118259.8551</v>
          </cell>
          <cell r="H42">
            <v>10826.47</v>
          </cell>
          <cell r="I42">
            <v>2.5363500000000001</v>
          </cell>
          <cell r="J42">
            <v>31121.014500000001</v>
          </cell>
          <cell r="K42">
            <v>0.84545000000000003</v>
          </cell>
          <cell r="L42">
            <v>10373.6715</v>
          </cell>
          <cell r="M42">
            <v>0</v>
          </cell>
          <cell r="N42">
            <v>0</v>
          </cell>
          <cell r="O42">
            <v>3.3818000000000001</v>
          </cell>
          <cell r="P42">
            <v>41494.686000000002</v>
          </cell>
          <cell r="Q42">
            <v>13.01993</v>
          </cell>
          <cell r="R42">
            <v>159754.5411</v>
          </cell>
          <cell r="S42">
            <v>0</v>
          </cell>
        </row>
        <row r="43">
          <cell r="B43" t="str">
            <v>Protection Barrier</v>
          </cell>
          <cell r="C43" t="str">
            <v>Heigth 700mm, 4" Line pipe schedule 80.
DEP 80.47.10.31-GEN. (including foundation)</v>
          </cell>
          <cell r="D43" t="str">
            <v>ea</v>
          </cell>
          <cell r="E43">
            <v>110</v>
          </cell>
          <cell r="F43">
            <v>71.017800000000008</v>
          </cell>
          <cell r="G43">
            <v>7811.9580000000005</v>
          </cell>
          <cell r="H43">
            <v>647.05999999999995</v>
          </cell>
          <cell r="I43">
            <v>16.909030743636364</v>
          </cell>
          <cell r="J43">
            <v>1859.9933818</v>
          </cell>
          <cell r="K43">
            <v>6.7635999999999994</v>
          </cell>
          <cell r="L43">
            <v>743.99599999999998</v>
          </cell>
          <cell r="M43">
            <v>0</v>
          </cell>
          <cell r="N43">
            <v>0</v>
          </cell>
          <cell r="O43">
            <v>23.672630743636365</v>
          </cell>
          <cell r="P43">
            <v>2603.9893818</v>
          </cell>
          <cell r="Q43">
            <v>94.690430743636369</v>
          </cell>
          <cell r="R43">
            <v>10415.947381800001</v>
          </cell>
          <cell r="S43">
            <v>0</v>
          </cell>
        </row>
        <row r="44">
          <cell r="B44" t="str">
            <v xml:space="preserve">HDPE membrane </v>
          </cell>
          <cell r="C44" t="str">
            <v>Thk.=2mm, shall be made with a 150mm overlap</v>
          </cell>
          <cell r="D44" t="str">
            <v>m2</v>
          </cell>
          <cell r="E44">
            <v>128</v>
          </cell>
          <cell r="F44">
            <v>3.3818000000000001</v>
          </cell>
          <cell r="G44">
            <v>432.87040000000002</v>
          </cell>
          <cell r="H44">
            <v>37.65</v>
          </cell>
          <cell r="I44">
            <v>0.84552926093750003</v>
          </cell>
          <cell r="J44">
            <v>108.2277454</v>
          </cell>
          <cell r="K44">
            <v>0.33818000000000004</v>
          </cell>
          <cell r="L44">
            <v>43.287040000000005</v>
          </cell>
          <cell r="M44">
            <v>0</v>
          </cell>
          <cell r="N44">
            <v>0</v>
          </cell>
          <cell r="O44">
            <v>1.1837092609375</v>
          </cell>
          <cell r="P44">
            <v>151.51478539999999</v>
          </cell>
          <cell r="Q44">
            <v>4.5655092609374996</v>
          </cell>
          <cell r="R44">
            <v>584.38518539999995</v>
          </cell>
          <cell r="S44">
            <v>0</v>
          </cell>
        </row>
        <row r="45">
          <cell r="B45" t="str">
            <v>Wearing Course (Asphalt Road)</v>
          </cell>
          <cell r="C45" t="str">
            <v>Thk.=50mm</v>
          </cell>
          <cell r="D45" t="str">
            <v>m3</v>
          </cell>
          <cell r="E45">
            <v>950</v>
          </cell>
          <cell r="F45">
            <v>54.954250000000002</v>
          </cell>
          <cell r="G45">
            <v>52206.537499999999</v>
          </cell>
          <cell r="H45">
            <v>1955.88</v>
          </cell>
          <cell r="I45">
            <v>5.918142880421053</v>
          </cell>
          <cell r="J45">
            <v>5622.2357364</v>
          </cell>
          <cell r="K45">
            <v>21.13625</v>
          </cell>
          <cell r="L45">
            <v>20079.4375</v>
          </cell>
          <cell r="M45">
            <v>0</v>
          </cell>
          <cell r="N45">
            <v>0</v>
          </cell>
          <cell r="O45">
            <v>27.054392880421055</v>
          </cell>
          <cell r="P45">
            <v>25701.673236399998</v>
          </cell>
          <cell r="Q45">
            <v>82.008642880421064</v>
          </cell>
          <cell r="R45">
            <v>77908.210736399997</v>
          </cell>
          <cell r="S45">
            <v>0</v>
          </cell>
        </row>
        <row r="46">
          <cell r="B46" t="str">
            <v>Prime Coat</v>
          </cell>
          <cell r="D46" t="str">
            <v>m2</v>
          </cell>
          <cell r="E46">
            <v>19200</v>
          </cell>
          <cell r="F46">
            <v>0.16909000000000002</v>
          </cell>
          <cell r="G46">
            <v>3246.5280000000002</v>
          </cell>
          <cell r="H46">
            <v>293.64999999999998</v>
          </cell>
          <cell r="I46">
            <v>4.3963928406249998E-2</v>
          </cell>
          <cell r="J46">
            <v>844.10742540000001</v>
          </cell>
          <cell r="K46">
            <v>0.1251266</v>
          </cell>
          <cell r="L46">
            <v>2402.4307199999998</v>
          </cell>
          <cell r="M46">
            <v>0</v>
          </cell>
          <cell r="N46">
            <v>0</v>
          </cell>
          <cell r="O46">
            <v>0.16909052840625</v>
          </cell>
          <cell r="P46">
            <v>3246.5381453999998</v>
          </cell>
          <cell r="Q46">
            <v>0.33818052840625001</v>
          </cell>
          <cell r="R46">
            <v>6493.0661454000001</v>
          </cell>
          <cell r="S46">
            <v>0</v>
          </cell>
        </row>
        <row r="47">
          <cell r="B47" t="str">
            <v>Base Course (Asphalt Road)</v>
          </cell>
          <cell r="C47" t="str">
            <v>Thk.=250mm</v>
          </cell>
          <cell r="D47" t="str">
            <v>m3</v>
          </cell>
          <cell r="E47">
            <v>4800</v>
          </cell>
          <cell r="F47">
            <v>54.108800000000002</v>
          </cell>
          <cell r="G47">
            <v>259722.24000000002</v>
          </cell>
          <cell r="H47">
            <v>9882.35</v>
          </cell>
          <cell r="I47">
            <v>5.9181485909166671</v>
          </cell>
          <cell r="J47">
            <v>28407.1132364</v>
          </cell>
          <cell r="K47">
            <v>20.290800000000001</v>
          </cell>
          <cell r="L47">
            <v>97395.840000000011</v>
          </cell>
          <cell r="M47">
            <v>0</v>
          </cell>
          <cell r="N47">
            <v>0</v>
          </cell>
          <cell r="O47">
            <v>26.20894859091667</v>
          </cell>
          <cell r="P47">
            <v>125802.9532364</v>
          </cell>
          <cell r="Q47">
            <v>80.317748590916665</v>
          </cell>
          <cell r="R47">
            <v>385525.19323640002</v>
          </cell>
          <cell r="S47">
            <v>0</v>
          </cell>
        </row>
        <row r="48">
          <cell r="B48" t="str">
            <v>Sub-Base Course (Asphalt Road)</v>
          </cell>
          <cell r="C48" t="str">
            <v>Thk.=250mm</v>
          </cell>
          <cell r="D48" t="str">
            <v>m3</v>
          </cell>
          <cell r="E48">
            <v>4853</v>
          </cell>
          <cell r="F48">
            <v>51.572450000000003</v>
          </cell>
          <cell r="G48">
            <v>250281.09985000003</v>
          </cell>
          <cell r="H48">
            <v>9991.4699999999993</v>
          </cell>
          <cell r="I48">
            <v>5.9181499999999998</v>
          </cell>
          <cell r="J48">
            <v>28720.781950000001</v>
          </cell>
          <cell r="K48">
            <v>20.290800000000001</v>
          </cell>
          <cell r="L48">
            <v>98471.252399999998</v>
          </cell>
          <cell r="M48">
            <v>0</v>
          </cell>
          <cell r="N48">
            <v>0</v>
          </cell>
          <cell r="O48">
            <v>26.208950000000002</v>
          </cell>
          <cell r="P48">
            <v>127192.03435</v>
          </cell>
          <cell r="Q48">
            <v>77.781400000000005</v>
          </cell>
          <cell r="R48">
            <v>377473.13420000003</v>
          </cell>
          <cell r="S48">
            <v>0</v>
          </cell>
        </row>
        <row r="49">
          <cell r="B49" t="str">
            <v>Shoulder (Gravel)</v>
          </cell>
          <cell r="C49" t="str">
            <v>Thk.=50mm</v>
          </cell>
          <cell r="D49" t="str">
            <v>m2</v>
          </cell>
          <cell r="E49">
            <v>4682</v>
          </cell>
          <cell r="F49">
            <v>1.437265</v>
          </cell>
          <cell r="G49">
            <v>6729.2747300000001</v>
          </cell>
          <cell r="H49">
            <v>275.41000000000003</v>
          </cell>
          <cell r="I49">
            <v>0.16908927770183682</v>
          </cell>
          <cell r="J49">
            <v>791.67599819999998</v>
          </cell>
          <cell r="K49">
            <v>0.50727</v>
          </cell>
          <cell r="L49">
            <v>2375.0381400000001</v>
          </cell>
          <cell r="M49">
            <v>0</v>
          </cell>
          <cell r="N49">
            <v>0</v>
          </cell>
          <cell r="O49">
            <v>0.67635927770183679</v>
          </cell>
          <cell r="P49">
            <v>3166.7141382</v>
          </cell>
          <cell r="Q49">
            <v>2.1136242777018368</v>
          </cell>
          <cell r="R49">
            <v>9895.9888682000001</v>
          </cell>
          <cell r="S49">
            <v>0</v>
          </cell>
        </row>
        <row r="50">
          <cell r="B50" t="str">
            <v>Traffic Aids</v>
          </cell>
          <cell r="C50">
            <v>0</v>
          </cell>
          <cell r="D50" t="str">
            <v>No</v>
          </cell>
          <cell r="E50">
            <v>84</v>
          </cell>
          <cell r="F50">
            <v>118.363</v>
          </cell>
          <cell r="G50">
            <v>9942.4920000000002</v>
          </cell>
          <cell r="H50">
            <v>988.24</v>
          </cell>
          <cell r="I50">
            <v>33.818161038095241</v>
          </cell>
          <cell r="J50">
            <v>2840.7255272000002</v>
          </cell>
          <cell r="K50">
            <v>16.908999999999999</v>
          </cell>
          <cell r="L50">
            <v>1420.356</v>
          </cell>
          <cell r="M50">
            <v>0</v>
          </cell>
          <cell r="N50">
            <v>0</v>
          </cell>
          <cell r="O50">
            <v>50.72716103809524</v>
          </cell>
          <cell r="P50">
            <v>4261.0815272</v>
          </cell>
          <cell r="Q50">
            <v>169.09016103809523</v>
          </cell>
          <cell r="R50">
            <v>14203.5735272</v>
          </cell>
          <cell r="S50">
            <v>0</v>
          </cell>
        </row>
        <row r="51">
          <cell r="B51" t="str">
            <v>Line Marking</v>
          </cell>
          <cell r="C51">
            <v>0</v>
          </cell>
          <cell r="D51" t="str">
            <v>m</v>
          </cell>
          <cell r="E51">
            <v>2352</v>
          </cell>
          <cell r="F51">
            <v>1.7585360000000001</v>
          </cell>
          <cell r="G51">
            <v>4136.0766720000001</v>
          </cell>
          <cell r="H51">
            <v>166.02</v>
          </cell>
          <cell r="I51">
            <v>0.20290368647959184</v>
          </cell>
          <cell r="J51">
            <v>477.22947060000001</v>
          </cell>
          <cell r="K51">
            <v>0.57490600000000003</v>
          </cell>
          <cell r="L51">
            <v>1352.1789120000001</v>
          </cell>
          <cell r="M51">
            <v>0</v>
          </cell>
          <cell r="N51">
            <v>0</v>
          </cell>
          <cell r="O51">
            <v>0.77780968647959181</v>
          </cell>
          <cell r="P51">
            <v>1829.4083826000001</v>
          </cell>
          <cell r="Q51">
            <v>2.5363456864795921</v>
          </cell>
          <cell r="R51">
            <v>5965.4850545999998</v>
          </cell>
          <cell r="S51">
            <v>0</v>
          </cell>
        </row>
        <row r="52">
          <cell r="B52" t="str">
            <v>Crash Barrier</v>
          </cell>
          <cell r="C52" t="str">
            <v>Heigth 700mm, 4" Line pipe schedule 80.
DEP 80.47.10.31-GEN. (including foundation)</v>
          </cell>
          <cell r="D52" t="str">
            <v>m</v>
          </cell>
          <cell r="E52">
            <v>2694</v>
          </cell>
          <cell r="F52">
            <v>71.017800000000008</v>
          </cell>
          <cell r="G52">
            <v>191321.95320000002</v>
          </cell>
          <cell r="H52">
            <v>17114.82</v>
          </cell>
          <cell r="I52">
            <v>18.261716234075724</v>
          </cell>
          <cell r="J52">
            <v>49197.063534599998</v>
          </cell>
          <cell r="K52">
            <v>12.174480000000001</v>
          </cell>
          <cell r="L52">
            <v>32798.049120000003</v>
          </cell>
          <cell r="M52">
            <v>0</v>
          </cell>
          <cell r="N52">
            <v>0</v>
          </cell>
          <cell r="O52">
            <v>30.436196234075723</v>
          </cell>
          <cell r="P52">
            <v>81995.112654600001</v>
          </cell>
          <cell r="Q52">
            <v>101.45399623407573</v>
          </cell>
          <cell r="R52">
            <v>273317.06585460005</v>
          </cell>
          <cell r="S52">
            <v>0</v>
          </cell>
        </row>
        <row r="53">
          <cell r="B53" t="str">
            <v>Concrete Paving (for Light Duty)</v>
          </cell>
          <cell r="C53" t="str">
            <v>Thk.=100mm, grade C-30</v>
          </cell>
          <cell r="D53" t="str">
            <v>m3</v>
          </cell>
          <cell r="E53">
            <v>1280</v>
          </cell>
          <cell r="F53">
            <v>74.399600000000007</v>
          </cell>
          <cell r="G53">
            <v>95231.488000000012</v>
          </cell>
          <cell r="H53">
            <v>3764.71</v>
          </cell>
          <cell r="I53">
            <v>8.4545105681250003</v>
          </cell>
          <cell r="J53">
            <v>10821.773527200001</v>
          </cell>
          <cell r="K53">
            <v>18.599899999999998</v>
          </cell>
          <cell r="L53">
            <v>23807.871999999999</v>
          </cell>
          <cell r="M53">
            <v>0</v>
          </cell>
          <cell r="N53">
            <v>0</v>
          </cell>
          <cell r="O53">
            <v>27.054410568125</v>
          </cell>
          <cell r="P53">
            <v>34629.645527200002</v>
          </cell>
          <cell r="Q53">
            <v>101.454010568125</v>
          </cell>
          <cell r="R53">
            <v>129861.13352720001</v>
          </cell>
          <cell r="S53">
            <v>0</v>
          </cell>
        </row>
        <row r="54">
          <cell r="B54" t="str">
            <v>Concrete Paving (for Heavy Duty)</v>
          </cell>
          <cell r="C54" t="str">
            <v>Thk.=150mm, grade C-30</v>
          </cell>
          <cell r="D54" t="str">
            <v>m3</v>
          </cell>
          <cell r="E54">
            <v>246</v>
          </cell>
          <cell r="F54">
            <v>77.781400000000005</v>
          </cell>
          <cell r="G54">
            <v>19134.224400000003</v>
          </cell>
          <cell r="H54">
            <v>810.35</v>
          </cell>
          <cell r="I54">
            <v>9.4690125056910563</v>
          </cell>
          <cell r="J54">
            <v>2329.3770764000001</v>
          </cell>
          <cell r="K54">
            <v>18.938079999999999</v>
          </cell>
          <cell r="L54">
            <v>4658.7676799999999</v>
          </cell>
          <cell r="M54">
            <v>0</v>
          </cell>
          <cell r="N54">
            <v>0</v>
          </cell>
          <cell r="O54">
            <v>28.407092505691054</v>
          </cell>
          <cell r="P54">
            <v>6988.1447564</v>
          </cell>
          <cell r="Q54">
            <v>106.18849250569106</v>
          </cell>
          <cell r="R54">
            <v>26122.369156400004</v>
          </cell>
          <cell r="S54">
            <v>0</v>
          </cell>
        </row>
        <row r="55">
          <cell r="B55" t="str">
            <v>Kerb</v>
          </cell>
          <cell r="C55" t="str">
            <v>100mm Thick, 150mm heigth lean concrete, grade
C-15</v>
          </cell>
          <cell r="D55" t="str">
            <v>m</v>
          </cell>
          <cell r="E55">
            <v>53</v>
          </cell>
          <cell r="F55">
            <v>8.877225000000001</v>
          </cell>
          <cell r="G55">
            <v>470.49292500000007</v>
          </cell>
          <cell r="H55">
            <v>46.76</v>
          </cell>
          <cell r="I55">
            <v>2.5360947698113212</v>
          </cell>
          <cell r="J55">
            <v>134.41302280000002</v>
          </cell>
          <cell r="K55">
            <v>1.2681749999999998</v>
          </cell>
          <cell r="L55">
            <v>67.213274999999996</v>
          </cell>
          <cell r="M55">
            <v>0</v>
          </cell>
          <cell r="N55">
            <v>0</v>
          </cell>
          <cell r="O55">
            <v>3.804269769811321</v>
          </cell>
          <cell r="P55">
            <v>201.62629780000003</v>
          </cell>
          <cell r="Q55">
            <v>12.681494769811323</v>
          </cell>
          <cell r="R55">
            <v>672.1192228000001</v>
          </cell>
          <cell r="S55">
            <v>0</v>
          </cell>
        </row>
        <row r="56">
          <cell r="B56" t="str">
            <v>Expansion Joint (for Con'c Paving Light Duty)</v>
          </cell>
          <cell r="C56" t="str">
            <v>L=20m, 25 deep x 20 wide Hydrocarbon resistant joint sealant</v>
          </cell>
          <cell r="D56" t="str">
            <v>m</v>
          </cell>
          <cell r="E56">
            <v>6212</v>
          </cell>
          <cell r="F56">
            <v>5.0727000000000002</v>
          </cell>
          <cell r="G56">
            <v>31511.612400000002</v>
          </cell>
          <cell r="H56">
            <v>5481.18</v>
          </cell>
          <cell r="I56">
            <v>2.5363516331938185</v>
          </cell>
          <cell r="J56">
            <v>15755.816345400001</v>
          </cell>
          <cell r="K56">
            <v>0.84545000000000003</v>
          </cell>
          <cell r="L56">
            <v>5251.9354000000003</v>
          </cell>
          <cell r="M56">
            <v>0</v>
          </cell>
          <cell r="N56">
            <v>0</v>
          </cell>
          <cell r="O56">
            <v>3.3818016331938185</v>
          </cell>
          <cell r="P56">
            <v>21007.751745400001</v>
          </cell>
          <cell r="Q56">
            <v>8.4545016331938179</v>
          </cell>
          <cell r="R56">
            <v>52519.364145400003</v>
          </cell>
          <cell r="S56">
            <v>0</v>
          </cell>
        </row>
        <row r="57">
          <cell r="B57" t="str">
            <v>Contraction Joint (for Con'c Paving Light Duty)</v>
          </cell>
          <cell r="C57" t="str">
            <v>L=5m, 20mm deep groove to be cut after casting and filled with Hydrocarbon resistant joint sealant</v>
          </cell>
          <cell r="D57" t="str">
            <v>m</v>
          </cell>
          <cell r="E57">
            <v>18637</v>
          </cell>
          <cell r="F57">
            <v>3.3818000000000001</v>
          </cell>
          <cell r="G57">
            <v>63026.606599999999</v>
          </cell>
          <cell r="H57">
            <v>6577.76</v>
          </cell>
          <cell r="I57">
            <v>1.0145392741750281</v>
          </cell>
          <cell r="J57">
            <v>18907.9684528</v>
          </cell>
          <cell r="K57">
            <v>0.67636000000000007</v>
          </cell>
          <cell r="L57">
            <v>12605.321320000001</v>
          </cell>
          <cell r="M57">
            <v>0</v>
          </cell>
          <cell r="N57">
            <v>0</v>
          </cell>
          <cell r="O57">
            <v>1.6908992741750282</v>
          </cell>
          <cell r="P57">
            <v>31513.289772800003</v>
          </cell>
          <cell r="Q57">
            <v>5.0726992741750285</v>
          </cell>
          <cell r="R57">
            <v>94539.896372799994</v>
          </cell>
          <cell r="S57">
            <v>0</v>
          </cell>
        </row>
        <row r="58">
          <cell r="B58" t="str">
            <v>Expansion Joint (for Con'c Paving Heavy Duty)</v>
          </cell>
          <cell r="C58" t="str">
            <v>L=20m, 25 deep x 20 wide Oil resistant joint sealant</v>
          </cell>
          <cell r="D58" t="str">
            <v>m</v>
          </cell>
          <cell r="E58">
            <v>86</v>
          </cell>
          <cell r="F58">
            <v>5.0727000000000002</v>
          </cell>
          <cell r="G58">
            <v>436.25220000000002</v>
          </cell>
          <cell r="H58">
            <v>75.88</v>
          </cell>
          <cell r="I58">
            <v>2.5362713534883725</v>
          </cell>
          <cell r="J58">
            <v>218.11933640000004</v>
          </cell>
          <cell r="K58">
            <v>0.84545000000000003</v>
          </cell>
          <cell r="L58">
            <v>72.708700000000007</v>
          </cell>
          <cell r="M58">
            <v>0</v>
          </cell>
          <cell r="N58">
            <v>0</v>
          </cell>
          <cell r="O58">
            <v>3.3817213534883726</v>
          </cell>
          <cell r="P58">
            <v>290.82803640000003</v>
          </cell>
          <cell r="Q58">
            <v>8.4544213534883728</v>
          </cell>
          <cell r="R58">
            <v>727.0802364000001</v>
          </cell>
          <cell r="S58">
            <v>0</v>
          </cell>
        </row>
        <row r="59">
          <cell r="B59" t="str">
            <v>Contraction Joint (for Con'c Paving Heavy Duty)</v>
          </cell>
          <cell r="C59" t="str">
            <v>L=5m, 20mm deep groove to be cut after casting and filled with Hydrocarbon resistant joint sealant</v>
          </cell>
          <cell r="D59" t="str">
            <v>m</v>
          </cell>
          <cell r="E59">
            <v>679</v>
          </cell>
          <cell r="F59">
            <v>3.3818000000000001</v>
          </cell>
          <cell r="G59">
            <v>2296.2422000000001</v>
          </cell>
          <cell r="H59">
            <v>239.65</v>
          </cell>
          <cell r="I59">
            <v>1.0145549416789397</v>
          </cell>
          <cell r="J59">
            <v>688.88280540000005</v>
          </cell>
          <cell r="K59">
            <v>0.67636000000000007</v>
          </cell>
          <cell r="L59">
            <v>459.24844000000007</v>
          </cell>
          <cell r="M59">
            <v>0</v>
          </cell>
          <cell r="N59">
            <v>0</v>
          </cell>
          <cell r="O59">
            <v>1.6909149416789397</v>
          </cell>
          <cell r="P59">
            <v>1148.1312454000001</v>
          </cell>
          <cell r="Q59">
            <v>5.0727149416789397</v>
          </cell>
          <cell r="R59">
            <v>3444.3734454000005</v>
          </cell>
          <cell r="S59">
            <v>0</v>
          </cell>
        </row>
        <row r="60">
          <cell r="B60" t="str">
            <v>Wire Fabric. (for Light Duty Con'c paving)</v>
          </cell>
          <cell r="C60" t="str">
            <v xml:space="preserve">φ7-200x200, Cold-drawn finish, ASTM A185 </v>
          </cell>
          <cell r="D60" t="str">
            <v>m2</v>
          </cell>
          <cell r="E60">
            <v>21271</v>
          </cell>
          <cell r="F60">
            <v>1.6909000000000001</v>
          </cell>
          <cell r="G60">
            <v>35967.133900000001</v>
          </cell>
          <cell r="H60">
            <v>1501.48</v>
          </cell>
          <cell r="I60">
            <v>0.20290768202717316</v>
          </cell>
          <cell r="J60">
            <v>4316.0493044000004</v>
          </cell>
          <cell r="K60">
            <v>0.13527200000000003</v>
          </cell>
          <cell r="L60">
            <v>2877.3707120000004</v>
          </cell>
          <cell r="M60">
            <v>0</v>
          </cell>
          <cell r="N60">
            <v>0</v>
          </cell>
          <cell r="O60">
            <v>0.33817968202717319</v>
          </cell>
          <cell r="P60">
            <v>7193.4200164000013</v>
          </cell>
          <cell r="Q60">
            <v>2.0290796820271733</v>
          </cell>
          <cell r="R60">
            <v>43160.5539164</v>
          </cell>
          <cell r="S60">
            <v>0</v>
          </cell>
        </row>
        <row r="61">
          <cell r="B61" t="str">
            <v>Wire Fabric. (for Heavy Duty Con'c paving)</v>
          </cell>
          <cell r="C61" t="str">
            <v>φ7-200x200-double line, Cold-drawn finish</v>
          </cell>
          <cell r="D61" t="str">
            <v>m2</v>
          </cell>
          <cell r="E61">
            <v>3283</v>
          </cell>
          <cell r="F61">
            <v>3.3818000000000001</v>
          </cell>
          <cell r="G61">
            <v>11102.449400000001</v>
          </cell>
          <cell r="H61">
            <v>386.24</v>
          </cell>
          <cell r="I61">
            <v>0.33818412037770335</v>
          </cell>
          <cell r="J61">
            <v>1110.2584672</v>
          </cell>
          <cell r="K61">
            <v>0.33818000000000004</v>
          </cell>
          <cell r="L61">
            <v>1110.24494</v>
          </cell>
          <cell r="M61">
            <v>0</v>
          </cell>
          <cell r="N61">
            <v>0</v>
          </cell>
          <cell r="O61">
            <v>0.67636412037770333</v>
          </cell>
          <cell r="P61">
            <v>2220.5034071999999</v>
          </cell>
          <cell r="Q61">
            <v>4.0581641203777039</v>
          </cell>
          <cell r="R61">
            <v>13322.952807200001</v>
          </cell>
          <cell r="S61">
            <v>0</v>
          </cell>
        </row>
        <row r="62">
          <cell r="B62" t="str">
            <v>Joint Filler &amp; Sealant (for concrete paving Light Duty)</v>
          </cell>
          <cell r="C62" t="str">
            <v>20 thick flexible jointing material 25 deep x 20 wide Hydrocarbon resistant joint sealant in top.</v>
          </cell>
          <cell r="D62" t="str">
            <v>m</v>
          </cell>
          <cell r="E62">
            <v>6872</v>
          </cell>
          <cell r="F62">
            <v>5.0727000000000002</v>
          </cell>
          <cell r="G62">
            <v>34859.594400000002</v>
          </cell>
          <cell r="H62">
            <v>3233.88</v>
          </cell>
          <cell r="I62">
            <v>1.352719015774156</v>
          </cell>
          <cell r="J62">
            <v>9295.8850763999999</v>
          </cell>
          <cell r="K62">
            <v>0.84545000000000003</v>
          </cell>
          <cell r="L62">
            <v>5809.9324000000006</v>
          </cell>
          <cell r="M62">
            <v>0</v>
          </cell>
          <cell r="N62">
            <v>0</v>
          </cell>
          <cell r="O62">
            <v>2.1981690157741562</v>
          </cell>
          <cell r="P62">
            <v>15105.8174764</v>
          </cell>
          <cell r="Q62">
            <v>7.2708690157741565</v>
          </cell>
          <cell r="R62">
            <v>49965.411876400001</v>
          </cell>
          <cell r="S62">
            <v>0</v>
          </cell>
        </row>
        <row r="63">
          <cell r="B63" t="str">
            <v>Gravel paving</v>
          </cell>
          <cell r="C63" t="str">
            <v>Thk.=100mm</v>
          </cell>
          <cell r="D63" t="str">
            <v>m2</v>
          </cell>
          <cell r="E63">
            <v>13499</v>
          </cell>
          <cell r="F63">
            <v>2.7054400000000003</v>
          </cell>
          <cell r="G63">
            <v>36520.734560000004</v>
          </cell>
          <cell r="H63">
            <v>2382.1799999999998</v>
          </cell>
          <cell r="I63">
            <v>0.50727075156678281</v>
          </cell>
          <cell r="J63">
            <v>6847.6478754000009</v>
          </cell>
          <cell r="K63">
            <v>0.84545000000000003</v>
          </cell>
          <cell r="L63">
            <v>11412.72955</v>
          </cell>
          <cell r="M63">
            <v>0</v>
          </cell>
          <cell r="N63">
            <v>0</v>
          </cell>
          <cell r="O63">
            <v>1.3527207515667827</v>
          </cell>
          <cell r="P63">
            <v>18260.377425400002</v>
          </cell>
          <cell r="Q63">
            <v>4.058160751566783</v>
          </cell>
          <cell r="R63">
            <v>54781.111985400006</v>
          </cell>
          <cell r="S63">
            <v>0</v>
          </cell>
        </row>
        <row r="64">
          <cell r="B64" t="str">
            <v>Polyethylene membrane</v>
          </cell>
          <cell r="C64" t="str">
            <v>gauge 1000 or equal</v>
          </cell>
          <cell r="D64" t="str">
            <v>m2</v>
          </cell>
          <cell r="E64">
            <v>35551</v>
          </cell>
          <cell r="F64">
            <v>0.55799700000000008</v>
          </cell>
          <cell r="G64">
            <v>19837.351347000003</v>
          </cell>
          <cell r="H64">
            <v>2509.48</v>
          </cell>
          <cell r="I64">
            <v>0.20290780974937417</v>
          </cell>
          <cell r="J64">
            <v>7213.5755444000006</v>
          </cell>
          <cell r="K64">
            <v>8.4544999999999995E-2</v>
          </cell>
          <cell r="L64">
            <v>3005.6592949999999</v>
          </cell>
          <cell r="M64">
            <v>0</v>
          </cell>
          <cell r="N64">
            <v>0</v>
          </cell>
          <cell r="O64">
            <v>0.28745280974937415</v>
          </cell>
          <cell r="P64">
            <v>10219.2348394</v>
          </cell>
          <cell r="Q64">
            <v>0.84544980974937423</v>
          </cell>
          <cell r="R64">
            <v>30056.586186400003</v>
          </cell>
          <cell r="S64">
            <v>0</v>
          </cell>
        </row>
        <row r="65">
          <cell r="B65" t="str">
            <v>Hardboard</v>
          </cell>
          <cell r="C65">
            <v>0</v>
          </cell>
          <cell r="D65" t="str">
            <v>m2</v>
          </cell>
          <cell r="E65">
            <v>15782</v>
          </cell>
          <cell r="F65">
            <v>5.0727000000000002</v>
          </cell>
          <cell r="G65">
            <v>80057.3514</v>
          </cell>
          <cell r="H65">
            <v>3713.41</v>
          </cell>
          <cell r="I65">
            <v>0.67635978571790656</v>
          </cell>
          <cell r="J65">
            <v>10674.3101382</v>
          </cell>
          <cell r="K65">
            <v>0.16909000000000002</v>
          </cell>
          <cell r="L65">
            <v>2668.5783800000004</v>
          </cell>
          <cell r="M65">
            <v>0</v>
          </cell>
          <cell r="N65">
            <v>0</v>
          </cell>
          <cell r="O65">
            <v>0.84544978571790663</v>
          </cell>
          <cell r="P65">
            <v>13342.888518200001</v>
          </cell>
          <cell r="Q65">
            <v>5.9181497857179064</v>
          </cell>
          <cell r="R65">
            <v>93400.239918200008</v>
          </cell>
          <cell r="S65">
            <v>0</v>
          </cell>
        </row>
        <row r="66">
          <cell r="B66" t="str">
            <v>screed</v>
          </cell>
          <cell r="C66" t="str">
            <v>20mm thick Mortar</v>
          </cell>
          <cell r="D66" t="str">
            <v>m2</v>
          </cell>
          <cell r="E66">
            <v>71102</v>
          </cell>
          <cell r="F66">
            <v>2.1981700000000002</v>
          </cell>
          <cell r="G66">
            <v>156294.28334000002</v>
          </cell>
          <cell r="H66">
            <v>8364.94</v>
          </cell>
          <cell r="I66">
            <v>0.3381799524373435</v>
          </cell>
          <cell r="J66">
            <v>24045.270978199998</v>
          </cell>
          <cell r="K66">
            <v>0.16908999999999999</v>
          </cell>
          <cell r="L66">
            <v>12022.63718</v>
          </cell>
          <cell r="M66">
            <v>0</v>
          </cell>
          <cell r="N66">
            <v>0</v>
          </cell>
          <cell r="O66">
            <v>0.50726995243734352</v>
          </cell>
          <cell r="P66">
            <v>36067.9081582</v>
          </cell>
          <cell r="Q66">
            <v>2.7054399524373438</v>
          </cell>
          <cell r="R66">
            <v>192362.19149820003</v>
          </cell>
          <cell r="S66">
            <v>0</v>
          </cell>
        </row>
        <row r="67">
          <cell r="B67" t="str">
            <v>Scaffolding</v>
          </cell>
          <cell r="C67">
            <v>0</v>
          </cell>
          <cell r="D67" t="str">
            <v>m2</v>
          </cell>
          <cell r="E67">
            <v>392</v>
          </cell>
          <cell r="F67">
            <v>0</v>
          </cell>
          <cell r="G67">
            <v>0</v>
          </cell>
          <cell r="H67">
            <v>0</v>
          </cell>
          <cell r="I67">
            <v>0</v>
          </cell>
          <cell r="J67">
            <v>0</v>
          </cell>
          <cell r="K67">
            <v>0</v>
          </cell>
          <cell r="L67">
            <v>0</v>
          </cell>
          <cell r="M67">
            <v>0</v>
          </cell>
          <cell r="N67">
            <v>0</v>
          </cell>
          <cell r="O67">
            <v>0</v>
          </cell>
          <cell r="P67">
            <v>0</v>
          </cell>
          <cell r="Q67">
            <v>0</v>
          </cell>
          <cell r="R67">
            <v>0</v>
          </cell>
          <cell r="S67">
            <v>0</v>
          </cell>
        </row>
        <row r="68">
          <cell r="B68" t="str">
            <v>Support</v>
          </cell>
          <cell r="C68">
            <v>0</v>
          </cell>
          <cell r="D68" t="str">
            <v>m3</v>
          </cell>
          <cell r="E68">
            <v>1079</v>
          </cell>
          <cell r="F68">
            <v>0</v>
          </cell>
          <cell r="G68">
            <v>0</v>
          </cell>
          <cell r="H68">
            <v>0</v>
          </cell>
          <cell r="I68">
            <v>0</v>
          </cell>
          <cell r="J68">
            <v>0</v>
          </cell>
          <cell r="K68">
            <v>0</v>
          </cell>
          <cell r="L68">
            <v>0</v>
          </cell>
          <cell r="M68">
            <v>0</v>
          </cell>
          <cell r="N68">
            <v>0</v>
          </cell>
          <cell r="O68">
            <v>0</v>
          </cell>
          <cell r="P68">
            <v>0</v>
          </cell>
          <cell r="Q68">
            <v>0</v>
          </cell>
          <cell r="R68">
            <v>0</v>
          </cell>
          <cell r="S68">
            <v>0</v>
          </cell>
        </row>
        <row r="69">
          <cell r="B69" t="str">
            <v>Fence (New)</v>
          </cell>
          <cell r="C6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69" t="str">
            <v>m</v>
          </cell>
          <cell r="E69">
            <v>1002</v>
          </cell>
          <cell r="F69">
            <v>43.9634</v>
          </cell>
          <cell r="G69">
            <v>44051.326800000003</v>
          </cell>
          <cell r="H69">
            <v>1768.24</v>
          </cell>
          <cell r="I69">
            <v>5.0727135001996011</v>
          </cell>
          <cell r="J69">
            <v>5082.8589271999999</v>
          </cell>
          <cell r="K69">
            <v>3.3818000000000001</v>
          </cell>
          <cell r="L69">
            <v>3388.5636</v>
          </cell>
          <cell r="M69">
            <v>0</v>
          </cell>
          <cell r="N69">
            <v>0</v>
          </cell>
          <cell r="O69">
            <v>8.4545135001996012</v>
          </cell>
          <cell r="P69">
            <v>8471.4225272000003</v>
          </cell>
          <cell r="Q69">
            <v>52.417913500199603</v>
          </cell>
          <cell r="R69">
            <v>52522.749327199999</v>
          </cell>
          <cell r="S69">
            <v>0</v>
          </cell>
        </row>
        <row r="70">
          <cell r="B70" t="str">
            <v>Vehicular Gate</v>
          </cell>
          <cell r="C70" t="str">
            <v>W=8.0m (Double sliding)</v>
          </cell>
          <cell r="D70" t="str">
            <v>ea</v>
          </cell>
          <cell r="E70">
            <v>4</v>
          </cell>
          <cell r="F70">
            <v>2536.35</v>
          </cell>
          <cell r="G70">
            <v>10145.4</v>
          </cell>
          <cell r="H70">
            <v>705.88</v>
          </cell>
          <cell r="I70">
            <v>507.26830910000007</v>
          </cell>
          <cell r="J70">
            <v>2029.0732364000003</v>
          </cell>
          <cell r="K70">
            <v>169.09</v>
          </cell>
          <cell r="L70">
            <v>676.36</v>
          </cell>
          <cell r="M70">
            <v>0</v>
          </cell>
          <cell r="N70">
            <v>0</v>
          </cell>
          <cell r="O70">
            <v>676.35830910000004</v>
          </cell>
          <cell r="P70">
            <v>2705.4332364000002</v>
          </cell>
          <cell r="Q70">
            <v>3212.7083091</v>
          </cell>
          <cell r="R70">
            <v>12850.8332364</v>
          </cell>
          <cell r="S70">
            <v>0</v>
          </cell>
        </row>
        <row r="71">
          <cell r="B71" t="str">
            <v>Pedestrian Gate</v>
          </cell>
          <cell r="C71" t="str">
            <v>W=1.0m (Single sliding)</v>
          </cell>
          <cell r="D71" t="str">
            <v>ea</v>
          </cell>
          <cell r="E71">
            <v>4</v>
          </cell>
          <cell r="F71">
            <v>591.81500000000005</v>
          </cell>
          <cell r="G71">
            <v>2367.2600000000002</v>
          </cell>
          <cell r="H71">
            <v>235.29</v>
          </cell>
          <cell r="I71">
            <v>169.08746365000002</v>
          </cell>
          <cell r="J71">
            <v>676.34985460000007</v>
          </cell>
          <cell r="K71">
            <v>84.545000000000002</v>
          </cell>
          <cell r="L71">
            <v>338.18</v>
          </cell>
          <cell r="M71">
            <v>0</v>
          </cell>
          <cell r="N71">
            <v>0</v>
          </cell>
          <cell r="O71">
            <v>253.63246365000003</v>
          </cell>
          <cell r="P71">
            <v>1014.5298546000001</v>
          </cell>
          <cell r="Q71">
            <v>845.44746365000015</v>
          </cell>
          <cell r="R71">
            <v>3381.7898546000006</v>
          </cell>
          <cell r="S71">
            <v>0</v>
          </cell>
        </row>
      </sheetData>
      <sheetData sheetId="7">
        <row r="8">
          <cell r="B8" t="str">
            <v>Demolition (Paving)</v>
          </cell>
        </row>
        <row r="9">
          <cell r="B9" t="str">
            <v>Demolition (Road)</v>
          </cell>
          <cell r="C9">
            <v>0</v>
          </cell>
          <cell r="D9" t="str">
            <v>m2</v>
          </cell>
          <cell r="E9">
            <v>9786</v>
          </cell>
          <cell r="F9">
            <v>0</v>
          </cell>
          <cell r="G9">
            <v>0</v>
          </cell>
          <cell r="H9">
            <v>2878.24</v>
          </cell>
          <cell r="I9">
            <v>0.84545138230124661</v>
          </cell>
          <cell r="J9">
            <v>8273.5872271999997</v>
          </cell>
          <cell r="K9">
            <v>3.3818000000000001</v>
          </cell>
          <cell r="L9">
            <v>33094.294800000003</v>
          </cell>
          <cell r="M9">
            <v>0</v>
          </cell>
          <cell r="N9">
            <v>0</v>
          </cell>
          <cell r="O9">
            <v>4.2272513823012465</v>
          </cell>
          <cell r="P9">
            <v>41367.882027200001</v>
          </cell>
          <cell r="Q9">
            <v>4.2272513823012465</v>
          </cell>
          <cell r="R9">
            <v>41367.882027200001</v>
          </cell>
          <cell r="S9">
            <v>0</v>
          </cell>
        </row>
        <row r="10">
          <cell r="B10" t="str">
            <v>Demolition (Fence)</v>
          </cell>
          <cell r="C10" t="str">
            <v>including foundation</v>
          </cell>
          <cell r="D10" t="str">
            <v>m</v>
          </cell>
          <cell r="E10">
            <v>1242</v>
          </cell>
          <cell r="F10">
            <v>0</v>
          </cell>
          <cell r="G10">
            <v>0</v>
          </cell>
          <cell r="H10">
            <v>438.35</v>
          </cell>
          <cell r="I10">
            <v>1.014534554267311</v>
          </cell>
          <cell r="J10">
            <v>1260.0519164000002</v>
          </cell>
          <cell r="K10">
            <v>4.05816</v>
          </cell>
          <cell r="L10">
            <v>5040.2347200000004</v>
          </cell>
          <cell r="M10">
            <v>0</v>
          </cell>
          <cell r="N10">
            <v>0</v>
          </cell>
          <cell r="O10">
            <v>5.0726945542673114</v>
          </cell>
          <cell r="P10">
            <v>6300.2866364000001</v>
          </cell>
          <cell r="Q10">
            <v>5.0726945542673114</v>
          </cell>
          <cell r="R10">
            <v>6300.2866364000001</v>
          </cell>
          <cell r="S10">
            <v>0</v>
          </cell>
        </row>
        <row r="11">
          <cell r="B11" t="str">
            <v>Demolition (Concrete)</v>
          </cell>
          <cell r="C11">
            <v>0</v>
          </cell>
          <cell r="D11" t="str">
            <v>m3</v>
          </cell>
          <cell r="E11">
            <v>1801</v>
          </cell>
          <cell r="F11">
            <v>0</v>
          </cell>
          <cell r="G11">
            <v>0</v>
          </cell>
          <cell r="H11">
            <v>2118.8200000000002</v>
          </cell>
          <cell r="I11">
            <v>3.3817943667962247</v>
          </cell>
          <cell r="J11">
            <v>6090.6116546000003</v>
          </cell>
          <cell r="K11">
            <v>13.527200000000001</v>
          </cell>
          <cell r="L11">
            <v>24362.4872</v>
          </cell>
          <cell r="M11">
            <v>0</v>
          </cell>
          <cell r="N11">
            <v>0</v>
          </cell>
          <cell r="O11">
            <v>16.908994366796225</v>
          </cell>
          <cell r="P11">
            <v>30453.098854600001</v>
          </cell>
          <cell r="Q11">
            <v>16.908994366796225</v>
          </cell>
          <cell r="R11">
            <v>30453.098854600001</v>
          </cell>
          <cell r="S11">
            <v>0</v>
          </cell>
        </row>
        <row r="12">
          <cell r="B12" t="str">
            <v>Stripping, Clearing &amp; Grubbing</v>
          </cell>
          <cell r="C12" t="str">
            <v>Thk.=300mm</v>
          </cell>
          <cell r="D12" t="str">
            <v>m2</v>
          </cell>
          <cell r="E12">
            <v>158040</v>
          </cell>
          <cell r="F12">
            <v>0</v>
          </cell>
          <cell r="G12">
            <v>0</v>
          </cell>
          <cell r="H12">
            <v>27889.41</v>
          </cell>
          <cell r="I12">
            <v>0.50726997860161982</v>
          </cell>
          <cell r="J12">
            <v>80168.947418199998</v>
          </cell>
          <cell r="K12">
            <v>0.50727</v>
          </cell>
          <cell r="L12">
            <v>80168.950800000006</v>
          </cell>
          <cell r="M12">
            <v>0</v>
          </cell>
          <cell r="N12">
            <v>0</v>
          </cell>
          <cell r="O12">
            <v>1.0145399786016198</v>
          </cell>
          <cell r="P12">
            <v>160337.89821820002</v>
          </cell>
          <cell r="Q12">
            <v>1.0145399786016198</v>
          </cell>
          <cell r="R12">
            <v>160337.89821820002</v>
          </cell>
          <cell r="S12">
            <v>0</v>
          </cell>
        </row>
        <row r="13">
          <cell r="B13" t="str">
            <v>Topographical Survey</v>
          </cell>
          <cell r="C13">
            <v>0</v>
          </cell>
          <cell r="D13" t="str">
            <v>m2</v>
          </cell>
          <cell r="E13">
            <v>159298</v>
          </cell>
          <cell r="F13">
            <v>3.3818000000000001E-2</v>
          </cell>
          <cell r="G13">
            <v>5387.1397640000005</v>
          </cell>
          <cell r="H13">
            <v>13118.66</v>
          </cell>
          <cell r="I13">
            <v>0.23672602122939401</v>
          </cell>
          <cell r="J13">
            <v>37709.981729800005</v>
          </cell>
          <cell r="K13">
            <v>6.7636000000000002E-2</v>
          </cell>
          <cell r="L13">
            <v>10774.279528000001</v>
          </cell>
          <cell r="M13">
            <v>0</v>
          </cell>
          <cell r="N13">
            <v>0</v>
          </cell>
          <cell r="O13">
            <v>0.30436202122939404</v>
          </cell>
          <cell r="P13">
            <v>48484.261257800004</v>
          </cell>
          <cell r="Q13">
            <v>0.33818002122939406</v>
          </cell>
          <cell r="R13">
            <v>53871.401021800004</v>
          </cell>
          <cell r="S13">
            <v>0</v>
          </cell>
        </row>
        <row r="14">
          <cell r="B14" t="str">
            <v>Cutting</v>
          </cell>
          <cell r="C14" t="str">
            <v>Good soil (by equipment)</v>
          </cell>
          <cell r="D14" t="str">
            <v>m3</v>
          </cell>
          <cell r="E14">
            <v>197550</v>
          </cell>
          <cell r="F14">
            <v>0</v>
          </cell>
          <cell r="G14">
            <v>0</v>
          </cell>
          <cell r="H14">
            <v>11620.59</v>
          </cell>
          <cell r="I14">
            <v>0.16909003423740826</v>
          </cell>
          <cell r="J14">
            <v>33403.736263600003</v>
          </cell>
          <cell r="K14">
            <v>1.1836300000000002</v>
          </cell>
          <cell r="L14">
            <v>233826.10650000002</v>
          </cell>
          <cell r="M14">
            <v>0</v>
          </cell>
          <cell r="N14">
            <v>0</v>
          </cell>
          <cell r="O14">
            <v>1.3527200342374084</v>
          </cell>
          <cell r="P14">
            <v>267229.84276360006</v>
          </cell>
          <cell r="Q14">
            <v>1.3527200342374084</v>
          </cell>
          <cell r="R14">
            <v>267229.84276360006</v>
          </cell>
          <cell r="S14">
            <v>0</v>
          </cell>
        </row>
        <row r="15">
          <cell r="B15" t="str">
            <v>Filling (Excavated Soil)</v>
          </cell>
          <cell r="C15">
            <v>0</v>
          </cell>
          <cell r="D15" t="str">
            <v>m3</v>
          </cell>
          <cell r="E15">
            <v>197550</v>
          </cell>
          <cell r="F15">
            <v>0.16909000000000002</v>
          </cell>
          <cell r="G15">
            <v>33403.729500000001</v>
          </cell>
          <cell r="H15">
            <v>23241.18</v>
          </cell>
          <cell r="I15">
            <v>0.33818005135611234</v>
          </cell>
          <cell r="J15">
            <v>66807.469145399999</v>
          </cell>
          <cell r="K15">
            <v>2.02908</v>
          </cell>
          <cell r="L15">
            <v>400844.75400000002</v>
          </cell>
          <cell r="M15">
            <v>0</v>
          </cell>
          <cell r="N15">
            <v>0</v>
          </cell>
          <cell r="O15">
            <v>2.3672600513561122</v>
          </cell>
          <cell r="P15">
            <v>467652.2231454</v>
          </cell>
          <cell r="Q15">
            <v>2.5363500513561124</v>
          </cell>
          <cell r="R15">
            <v>501055.95264540002</v>
          </cell>
          <cell r="S15">
            <v>0</v>
          </cell>
        </row>
      </sheetData>
      <sheetData sheetId="8">
        <row r="8">
          <cell r="B8" t="str">
            <v>Soil Investigation</v>
          </cell>
        </row>
      </sheetData>
      <sheetData sheetId="9">
        <row r="8">
          <cell r="B8" t="str">
            <v>Excavation</v>
          </cell>
        </row>
        <row r="9">
          <cell r="B9" t="str">
            <v>Back Fill</v>
          </cell>
          <cell r="C9" t="str">
            <v>Good soil (by hand)</v>
          </cell>
          <cell r="D9" t="str">
            <v>m3</v>
          </cell>
          <cell r="E9">
            <v>26265</v>
          </cell>
          <cell r="F9">
            <v>0</v>
          </cell>
          <cell r="G9">
            <v>0</v>
          </cell>
          <cell r="H9">
            <v>10042.5</v>
          </cell>
          <cell r="I9">
            <v>1.0990850000000001</v>
          </cell>
          <cell r="J9">
            <v>28867.467525</v>
          </cell>
          <cell r="K9">
            <v>3.1281650000000001</v>
          </cell>
          <cell r="L9">
            <v>82161.253725000002</v>
          </cell>
          <cell r="M9">
            <v>0</v>
          </cell>
          <cell r="N9">
            <v>0</v>
          </cell>
          <cell r="O9">
            <v>4.2272499999999997</v>
          </cell>
          <cell r="P9">
            <v>111028.72125</v>
          </cell>
          <cell r="Q9">
            <v>4.2272499999999997</v>
          </cell>
          <cell r="R9">
            <v>111028.72125</v>
          </cell>
          <cell r="S9">
            <v>0</v>
          </cell>
        </row>
        <row r="10">
          <cell r="B10" t="str">
            <v>Disposal</v>
          </cell>
          <cell r="C10" t="str">
            <v>Good soil</v>
          </cell>
          <cell r="D10" t="str">
            <v>m3</v>
          </cell>
          <cell r="E10">
            <v>11836</v>
          </cell>
          <cell r="F10">
            <v>0</v>
          </cell>
          <cell r="G10">
            <v>0</v>
          </cell>
          <cell r="H10">
            <v>1392.47</v>
          </cell>
          <cell r="I10">
            <v>0.33817999999999998</v>
          </cell>
          <cell r="J10">
            <v>4002.69848</v>
          </cell>
          <cell r="K10">
            <v>1.6908999999999998</v>
          </cell>
          <cell r="L10">
            <v>20013.492399999999</v>
          </cell>
          <cell r="M10">
            <v>0</v>
          </cell>
          <cell r="N10">
            <v>0</v>
          </cell>
          <cell r="O10">
            <v>2.02908</v>
          </cell>
          <cell r="P10">
            <v>24016.190879999998</v>
          </cell>
          <cell r="Q10">
            <v>2.02908</v>
          </cell>
          <cell r="R10">
            <v>24016.190879999998</v>
          </cell>
          <cell r="S10">
            <v>0</v>
          </cell>
        </row>
        <row r="11">
          <cell r="B11" t="str">
            <v>Concrete</v>
          </cell>
          <cell r="C11" t="str">
            <v>Grade C30 , ASTM C150 (TYPE-V)</v>
          </cell>
          <cell r="D11" t="str">
            <v>m3</v>
          </cell>
          <cell r="E11">
            <v>4182</v>
          </cell>
          <cell r="F11">
            <v>77.781400000000005</v>
          </cell>
          <cell r="G11">
            <v>325281.81479999999</v>
          </cell>
          <cell r="H11">
            <v>13776</v>
          </cell>
          <cell r="I11">
            <v>9.4690399999999997</v>
          </cell>
          <cell r="J11">
            <v>39599.525280000002</v>
          </cell>
          <cell r="K11">
            <v>18.938079999999999</v>
          </cell>
          <cell r="L11">
            <v>79199.050560000003</v>
          </cell>
          <cell r="M11">
            <v>0</v>
          </cell>
          <cell r="N11">
            <v>0</v>
          </cell>
          <cell r="O11">
            <v>28.407119999999999</v>
          </cell>
          <cell r="P11">
            <v>118798.57584</v>
          </cell>
          <cell r="Q11">
            <v>106.18852000000001</v>
          </cell>
          <cell r="R11">
            <v>444080.39064</v>
          </cell>
          <cell r="S11">
            <v>0</v>
          </cell>
        </row>
        <row r="12">
          <cell r="B12" t="str">
            <v>Blinding Con'c</v>
          </cell>
          <cell r="C12" t="str">
            <v>Grade C20, Thk.=50mm. (DEP 34.19.20.31-Gen.)</v>
          </cell>
          <cell r="D12" t="str">
            <v>m3</v>
          </cell>
          <cell r="E12">
            <v>233</v>
          </cell>
          <cell r="F12">
            <v>64.254199999999997</v>
          </cell>
          <cell r="G12">
            <v>14971.228599999999</v>
          </cell>
          <cell r="H12">
            <v>685.29</v>
          </cell>
          <cell r="I12">
            <v>8.4544564575107302</v>
          </cell>
          <cell r="J12">
            <v>1969.8883546</v>
          </cell>
          <cell r="K12">
            <v>16.908999999999999</v>
          </cell>
          <cell r="L12">
            <v>3939.797</v>
          </cell>
          <cell r="M12">
            <v>0</v>
          </cell>
          <cell r="N12">
            <v>0</v>
          </cell>
          <cell r="O12">
            <v>25.363456457510729</v>
          </cell>
          <cell r="P12">
            <v>5909.6853546000002</v>
          </cell>
          <cell r="Q12">
            <v>89.617656457510719</v>
          </cell>
          <cell r="R12">
            <v>20880.913954600001</v>
          </cell>
          <cell r="S12">
            <v>0</v>
          </cell>
        </row>
        <row r="13">
          <cell r="B13" t="str">
            <v>Form Work</v>
          </cell>
          <cell r="C13" t="str">
            <v>ACI 347</v>
          </cell>
          <cell r="D13" t="str">
            <v>m2</v>
          </cell>
          <cell r="E13">
            <v>7738</v>
          </cell>
          <cell r="F13">
            <v>7.1017800000000006</v>
          </cell>
          <cell r="G13">
            <v>54953.573640000002</v>
          </cell>
          <cell r="H13">
            <v>9103.5300000000007</v>
          </cell>
          <cell r="I13">
            <v>3.3818004370379944</v>
          </cell>
          <cell r="J13">
            <v>26168.3717818</v>
          </cell>
          <cell r="K13">
            <v>2.1981700000000002</v>
          </cell>
          <cell r="L13">
            <v>17009.439460000001</v>
          </cell>
          <cell r="M13">
            <v>0</v>
          </cell>
          <cell r="N13">
            <v>0</v>
          </cell>
          <cell r="O13">
            <v>5.5799704370379946</v>
          </cell>
          <cell r="P13">
            <v>43177.811241800002</v>
          </cell>
          <cell r="Q13">
            <v>12.681750437037994</v>
          </cell>
          <cell r="R13">
            <v>98131.384881800011</v>
          </cell>
          <cell r="S13">
            <v>0</v>
          </cell>
        </row>
        <row r="14">
          <cell r="B14" t="str">
            <v>Re-Bar</v>
          </cell>
          <cell r="C14" t="str">
            <v xml:space="preserve">ASTM A 615 Grade 60 Type S </v>
          </cell>
          <cell r="D14" t="str">
            <v>Ton</v>
          </cell>
          <cell r="E14">
            <v>290</v>
          </cell>
          <cell r="F14">
            <v>463.3066</v>
          </cell>
          <cell r="G14">
            <v>134358.91399999999</v>
          </cell>
          <cell r="H14">
            <v>12623.53</v>
          </cell>
          <cell r="I14">
            <v>125.12661166137931</v>
          </cell>
          <cell r="J14">
            <v>36286.717381800001</v>
          </cell>
          <cell r="K14">
            <v>43.9634</v>
          </cell>
          <cell r="L14">
            <v>12749.386</v>
          </cell>
          <cell r="M14">
            <v>0</v>
          </cell>
          <cell r="N14">
            <v>0</v>
          </cell>
          <cell r="O14">
            <v>169.09001166137932</v>
          </cell>
          <cell r="P14">
            <v>49036.1033818</v>
          </cell>
          <cell r="Q14">
            <v>632.39661166137932</v>
          </cell>
          <cell r="R14">
            <v>183395.01738179999</v>
          </cell>
          <cell r="S14">
            <v>0</v>
          </cell>
        </row>
        <row r="15">
          <cell r="B15" t="str">
            <v>Non-Shrinkage Grout</v>
          </cell>
          <cell r="C15" t="str">
            <v>75 N/mm2, DEP 34.19.20.31-Gen</v>
          </cell>
          <cell r="D15" t="str">
            <v>m3</v>
          </cell>
          <cell r="E15">
            <v>8</v>
          </cell>
          <cell r="F15">
            <v>2908.348</v>
          </cell>
          <cell r="G15">
            <v>23266.784</v>
          </cell>
          <cell r="H15">
            <v>376.47</v>
          </cell>
          <cell r="I15">
            <v>135.27199999999999</v>
          </cell>
          <cell r="J15">
            <v>1082.1759999999999</v>
          </cell>
          <cell r="K15">
            <v>67.635999999999996</v>
          </cell>
          <cell r="L15">
            <v>541.08799999999997</v>
          </cell>
          <cell r="M15">
            <v>0</v>
          </cell>
          <cell r="N15">
            <v>0</v>
          </cell>
          <cell r="O15">
            <v>202.90799999999999</v>
          </cell>
          <cell r="P15">
            <v>1623.2639999999999</v>
          </cell>
          <cell r="Q15">
            <v>3111.2559999999999</v>
          </cell>
          <cell r="R15">
            <v>24890.047999999999</v>
          </cell>
          <cell r="S15">
            <v>0</v>
          </cell>
        </row>
        <row r="16">
          <cell r="B16" t="str">
            <v>FDN. Surface Coating (U/G)</v>
          </cell>
          <cell r="C16" t="str">
            <v xml:space="preserve">bitu-coating, 2 times, 0.4kg/m2 </v>
          </cell>
          <cell r="D16" t="str">
            <v>m2</v>
          </cell>
          <cell r="E16">
            <v>7670</v>
          </cell>
          <cell r="F16">
            <v>0.84545000000000003</v>
          </cell>
          <cell r="G16">
            <v>6484.6015000000007</v>
          </cell>
          <cell r="H16">
            <v>2255.88</v>
          </cell>
          <cell r="I16">
            <v>0.84544911817470669</v>
          </cell>
          <cell r="J16">
            <v>6484.5947364000003</v>
          </cell>
          <cell r="K16">
            <v>0.33817999999999998</v>
          </cell>
          <cell r="L16">
            <v>2593.8406</v>
          </cell>
          <cell r="M16">
            <v>0</v>
          </cell>
          <cell r="N16">
            <v>0</v>
          </cell>
          <cell r="O16">
            <v>1.1836291181747067</v>
          </cell>
          <cell r="P16">
            <v>9078.4353363999999</v>
          </cell>
          <cell r="Q16">
            <v>2.0290791181747068</v>
          </cell>
          <cell r="R16">
            <v>15563.036836400001</v>
          </cell>
          <cell r="S16">
            <v>0</v>
          </cell>
        </row>
        <row r="17">
          <cell r="B17" t="str">
            <v>FDN. Surface Coating (A/G)</v>
          </cell>
          <cell r="C17" t="str">
            <v>bitu-coating, 2 times, 0.4kg/m2, 150mm above ground level</v>
          </cell>
          <cell r="D17" t="str">
            <v>m2</v>
          </cell>
          <cell r="E17">
            <v>1920</v>
          </cell>
          <cell r="F17">
            <v>0.84545000000000003</v>
          </cell>
          <cell r="G17">
            <v>1623.2640000000001</v>
          </cell>
          <cell r="H17">
            <v>564.71</v>
          </cell>
          <cell r="I17">
            <v>0.84545704541666677</v>
          </cell>
          <cell r="J17">
            <v>1623.2775272000001</v>
          </cell>
          <cell r="K17">
            <v>0.33818000000000004</v>
          </cell>
          <cell r="L17">
            <v>649.30560000000003</v>
          </cell>
          <cell r="M17">
            <v>0</v>
          </cell>
          <cell r="N17">
            <v>0</v>
          </cell>
          <cell r="O17">
            <v>1.1836370454166669</v>
          </cell>
          <cell r="P17">
            <v>2272.5831272</v>
          </cell>
          <cell r="Q17">
            <v>2.029087045416667</v>
          </cell>
          <cell r="R17">
            <v>3895.8471272000002</v>
          </cell>
          <cell r="S17">
            <v>0</v>
          </cell>
        </row>
        <row r="18">
          <cell r="B18" t="str">
            <v>Sand Bitumen</v>
          </cell>
          <cell r="C18" t="str">
            <v>50mm sand bitumen mix or oil/sand mix. (DEP 34.18.51.10-Gen. Appendix 3 and 4)</v>
          </cell>
          <cell r="D18" t="str">
            <v>m3</v>
          </cell>
          <cell r="E18">
            <v>8</v>
          </cell>
          <cell r="F18">
            <v>43.9634</v>
          </cell>
          <cell r="G18">
            <v>351.7072</v>
          </cell>
          <cell r="H18">
            <v>28.24</v>
          </cell>
          <cell r="I18">
            <v>10.1470909</v>
          </cell>
          <cell r="J18">
            <v>81.176727200000002</v>
          </cell>
          <cell r="K18">
            <v>13.527200000000001</v>
          </cell>
          <cell r="L18">
            <v>108.2176</v>
          </cell>
          <cell r="M18">
            <v>0</v>
          </cell>
          <cell r="N18">
            <v>0</v>
          </cell>
          <cell r="O18">
            <v>23.674290900000003</v>
          </cell>
          <cell r="P18">
            <v>189.39432720000002</v>
          </cell>
          <cell r="Q18">
            <v>67.637690899999996</v>
          </cell>
          <cell r="R18">
            <v>541.10152719999996</v>
          </cell>
          <cell r="S18">
            <v>0</v>
          </cell>
        </row>
        <row r="19">
          <cell r="B19" t="str">
            <v>Structural Fill (Sand)</v>
          </cell>
          <cell r="C19" t="str">
            <v>Compaction shall be 95% of maximum dry density in six inch compacted layers.</v>
          </cell>
          <cell r="D19" t="str">
            <v>m3</v>
          </cell>
          <cell r="E19">
            <v>2630</v>
          </cell>
          <cell r="F19">
            <v>1.741627</v>
          </cell>
          <cell r="G19">
            <v>4580.47901</v>
          </cell>
          <cell r="H19">
            <v>1036.53</v>
          </cell>
          <cell r="I19">
            <v>1.1329042858555134</v>
          </cell>
          <cell r="J19">
            <v>2979.5382718000001</v>
          </cell>
          <cell r="K19">
            <v>2.7054400000000003</v>
          </cell>
          <cell r="L19">
            <v>7115.3072000000002</v>
          </cell>
          <cell r="M19">
            <v>0</v>
          </cell>
          <cell r="N19">
            <v>0</v>
          </cell>
          <cell r="O19">
            <v>3.8383442858555137</v>
          </cell>
          <cell r="P19">
            <v>10094.845471799999</v>
          </cell>
          <cell r="Q19">
            <v>5.5799712858555139</v>
          </cell>
          <cell r="R19">
            <v>14675.324481799998</v>
          </cell>
          <cell r="S19">
            <v>0</v>
          </cell>
        </row>
        <row r="20">
          <cell r="B20" t="str">
            <v>Structural Fill (Compacted Stone or Gravel)</v>
          </cell>
          <cell r="C20" t="str">
            <v>Compaction shall be 95% of maximum dry density in six inch compacted layers.</v>
          </cell>
          <cell r="D20" t="str">
            <v>m3</v>
          </cell>
          <cell r="E20">
            <v>225</v>
          </cell>
          <cell r="F20">
            <v>28.7453</v>
          </cell>
          <cell r="G20">
            <v>6467.6925000000001</v>
          </cell>
          <cell r="H20">
            <v>397.06</v>
          </cell>
          <cell r="I20">
            <v>5.0727150302222226</v>
          </cell>
          <cell r="J20">
            <v>1141.3608818</v>
          </cell>
          <cell r="K20">
            <v>6.7636000000000012</v>
          </cell>
          <cell r="L20">
            <v>1521.8100000000002</v>
          </cell>
          <cell r="M20">
            <v>0</v>
          </cell>
          <cell r="N20">
            <v>0</v>
          </cell>
          <cell r="O20">
            <v>11.836315030222224</v>
          </cell>
          <cell r="P20">
            <v>2663.1708818000002</v>
          </cell>
          <cell r="Q20">
            <v>40.581615030222224</v>
          </cell>
          <cell r="R20">
            <v>9130.8633817999998</v>
          </cell>
          <cell r="S20">
            <v>0</v>
          </cell>
        </row>
        <row r="21">
          <cell r="B21" t="str">
            <v>Water Stop</v>
          </cell>
          <cell r="C21" t="str">
            <v>PVC, W=150mm</v>
          </cell>
          <cell r="D21" t="str">
            <v>m</v>
          </cell>
          <cell r="E21">
            <v>59</v>
          </cell>
          <cell r="F21">
            <v>4.2272499999999997</v>
          </cell>
          <cell r="G21">
            <v>249.40774999999999</v>
          </cell>
          <cell r="H21">
            <v>43.38</v>
          </cell>
          <cell r="I21">
            <v>2.1135103627118643</v>
          </cell>
          <cell r="J21">
            <v>124.6971114</v>
          </cell>
          <cell r="K21">
            <v>0.76090500000000005</v>
          </cell>
          <cell r="L21">
            <v>44.893395000000005</v>
          </cell>
          <cell r="M21">
            <v>0</v>
          </cell>
          <cell r="N21">
            <v>0</v>
          </cell>
          <cell r="O21">
            <v>2.8744153627118645</v>
          </cell>
          <cell r="P21">
            <v>169.59050640000001</v>
          </cell>
          <cell r="Q21">
            <v>7.1016653627118647</v>
          </cell>
          <cell r="R21">
            <v>418.9982564</v>
          </cell>
          <cell r="S21">
            <v>0</v>
          </cell>
        </row>
        <row r="22">
          <cell r="B22" t="str">
            <v>Outside Water Proofing (for Pit &amp; Basin)</v>
          </cell>
          <cell r="C22" t="str">
            <v xml:space="preserve">bitu-coating, 2 times, 0.4kg/m2 </v>
          </cell>
          <cell r="D22" t="str">
            <v>m2</v>
          </cell>
          <cell r="E22">
            <v>173</v>
          </cell>
          <cell r="F22">
            <v>0.84545000000000003</v>
          </cell>
          <cell r="G22">
            <v>146.26285000000001</v>
          </cell>
          <cell r="H22">
            <v>50.88</v>
          </cell>
          <cell r="I22">
            <v>0.84541090404624275</v>
          </cell>
          <cell r="J22">
            <v>146.25608639999999</v>
          </cell>
          <cell r="K22">
            <v>0.33818000000000004</v>
          </cell>
          <cell r="L22">
            <v>58.505140000000004</v>
          </cell>
          <cell r="M22">
            <v>0</v>
          </cell>
          <cell r="N22">
            <v>0</v>
          </cell>
          <cell r="O22">
            <v>1.1835909040462429</v>
          </cell>
          <cell r="P22">
            <v>204.7612264</v>
          </cell>
          <cell r="Q22">
            <v>2.0290409040462429</v>
          </cell>
          <cell r="R22">
            <v>351.02407640000001</v>
          </cell>
          <cell r="S22">
            <v>0</v>
          </cell>
        </row>
        <row r="23">
          <cell r="B23" t="str">
            <v>Inside Wall Coating (Water Proofing Only)</v>
          </cell>
          <cell r="C23" t="str">
            <v>Liquid water coating</v>
          </cell>
          <cell r="D23" t="str">
            <v>m2</v>
          </cell>
          <cell r="E23">
            <v>13</v>
          </cell>
          <cell r="F23">
            <v>4.2272499999999997</v>
          </cell>
          <cell r="G23">
            <v>54.954249999999995</v>
          </cell>
          <cell r="H23">
            <v>18.739999999999998</v>
          </cell>
          <cell r="I23">
            <v>4.1437455538461538</v>
          </cell>
          <cell r="J23">
            <v>53.868692200000005</v>
          </cell>
          <cell r="K23">
            <v>1.6909000000000001</v>
          </cell>
          <cell r="L23">
            <v>21.9817</v>
          </cell>
          <cell r="M23">
            <v>0</v>
          </cell>
          <cell r="N23">
            <v>0</v>
          </cell>
          <cell r="O23">
            <v>5.8346455538461539</v>
          </cell>
          <cell r="P23">
            <v>75.850392200000002</v>
          </cell>
          <cell r="Q23">
            <v>10.061895553846153</v>
          </cell>
          <cell r="R23">
            <v>130.80464219999999</v>
          </cell>
          <cell r="S23">
            <v>0</v>
          </cell>
        </row>
        <row r="24">
          <cell r="B24" t="str">
            <v>Chemical Coating (inside only)</v>
          </cell>
          <cell r="C24" t="str">
            <v>Chemical resistant bricks or tiles or by a monolithic epoxy compound</v>
          </cell>
          <cell r="D24" t="str">
            <v>m2</v>
          </cell>
          <cell r="E24">
            <v>177</v>
          </cell>
          <cell r="F24">
            <v>37.199800000000003</v>
          </cell>
          <cell r="G24">
            <v>6584.3646000000008</v>
          </cell>
          <cell r="H24">
            <v>832.94</v>
          </cell>
          <cell r="I24">
            <v>13.52718089378531</v>
          </cell>
          <cell r="J24">
            <v>2394.3110182</v>
          </cell>
          <cell r="K24">
            <v>6.7636000000000003</v>
          </cell>
          <cell r="L24">
            <v>1197.1572000000001</v>
          </cell>
          <cell r="M24">
            <v>0</v>
          </cell>
          <cell r="N24">
            <v>0</v>
          </cell>
          <cell r="O24">
            <v>20.29078089378531</v>
          </cell>
          <cell r="P24">
            <v>3591.4682182000001</v>
          </cell>
          <cell r="Q24">
            <v>57.490580893785314</v>
          </cell>
          <cell r="R24">
            <v>10175.8328182</v>
          </cell>
          <cell r="S24">
            <v>0</v>
          </cell>
        </row>
        <row r="25">
          <cell r="B25" t="str">
            <v>Drain Pipe (for concrete Tank)</v>
          </cell>
          <cell r="C25" t="str">
            <v>HDPE drain pipe (Φ 75x6.9mm)</v>
          </cell>
          <cell r="D25" t="str">
            <v>m</v>
          </cell>
          <cell r="E25">
            <v>8</v>
          </cell>
          <cell r="F25">
            <v>5.0727000000000002</v>
          </cell>
          <cell r="G25">
            <v>40.581600000000002</v>
          </cell>
          <cell r="H25">
            <v>4.71</v>
          </cell>
          <cell r="I25">
            <v>1.6925908999999999</v>
          </cell>
          <cell r="J25">
            <v>13.540727199999999</v>
          </cell>
          <cell r="K25">
            <v>5.0727000000000002</v>
          </cell>
          <cell r="L25">
            <v>40.581600000000002</v>
          </cell>
          <cell r="M25">
            <v>0</v>
          </cell>
          <cell r="N25">
            <v>0</v>
          </cell>
          <cell r="O25">
            <v>6.7652909000000001</v>
          </cell>
          <cell r="P25">
            <v>54.122327200000001</v>
          </cell>
          <cell r="Q25">
            <v>11.837990900000001</v>
          </cell>
          <cell r="R25">
            <v>94.70392720000001</v>
          </cell>
          <cell r="S25">
            <v>0</v>
          </cell>
        </row>
        <row r="26">
          <cell r="B26" t="str">
            <v>Geotextile membrane</v>
          </cell>
          <cell r="C26" t="str">
            <v>woven/roven type Nicolon No. 66339 or equivalent</v>
          </cell>
          <cell r="D26" t="str">
            <v>m2</v>
          </cell>
          <cell r="E26">
            <v>167</v>
          </cell>
          <cell r="F26">
            <v>3.3818000000000001</v>
          </cell>
          <cell r="G26">
            <v>564.76060000000007</v>
          </cell>
          <cell r="H26">
            <v>98.24</v>
          </cell>
          <cell r="I26">
            <v>1.690981001197605</v>
          </cell>
          <cell r="J26">
            <v>282.39382720000003</v>
          </cell>
          <cell r="K26">
            <v>0.84545000000000015</v>
          </cell>
          <cell r="L26">
            <v>141.19015000000002</v>
          </cell>
          <cell r="M26">
            <v>0</v>
          </cell>
          <cell r="N26">
            <v>0</v>
          </cell>
          <cell r="O26">
            <v>2.536431001197605</v>
          </cell>
          <cell r="P26">
            <v>423.58397720000005</v>
          </cell>
          <cell r="Q26">
            <v>5.9182310011976051</v>
          </cell>
          <cell r="R26">
            <v>988.34457720000012</v>
          </cell>
          <cell r="S26">
            <v>0</v>
          </cell>
        </row>
        <row r="27">
          <cell r="B27" t="str">
            <v>Drain Pipe (for Tank Foundation)</v>
          </cell>
          <cell r="C27" t="str">
            <v>HDPE drain pipe (Φ 125mm)</v>
          </cell>
          <cell r="D27" t="str">
            <v>m</v>
          </cell>
          <cell r="E27">
            <v>8</v>
          </cell>
          <cell r="F27">
            <v>10.1454</v>
          </cell>
          <cell r="G27">
            <v>81.163200000000003</v>
          </cell>
          <cell r="H27">
            <v>7.06</v>
          </cell>
          <cell r="I27">
            <v>2.5367727250000001</v>
          </cell>
          <cell r="J27">
            <v>20.2941818</v>
          </cell>
          <cell r="K27">
            <v>5.9181500000000007</v>
          </cell>
          <cell r="L27">
            <v>47.345200000000006</v>
          </cell>
          <cell r="M27">
            <v>0</v>
          </cell>
          <cell r="N27">
            <v>0</v>
          </cell>
          <cell r="O27">
            <v>8.4549227250000012</v>
          </cell>
          <cell r="P27">
            <v>67.63938180000001</v>
          </cell>
          <cell r="Q27">
            <v>18.600322725000002</v>
          </cell>
          <cell r="R27">
            <v>148.80258180000001</v>
          </cell>
          <cell r="S27">
            <v>0</v>
          </cell>
        </row>
        <row r="28">
          <cell r="B28" t="str">
            <v>Hume Pipe</v>
          </cell>
          <cell r="C28" t="str">
            <v>D=450mm</v>
          </cell>
          <cell r="D28" t="str">
            <v>m</v>
          </cell>
          <cell r="E28">
            <v>92</v>
          </cell>
          <cell r="F28">
            <v>37.199800000000003</v>
          </cell>
          <cell r="G28">
            <v>3422.3816000000002</v>
          </cell>
          <cell r="H28">
            <v>162.35</v>
          </cell>
          <cell r="I28">
            <v>5.0726264826086958</v>
          </cell>
          <cell r="J28">
            <v>466.6816364</v>
          </cell>
          <cell r="K28">
            <v>11.836300000000001</v>
          </cell>
          <cell r="L28">
            <v>1088.9396000000002</v>
          </cell>
          <cell r="M28">
            <v>0</v>
          </cell>
          <cell r="N28">
            <v>0</v>
          </cell>
          <cell r="O28">
            <v>16.908926482608699</v>
          </cell>
          <cell r="P28">
            <v>1555.6212364000003</v>
          </cell>
          <cell r="Q28">
            <v>54.108726482608702</v>
          </cell>
          <cell r="R28">
            <v>4978.0028364000009</v>
          </cell>
          <cell r="S28">
            <v>0</v>
          </cell>
        </row>
        <row r="29">
          <cell r="B29" t="str">
            <v>Warning Tape</v>
          </cell>
          <cell r="C29" t="str">
            <v>P.V.C</v>
          </cell>
          <cell r="D29" t="str">
            <v>m</v>
          </cell>
          <cell r="E29">
            <v>6322</v>
          </cell>
          <cell r="F29">
            <v>0.16909000000000002</v>
          </cell>
          <cell r="G29">
            <v>1068.9869800000001</v>
          </cell>
          <cell r="H29">
            <v>334.69</v>
          </cell>
          <cell r="I29">
            <v>0.1521793952230307</v>
          </cell>
          <cell r="J29">
            <v>962.07813660000011</v>
          </cell>
          <cell r="K29">
            <v>1.6909E-2</v>
          </cell>
          <cell r="L29">
            <v>106.898698</v>
          </cell>
          <cell r="M29">
            <v>0</v>
          </cell>
          <cell r="N29">
            <v>0</v>
          </cell>
          <cell r="O29">
            <v>0.16908839522303071</v>
          </cell>
          <cell r="P29">
            <v>1068.9768346000001</v>
          </cell>
          <cell r="Q29">
            <v>0.33817839522303073</v>
          </cell>
          <cell r="R29">
            <v>2137.9638146000002</v>
          </cell>
          <cell r="S29">
            <v>0</v>
          </cell>
        </row>
        <row r="30">
          <cell r="B30" t="str">
            <v>Checkered Plate</v>
          </cell>
          <cell r="C30" t="str">
            <v>Thk.=6mm, Galvanized</v>
          </cell>
          <cell r="D30" t="str">
            <v>m2</v>
          </cell>
          <cell r="E30">
            <v>90</v>
          </cell>
          <cell r="F30">
            <v>169.09</v>
          </cell>
          <cell r="G30">
            <v>15218.1</v>
          </cell>
          <cell r="H30">
            <v>370.59</v>
          </cell>
          <cell r="I30">
            <v>11.836375151111113</v>
          </cell>
          <cell r="J30">
            <v>1065.2737636000002</v>
          </cell>
          <cell r="K30">
            <v>5.0727000000000002</v>
          </cell>
          <cell r="L30">
            <v>456.54300000000001</v>
          </cell>
          <cell r="M30">
            <v>0</v>
          </cell>
          <cell r="N30">
            <v>0</v>
          </cell>
          <cell r="O30">
            <v>16.909075151111114</v>
          </cell>
          <cell r="P30">
            <v>1521.8167636000003</v>
          </cell>
          <cell r="Q30">
            <v>185.99907515111113</v>
          </cell>
          <cell r="R30">
            <v>16739.916763600002</v>
          </cell>
          <cell r="S30">
            <v>0</v>
          </cell>
        </row>
        <row r="31">
          <cell r="B31" t="str">
            <v>Grating</v>
          </cell>
          <cell r="C31" t="str">
            <v>I-55x7, Galvanized</v>
          </cell>
          <cell r="D31" t="str">
            <v>m2</v>
          </cell>
          <cell r="E31">
            <v>1</v>
          </cell>
          <cell r="F31">
            <v>67.635999999999996</v>
          </cell>
          <cell r="G31">
            <v>67.635999999999996</v>
          </cell>
          <cell r="H31">
            <v>3.53</v>
          </cell>
          <cell r="I31">
            <v>10.1487818</v>
          </cell>
          <cell r="J31">
            <v>10.1487818</v>
          </cell>
          <cell r="K31">
            <v>6.7636000000000003</v>
          </cell>
          <cell r="L31">
            <v>6.7636000000000003</v>
          </cell>
          <cell r="M31">
            <v>0</v>
          </cell>
          <cell r="N31">
            <v>0</v>
          </cell>
          <cell r="O31">
            <v>16.912381799999999</v>
          </cell>
          <cell r="P31">
            <v>16.912381799999999</v>
          </cell>
          <cell r="Q31">
            <v>84.548381799999987</v>
          </cell>
          <cell r="R31">
            <v>84.548381799999987</v>
          </cell>
          <cell r="S31">
            <v>0</v>
          </cell>
        </row>
        <row r="32">
          <cell r="B32" t="str">
            <v>Step Iron</v>
          </cell>
          <cell r="C32" t="str">
            <v>ASTM A36, Round Bar Φ20x1200L, Hot dip galvanized</v>
          </cell>
          <cell r="D32" t="str">
            <v>ea</v>
          </cell>
          <cell r="E32">
            <v>41</v>
          </cell>
          <cell r="F32">
            <v>6.7636000000000003</v>
          </cell>
          <cell r="G32">
            <v>277.30760000000004</v>
          </cell>
          <cell r="H32">
            <v>21.71</v>
          </cell>
          <cell r="I32">
            <v>1.5221399317073172</v>
          </cell>
          <cell r="J32">
            <v>62.407737200000007</v>
          </cell>
          <cell r="K32">
            <v>0.16908999999999999</v>
          </cell>
          <cell r="L32">
            <v>6.93269</v>
          </cell>
          <cell r="M32">
            <v>0</v>
          </cell>
          <cell r="N32">
            <v>0</v>
          </cell>
          <cell r="O32">
            <v>1.6912299317073172</v>
          </cell>
          <cell r="P32">
            <v>69.340427200000008</v>
          </cell>
          <cell r="Q32">
            <v>8.4548299317073177</v>
          </cell>
          <cell r="R32">
            <v>346.64802720000006</v>
          </cell>
          <cell r="S32">
            <v>0</v>
          </cell>
        </row>
        <row r="33">
          <cell r="B33" t="str">
            <v>Misc. Steel</v>
          </cell>
          <cell r="C33" t="str">
            <v>ASTM A36 or equivalent</v>
          </cell>
          <cell r="D33" t="str">
            <v>Ton</v>
          </cell>
          <cell r="E33">
            <v>4</v>
          </cell>
          <cell r="F33">
            <v>1183.6300000000001</v>
          </cell>
          <cell r="G33">
            <v>4734.5200000000004</v>
          </cell>
          <cell r="H33">
            <v>705.88</v>
          </cell>
          <cell r="I33">
            <v>507.26830910000007</v>
          </cell>
          <cell r="J33">
            <v>2029.0732364000003</v>
          </cell>
          <cell r="K33">
            <v>169.09</v>
          </cell>
          <cell r="L33">
            <v>676.36</v>
          </cell>
          <cell r="M33">
            <v>0</v>
          </cell>
          <cell r="N33">
            <v>0</v>
          </cell>
          <cell r="O33">
            <v>676.35830910000004</v>
          </cell>
          <cell r="P33">
            <v>2705.4332364000002</v>
          </cell>
          <cell r="Q33">
            <v>1859.9883091000002</v>
          </cell>
          <cell r="R33">
            <v>7439.9532364000006</v>
          </cell>
          <cell r="S33">
            <v>0</v>
          </cell>
        </row>
        <row r="34">
          <cell r="B34" t="str">
            <v>Anchor Bolt (M24)</v>
          </cell>
          <cell r="C34" t="str">
            <v>ASTM A36 or equivalent (Refer DEP S28.020), Install only</v>
          </cell>
          <cell r="D34" t="str">
            <v>ea</v>
          </cell>
          <cell r="E34">
            <v>38</v>
          </cell>
          <cell r="F34">
            <v>16.063549999999999</v>
          </cell>
          <cell r="G34">
            <v>610.41489999999999</v>
          </cell>
          <cell r="H34">
            <v>33.53</v>
          </cell>
          <cell r="I34">
            <v>2.5364389947368422</v>
          </cell>
          <cell r="J34">
            <v>96.38468180000001</v>
          </cell>
          <cell r="K34">
            <v>0.84544999999999992</v>
          </cell>
          <cell r="L34">
            <v>32.127099999999999</v>
          </cell>
          <cell r="M34">
            <v>0</v>
          </cell>
          <cell r="N34">
            <v>0</v>
          </cell>
          <cell r="O34">
            <v>3.3818889947368422</v>
          </cell>
          <cell r="P34">
            <v>128.51178179999999</v>
          </cell>
          <cell r="Q34">
            <v>19.44543899473684</v>
          </cell>
          <cell r="R34">
            <v>738.92668179999998</v>
          </cell>
          <cell r="S34">
            <v>0</v>
          </cell>
        </row>
        <row r="35">
          <cell r="B35" t="str">
            <v>Anchor Bolt (M42)</v>
          </cell>
          <cell r="C35" t="str">
            <v>ASTM A36 or equivalent (Refer DEP S28.020), Install only</v>
          </cell>
          <cell r="D35" t="str">
            <v>ea</v>
          </cell>
          <cell r="E35">
            <v>806</v>
          </cell>
          <cell r="F35">
            <v>41.849775000000001</v>
          </cell>
          <cell r="G35">
            <v>33730.91865</v>
          </cell>
          <cell r="H35">
            <v>1422.35</v>
          </cell>
          <cell r="I35">
            <v>5.0726916084367248</v>
          </cell>
          <cell r="J35">
            <v>4088.5894364000005</v>
          </cell>
          <cell r="K35">
            <v>2.5363500000000001</v>
          </cell>
          <cell r="L35">
            <v>2044.2981</v>
          </cell>
          <cell r="M35">
            <v>0</v>
          </cell>
          <cell r="N35">
            <v>0</v>
          </cell>
          <cell r="O35">
            <v>7.6090416084367245</v>
          </cell>
          <cell r="P35">
            <v>6132.8875364000005</v>
          </cell>
          <cell r="Q35">
            <v>49.458816608436727</v>
          </cell>
          <cell r="R35">
            <v>39863.806186399997</v>
          </cell>
          <cell r="S35">
            <v>0</v>
          </cell>
        </row>
        <row r="36">
          <cell r="B36" t="str">
            <v>Wearing Course (Asphalt Road)</v>
          </cell>
          <cell r="C36" t="str">
            <v>Thk.=50mm</v>
          </cell>
          <cell r="D36" t="str">
            <v>m3</v>
          </cell>
          <cell r="E36">
            <v>75</v>
          </cell>
          <cell r="F36">
            <v>54.954250000000002</v>
          </cell>
          <cell r="G36">
            <v>4121.5687500000004</v>
          </cell>
          <cell r="H36">
            <v>154.41</v>
          </cell>
          <cell r="I36">
            <v>5.9181049093333336</v>
          </cell>
          <cell r="J36">
            <v>443.85786819999998</v>
          </cell>
          <cell r="K36">
            <v>21.13625</v>
          </cell>
          <cell r="L36">
            <v>1585.21875</v>
          </cell>
          <cell r="M36">
            <v>0</v>
          </cell>
          <cell r="N36">
            <v>0</v>
          </cell>
          <cell r="O36">
            <v>27.054354909333334</v>
          </cell>
          <cell r="P36">
            <v>2029.0766182</v>
          </cell>
          <cell r="Q36">
            <v>82.008604909333343</v>
          </cell>
          <cell r="R36">
            <v>6150.6453682000001</v>
          </cell>
          <cell r="S36">
            <v>0</v>
          </cell>
        </row>
        <row r="37">
          <cell r="B37" t="str">
            <v>Prime Coat</v>
          </cell>
          <cell r="D37" t="str">
            <v>m2</v>
          </cell>
          <cell r="E37">
            <v>1515.4</v>
          </cell>
          <cell r="F37">
            <v>0.16909000000000002</v>
          </cell>
          <cell r="G37">
            <v>256.23898600000007</v>
          </cell>
          <cell r="H37">
            <v>23.18</v>
          </cell>
          <cell r="I37">
            <v>4.3969648541639164E-2</v>
          </cell>
          <cell r="J37">
            <v>66.631605399999998</v>
          </cell>
          <cell r="K37">
            <v>0.1251270463244028</v>
          </cell>
          <cell r="L37">
            <v>189.617526</v>
          </cell>
          <cell r="M37">
            <v>0</v>
          </cell>
          <cell r="N37">
            <v>0</v>
          </cell>
          <cell r="O37">
            <v>0.16909669486604195</v>
          </cell>
          <cell r="P37">
            <v>256.24913140000001</v>
          </cell>
          <cell r="Q37">
            <v>0.33818669486604197</v>
          </cell>
          <cell r="R37">
            <v>512.48811740000008</v>
          </cell>
          <cell r="S37">
            <v>0</v>
          </cell>
        </row>
        <row r="38">
          <cell r="B38" t="str">
            <v>Base Course (Asphalt Road)</v>
          </cell>
          <cell r="C38" t="str">
            <v>Thk.=250mm</v>
          </cell>
          <cell r="D38" t="str">
            <v>m3</v>
          </cell>
          <cell r="E38">
            <v>379</v>
          </cell>
          <cell r="F38">
            <v>54.108800000000002</v>
          </cell>
          <cell r="G38">
            <v>20507.235199999999</v>
          </cell>
          <cell r="H38">
            <v>780.29</v>
          </cell>
          <cell r="I38">
            <v>5.9181232311345644</v>
          </cell>
          <cell r="J38">
            <v>2242.9687045999999</v>
          </cell>
          <cell r="K38">
            <v>20.290800000000001</v>
          </cell>
          <cell r="L38">
            <v>7690.2132000000001</v>
          </cell>
          <cell r="M38">
            <v>0</v>
          </cell>
          <cell r="N38">
            <v>0</v>
          </cell>
          <cell r="O38">
            <v>26.208923231134566</v>
          </cell>
          <cell r="P38">
            <v>9933.1819046000001</v>
          </cell>
          <cell r="Q38">
            <v>80.317723231134565</v>
          </cell>
          <cell r="R38">
            <v>30440.417104599997</v>
          </cell>
          <cell r="S38">
            <v>0</v>
          </cell>
        </row>
        <row r="39">
          <cell r="B39" t="str">
            <v>Sub-Base Course (Asphalt Road)</v>
          </cell>
          <cell r="C39" t="str">
            <v>Thk.=250mm</v>
          </cell>
          <cell r="D39" t="str">
            <v>m3</v>
          </cell>
          <cell r="E39">
            <v>383</v>
          </cell>
          <cell r="F39">
            <v>51.572450000000003</v>
          </cell>
          <cell r="G39">
            <v>19752.248350000002</v>
          </cell>
          <cell r="H39">
            <v>788.53</v>
          </cell>
          <cell r="I39">
            <v>5.9181588297650132</v>
          </cell>
          <cell r="J39">
            <v>2266.6548318</v>
          </cell>
          <cell r="K39">
            <v>20.290800000000001</v>
          </cell>
          <cell r="L39">
            <v>7771.3764000000001</v>
          </cell>
          <cell r="M39">
            <v>0</v>
          </cell>
          <cell r="N39">
            <v>0</v>
          </cell>
          <cell r="O39">
            <v>26.208958829765013</v>
          </cell>
          <cell r="P39">
            <v>10038.0312318</v>
          </cell>
          <cell r="Q39">
            <v>77.781408829765013</v>
          </cell>
          <cell r="R39">
            <v>29790.279581800001</v>
          </cell>
          <cell r="S39">
            <v>0</v>
          </cell>
        </row>
        <row r="40">
          <cell r="B40" t="str">
            <v>Shoulder (Gravel)</v>
          </cell>
          <cell r="C40" t="str">
            <v>Thk.=50mm</v>
          </cell>
          <cell r="D40" t="str">
            <v>m2</v>
          </cell>
          <cell r="E40">
            <v>749</v>
          </cell>
          <cell r="F40">
            <v>1.437265</v>
          </cell>
          <cell r="G40">
            <v>1076.511485</v>
          </cell>
          <cell r="H40">
            <v>44.06</v>
          </cell>
          <cell r="I40">
            <v>0.16909451508678239</v>
          </cell>
          <cell r="J40">
            <v>126.65179180000001</v>
          </cell>
          <cell r="K40">
            <v>0.50727</v>
          </cell>
          <cell r="L40">
            <v>379.94522999999998</v>
          </cell>
          <cell r="M40">
            <v>0</v>
          </cell>
          <cell r="N40">
            <v>0</v>
          </cell>
          <cell r="O40">
            <v>0.67636451508678241</v>
          </cell>
          <cell r="P40">
            <v>506.59702179999999</v>
          </cell>
          <cell r="Q40">
            <v>2.1136295150867825</v>
          </cell>
          <cell r="R40">
            <v>1583.1085068</v>
          </cell>
          <cell r="S40">
            <v>0</v>
          </cell>
        </row>
        <row r="41">
          <cell r="B41" t="str">
            <v>Concrete Paving (for Light Duty)</v>
          </cell>
          <cell r="C41" t="str">
            <v>Thk.=100mm, grade C-30</v>
          </cell>
          <cell r="D41" t="str">
            <v>m3</v>
          </cell>
          <cell r="E41">
            <v>99</v>
          </cell>
          <cell r="F41">
            <v>77.781400000000005</v>
          </cell>
          <cell r="G41">
            <v>7700.3586000000005</v>
          </cell>
          <cell r="H41">
            <v>326.12</v>
          </cell>
          <cell r="I41">
            <v>9.4691083191919194</v>
          </cell>
          <cell r="J41">
            <v>937.44172360000005</v>
          </cell>
          <cell r="K41">
            <v>18.938079999999999</v>
          </cell>
          <cell r="L41">
            <v>1874.8699200000001</v>
          </cell>
          <cell r="M41">
            <v>0</v>
          </cell>
          <cell r="N41">
            <v>0</v>
          </cell>
          <cell r="O41">
            <v>28.407188319191917</v>
          </cell>
          <cell r="P41">
            <v>2812.3116436</v>
          </cell>
          <cell r="Q41">
            <v>106.18858831919192</v>
          </cell>
          <cell r="R41">
            <v>10512.670243600001</v>
          </cell>
          <cell r="S41">
            <v>0</v>
          </cell>
        </row>
        <row r="42">
          <cell r="B42" t="str">
            <v>Expansion Joint (for Con'c Paving Light Duty)</v>
          </cell>
          <cell r="C42" t="str">
            <v>L=20m, 25 deep x 20 wide Hydrocarbon resistant joint sealant</v>
          </cell>
          <cell r="D42" t="str">
            <v>m</v>
          </cell>
          <cell r="E42">
            <v>120</v>
          </cell>
          <cell r="F42">
            <v>5.0727000000000002</v>
          </cell>
          <cell r="G42">
            <v>608.72400000000005</v>
          </cell>
          <cell r="H42">
            <v>105.88</v>
          </cell>
          <cell r="I42">
            <v>2.5362936366666671</v>
          </cell>
          <cell r="J42">
            <v>304.35523640000002</v>
          </cell>
          <cell r="K42">
            <v>0.84545000000000003</v>
          </cell>
          <cell r="L42">
            <v>101.45400000000001</v>
          </cell>
          <cell r="M42">
            <v>0</v>
          </cell>
          <cell r="N42">
            <v>0</v>
          </cell>
          <cell r="O42">
            <v>3.3817436366666671</v>
          </cell>
          <cell r="P42">
            <v>405.80923640000003</v>
          </cell>
          <cell r="Q42">
            <v>8.4544436366666673</v>
          </cell>
          <cell r="R42">
            <v>1014.5332364000001</v>
          </cell>
          <cell r="S42">
            <v>0</v>
          </cell>
        </row>
        <row r="43">
          <cell r="B43" t="str">
            <v>Contraction Joint (for Con'c Paving Light Duty)</v>
          </cell>
          <cell r="C43" t="str">
            <v>L=5m, 20mm deep groove to be cut after casting and filled with Hydrocarbon resistant joint sealant</v>
          </cell>
          <cell r="D43" t="str">
            <v>m</v>
          </cell>
          <cell r="E43">
            <v>260</v>
          </cell>
          <cell r="F43">
            <v>3.3818000000000001</v>
          </cell>
          <cell r="G43">
            <v>879.26800000000003</v>
          </cell>
          <cell r="H43">
            <v>91.76</v>
          </cell>
          <cell r="I43">
            <v>1.0144879723076923</v>
          </cell>
          <cell r="J43">
            <v>263.76687279999999</v>
          </cell>
          <cell r="K43">
            <v>0.67635999999999996</v>
          </cell>
          <cell r="L43">
            <v>175.8536</v>
          </cell>
          <cell r="M43">
            <v>0</v>
          </cell>
          <cell r="N43">
            <v>0</v>
          </cell>
          <cell r="O43">
            <v>1.6908479723076923</v>
          </cell>
          <cell r="P43">
            <v>439.62047280000002</v>
          </cell>
          <cell r="Q43">
            <v>5.072647972307692</v>
          </cell>
          <cell r="R43">
            <v>1318.8884728</v>
          </cell>
          <cell r="S43">
            <v>0</v>
          </cell>
        </row>
        <row r="44">
          <cell r="B44" t="str">
            <v>Wire Fabric. (for Light Duty Con'c paving)</v>
          </cell>
          <cell r="C44" t="str">
            <v xml:space="preserve">φ7-200x200, Cold-drawn finish, ASTM A185 </v>
          </cell>
          <cell r="D44" t="str">
            <v>m2</v>
          </cell>
          <cell r="E44">
            <v>10369</v>
          </cell>
          <cell r="F44">
            <v>0.87926800000000005</v>
          </cell>
          <cell r="G44">
            <v>9117.1298920000008</v>
          </cell>
          <cell r="H44">
            <v>975.91</v>
          </cell>
          <cell r="I44">
            <v>0.27054530458096249</v>
          </cell>
          <cell r="J44">
            <v>2805.2842632000002</v>
          </cell>
          <cell r="K44">
            <v>0.20290799999999998</v>
          </cell>
          <cell r="L44">
            <v>2103.9530519999998</v>
          </cell>
          <cell r="M44">
            <v>0</v>
          </cell>
          <cell r="N44">
            <v>0</v>
          </cell>
          <cell r="O44">
            <v>0.47345330458096246</v>
          </cell>
          <cell r="P44">
            <v>4909.2373152</v>
          </cell>
          <cell r="Q44">
            <v>1.3527213045809625</v>
          </cell>
          <cell r="R44">
            <v>14026.367207200001</v>
          </cell>
          <cell r="S44">
            <v>0</v>
          </cell>
        </row>
        <row r="45">
          <cell r="B45" t="str">
            <v>Joint Filler &amp; Sealant (for concrete paving Light Duty)</v>
          </cell>
          <cell r="C45" t="str">
            <v>20 thick flexible jointing material 25 deep x 20 wide Hydrocarbon resistant joint sealant in top.</v>
          </cell>
          <cell r="D45" t="str">
            <v>m</v>
          </cell>
          <cell r="E45">
            <v>1975</v>
          </cell>
          <cell r="F45">
            <v>5.0727000000000002</v>
          </cell>
          <cell r="G45">
            <v>10018.5825</v>
          </cell>
          <cell r="H45">
            <v>929.41</v>
          </cell>
          <cell r="I45">
            <v>1.3527182876962025</v>
          </cell>
          <cell r="J45">
            <v>2671.6186182000001</v>
          </cell>
          <cell r="K45">
            <v>0.84545000000000003</v>
          </cell>
          <cell r="L45">
            <v>1669.7637500000001</v>
          </cell>
          <cell r="M45">
            <v>0</v>
          </cell>
          <cell r="N45">
            <v>0</v>
          </cell>
          <cell r="O45">
            <v>2.1981682876962028</v>
          </cell>
          <cell r="P45">
            <v>4341.3823682000002</v>
          </cell>
          <cell r="Q45">
            <v>7.270868287696203</v>
          </cell>
          <cell r="R45">
            <v>14359.964868200001</v>
          </cell>
          <cell r="S45">
            <v>0</v>
          </cell>
        </row>
        <row r="46">
          <cell r="B46" t="str">
            <v>Polyethylene membrane</v>
          </cell>
          <cell r="C46" t="str">
            <v>gauge 1000 or equal</v>
          </cell>
          <cell r="D46" t="str">
            <v>m2</v>
          </cell>
          <cell r="E46">
            <v>10397</v>
          </cell>
          <cell r="F46">
            <v>0.55799700000000008</v>
          </cell>
          <cell r="G46">
            <v>5801.4948090000007</v>
          </cell>
          <cell r="H46">
            <v>733.91</v>
          </cell>
          <cell r="I46">
            <v>0.20290930106761565</v>
          </cell>
          <cell r="J46">
            <v>2109.6480031999999</v>
          </cell>
          <cell r="K46">
            <v>8.4545000000000009E-2</v>
          </cell>
          <cell r="L46">
            <v>879.01436500000011</v>
          </cell>
          <cell r="M46">
            <v>0</v>
          </cell>
          <cell r="N46">
            <v>0</v>
          </cell>
          <cell r="O46">
            <v>0.28745430106761566</v>
          </cell>
          <cell r="P46">
            <v>2988.6623681999999</v>
          </cell>
          <cell r="Q46">
            <v>0.84545130106761568</v>
          </cell>
          <cell r="R46">
            <v>8790.1571772000007</v>
          </cell>
          <cell r="S46">
            <v>0</v>
          </cell>
        </row>
        <row r="47">
          <cell r="B47" t="str">
            <v>Hardboard</v>
          </cell>
          <cell r="C47">
            <v>0</v>
          </cell>
          <cell r="D47" t="str">
            <v>m2</v>
          </cell>
          <cell r="E47">
            <v>7844</v>
          </cell>
          <cell r="F47">
            <v>5.0727000000000002</v>
          </cell>
          <cell r="G47">
            <v>39790.258800000003</v>
          </cell>
          <cell r="H47">
            <v>1845.65</v>
          </cell>
          <cell r="I47">
            <v>0.67636129339622642</v>
          </cell>
          <cell r="J47">
            <v>5305.3779854000004</v>
          </cell>
          <cell r="K47">
            <v>0.16908999999999999</v>
          </cell>
          <cell r="L47">
            <v>1326.34196</v>
          </cell>
          <cell r="M47">
            <v>0</v>
          </cell>
          <cell r="N47">
            <v>0</v>
          </cell>
          <cell r="O47">
            <v>0.84545129339622638</v>
          </cell>
          <cell r="P47">
            <v>6631.7199454000001</v>
          </cell>
          <cell r="Q47">
            <v>5.9181512933962264</v>
          </cell>
          <cell r="R47">
            <v>46421.978745400003</v>
          </cell>
          <cell r="S47">
            <v>0</v>
          </cell>
        </row>
        <row r="48">
          <cell r="B48" t="str">
            <v>screed</v>
          </cell>
          <cell r="C48" t="str">
            <v>20mm thick Mortar</v>
          </cell>
          <cell r="D48" t="str">
            <v>m2</v>
          </cell>
          <cell r="E48">
            <v>20795</v>
          </cell>
          <cell r="F48">
            <v>2.1981700000000002</v>
          </cell>
          <cell r="G48">
            <v>45710.945150000007</v>
          </cell>
          <cell r="H48">
            <v>2446.4699999999998</v>
          </cell>
          <cell r="I48">
            <v>0.33818000000000004</v>
          </cell>
          <cell r="J48">
            <v>7032.4531000000006</v>
          </cell>
          <cell r="K48">
            <v>0.16909000000000002</v>
          </cell>
          <cell r="L48">
            <v>3516.2265500000003</v>
          </cell>
          <cell r="M48">
            <v>0</v>
          </cell>
          <cell r="N48">
            <v>0</v>
          </cell>
          <cell r="O48">
            <v>0.50727000000000011</v>
          </cell>
          <cell r="P48">
            <v>10548.679650000002</v>
          </cell>
          <cell r="Q48">
            <v>2.7054400000000003</v>
          </cell>
          <cell r="R48">
            <v>56259.624800000005</v>
          </cell>
          <cell r="S48">
            <v>0</v>
          </cell>
        </row>
        <row r="49">
          <cell r="B49" t="str">
            <v>Fence (New)</v>
          </cell>
          <cell r="C4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49" t="str">
            <v>m</v>
          </cell>
          <cell r="E49">
            <v>580</v>
          </cell>
          <cell r="F49">
            <v>42.610680000000002</v>
          </cell>
          <cell r="G49">
            <v>24714.1944</v>
          </cell>
          <cell r="H49">
            <v>3070.59</v>
          </cell>
          <cell r="I49">
            <v>15.218111661379311</v>
          </cell>
          <cell r="J49">
            <v>8826.5047635999999</v>
          </cell>
          <cell r="K49">
            <v>3.0436200000000002</v>
          </cell>
          <cell r="L49">
            <v>1765.2996000000001</v>
          </cell>
          <cell r="M49">
            <v>0</v>
          </cell>
          <cell r="N49">
            <v>0</v>
          </cell>
          <cell r="O49">
            <v>18.261731661379311</v>
          </cell>
          <cell r="P49">
            <v>10591.8043636</v>
          </cell>
          <cell r="Q49">
            <v>60.872411661379317</v>
          </cell>
          <cell r="R49">
            <v>35305.998763600001</v>
          </cell>
          <cell r="S49">
            <v>0</v>
          </cell>
        </row>
      </sheetData>
      <sheetData sheetId="10">
        <row r="8">
          <cell r="B8" t="str">
            <v>Demolition (Paving)</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1"/>
      <sheetName val="TABLE2-1 ISBL(GENEAL-CIVIL)"/>
      <sheetName val="TABLE2-1 ISBL-(SlTE PREP)"/>
      <sheetName val="TABLE2.1 ISBL (Soil Invest)"/>
      <sheetName val="TABLE2-2 OSBL(GENERAL-CIVIL)"/>
      <sheetName val="TABLE2-2 OSBL-(SITE PREP)"/>
      <sheetName val="TABLE 2-1 ISBL(BLDG)"/>
      <sheetName val="TABLE 2-2 OSBL(BLDG)"/>
      <sheetName val="BOQ(BLD)"/>
      <sheetName val="BUILDING LIST"/>
      <sheetName val="AREA DEFINITION"/>
      <sheetName val="TABLE 3"/>
      <sheetName val="TABLE 4"/>
      <sheetName val="TABLE 5"/>
      <sheetName val="Bdown_ISBL"/>
    </sheetNames>
    <sheetDataSet>
      <sheetData sheetId="0" refreshError="1"/>
      <sheetData sheetId="1">
        <row r="8">
          <cell r="B8" t="str">
            <v>Excavation</v>
          </cell>
        </row>
        <row r="9">
          <cell r="B9" t="str">
            <v>Back Fill</v>
          </cell>
          <cell r="C9" t="str">
            <v>Good soil (by equipment) Compaction shall be 95% of maximum dry density in six inch compacted layers.</v>
          </cell>
          <cell r="D9" t="str">
            <v>m3</v>
          </cell>
          <cell r="E9">
            <v>107293</v>
          </cell>
          <cell r="I9">
            <v>4.2</v>
          </cell>
          <cell r="J9">
            <v>450630.6</v>
          </cell>
          <cell r="K9">
            <v>2.5</v>
          </cell>
          <cell r="L9">
            <v>268232.5</v>
          </cell>
          <cell r="M9">
            <v>1.9000000000000001</v>
          </cell>
          <cell r="N9">
            <v>203856.7</v>
          </cell>
          <cell r="O9">
            <v>8.6</v>
          </cell>
          <cell r="P9">
            <v>922719.8</v>
          </cell>
          <cell r="Q9">
            <v>8.6</v>
          </cell>
          <cell r="R9">
            <v>922719.8</v>
          </cell>
          <cell r="S9" t="str">
            <v xml:space="preserve"> (by equipment)</v>
          </cell>
        </row>
        <row r="10">
          <cell r="B10" t="str">
            <v>Disposal</v>
          </cell>
          <cell r="C10" t="str">
            <v>Good soil</v>
          </cell>
          <cell r="D10" t="str">
            <v>m3</v>
          </cell>
          <cell r="E10">
            <v>56744</v>
          </cell>
          <cell r="I10">
            <v>1.3599999999999999</v>
          </cell>
          <cell r="J10">
            <v>77171.839999999997</v>
          </cell>
          <cell r="K10">
            <v>1.7</v>
          </cell>
          <cell r="L10">
            <v>96464.8</v>
          </cell>
          <cell r="M10">
            <v>0.33999999999999997</v>
          </cell>
          <cell r="N10">
            <v>19292.96</v>
          </cell>
          <cell r="O10">
            <v>3.4</v>
          </cell>
          <cell r="P10">
            <v>192929.6</v>
          </cell>
          <cell r="Q10">
            <v>3.4</v>
          </cell>
          <cell r="R10">
            <v>192929.6</v>
          </cell>
        </row>
        <row r="11">
          <cell r="B11" t="str">
            <v>Concrete</v>
          </cell>
          <cell r="C11" t="str">
            <v>Grade C30 , ASTM C150 (TYPE-V)</v>
          </cell>
          <cell r="D11" t="str">
            <v>m3</v>
          </cell>
          <cell r="E11">
            <v>7590</v>
          </cell>
          <cell r="F11">
            <v>102</v>
          </cell>
          <cell r="G11">
            <v>774180</v>
          </cell>
          <cell r="I11">
            <v>49.5</v>
          </cell>
          <cell r="J11">
            <v>375705</v>
          </cell>
          <cell r="K11">
            <v>38.5</v>
          </cell>
          <cell r="L11">
            <v>292215</v>
          </cell>
          <cell r="M11">
            <v>22</v>
          </cell>
          <cell r="N11">
            <v>166980</v>
          </cell>
          <cell r="O11">
            <v>110</v>
          </cell>
          <cell r="P11">
            <v>834900</v>
          </cell>
          <cell r="Q11">
            <v>212</v>
          </cell>
          <cell r="R11">
            <v>1609080</v>
          </cell>
        </row>
        <row r="12">
          <cell r="B12" t="str">
            <v>Blinding Con'c</v>
          </cell>
          <cell r="C12" t="str">
            <v>Grade C20, Thk.=50mm. (DEP 34.19.20.31-Gen.)</v>
          </cell>
          <cell r="D12" t="str">
            <v>m3</v>
          </cell>
          <cell r="E12">
            <v>494</v>
          </cell>
          <cell r="F12">
            <v>85</v>
          </cell>
          <cell r="G12">
            <v>41990</v>
          </cell>
          <cell r="I12">
            <v>41</v>
          </cell>
          <cell r="J12">
            <v>20254</v>
          </cell>
          <cell r="K12">
            <v>31.5</v>
          </cell>
          <cell r="L12">
            <v>15561</v>
          </cell>
          <cell r="M12">
            <v>17.5</v>
          </cell>
          <cell r="N12">
            <v>8645</v>
          </cell>
          <cell r="O12">
            <v>90</v>
          </cell>
          <cell r="P12">
            <v>44460</v>
          </cell>
          <cell r="Q12">
            <v>175</v>
          </cell>
          <cell r="R12">
            <v>86450</v>
          </cell>
        </row>
        <row r="13">
          <cell r="B13" t="str">
            <v>Form Work</v>
          </cell>
          <cell r="C13" t="str">
            <v>ACI 347</v>
          </cell>
          <cell r="D13" t="str">
            <v>m2</v>
          </cell>
          <cell r="E13">
            <v>25373</v>
          </cell>
          <cell r="F13">
            <v>10</v>
          </cell>
          <cell r="G13">
            <v>253730</v>
          </cell>
          <cell r="I13">
            <v>4.2</v>
          </cell>
          <cell r="J13">
            <v>106566.6</v>
          </cell>
          <cell r="K13">
            <v>3.5</v>
          </cell>
          <cell r="L13">
            <v>88805.5</v>
          </cell>
          <cell r="M13">
            <v>3</v>
          </cell>
          <cell r="N13">
            <v>76119</v>
          </cell>
          <cell r="O13">
            <v>10.7</v>
          </cell>
          <cell r="P13">
            <v>271491.09999999998</v>
          </cell>
          <cell r="Q13">
            <v>20.7</v>
          </cell>
          <cell r="R13">
            <v>525221.1</v>
          </cell>
        </row>
        <row r="14">
          <cell r="B14" t="str">
            <v>Re-Bar</v>
          </cell>
          <cell r="C14" t="str">
            <v xml:space="preserve">ASTM A 615 Grade 60 Type S </v>
          </cell>
          <cell r="D14" t="str">
            <v>Ton</v>
          </cell>
          <cell r="E14">
            <v>620</v>
          </cell>
          <cell r="F14">
            <v>543</v>
          </cell>
          <cell r="G14">
            <v>336660</v>
          </cell>
          <cell r="I14">
            <v>122</v>
          </cell>
          <cell r="J14">
            <v>75640</v>
          </cell>
          <cell r="K14">
            <v>110</v>
          </cell>
          <cell r="L14">
            <v>68200</v>
          </cell>
          <cell r="M14">
            <v>73</v>
          </cell>
          <cell r="N14">
            <v>45260</v>
          </cell>
          <cell r="O14">
            <v>305</v>
          </cell>
          <cell r="P14">
            <v>189100</v>
          </cell>
          <cell r="Q14">
            <v>848</v>
          </cell>
          <cell r="R14">
            <v>525760</v>
          </cell>
        </row>
        <row r="15">
          <cell r="B15" t="str">
            <v>Non-Shrinkage Grout</v>
          </cell>
          <cell r="C15" t="str">
            <v>75 N/mm2, DEP 34.19.20.31-Gen</v>
          </cell>
          <cell r="D15" t="str">
            <v>m3</v>
          </cell>
          <cell r="E15">
            <v>29</v>
          </cell>
          <cell r="F15">
            <v>600</v>
          </cell>
          <cell r="G15">
            <v>17400</v>
          </cell>
          <cell r="I15">
            <v>378</v>
          </cell>
          <cell r="J15">
            <v>10962</v>
          </cell>
          <cell r="K15">
            <v>250</v>
          </cell>
          <cell r="L15">
            <v>7250</v>
          </cell>
          <cell r="M15">
            <v>189</v>
          </cell>
          <cell r="N15">
            <v>5481</v>
          </cell>
          <cell r="O15">
            <v>817</v>
          </cell>
          <cell r="P15">
            <v>23693</v>
          </cell>
          <cell r="Q15">
            <v>1417</v>
          </cell>
          <cell r="R15">
            <v>41093</v>
          </cell>
        </row>
        <row r="16">
          <cell r="B16" t="str">
            <v>Sand/Cement Grout</v>
          </cell>
          <cell r="C16" t="str">
            <v>20 N/mm2,DEP 34.19.20.31-Gen</v>
          </cell>
          <cell r="D16" t="str">
            <v>m3</v>
          </cell>
          <cell r="E16">
            <v>1</v>
          </cell>
          <cell r="F16">
            <v>110</v>
          </cell>
          <cell r="G16">
            <v>110</v>
          </cell>
          <cell r="I16">
            <v>72</v>
          </cell>
          <cell r="J16">
            <v>72</v>
          </cell>
          <cell r="K16">
            <v>56</v>
          </cell>
          <cell r="L16">
            <v>56</v>
          </cell>
          <cell r="M16">
            <v>34</v>
          </cell>
          <cell r="N16">
            <v>34</v>
          </cell>
          <cell r="O16">
            <v>162</v>
          </cell>
          <cell r="P16">
            <v>162</v>
          </cell>
          <cell r="Q16">
            <v>272</v>
          </cell>
          <cell r="R16">
            <v>272</v>
          </cell>
        </row>
        <row r="17">
          <cell r="B17" t="str">
            <v>FDN. Surface Coating (U/G)</v>
          </cell>
          <cell r="C17" t="str">
            <v xml:space="preserve">bitu-coating, 2 times, 0.4kg/m2 </v>
          </cell>
          <cell r="D17" t="str">
            <v>m2</v>
          </cell>
          <cell r="E17">
            <v>14567</v>
          </cell>
          <cell r="F17">
            <v>3.4</v>
          </cell>
          <cell r="G17">
            <v>49527.8</v>
          </cell>
          <cell r="I17">
            <v>2.04</v>
          </cell>
          <cell r="J17">
            <v>29716.68</v>
          </cell>
          <cell r="K17">
            <v>1.02</v>
          </cell>
          <cell r="L17">
            <v>14858.34</v>
          </cell>
          <cell r="M17">
            <v>0.33999999999999997</v>
          </cell>
          <cell r="N17">
            <v>4952.78</v>
          </cell>
          <cell r="O17">
            <v>3.4000000000000004</v>
          </cell>
          <cell r="P17">
            <v>49527.8</v>
          </cell>
          <cell r="Q17">
            <v>6.8000000000000007</v>
          </cell>
          <cell r="R17">
            <v>99055.6</v>
          </cell>
        </row>
        <row r="18">
          <cell r="B18" t="str">
            <v>FDN. Surface Coating (A/G)</v>
          </cell>
          <cell r="C18" t="str">
            <v>bitu-coating, 2 times, 0.4kg/m2, 150mm above ground level</v>
          </cell>
          <cell r="D18" t="str">
            <v>m2</v>
          </cell>
          <cell r="E18">
            <v>977</v>
          </cell>
          <cell r="F18">
            <v>3.4</v>
          </cell>
          <cell r="G18">
            <v>3321.8</v>
          </cell>
          <cell r="I18">
            <v>2.04</v>
          </cell>
          <cell r="J18">
            <v>1993.08</v>
          </cell>
          <cell r="K18">
            <v>1.02</v>
          </cell>
          <cell r="L18">
            <v>996.54</v>
          </cell>
          <cell r="M18">
            <v>0.34</v>
          </cell>
          <cell r="N18">
            <v>332.18</v>
          </cell>
          <cell r="O18">
            <v>3.4000000000000004</v>
          </cell>
          <cell r="P18">
            <v>3321.8</v>
          </cell>
          <cell r="Q18">
            <v>6.8000000000000007</v>
          </cell>
          <cell r="R18">
            <v>6643.6</v>
          </cell>
        </row>
        <row r="19">
          <cell r="B19" t="str">
            <v>Sand Bitumen</v>
          </cell>
          <cell r="C19" t="str">
            <v>50mm sand bitumen mix or oil/sand mix. (DEP 34.18.51.10-Gen. Appendix 3 and 4)</v>
          </cell>
          <cell r="D19" t="str">
            <v>m3</v>
          </cell>
          <cell r="E19">
            <v>3</v>
          </cell>
          <cell r="F19">
            <v>84.5</v>
          </cell>
          <cell r="G19">
            <v>253.5</v>
          </cell>
          <cell r="I19">
            <v>38.5</v>
          </cell>
          <cell r="J19">
            <v>115.5</v>
          </cell>
          <cell r="K19">
            <v>34</v>
          </cell>
          <cell r="L19">
            <v>102</v>
          </cell>
          <cell r="M19">
            <v>13</v>
          </cell>
          <cell r="N19">
            <v>39</v>
          </cell>
          <cell r="O19">
            <v>85.5</v>
          </cell>
          <cell r="P19">
            <v>256.5</v>
          </cell>
          <cell r="Q19">
            <v>170</v>
          </cell>
          <cell r="R19">
            <v>510</v>
          </cell>
        </row>
        <row r="20">
          <cell r="B20" t="str">
            <v>Structural Fill (Sand)</v>
          </cell>
          <cell r="C20" t="str">
            <v>Compaction shall be 95% of maximum dry density in six inch compacted layers.</v>
          </cell>
          <cell r="D20" t="str">
            <v>m3</v>
          </cell>
          <cell r="E20">
            <v>21387</v>
          </cell>
          <cell r="F20">
            <v>3</v>
          </cell>
          <cell r="G20">
            <v>64161</v>
          </cell>
          <cell r="I20">
            <v>3.4000000000000004</v>
          </cell>
          <cell r="J20">
            <v>72715.8</v>
          </cell>
          <cell r="K20">
            <v>3</v>
          </cell>
          <cell r="L20">
            <v>64161</v>
          </cell>
          <cell r="M20">
            <v>1.2000000000000002</v>
          </cell>
          <cell r="N20">
            <v>25664.400000000001</v>
          </cell>
          <cell r="O20">
            <v>7.6000000000000005</v>
          </cell>
          <cell r="P20">
            <v>162541.20000000001</v>
          </cell>
          <cell r="Q20">
            <v>10.600000000000001</v>
          </cell>
          <cell r="R20">
            <v>226702.2</v>
          </cell>
        </row>
        <row r="21">
          <cell r="B21" t="str">
            <v>Structural Fill (Compacted Stone or Gravel)</v>
          </cell>
          <cell r="C21" t="str">
            <v>Compaction shall be 95% of maximum dry density in six inch compacted layers.</v>
          </cell>
          <cell r="D21" t="str">
            <v>m3</v>
          </cell>
          <cell r="E21">
            <v>5</v>
          </cell>
          <cell r="F21">
            <v>27</v>
          </cell>
          <cell r="G21">
            <v>135</v>
          </cell>
          <cell r="I21">
            <v>12</v>
          </cell>
          <cell r="J21">
            <v>60</v>
          </cell>
          <cell r="K21">
            <v>10</v>
          </cell>
          <cell r="L21">
            <v>50</v>
          </cell>
          <cell r="M21">
            <v>2</v>
          </cell>
          <cell r="N21">
            <v>10</v>
          </cell>
          <cell r="O21">
            <v>24</v>
          </cell>
          <cell r="P21">
            <v>120</v>
          </cell>
          <cell r="Q21">
            <v>51</v>
          </cell>
          <cell r="R21">
            <v>255</v>
          </cell>
        </row>
        <row r="22">
          <cell r="B22" t="str">
            <v>Water Stop</v>
          </cell>
          <cell r="C22" t="str">
            <v>PVC, W=150mm</v>
          </cell>
          <cell r="D22" t="str">
            <v>m</v>
          </cell>
          <cell r="E22">
            <v>522</v>
          </cell>
          <cell r="F22">
            <v>8.5</v>
          </cell>
          <cell r="G22">
            <v>4437</v>
          </cell>
          <cell r="I22">
            <v>3.4</v>
          </cell>
          <cell r="J22">
            <v>1774.8</v>
          </cell>
          <cell r="K22">
            <v>3</v>
          </cell>
          <cell r="L22">
            <v>1566</v>
          </cell>
          <cell r="M22">
            <v>2.1</v>
          </cell>
          <cell r="N22">
            <v>1096.2</v>
          </cell>
          <cell r="O22">
            <v>8.5</v>
          </cell>
          <cell r="P22">
            <v>4437</v>
          </cell>
          <cell r="Q22">
            <v>17</v>
          </cell>
          <cell r="R22">
            <v>8874</v>
          </cell>
        </row>
        <row r="23">
          <cell r="B23" t="str">
            <v>Outside Water Proofing (for Pit &amp; Basin)</v>
          </cell>
          <cell r="C23" t="str">
            <v xml:space="preserve">bitu-coating, 2 times, 0.4kg/m2 </v>
          </cell>
          <cell r="D23" t="str">
            <v>m2</v>
          </cell>
          <cell r="E23">
            <v>1215</v>
          </cell>
          <cell r="F23">
            <v>3.4</v>
          </cell>
          <cell r="G23">
            <v>4131</v>
          </cell>
          <cell r="I23">
            <v>2.04</v>
          </cell>
          <cell r="J23">
            <v>2478.6</v>
          </cell>
          <cell r="K23">
            <v>1.02</v>
          </cell>
          <cell r="L23">
            <v>1239.3</v>
          </cell>
          <cell r="M23">
            <v>0.34</v>
          </cell>
          <cell r="N23">
            <v>413.1</v>
          </cell>
          <cell r="O23">
            <v>3.4</v>
          </cell>
          <cell r="P23">
            <v>4131</v>
          </cell>
          <cell r="Q23">
            <v>6.8</v>
          </cell>
          <cell r="R23">
            <v>8262</v>
          </cell>
        </row>
        <row r="24">
          <cell r="B24" t="str">
            <v>Inside Wall Coating (Water Proofing Only)</v>
          </cell>
          <cell r="C24" t="str">
            <v>Liquid water coating</v>
          </cell>
          <cell r="D24" t="str">
            <v>m2</v>
          </cell>
          <cell r="E24">
            <v>1375</v>
          </cell>
          <cell r="F24">
            <v>3.4</v>
          </cell>
          <cell r="G24">
            <v>4675</v>
          </cell>
          <cell r="I24">
            <v>2.04</v>
          </cell>
          <cell r="J24">
            <v>2805</v>
          </cell>
          <cell r="K24">
            <v>1.02</v>
          </cell>
          <cell r="L24">
            <v>1402.5</v>
          </cell>
          <cell r="M24">
            <v>0.34</v>
          </cell>
          <cell r="N24">
            <v>467.5</v>
          </cell>
          <cell r="O24">
            <v>3.4</v>
          </cell>
          <cell r="P24">
            <v>4675</v>
          </cell>
          <cell r="Q24">
            <v>6.8</v>
          </cell>
          <cell r="R24">
            <v>9350</v>
          </cell>
        </row>
        <row r="25">
          <cell r="B25" t="str">
            <v>Drain Pipe (for concrete Tank)</v>
          </cell>
          <cell r="C25" t="str">
            <v>HDPE drain pipe (Φ 75x6.9mm)</v>
          </cell>
          <cell r="D25" t="str">
            <v>m</v>
          </cell>
          <cell r="E25">
            <v>1</v>
          </cell>
          <cell r="F25">
            <v>6</v>
          </cell>
          <cell r="G25">
            <v>6</v>
          </cell>
          <cell r="I25">
            <v>3.6</v>
          </cell>
          <cell r="J25">
            <v>3.6</v>
          </cell>
          <cell r="K25">
            <v>2.8</v>
          </cell>
          <cell r="L25">
            <v>2.8</v>
          </cell>
          <cell r="M25">
            <v>1.2</v>
          </cell>
          <cell r="N25">
            <v>1.2</v>
          </cell>
          <cell r="O25">
            <v>7.6</v>
          </cell>
          <cell r="P25">
            <v>7.6</v>
          </cell>
          <cell r="Q25">
            <v>13.6</v>
          </cell>
          <cell r="R25">
            <v>13.6</v>
          </cell>
        </row>
        <row r="26">
          <cell r="B26" t="str">
            <v>Geotextile membrane</v>
          </cell>
          <cell r="C26" t="str">
            <v>woven/roven type Nicolon No. 66339 or equivalent</v>
          </cell>
          <cell r="D26" t="str">
            <v>m2</v>
          </cell>
          <cell r="E26">
            <v>128</v>
          </cell>
          <cell r="F26">
            <v>3</v>
          </cell>
          <cell r="G26">
            <v>384</v>
          </cell>
          <cell r="I26">
            <v>1.7</v>
          </cell>
          <cell r="J26">
            <v>217.6</v>
          </cell>
          <cell r="K26">
            <v>1.4</v>
          </cell>
          <cell r="L26">
            <v>179.2</v>
          </cell>
          <cell r="M26">
            <v>1.1000000000000001</v>
          </cell>
          <cell r="N26">
            <v>140.80000000000001</v>
          </cell>
          <cell r="O26">
            <v>4.2</v>
          </cell>
          <cell r="P26">
            <v>537.6</v>
          </cell>
          <cell r="Q26">
            <v>7.2</v>
          </cell>
          <cell r="R26">
            <v>921.6</v>
          </cell>
        </row>
        <row r="27">
          <cell r="B27" t="str">
            <v>Drain Pipe (for Tank Foundation) 1</v>
          </cell>
          <cell r="C27" t="str">
            <v>HDPE drain pipe (Φ 125mm)</v>
          </cell>
          <cell r="D27" t="str">
            <v>m</v>
          </cell>
          <cell r="E27">
            <v>14</v>
          </cell>
          <cell r="F27">
            <v>8</v>
          </cell>
          <cell r="G27">
            <v>112</v>
          </cell>
          <cell r="I27">
            <v>3.6</v>
          </cell>
          <cell r="J27">
            <v>50.4</v>
          </cell>
          <cell r="K27">
            <v>2.8000000000000003</v>
          </cell>
          <cell r="L27">
            <v>39.200000000000003</v>
          </cell>
          <cell r="M27">
            <v>1.2</v>
          </cell>
          <cell r="N27">
            <v>16.8</v>
          </cell>
          <cell r="O27">
            <v>7.6000000000000005</v>
          </cell>
          <cell r="P27">
            <v>106.4</v>
          </cell>
          <cell r="Q27">
            <v>15.6</v>
          </cell>
          <cell r="R27">
            <v>218.4</v>
          </cell>
        </row>
        <row r="28">
          <cell r="B28" t="str">
            <v>Drain Pipe (for Tank Foundation) 2</v>
          </cell>
          <cell r="C28" t="str">
            <v>HDPE drain pipe (Φ 25mm)</v>
          </cell>
          <cell r="D28" t="str">
            <v>m</v>
          </cell>
          <cell r="E28">
            <v>14</v>
          </cell>
          <cell r="F28">
            <v>4</v>
          </cell>
          <cell r="G28">
            <v>56</v>
          </cell>
          <cell r="I28">
            <v>3.6</v>
          </cell>
          <cell r="J28">
            <v>50.4</v>
          </cell>
          <cell r="K28">
            <v>2.8000000000000003</v>
          </cell>
          <cell r="L28">
            <v>39.200000000000003</v>
          </cell>
          <cell r="M28">
            <v>1.2</v>
          </cell>
          <cell r="N28">
            <v>16.8</v>
          </cell>
          <cell r="O28">
            <v>7.6000000000000005</v>
          </cell>
          <cell r="P28">
            <v>106.4</v>
          </cell>
          <cell r="Q28">
            <v>11.6</v>
          </cell>
          <cell r="R28">
            <v>162.4</v>
          </cell>
        </row>
        <row r="29">
          <cell r="B29" t="str">
            <v>Manhole Cover</v>
          </cell>
          <cell r="C29" t="str">
            <v>Cast Iron cover, Φ600mm (unpaved area)</v>
          </cell>
          <cell r="D29" t="str">
            <v>ea</v>
          </cell>
          <cell r="E29">
            <v>12</v>
          </cell>
          <cell r="F29">
            <v>96</v>
          </cell>
          <cell r="G29">
            <v>1152</v>
          </cell>
          <cell r="I29">
            <v>48</v>
          </cell>
          <cell r="J29">
            <v>576</v>
          </cell>
          <cell r="K29">
            <v>33</v>
          </cell>
          <cell r="L29">
            <v>396</v>
          </cell>
          <cell r="M29">
            <v>20</v>
          </cell>
          <cell r="N29">
            <v>240</v>
          </cell>
          <cell r="O29">
            <v>101</v>
          </cell>
          <cell r="P29">
            <v>1212</v>
          </cell>
          <cell r="Q29">
            <v>197</v>
          </cell>
          <cell r="R29">
            <v>2364</v>
          </cell>
        </row>
        <row r="30">
          <cell r="B30" t="str">
            <v>Hume Pipe</v>
          </cell>
          <cell r="C30" t="str">
            <v>D=450mm</v>
          </cell>
          <cell r="D30" t="str">
            <v>m</v>
          </cell>
          <cell r="E30">
            <v>1180</v>
          </cell>
          <cell r="F30">
            <v>50</v>
          </cell>
          <cell r="G30">
            <v>59000</v>
          </cell>
          <cell r="I30">
            <v>14.5</v>
          </cell>
          <cell r="J30">
            <v>17110</v>
          </cell>
          <cell r="K30">
            <v>12</v>
          </cell>
          <cell r="L30">
            <v>14160</v>
          </cell>
          <cell r="M30">
            <v>8</v>
          </cell>
          <cell r="N30">
            <v>9440</v>
          </cell>
          <cell r="O30">
            <v>34.5</v>
          </cell>
          <cell r="P30">
            <v>40710</v>
          </cell>
          <cell r="Q30">
            <v>84.5</v>
          </cell>
          <cell r="R30">
            <v>99710</v>
          </cell>
        </row>
        <row r="31">
          <cell r="B31" t="str">
            <v>4" diameter vent pipe</v>
          </cell>
          <cell r="C31" t="str">
            <v>steel pipe</v>
          </cell>
          <cell r="D31" t="str">
            <v>m</v>
          </cell>
          <cell r="E31">
            <v>48</v>
          </cell>
          <cell r="F31">
            <v>16</v>
          </cell>
          <cell r="G31">
            <v>768</v>
          </cell>
          <cell r="I31">
            <v>8.5</v>
          </cell>
          <cell r="J31">
            <v>408</v>
          </cell>
          <cell r="K31">
            <v>4.5</v>
          </cell>
          <cell r="L31">
            <v>216</v>
          </cell>
          <cell r="M31">
            <v>3</v>
          </cell>
          <cell r="N31">
            <v>144</v>
          </cell>
          <cell r="O31">
            <v>16</v>
          </cell>
          <cell r="P31">
            <v>768</v>
          </cell>
          <cell r="Q31">
            <v>32</v>
          </cell>
          <cell r="R31">
            <v>1536</v>
          </cell>
        </row>
        <row r="32">
          <cell r="B32" t="str">
            <v>Warning Tape</v>
          </cell>
          <cell r="C32" t="str">
            <v>P.V.C</v>
          </cell>
          <cell r="D32" t="str">
            <v>m</v>
          </cell>
          <cell r="E32">
            <v>16632</v>
          </cell>
          <cell r="F32">
            <v>1.5</v>
          </cell>
          <cell r="G32">
            <v>24948</v>
          </cell>
          <cell r="I32">
            <v>0.75</v>
          </cell>
          <cell r="J32">
            <v>12474</v>
          </cell>
          <cell r="K32">
            <v>0.4</v>
          </cell>
          <cell r="L32">
            <v>6652.8</v>
          </cell>
          <cell r="M32">
            <v>0.4</v>
          </cell>
          <cell r="N32">
            <v>6652.8</v>
          </cell>
          <cell r="O32">
            <v>1.5499999999999998</v>
          </cell>
          <cell r="P32">
            <v>25779.599999999999</v>
          </cell>
          <cell r="Q32">
            <v>3.05</v>
          </cell>
          <cell r="R32">
            <v>50727.6</v>
          </cell>
        </row>
        <row r="33">
          <cell r="B33" t="str">
            <v>Grating</v>
          </cell>
          <cell r="C33" t="str">
            <v>I-30x3, Galvanized</v>
          </cell>
          <cell r="D33" t="str">
            <v>m2</v>
          </cell>
          <cell r="E33">
            <v>54</v>
          </cell>
          <cell r="F33">
            <v>92</v>
          </cell>
          <cell r="G33">
            <v>4968</v>
          </cell>
          <cell r="I33">
            <v>21</v>
          </cell>
          <cell r="J33">
            <v>1134</v>
          </cell>
          <cell r="K33">
            <v>18</v>
          </cell>
          <cell r="L33">
            <v>972</v>
          </cell>
          <cell r="M33">
            <v>15</v>
          </cell>
          <cell r="N33">
            <v>810</v>
          </cell>
          <cell r="O33">
            <v>54</v>
          </cell>
          <cell r="P33">
            <v>2916</v>
          </cell>
          <cell r="Q33">
            <v>146</v>
          </cell>
          <cell r="R33">
            <v>7884</v>
          </cell>
        </row>
        <row r="34">
          <cell r="B34" t="str">
            <v>Checkered Plate</v>
          </cell>
          <cell r="C34" t="str">
            <v>Thk.=6mm, Galvanized</v>
          </cell>
          <cell r="D34" t="str">
            <v>m2</v>
          </cell>
          <cell r="E34">
            <v>121</v>
          </cell>
          <cell r="F34">
            <v>45</v>
          </cell>
          <cell r="G34">
            <v>5445</v>
          </cell>
          <cell r="I34">
            <v>24</v>
          </cell>
          <cell r="J34">
            <v>2904</v>
          </cell>
          <cell r="K34">
            <v>16</v>
          </cell>
          <cell r="L34">
            <v>1936</v>
          </cell>
          <cell r="M34">
            <v>14</v>
          </cell>
          <cell r="N34">
            <v>1694</v>
          </cell>
          <cell r="O34">
            <v>54</v>
          </cell>
          <cell r="P34">
            <v>6534</v>
          </cell>
          <cell r="Q34">
            <v>99</v>
          </cell>
          <cell r="R34">
            <v>11979</v>
          </cell>
        </row>
        <row r="35">
          <cell r="B35" t="str">
            <v>Step Iron</v>
          </cell>
          <cell r="C35" t="str">
            <v>ASTM A36, Round Bar Φ20x1200L, Hot dip galvanized</v>
          </cell>
          <cell r="D35" t="str">
            <v>ea</v>
          </cell>
          <cell r="E35">
            <v>704</v>
          </cell>
          <cell r="F35">
            <v>3.6</v>
          </cell>
          <cell r="G35">
            <v>2534.4</v>
          </cell>
          <cell r="I35">
            <v>2</v>
          </cell>
          <cell r="J35">
            <v>1408</v>
          </cell>
          <cell r="K35">
            <v>1.5</v>
          </cell>
          <cell r="L35">
            <v>1056</v>
          </cell>
          <cell r="M35">
            <v>1.2</v>
          </cell>
          <cell r="N35">
            <v>844.8</v>
          </cell>
          <cell r="O35">
            <v>4.7</v>
          </cell>
          <cell r="P35">
            <v>3308.8</v>
          </cell>
          <cell r="Q35">
            <v>8.2999999999999989</v>
          </cell>
          <cell r="R35">
            <v>5843.2</v>
          </cell>
        </row>
        <row r="36">
          <cell r="B36" t="str">
            <v>Misc. Steel</v>
          </cell>
          <cell r="C36" t="str">
            <v>ASTM A36 or equivalent</v>
          </cell>
          <cell r="D36" t="str">
            <v>Ton</v>
          </cell>
          <cell r="E36">
            <v>5</v>
          </cell>
          <cell r="F36">
            <v>820</v>
          </cell>
          <cell r="G36">
            <v>4100</v>
          </cell>
          <cell r="I36">
            <v>425</v>
          </cell>
          <cell r="J36">
            <v>2125</v>
          </cell>
          <cell r="K36">
            <v>370</v>
          </cell>
          <cell r="L36">
            <v>1850</v>
          </cell>
          <cell r="M36">
            <v>250</v>
          </cell>
          <cell r="N36">
            <v>1250</v>
          </cell>
          <cell r="O36">
            <v>1045</v>
          </cell>
          <cell r="P36">
            <v>5225</v>
          </cell>
          <cell r="Q36">
            <v>1865</v>
          </cell>
          <cell r="R36">
            <v>9325</v>
          </cell>
        </row>
        <row r="37">
          <cell r="B37" t="str">
            <v>Anchor Bolt (M24)</v>
          </cell>
          <cell r="C37" t="str">
            <v>ASTM A36 or equivalent (Refer DEP S28.020), Install only</v>
          </cell>
          <cell r="D37" t="str">
            <v>ea</v>
          </cell>
          <cell r="E37">
            <v>38</v>
          </cell>
          <cell r="G37">
            <v>0</v>
          </cell>
          <cell r="I37">
            <v>6</v>
          </cell>
          <cell r="J37">
            <v>228</v>
          </cell>
          <cell r="K37">
            <v>5</v>
          </cell>
          <cell r="L37">
            <v>190</v>
          </cell>
          <cell r="M37">
            <v>3</v>
          </cell>
          <cell r="N37">
            <v>114</v>
          </cell>
          <cell r="O37">
            <v>14</v>
          </cell>
          <cell r="P37">
            <v>532</v>
          </cell>
          <cell r="Q37">
            <v>14</v>
          </cell>
          <cell r="R37">
            <v>532</v>
          </cell>
        </row>
        <row r="38">
          <cell r="B38" t="str">
            <v>Anchor Bolt (M36)</v>
          </cell>
          <cell r="C38" t="str">
            <v>ASTM A36 or equivalent (Refer DEP S28.020), Install only</v>
          </cell>
          <cell r="D38" t="str">
            <v>ea</v>
          </cell>
          <cell r="E38">
            <v>1238</v>
          </cell>
          <cell r="G38">
            <v>0</v>
          </cell>
          <cell r="I38">
            <v>7</v>
          </cell>
          <cell r="J38">
            <v>8666</v>
          </cell>
          <cell r="K38">
            <v>6</v>
          </cell>
          <cell r="L38">
            <v>7428</v>
          </cell>
          <cell r="M38">
            <v>3.5</v>
          </cell>
          <cell r="N38">
            <v>4333</v>
          </cell>
          <cell r="O38">
            <v>16.5</v>
          </cell>
          <cell r="P38">
            <v>20427</v>
          </cell>
          <cell r="Q38">
            <v>16.5</v>
          </cell>
          <cell r="R38">
            <v>20427</v>
          </cell>
        </row>
        <row r="39">
          <cell r="B39" t="str">
            <v>Anchor Bolt (M42)</v>
          </cell>
          <cell r="C39" t="str">
            <v>ASTM A36 or equivalent (Refer DEP S28.020), Install only</v>
          </cell>
          <cell r="D39" t="str">
            <v>ea</v>
          </cell>
          <cell r="E39">
            <v>461</v>
          </cell>
          <cell r="G39">
            <v>0</v>
          </cell>
          <cell r="I39">
            <v>7</v>
          </cell>
          <cell r="J39">
            <v>3227</v>
          </cell>
          <cell r="K39">
            <v>6</v>
          </cell>
          <cell r="L39">
            <v>2766</v>
          </cell>
          <cell r="M39">
            <v>3.5</v>
          </cell>
          <cell r="N39">
            <v>1613.5</v>
          </cell>
          <cell r="O39">
            <v>16.5</v>
          </cell>
          <cell r="P39">
            <v>7606.5</v>
          </cell>
          <cell r="Q39">
            <v>16.5</v>
          </cell>
          <cell r="R39">
            <v>7606.5</v>
          </cell>
        </row>
        <row r="40">
          <cell r="B40" t="str">
            <v>uPVC Pipe (for Cable Duct, Electric or Instrument)</v>
          </cell>
          <cell r="C40" t="str">
            <v>D=150mm, PVC Pipe</v>
          </cell>
          <cell r="D40" t="str">
            <v>m</v>
          </cell>
          <cell r="E40">
            <v>2573</v>
          </cell>
          <cell r="F40">
            <v>7</v>
          </cell>
          <cell r="G40">
            <v>18011</v>
          </cell>
          <cell r="I40">
            <v>3.5999999999999996</v>
          </cell>
          <cell r="J40">
            <v>9262.7999999999993</v>
          </cell>
          <cell r="K40">
            <v>2.5</v>
          </cell>
          <cell r="L40">
            <v>6432.5</v>
          </cell>
          <cell r="M40">
            <v>1.1000000000000001</v>
          </cell>
          <cell r="N40">
            <v>2830.3</v>
          </cell>
          <cell r="O40">
            <v>7.1999999999999993</v>
          </cell>
          <cell r="P40">
            <v>18525.599999999999</v>
          </cell>
          <cell r="Q40">
            <v>14.2</v>
          </cell>
          <cell r="R40">
            <v>36536.6</v>
          </cell>
        </row>
        <row r="41">
          <cell r="B41" t="str">
            <v>Electric Con'c Trench Cover (Red Coloring on the Top Surface)</v>
          </cell>
          <cell r="C41" t="str">
            <v>Thk.=50mm, grade C-30 (for Light duty paved area)</v>
          </cell>
          <cell r="D41" t="str">
            <v>m3</v>
          </cell>
          <cell r="E41">
            <v>506</v>
          </cell>
          <cell r="F41">
            <v>120</v>
          </cell>
          <cell r="G41">
            <v>60720</v>
          </cell>
          <cell r="I41">
            <v>64</v>
          </cell>
          <cell r="J41">
            <v>32384</v>
          </cell>
          <cell r="K41">
            <v>57</v>
          </cell>
          <cell r="L41">
            <v>28842</v>
          </cell>
          <cell r="M41">
            <v>41</v>
          </cell>
          <cell r="N41">
            <v>20746</v>
          </cell>
          <cell r="O41">
            <v>162</v>
          </cell>
          <cell r="P41">
            <v>81972</v>
          </cell>
          <cell r="Q41">
            <v>282</v>
          </cell>
          <cell r="R41">
            <v>142692</v>
          </cell>
        </row>
        <row r="42">
          <cell r="B42" t="str">
            <v>Protection Concrete</v>
          </cell>
          <cell r="C42" t="str">
            <v>300x300x60 Concrete</v>
          </cell>
          <cell r="D42" t="str">
            <v>m2</v>
          </cell>
          <cell r="E42">
            <v>12270</v>
          </cell>
          <cell r="F42">
            <v>5</v>
          </cell>
          <cell r="G42">
            <v>61350</v>
          </cell>
          <cell r="I42">
            <v>2.7</v>
          </cell>
          <cell r="J42">
            <v>33129</v>
          </cell>
          <cell r="K42">
            <v>1.5</v>
          </cell>
          <cell r="L42">
            <v>18405</v>
          </cell>
          <cell r="M42">
            <v>1.2</v>
          </cell>
          <cell r="N42">
            <v>14724</v>
          </cell>
          <cell r="O42">
            <v>5.4</v>
          </cell>
          <cell r="P42">
            <v>66258</v>
          </cell>
          <cell r="Q42">
            <v>10.4</v>
          </cell>
          <cell r="R42">
            <v>127608</v>
          </cell>
        </row>
        <row r="43">
          <cell r="B43" t="str">
            <v>Protection Barrier</v>
          </cell>
          <cell r="C43" t="str">
            <v>Heigth 700mm, 4" Line pipe schedule 80.
DEP 80.47.10.31-GEN. (including foundation)</v>
          </cell>
          <cell r="D43" t="str">
            <v>ea</v>
          </cell>
          <cell r="E43">
            <v>110</v>
          </cell>
          <cell r="F43">
            <v>45</v>
          </cell>
          <cell r="G43">
            <v>4950</v>
          </cell>
          <cell r="I43">
            <v>27.5</v>
          </cell>
          <cell r="J43">
            <v>3025</v>
          </cell>
          <cell r="K43">
            <v>14</v>
          </cell>
          <cell r="L43">
            <v>1540</v>
          </cell>
          <cell r="M43">
            <v>9</v>
          </cell>
          <cell r="N43">
            <v>990</v>
          </cell>
          <cell r="O43">
            <v>50.5</v>
          </cell>
          <cell r="P43">
            <v>5555</v>
          </cell>
          <cell r="Q43">
            <v>95.5</v>
          </cell>
          <cell r="R43">
            <v>10505</v>
          </cell>
        </row>
        <row r="44">
          <cell r="B44" t="str">
            <v xml:space="preserve">HDPE membrane </v>
          </cell>
          <cell r="C44" t="str">
            <v>Thk.=2mm, shall be made with a 150mm overlap</v>
          </cell>
          <cell r="D44" t="str">
            <v>m2</v>
          </cell>
          <cell r="E44">
            <v>128</v>
          </cell>
          <cell r="F44">
            <v>7</v>
          </cell>
          <cell r="G44">
            <v>896</v>
          </cell>
          <cell r="I44">
            <v>2.7</v>
          </cell>
          <cell r="J44">
            <v>345.6</v>
          </cell>
          <cell r="K44">
            <v>1.5</v>
          </cell>
          <cell r="L44">
            <v>192</v>
          </cell>
          <cell r="M44">
            <v>1</v>
          </cell>
          <cell r="N44">
            <v>128</v>
          </cell>
          <cell r="O44">
            <v>5.2</v>
          </cell>
          <cell r="P44">
            <v>665.6</v>
          </cell>
          <cell r="Q44">
            <v>12.2</v>
          </cell>
          <cell r="R44">
            <v>1561.6</v>
          </cell>
        </row>
        <row r="45">
          <cell r="B45" t="str">
            <v>Wearing Course (Asphalt Road)</v>
          </cell>
          <cell r="C45" t="str">
            <v>Thk.=50mm</v>
          </cell>
          <cell r="D45" t="str">
            <v>m3</v>
          </cell>
          <cell r="E45">
            <v>950</v>
          </cell>
          <cell r="F45">
            <v>70</v>
          </cell>
          <cell r="G45">
            <v>66500</v>
          </cell>
          <cell r="I45">
            <v>32</v>
          </cell>
          <cell r="J45">
            <v>30400</v>
          </cell>
          <cell r="K45">
            <v>49</v>
          </cell>
          <cell r="L45">
            <v>46550</v>
          </cell>
          <cell r="M45">
            <v>15</v>
          </cell>
          <cell r="N45">
            <v>14250</v>
          </cell>
          <cell r="O45">
            <v>96</v>
          </cell>
          <cell r="P45">
            <v>91200</v>
          </cell>
          <cell r="Q45">
            <v>166</v>
          </cell>
          <cell r="R45">
            <v>157700</v>
          </cell>
        </row>
        <row r="46">
          <cell r="B46" t="str">
            <v>Prime Coat/Tack Coat</v>
          </cell>
          <cell r="C46" t="str">
            <v>Emulsified Asphalt</v>
          </cell>
          <cell r="D46" t="str">
            <v>m2</v>
          </cell>
          <cell r="E46">
            <v>19200</v>
          </cell>
          <cell r="F46">
            <v>0.35</v>
          </cell>
          <cell r="G46">
            <v>6720</v>
          </cell>
          <cell r="I46">
            <v>0.25</v>
          </cell>
          <cell r="J46">
            <v>4800</v>
          </cell>
          <cell r="K46">
            <v>0.15</v>
          </cell>
          <cell r="L46">
            <v>2880</v>
          </cell>
          <cell r="M46">
            <v>0.1</v>
          </cell>
          <cell r="N46">
            <v>1920</v>
          </cell>
          <cell r="O46">
            <v>0.5</v>
          </cell>
          <cell r="P46">
            <v>9600</v>
          </cell>
          <cell r="Q46">
            <v>0.85</v>
          </cell>
          <cell r="R46">
            <v>16320</v>
          </cell>
        </row>
        <row r="47">
          <cell r="B47" t="str">
            <v>Base Course (Asphalt Road)</v>
          </cell>
          <cell r="C47" t="str">
            <v>Thk.=250mm  (Using gatch)</v>
          </cell>
          <cell r="D47" t="str">
            <v>m3</v>
          </cell>
          <cell r="E47">
            <v>4800</v>
          </cell>
          <cell r="F47">
            <v>4</v>
          </cell>
          <cell r="G47">
            <v>19200</v>
          </cell>
          <cell r="I47">
            <v>2.75</v>
          </cell>
          <cell r="J47">
            <v>13200</v>
          </cell>
          <cell r="K47">
            <v>2.4</v>
          </cell>
          <cell r="L47">
            <v>11520</v>
          </cell>
          <cell r="M47">
            <v>1</v>
          </cell>
          <cell r="N47">
            <v>4800</v>
          </cell>
          <cell r="O47">
            <v>6.15</v>
          </cell>
          <cell r="P47">
            <v>29520</v>
          </cell>
          <cell r="Q47">
            <v>10.15</v>
          </cell>
          <cell r="R47">
            <v>48720</v>
          </cell>
          <cell r="S47" t="str">
            <v>(Using gatch)</v>
          </cell>
        </row>
        <row r="48">
          <cell r="B48" t="str">
            <v>Sub-Base Course (Asphalt Road)</v>
          </cell>
          <cell r="C48" t="str">
            <v>Thk.=250mm  (Using gatch)</v>
          </cell>
          <cell r="D48" t="str">
            <v>m3</v>
          </cell>
          <cell r="E48">
            <v>4853</v>
          </cell>
          <cell r="F48">
            <v>4</v>
          </cell>
          <cell r="G48">
            <v>19412</v>
          </cell>
          <cell r="I48">
            <v>2.75</v>
          </cell>
          <cell r="J48">
            <v>13345.75</v>
          </cell>
          <cell r="K48">
            <v>2.4000000000000004</v>
          </cell>
          <cell r="L48">
            <v>11647.2</v>
          </cell>
          <cell r="M48">
            <v>1</v>
          </cell>
          <cell r="N48">
            <v>4853</v>
          </cell>
          <cell r="O48">
            <v>6.15</v>
          </cell>
          <cell r="P48">
            <v>29845.95</v>
          </cell>
          <cell r="Q48">
            <v>10.149999999999999</v>
          </cell>
          <cell r="R48">
            <v>49257.95</v>
          </cell>
          <cell r="S48" t="str">
            <v>(Using gatch)</v>
          </cell>
        </row>
        <row r="49">
          <cell r="B49" t="str">
            <v>Shoulder (Gravel)</v>
          </cell>
          <cell r="C49" t="str">
            <v>Thk.=50mm</v>
          </cell>
          <cell r="D49" t="str">
            <v>m2</v>
          </cell>
          <cell r="E49">
            <v>4682</v>
          </cell>
          <cell r="F49">
            <v>1.6</v>
          </cell>
          <cell r="G49">
            <v>7491.2</v>
          </cell>
          <cell r="I49">
            <v>0.9</v>
          </cell>
          <cell r="J49">
            <v>4213.8</v>
          </cell>
          <cell r="K49">
            <v>0.70000000000000007</v>
          </cell>
          <cell r="L49">
            <v>3277.4</v>
          </cell>
          <cell r="M49">
            <v>0.5</v>
          </cell>
          <cell r="N49">
            <v>2341</v>
          </cell>
          <cell r="O49">
            <v>2.1</v>
          </cell>
          <cell r="P49">
            <v>9832.2000000000007</v>
          </cell>
          <cell r="Q49">
            <v>3.7</v>
          </cell>
          <cell r="R49">
            <v>17323.400000000001</v>
          </cell>
        </row>
        <row r="50">
          <cell r="B50" t="str">
            <v>Traffic Aids</v>
          </cell>
          <cell r="C50" t="str">
            <v>(Sign Board 600mm Dia)</v>
          </cell>
          <cell r="D50" t="str">
            <v>ea</v>
          </cell>
          <cell r="E50">
            <v>84</v>
          </cell>
          <cell r="F50">
            <v>105</v>
          </cell>
          <cell r="G50">
            <v>8820</v>
          </cell>
          <cell r="I50">
            <v>60</v>
          </cell>
          <cell r="J50">
            <v>5040</v>
          </cell>
          <cell r="K50">
            <v>30</v>
          </cell>
          <cell r="L50">
            <v>2520</v>
          </cell>
          <cell r="M50">
            <v>10</v>
          </cell>
          <cell r="N50">
            <v>840</v>
          </cell>
          <cell r="O50">
            <v>100</v>
          </cell>
          <cell r="P50">
            <v>8400</v>
          </cell>
          <cell r="Q50">
            <v>205</v>
          </cell>
          <cell r="R50">
            <v>17220</v>
          </cell>
          <cell r="S50" t="str">
            <v>(Sign Board 600mm Dia)</v>
          </cell>
        </row>
        <row r="51">
          <cell r="B51" t="str">
            <v>Line Marking</v>
          </cell>
          <cell r="C51" t="str">
            <v>100 mm width</v>
          </cell>
          <cell r="D51" t="str">
            <v>m</v>
          </cell>
          <cell r="E51">
            <v>2352</v>
          </cell>
          <cell r="F51">
            <v>3</v>
          </cell>
          <cell r="G51">
            <v>7056</v>
          </cell>
          <cell r="I51">
            <v>2</v>
          </cell>
          <cell r="J51">
            <v>4704</v>
          </cell>
          <cell r="K51">
            <v>1.2</v>
          </cell>
          <cell r="L51">
            <v>2822.4</v>
          </cell>
          <cell r="M51">
            <v>1</v>
          </cell>
          <cell r="N51">
            <v>2352</v>
          </cell>
          <cell r="O51">
            <v>4.2</v>
          </cell>
          <cell r="P51">
            <v>9878.4</v>
          </cell>
          <cell r="Q51">
            <v>7.2</v>
          </cell>
          <cell r="R51">
            <v>16934.400000000001</v>
          </cell>
          <cell r="S51" t="str">
            <v>100 mm width</v>
          </cell>
        </row>
        <row r="52">
          <cell r="B52" t="str">
            <v>Crash Barrier</v>
          </cell>
          <cell r="C52" t="str">
            <v>Heigth 700mm, 4" Line pipe schedule 80.
DEP 80.47.10.31-GEN. (including foundation)</v>
          </cell>
          <cell r="D52" t="str">
            <v>m</v>
          </cell>
          <cell r="E52">
            <v>2694</v>
          </cell>
          <cell r="F52">
            <v>45</v>
          </cell>
          <cell r="G52">
            <v>121230</v>
          </cell>
          <cell r="I52">
            <v>26</v>
          </cell>
          <cell r="J52">
            <v>70044</v>
          </cell>
          <cell r="K52">
            <v>15</v>
          </cell>
          <cell r="L52">
            <v>40410</v>
          </cell>
          <cell r="M52">
            <v>12</v>
          </cell>
          <cell r="N52">
            <v>32328</v>
          </cell>
          <cell r="O52">
            <v>53</v>
          </cell>
          <cell r="P52">
            <v>142782</v>
          </cell>
          <cell r="Q52">
            <v>98</v>
          </cell>
          <cell r="R52">
            <v>264012</v>
          </cell>
        </row>
        <row r="53">
          <cell r="B53" t="str">
            <v>Concrete Paving (for Light Duty)</v>
          </cell>
          <cell r="C53" t="str">
            <v>Thk.=100mm, grade C-30</v>
          </cell>
          <cell r="D53" t="str">
            <v>m3</v>
          </cell>
          <cell r="E53">
            <v>1280</v>
          </cell>
          <cell r="F53">
            <v>110</v>
          </cell>
          <cell r="G53">
            <v>140800</v>
          </cell>
          <cell r="I53">
            <v>64</v>
          </cell>
          <cell r="J53">
            <v>81920</v>
          </cell>
          <cell r="K53">
            <v>57</v>
          </cell>
          <cell r="L53">
            <v>72960</v>
          </cell>
          <cell r="M53">
            <v>41</v>
          </cell>
          <cell r="N53">
            <v>52480</v>
          </cell>
          <cell r="O53">
            <v>162</v>
          </cell>
          <cell r="P53">
            <v>207360</v>
          </cell>
          <cell r="Q53">
            <v>272</v>
          </cell>
          <cell r="R53">
            <v>348160</v>
          </cell>
        </row>
        <row r="54">
          <cell r="B54" t="str">
            <v>Concrete Paving (for Heavy Duty)</v>
          </cell>
          <cell r="C54" t="str">
            <v>Thk.=150mm, grade C-30</v>
          </cell>
          <cell r="D54" t="str">
            <v>m3</v>
          </cell>
          <cell r="E54">
            <v>246</v>
          </cell>
          <cell r="F54">
            <v>110</v>
          </cell>
          <cell r="G54">
            <v>27060</v>
          </cell>
          <cell r="I54">
            <v>64</v>
          </cell>
          <cell r="J54">
            <v>15744</v>
          </cell>
          <cell r="K54">
            <v>57</v>
          </cell>
          <cell r="L54">
            <v>14022</v>
          </cell>
          <cell r="M54">
            <v>41</v>
          </cell>
          <cell r="N54">
            <v>10086</v>
          </cell>
          <cell r="O54">
            <v>162</v>
          </cell>
          <cell r="P54">
            <v>39852</v>
          </cell>
          <cell r="Q54">
            <v>272</v>
          </cell>
          <cell r="R54">
            <v>66912</v>
          </cell>
        </row>
        <row r="55">
          <cell r="B55" t="str">
            <v>Kerb</v>
          </cell>
          <cell r="C55" t="str">
            <v>100mm Thick, 150mm heigth lean concrete, grade
C-15</v>
          </cell>
          <cell r="D55" t="str">
            <v>m</v>
          </cell>
          <cell r="E55">
            <v>53</v>
          </cell>
          <cell r="F55">
            <v>8</v>
          </cell>
          <cell r="G55">
            <v>424</v>
          </cell>
          <cell r="I55">
            <v>3.8000000000000003</v>
          </cell>
          <cell r="J55">
            <v>201.4</v>
          </cell>
          <cell r="K55">
            <v>2.1</v>
          </cell>
          <cell r="L55">
            <v>111.3</v>
          </cell>
          <cell r="M55">
            <v>1.75</v>
          </cell>
          <cell r="N55">
            <v>92.75</v>
          </cell>
          <cell r="O55">
            <v>7.6499999999999995</v>
          </cell>
          <cell r="P55">
            <v>405.45</v>
          </cell>
          <cell r="Q55">
            <v>15.65</v>
          </cell>
          <cell r="R55">
            <v>829.45</v>
          </cell>
        </row>
        <row r="56">
          <cell r="B56" t="str">
            <v>Expansion Joint (for Con'c Paving Light Duty)</v>
          </cell>
          <cell r="C56" t="str">
            <v>L=20m, 25 deep x 20 wide Hydrocarbon resistant joint sealant</v>
          </cell>
          <cell r="D56" t="str">
            <v>m</v>
          </cell>
          <cell r="E56">
            <v>6212</v>
          </cell>
          <cell r="F56">
            <v>5</v>
          </cell>
          <cell r="G56">
            <v>31060</v>
          </cell>
          <cell r="I56">
            <v>2.3000000000000003</v>
          </cell>
          <cell r="J56">
            <v>14287.6</v>
          </cell>
          <cell r="K56">
            <v>1.3</v>
          </cell>
          <cell r="L56">
            <v>8075.6</v>
          </cell>
          <cell r="M56">
            <v>1.5</v>
          </cell>
          <cell r="N56">
            <v>9318</v>
          </cell>
          <cell r="O56">
            <v>5.1000000000000005</v>
          </cell>
          <cell r="P56">
            <v>31681.200000000001</v>
          </cell>
          <cell r="Q56">
            <v>10.1</v>
          </cell>
          <cell r="R56">
            <v>62741.2</v>
          </cell>
        </row>
        <row r="57">
          <cell r="B57" t="str">
            <v>Contraction Joint (for Con'c Paving Light Duty)</v>
          </cell>
          <cell r="C57" t="str">
            <v>L=5m, 20mm deep groove to be cut after casting and filled with Hydrocarbon resistant joint sealant</v>
          </cell>
          <cell r="D57" t="str">
            <v>m</v>
          </cell>
          <cell r="E57">
            <v>18637</v>
          </cell>
          <cell r="F57">
            <v>3.2</v>
          </cell>
          <cell r="G57">
            <v>59638.400000000001</v>
          </cell>
          <cell r="I57">
            <v>1.5</v>
          </cell>
          <cell r="J57">
            <v>27955.5</v>
          </cell>
          <cell r="K57">
            <v>1.0499999999999998</v>
          </cell>
          <cell r="L57">
            <v>19568.849999999999</v>
          </cell>
          <cell r="M57">
            <v>1.2000000000000002</v>
          </cell>
          <cell r="N57">
            <v>22364.400000000001</v>
          </cell>
          <cell r="O57">
            <v>3.75</v>
          </cell>
          <cell r="P57">
            <v>69888.75</v>
          </cell>
          <cell r="Q57">
            <v>6.9499999999999993</v>
          </cell>
          <cell r="R57">
            <v>129527.15</v>
          </cell>
        </row>
        <row r="58">
          <cell r="B58" t="str">
            <v>Expansion Joint (for Con'c Paving Heavy Duty)</v>
          </cell>
          <cell r="C58" t="str">
            <v>L=20m, 25 deep x 20 wide Oil resistant joint sealant</v>
          </cell>
          <cell r="D58" t="str">
            <v>m</v>
          </cell>
          <cell r="E58">
            <v>86</v>
          </cell>
          <cell r="F58">
            <v>5</v>
          </cell>
          <cell r="G58">
            <v>430</v>
          </cell>
          <cell r="I58">
            <v>2.3000000000000003</v>
          </cell>
          <cell r="J58">
            <v>197.8</v>
          </cell>
          <cell r="K58">
            <v>1.3</v>
          </cell>
          <cell r="L58">
            <v>111.8</v>
          </cell>
          <cell r="M58">
            <v>1.5</v>
          </cell>
          <cell r="N58">
            <v>129</v>
          </cell>
          <cell r="O58">
            <v>5.1000000000000005</v>
          </cell>
          <cell r="P58">
            <v>438.6</v>
          </cell>
          <cell r="Q58">
            <v>10.1</v>
          </cell>
          <cell r="R58">
            <v>868.6</v>
          </cell>
        </row>
        <row r="59">
          <cell r="B59" t="str">
            <v>Contraction Joint (for Con'c Paving Heavy Duty)</v>
          </cell>
          <cell r="C59" t="str">
            <v>L=5m, 20mm deep groove to be cut after casting and filled with Hydrocarbon resistant joint sealant</v>
          </cell>
          <cell r="D59" t="str">
            <v>m</v>
          </cell>
          <cell r="E59">
            <v>679</v>
          </cell>
          <cell r="F59">
            <v>3.2</v>
          </cell>
          <cell r="G59">
            <v>2172.8000000000002</v>
          </cell>
          <cell r="I59">
            <v>1.5</v>
          </cell>
          <cell r="J59">
            <v>1018.5</v>
          </cell>
          <cell r="K59">
            <v>1.05</v>
          </cell>
          <cell r="L59">
            <v>712.95</v>
          </cell>
          <cell r="M59">
            <v>1.2</v>
          </cell>
          <cell r="N59">
            <v>814.8</v>
          </cell>
          <cell r="O59">
            <v>3.75</v>
          </cell>
          <cell r="P59">
            <v>2546.25</v>
          </cell>
          <cell r="Q59">
            <v>6.95</v>
          </cell>
          <cell r="R59">
            <v>4719.05</v>
          </cell>
        </row>
        <row r="60">
          <cell r="B60" t="str">
            <v>Wire Fabric. (for Light Duty Con'c paving)</v>
          </cell>
          <cell r="C60" t="str">
            <v xml:space="preserve">φ7-200x200, Cold-drawn finish, ASTM A185 </v>
          </cell>
          <cell r="D60" t="str">
            <v>m2</v>
          </cell>
          <cell r="E60">
            <v>21271</v>
          </cell>
          <cell r="F60">
            <v>1.8</v>
          </cell>
          <cell r="G60">
            <v>38287.800000000003</v>
          </cell>
          <cell r="I60">
            <v>0.79999999999999993</v>
          </cell>
          <cell r="J60">
            <v>17016.8</v>
          </cell>
          <cell r="K60">
            <v>0.70000000000000007</v>
          </cell>
          <cell r="L60">
            <v>14889.7</v>
          </cell>
          <cell r="M60">
            <v>0.45</v>
          </cell>
          <cell r="N60">
            <v>9571.9500000000007</v>
          </cell>
          <cell r="O60">
            <v>1.95</v>
          </cell>
          <cell r="P60">
            <v>41478.449999999997</v>
          </cell>
          <cell r="Q60">
            <v>3.75</v>
          </cell>
          <cell r="R60">
            <v>79766.25</v>
          </cell>
        </row>
        <row r="61">
          <cell r="B61" t="str">
            <v>Wire Fabric. (for Heavy Duty Con'c paving)</v>
          </cell>
          <cell r="C61" t="str">
            <v>φ7-200x200-double line, Cold-drawn finish</v>
          </cell>
          <cell r="D61" t="str">
            <v>m2</v>
          </cell>
          <cell r="E61">
            <v>3283</v>
          </cell>
          <cell r="F61">
            <v>1.8</v>
          </cell>
          <cell r="G61">
            <v>5909.4</v>
          </cell>
          <cell r="I61">
            <v>0.8</v>
          </cell>
          <cell r="J61">
            <v>2626.4</v>
          </cell>
          <cell r="K61">
            <v>0.7</v>
          </cell>
          <cell r="L61">
            <v>2298.1</v>
          </cell>
          <cell r="M61">
            <v>0.44999999999999996</v>
          </cell>
          <cell r="N61">
            <v>1477.35</v>
          </cell>
          <cell r="O61">
            <v>1.9500000000000002</v>
          </cell>
          <cell r="P61">
            <v>6401.85</v>
          </cell>
          <cell r="Q61">
            <v>3.75</v>
          </cell>
          <cell r="R61">
            <v>12311.25</v>
          </cell>
        </row>
        <row r="62">
          <cell r="B62" t="str">
            <v>Joint Filler &amp; Sealant (for concrete paving Light Duty)</v>
          </cell>
          <cell r="C62" t="str">
            <v>20 thick flexible jointing material 25 deep x 20 wide Hydrocarbon resistant joint sealant in top.</v>
          </cell>
          <cell r="D62" t="str">
            <v>m</v>
          </cell>
          <cell r="E62">
            <v>6872</v>
          </cell>
          <cell r="F62">
            <v>5</v>
          </cell>
          <cell r="G62">
            <v>34360</v>
          </cell>
          <cell r="I62">
            <v>2.3000000000000003</v>
          </cell>
          <cell r="J62">
            <v>15805.6</v>
          </cell>
          <cell r="K62">
            <v>1.3</v>
          </cell>
          <cell r="L62">
            <v>8933.6</v>
          </cell>
          <cell r="M62">
            <v>1.5</v>
          </cell>
          <cell r="N62">
            <v>10308</v>
          </cell>
          <cell r="O62">
            <v>5.0999999999999996</v>
          </cell>
          <cell r="P62">
            <v>35047.199999999997</v>
          </cell>
          <cell r="Q62">
            <v>10.1</v>
          </cell>
          <cell r="R62">
            <v>69407.199999999997</v>
          </cell>
        </row>
        <row r="63">
          <cell r="B63" t="str">
            <v>Gravel paving</v>
          </cell>
          <cell r="C63" t="str">
            <v>Thk.=100mm</v>
          </cell>
          <cell r="D63" t="str">
            <v>m2</v>
          </cell>
          <cell r="E63">
            <v>13499</v>
          </cell>
          <cell r="F63">
            <v>3.2</v>
          </cell>
          <cell r="G63">
            <v>43196.800000000003</v>
          </cell>
          <cell r="I63">
            <v>0.9</v>
          </cell>
          <cell r="J63">
            <v>12149.1</v>
          </cell>
          <cell r="K63">
            <v>0.7</v>
          </cell>
          <cell r="L63">
            <v>9449.2999999999993</v>
          </cell>
          <cell r="M63">
            <v>0.5</v>
          </cell>
          <cell r="N63">
            <v>6749.5</v>
          </cell>
          <cell r="O63">
            <v>2.1</v>
          </cell>
          <cell r="P63">
            <v>28347.9</v>
          </cell>
          <cell r="Q63">
            <v>5.3</v>
          </cell>
          <cell r="R63">
            <v>71544.7</v>
          </cell>
        </row>
        <row r="64">
          <cell r="B64" t="str">
            <v>Polyethylene membrane</v>
          </cell>
          <cell r="C64" t="str">
            <v>gauge 1000 or equal</v>
          </cell>
          <cell r="D64" t="str">
            <v>m2</v>
          </cell>
          <cell r="E64">
            <v>35551</v>
          </cell>
          <cell r="F64">
            <v>0.5</v>
          </cell>
          <cell r="G64">
            <v>17775.5</v>
          </cell>
          <cell r="I64">
            <v>0.35000000000000003</v>
          </cell>
          <cell r="J64">
            <v>12442.85</v>
          </cell>
          <cell r="K64">
            <v>9.9999999999999992E-2</v>
          </cell>
          <cell r="L64">
            <v>3555.1</v>
          </cell>
          <cell r="M64">
            <v>4.9999999999999996E-2</v>
          </cell>
          <cell r="N64">
            <v>1777.55</v>
          </cell>
          <cell r="O64">
            <v>0.5</v>
          </cell>
          <cell r="P64">
            <v>17775.5</v>
          </cell>
          <cell r="Q64">
            <v>1</v>
          </cell>
          <cell r="R64">
            <v>35551</v>
          </cell>
        </row>
        <row r="65">
          <cell r="B65" t="str">
            <v>Hardboard</v>
          </cell>
          <cell r="C65">
            <v>0</v>
          </cell>
          <cell r="D65" t="str">
            <v>m2</v>
          </cell>
          <cell r="E65">
            <v>15782</v>
          </cell>
          <cell r="F65">
            <v>3.4</v>
          </cell>
          <cell r="G65">
            <v>53658.8</v>
          </cell>
          <cell r="I65">
            <v>2.5</v>
          </cell>
          <cell r="J65">
            <v>39455</v>
          </cell>
          <cell r="K65">
            <v>1.5</v>
          </cell>
          <cell r="L65">
            <v>23673</v>
          </cell>
          <cell r="M65">
            <v>1</v>
          </cell>
          <cell r="N65">
            <v>15782</v>
          </cell>
          <cell r="O65">
            <v>5</v>
          </cell>
          <cell r="P65">
            <v>78910</v>
          </cell>
          <cell r="Q65">
            <v>8.3999999999999986</v>
          </cell>
          <cell r="R65">
            <v>132568.79999999999</v>
          </cell>
        </row>
        <row r="66">
          <cell r="B66" t="str">
            <v>screed</v>
          </cell>
          <cell r="C66" t="str">
            <v>20mm thick Mortar</v>
          </cell>
          <cell r="D66" t="str">
            <v>m2</v>
          </cell>
          <cell r="E66">
            <v>71102</v>
          </cell>
          <cell r="F66">
            <v>4.2</v>
          </cell>
          <cell r="G66">
            <v>298628.40000000002</v>
          </cell>
          <cell r="I66">
            <v>2.35</v>
          </cell>
          <cell r="J66">
            <v>167089.70000000001</v>
          </cell>
          <cell r="K66">
            <v>2</v>
          </cell>
          <cell r="L66">
            <v>142204</v>
          </cell>
          <cell r="M66">
            <v>1.5</v>
          </cell>
          <cell r="N66">
            <v>106653</v>
          </cell>
          <cell r="O66">
            <v>5.8500000000000005</v>
          </cell>
          <cell r="P66">
            <v>415946.7</v>
          </cell>
          <cell r="Q66">
            <v>10.049999999999999</v>
          </cell>
          <cell r="R66">
            <v>714575.1</v>
          </cell>
        </row>
        <row r="67">
          <cell r="B67" t="str">
            <v>Scaffolding</v>
          </cell>
          <cell r="C67">
            <v>0</v>
          </cell>
          <cell r="D67" t="str">
            <v>m2</v>
          </cell>
          <cell r="E67">
            <v>392</v>
          </cell>
          <cell r="F67">
            <v>1</v>
          </cell>
          <cell r="G67">
            <v>392</v>
          </cell>
          <cell r="I67">
            <v>1.2</v>
          </cell>
          <cell r="J67">
            <v>470.4</v>
          </cell>
          <cell r="K67">
            <v>0.8</v>
          </cell>
          <cell r="L67">
            <v>313.60000000000002</v>
          </cell>
          <cell r="M67">
            <v>0.5</v>
          </cell>
          <cell r="N67">
            <v>196</v>
          </cell>
          <cell r="O67">
            <v>2.5</v>
          </cell>
          <cell r="P67">
            <v>980</v>
          </cell>
          <cell r="Q67">
            <v>3.5</v>
          </cell>
          <cell r="R67">
            <v>1372</v>
          </cell>
        </row>
        <row r="68">
          <cell r="B68" t="str">
            <v>Support</v>
          </cell>
          <cell r="C68">
            <v>0</v>
          </cell>
          <cell r="D68" t="str">
            <v>m3</v>
          </cell>
          <cell r="E68">
            <v>1079</v>
          </cell>
          <cell r="F68">
            <v>2.6</v>
          </cell>
          <cell r="G68">
            <v>2805.4</v>
          </cell>
          <cell r="I68">
            <v>3</v>
          </cell>
          <cell r="J68">
            <v>3237</v>
          </cell>
          <cell r="K68">
            <v>1.8</v>
          </cell>
          <cell r="L68">
            <v>1942.2</v>
          </cell>
          <cell r="M68">
            <v>1.2</v>
          </cell>
          <cell r="N68">
            <v>1294.8</v>
          </cell>
          <cell r="O68">
            <v>6</v>
          </cell>
          <cell r="P68">
            <v>6474</v>
          </cell>
          <cell r="Q68">
            <v>8.6</v>
          </cell>
          <cell r="R68">
            <v>9279.4</v>
          </cell>
        </row>
        <row r="69">
          <cell r="B69" t="str">
            <v>Fence (New)</v>
          </cell>
          <cell r="C6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69" t="str">
            <v>m</v>
          </cell>
          <cell r="E69">
            <v>1002</v>
          </cell>
          <cell r="F69">
            <v>28</v>
          </cell>
          <cell r="G69">
            <v>28056</v>
          </cell>
          <cell r="I69">
            <v>15</v>
          </cell>
          <cell r="J69">
            <v>15030</v>
          </cell>
          <cell r="K69">
            <v>12</v>
          </cell>
          <cell r="L69">
            <v>12024</v>
          </cell>
          <cell r="M69">
            <v>3</v>
          </cell>
          <cell r="N69">
            <v>3006</v>
          </cell>
          <cell r="O69">
            <v>30</v>
          </cell>
          <cell r="P69">
            <v>30060</v>
          </cell>
          <cell r="Q69">
            <v>58</v>
          </cell>
          <cell r="R69">
            <v>58116</v>
          </cell>
        </row>
        <row r="70">
          <cell r="B70" t="str">
            <v>Vehicular Gate</v>
          </cell>
          <cell r="C70" t="str">
            <v>W=8.0m (Double sliding)</v>
          </cell>
          <cell r="D70" t="str">
            <v>ea</v>
          </cell>
          <cell r="E70">
            <v>4</v>
          </cell>
          <cell r="F70">
            <v>1125</v>
          </cell>
          <cell r="G70">
            <v>4500</v>
          </cell>
          <cell r="I70">
            <v>510</v>
          </cell>
          <cell r="J70">
            <v>2040</v>
          </cell>
          <cell r="K70">
            <v>350</v>
          </cell>
          <cell r="L70">
            <v>1400</v>
          </cell>
          <cell r="M70">
            <v>220</v>
          </cell>
          <cell r="N70">
            <v>880</v>
          </cell>
          <cell r="O70">
            <v>1080</v>
          </cell>
          <cell r="P70">
            <v>4320</v>
          </cell>
          <cell r="Q70">
            <v>2205</v>
          </cell>
          <cell r="R70">
            <v>8820</v>
          </cell>
        </row>
        <row r="71">
          <cell r="B71" t="str">
            <v>Pedestrian Gate</v>
          </cell>
          <cell r="C71" t="str">
            <v>W=1.0m (Single sliding)</v>
          </cell>
          <cell r="D71" t="str">
            <v>ea</v>
          </cell>
          <cell r="E71">
            <v>4</v>
          </cell>
          <cell r="F71">
            <v>250</v>
          </cell>
          <cell r="G71">
            <v>1000</v>
          </cell>
          <cell r="I71">
            <v>115</v>
          </cell>
          <cell r="J71">
            <v>460</v>
          </cell>
          <cell r="K71">
            <v>80</v>
          </cell>
          <cell r="L71">
            <v>320</v>
          </cell>
          <cell r="M71">
            <v>50</v>
          </cell>
          <cell r="N71">
            <v>200</v>
          </cell>
          <cell r="O71">
            <v>245</v>
          </cell>
          <cell r="P71">
            <v>980</v>
          </cell>
          <cell r="Q71">
            <v>495</v>
          </cell>
          <cell r="R71">
            <v>1980</v>
          </cell>
        </row>
      </sheetData>
      <sheetData sheetId="2">
        <row r="8">
          <cell r="B8" t="str">
            <v>Demolition (Paving)</v>
          </cell>
        </row>
        <row r="9">
          <cell r="B9" t="str">
            <v>Demolition (Road)</v>
          </cell>
          <cell r="C9">
            <v>0</v>
          </cell>
          <cell r="D9" t="str">
            <v>m2</v>
          </cell>
          <cell r="E9">
            <v>9786</v>
          </cell>
          <cell r="I9">
            <v>2.1500000000000004</v>
          </cell>
          <cell r="J9">
            <v>21039.9</v>
          </cell>
          <cell r="K9">
            <v>3.0999999999999996</v>
          </cell>
          <cell r="L9">
            <v>30336.6</v>
          </cell>
          <cell r="M9">
            <v>1.1000000000000001</v>
          </cell>
          <cell r="N9">
            <v>10764.6</v>
          </cell>
          <cell r="O9">
            <v>6.35</v>
          </cell>
          <cell r="P9">
            <v>62141.1</v>
          </cell>
          <cell r="Q9">
            <v>6.35</v>
          </cell>
          <cell r="R9">
            <v>62141.1</v>
          </cell>
          <cell r="S9" t="str">
            <v>Road thickness limited to 125mm</v>
          </cell>
        </row>
        <row r="10">
          <cell r="B10" t="str">
            <v>Demolition (Fence)</v>
          </cell>
          <cell r="C10" t="str">
            <v>including foundation</v>
          </cell>
          <cell r="D10" t="str">
            <v>m</v>
          </cell>
          <cell r="E10">
            <v>1242</v>
          </cell>
          <cell r="I10">
            <v>1.4</v>
          </cell>
          <cell r="J10">
            <v>1738.8</v>
          </cell>
          <cell r="K10">
            <v>2</v>
          </cell>
          <cell r="L10">
            <v>2484</v>
          </cell>
          <cell r="M10">
            <v>0.8</v>
          </cell>
          <cell r="N10">
            <v>993.6</v>
          </cell>
          <cell r="O10">
            <v>4.1999999999999993</v>
          </cell>
          <cell r="P10">
            <v>5216.3999999999996</v>
          </cell>
          <cell r="Q10">
            <v>4.1999999999999993</v>
          </cell>
          <cell r="R10">
            <v>5216.3999999999996</v>
          </cell>
        </row>
        <row r="11">
          <cell r="B11" t="str">
            <v>Demolition (Concrete)</v>
          </cell>
          <cell r="C11">
            <v>0</v>
          </cell>
          <cell r="D11" t="str">
            <v>m3</v>
          </cell>
          <cell r="E11">
            <v>1801</v>
          </cell>
          <cell r="I11">
            <v>21.3</v>
          </cell>
          <cell r="J11">
            <v>38361.300000000003</v>
          </cell>
          <cell r="K11">
            <v>30.5</v>
          </cell>
          <cell r="L11">
            <v>54930.5</v>
          </cell>
          <cell r="M11">
            <v>9.2000000000000011</v>
          </cell>
          <cell r="N11">
            <v>16569.2</v>
          </cell>
          <cell r="O11">
            <v>61</v>
          </cell>
          <cell r="P11">
            <v>109861</v>
          </cell>
          <cell r="Q11">
            <v>61</v>
          </cell>
          <cell r="R11">
            <v>109861</v>
          </cell>
        </row>
        <row r="12">
          <cell r="B12" t="str">
            <v>Stripping, Clearing &amp; Grubbing</v>
          </cell>
          <cell r="C12" t="str">
            <v>Thk.=300mm</v>
          </cell>
          <cell r="D12" t="str">
            <v>m2</v>
          </cell>
          <cell r="E12">
            <v>158040</v>
          </cell>
          <cell r="I12">
            <v>0.36</v>
          </cell>
          <cell r="J12">
            <v>56894.400000000001</v>
          </cell>
          <cell r="K12">
            <v>0.6</v>
          </cell>
          <cell r="L12">
            <v>94824</v>
          </cell>
          <cell r="M12">
            <v>0.15</v>
          </cell>
          <cell r="N12">
            <v>23706</v>
          </cell>
          <cell r="O12">
            <v>1.1099999999999999</v>
          </cell>
          <cell r="P12">
            <v>175424.4</v>
          </cell>
          <cell r="Q12">
            <v>1.1099999999999999</v>
          </cell>
          <cell r="R12">
            <v>175424.4</v>
          </cell>
        </row>
        <row r="13">
          <cell r="B13" t="str">
            <v>Topographical Survey</v>
          </cell>
          <cell r="C13">
            <v>0</v>
          </cell>
          <cell r="D13" t="str">
            <v>m2</v>
          </cell>
          <cell r="E13">
            <v>159298</v>
          </cell>
          <cell r="I13">
            <v>0.27</v>
          </cell>
          <cell r="J13">
            <v>43010.46</v>
          </cell>
          <cell r="K13">
            <v>0.21000000000000002</v>
          </cell>
          <cell r="L13">
            <v>33452.58</v>
          </cell>
          <cell r="M13">
            <v>0.12</v>
          </cell>
          <cell r="N13">
            <v>19115.759999999998</v>
          </cell>
          <cell r="O13">
            <v>0.6</v>
          </cell>
          <cell r="P13">
            <v>95578.8</v>
          </cell>
          <cell r="Q13">
            <v>0.6</v>
          </cell>
          <cell r="R13">
            <v>95578.8</v>
          </cell>
        </row>
        <row r="14">
          <cell r="B14" t="str">
            <v>Cutting</v>
          </cell>
          <cell r="C14" t="str">
            <v>Good soil (by equipment)</v>
          </cell>
          <cell r="D14" t="str">
            <v>m3</v>
          </cell>
          <cell r="E14">
            <v>197550</v>
          </cell>
          <cell r="I14">
            <v>1.2</v>
          </cell>
          <cell r="J14">
            <v>237060</v>
          </cell>
          <cell r="K14">
            <v>2</v>
          </cell>
          <cell r="L14">
            <v>395100</v>
          </cell>
          <cell r="M14">
            <v>0.8</v>
          </cell>
          <cell r="N14">
            <v>158040</v>
          </cell>
          <cell r="O14">
            <v>4</v>
          </cell>
          <cell r="P14">
            <v>790200</v>
          </cell>
          <cell r="Q14">
            <v>4</v>
          </cell>
          <cell r="R14">
            <v>790200</v>
          </cell>
        </row>
        <row r="15">
          <cell r="B15" t="str">
            <v>Filling (Excavated Soil)</v>
          </cell>
          <cell r="C15">
            <v>0</v>
          </cell>
          <cell r="D15" t="str">
            <v>m3</v>
          </cell>
          <cell r="E15">
            <v>197550</v>
          </cell>
          <cell r="I15">
            <v>2.5</v>
          </cell>
          <cell r="J15">
            <v>493875</v>
          </cell>
          <cell r="K15">
            <v>3.5</v>
          </cell>
          <cell r="L15">
            <v>691425</v>
          </cell>
          <cell r="M15">
            <v>1.2</v>
          </cell>
          <cell r="N15">
            <v>237060</v>
          </cell>
          <cell r="O15">
            <v>7.2</v>
          </cell>
          <cell r="P15">
            <v>1422360</v>
          </cell>
          <cell r="Q15">
            <v>7.2</v>
          </cell>
          <cell r="R15">
            <v>1422360</v>
          </cell>
        </row>
      </sheetData>
      <sheetData sheetId="3">
        <row r="8">
          <cell r="B8" t="str">
            <v>Soil Investigation</v>
          </cell>
        </row>
      </sheetData>
      <sheetData sheetId="4">
        <row r="8">
          <cell r="B8" t="str">
            <v>Excavation</v>
          </cell>
        </row>
        <row r="9">
          <cell r="B9" t="str">
            <v>Back Fill</v>
          </cell>
          <cell r="C9" t="str">
            <v>Good soil (by hand)(Reusable soil)</v>
          </cell>
          <cell r="D9" t="str">
            <v>m3</v>
          </cell>
          <cell r="E9">
            <v>26265</v>
          </cell>
          <cell r="F9">
            <v>0</v>
          </cell>
          <cell r="I9">
            <v>4.2</v>
          </cell>
          <cell r="J9">
            <v>110313</v>
          </cell>
          <cell r="K9">
            <v>2.5</v>
          </cell>
          <cell r="L9">
            <v>65662.5</v>
          </cell>
          <cell r="M9">
            <v>1.9</v>
          </cell>
          <cell r="N9">
            <v>49903.5</v>
          </cell>
          <cell r="O9">
            <v>8.6</v>
          </cell>
          <cell r="P9">
            <v>225879</v>
          </cell>
          <cell r="Q9">
            <v>8.6</v>
          </cell>
          <cell r="R9">
            <v>225879</v>
          </cell>
          <cell r="S9" t="str">
            <v>(Reusable soil)</v>
          </cell>
        </row>
        <row r="10">
          <cell r="B10" t="str">
            <v>Disposal</v>
          </cell>
          <cell r="C10" t="str">
            <v xml:space="preserve">Good soil </v>
          </cell>
          <cell r="D10" t="str">
            <v>m3</v>
          </cell>
          <cell r="E10">
            <v>11836</v>
          </cell>
          <cell r="F10">
            <v>0</v>
          </cell>
          <cell r="I10">
            <v>1.3599999999999999</v>
          </cell>
          <cell r="J10">
            <v>16096.96</v>
          </cell>
          <cell r="K10">
            <v>1.7</v>
          </cell>
          <cell r="L10">
            <v>20121.2</v>
          </cell>
          <cell r="M10">
            <v>0.33999999999999997</v>
          </cell>
          <cell r="N10">
            <v>4024.24</v>
          </cell>
          <cell r="O10">
            <v>3.4</v>
          </cell>
          <cell r="P10">
            <v>40242.400000000001</v>
          </cell>
          <cell r="Q10">
            <v>3.4</v>
          </cell>
          <cell r="R10">
            <v>40242.400000000001</v>
          </cell>
        </row>
        <row r="11">
          <cell r="B11" t="str">
            <v>Concrete</v>
          </cell>
          <cell r="C11" t="str">
            <v>Grade C30 , ASTM C150 (TYPE-V)</v>
          </cell>
          <cell r="D11" t="str">
            <v>m3</v>
          </cell>
          <cell r="E11">
            <v>4182</v>
          </cell>
          <cell r="F11">
            <v>102</v>
          </cell>
          <cell r="G11">
            <v>426564</v>
          </cell>
          <cell r="I11">
            <v>49.5</v>
          </cell>
          <cell r="J11">
            <v>207009</v>
          </cell>
          <cell r="K11">
            <v>38.5</v>
          </cell>
          <cell r="L11">
            <v>161007</v>
          </cell>
          <cell r="M11">
            <v>22</v>
          </cell>
          <cell r="N11">
            <v>92004</v>
          </cell>
          <cell r="O11">
            <v>110</v>
          </cell>
          <cell r="P11">
            <v>460020</v>
          </cell>
          <cell r="Q11">
            <v>212</v>
          </cell>
          <cell r="R11">
            <v>886584</v>
          </cell>
        </row>
        <row r="12">
          <cell r="B12" t="str">
            <v>Blinding Con'c</v>
          </cell>
          <cell r="C12" t="str">
            <v>Grade C20, Thk.=50mm. (DEP 34.19.20.31-Gen.)</v>
          </cell>
          <cell r="D12" t="str">
            <v>m3</v>
          </cell>
          <cell r="E12">
            <v>233</v>
          </cell>
          <cell r="F12">
            <v>85</v>
          </cell>
          <cell r="G12">
            <v>19805</v>
          </cell>
          <cell r="I12">
            <v>41</v>
          </cell>
          <cell r="J12">
            <v>9553</v>
          </cell>
          <cell r="K12">
            <v>31.5</v>
          </cell>
          <cell r="L12">
            <v>7339.5</v>
          </cell>
          <cell r="M12">
            <v>17.5</v>
          </cell>
          <cell r="N12">
            <v>4077.5</v>
          </cell>
          <cell r="O12">
            <v>90</v>
          </cell>
          <cell r="P12">
            <v>20970</v>
          </cell>
          <cell r="Q12">
            <v>175</v>
          </cell>
          <cell r="R12">
            <v>40775</v>
          </cell>
        </row>
        <row r="13">
          <cell r="B13" t="str">
            <v>Form Work</v>
          </cell>
          <cell r="C13" t="str">
            <v>ACI 347</v>
          </cell>
          <cell r="D13" t="str">
            <v>m2</v>
          </cell>
          <cell r="E13">
            <v>7738</v>
          </cell>
          <cell r="F13">
            <v>10</v>
          </cell>
          <cell r="G13">
            <v>77380</v>
          </cell>
          <cell r="I13">
            <v>4.2</v>
          </cell>
          <cell r="J13">
            <v>32499.599999999999</v>
          </cell>
          <cell r="K13">
            <v>3.5</v>
          </cell>
          <cell r="L13">
            <v>27083</v>
          </cell>
          <cell r="M13">
            <v>3</v>
          </cell>
          <cell r="N13">
            <v>23214</v>
          </cell>
          <cell r="O13">
            <v>10.700000000000001</v>
          </cell>
          <cell r="P13">
            <v>82796.600000000006</v>
          </cell>
          <cell r="Q13">
            <v>20.7</v>
          </cell>
          <cell r="R13">
            <v>160176.6</v>
          </cell>
        </row>
        <row r="14">
          <cell r="B14" t="str">
            <v>Re-Bar</v>
          </cell>
          <cell r="C14" t="str">
            <v xml:space="preserve">ASTM A 615 Grade 60 Type S </v>
          </cell>
          <cell r="D14" t="str">
            <v>Ton</v>
          </cell>
          <cell r="E14">
            <v>290</v>
          </cell>
          <cell r="F14">
            <v>543</v>
          </cell>
          <cell r="G14">
            <v>157470</v>
          </cell>
          <cell r="I14">
            <v>122</v>
          </cell>
          <cell r="J14">
            <v>35380</v>
          </cell>
          <cell r="K14">
            <v>110</v>
          </cell>
          <cell r="L14">
            <v>31900</v>
          </cell>
          <cell r="M14">
            <v>73</v>
          </cell>
          <cell r="N14">
            <v>21170</v>
          </cell>
          <cell r="O14">
            <v>305</v>
          </cell>
          <cell r="P14">
            <v>88450</v>
          </cell>
          <cell r="Q14">
            <v>848</v>
          </cell>
          <cell r="R14">
            <v>245920</v>
          </cell>
        </row>
        <row r="15">
          <cell r="B15" t="str">
            <v>Non-Shrinkage Grout</v>
          </cell>
          <cell r="C15" t="str">
            <v>75 N/mm2, DEP 34.19.20.31-Gen</v>
          </cell>
          <cell r="D15" t="str">
            <v>m3</v>
          </cell>
          <cell r="E15">
            <v>8</v>
          </cell>
          <cell r="F15">
            <v>600</v>
          </cell>
          <cell r="G15">
            <v>4800</v>
          </cell>
          <cell r="I15">
            <v>378</v>
          </cell>
          <cell r="J15">
            <v>3024</v>
          </cell>
          <cell r="K15">
            <v>250</v>
          </cell>
          <cell r="L15">
            <v>2000</v>
          </cell>
          <cell r="M15">
            <v>189</v>
          </cell>
          <cell r="N15">
            <v>1512</v>
          </cell>
          <cell r="O15">
            <v>817</v>
          </cell>
          <cell r="P15">
            <v>6536</v>
          </cell>
          <cell r="Q15">
            <v>1417</v>
          </cell>
          <cell r="R15">
            <v>11336</v>
          </cell>
        </row>
        <row r="16">
          <cell r="B16" t="str">
            <v>FDN. Surface Coating (U/G)</v>
          </cell>
          <cell r="C16" t="str">
            <v xml:space="preserve">bitu-coating, 2 times, 0.4kg/m2 </v>
          </cell>
          <cell r="D16" t="str">
            <v>m2</v>
          </cell>
          <cell r="E16">
            <v>7670</v>
          </cell>
          <cell r="F16">
            <v>3.4</v>
          </cell>
          <cell r="G16">
            <v>26078</v>
          </cell>
          <cell r="I16">
            <v>2.04</v>
          </cell>
          <cell r="J16">
            <v>15646.8</v>
          </cell>
          <cell r="K16">
            <v>1.02</v>
          </cell>
          <cell r="L16">
            <v>7823.4</v>
          </cell>
          <cell r="M16">
            <v>0.34</v>
          </cell>
          <cell r="N16">
            <v>2607.8000000000002</v>
          </cell>
          <cell r="O16">
            <v>3.4</v>
          </cell>
          <cell r="P16">
            <v>26078</v>
          </cell>
          <cell r="Q16">
            <v>6.8</v>
          </cell>
          <cell r="R16">
            <v>52156</v>
          </cell>
        </row>
        <row r="17">
          <cell r="B17" t="str">
            <v>FDN. Surface Coating (A/G)</v>
          </cell>
          <cell r="C17" t="str">
            <v>bitu-coating, 2 times, 0.4kg/m2, 150mm above ground level</v>
          </cell>
          <cell r="D17" t="str">
            <v>m2</v>
          </cell>
          <cell r="E17">
            <v>1920</v>
          </cell>
          <cell r="F17">
            <v>3.4</v>
          </cell>
          <cell r="G17">
            <v>6528</v>
          </cell>
          <cell r="I17">
            <v>2.04</v>
          </cell>
          <cell r="J17">
            <v>3916.8</v>
          </cell>
          <cell r="K17">
            <v>1.02</v>
          </cell>
          <cell r="L17">
            <v>1958.4</v>
          </cell>
          <cell r="M17">
            <v>0.33999999999999997</v>
          </cell>
          <cell r="N17">
            <v>652.79999999999995</v>
          </cell>
          <cell r="O17">
            <v>3.4</v>
          </cell>
          <cell r="P17">
            <v>6528</v>
          </cell>
          <cell r="Q17">
            <v>6.8</v>
          </cell>
          <cell r="R17">
            <v>13056</v>
          </cell>
        </row>
        <row r="18">
          <cell r="B18" t="str">
            <v>Sand Bitumen</v>
          </cell>
          <cell r="C18" t="str">
            <v>50mm sand bitumen mix or oil/sand mix. (DEP 34.18.51.10-Gen. Appendix 3 and 4)</v>
          </cell>
          <cell r="D18" t="str">
            <v>m3</v>
          </cell>
          <cell r="E18">
            <v>8</v>
          </cell>
          <cell r="F18">
            <v>84.5</v>
          </cell>
          <cell r="G18">
            <v>676</v>
          </cell>
          <cell r="I18">
            <v>38.5</v>
          </cell>
          <cell r="J18">
            <v>308</v>
          </cell>
          <cell r="K18">
            <v>34</v>
          </cell>
          <cell r="L18">
            <v>272</v>
          </cell>
          <cell r="M18">
            <v>13</v>
          </cell>
          <cell r="N18">
            <v>104</v>
          </cell>
          <cell r="O18">
            <v>85.5</v>
          </cell>
          <cell r="P18">
            <v>684</v>
          </cell>
          <cell r="Q18">
            <v>170</v>
          </cell>
          <cell r="R18">
            <v>1360</v>
          </cell>
        </row>
        <row r="19">
          <cell r="B19" t="str">
            <v>Structural Fill (Sand)</v>
          </cell>
          <cell r="C19" t="str">
            <v>Compaction shall be 95% of maximum dry density in six inch compacted layers.</v>
          </cell>
          <cell r="D19" t="str">
            <v>m3</v>
          </cell>
          <cell r="E19">
            <v>2630</v>
          </cell>
          <cell r="F19">
            <v>3</v>
          </cell>
          <cell r="G19">
            <v>7890</v>
          </cell>
          <cell r="I19">
            <v>3.4</v>
          </cell>
          <cell r="J19">
            <v>8942</v>
          </cell>
          <cell r="K19">
            <v>3</v>
          </cell>
          <cell r="L19">
            <v>7890</v>
          </cell>
          <cell r="M19">
            <v>1.2</v>
          </cell>
          <cell r="N19">
            <v>3156</v>
          </cell>
          <cell r="O19">
            <v>7.6</v>
          </cell>
          <cell r="P19">
            <v>19988</v>
          </cell>
          <cell r="Q19">
            <v>10.6</v>
          </cell>
          <cell r="R19">
            <v>27878</v>
          </cell>
        </row>
        <row r="20">
          <cell r="B20" t="str">
            <v>Structural Fill (Compacted Stone or Gravel)</v>
          </cell>
          <cell r="C20" t="str">
            <v>Compaction shall be 95% of maximum dry density in six inch compacted layers.</v>
          </cell>
          <cell r="D20" t="str">
            <v>m3</v>
          </cell>
          <cell r="E20">
            <v>225</v>
          </cell>
          <cell r="F20">
            <v>27</v>
          </cell>
          <cell r="G20">
            <v>6075</v>
          </cell>
          <cell r="I20">
            <v>12</v>
          </cell>
          <cell r="J20">
            <v>2700</v>
          </cell>
          <cell r="K20">
            <v>10</v>
          </cell>
          <cell r="L20">
            <v>2250</v>
          </cell>
          <cell r="M20">
            <v>2</v>
          </cell>
          <cell r="N20">
            <v>450</v>
          </cell>
          <cell r="O20">
            <v>24</v>
          </cell>
          <cell r="P20">
            <v>5400</v>
          </cell>
          <cell r="Q20">
            <v>51</v>
          </cell>
          <cell r="R20">
            <v>11475</v>
          </cell>
        </row>
        <row r="21">
          <cell r="B21" t="str">
            <v>Water Stop</v>
          </cell>
          <cell r="C21" t="str">
            <v>PVC, W=150mm</v>
          </cell>
          <cell r="D21" t="str">
            <v>m</v>
          </cell>
          <cell r="E21">
            <v>59</v>
          </cell>
          <cell r="F21">
            <v>8.5</v>
          </cell>
          <cell r="G21">
            <v>501.5</v>
          </cell>
          <cell r="I21">
            <v>3.4</v>
          </cell>
          <cell r="J21">
            <v>200.6</v>
          </cell>
          <cell r="K21">
            <v>3</v>
          </cell>
          <cell r="L21">
            <v>177</v>
          </cell>
          <cell r="M21">
            <v>2.1</v>
          </cell>
          <cell r="N21">
            <v>123.9</v>
          </cell>
          <cell r="O21">
            <v>8.5</v>
          </cell>
          <cell r="P21">
            <v>501.5</v>
          </cell>
          <cell r="Q21">
            <v>17</v>
          </cell>
          <cell r="R21">
            <v>1003</v>
          </cell>
        </row>
        <row r="22">
          <cell r="B22" t="str">
            <v>Outside Water Proofing (for Pit &amp; Basin)</v>
          </cell>
          <cell r="C22" t="str">
            <v xml:space="preserve">bitu-coating, 2 times, 0.4kg/m2 </v>
          </cell>
          <cell r="D22" t="str">
            <v>m2</v>
          </cell>
          <cell r="E22">
            <v>173</v>
          </cell>
          <cell r="F22">
            <v>3.4000000000000004</v>
          </cell>
          <cell r="G22">
            <v>588.20000000000005</v>
          </cell>
          <cell r="I22">
            <v>2.04</v>
          </cell>
          <cell r="J22">
            <v>352.92</v>
          </cell>
          <cell r="K22">
            <v>1.02</v>
          </cell>
          <cell r="L22">
            <v>176.46</v>
          </cell>
          <cell r="M22">
            <v>0.34</v>
          </cell>
          <cell r="N22">
            <v>58.82</v>
          </cell>
          <cell r="O22">
            <v>3.4000000000000004</v>
          </cell>
          <cell r="P22">
            <v>588.20000000000005</v>
          </cell>
          <cell r="Q22">
            <v>6.8000000000000007</v>
          </cell>
          <cell r="R22">
            <v>1176.4000000000001</v>
          </cell>
        </row>
        <row r="23">
          <cell r="B23" t="str">
            <v>Inside Wall Coating (Water Proofing Only)</v>
          </cell>
          <cell r="C23" t="str">
            <v>Liquid water coating</v>
          </cell>
          <cell r="D23" t="str">
            <v>m2</v>
          </cell>
          <cell r="E23">
            <v>13</v>
          </cell>
          <cell r="F23">
            <v>3.4000000000000004</v>
          </cell>
          <cell r="G23">
            <v>44.2</v>
          </cell>
          <cell r="I23">
            <v>2.04</v>
          </cell>
          <cell r="J23">
            <v>26.52</v>
          </cell>
          <cell r="K23">
            <v>1.02</v>
          </cell>
          <cell r="L23">
            <v>13.26</v>
          </cell>
          <cell r="M23">
            <v>0.33999999999999997</v>
          </cell>
          <cell r="N23">
            <v>4.42</v>
          </cell>
          <cell r="O23">
            <v>3.4000000000000004</v>
          </cell>
          <cell r="P23">
            <v>44.2</v>
          </cell>
          <cell r="Q23">
            <v>6.8000000000000007</v>
          </cell>
          <cell r="R23">
            <v>88.4</v>
          </cell>
        </row>
        <row r="24">
          <cell r="B24" t="str">
            <v>Chemical Coating (inside only)</v>
          </cell>
          <cell r="C24" t="str">
            <v>Chemical resistant bricks or tiles or by a monolithic epoxy compound</v>
          </cell>
          <cell r="D24" t="str">
            <v>m2</v>
          </cell>
          <cell r="E24">
            <v>177</v>
          </cell>
          <cell r="F24">
            <v>15</v>
          </cell>
          <cell r="G24">
            <v>2655</v>
          </cell>
          <cell r="I24">
            <v>11</v>
          </cell>
          <cell r="J24">
            <v>1947</v>
          </cell>
          <cell r="K24">
            <v>6</v>
          </cell>
          <cell r="L24">
            <v>1062</v>
          </cell>
          <cell r="M24">
            <v>3</v>
          </cell>
          <cell r="N24">
            <v>531</v>
          </cell>
          <cell r="O24">
            <v>20</v>
          </cell>
          <cell r="P24">
            <v>3540</v>
          </cell>
          <cell r="Q24">
            <v>35</v>
          </cell>
          <cell r="R24">
            <v>6195</v>
          </cell>
        </row>
        <row r="25">
          <cell r="B25" t="str">
            <v>Drain Pipe (for concrete Tank)</v>
          </cell>
          <cell r="C25" t="str">
            <v>HDPE drain pipe (Φ 75x6.9mm)</v>
          </cell>
          <cell r="D25" t="str">
            <v>m</v>
          </cell>
          <cell r="E25">
            <v>8</v>
          </cell>
          <cell r="F25">
            <v>6</v>
          </cell>
          <cell r="G25">
            <v>48</v>
          </cell>
          <cell r="I25">
            <v>3.6</v>
          </cell>
          <cell r="J25">
            <v>28.8</v>
          </cell>
          <cell r="K25">
            <v>2.8</v>
          </cell>
          <cell r="L25">
            <v>22.4</v>
          </cell>
          <cell r="M25">
            <v>1.2</v>
          </cell>
          <cell r="N25">
            <v>9.6</v>
          </cell>
          <cell r="O25">
            <v>7.6</v>
          </cell>
          <cell r="P25">
            <v>60.8</v>
          </cell>
          <cell r="Q25">
            <v>13.6</v>
          </cell>
          <cell r="R25">
            <v>108.8</v>
          </cell>
        </row>
        <row r="26">
          <cell r="B26" t="str">
            <v>Geotextile membrane</v>
          </cell>
          <cell r="C26" t="str">
            <v>woven/roven type Nicolon No. 66339 or equivalent</v>
          </cell>
          <cell r="D26" t="str">
            <v>m2</v>
          </cell>
          <cell r="E26">
            <v>167</v>
          </cell>
          <cell r="F26">
            <v>3</v>
          </cell>
          <cell r="G26">
            <v>501</v>
          </cell>
          <cell r="I26">
            <v>1.7</v>
          </cell>
          <cell r="J26">
            <v>283.89999999999998</v>
          </cell>
          <cell r="K26">
            <v>1.4000000000000001</v>
          </cell>
          <cell r="L26">
            <v>233.8</v>
          </cell>
          <cell r="M26">
            <v>1.0999999999999999</v>
          </cell>
          <cell r="N26">
            <v>183.7</v>
          </cell>
          <cell r="O26">
            <v>4.2</v>
          </cell>
          <cell r="P26">
            <v>701.4</v>
          </cell>
          <cell r="Q26">
            <v>7.2</v>
          </cell>
          <cell r="R26">
            <v>1202.4000000000001</v>
          </cell>
        </row>
        <row r="27">
          <cell r="B27" t="str">
            <v>Drain Pipe (for Tank Foundation)</v>
          </cell>
          <cell r="C27" t="str">
            <v>HDPE drain pipe (Φ 125mm)</v>
          </cell>
          <cell r="D27" t="str">
            <v>m</v>
          </cell>
          <cell r="E27">
            <v>8</v>
          </cell>
          <cell r="F27">
            <v>8</v>
          </cell>
          <cell r="G27">
            <v>64</v>
          </cell>
          <cell r="I27">
            <v>3.6</v>
          </cell>
          <cell r="J27">
            <v>28.8</v>
          </cell>
          <cell r="K27">
            <v>2.8</v>
          </cell>
          <cell r="L27">
            <v>22.4</v>
          </cell>
          <cell r="M27">
            <v>1.2</v>
          </cell>
          <cell r="N27">
            <v>9.6</v>
          </cell>
          <cell r="O27">
            <v>7.6</v>
          </cell>
          <cell r="P27">
            <v>60.8</v>
          </cell>
          <cell r="Q27">
            <v>15.6</v>
          </cell>
          <cell r="R27">
            <v>124.8</v>
          </cell>
        </row>
        <row r="28">
          <cell r="B28" t="str">
            <v>Hume Pipe</v>
          </cell>
          <cell r="C28" t="str">
            <v>D=450mm</v>
          </cell>
          <cell r="D28" t="str">
            <v>m</v>
          </cell>
          <cell r="E28">
            <v>92</v>
          </cell>
          <cell r="F28">
            <v>50</v>
          </cell>
          <cell r="G28">
            <v>4600</v>
          </cell>
          <cell r="I28">
            <v>14.5</v>
          </cell>
          <cell r="J28">
            <v>1334</v>
          </cell>
          <cell r="K28">
            <v>12</v>
          </cell>
          <cell r="L28">
            <v>1104</v>
          </cell>
          <cell r="M28">
            <v>8</v>
          </cell>
          <cell r="N28">
            <v>736</v>
          </cell>
          <cell r="O28">
            <v>34.5</v>
          </cell>
          <cell r="P28">
            <v>3174</v>
          </cell>
          <cell r="Q28">
            <v>84.5</v>
          </cell>
          <cell r="R28">
            <v>7774</v>
          </cell>
        </row>
        <row r="29">
          <cell r="B29" t="str">
            <v>Warning Tape</v>
          </cell>
          <cell r="C29" t="str">
            <v>P.V.C</v>
          </cell>
          <cell r="D29" t="str">
            <v>m</v>
          </cell>
          <cell r="E29">
            <v>6322</v>
          </cell>
          <cell r="F29">
            <v>1.5</v>
          </cell>
          <cell r="G29">
            <v>9483</v>
          </cell>
          <cell r="I29">
            <v>0.75</v>
          </cell>
          <cell r="J29">
            <v>4741.5</v>
          </cell>
          <cell r="K29">
            <v>0.4</v>
          </cell>
          <cell r="L29">
            <v>2528.8000000000002</v>
          </cell>
          <cell r="M29">
            <v>0.4</v>
          </cell>
          <cell r="N29">
            <v>2528.8000000000002</v>
          </cell>
          <cell r="O29">
            <v>1.55</v>
          </cell>
          <cell r="P29">
            <v>9799.1</v>
          </cell>
          <cell r="Q29">
            <v>3.05</v>
          </cell>
          <cell r="R29">
            <v>19282.099999999999</v>
          </cell>
        </row>
        <row r="30">
          <cell r="B30" t="str">
            <v>Checkered Plate</v>
          </cell>
          <cell r="C30" t="str">
            <v>Thk.=6mm, Galvanized</v>
          </cell>
          <cell r="D30" t="str">
            <v>m2</v>
          </cell>
          <cell r="E30">
            <v>90</v>
          </cell>
          <cell r="F30">
            <v>45</v>
          </cell>
          <cell r="G30">
            <v>4050</v>
          </cell>
          <cell r="I30">
            <v>24</v>
          </cell>
          <cell r="J30">
            <v>2160</v>
          </cell>
          <cell r="K30">
            <v>16</v>
          </cell>
          <cell r="L30">
            <v>1440</v>
          </cell>
          <cell r="M30">
            <v>14</v>
          </cell>
          <cell r="N30">
            <v>1260</v>
          </cell>
          <cell r="O30">
            <v>54</v>
          </cell>
          <cell r="P30">
            <v>4860</v>
          </cell>
          <cell r="Q30">
            <v>99</v>
          </cell>
          <cell r="R30">
            <v>8910</v>
          </cell>
        </row>
        <row r="31">
          <cell r="B31" t="str">
            <v>Grating</v>
          </cell>
          <cell r="C31" t="str">
            <v>I-30x3, Galvanized</v>
          </cell>
          <cell r="D31" t="str">
            <v>m2</v>
          </cell>
          <cell r="E31">
            <v>1</v>
          </cell>
          <cell r="F31">
            <v>92</v>
          </cell>
          <cell r="G31">
            <v>92</v>
          </cell>
          <cell r="I31">
            <v>21</v>
          </cell>
          <cell r="J31">
            <v>21</v>
          </cell>
          <cell r="K31">
            <v>18</v>
          </cell>
          <cell r="L31">
            <v>18</v>
          </cell>
          <cell r="M31">
            <v>15</v>
          </cell>
          <cell r="N31">
            <v>15</v>
          </cell>
          <cell r="O31">
            <v>54</v>
          </cell>
          <cell r="P31">
            <v>54</v>
          </cell>
          <cell r="Q31">
            <v>146</v>
          </cell>
          <cell r="R31">
            <v>146</v>
          </cell>
        </row>
        <row r="32">
          <cell r="B32" t="str">
            <v>Step Iron</v>
          </cell>
          <cell r="C32" t="str">
            <v>ASTM A36, Round Bar Φ20x1200L, Hot dip galvanized</v>
          </cell>
          <cell r="D32" t="str">
            <v>ea</v>
          </cell>
          <cell r="E32">
            <v>41</v>
          </cell>
          <cell r="F32">
            <v>3.5999999999999996</v>
          </cell>
          <cell r="G32">
            <v>147.6</v>
          </cell>
          <cell r="I32">
            <v>2</v>
          </cell>
          <cell r="J32">
            <v>82</v>
          </cell>
          <cell r="K32">
            <v>1.5</v>
          </cell>
          <cell r="L32">
            <v>61.5</v>
          </cell>
          <cell r="M32">
            <v>1.2000000000000002</v>
          </cell>
          <cell r="N32">
            <v>49.2</v>
          </cell>
          <cell r="O32">
            <v>4.6999999999999993</v>
          </cell>
          <cell r="P32">
            <v>192.7</v>
          </cell>
          <cell r="Q32">
            <v>8.3000000000000007</v>
          </cell>
          <cell r="R32">
            <v>340.3</v>
          </cell>
        </row>
        <row r="33">
          <cell r="B33" t="str">
            <v>Misc. Steel</v>
          </cell>
          <cell r="C33" t="str">
            <v>ASTM A36 or equivalent</v>
          </cell>
          <cell r="D33" t="str">
            <v>Ton</v>
          </cell>
          <cell r="E33">
            <v>4</v>
          </cell>
          <cell r="F33">
            <v>820</v>
          </cell>
          <cell r="G33">
            <v>3280</v>
          </cell>
          <cell r="I33">
            <v>425</v>
          </cell>
          <cell r="J33">
            <v>1700</v>
          </cell>
          <cell r="K33">
            <v>370</v>
          </cell>
          <cell r="L33">
            <v>1480</v>
          </cell>
          <cell r="M33">
            <v>250</v>
          </cell>
          <cell r="N33">
            <v>1000</v>
          </cell>
          <cell r="O33">
            <v>1045</v>
          </cell>
          <cell r="P33">
            <v>4180</v>
          </cell>
          <cell r="Q33">
            <v>1865</v>
          </cell>
          <cell r="R33">
            <v>7460</v>
          </cell>
        </row>
        <row r="34">
          <cell r="B34" t="str">
            <v>Anchor Bolt (M24)</v>
          </cell>
          <cell r="C34" t="str">
            <v>ASTM A36 or equivalent (Refer DEP S28.020), Install only</v>
          </cell>
          <cell r="D34" t="str">
            <v>ea</v>
          </cell>
          <cell r="E34">
            <v>38</v>
          </cell>
          <cell r="F34">
            <v>0</v>
          </cell>
          <cell r="G34">
            <v>0</v>
          </cell>
          <cell r="I34">
            <v>6</v>
          </cell>
          <cell r="J34">
            <v>228</v>
          </cell>
          <cell r="K34">
            <v>5</v>
          </cell>
          <cell r="L34">
            <v>190</v>
          </cell>
          <cell r="M34">
            <v>3</v>
          </cell>
          <cell r="N34">
            <v>114</v>
          </cell>
          <cell r="O34">
            <v>14</v>
          </cell>
          <cell r="P34">
            <v>532</v>
          </cell>
          <cell r="Q34">
            <v>14</v>
          </cell>
          <cell r="R34">
            <v>532</v>
          </cell>
        </row>
        <row r="35">
          <cell r="B35" t="str">
            <v>Anchor Bolt (M42)</v>
          </cell>
          <cell r="C35" t="str">
            <v>ASTM A36 or equivalent (Refer DEP S28.020), Install only</v>
          </cell>
          <cell r="D35" t="str">
            <v>ea</v>
          </cell>
          <cell r="E35">
            <v>806</v>
          </cell>
          <cell r="F35">
            <v>0</v>
          </cell>
          <cell r="G35">
            <v>0</v>
          </cell>
          <cell r="I35">
            <v>7</v>
          </cell>
          <cell r="J35">
            <v>5642</v>
          </cell>
          <cell r="K35">
            <v>6</v>
          </cell>
          <cell r="L35">
            <v>4836</v>
          </cell>
          <cell r="M35">
            <v>3.5</v>
          </cell>
          <cell r="N35">
            <v>2821</v>
          </cell>
          <cell r="O35">
            <v>16.5</v>
          </cell>
          <cell r="P35">
            <v>13299</v>
          </cell>
          <cell r="Q35">
            <v>16.5</v>
          </cell>
          <cell r="R35">
            <v>13299</v>
          </cell>
        </row>
        <row r="36">
          <cell r="B36" t="str">
            <v>Wearing Course (Asphalt Road)</v>
          </cell>
          <cell r="C36" t="str">
            <v>Thk.=50mm</v>
          </cell>
          <cell r="D36" t="str">
            <v>m3</v>
          </cell>
          <cell r="E36">
            <v>75</v>
          </cell>
          <cell r="F36">
            <v>70</v>
          </cell>
          <cell r="G36">
            <v>5250</v>
          </cell>
          <cell r="I36">
            <v>32</v>
          </cell>
          <cell r="J36">
            <v>2400</v>
          </cell>
          <cell r="K36">
            <v>49</v>
          </cell>
          <cell r="L36">
            <v>3675</v>
          </cell>
          <cell r="M36">
            <v>15</v>
          </cell>
          <cell r="N36">
            <v>1125</v>
          </cell>
          <cell r="O36">
            <v>96</v>
          </cell>
          <cell r="P36">
            <v>7200</v>
          </cell>
          <cell r="Q36">
            <v>166</v>
          </cell>
          <cell r="R36">
            <v>12450</v>
          </cell>
        </row>
        <row r="37">
          <cell r="B37" t="str">
            <v>Prime Coat/Tack Coat</v>
          </cell>
          <cell r="C37" t="str">
            <v>Emulsified Asphalt</v>
          </cell>
          <cell r="D37" t="str">
            <v>m2</v>
          </cell>
          <cell r="E37">
            <v>1515.4</v>
          </cell>
          <cell r="F37">
            <v>0.35</v>
          </cell>
          <cell r="G37">
            <v>530.39</v>
          </cell>
          <cell r="I37">
            <v>0.25</v>
          </cell>
          <cell r="J37">
            <v>378.85</v>
          </cell>
          <cell r="K37">
            <v>0.15</v>
          </cell>
          <cell r="L37">
            <v>227.31</v>
          </cell>
          <cell r="M37">
            <v>9.9999999999999992E-2</v>
          </cell>
          <cell r="N37">
            <v>151.54</v>
          </cell>
          <cell r="O37">
            <v>0.5</v>
          </cell>
          <cell r="P37">
            <v>757.7</v>
          </cell>
          <cell r="Q37">
            <v>0.84999999999999987</v>
          </cell>
          <cell r="R37">
            <v>1288.0899999999999</v>
          </cell>
        </row>
        <row r="38">
          <cell r="B38" t="str">
            <v>Base Course (Asphalt Road)</v>
          </cell>
          <cell r="C38" t="str">
            <v>Thk.=250mm (Using gatch)</v>
          </cell>
          <cell r="D38" t="str">
            <v>m3</v>
          </cell>
          <cell r="E38">
            <v>379</v>
          </cell>
          <cell r="F38">
            <v>4</v>
          </cell>
          <cell r="G38">
            <v>1516</v>
          </cell>
          <cell r="I38">
            <v>2.75</v>
          </cell>
          <cell r="J38">
            <v>1042.25</v>
          </cell>
          <cell r="K38">
            <v>2.4</v>
          </cell>
          <cell r="L38">
            <v>909.6</v>
          </cell>
          <cell r="M38">
            <v>1</v>
          </cell>
          <cell r="N38">
            <v>379</v>
          </cell>
          <cell r="O38">
            <v>6.1499999999999995</v>
          </cell>
          <cell r="P38">
            <v>2330.85</v>
          </cell>
          <cell r="Q38">
            <v>10.15</v>
          </cell>
          <cell r="R38">
            <v>3846.85</v>
          </cell>
          <cell r="S38" t="str">
            <v>(Using gatch)</v>
          </cell>
        </row>
        <row r="39">
          <cell r="B39" t="str">
            <v>Sub-Base Course (Asphalt Road)</v>
          </cell>
          <cell r="C39" t="str">
            <v>Thk.=250mm (Using gatch)</v>
          </cell>
          <cell r="D39" t="str">
            <v>m3</v>
          </cell>
          <cell r="E39">
            <v>383</v>
          </cell>
          <cell r="F39">
            <v>4</v>
          </cell>
          <cell r="G39">
            <v>1532</v>
          </cell>
          <cell r="I39">
            <v>2.75</v>
          </cell>
          <cell r="J39">
            <v>1053.25</v>
          </cell>
          <cell r="K39">
            <v>2.4</v>
          </cell>
          <cell r="L39">
            <v>919.2</v>
          </cell>
          <cell r="M39">
            <v>1</v>
          </cell>
          <cell r="N39">
            <v>383</v>
          </cell>
          <cell r="O39">
            <v>6.1499999999999995</v>
          </cell>
          <cell r="P39">
            <v>2355.4499999999998</v>
          </cell>
          <cell r="Q39">
            <v>10.15</v>
          </cell>
          <cell r="R39">
            <v>3887.45</v>
          </cell>
          <cell r="S39" t="str">
            <v>(Using gatch)</v>
          </cell>
        </row>
        <row r="40">
          <cell r="B40" t="str">
            <v>Shoulder (Gravel)</v>
          </cell>
          <cell r="C40" t="str">
            <v>Thk.=50mm</v>
          </cell>
          <cell r="D40" t="str">
            <v>m2</v>
          </cell>
          <cell r="E40">
            <v>749</v>
          </cell>
          <cell r="F40">
            <v>27</v>
          </cell>
          <cell r="G40">
            <v>20223</v>
          </cell>
          <cell r="I40">
            <v>12</v>
          </cell>
          <cell r="J40">
            <v>8988</v>
          </cell>
          <cell r="K40">
            <v>10</v>
          </cell>
          <cell r="L40">
            <v>7490</v>
          </cell>
          <cell r="M40">
            <v>2</v>
          </cell>
          <cell r="N40">
            <v>1498</v>
          </cell>
          <cell r="O40">
            <v>24</v>
          </cell>
          <cell r="P40">
            <v>17976</v>
          </cell>
          <cell r="Q40">
            <v>51</v>
          </cell>
          <cell r="R40">
            <v>38199</v>
          </cell>
        </row>
        <row r="41">
          <cell r="B41" t="str">
            <v>Concrete Paving (for Light Duty)</v>
          </cell>
          <cell r="C41" t="str">
            <v>Thk.=100mm, grade C-30</v>
          </cell>
          <cell r="D41" t="str">
            <v>m3</v>
          </cell>
          <cell r="E41">
            <v>99</v>
          </cell>
          <cell r="F41">
            <v>110</v>
          </cell>
          <cell r="G41">
            <v>10890</v>
          </cell>
          <cell r="I41">
            <v>64</v>
          </cell>
          <cell r="J41">
            <v>6336</v>
          </cell>
          <cell r="K41">
            <v>57</v>
          </cell>
          <cell r="L41">
            <v>5643</v>
          </cell>
          <cell r="M41">
            <v>41</v>
          </cell>
          <cell r="N41">
            <v>4059</v>
          </cell>
          <cell r="O41">
            <v>162</v>
          </cell>
          <cell r="P41">
            <v>16038</v>
          </cell>
          <cell r="Q41">
            <v>272</v>
          </cell>
          <cell r="R41">
            <v>26928</v>
          </cell>
        </row>
        <row r="42">
          <cell r="B42" t="str">
            <v>Expansion Joint (for Con'c Paving Light Duty)</v>
          </cell>
          <cell r="C42" t="str">
            <v>L=20m, 25 deep x 20 wide Hydrocarbon resistant joint sealant</v>
          </cell>
          <cell r="D42" t="str">
            <v>m</v>
          </cell>
          <cell r="E42">
            <v>120</v>
          </cell>
          <cell r="F42">
            <v>5</v>
          </cell>
          <cell r="G42">
            <v>600</v>
          </cell>
          <cell r="I42">
            <v>2.2999999999999998</v>
          </cell>
          <cell r="J42">
            <v>276</v>
          </cell>
          <cell r="K42">
            <v>1.3</v>
          </cell>
          <cell r="L42">
            <v>156</v>
          </cell>
          <cell r="M42">
            <v>1.5</v>
          </cell>
          <cell r="N42">
            <v>180</v>
          </cell>
          <cell r="O42">
            <v>5.0999999999999996</v>
          </cell>
          <cell r="P42">
            <v>612</v>
          </cell>
          <cell r="Q42">
            <v>10.1</v>
          </cell>
          <cell r="R42">
            <v>1212</v>
          </cell>
        </row>
        <row r="43">
          <cell r="B43" t="str">
            <v>Contraction Joint (for Con'c Paving Light Duty)</v>
          </cell>
          <cell r="C43" t="str">
            <v>L=5m, 20mm deep groove to be cut after casting and filled with Hydrocarbon resistant joint sealant</v>
          </cell>
          <cell r="D43" t="str">
            <v>m</v>
          </cell>
          <cell r="E43">
            <v>260</v>
          </cell>
          <cell r="F43">
            <v>3.2</v>
          </cell>
          <cell r="G43">
            <v>832</v>
          </cell>
          <cell r="I43">
            <v>1.5</v>
          </cell>
          <cell r="J43">
            <v>390</v>
          </cell>
          <cell r="K43">
            <v>1.05</v>
          </cell>
          <cell r="L43">
            <v>273</v>
          </cell>
          <cell r="M43">
            <v>1.2</v>
          </cell>
          <cell r="N43">
            <v>312</v>
          </cell>
          <cell r="O43">
            <v>3.75</v>
          </cell>
          <cell r="P43">
            <v>975</v>
          </cell>
          <cell r="Q43">
            <v>6.95</v>
          </cell>
          <cell r="R43">
            <v>1807</v>
          </cell>
        </row>
        <row r="44">
          <cell r="B44" t="str">
            <v>Wire Fabric. (for Light Duty Con'c paving)</v>
          </cell>
          <cell r="C44" t="str">
            <v xml:space="preserve">φ7-200x200, Cold-drawn finish, ASTM A185 </v>
          </cell>
          <cell r="D44" t="str">
            <v>m2</v>
          </cell>
          <cell r="E44">
            <v>10369</v>
          </cell>
          <cell r="F44">
            <v>1.8</v>
          </cell>
          <cell r="G44">
            <v>18664.2</v>
          </cell>
          <cell r="I44">
            <v>0.8</v>
          </cell>
          <cell r="J44">
            <v>8295.2000000000007</v>
          </cell>
          <cell r="K44">
            <v>0.70000000000000007</v>
          </cell>
          <cell r="L44">
            <v>7258.3</v>
          </cell>
          <cell r="M44">
            <v>0.45</v>
          </cell>
          <cell r="N44">
            <v>4666.05</v>
          </cell>
          <cell r="O44">
            <v>1.95</v>
          </cell>
          <cell r="P44">
            <v>20219.55</v>
          </cell>
          <cell r="Q44">
            <v>3.75</v>
          </cell>
          <cell r="R44">
            <v>38883.75</v>
          </cell>
        </row>
        <row r="45">
          <cell r="B45" t="str">
            <v>Joint Filler &amp; Sealant (for concrete paving Light Duty)</v>
          </cell>
          <cell r="C45" t="str">
            <v>20 thick flexible jointing material 25 deep x 20 wide Hydrocarbon resistant joint sealant in top.</v>
          </cell>
          <cell r="D45" t="str">
            <v>m</v>
          </cell>
          <cell r="E45">
            <v>1975</v>
          </cell>
          <cell r="F45">
            <v>5</v>
          </cell>
          <cell r="G45">
            <v>9875</v>
          </cell>
          <cell r="I45">
            <v>2.2999999999999998</v>
          </cell>
          <cell r="J45">
            <v>4542.5</v>
          </cell>
          <cell r="K45">
            <v>1.3</v>
          </cell>
          <cell r="L45">
            <v>2567.5</v>
          </cell>
          <cell r="M45">
            <v>1.5</v>
          </cell>
          <cell r="N45">
            <v>2962.5</v>
          </cell>
          <cell r="O45">
            <v>5.0999999999999996</v>
          </cell>
          <cell r="P45">
            <v>10072.5</v>
          </cell>
          <cell r="Q45">
            <v>10.1</v>
          </cell>
          <cell r="R45">
            <v>19947.5</v>
          </cell>
        </row>
        <row r="46">
          <cell r="B46" t="str">
            <v>Polyethylene membrane</v>
          </cell>
          <cell r="C46" t="str">
            <v>gauge 1000 or equal</v>
          </cell>
          <cell r="D46" t="str">
            <v>m2</v>
          </cell>
          <cell r="E46">
            <v>10397</v>
          </cell>
          <cell r="F46">
            <v>0.5</v>
          </cell>
          <cell r="G46">
            <v>5198.5</v>
          </cell>
          <cell r="I46">
            <v>0.42</v>
          </cell>
          <cell r="J46">
            <v>4366.74</v>
          </cell>
          <cell r="K46">
            <v>0.17499999999999999</v>
          </cell>
          <cell r="L46">
            <v>1819.4749999999999</v>
          </cell>
          <cell r="M46">
            <v>0.105</v>
          </cell>
          <cell r="N46">
            <v>1091.6849999999999</v>
          </cell>
          <cell r="O46">
            <v>0.7</v>
          </cell>
          <cell r="P46">
            <v>7277.9</v>
          </cell>
          <cell r="Q46">
            <v>1.2</v>
          </cell>
          <cell r="R46">
            <v>12476.4</v>
          </cell>
        </row>
        <row r="47">
          <cell r="B47" t="str">
            <v>Hardboard</v>
          </cell>
          <cell r="C47">
            <v>0</v>
          </cell>
          <cell r="D47" t="str">
            <v>m2</v>
          </cell>
          <cell r="E47">
            <v>7844</v>
          </cell>
          <cell r="F47">
            <v>3.4</v>
          </cell>
          <cell r="G47">
            <v>26669.599999999999</v>
          </cell>
          <cell r="I47">
            <v>2.5</v>
          </cell>
          <cell r="J47">
            <v>19610</v>
          </cell>
          <cell r="K47">
            <v>1.5</v>
          </cell>
          <cell r="L47">
            <v>11766</v>
          </cell>
          <cell r="M47">
            <v>1</v>
          </cell>
          <cell r="N47">
            <v>7844</v>
          </cell>
          <cell r="O47">
            <v>5</v>
          </cell>
          <cell r="P47">
            <v>39220</v>
          </cell>
          <cell r="Q47">
            <v>8.4</v>
          </cell>
          <cell r="R47">
            <v>65889.600000000006</v>
          </cell>
        </row>
        <row r="48">
          <cell r="B48" t="str">
            <v>screed</v>
          </cell>
          <cell r="C48" t="str">
            <v>20mm thick Mortar</v>
          </cell>
          <cell r="D48" t="str">
            <v>m2</v>
          </cell>
          <cell r="E48">
            <v>20795</v>
          </cell>
          <cell r="F48">
            <v>4.2</v>
          </cell>
          <cell r="G48">
            <v>87339</v>
          </cell>
          <cell r="I48">
            <v>2.35</v>
          </cell>
          <cell r="J48">
            <v>48868.25</v>
          </cell>
          <cell r="K48">
            <v>2</v>
          </cell>
          <cell r="L48">
            <v>41590</v>
          </cell>
          <cell r="M48">
            <v>1.5</v>
          </cell>
          <cell r="N48">
            <v>31192.5</v>
          </cell>
          <cell r="O48">
            <v>5.85</v>
          </cell>
          <cell r="P48">
            <v>121650.75</v>
          </cell>
          <cell r="Q48">
            <v>10.050000000000001</v>
          </cell>
          <cell r="R48">
            <v>208989.75</v>
          </cell>
        </row>
        <row r="49">
          <cell r="B49" t="str">
            <v>Fence (New)</v>
          </cell>
          <cell r="C4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49" t="str">
            <v>m</v>
          </cell>
          <cell r="E49">
            <v>580</v>
          </cell>
          <cell r="F49">
            <v>28</v>
          </cell>
          <cell r="G49">
            <v>16240</v>
          </cell>
          <cell r="I49">
            <v>15</v>
          </cell>
          <cell r="J49">
            <v>8700</v>
          </cell>
          <cell r="K49">
            <v>12</v>
          </cell>
          <cell r="L49">
            <v>6960</v>
          </cell>
          <cell r="M49">
            <v>3</v>
          </cell>
          <cell r="N49">
            <v>1740</v>
          </cell>
          <cell r="O49">
            <v>30</v>
          </cell>
          <cell r="P49">
            <v>17400</v>
          </cell>
          <cell r="Q49">
            <v>58</v>
          </cell>
          <cell r="R49">
            <v>33640</v>
          </cell>
        </row>
      </sheetData>
      <sheetData sheetId="5">
        <row r="8">
          <cell r="B8" t="str">
            <v>Demolition (Paving)</v>
          </cell>
        </row>
        <row r="9">
          <cell r="B9" t="str">
            <v>Demolition (Road)</v>
          </cell>
          <cell r="C9">
            <v>0</v>
          </cell>
          <cell r="D9" t="str">
            <v>m2</v>
          </cell>
          <cell r="E9">
            <v>4680</v>
          </cell>
          <cell r="I9">
            <v>2.15</v>
          </cell>
          <cell r="J9">
            <v>10062</v>
          </cell>
          <cell r="K9">
            <v>3.1</v>
          </cell>
          <cell r="L9">
            <v>14508</v>
          </cell>
          <cell r="M9">
            <v>1.1000000000000001</v>
          </cell>
          <cell r="N9">
            <v>5148</v>
          </cell>
          <cell r="O9">
            <v>6.35</v>
          </cell>
          <cell r="P9">
            <v>29718</v>
          </cell>
          <cell r="Q9">
            <v>6.35</v>
          </cell>
          <cell r="R9">
            <v>29718</v>
          </cell>
          <cell r="S9" t="str">
            <v>Road thickness limited to 125mm</v>
          </cell>
        </row>
        <row r="10">
          <cell r="B10" t="str">
            <v>Demolition (Fence)</v>
          </cell>
          <cell r="C10" t="str">
            <v>including foundation</v>
          </cell>
          <cell r="D10" t="str">
            <v>m</v>
          </cell>
          <cell r="E10">
            <v>1218</v>
          </cell>
          <cell r="I10">
            <v>1.4000000000000001</v>
          </cell>
          <cell r="J10">
            <v>1705.2</v>
          </cell>
          <cell r="K10">
            <v>2</v>
          </cell>
          <cell r="L10">
            <v>2436</v>
          </cell>
          <cell r="M10">
            <v>0.79999999999999993</v>
          </cell>
          <cell r="N10">
            <v>974.4</v>
          </cell>
          <cell r="O10">
            <v>4.2</v>
          </cell>
          <cell r="P10">
            <v>5115.6000000000004</v>
          </cell>
          <cell r="Q10">
            <v>4.2</v>
          </cell>
          <cell r="R10">
            <v>5115.6000000000004</v>
          </cell>
        </row>
        <row r="11">
          <cell r="B11" t="str">
            <v>Demolition (Concrete)</v>
          </cell>
          <cell r="C11">
            <v>0</v>
          </cell>
          <cell r="D11" t="str">
            <v>m3</v>
          </cell>
          <cell r="E11">
            <v>1225</v>
          </cell>
          <cell r="I11">
            <v>21.3</v>
          </cell>
          <cell r="J11">
            <v>26092.5</v>
          </cell>
          <cell r="K11">
            <v>30.5</v>
          </cell>
          <cell r="L11">
            <v>37362.5</v>
          </cell>
          <cell r="M11">
            <v>9.1999999999999993</v>
          </cell>
          <cell r="N11">
            <v>11270</v>
          </cell>
          <cell r="O11">
            <v>61</v>
          </cell>
          <cell r="P11">
            <v>74725</v>
          </cell>
          <cell r="Q11">
            <v>61</v>
          </cell>
          <cell r="R11">
            <v>74725</v>
          </cell>
        </row>
        <row r="12">
          <cell r="B12" t="str">
            <v>Topographical Survey</v>
          </cell>
          <cell r="C12">
            <v>0</v>
          </cell>
          <cell r="D12" t="str">
            <v>m2</v>
          </cell>
          <cell r="E12">
            <v>1258</v>
          </cell>
          <cell r="I12">
            <v>0.27</v>
          </cell>
          <cell r="J12">
            <v>339.66</v>
          </cell>
          <cell r="K12">
            <v>0.21</v>
          </cell>
          <cell r="L12">
            <v>264.18</v>
          </cell>
          <cell r="M12">
            <v>0.12000000000000001</v>
          </cell>
          <cell r="N12">
            <v>150.96</v>
          </cell>
          <cell r="O12">
            <v>0.6</v>
          </cell>
          <cell r="P12">
            <v>754.8</v>
          </cell>
          <cell r="Q12">
            <v>0.6</v>
          </cell>
          <cell r="R12">
            <v>754.8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SBL"/>
      <sheetName val="ISBL"/>
      <sheetName val="TABLE2-1 ISBL(GENEAL-CIVIL)"/>
      <sheetName val="TABLE2-1 ISBL-(SlTE PREP)"/>
      <sheetName val="TABLE2.1 ISBL (Soil Invest)"/>
      <sheetName val="TABLE2-2 OSBL(GENERAL-CIVIL)"/>
      <sheetName val="TABLE2-2 OSBL-(SITE PREP)"/>
    </sheetNames>
    <sheetDataSet>
      <sheetData sheetId="0">
        <row r="13">
          <cell r="B13" t="str">
            <v>Demolition (Paving)</v>
          </cell>
        </row>
      </sheetData>
      <sheetData sheetId="1">
        <row r="13">
          <cell r="B13" t="str">
            <v>Demolition (Paving)</v>
          </cell>
        </row>
      </sheetData>
      <sheetData sheetId="2" refreshError="1"/>
      <sheetData sheetId="3" refreshError="1"/>
      <sheetData sheetId="4" refreshError="1"/>
      <sheetData sheetId="5" refreshError="1"/>
      <sheetData sheetId="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Cover"/>
      <sheetName val="장비당단가 (1)"/>
      <sheetName val="A-4"/>
      <sheetName val="단위중량"/>
      <sheetName val="ITEM"/>
      <sheetName val="견적서"/>
      <sheetName val="시행예산"/>
      <sheetName val="하수급견적대비"/>
      <sheetName val=" 견적서"/>
      <sheetName val="환률"/>
      <sheetName val="일반부표"/>
      <sheetName val="공비대비"/>
      <sheetName val="Sheet5"/>
      <sheetName val="WORK"/>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Testing"/>
      <sheetName val="Sheet1"/>
      <sheetName val="ISBL"/>
      <sheetName val="OSBL"/>
      <sheetName val="일위대가목록"/>
      <sheetName val="Y-WORK"/>
      <sheetName val="Dae_Jiju"/>
      <sheetName val="Sikje_ingun"/>
      <sheetName val="TREE_D"/>
      <sheetName val="한일양산"/>
      <sheetName val="3BL공동구 수량"/>
      <sheetName val="Sheet4"/>
      <sheetName val="차액보증"/>
      <sheetName val="적용률"/>
      <sheetName val="DATA"/>
      <sheetName val="데이타"/>
      <sheetName val="CONCRETE"/>
      <sheetName val="을"/>
      <sheetName val="Site Expenses"/>
      <sheetName val="부대내역"/>
      <sheetName val="건축내역"/>
      <sheetName val="1.맹암거관련"/>
      <sheetName val="c_balju"/>
      <sheetName val="실행철강하도"/>
      <sheetName val="수목표준대가"/>
      <sheetName val="BQ"/>
      <sheetName val="BID"/>
      <sheetName val="입찰안"/>
      <sheetName val="L형옹벽(key)"/>
      <sheetName val="BSD (2)"/>
      <sheetName val="INST_DCI"/>
      <sheetName val="IPL_SCHEDULE"/>
      <sheetName val="INSTR"/>
      <sheetName val="영업소실적"/>
      <sheetName val="ilch"/>
      <sheetName val="설계"/>
      <sheetName val="가시설수량"/>
      <sheetName val="단위수량"/>
      <sheetName val="GAEYO"/>
      <sheetName val="건내용"/>
      <sheetName val="Sheet2"/>
      <sheetName val="PRO_DCI"/>
      <sheetName val="HVAC_DCI"/>
      <sheetName val="PIPE_DCI"/>
      <sheetName val="TABLE2-1 ISBL(GENEAL-CIVIL)"/>
      <sheetName val="TABLE2-1 ISBL-(SlTE PREP)"/>
      <sheetName val="TABLE2.1 ISBL (Soil Invest)"/>
      <sheetName val="TABLE2-2 OSBL(GENERAL-CIVIL)"/>
      <sheetName val="TABLE2-2 OSBL-(SITE PREP)"/>
      <sheetName val="영동(D)"/>
      <sheetName val="일위"/>
      <sheetName val="공사비 내역 (가)"/>
      <sheetName val="OCT.FDN"/>
      <sheetName val="General Data"/>
      <sheetName val="gyun"/>
      <sheetName val="산출근거"/>
      <sheetName val="산업개발안내서"/>
      <sheetName val="식재인부"/>
      <sheetName val="토목내역"/>
      <sheetName val="도급"/>
      <sheetName val="일위대가"/>
      <sheetName val="MOTOR"/>
      <sheetName val="기계내역"/>
      <sheetName val="당초"/>
      <sheetName val="Proposal"/>
      <sheetName val="20관리비율"/>
      <sheetName val="원가계산"/>
      <sheetName val="공통부대비"/>
      <sheetName val="내역"/>
      <sheetName val="동원인원"/>
      <sheetName val="변압기 및 발전기 용량"/>
      <sheetName val="공문"/>
      <sheetName val="품셈TABLE"/>
      <sheetName val="01"/>
      <sheetName val="투찰"/>
      <sheetName val="2F 회의실견적(5_14 일대)"/>
      <sheetName val="단가"/>
      <sheetName val="시설물일위"/>
      <sheetName val="XL4Poppy"/>
      <sheetName val="PhaDoMong"/>
      <sheetName val="PRO_A"/>
      <sheetName val="DWG"/>
      <sheetName val="ELEC_MCI"/>
      <sheetName val="MAIN"/>
      <sheetName val="INST_MCI"/>
      <sheetName val="MECH_MCI"/>
      <sheetName val="PRO"/>
      <sheetName val="입사시직위"/>
      <sheetName val="7.5.2 BOQ Summary "/>
      <sheetName val="FAB별"/>
      <sheetName val="GTG TR PIT"/>
      <sheetName val="결선list"/>
      <sheetName val="빙장비사양"/>
      <sheetName val="감가상각"/>
      <sheetName val="노임단가"/>
      <sheetName val="토공사"/>
      <sheetName val="8월현금흐름표"/>
      <sheetName val="맨홀수량집계"/>
      <sheetName val="9811"/>
      <sheetName val="토목"/>
      <sheetName val="PUMP"/>
      <sheetName val="보합"/>
      <sheetName val="TABLE"/>
      <sheetName val="ABUT수량-A1"/>
      <sheetName val="갑지"/>
      <sheetName val="집계표"/>
      <sheetName val="단가결정"/>
      <sheetName val="TEL"/>
      <sheetName val="SE-611"/>
      <sheetName val="말뚝지지력산정"/>
      <sheetName val="가시설(TYPE-A)"/>
      <sheetName val="1호맨홀가감수량"/>
      <sheetName val="1-1평균터파기고(1)"/>
      <sheetName val="1호맨홀수량산출"/>
      <sheetName val="공사개요"/>
      <sheetName val="명세서"/>
      <sheetName val="자재단가비교표"/>
      <sheetName val="내역1"/>
      <sheetName val="I.설계조건"/>
      <sheetName val="공통가설"/>
      <sheetName val="단가대비표"/>
      <sheetName val="물량산출근거"/>
      <sheetName val="실행(ALT1)"/>
      <sheetName val="kimre scrubber"/>
      <sheetName val="일반맨홀수량집계"/>
      <sheetName val="소업1교"/>
      <sheetName val="BLOCK(1)"/>
      <sheetName val="수량산출"/>
      <sheetName val="오산갈곳"/>
      <sheetName val="부대대비"/>
      <sheetName val="냉연집계"/>
      <sheetName val="신우"/>
      <sheetName val="CODE"/>
      <sheetName val="2000년1차"/>
      <sheetName val="시멘트"/>
      <sheetName val="#REF"/>
      <sheetName val="별표 "/>
      <sheetName val="현장"/>
      <sheetName val="TYPE-A"/>
      <sheetName val="차수"/>
      <sheetName val="밸브설치"/>
      <sheetName val="GRDBS"/>
      <sheetName val="단가표"/>
      <sheetName val="Customer Databas"/>
      <sheetName val="FANDBS"/>
      <sheetName val="GRDATA"/>
      <sheetName val="SHAFTDBSE"/>
      <sheetName val="소비자가"/>
      <sheetName val="MATRLDATA"/>
      <sheetName val="원가"/>
      <sheetName val="직노"/>
      <sheetName val="DATA(BAC)"/>
      <sheetName val="말뚝물량"/>
      <sheetName val="DATE"/>
      <sheetName val="7내역"/>
      <sheetName val="내역서(기계)"/>
      <sheetName val="Studio"/>
      <sheetName val="수목데이타 "/>
      <sheetName val="ATS단가"/>
      <sheetName val="과천MAIN"/>
      <sheetName val="DATA1"/>
      <sheetName val="형틀공사"/>
      <sheetName val="터파기및재료"/>
      <sheetName val="몰탈재료산출"/>
      <sheetName val="2공구산출내역"/>
      <sheetName val="J直材4"/>
      <sheetName val="국별인원"/>
      <sheetName val="1을"/>
      <sheetName val="KP1590_E"/>
      <sheetName val="96수출"/>
      <sheetName val="Sheet15"/>
      <sheetName val="남양시작동자105노65기1.3화1.2"/>
      <sheetName val="내역서(총)"/>
      <sheetName val="수목데이타"/>
      <sheetName val="품셈표"/>
      <sheetName val="EXTERNAL(BOQ)"/>
      <sheetName val="CALCULATION"/>
      <sheetName val="123"/>
      <sheetName val="유화"/>
      <sheetName val="DESIGN CRITERIA"/>
      <sheetName val="PumpSpec"/>
      <sheetName val="eq_data"/>
      <sheetName val="h-013211-2"/>
      <sheetName val="견적의뢰"/>
      <sheetName val="CAT_5"/>
      <sheetName val="SOHAR(2nd)"/>
      <sheetName val="WORK-VOL"/>
      <sheetName val="HORI. VESSEL"/>
      <sheetName val="BQ-Offsite"/>
      <sheetName val="2.단면가정"/>
      <sheetName val="4.말뚝설계"/>
      <sheetName val="1.설계조건"/>
      <sheetName val="BJJIN"/>
      <sheetName val="COPING"/>
      <sheetName val="as boq list up"/>
      <sheetName val="대창(함평)"/>
      <sheetName val="대창(장성)"/>
      <sheetName val="대창(함평)-창열"/>
      <sheetName val="Sheet1 (2)"/>
      <sheetName val="교각1"/>
      <sheetName val="일위대가목차"/>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Construction"/>
      <sheetName val="Wind Load(3.1) (2)"/>
      <sheetName val="Wind Load(3.2)"/>
      <sheetName val="Wind Load(3.4)"/>
      <sheetName val="system &amp; LOOK_UP_FUNC"/>
      <sheetName val="BM"/>
      <sheetName val="날개벽(좌,우=45도,75도)"/>
      <sheetName val="CAL"/>
      <sheetName val="연수동"/>
      <sheetName val="물량표"/>
      <sheetName val="b_balju_cho"/>
      <sheetName val="입찰견적보고서"/>
      <sheetName val="INPUT"/>
      <sheetName val="woo(mac)"/>
      <sheetName val="식재품셈"/>
      <sheetName val="견"/>
      <sheetName val="원형맨홀수량"/>
      <sheetName val="전기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면(RW1)"/>
      <sheetName val="관접합및부설"/>
      <sheetName val="차량구입"/>
      <sheetName val="1.설계기준"/>
      <sheetName val="부표총괄"/>
      <sheetName val="wall"/>
      <sheetName val="기초일위"/>
      <sheetName val="시설일위"/>
      <sheetName val="조명일위"/>
      <sheetName val="단면치수"/>
      <sheetName val="부하LOAD"/>
      <sheetName val="견적집계표"/>
      <sheetName val="공사비_내역_(가)"/>
      <sheetName val="_견적서"/>
      <sheetName val="2F_회의실견적(5_14_일대)"/>
      <sheetName val="BSD_(2)"/>
      <sheetName val="1_맹암거관련"/>
      <sheetName val="3BL공동구_수량"/>
      <sheetName val="Site_Expenses"/>
      <sheetName val="입력1"/>
      <sheetName val="FLA"/>
      <sheetName val="경비2내역"/>
      <sheetName val="SORCE1"/>
      <sheetName val="수량산출서"/>
      <sheetName val="가공비"/>
      <sheetName val="조도계산서 (도서)"/>
      <sheetName val="Inputs"/>
      <sheetName val="Timing&amp;Esc"/>
      <sheetName val="금액집계"/>
      <sheetName val="hvac(제어동)"/>
      <sheetName val="Total"/>
      <sheetName val="기별(종합)"/>
      <sheetName val="TYPE-B 평균H"/>
      <sheetName val="D-3503"/>
      <sheetName val="본지점중"/>
      <sheetName val="Indices"/>
      <sheetName val="1.맹암거관련.xls"/>
      <sheetName val="1.%EB%A7%B9%EC%95%94%EA%B1%B0%E"/>
      <sheetName val="estimate"/>
      <sheetName val="Base_Data"/>
      <sheetName val="full (2)"/>
      <sheetName val="design data"/>
      <sheetName val="member design"/>
      <sheetName val="7단가"/>
      <sheetName val="적격점수&lt;300억미만&gt;"/>
      <sheetName val="검사현황"/>
      <sheetName val="Front"/>
      <sheetName val="SL dau tien"/>
      <sheetName val="Item정리"/>
      <sheetName val="표지판현황"/>
      <sheetName val="산출내역서집계표"/>
      <sheetName val="도급양식"/>
      <sheetName val="PRICE-COMP"/>
      <sheetName val="pri-com"/>
      <sheetName val="6월실적"/>
      <sheetName val="손익분석"/>
      <sheetName val="1-1"/>
      <sheetName val="단면가정"/>
      <sheetName val="IMP(MAIN)"/>
      <sheetName val="IMP (REACTOR)"/>
      <sheetName val="단위별 일위대가표"/>
      <sheetName val="정산노무"/>
      <sheetName val="정산재료"/>
      <sheetName val="전신환매도율"/>
      <sheetName val="전선 및 전선관"/>
      <sheetName val="소일위대가코드표"/>
      <sheetName val="첨부파일"/>
      <sheetName val="갑지(추정)"/>
      <sheetName val="I一般比"/>
      <sheetName val="N賃率-職"/>
      <sheetName val="설변물량"/>
      <sheetName val="설산1.나"/>
      <sheetName val="본사S"/>
      <sheetName val="Equipment"/>
      <sheetName val="Piping"/>
      <sheetName val="연습"/>
      <sheetName val="봉양~조차장간고하개명(신설)"/>
      <sheetName val="월선수금"/>
      <sheetName val="골재집계"/>
      <sheetName val="Baby일위대가"/>
      <sheetName val="적용기준"/>
      <sheetName val="EUPDAT2"/>
      <sheetName val="Hargamat"/>
      <sheetName val="검색"/>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건축내역서"/>
      <sheetName val="차선도색현황"/>
      <sheetName val="개요"/>
      <sheetName val="횡배위치"/>
      <sheetName val="가동비율"/>
      <sheetName val="노원열병합  건축공사기성내역서"/>
      <sheetName val="금액"/>
      <sheetName val="Languages"/>
      <sheetName val="SCH"/>
      <sheetName val="CTEMCOST"/>
      <sheetName val="공사비내역서"/>
      <sheetName val="CAPVC"/>
      <sheetName val="연결임시"/>
      <sheetName val="FACTOR"/>
      <sheetName val="견적을지"/>
      <sheetName val="EJ"/>
      <sheetName val="전기공사"/>
      <sheetName val="토목주소"/>
      <sheetName val="프랜트면허"/>
      <sheetName val="4 LINE"/>
      <sheetName val="7 th"/>
      <sheetName val="DS-최종"/>
      <sheetName val="공종별 집계"/>
      <sheetName val="인제내역"/>
      <sheetName val="대비"/>
      <sheetName val="CP-E2 (품셈표)"/>
      <sheetName val="음료실행"/>
      <sheetName val="실행(표지,갑,을)"/>
      <sheetName val="네고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
      <sheetName val="사업본부별"/>
      <sheetName val="9월(일별)"/>
      <sheetName val="9월(현장별)"/>
      <sheetName val="10월(일별)"/>
      <sheetName val="10월(현장별)"/>
      <sheetName val="11월(일별) "/>
      <sheetName val="11월(현장별)"/>
      <sheetName val="11월(어음결재)"/>
      <sheetName val="12월(일별) "/>
      <sheetName val="12월(현장별)"/>
      <sheetName val="12월(어음결재)"/>
      <sheetName val="shn"/>
      <sheetName val="상환스케쥴"/>
      <sheetName val="상환총괄"/>
      <sheetName val="양도자산부채"/>
      <sheetName val="지원사항1"/>
      <sheetName val="지원사항 2"/>
      <sheetName val="지원사항3"/>
      <sheetName val="연도별수주계획"/>
      <sheetName val="동종업계"/>
      <sheetName val="7.6.3.BOQ"/>
      <sheetName val="7.6.3(A) AG Piping"/>
      <sheetName val="7.6.3(B) UG Piping"/>
      <sheetName val="7.6.3(C) INSUL"/>
      <sheetName val="7.6.3(D) PAINT"/>
      <sheetName val="7.6.3(E) NDE"/>
      <sheetName val="7.6.3(F) Sup't"/>
      <sheetName val="7.6.3(G) CHEMICAL CL"/>
      <sheetName val="7.6.3(H) Steam"/>
      <sheetName val="#REF"/>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Field Change Notice"/>
      <sheetName val="waiver request"/>
      <sheetName val="ENWA(OUT)"/>
      <sheetName val="from KNPC"/>
      <sheetName val="HDEC Site Memo"/>
      <sheetName val="KNPC Site Memo"/>
      <sheetName val="from HDEC"/>
      <sheetName val="DCN Status "/>
      <sheetName val="FCN Status"/>
      <sheetName val="packing cover"/>
      <sheetName val="packing list"/>
      <sheetName val="Invoice cover"/>
      <sheetName val="invoice"/>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Sheet2"/>
      <sheetName val="작성요약"/>
      <sheetName val="표지"/>
      <sheetName val="목차"/>
      <sheetName val="1.사업개요"/>
      <sheetName val="2.총괄표"/>
      <sheetName val="3.설계총괄(확정)"/>
      <sheetName val="3.전문외주(확정)"/>
      <sheetName val="3.설계총괄(정산)"/>
      <sheetName val="3.전문외주(정산)"/>
      <sheetName val="전문외주비 (Third Party)"/>
      <sheetName val="4.인력(확정)"/>
      <sheetName val="4.인력(조정)"/>
      <sheetName val="4.인력(정산)"/>
      <sheetName val="5.경비내역(확정)"/>
      <sheetName val="운영계획"/>
      <sheetName val="SOFTWARE"/>
      <sheetName val="5.현장경비(확정)"/>
      <sheetName val="5.경비내역(정산)"/>
      <sheetName val="5.현장경비(정산)"/>
      <sheetName val="7.자금수지"/>
      <sheetName val="(참고)제수당현황"/>
      <sheetName val="MH합계"/>
      <sheetName val="6.프로젝트"/>
      <sheetName val="6.PCM"/>
      <sheetName val="6.프로세스"/>
      <sheetName val="6.프로세스-1"/>
      <sheetName val="6.안전"/>
      <sheetName val="6.MR"/>
      <sheetName val="6.MS"/>
      <sheetName val="6.MT"/>
      <sheetName val="6.MM"/>
      <sheetName val="6.MY"/>
      <sheetName val="6.MH"/>
      <sheetName val="6.배관"/>
      <sheetName val="6.전기"/>
      <sheetName val="6.계장"/>
      <sheetName val="6.토목"/>
      <sheetName val="6.건축"/>
      <sheetName val="실행MH비교"/>
      <sheetName val="입찰MH비교"/>
      <sheetName val="규모비교"/>
      <sheetName val="예산서"/>
      <sheetName val="정부노임단가"/>
      <sheetName val="ABUT수량-A1"/>
      <sheetName val="견적"/>
      <sheetName val="내역서"/>
      <sheetName val="total-mse제외"/>
      <sheetName val="P-PM"/>
      <sheetName val="P-품질"/>
      <sheetName val="P-토목"/>
      <sheetName val="P-건축"/>
      <sheetName val="P-기계"/>
      <sheetName val="P-원자력"/>
      <sheetName val="P-배관"/>
      <sheetName val="P-전기"/>
      <sheetName val="P-계장"/>
      <sheetName val="P-인허가"/>
      <sheetName val="P-공통"/>
      <sheetName val="P-SGN"/>
      <sheetName val="P-MSE"/>
      <sheetName val="details"/>
      <sheetName val="WK16"/>
      <sheetName val="Bend_fact "/>
      <sheetName val="95년12월말"/>
      <sheetName val="현금"/>
      <sheetName val="D-3"/>
      <sheetName val="다이꾸"/>
      <sheetName val="노임"/>
      <sheetName val="BID"/>
      <sheetName val="공사비 내역 (가)"/>
      <sheetName val="#REF!"/>
      <sheetName val="견적 집계"/>
      <sheetName val="BOQ"/>
      <sheetName val="공사비PK5월"/>
      <sheetName val="CALCULATION"/>
      <sheetName val="산근"/>
      <sheetName val="h-013211-2"/>
      <sheetName val="F-302"/>
      <sheetName val="회사99"/>
      <sheetName val="DOC"/>
      <sheetName val="수안보-MBR1"/>
      <sheetName val="상반기손익차2총괄"/>
      <sheetName val="PROCESS"/>
      <sheetName val="설치공사"/>
      <sheetName val="일위대가목차"/>
      <sheetName val="전차선로 물량표"/>
      <sheetName val="한강운반비"/>
      <sheetName val="현장관리비"/>
      <sheetName val="도급양식"/>
      <sheetName val="예산"/>
      <sheetName val="실행내역"/>
      <sheetName val="하조서"/>
      <sheetName val="전기내역서(총계)"/>
      <sheetName val="공통(20-91)"/>
      <sheetName val="조도계산서 (도서)"/>
      <sheetName val="화재 탐지 설비"/>
      <sheetName val="Sheet1"/>
      <sheetName val="노무비"/>
      <sheetName val="현황CODE"/>
      <sheetName val="손익현황"/>
      <sheetName val="COVER"/>
      <sheetName val="summary"/>
      <sheetName val="Sum-Equipment"/>
      <sheetName val="Sum-Piping"/>
      <sheetName val="1-1"/>
      <sheetName val="1-2"/>
      <sheetName val="1-3"/>
      <sheetName val="2-1"/>
      <sheetName val="2-2"/>
      <sheetName val="2-3"/>
      <sheetName val="Dir-Manpower"/>
      <sheetName val="Indir-Manpower"/>
      <sheetName val="Equip-Sch"/>
      <sheetName val="Elec. Power"/>
      <sheetName val="工완성공사율"/>
      <sheetName val="사급자재"/>
      <sheetName val="부대공내역서적용수량"/>
      <sheetName val="부대공(집계)"/>
      <sheetName val="낙석방지책"/>
      <sheetName val="난간"/>
      <sheetName val="교통안내표지판"/>
      <sheetName val="교통표지판기초"/>
      <sheetName val="교통표지판기초단위"/>
      <sheetName val="조경공사"/>
      <sheetName val="SKETCH"/>
      <sheetName val="LOADS"/>
      <sheetName val="단가비교표"/>
      <sheetName val="97 사업추정(WEKI)"/>
      <sheetName val="IN"/>
      <sheetName val="직원동원SCH"/>
      <sheetName val="Total"/>
      <sheetName val="간접비총괄 (2)"/>
      <sheetName val="Base_Data"/>
      <sheetName val="(10.bis OGB_hours ratio)"/>
      <sheetName val="과천MAIN"/>
      <sheetName val="JUCK"/>
      <sheetName val="동원(3)"/>
      <sheetName val="예정(3)"/>
      <sheetName val="품셈집계"/>
      <sheetName val="10한빛"/>
      <sheetName val="Sheet1 (2)"/>
      <sheetName val="기준액"/>
      <sheetName val="설계흐름도"/>
      <sheetName val="6PILE  (돌출)"/>
      <sheetName val="실행자재"/>
      <sheetName val="개비온집계"/>
      <sheetName val="개비온 단위"/>
      <sheetName val="동결보온"/>
      <sheetName val="OD5000"/>
      <sheetName val="Sheet5"/>
      <sheetName val="법인6-2(11)호(을)"/>
      <sheetName val="당좌차월"/>
      <sheetName val="4002"/>
      <sheetName val="FORMULA"/>
      <sheetName val="자압1"/>
      <sheetName val="필리핀"/>
      <sheetName val="Euro-conversion"/>
      <sheetName val="out_prog"/>
      <sheetName val="선적schedule (2)"/>
      <sheetName val="釤.전기"/>
      <sheetName val="TOEC"/>
      <sheetName val="실행철강하도"/>
      <sheetName val="Piping Cost"/>
      <sheetName val="PipWT"/>
      <sheetName val="DCS"/>
      <sheetName val="ANALYSER"/>
      <sheetName val="설비"/>
      <sheetName val="2008년"/>
      <sheetName val="FWBS7000,8000"/>
      <sheetName val="CABLE"/>
      <sheetName val="일보"/>
      <sheetName val="청산공사"/>
      <sheetName val="CW Piping Work"/>
      <sheetName val="Hoja3"/>
      <sheetName val="Hoja2"/>
      <sheetName val="종배수관"/>
      <sheetName val="Basis"/>
      <sheetName val="인원계획"/>
      <sheetName val="piping"/>
      <sheetName val="Mtl Summary"/>
      <sheetName val="철수현황"/>
      <sheetName val="T6-6(2)"/>
      <sheetName val="본부고정이하현황(월말)"/>
      <sheetName val="정리별분류"/>
      <sheetName val="증감내역"/>
      <sheetName val="FX Exposure_Nov00"/>
      <sheetName val="USdebt"/>
      <sheetName val="debtmonth"/>
      <sheetName val="purchasing"/>
      <sheetName val="Exposure0007"/>
      <sheetName val="FX Exposure0011_BOD"/>
      <sheetName val="FX Exposure_Apr2001"/>
      <sheetName val="부표목록"/>
      <sheetName val="추정PL"/>
      <sheetName val="매출액(내수)"/>
      <sheetName val="시장현황"/>
      <sheetName val="매출원가"/>
      <sheetName val="원재료비(내수)"/>
      <sheetName val="과거매출액대비구성비"/>
      <sheetName val="판관비"/>
      <sheetName val="인건비"/>
      <sheetName val="영업외"/>
      <sheetName val="지급이자"/>
      <sheetName val="감가상각"/>
      <sheetName val="유보금"/>
      <sheetName val="제세산출"/>
      <sheetName val="운전자금"/>
      <sheetName val="1회전자금(참고)"/>
      <sheetName val="1회전기간(참고)"/>
      <sheetName val="현금수지예상표"/>
      <sheetName val="영업후조성자금"/>
      <sheetName val="118.세금과공과"/>
      <sheetName val="eq_data"/>
      <sheetName val="Steam-Sys"/>
      <sheetName val="BQ List"/>
      <sheetName val="Tipo Terzi"/>
      <sheetName val="Salary"/>
      <sheetName val="교각계산"/>
      <sheetName val="가도공"/>
      <sheetName val="ITstk"/>
      <sheetName val="주사무실종합"/>
      <sheetName val="PumpSpec"/>
      <sheetName val="TABLE2-2 OSBL-(SITE PREP)"/>
      <sheetName val="Spread_sht"/>
      <sheetName val="영업2"/>
      <sheetName val="영업3"/>
      <sheetName val="Testing"/>
      <sheetName val="MOB-MAN1"/>
      <sheetName val="11월(일별)_"/>
      <sheetName val="12월(일별)_"/>
      <sheetName val="지원사항_2"/>
      <sheetName val="7_6_3_BOQ"/>
      <sheetName val="7_6_3(A)_AG_Piping"/>
      <sheetName val="7_6_3(B)_UG_Piping"/>
      <sheetName val="7_6_3(C)_INSUL"/>
      <sheetName val="7_6_3(D)_PAINT"/>
      <sheetName val="7_6_3(E)_NDE"/>
      <sheetName val="7_6_3(F)_Sup't"/>
      <sheetName val="7_6_3(G)_CHEMICAL_CL"/>
      <sheetName val="7_6_3(H)_Steam"/>
      <sheetName val="Field_Change_Notice"/>
      <sheetName val="waiver_request"/>
      <sheetName val="from_KNPC"/>
      <sheetName val="HDEC_Site_Memo"/>
      <sheetName val="KNPC_Site_Memo"/>
      <sheetName val="from_HDEC"/>
      <sheetName val="packing_cover"/>
      <sheetName val="packing_list"/>
      <sheetName val="Invoice_cover"/>
      <sheetName val="DCN_Status_"/>
      <sheetName val="FCN_Status"/>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1_사업개요"/>
      <sheetName val="2_총괄표"/>
      <sheetName val="3_설계총괄(확정)"/>
      <sheetName val="3_전문외주(확정)"/>
      <sheetName val="3_설계총괄(정산)"/>
      <sheetName val="3_전문외주(정산)"/>
      <sheetName val="전문외주비_(Third_Party)"/>
      <sheetName val="4_인력(확정)"/>
      <sheetName val="4_인력(조정)"/>
      <sheetName val="4_인력(정산)"/>
      <sheetName val="5_경비내역(확정)"/>
      <sheetName val="5_현장경비(확정)"/>
      <sheetName val="5_경비내역(정산)"/>
      <sheetName val="5_현장경비(정산)"/>
      <sheetName val="7_자금수지"/>
      <sheetName val="6_프로젝트"/>
      <sheetName val="6_PCM"/>
      <sheetName val="6_프로세스"/>
      <sheetName val="6_프로세스-1"/>
      <sheetName val="6_안전"/>
      <sheetName val="6_MR"/>
      <sheetName val="6_MS"/>
      <sheetName val="6_MT"/>
      <sheetName val="6_MM"/>
      <sheetName val="6_MY"/>
      <sheetName val="6_MH"/>
      <sheetName val="6_배관"/>
      <sheetName val="6_전기"/>
      <sheetName val="6_계장"/>
      <sheetName val="6_토목"/>
      <sheetName val="6_건축"/>
      <sheetName val="Bend_fact_"/>
      <sheetName val="공사비_내역_(가)"/>
      <sheetName val="견적_집계"/>
      <sheetName val="전차선로_물량표"/>
      <sheetName val="조도계산서_(도서)"/>
      <sheetName val="화재_탐지_설비"/>
      <sheetName val="Elec__Power"/>
      <sheetName val="97_사업추정(WEKI)"/>
      <sheetName val="간접비총괄_(2)"/>
      <sheetName val="개비온_단위"/>
      <sheetName val="(10_bis_OGB_hours_ratio)"/>
      <sheetName val="Sheet1_(2)"/>
      <sheetName val="6PILE__(돌출)"/>
      <sheetName val="선적schedule_(2)"/>
      <sheetName val="釤_전기"/>
      <sheetName val="Piping_Cost"/>
      <sheetName val="CW_Piping_Work"/>
      <sheetName val="배수내역 (2)"/>
      <sheetName val="07"/>
      <sheetName val="07월"/>
      <sheetName val="07월분"/>
      <sheetName val="5월 회원사 배분 명세서(2)"/>
      <sheetName val="어음청구서"/>
      <sheetName val="예비비청구서"/>
      <sheetName val="DATA"/>
      <sheetName val="Civil"/>
      <sheetName val="소화실적"/>
      <sheetName val="Income Statement"/>
      <sheetName val="P.M 별"/>
      <sheetName val="Sohar담수Target"/>
      <sheetName val="자압"/>
      <sheetName val="COPING"/>
      <sheetName val="General Data"/>
      <sheetName val="panel board installation"/>
      <sheetName val="Graph (LGEN)"/>
      <sheetName val="전체내역 (2)"/>
      <sheetName val="借積IQ"/>
      <sheetName val="frmm HDEC"/>
      <sheetName val="개시전표"/>
      <sheetName val="공사집계"/>
      <sheetName val="BQ(Piping)"/>
      <sheetName val="new급여T(4을-운전)"/>
      <sheetName val="DPRKMHDT"/>
      <sheetName val="ITEM"/>
      <sheetName val="BM DATA SHEET"/>
      <sheetName val="FORM-3"/>
      <sheetName val="Rekap A"/>
      <sheetName val="터널조도"/>
      <sheetName val="기둥(원형)"/>
      <sheetName val="200712(법인)"/>
      <sheetName val="200712(해외현지법인계)"/>
      <sheetName val="LOPCALC"/>
      <sheetName val="Sheet3"/>
      <sheetName val="Units"/>
      <sheetName val="Instructions"/>
      <sheetName val="MOTOR"/>
      <sheetName val="Default_Magics"/>
      <sheetName val="Code_Magics"/>
      <sheetName val="»ç¾÷º»ºÎº°"/>
      <sheetName val="9¿ù(ÀÏº°)"/>
      <sheetName val="9¿ù(ÇöÀåº°)"/>
      <sheetName val="10¿ù(ÀÏº°)"/>
      <sheetName val="10¿ù(ÇöÀåº°)"/>
      <sheetName val="11¿ù(ÀÏº°) "/>
      <sheetName val="11¿ù(ÇöÀåº°)"/>
      <sheetName val="11¿ù(¾îÀ½°áÀç)"/>
      <sheetName val="12¿ù(ÀÏº°) "/>
      <sheetName val="12¿ù(ÇöÀåº°)"/>
      <sheetName val="12¿ù(¾îÀ½°áÀç)"/>
      <sheetName val="»óÈ¯½ºÄÉÁì"/>
      <sheetName val="»óÈ¯ÃÑ°ý"/>
      <sheetName val="¾çµµÀÚ»êºÎÃ¤"/>
      <sheetName val="Áö¿ø»çÇ×1"/>
      <sheetName val="Áö¿ø»çÇ× 2"/>
      <sheetName val="Áö¿ø»çÇ×3"/>
      <sheetName val="¿¬µµº°¼öÁÖ°èÈ¹"/>
      <sheetName val="µ¿Á¾¾÷°è"/>
      <sheetName val="ÀÛ¼º¿ä¾à"/>
      <sheetName val="Ç¥Áö"/>
      <sheetName val="¸ñÂ÷"/>
      <sheetName val="1.»ç¾÷°³¿ä"/>
      <sheetName val="2.ÃÑ°ýÇ¥"/>
      <sheetName val="3.¼³°èÃÑ°ý(È®Á¤)"/>
      <sheetName val="3.Àü¹®¿ÜÁÖ(È®Á¤)"/>
      <sheetName val="3.¼³°èÃÑ°ý(Á¤»ê)"/>
      <sheetName val="3.Àü¹®¿ÜÁÖ(Á¤»ê)"/>
      <sheetName val="Àü¹®¿ÜÁÖºñ (Third Party)"/>
      <sheetName val="4.ÀÎ·Â(È®Á¤)"/>
      <sheetName val="4.ÀÎ·Â(Á¶Á¤)"/>
      <sheetName val="4.ÀÎ·Â(Á¤»ê)"/>
      <sheetName val="5.°æºñ³»¿ª(È®Á¤)"/>
      <sheetName val="¿î¿µ°èÈ¹"/>
      <sheetName val="5.ÇöÀå°æºñ(È®Á¤)"/>
      <sheetName val="5.°æºñ³»¿ª(Á¤»ê)"/>
      <sheetName val="5.ÇöÀå°æºñ(Á¤»ê)"/>
      <sheetName val="7.ÀÚ±Ý¼öÁö"/>
      <sheetName val="(Âü°í)Á¦¼ö´çÇöÈ²"/>
      <sheetName val="MHÇÕ°è"/>
      <sheetName val="6.ÇÁ·ÎÁ§Æ®"/>
      <sheetName val="6.ÇÁ·Î¼¼½º"/>
      <sheetName val="6.ÇÁ·Î¼¼½º-1"/>
      <sheetName val="6.¾ÈÀü"/>
      <sheetName val="6.¹è°ü"/>
      <sheetName val="6.Àü±â"/>
      <sheetName val="6.°èÀå"/>
      <sheetName val="6.Åä¸ñ"/>
      <sheetName val="6.°ÇÃà"/>
      <sheetName val="½ÇÇàMHºñ±³"/>
      <sheetName val="ÀÔÂûMHºñ±³"/>
      <sheetName val="±Ô¸ðºñ±³"/>
      <sheetName val="Á¤ºÎ³ëÀÓ´Ü°¡"/>
      <sheetName val="¿¹»ê¼­"/>
      <sheetName val="ABUT¼ö·®-A1"/>
      <sheetName val="°ßÀû"/>
      <sheetName val="³»¿ª¼­"/>
      <sheetName val="°ßÀû Áý°è"/>
      <sheetName val="total-mseÁ¦¿Ü"/>
      <sheetName val="P-Ç°Áú"/>
      <sheetName val="P-Åä¸ñ"/>
      <sheetName val="P-°ÇÃà"/>
      <sheetName val="P-±â°è"/>
      <sheetName val="P-¿øÀÚ·Â"/>
      <sheetName val="P-¹è°ü"/>
      <sheetName val="P-Àü±â"/>
      <sheetName val="P-°èÀå"/>
      <sheetName val="P-ÀÎÇã°¡"/>
      <sheetName val="P-°øÅë"/>
      <sheetName val="´ÙÀÌ²Ù"/>
      <sheetName val="95³â12¿ù¸»"/>
      <sheetName val="Çö±Ý"/>
      <sheetName val="³ëÀÓ"/>
      <sheetName val="¼ö¾Èº¸-MBR1"/>
      <sheetName val="´Ü°¡ºñ±³Ç¥"/>
      <sheetName val="È¸»ç99"/>
      <sheetName val="°ø»çºñ ³»¿ª (°¡)"/>
      <sheetName val="ÇöÈ²CODE"/>
      <sheetName val="¼ÕÀÍÇöÈ²"/>
      <sheetName val="°ø»çºñPK5¿ù"/>
      <sheetName val="»ê±Ù"/>
      <sheetName val="»ó¹Ý±â¼ÕÀÍÂ÷2ÃÑ°ý"/>
      <sheetName val="¼³Ä¡°ø»ç"/>
      <sheetName val="ÀÏÀ§´ë°¡¸ñÂ÷"/>
      <sheetName val="ÀüÂ÷¼±·Î ¹°·®Ç¥"/>
      <sheetName val="ÇÑ°­¿î¹Ýºñ"/>
      <sheetName val="ÇöÀå°ü¸®ºñ"/>
      <sheetName val="µµ±Þ¾ç½Ä"/>
      <sheetName val="¿¹»ê"/>
      <sheetName val="½ÇÇà³»¿ª"/>
      <sheetName val="ÇÏÁ¶¼­"/>
      <sheetName val="Àü±â³»¿ª¼­(ÃÑ°è)"/>
      <sheetName val="°øÅë(20-91)"/>
      <sheetName val="Á¶µµ°è»ê¼­ (µµ¼­)"/>
      <sheetName val="È­Àç Å½Áö ¼³ºñ"/>
      <sheetName val="³ë¹«ºñ"/>
      <sheetName val="Íï¿Ï¼º°ø»çÀ²"/>
      <sheetName val="»ç±ÞÀÚÀç"/>
      <sheetName val="ºÎ´ë°ø³»¿ª¼­Àû¿ë¼ö·®"/>
      <sheetName val="ºÎ´ë°ø(Áý°è)"/>
      <sheetName val="³«¼®¹æÁöÃ¥"/>
      <sheetName val="³­°£"/>
      <sheetName val="±³Åë¾È³»Ç¥ÁöÆÇ"/>
      <sheetName val="±³ÅëÇ¥ÁöÆÇ±âÃÊ"/>
      <sheetName val="±³ÅëÇ¥ÁöÆÇ±âÃÊ´ÜÀ§"/>
      <sheetName val="Á¶°æ°ø»ç"/>
      <sheetName val="°úÃµMAIN"/>
      <sheetName val="97 »ç¾÷ÃßÁ¤(WEKI)"/>
      <sheetName val="Á÷¿øµ¿¿øSCH"/>
      <sheetName val="°£Á¢ºñÃÑ°ý (2)"/>
      <sheetName val="최민영집계25"/>
      <sheetName val="간접비내역-1"/>
      <sheetName val="갑지"/>
      <sheetName val="Piping(Methanol)"/>
      <sheetName val="NOMUBI"/>
      <sheetName val="ELECTRICAL"/>
      <sheetName val="지급자재"/>
      <sheetName val="자문요청"/>
      <sheetName val="El(Increased)"/>
      <sheetName val="15 문제점"/>
      <sheetName val="Instruction"/>
      <sheetName val="집계표"/>
      <sheetName val="인원동원계획"/>
      <sheetName val="123"/>
      <sheetName val="INSTR"/>
      <sheetName val="차수"/>
      <sheetName val="comm"/>
      <sheetName val="영동"/>
      <sheetName val="경비"/>
      <sheetName val="SE-611"/>
      <sheetName val="1월"/>
      <sheetName val="전신환매도율"/>
      <sheetName val="차집관로내역"/>
      <sheetName val="FORM_3"/>
      <sheetName val="건내용"/>
      <sheetName val="cement"/>
      <sheetName val="와동25-3(변경)"/>
      <sheetName val="SHEET 19"/>
      <sheetName val="Macro1"/>
      <sheetName val="간접비"/>
      <sheetName val=" 견적서"/>
      <sheetName val="견적기준"/>
      <sheetName val="DRUM"/>
      <sheetName val="실행비교"/>
      <sheetName val="FPU"/>
      <sheetName val="부하(성남)"/>
      <sheetName val="EQUIPMENT LIST"/>
      <sheetName val="Pier 3"/>
      <sheetName val="OE"/>
      <sheetName val="부속동"/>
      <sheetName val="CVA"/>
      <sheetName val="I_O Module"/>
      <sheetName val="I_O List"/>
      <sheetName val="건장설비"/>
      <sheetName val="연돌일위집계"/>
      <sheetName val="steam table"/>
      <sheetName val="HRD"/>
      <sheetName val="Pipe Calc"/>
      <sheetName val="가공비"/>
      <sheetName val="수량산출"/>
      <sheetName val="spec' sheet"/>
      <sheetName val="CODE"/>
      <sheetName val="SHL"/>
      <sheetName val="extra"/>
      <sheetName val="ISBL"/>
      <sheetName val="OSBL"/>
      <sheetName val="An.Ars"/>
      <sheetName val="TUAS"/>
      <sheetName val="P110"/>
      <sheetName val="설계조건"/>
      <sheetName val="계장공사"/>
      <sheetName val="1998"/>
      <sheetName val="1999"/>
      <sheetName val="2000"/>
      <sheetName val="HA2TOTAL(Original)"/>
      <sheetName val="PULLING SUPT등"/>
      <sheetName val="변품8-37"/>
      <sheetName val="부표총괄"/>
      <sheetName val="insulation"/>
      <sheetName val="공통부대비"/>
      <sheetName val="95삼성급(본사)"/>
      <sheetName val="1을"/>
      <sheetName val="투찰"/>
      <sheetName val="신호등일위대가"/>
      <sheetName val="배수관공"/>
      <sheetName val="기타공"/>
      <sheetName val="배수집계"/>
      <sheetName val="단가조사서"/>
      <sheetName val="내역서적용수량"/>
      <sheetName val="산출내역서집계표"/>
      <sheetName val="바닥판"/>
      <sheetName val="영업소실적"/>
      <sheetName val="DDR"/>
      <sheetName val="PIPES"/>
      <sheetName val="TABLE2-1 ISBL(GENEAL-CIVIL)"/>
      <sheetName val="TABLE2-1 ISBL-(SlTE PREP)"/>
      <sheetName val="TABLE2.1 ISBL (Soil Invest)"/>
      <sheetName val="TABLE2-2 OSBL(GENERAL-CIVIL)"/>
      <sheetName val="자재군별"/>
      <sheetName val="재료내역"/>
      <sheetName val="ITB COST"/>
      <sheetName val="COMPRESSOR"/>
      <sheetName val="PRICE LIST"/>
      <sheetName val="전기"/>
      <sheetName val="예비품 및 특수공구"/>
      <sheetName val="Pag. 1"/>
      <sheetName val="자재코드"/>
      <sheetName val="Table"/>
      <sheetName val="old"/>
      <sheetName val="GiaVL"/>
      <sheetName val="factor"/>
      <sheetName val="Compare"/>
      <sheetName val="FBODYID"/>
      <sheetName val="C급보 "/>
      <sheetName val="통합"/>
      <sheetName val="Macro"/>
      <sheetName val="NEWDRAW"/>
      <sheetName val="PRO_DCI"/>
      <sheetName val="INST_DCI"/>
      <sheetName val="HVAC_DCI"/>
      <sheetName val="PIPE_DCI"/>
      <sheetName val="TRAY"/>
      <sheetName val="예비품 및 특수렀቟"/>
      <sheetName val="RFP009"/>
      <sheetName val="RFP007"/>
      <sheetName val="11월(일별)_1"/>
      <sheetName val="12월(일별)_1"/>
      <sheetName val="지원사항_21"/>
      <sheetName val="7_6_3_BOQ1"/>
      <sheetName val="7_6_3(A)_AG_Piping1"/>
      <sheetName val="96.12"/>
      <sheetName val="Sheet3 (2)"/>
      <sheetName val="lookup"/>
      <sheetName val="E_Rate PM"/>
      <sheetName val="Proposal"/>
      <sheetName val="일위대가"/>
      <sheetName val="Shipping Cost"/>
      <sheetName val="DATE"/>
      <sheetName val="관세,통관수수료,운반비"/>
      <sheetName val="STAND20"/>
      <sheetName val="가BM"/>
      <sheetName val="투입실적"/>
      <sheetName val="calcul"/>
      <sheetName val="가설건물"/>
      <sheetName val="SCH"/>
      <sheetName val="01하반기노임"/>
      <sheetName val="L형 옹벽"/>
      <sheetName val="ilch"/>
      <sheetName val="공사비집계"/>
      <sheetName val="예산변경사항"/>
      <sheetName val="3.현장배치"/>
      <sheetName val="현장배치"/>
      <sheetName val="대비"/>
      <sheetName val="전기일위대가"/>
      <sheetName val="MOTﻍᇕ"/>
      <sheetName val="교통처리우회도로"/>
      <sheetName val="VENDOR LIST"/>
      <sheetName val="PAGE 3_GENERAL DETAILS"/>
      <sheetName val="수입"/>
      <sheetName val="W-현원가"/>
      <sheetName val="CONCRETE"/>
      <sheetName val="COMPARISON TABLE"/>
      <sheetName val="입사시직위"/>
      <sheetName val="A-4"/>
      <sheetName val="설계"/>
      <sheetName val="평균환율-USD"/>
      <sheetName val="VXXXXXXX"/>
      <sheetName val="MOT᳍፜"/>
      <sheetName val="내역"/>
      <sheetName val="우각부보강"/>
      <sheetName val="공사설계서"/>
      <sheetName val="9-1차이내역"/>
      <sheetName val="B부대공"/>
      <sheetName val="Sheet4"/>
      <sheetName val="眞비상(진주)"/>
      <sheetName val="손익요약(미사용)"/>
      <sheetName val="Data Sheet"/>
      <sheetName val="DATA01"/>
      <sheetName val="가상data"/>
      <sheetName val="설직재-1"/>
      <sheetName val="제-노임"/>
      <sheetName val="제직재"/>
      <sheetName val="AP1"/>
      <sheetName val="Field_Change_Notice1"/>
      <sheetName val="waiver_request1"/>
      <sheetName val="from_KNPC1"/>
      <sheetName val="HDEC_Site_Memo1"/>
      <sheetName val="KNPC_Site_Memo1"/>
      <sheetName val="from_HDEC1"/>
      <sheetName val="7_6_3(B)_UG_Piping1"/>
      <sheetName val="7_6_3(C)_INSUL1"/>
      <sheetName val="7_6_3(D)_PAINT1"/>
      <sheetName val="7_6_3(E)_NDE1"/>
      <sheetName val="7_6_3(F)_Sup't1"/>
      <sheetName val="7_6_3(G)_CHEMICAL_CL1"/>
      <sheetName val="7_6_3(H)_Steam1"/>
      <sheetName val="DCN_Status_1"/>
      <sheetName val="FCN_Status1"/>
      <sheetName val="packing_cover1"/>
      <sheetName val="packing_list1"/>
      <sheetName val="Invoice_cover1"/>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1_사업개요1"/>
      <sheetName val="2_총괄표1"/>
      <sheetName val="3_설계총괄(확정)1"/>
      <sheetName val="3_전문외주(확정)1"/>
      <sheetName val="3_설계총괄(정산)1"/>
      <sheetName val="3_전문외주(정산)1"/>
      <sheetName val="전문외주비_(Third_Party)1"/>
      <sheetName val="4_인력(확정)1"/>
      <sheetName val="4_인력(조정)1"/>
      <sheetName val="4_인력(정산)1"/>
      <sheetName val="5_경비내역(확정)1"/>
      <sheetName val="5_현장경비(확정)1"/>
      <sheetName val="5_경비내역(정산)1"/>
      <sheetName val="5_현장경비(정산)1"/>
      <sheetName val="7_자금수지1"/>
      <sheetName val="6_프로젝트1"/>
      <sheetName val="6_PCM1"/>
      <sheetName val="6_프로세스1"/>
      <sheetName val="6_프로세스-11"/>
      <sheetName val="6_안전1"/>
      <sheetName val="6_MR1"/>
      <sheetName val="6_MS1"/>
      <sheetName val="6_MT1"/>
      <sheetName val="6_MM1"/>
      <sheetName val="6_MY1"/>
      <sheetName val="6_MH1"/>
      <sheetName val="6_배관1"/>
      <sheetName val="6_전기1"/>
      <sheetName val="6_계장1"/>
      <sheetName val="6_토목1"/>
      <sheetName val="6_건축1"/>
      <sheetName val="Bend_fact_1"/>
      <sheetName val="견적_집계1"/>
      <sheetName val="공사비_내역_(가)1"/>
      <sheetName val="전차선로_물량표1"/>
      <sheetName val="조도계산서_(도서)1"/>
      <sheetName val="화재_탐지_설비1"/>
      <sheetName val="간접비총괄_(2)1"/>
      <sheetName val="Elec__Power1"/>
      <sheetName val="97_사업추정(WEKI)1"/>
      <sheetName val="6PILE__(돌출)1"/>
      <sheetName val="Sheet1_(2)1"/>
      <sheetName val="개비온_단위1"/>
      <sheetName val="(10_bis_OGB_hours_ratio)1"/>
      <sheetName val="Piping_Cost1"/>
      <sheetName val="釤_전기1"/>
      <sheetName val="선적schedule_(2)1"/>
      <sheetName val="CW_Piping_Work1"/>
      <sheetName val="Mtl_Summary"/>
      <sheetName val="FX_Exposure_Nov00"/>
      <sheetName val="FX_Exposure0011_BOD"/>
      <sheetName val="FX_Exposure_Apr2001"/>
      <sheetName val="118_세금과공과"/>
      <sheetName val="Tipo_Terzi"/>
      <sheetName val="TABLE2-2_OSBL-(SITE_PREP)"/>
      <sheetName val="5월_회원사_배분_명세서(2)"/>
      <sheetName val="BQ_List"/>
      <sheetName val="배수내역_(2)"/>
      <sheetName val="BM_DATA_SHEET"/>
      <sheetName val="P_M_별"/>
      <sheetName val="Graph_(LGEN)"/>
      <sheetName val="15_문제점"/>
      <sheetName val="frmm_HDEC"/>
      <sheetName val="Income_Statement"/>
      <sheetName val="General_Data"/>
      <sheetName val="panel_board_installation"/>
      <sheetName val="전체내역_(2)"/>
      <sheetName val="Rekap_A"/>
      <sheetName val="11¿ù(ÀÏº°)_"/>
      <sheetName val="12¿ù(ÀÏº°)_"/>
      <sheetName val="Áö¿ø»çÇ×_2"/>
      <sheetName val="1_»ç¾÷°³¿ä"/>
      <sheetName val="2_ÃÑ°ýÇ¥"/>
      <sheetName val="3_¼³°èÃÑ°ý(È®Á¤)"/>
      <sheetName val="3_Àü¹®¿ÜÁÖ(È®Á¤)"/>
      <sheetName val="3_¼³°èÃÑ°ý(Á¤»ê)"/>
      <sheetName val="3_Àü¹®¿ÜÁÖ(Á¤»ê)"/>
      <sheetName val="Àü¹®¿ÜÁÖºñ_(Third_Party)"/>
      <sheetName val="4_ÀÎ·Â(È®Á¤)"/>
      <sheetName val="4_ÀÎ·Â(Á¶Á¤)"/>
      <sheetName val="4_ÀÎ·Â(Á¤»ê)"/>
      <sheetName val="5_°æºñ³»¿ª(È®Á¤)"/>
      <sheetName val="5_ÇöÀå°æºñ(È®Á¤)"/>
      <sheetName val="5_°æºñ³»¿ª(Á¤»ê)"/>
      <sheetName val="5_ÇöÀå°æºñ(Á¤»ê)"/>
      <sheetName val="7_ÀÚ±Ý¼öÁö"/>
      <sheetName val="6_ÇÁ·ÎÁ§Æ®"/>
      <sheetName val="6_ÇÁ·Î¼¼½º"/>
      <sheetName val="6_ÇÁ·Î¼¼½º-1"/>
      <sheetName val="6_¾ÈÀü"/>
      <sheetName val="6_¹è°ü"/>
      <sheetName val="6_Àü±â"/>
      <sheetName val="6_°èÀå"/>
      <sheetName val="6_Åä¸ñ"/>
      <sheetName val="6_°ÇÃà"/>
      <sheetName val="°ßÀû_Áý°è"/>
      <sheetName val="°ø»çºñ_³»¿ª_(°¡)"/>
      <sheetName val="ÀüÂ÷¼±·Î_¹°·®Ç¥"/>
      <sheetName val="Á¶µµ°è»ê¼­_(µµ¼­)"/>
      <sheetName val="È­Àç_Å½Áö_¼³ºñ"/>
      <sheetName val="97_»ç¾÷ÃßÁ¤(WEKI)"/>
      <sheetName val="°£Á¢ºñÃÑ°ý_(2)"/>
      <sheetName val="steam_table"/>
      <sheetName val="_견적서"/>
      <sheetName val="SHEET_19"/>
      <sheetName val="예비품_및_특수공구"/>
      <sheetName val="tggwan(mac)"/>
      <sheetName val="BQLIST"/>
      <sheetName val="Oficios"/>
      <sheetName val="MFAB"/>
      <sheetName val="MFRT"/>
      <sheetName val="MPKG"/>
      <sheetName val="MPRD"/>
      <sheetName val="INST LIST"/>
      <sheetName val="간접비(1)"/>
      <sheetName val="D=700"/>
      <sheetName val="연돌일頀ᎆ뤀"/>
      <sheetName val="BEAM"/>
      <sheetName val="8"/>
      <sheetName val="10"/>
      <sheetName val="12"/>
      <sheetName val="9"/>
      <sheetName val="11"/>
      <sheetName val="2"/>
      <sheetName val="공사진행"/>
      <sheetName val="토목"/>
      <sheetName val="pipe data"/>
      <sheetName val="SS-Steel Estimate (ASTM - AISC)"/>
      <sheetName val="작성기준"/>
      <sheetName val="06 -Structural Steeel"/>
      <sheetName val="M+1"/>
      <sheetName val="fitting"/>
      <sheetName val="PAGE_3_GENERAL_DETAILS"/>
      <sheetName val="Notes for BOQ"/>
      <sheetName val="Pipe Classes"/>
      <sheetName val="REDUCER"/>
      <sheetName val="WE'T"/>
      <sheetName val="인건-측정"/>
      <sheetName val="总概算"/>
      <sheetName val="inter"/>
      <sheetName val="WIND"/>
      <sheetName val="배수공 주요자재 집계표"/>
      <sheetName val="WIND-EQ"/>
      <sheetName val="HORI. VESSEL"/>
      <sheetName val="D-3503"/>
      <sheetName val="GC-08_1&qu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Material Cost (Original)"/>
      <sheetName val="Shipping Cost"/>
      <sheetName val="CC&amp;TRANS"/>
      <sheetName val="Allowance"/>
      <sheetName val="ERate"/>
      <sheetName val="Custom Tariff-NA"/>
      <sheetName val="정부노임단가"/>
      <sheetName val="ISBL"/>
      <sheetName val="OSBL"/>
      <sheetName val="Sheet5"/>
      <sheetName val="TABLE2-1 ISBL(GENEAL-CIVIL)"/>
      <sheetName val="TABLE2-1 ISBL-(SlTE PREP)"/>
      <sheetName val="TABLE2.1 ISBL (Soil Invest)"/>
      <sheetName val="TABLE2-2 OSBL(GENERAL-CIVIL)"/>
      <sheetName val="TABLE2-2 OSBL-(SITE PREP)"/>
      <sheetName val="out_prog"/>
      <sheetName val="선적schedule (2)"/>
    </sheetNames>
    <sheetDataSet>
      <sheetData sheetId="0" refreshError="1"/>
      <sheetData sheetId="1" refreshError="1"/>
      <sheetData sheetId="2">
        <row r="3">
          <cell r="AV3" t="str">
            <v>Description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kedişkapak"/>
      <sheetName val="yap.işl.lis."/>
      <sheetName val="yeş.iç-2"/>
      <sheetName val="METRAJ"/>
      <sheetName val="METRAJ (2)"/>
      <sheetName val="07005K-1"/>
      <sheetName val="GGrupları"/>
      <sheetName val="İŞ PROĞRAMI"/>
      <sheetName val="KEŞİF"/>
      <sheetName val="köpr-icm"/>
      <sheetName val="GB"/>
      <sheetName val="103+390-107+250"/>
      <sheetName val="TABLO-3"/>
      <sheetName val="KAŞE"/>
      <sheetName val="data"/>
      <sheetName val="ON BİLGİLER"/>
    </sheetNames>
    <sheetDataSet>
      <sheetData sheetId="0" refreshError="1"/>
      <sheetData sheetId="1" refreshError="1"/>
      <sheetData sheetId="2" refreshError="1"/>
      <sheetData sheetId="3" refreshError="1">
        <row r="11">
          <cell r="A11">
            <v>7405</v>
          </cell>
        </row>
        <row r="12">
          <cell r="A12">
            <v>5190</v>
          </cell>
        </row>
        <row r="13">
          <cell r="A13">
            <v>4900</v>
          </cell>
        </row>
        <row r="14">
          <cell r="A14">
            <v>5720</v>
          </cell>
        </row>
        <row r="15">
          <cell r="A15">
            <v>4466</v>
          </cell>
        </row>
        <row r="16">
          <cell r="A16">
            <v>4588</v>
          </cell>
        </row>
        <row r="17">
          <cell r="A17">
            <v>4668</v>
          </cell>
        </row>
        <row r="18">
          <cell r="A18">
            <v>6292</v>
          </cell>
        </row>
        <row r="19">
          <cell r="A19">
            <v>7770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sheetData sheetId="3" refreshError="1"/>
      <sheetData sheetId="4" refreshError="1"/>
      <sheetData sheetId="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원동원SCH"/>
      <sheetName val="간접비(1)"/>
      <sheetName val="Sheet4"/>
      <sheetName val="공사비PK5월"/>
      <sheetName val="간접비"/>
      <sheetName val="steel data sheet"/>
      <sheetName val="주요가정"/>
      <sheetName val="인원동원계획"/>
      <sheetName val="xxxxxx"/>
      <sheetName val="Staff Mob Sch(현장)"/>
      <sheetName val="Staff Mob Sch(서울)"/>
      <sheetName val="as boq list up"/>
      <sheetName val="A-4"/>
      <sheetName val="SubCon"/>
      <sheetName val="직원동원"/>
      <sheetName val="PRO_DCI"/>
      <sheetName val="INST_DCI"/>
      <sheetName val="HVAC_DCI"/>
      <sheetName val="PIPE_DCI"/>
      <sheetName val="#REF"/>
    </sheetNames>
    <sheetDataSet>
      <sheetData sheetId="0" refreshError="1">
        <row r="14">
          <cell r="D14">
            <v>10</v>
          </cell>
        </row>
        <row r="16">
          <cell r="D16">
            <v>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OVERALL"/>
      <sheetName val="LSTK PRICE BUILD UP(1)"/>
      <sheetName val="LSTK PRICE BUILD UP(2)"/>
      <sheetName val="LSTK PRICE BUILD UP(3)"/>
      <sheetName val="LSTK PRICE BUILD UP(4)"/>
      <sheetName val="LSTK PRICE BUILD UP(5)"/>
      <sheetName val="P_T&amp;C"/>
      <sheetName val="P_수금"/>
      <sheetName val="Total"/>
      <sheetName val="P_지급"/>
      <sheetName val="P_매출"/>
      <sheetName val="Comm"/>
      <sheetName val="해외파견(사우디)"/>
      <sheetName val="7.1"/>
      <sheetName val="7.2"/>
      <sheetName val="7.2.1.7"/>
      <sheetName val="7.2.1.8"/>
      <sheetName val="7.3"/>
      <sheetName val="7.3.a"/>
      <sheetName val="7.3.b"/>
      <sheetName val="7.3.c"/>
      <sheetName val="7.3.d"/>
      <sheetName val="7.4.5.1"/>
      <sheetName val="7.4.5.2"/>
      <sheetName val="7.4.5.3"/>
      <sheetName val="7.4.5.4(Pipe)"/>
      <sheetName val="7.4.5.5(전기)"/>
      <sheetName val="7.4.5.6(계장)"/>
      <sheetName val="7.4.5.7"/>
      <sheetName val="7.4.5.8"/>
      <sheetName val="7.4.5.9"/>
      <sheetName val="7.4.5.10"/>
      <sheetName val="7.4.5.11"/>
      <sheetName val="7.4.6"/>
      <sheetName val="7.5"/>
      <sheetName val="7.6"/>
      <sheetName val="7.7"/>
      <sheetName val="1 Static"/>
      <sheetName val="2 Rotating"/>
      <sheetName val="3 LAB"/>
      <sheetName val="4 Piping"/>
      <sheetName val="5 Inst"/>
      <sheetName val="6 Elec"/>
      <sheetName val="7.8"/>
      <sheetName val="2.8.1"/>
      <sheetName val="7.9"/>
      <sheetName val="7.10"/>
      <sheetName val="Training Plan"/>
      <sheetName val="시공Breakdown"/>
      <sheetName val="Mastersheet"/>
      <sheetName val="월별"/>
      <sheetName val="표지"/>
      <sheetName val="Summary"/>
      <sheetName val="품의서"/>
      <sheetName val="요약"/>
      <sheetName val="목차"/>
      <sheetName val="1."/>
      <sheetName val="1.1"/>
      <sheetName val="1.2"/>
      <sheetName val="2."/>
      <sheetName val="2.0"/>
      <sheetName val="2.1"/>
      <sheetName val="2.1.1"/>
      <sheetName val="2.2"/>
      <sheetName val="2.3"/>
      <sheetName val="3."/>
      <sheetName val="CBE"/>
      <sheetName val="4."/>
      <sheetName val="시공CBE"/>
      <sheetName val="시공CBE (2)"/>
      <sheetName val="5."/>
      <sheetName val="5.0"/>
      <sheetName val="5.1"/>
      <sheetName val="5.1.1"/>
      <sheetName val="5.2"/>
      <sheetName val="5.3"/>
      <sheetName val="5.3.1"/>
      <sheetName val="5.3.2"/>
      <sheetName val="5.4"/>
      <sheetName val="5.4.1"/>
      <sheetName val="6"/>
      <sheetName val="7"/>
      <sheetName val="첨1.1"/>
      <sheetName val="첨1.2"/>
      <sheetName val="첨1.3"/>
      <sheetName val="첨1.4"/>
      <sheetName val="첨2.1"/>
      <sheetName val="첨2.2"/>
      <sheetName val="첨2.3"/>
      <sheetName val="첨3"/>
      <sheetName val="첨4.1"/>
      <sheetName val="첨4.2"/>
      <sheetName val="첨4.3"/>
      <sheetName val="첨5"/>
      <sheetName val="첨5.1"/>
      <sheetName val="첨6"/>
      <sheetName val="운용계획"/>
      <sheetName val="MH비교"/>
      <sheetName val="E"/>
      <sheetName val="P"/>
      <sheetName val="C"/>
      <sheetName val="월별 (2)"/>
      <sheetName val="P_T&amp;C (2)"/>
      <sheetName val="P_수금 (2)"/>
      <sheetName val="P_매출 (2)"/>
      <sheetName val="E (2)"/>
      <sheetName val="P (2)"/>
      <sheetName val="C (2)"/>
      <sheetName val="Comm (2)"/>
      <sheetName val="Total (2)"/>
      <sheetName val="항공"/>
      <sheetName val="간접비"/>
      <sheetName val="파견규칙"/>
      <sheetName val="첨1.5"/>
      <sheetName val="5.5"/>
      <sheetName val="5.5.1"/>
      <sheetName val="MH rate"/>
      <sheetName val="95삼성급(본사)"/>
      <sheetName val="Summary_프린트"/>
      <sheetName val="1"/>
      <sheetName val="1.2.1"/>
      <sheetName val="1.2.2"/>
      <sheetName val="2"/>
      <sheetName val="3"/>
      <sheetName val="4"/>
      <sheetName val="시공Lv3"/>
      <sheetName val="Base(Sour) 시공Level-3 (2)"/>
      <sheetName val="5"/>
      <sheetName val="5.2.1"/>
      <sheetName val="첨1"/>
      <sheetName val="첨5 "/>
      <sheetName val="이후출력금지"/>
      <sheetName val="T&amp;C"/>
      <sheetName val="P_monthly"/>
      <sheetName val="해외수당"/>
      <sheetName val="Index"/>
      <sheetName val="Payment Milestone Schedule"/>
      <sheetName val="Overall"/>
      <sheetName val="Engineering"/>
      <sheetName val="Procurement"/>
      <sheetName val="Construction"/>
      <sheetName val="Commissioning &amp; Start-up"/>
      <sheetName val="PM"/>
      <sheetName val="ENG"/>
      <sheetName val="PRO"/>
      <sheetName val="CON"/>
      <sheetName val="SubCon-Rev"/>
      <sheetName val="Option 1"/>
      <sheetName val="data_dci"/>
      <sheetName val="data_mci"/>
      <sheetName val="behind"/>
      <sheetName val="Main"/>
      <sheetName val="직원동원SCH"/>
    </sheetNames>
    <sheetDataSet>
      <sheetData sheetId="0"/>
      <sheetData sheetId="1"/>
      <sheetData sheetId="2">
        <row r="3">
          <cell r="A3" t="str">
            <v>Ruwais Lube Base Oil Project / UAE</v>
          </cell>
        </row>
      </sheetData>
      <sheetData sheetId="3"/>
      <sheetData sheetId="4">
        <row r="11">
          <cell r="S11">
            <v>1.3</v>
          </cell>
        </row>
      </sheetData>
      <sheetData sheetId="5"/>
      <sheetData sheetId="6"/>
      <sheetData sheetId="7"/>
      <sheetData sheetId="8">
        <row r="3">
          <cell r="A3" t="str">
            <v>Ruwais Lube Base Oil Project / UAE</v>
          </cell>
        </row>
      </sheetData>
      <sheetData sheetId="9"/>
      <sheetData sheetId="10">
        <row r="7">
          <cell r="H7">
            <v>16</v>
          </cell>
        </row>
      </sheetData>
      <sheetData sheetId="11"/>
      <sheetData sheetId="12">
        <row r="7">
          <cell r="H7">
            <v>1</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7">
          <cell r="M7">
            <v>2012</v>
          </cell>
        </row>
      </sheetData>
      <sheetData sheetId="33"/>
      <sheetData sheetId="34"/>
      <sheetData sheetId="35"/>
      <sheetData sheetId="36"/>
      <sheetData sheetId="37"/>
      <sheetData sheetId="38"/>
      <sheetData sheetId="39"/>
      <sheetData sheetId="40"/>
      <sheetData sheetId="41">
        <row r="7">
          <cell r="H7">
            <v>0</v>
          </cell>
        </row>
      </sheetData>
      <sheetData sheetId="42"/>
      <sheetData sheetId="43"/>
      <sheetData sheetId="44"/>
      <sheetData sheetId="45"/>
      <sheetData sheetId="46"/>
      <sheetData sheetId="47"/>
      <sheetData sheetId="48"/>
      <sheetData sheetId="49"/>
      <sheetData sheetId="50"/>
      <sheetData sheetId="51"/>
      <sheetData sheetId="52">
        <row r="3">
          <cell r="A3" t="str">
            <v>Ruwais Lube Base Oil Project / UAE</v>
          </cell>
        </row>
      </sheetData>
      <sheetData sheetId="53"/>
      <sheetData sheetId="54">
        <row r="11">
          <cell r="S11">
            <v>1.3</v>
          </cell>
        </row>
      </sheetData>
      <sheetData sheetId="55"/>
      <sheetData sheetId="56"/>
      <sheetData sheetId="57"/>
      <sheetData sheetId="58"/>
      <sheetData sheetId="59"/>
      <sheetData sheetId="60"/>
      <sheetData sheetId="61"/>
      <sheetData sheetId="62">
        <row r="81">
          <cell r="E81">
            <v>42</v>
          </cell>
        </row>
      </sheetData>
      <sheetData sheetId="63"/>
      <sheetData sheetId="64"/>
      <sheetData sheetId="65"/>
      <sheetData sheetId="66"/>
      <sheetData sheetId="67"/>
      <sheetData sheetId="68"/>
      <sheetData sheetId="69"/>
      <sheetData sheetId="70"/>
      <sheetData sheetId="71"/>
      <sheetData sheetId="72">
        <row r="81">
          <cell r="E81">
            <v>42</v>
          </cell>
        </row>
      </sheetData>
      <sheetData sheetId="73"/>
      <sheetData sheetId="74">
        <row r="7">
          <cell r="H7">
            <v>0</v>
          </cell>
        </row>
      </sheetData>
      <sheetData sheetId="75"/>
      <sheetData sheetId="76"/>
      <sheetData sheetId="77"/>
      <sheetData sheetId="78"/>
      <sheetData sheetId="79"/>
      <sheetData sheetId="80"/>
      <sheetData sheetId="81"/>
      <sheetData sheetId="82"/>
      <sheetData sheetId="83"/>
      <sheetData sheetId="84">
        <row r="7">
          <cell r="H7">
            <v>16</v>
          </cell>
          <cell r="M7">
            <v>389</v>
          </cell>
          <cell r="BN7">
            <v>3694403.5407916871</v>
          </cell>
        </row>
        <row r="29">
          <cell r="H29">
            <v>23</v>
          </cell>
          <cell r="M29">
            <v>325</v>
          </cell>
          <cell r="BN29">
            <v>2383958.6845963881</v>
          </cell>
        </row>
        <row r="51">
          <cell r="H51">
            <v>46</v>
          </cell>
          <cell r="M51">
            <v>1164</v>
          </cell>
          <cell r="BN51">
            <v>1443257.9988750005</v>
          </cell>
        </row>
        <row r="90">
          <cell r="H90">
            <v>3</v>
          </cell>
          <cell r="M90">
            <v>70</v>
          </cell>
          <cell r="BN90">
            <v>134528.84156249999</v>
          </cell>
        </row>
        <row r="109">
          <cell r="H109">
            <v>3</v>
          </cell>
          <cell r="M109">
            <v>11.75</v>
          </cell>
        </row>
      </sheetData>
      <sheetData sheetId="85">
        <row r="7">
          <cell r="H7">
            <v>1</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ow r="11">
          <cell r="S11">
            <v>1.3</v>
          </cell>
        </row>
      </sheetData>
      <sheetData sheetId="112"/>
      <sheetData sheetId="113">
        <row r="7">
          <cell r="H7">
            <v>0</v>
          </cell>
          <cell r="M7">
            <v>0</v>
          </cell>
          <cell r="BJ7">
            <v>0</v>
          </cell>
        </row>
        <row r="32">
          <cell r="H32">
            <v>0</v>
          </cell>
          <cell r="M32">
            <v>0</v>
          </cell>
          <cell r="BJ32">
            <v>0</v>
          </cell>
        </row>
        <row r="51">
          <cell r="H51">
            <v>0</v>
          </cell>
          <cell r="M51">
            <v>0</v>
          </cell>
        </row>
        <row r="71">
          <cell r="H71">
            <v>0</v>
          </cell>
          <cell r="M71">
            <v>0</v>
          </cell>
          <cell r="BJ71">
            <v>0</v>
          </cell>
        </row>
        <row r="90">
          <cell r="H90">
            <v>0</v>
          </cell>
          <cell r="M90">
            <v>0</v>
          </cell>
        </row>
      </sheetData>
      <sheetData sheetId="114"/>
      <sheetData sheetId="115"/>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row r="7">
          <cell r="M7">
            <v>2012</v>
          </cell>
        </row>
      </sheetData>
      <sheetData sheetId="130"/>
      <sheetData sheetId="131"/>
      <sheetData sheetId="132"/>
      <sheetData sheetId="133"/>
      <sheetData sheetId="134"/>
      <sheetData sheetId="135"/>
      <sheetData sheetId="136"/>
      <sheetData sheetId="137"/>
      <sheetData sheetId="138"/>
      <sheetData sheetId="139"/>
      <sheetData sheetId="140"/>
      <sheetData sheetId="141">
        <row r="81">
          <cell r="E81">
            <v>42</v>
          </cell>
        </row>
      </sheetData>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1"/>
      <sheetName val="LOPCALC"/>
      <sheetName val="Shipping Cost"/>
      <sheetName val="관세,통관수수료,운반비"/>
      <sheetName val="PROJECT DATA"/>
      <sheetName val="PLAN_FEB97"/>
      <sheetName val="Factor"/>
      <sheetName val="RC1.XLS"/>
      <sheetName val="Instruction"/>
      <sheetName val="직원동원SCH"/>
      <sheetName val="정부노임단가"/>
      <sheetName val="STAND98"/>
      <sheetName val="eq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plit_FDM"/>
      <sheetName val="split_WBS"/>
      <sheetName val="NEWFDM"/>
      <sheetName val="Tab_Dyn"/>
      <sheetName val="300 HU"/>
      <sheetName val="M_imp"/>
      <sheetName val="COUT PERSONNELS DOM"/>
      <sheetName val="CASH FLOW"/>
      <sheetName val="CRANE"/>
      <sheetName val="Dial_Affichage_FDM"/>
      <sheetName val="Dial_Affichage_WBS"/>
      <sheetName val="Dial_choix_FDM"/>
      <sheetName val="Dial_FDM_standard"/>
      <sheetName val="Dial_liste_ligne_FDM"/>
      <sheetName val="Dial_liste_Colonne"/>
      <sheetName val="Dial_liste_BASE"/>
      <sheetName val="Dial_Split_FDM"/>
      <sheetName val="Dial_liste_Monnaies"/>
      <sheetName val="liste_ligne_FDM"/>
      <sheetName val="M_General"/>
      <sheetName val="M_Clic"/>
      <sheetName val="M_FDM"/>
      <sheetName val="Mod_TAB"/>
      <sheetName val="STD59_1"/>
      <sheetName val="LOPCALC"/>
      <sheetName val="Shipping Cost"/>
      <sheetName val="정부노임단가"/>
      <sheetName val="부하LOAD"/>
      <sheetName val="Factor"/>
      <sheetName val="ISBL"/>
      <sheetName val="OSBL"/>
      <sheetName val="PROJECT DATA"/>
      <sheetName val="다이꾸"/>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SBL-TOTAL"/>
      <sheetName val="OSBL-TOTAL (2)"/>
      <sheetName val="OSBL-TOTAL (CIVIL WORK)"/>
      <sheetName val="OSBL-TOTAL (STEEL WORK)"/>
      <sheetName val="OSBL-TOTAL (OTHER WORK)"/>
      <sheetName val="OSBL-TOTAL (SEA WATER)"/>
      <sheetName val="h-013211-2"/>
      <sheetName val="DATA"/>
      <sheetName val="STAFF MOBILIZATION PLAN"/>
      <sheetName val="LOPCALC"/>
      <sheetName val="Shipping Cost"/>
      <sheetName val="관세,통관수수료,운반비"/>
      <sheetName val="OSBL-1105"/>
      <sheetName val="A CONDITIONS"/>
      <sheetName val="단가비교(TOTAL)"/>
      <sheetName val="TOTAL"/>
    </sheetNames>
    <definedNames>
      <definedName name="Macro1"/>
    </definedNames>
    <sheetDataSet>
      <sheetData sheetId="0"/>
      <sheetData sheetId="1"/>
      <sheetData sheetId="2">
        <row r="8">
          <cell r="B8" t="str">
            <v>Stripping, Clearing &amp; Grubbing</v>
          </cell>
        </row>
      </sheetData>
      <sheetData sheetId="3"/>
      <sheetData sheetId="4">
        <row r="8">
          <cell r="B8" t="str">
            <v>Excavation</v>
          </cell>
        </row>
      </sheetData>
      <sheetData sheetId="5">
        <row r="8">
          <cell r="B8" t="str">
            <v>Excavation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Concrete"/>
      <sheetName val="CCP,LEYES, Y DEC."/>
      <sheetName val="GeneralNote"/>
      <sheetName val="eq_data"/>
      <sheetName val="BM DATA SHEET"/>
      <sheetName val="Look-Up"/>
      <sheetName val="PumpSpec"/>
      <sheetName val="내역서"/>
      <sheetName val="차액보증"/>
      <sheetName val="다이꾸"/>
      <sheetName val="TTL"/>
      <sheetName val="경비2내역"/>
      <sheetName val="주관사업"/>
      <sheetName val="Sheet2"/>
      <sheetName val="Sheet1"/>
      <sheetName val="영업소실적"/>
      <sheetName val="h-013211-2"/>
      <sheetName val="DATA"/>
      <sheetName val="D-3503"/>
      <sheetName val="공사비 내역 (가)"/>
      <sheetName val="E_Rate "/>
      <sheetName val="Proposal"/>
      <sheetName val="Pricing Summary"/>
      <sheetName val="Macro1"/>
      <sheetName val="fixwater"/>
      <sheetName val="Sheet4"/>
      <sheetName val="정부노임단가"/>
      <sheetName val="노임단가"/>
      <sheetName val="ACTIVITY.xls"/>
      <sheetName val="사업부배부A"/>
      <sheetName val="Compare-1"/>
      <sheetName val="회사99"/>
      <sheetName val="INSTR"/>
      <sheetName val="MAIN"/>
      <sheetName val="PRO_A"/>
      <sheetName val="PRO"/>
      <sheetName val="수입"/>
      <sheetName val="95삼성급(본사)"/>
      <sheetName val="ELEC_DCI"/>
      <sheetName val="INST_DCI"/>
      <sheetName val="Basic"/>
      <sheetName val="내역"/>
      <sheetName val="lookup"/>
      <sheetName val="적용환율"/>
      <sheetName val="VL"/>
      <sheetName val="개시대사 (2)"/>
      <sheetName val="data_dci"/>
      <sheetName val="data_mci"/>
      <sheetName val="behind"/>
      <sheetName val="HORI. VESSEL"/>
      <sheetName val="FP"/>
      <sheetName val="sheet"/>
      <sheetName val="Equipment"/>
      <sheetName val="Piping"/>
      <sheetName val="Break Down"/>
      <sheetName val=" 견적서"/>
      <sheetName val="Quantity"/>
      <sheetName val="Connections"/>
      <sheetName val="L V Separator"/>
      <sheetName val="ACTDATA"/>
      <sheetName val="97 사업추정(WEKI)"/>
      <sheetName val="환율"/>
      <sheetName val="SE-611"/>
      <sheetName val="GREEN"/>
      <sheetName val="Hawiyah"/>
      <sheetName val="Hawiyah 하청"/>
      <sheetName val="HDEC 1027"/>
      <sheetName val="Juaymah"/>
      <sheetName val="SIPC"/>
      <sheetName val="도"/>
      <sheetName val="Sheet14"/>
      <sheetName val="Sheet13"/>
      <sheetName val="설계조건"/>
      <sheetName val="단면검토"/>
      <sheetName val="접속슬래브"/>
      <sheetName val="CAL"/>
      <sheetName val="PRI CIV"/>
      <sheetName val="FOR CIV"/>
      <sheetName val="SUB CIV"/>
      <sheetName val="ANA CIV"/>
      <sheetName val="AUX CIV"/>
      <sheetName val="costing_CV"/>
      <sheetName val="costing_ESDV"/>
      <sheetName val="costing_FE"/>
      <sheetName val="costing_Misc"/>
      <sheetName val="costing_MOV"/>
      <sheetName val="costing_Press"/>
      <sheetName val="BOQ"/>
      <sheetName val="calcul"/>
      <sheetName val="차수"/>
      <sheetName val="학교기부"/>
      <sheetName val="인원현황"/>
      <sheetName val="Units"/>
      <sheetName val="Instructions"/>
      <sheetName val="CMTD"/>
      <sheetName val="steam table"/>
      <sheetName val="spec' sheet"/>
      <sheetName val="ITEM"/>
      <sheetName val="MATGRADE"/>
      <sheetName val="SIZE"/>
      <sheetName val="SZ DB"/>
      <sheetName val="UNIT DB"/>
      <sheetName val="PDT DB"/>
      <sheetName val="ABAD"/>
      <sheetName val="A1기성"/>
      <sheetName val="BGT"/>
      <sheetName val="CHAVOSH"/>
      <sheetName val="ZAR SAZ"/>
      <sheetName val="토공"/>
      <sheetName val="첨1.5"/>
      <sheetName val="첨1.3"/>
      <sheetName val="노임"/>
      <sheetName val="간접비 총괄표"/>
      <sheetName val="예산M12A"/>
      <sheetName val="B"/>
      <sheetName val="IMPEADENCE MAP 취수장"/>
      <sheetName val="dia"/>
      <sheetName val="F-302"/>
      <sheetName val="Total"/>
      <sheetName val="http___ep_hec_co_kr_PJT_BID_T_2"/>
      <sheetName val=""/>
      <sheetName val="CCP,LEYES,_Y_DEC_"/>
    </sheetNames>
    <definedNames>
      <definedName name="MENU"/>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Format"/>
      <sheetName val="Revision Log"/>
      <sheetName val="표지"/>
      <sheetName val="Indirect Cost Scope"/>
      <sheetName val="Summary(EPC별)"/>
      <sheetName val="Summary"/>
      <sheetName val="품의서"/>
      <sheetName val="입찰내역서"/>
      <sheetName val="목차"/>
      <sheetName val="1."/>
      <sheetName val="1.1"/>
      <sheetName val="1.2a"/>
      <sheetName val="1.2b"/>
      <sheetName val="2 설계비"/>
      <sheetName val="2.1"/>
      <sheetName val="2.2"/>
      <sheetName val="3 자재비"/>
      <sheetName val="CBE "/>
      <sheetName val="4 시공비"/>
      <sheetName val="4.1 시공비 내역"/>
      <sheetName val="4.2 부대공사비 "/>
      <sheetName val="5 간접원가"/>
      <sheetName val="5.0 경상인건비"/>
      <sheetName val="5.1 본사경상비"/>
      <sheetName val="5.1.1"/>
      <sheetName val="5.1.2"/>
      <sheetName val="5.2 현장경상비(Site)"/>
      <sheetName val="5.2.1"/>
      <sheetName val="5.3 현장경상비(기타지역)"/>
      <sheetName val="5.4 공통부대"/>
      <sheetName val="Tax 산정"/>
      <sheetName val="6"/>
      <sheetName val="7"/>
      <sheetName val="첨1 인력동원"/>
      <sheetName val="첨2.1"/>
      <sheetName val="첨2.2"/>
      <sheetName val="첨3"/>
      <sheetName val="첨4.1"/>
      <sheetName val="첨4.2"/>
      <sheetName val="첨5"/>
      <sheetName val="첨6"/>
      <sheetName val="이후 출력 불필요"/>
      <sheetName val="MH 단가"/>
      <sheetName val="월별"/>
      <sheetName val="T&amp;C"/>
      <sheetName val="P_monthly"/>
      <sheetName val="Total"/>
      <sheetName val="경상비산출참고자료"/>
      <sheetName val="계약고별 차등단가"/>
      <sheetName val="항공"/>
    </sheetNames>
    <sheetDataSet>
      <sheetData sheetId="0"/>
      <sheetData sheetId="1"/>
      <sheetData sheetId="2"/>
      <sheetData sheetId="3"/>
      <sheetData sheetId="4"/>
      <sheetData sheetId="5"/>
      <sheetData sheetId="6"/>
      <sheetData sheetId="7">
        <row r="11">
          <cell r="R11">
            <v>1130</v>
          </cell>
        </row>
        <row r="14">
          <cell r="R14">
            <v>0.39551977598879945</v>
          </cell>
        </row>
        <row r="48">
          <cell r="T48">
            <v>0.9</v>
          </cell>
        </row>
        <row r="53">
          <cell r="T53">
            <v>42795</v>
          </cell>
        </row>
        <row r="54">
          <cell r="T54">
            <v>47</v>
          </cell>
        </row>
        <row r="56">
          <cell r="T56" t="str">
            <v>PM</v>
          </cell>
        </row>
        <row r="57">
          <cell r="T57" t="str">
            <v>E</v>
          </cell>
        </row>
        <row r="58">
          <cell r="T58" t="str">
            <v>P</v>
          </cell>
        </row>
        <row r="59">
          <cell r="T59" t="str">
            <v>C</v>
          </cell>
        </row>
        <row r="60">
          <cell r="T60" t="str">
            <v>COMM</v>
          </cell>
        </row>
        <row r="62">
          <cell r="T62" t="str">
            <v>Oman 지사</v>
          </cell>
        </row>
        <row r="63">
          <cell r="T63">
            <v>42</v>
          </cell>
        </row>
        <row r="64">
          <cell r="T64">
            <v>16</v>
          </cell>
        </row>
      </sheetData>
      <sheetData sheetId="8"/>
      <sheetData sheetId="9">
        <row r="5">
          <cell r="C5" t="str">
            <v>Duqm Refinery Project PKG#2 / Oman</v>
          </cell>
        </row>
      </sheetData>
      <sheetData sheetId="10"/>
      <sheetData sheetId="11"/>
      <sheetData sheetId="12"/>
      <sheetData sheetId="13">
        <row r="4">
          <cell r="J4">
            <v>174.25</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4">
          <cell r="D4">
            <v>2016</v>
          </cell>
        </row>
      </sheetData>
      <sheetData sheetId="43"/>
      <sheetData sheetId="44"/>
      <sheetData sheetId="45"/>
      <sheetData sheetId="46"/>
      <sheetData sheetId="47"/>
      <sheetData sheetId="48"/>
      <sheetData sheetId="49"/>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의33고"/>
      <sheetName val="주택마감"/>
      <sheetName val="와동25-3(변경)"/>
      <sheetName val="비교표"/>
      <sheetName val="휘경의뢰"/>
      <sheetName val="휘경총괄"/>
      <sheetName val="휘경공통"/>
      <sheetName val="휘경건축"/>
      <sheetName val="N하대25(변경)"/>
      <sheetName val="N양정32(변경)"/>
      <sheetName val="다대43고(변경)"/>
      <sheetName val="휘경토목"/>
      <sheetName val="휘경SERV"/>
      <sheetName val="휘경물가"/>
      <sheetName val="휘경부대"/>
      <sheetName val="휘경파일PHC"/>
      <sheetName val="제출용"/>
      <sheetName val="제출용 (3)"/>
      <sheetName val="제출용 (4)"/>
      <sheetName val="제출용 (5)"/>
      <sheetName val="제출용 (2)"/>
      <sheetName val="성수의뢰"/>
      <sheetName val="성수공통"/>
      <sheetName val="하대건축"/>
      <sheetName val="의뢰서"/>
      <sheetName val="품의서"/>
      <sheetName val="공통부대비"/>
      <sheetName val="SERVICE ITEM"/>
      <sheetName val="인입비및MH건립비"/>
      <sheetName val="부대건축"/>
      <sheetName val="토목공사"/>
      <sheetName val="옥외공사"/>
      <sheetName val="물가상승"/>
      <sheetName val="P.M 별"/>
      <sheetName val="비교표(내역.96-9-2) (2)"/>
      <sheetName val="비교표(내역) (2)"/>
      <sheetName val="비교표(내역.96-9-4) (2)"/>
      <sheetName val="요인(내역) (종)"/>
      <sheetName val="요인(내역) (4)"/>
      <sheetName val="요인(내역) (3)"/>
      <sheetName val="요인(내역) (2)"/>
      <sheetName val="봉천골조 (2)"/>
      <sheetName val="봉천품의 (2)"/>
      <sheetName val="Sheet1"/>
      <sheetName val="APTDATA"/>
      <sheetName val="새공통"/>
      <sheetName val="일위대가(가설)"/>
      <sheetName val="삭제금지단가"/>
      <sheetName val="유림총괄"/>
      <sheetName val="bid"/>
      <sheetName val="원가계산 (2)"/>
      <sheetName val="Sheet2"/>
      <sheetName val="유림골조"/>
      <sheetName val="공통비(전체)"/>
      <sheetName val="간접"/>
      <sheetName val="입력"/>
      <sheetName val="#REF"/>
      <sheetName val="정부노임단가"/>
      <sheetName val="97 사업추정(WEKI)"/>
      <sheetName val="Total"/>
      <sheetName val="새공통(96임금인상기준)"/>
      <sheetName val="콘크리트타설집계표"/>
      <sheetName val="본부장"/>
      <sheetName val="__33_"/>
      <sheetName val="통장출금액"/>
      <sheetName val="식재일위대가"/>
      <sheetName val="코드표"/>
      <sheetName val="견적서"/>
      <sheetName val="확약서"/>
      <sheetName val="기초코드"/>
      <sheetName val="내역"/>
      <sheetName val="산출근거"/>
      <sheetName val="I.설계조건"/>
      <sheetName val="벽체면적당일위대가"/>
    </sheetNames>
    <sheetDataSet>
      <sheetData sheetId="0" refreshError="1"/>
      <sheetData sheetId="1">
        <row r="56">
          <cell r="K56" t="str">
            <v>{MENU}RF,6~{PGDN}{PGDN}{UP}{UP}~</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row r="56">
          <cell r="K56" t="str">
            <v>{MENU}RF,6~{PGDN}{PGDN}{UP}{UP}~</v>
          </cell>
        </row>
      </sheetData>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row r="8">
          <cell r="B8" t="str">
            <v xml:space="preserve">        TURKEY</v>
          </cell>
        </row>
      </sheetData>
      <sheetData sheetId="3" refreshError="1"/>
      <sheetData sheetId="4" refreshError="1"/>
      <sheetData sheetId="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q"/>
      <sheetName val="hourly rate"/>
      <sheetName val="Sheet3"/>
      <sheetName val="Sheet4"/>
      <sheetName val="Sheet5"/>
      <sheetName val="Sheet6"/>
      <sheetName val="OSBL-TOTAL (OTHER WORK)"/>
      <sheetName val="OSBL-TOTAL (SEA WATER)"/>
      <sheetName val="OSBL-TOTAL (CIVIL WORK)"/>
      <sheetName val="DATA"/>
      <sheetName val="노임"/>
      <sheetName val="LOPCALC"/>
      <sheetName val="Shipping Cost"/>
      <sheetName val="Associated Const"/>
    </sheetNames>
    <sheetDataSet>
      <sheetData sheetId="0">
        <row r="35">
          <cell r="B35" t="str">
            <v>Demolition (Paving)</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2-1 ISBL(GENEAL-CIVIL)"/>
      <sheetName val="TABLE2-1 ISBL-(SlTE PREP)"/>
      <sheetName val="TABLE2.1 ISBL (Soil Invest)"/>
      <sheetName val="TABLE2-2 OSBL(GENERAL-CIVIL)"/>
      <sheetName val="TABLE2-2 OSBL-(SITE PREP)"/>
      <sheetName val="TABLE 3"/>
      <sheetName val="TABLE 4"/>
      <sheetName val="TABLE 5"/>
      <sheetName val="boq"/>
      <sheetName val="OSBL-TOTAL (SEA WATER)"/>
      <sheetName val="OSBL-TOTAL (CIVIL WORK)"/>
      <sheetName val="OSBL-TOTAL (OTHER WORK)"/>
    </sheetNames>
    <sheetDataSet>
      <sheetData sheetId="0"/>
      <sheetData sheetId="1"/>
      <sheetData sheetId="2"/>
      <sheetData sheetId="3"/>
      <sheetData sheetId="4">
        <row r="9">
          <cell r="B9" t="str">
            <v>Demolition (Paving)</v>
          </cell>
        </row>
      </sheetData>
      <sheetData sheetId="5"/>
      <sheetData sheetId="6"/>
      <sheetData sheetId="7"/>
      <sheetData sheetId="8" refreshError="1"/>
      <sheetData sheetId="9" refreshError="1"/>
      <sheetData sheetId="10" refreshError="1"/>
      <sheetData sheetId="1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견적기준"/>
      <sheetName val="INDEX"/>
      <sheetName val="INSTR"/>
      <sheetName val="PLC"/>
      <sheetName val="CABLE"/>
      <sheetName val="TRAY"/>
      <sheetName val="JB"/>
      <sheetName val="PIPE"/>
      <sheetName val="TUBE"/>
      <sheetName val="MISC"/>
      <sheetName val="설계기준(내부)"/>
      <sheetName val="eq_data"/>
      <sheetName val="PipWT"/>
      <sheetName val="Sheet3"/>
      <sheetName val="Piping Design Data"/>
      <sheetName val="TYPE-B 평균H"/>
      <sheetName val="단면검토"/>
      <sheetName val="설계조건"/>
      <sheetName val="직원동원SCH"/>
      <sheetName val="Sheet1"/>
      <sheetName val="MACRO(전선관)"/>
      <sheetName val="look-up"/>
      <sheetName val="Lookup"/>
      <sheetName val="Table 1"/>
      <sheetName val="DATA"/>
      <sheetName val="Total"/>
      <sheetName val="IN"/>
      <sheetName val="현황CODE"/>
      <sheetName val="손익현황"/>
      <sheetName val="SUM"/>
      <sheetName val="BM-PC0840"/>
      <sheetName val="BQ List"/>
      <sheetName val="Hoja3"/>
      <sheetName val="Hoja2"/>
      <sheetName val="RFP002"/>
      <sheetName val="Basis"/>
      <sheetName val="steam table"/>
      <sheetName val="ISOP"/>
      <sheetName val="SPEC"/>
      <sheetName val="purch-summ-data"/>
      <sheetName val="PEL"/>
      <sheetName val="Piping_Design_Data"/>
      <sheetName val="TYPE-B_평균H"/>
      <sheetName val="Table_1"/>
      <sheetName val="Piping Cost"/>
      <sheetName val="F-302"/>
      <sheetName val="Cover sheet"/>
      <sheetName val="IT-BAT"/>
      <sheetName val="간접비내역-1"/>
      <sheetName val="집계표"/>
      <sheetName val="공사비 내역 (가)"/>
      <sheetName val="PIPE-SUMMARY"/>
      <sheetName val="PIPE-LINK"/>
      <sheetName val="Units"/>
      <sheetName val="Instructions"/>
      <sheetName val="정부노임단가"/>
      <sheetName val="할증 "/>
      <sheetName val="TABLE2-2 OSBL-(SITE PREP)"/>
      <sheetName val="h-013211-2"/>
      <sheetName val="steam_table"/>
      <sheetName val="new급여T(4을-운전)"/>
      <sheetName val="PSIZE"/>
      <sheetName val="산근"/>
      <sheetName val="가상data"/>
      <sheetName val="PBS"/>
      <sheetName val="CONTENTS"/>
      <sheetName val="TOTAL PIPING"/>
      <sheetName val="Bend_fact "/>
      <sheetName val="갑지"/>
      <sheetName val="Tipo Terzi"/>
      <sheetName val="DATA LISTS"/>
      <sheetName val="boq"/>
      <sheetName val="15010"/>
      <sheetName val="24"/>
      <sheetName val="CPS"/>
      <sheetName val="PAD-F"/>
      <sheetName val="PRICE LIST"/>
      <sheetName val="CBE-VSL"/>
      <sheetName val="Testing"/>
      <sheetName val="PROCURE"/>
      <sheetName val="Pag. 1"/>
      <sheetName val="Ex-Rate"/>
      <sheetName val="TTL"/>
      <sheetName val="#4-1표지"/>
      <sheetName val="영업2"/>
      <sheetName val="영업3"/>
      <sheetName val="DSCCI_Print"/>
      <sheetName val="SHL"/>
      <sheetName val="CALCULATION"/>
      <sheetName val="KP1590_E"/>
      <sheetName val="OSBL-TOTAL (SEA WATER)"/>
      <sheetName val="HALOBUTYL"/>
      <sheetName val="P110"/>
      <sheetName val="HRD"/>
      <sheetName val="견적 집계"/>
      <sheetName val="K1"/>
      <sheetName val="DCS"/>
      <sheetName val="ANALYSER"/>
      <sheetName val="상반기손익차2총괄"/>
      <sheetName val="Macro1"/>
      <sheetName val="Code_Magics"/>
      <sheetName val="Code"/>
      <sheetName val="95삼성급(본사)"/>
      <sheetName val="Anal-1 (Nox-SO2-CO)"/>
      <sheetName val="ld-sd-dt"/>
      <sheetName val="highlight"/>
      <sheetName val="ld-sd"/>
      <sheetName val="Connections"/>
      <sheetName val="UG분석표"/>
      <sheetName val="한강운반비"/>
      <sheetName val="Graph (LGEN)"/>
      <sheetName val="out_prog"/>
      <sheetName val="선적schedule (2)"/>
      <sheetName val="piping"/>
      <sheetName val="세금자료"/>
      <sheetName val="개시대사 (2)"/>
      <sheetName val="OSBL-TOTAL (CIVIL WORK)"/>
      <sheetName val="Sheeta"/>
      <sheetName val="Units+rev"/>
      <sheetName val="Insts"/>
      <sheetName val="MAN-STD"/>
      <sheetName val="Step"/>
      <sheetName val="E_Rate PM"/>
      <sheetName val="TIE-INS"/>
      <sheetName val="제출계산서"/>
      <sheetName val="ISO"/>
      <sheetName val="SOURCE"/>
      <sheetName val="SUMMARY"/>
      <sheetName val="TABLE"/>
      <sheetName val="Cover_sheet"/>
      <sheetName val="BQ_List"/>
      <sheetName val="갑지(추정)"/>
      <sheetName val="PumpSpec"/>
      <sheetName val="Process Piping"/>
      <sheetName val="WORK-VOL"/>
      <sheetName val="내역"/>
      <sheetName val="PROCESS"/>
      <sheetName val="기준"/>
      <sheetName val="OSBL-TOTAL (OTHER WORK)"/>
      <sheetName val="DRUM"/>
      <sheetName val="Daten"/>
      <sheetName val="Piping_Design_Data1"/>
      <sheetName val="TYPE-B_평균H1"/>
      <sheetName val="Table_11"/>
      <sheetName val="Piping_Cost"/>
      <sheetName val="Piping_Design_Data2"/>
      <sheetName val="TYPE-B_평균H2"/>
      <sheetName val="Table_12"/>
      <sheetName val="BQ_List1"/>
      <sheetName val="steam_table1"/>
      <sheetName val="Piping_Cost1"/>
      <sheetName val="Cover_sheet1"/>
      <sheetName val="TABLE2-1_ISBL-(SlTE_PREP)"/>
      <sheetName val="TABLE2_1_ISBL_(Soil_Invest)"/>
      <sheetName val="TABLE2-2_OSBL(GENERAL-CIVIL)"/>
      <sheetName val="TABLE2-2_OSBL-(SITE_PREP)"/>
      <sheetName val="#REF"/>
      <sheetName val="갑지1"/>
      <sheetName val="code data"/>
      <sheetName val="BQMPALOC"/>
      <sheetName val="내역서"/>
      <sheetName val="4002"/>
      <sheetName val="표지"/>
      <sheetName val="footing"/>
      <sheetName val="PRESSURE GAUGE"/>
      <sheetName val="SHUTDOWN VALVE"/>
      <sheetName val="조건표"/>
      <sheetName val="97 사업추정(WEKI)"/>
      <sheetName val="ELECTRICAL"/>
      <sheetName val="대비표"/>
      <sheetName val=" 견적서"/>
      <sheetName val="터널조도"/>
      <sheetName val="견적의뢰"/>
      <sheetName val="B"/>
      <sheetName val="B31.1"/>
      <sheetName val="공사비_내역_(가)"/>
      <sheetName val="Tipo_Terzi"/>
      <sheetName val="DATA_LISTS"/>
      <sheetName val="COVER-P"/>
      <sheetName val="Material_Group"/>
      <sheetName val="PTrating all"/>
      <sheetName val="MEXICO-C"/>
      <sheetName val="Default"/>
      <sheetName val="INST LIST"/>
      <sheetName val="입력값1"/>
      <sheetName val="CVA"/>
      <sheetName val="DESIGN(77C-102A)-2"/>
      <sheetName val="비교표"/>
      <sheetName val="BAY별 원가표준"/>
      <sheetName val="기본자료(실행)"/>
      <sheetName val="3cx95sq"/>
      <sheetName val="자재코드"/>
      <sheetName val="ST-CST1"/>
      <sheetName val="CABLE DATA"/>
      <sheetName val="WE'T"/>
      <sheetName val="BQ"/>
      <sheetName val="Sheet5"/>
      <sheetName val="Engrg Est"/>
      <sheetName val="수입"/>
      <sheetName val="41-42-1"/>
      <sheetName val="BASEINPUT"/>
      <sheetName val="TRICONIX"/>
      <sheetName val="DATE"/>
      <sheetName val="Pipe ID"/>
      <sheetName val="notifier"/>
      <sheetName val="OD5000"/>
      <sheetName val="Panel제작명세서"/>
      <sheetName val="배명(단가)"/>
      <sheetName val="E01"/>
      <sheetName val="MVE02"/>
      <sheetName val="소상 &quot;1&quot;"/>
      <sheetName val="Substn, Pdt Trans, Pack, Others"/>
      <sheetName val="000000"/>
      <sheetName val="동결보온"/>
      <sheetName val="list"/>
      <sheetName val="소야공정계획표"/>
      <sheetName val=""/>
      <sheetName val="Submission-Application"/>
      <sheetName val="MOTOR"/>
      <sheetName val="BQLIST"/>
      <sheetName val="1을"/>
      <sheetName val="연돌일위집계"/>
      <sheetName val="조도계산서 (도서)"/>
      <sheetName val="Euro-conversion"/>
      <sheetName val="CYP-O.F"/>
      <sheetName val="ABB"/>
      <sheetName val="노임9월"/>
      <sheetName val="Y-WORK"/>
      <sheetName val="적용환율"/>
      <sheetName val="Taux"/>
      <sheetName val="SCHEDULE"/>
      <sheetName val="Factor"/>
      <sheetName val="당초"/>
      <sheetName val="CAT_5"/>
      <sheetName val="costing_Misc"/>
      <sheetName val="Summary Sheets"/>
      <sheetName val="HVAC"/>
      <sheetName val="DB@Acess"/>
      <sheetName val="Civil"/>
      <sheetName val="costing_Press"/>
      <sheetName val="costing_ESDV"/>
      <sheetName val=" 갑지"/>
      <sheetName val="costing_MOV"/>
      <sheetName val="REDUCER"/>
      <sheetName val="costing_CV"/>
      <sheetName val="Tables"/>
      <sheetName val="合成単価作成表-BLDG"/>
      <sheetName val="POWER"/>
      <sheetName val="w't table"/>
      <sheetName val="COA-17"/>
      <sheetName val="S N"/>
      <sheetName val="costing_FE"/>
      <sheetName val="C-18"/>
      <sheetName val="금액내역서"/>
      <sheetName val="LABTOTAL"/>
      <sheetName val="95신규호표"/>
      <sheetName val="VS배관내역서"/>
      <sheetName val="작성기준"/>
      <sheetName val="Macro"/>
      <sheetName val="노임단가"/>
      <sheetName val="cbe-1"/>
      <sheetName val="VL"/>
      <sheetName val="TN"/>
      <sheetName val="ND"/>
      <sheetName val="attach(2)"/>
      <sheetName val=" "/>
      <sheetName val="#3_일위대가목록"/>
      <sheetName val="장비"/>
      <sheetName val="노무"/>
      <sheetName val="Line Details"/>
      <sheetName val="Two Phase"/>
      <sheetName val="burner-spare"/>
      <sheetName val="Sheet2"/>
      <sheetName val="물량표"/>
      <sheetName val="설계서"/>
      <sheetName val="BM"/>
      <sheetName val="BOM_DWG"/>
      <sheetName val="TYPE-B_평균H3"/>
      <sheetName val="Piping_Design_Data3"/>
      <sheetName val="Table_13"/>
      <sheetName val="BQ_List2"/>
      <sheetName val="steam_table2"/>
      <sheetName val="Piping_Cost2"/>
      <sheetName val="Cover_sheet2"/>
      <sheetName val="공사비_내역_(가)1"/>
      <sheetName val="Tipo_Terzi1"/>
      <sheetName val="할증_"/>
      <sheetName val="PRICE_LIST"/>
      <sheetName val="TABLE2-2_OSBL-(SITE_PREP)1"/>
      <sheetName val="TOTAL_PIPING"/>
      <sheetName val="Bend_fact_"/>
      <sheetName val="DATA_LISTS1"/>
      <sheetName val="Graph_(LGEN)"/>
      <sheetName val="선적schedule_(2)"/>
      <sheetName val="Pag__1"/>
      <sheetName val="견적_집계"/>
      <sheetName val="Anal-1_(Nox-SO2-CO)"/>
      <sheetName val="OSBL-TOTAL_(SEA_WATER)"/>
      <sheetName val="개시대사_(2)"/>
      <sheetName val="E_Rate_PM"/>
      <sheetName val="OSBL-TOTAL_(CIVIL_WORK)"/>
      <sheetName val="PRESSURE_GAUGE"/>
      <sheetName val="SHUTDOWN_VALVE"/>
      <sheetName val="B31_1"/>
      <sheetName val="Process_Piping"/>
      <sheetName val="code_data"/>
      <sheetName val="97_사업추정(WEKI)"/>
      <sheetName val="OSBL-TOTAL_(OTHER_WORK)"/>
      <sheetName val="Pipe_ID"/>
      <sheetName val="PTrating_all"/>
      <sheetName val="INST_LIST"/>
      <sheetName val="_견적서"/>
      <sheetName val="BAY별_원가표준"/>
      <sheetName val="CABLE_DATA"/>
      <sheetName val="Notes for BOQ"/>
      <sheetName val="PRO_DCI"/>
      <sheetName val="ELEC_DCI"/>
      <sheetName val="INST_DCI"/>
      <sheetName val="JOINT1"/>
      <sheetName val="Piping_Design_Data5"/>
      <sheetName val="TYPE-B_평균H5"/>
      <sheetName val="Table_15"/>
      <sheetName val="BQ_List4"/>
      <sheetName val="Piping_Cost4"/>
      <sheetName val="Cover_sheet4"/>
      <sheetName val="steam_table4"/>
      <sheetName val="공사비_내역_(가)2"/>
      <sheetName val="Tipo_Terzi2"/>
      <sheetName val="Pag__12"/>
      <sheetName val="할증_2"/>
      <sheetName val="견적_집계2"/>
      <sheetName val="Anal-1_(Nox-SO2-CO)2"/>
      <sheetName val="DATA_LISTS2"/>
      <sheetName val="TABLE2-2_OSBL-(SITE_PREP)3"/>
      <sheetName val="TOTAL_PIPING2"/>
      <sheetName val="Bend_fact_2"/>
      <sheetName val="PRICE_LIST2"/>
      <sheetName val="Graph_(LGEN)2"/>
      <sheetName val="선적schedule_(2)2"/>
      <sheetName val="Process_Piping2"/>
      <sheetName val="OSBL-TOTAL_(SEA_WATER)2"/>
      <sheetName val="INST_LIST2"/>
      <sheetName val="개시대사_(2)2"/>
      <sheetName val="OSBL-TOTAL_(CIVIL_WORK)2"/>
      <sheetName val="E_Rate_PM2"/>
      <sheetName val="code_data2"/>
      <sheetName val="Piping_Design_Data4"/>
      <sheetName val="TYPE-B_평균H4"/>
      <sheetName val="Table_14"/>
      <sheetName val="BQ_List3"/>
      <sheetName val="Piping_Cost3"/>
      <sheetName val="Cover_sheet3"/>
      <sheetName val="steam_table3"/>
      <sheetName val="Pag__11"/>
      <sheetName val="할증_1"/>
      <sheetName val="견적_집계1"/>
      <sheetName val="Anal-1_(Nox-SO2-CO)1"/>
      <sheetName val="TABLE2-2_OSBL-(SITE_PREP)2"/>
      <sheetName val="TOTAL_PIPING1"/>
      <sheetName val="Bend_fact_1"/>
      <sheetName val="PRICE_LIST1"/>
      <sheetName val="Graph_(LGEN)1"/>
      <sheetName val="선적schedule_(2)1"/>
      <sheetName val="Process_Piping1"/>
      <sheetName val="OSBL-TOTAL_(SEA_WATER)1"/>
      <sheetName val="INST_LIST1"/>
      <sheetName val="개시대사_(2)1"/>
      <sheetName val="OSBL-TOTAL_(CIVIL_WORK)1"/>
      <sheetName val="E_Rate_PM1"/>
      <sheetName val="code_data1"/>
      <sheetName val="Cost_Summary1"/>
      <sheetName val="Summary_Sheets1"/>
      <sheetName val="ITB_COST1"/>
      <sheetName val="DWTables"/>
      <sheetName val="BOM_DCS"/>
      <sheetName val="Piping_Design_Data6"/>
      <sheetName val="TYPE-B_평균H6"/>
      <sheetName val="Table_16"/>
      <sheetName val="BQ_List5"/>
      <sheetName val="Piping_Cost5"/>
      <sheetName val="Cover_sheet5"/>
      <sheetName val="steam_table5"/>
      <sheetName val="공사비_내역_(가)3"/>
      <sheetName val="Tipo_Terzi3"/>
      <sheetName val="Pag__13"/>
      <sheetName val="할증_3"/>
      <sheetName val="견적_집계3"/>
      <sheetName val="Anal-1_(Nox-SO2-CO)3"/>
      <sheetName val="DATA_LISTS3"/>
      <sheetName val="TABLE2-2_OSBL-(SITE_PREP)4"/>
      <sheetName val="TOTAL_PIPING3"/>
      <sheetName val="Bend_fact_3"/>
      <sheetName val="PRICE_LIST3"/>
      <sheetName val="Graph_(LGEN)3"/>
      <sheetName val="선적schedule_(2)3"/>
      <sheetName val="Process_Piping3"/>
      <sheetName val="OSBL-TOTAL_(SEA_WATER)3"/>
      <sheetName val="INST_LIST3"/>
      <sheetName val="개시대사_(2)3"/>
      <sheetName val="OSBL-TOTAL_(CIVIL_WORK)3"/>
      <sheetName val="E_Rate_PM3"/>
      <sheetName val="code_data3"/>
      <sheetName val="PAGE 3_GENERAL DETAILS"/>
      <sheetName val="유효성 검사"/>
      <sheetName val="IO"/>
      <sheetName val="Integration"/>
      <sheetName val="TN IO_LIST"/>
      <sheetName val="6PILE  (돌출)"/>
      <sheetName val="CAL."/>
      <sheetName val="PRESSURE_GAUGE1"/>
      <sheetName val="SHUTDOWN_VALVE1"/>
      <sheetName val="B31_11"/>
      <sheetName val="97_사업추정(WEKI)1"/>
      <sheetName val="OSBL-TOTAL_(OTHER_WORK)1"/>
      <sheetName val="_견적서1"/>
      <sheetName val="Engrg_Est1"/>
      <sheetName val="CABLE_DATA1"/>
      <sheetName val="BAY별_원가표준1"/>
      <sheetName val="PTrating_all1"/>
      <sheetName val="Pipe_ID1"/>
      <sheetName val="_갑지1"/>
      <sheetName val="w't_table1"/>
      <sheetName val="S_N1"/>
      <sheetName val="소상_&quot;1&quot;1"/>
      <sheetName val="Substn,_Pdt_Trans,_Pack,_Other1"/>
      <sheetName val="Engrg_Est"/>
      <sheetName val="Summary_Sheets"/>
      <sheetName val="_갑지"/>
      <sheetName val="w't_table"/>
      <sheetName val="S_N"/>
      <sheetName val="소상_&quot;1&quot;"/>
      <sheetName val="Substn,_Pdt_Trans,_Pack,_Others"/>
      <sheetName val="유효성검사"/>
      <sheetName val="DropBox"/>
      <sheetName val="자문요청"/>
      <sheetName val="I_O Module"/>
      <sheetName val="기준액"/>
      <sheetName val="mto-rev0B"/>
      <sheetName val="PIPES"/>
      <sheetName val="Piping_Design_Data7"/>
      <sheetName val="TYPE-B_평균H7"/>
      <sheetName val="Table_17"/>
      <sheetName val="Cover_sheet6"/>
      <sheetName val="BQ_List6"/>
      <sheetName val="steam_table6"/>
      <sheetName val="Piping_Cost6"/>
      <sheetName val="Pag__14"/>
      <sheetName val="할증_4"/>
      <sheetName val="견적_집계4"/>
      <sheetName val="공사비_내역_(가)4"/>
      <sheetName val="Tipo_Terzi4"/>
      <sheetName val="PRICE_LIST4"/>
      <sheetName val="Anal-1_(Nox-SO2-CO)4"/>
      <sheetName val="Graph_(LGEN)4"/>
      <sheetName val="선적schedule_(2)4"/>
      <sheetName val="DATA_LISTS4"/>
      <sheetName val="TABLE2-2_OSBL-(SITE_PREP)5"/>
      <sheetName val="TOTAL_PIPING4"/>
      <sheetName val="Bend_fact_4"/>
      <sheetName val="Process_Piping4"/>
      <sheetName val="INST_LIST4"/>
      <sheetName val="OSBL-TOTAL_(SEA_WATER)4"/>
      <sheetName val="개시대사_(2)4"/>
      <sheetName val="OSBL-TOTAL_(CIVIL_WORK)4"/>
      <sheetName val="E_Rate_PM4"/>
      <sheetName val="code_data4"/>
      <sheetName val="PRESSURE_GAUGE2"/>
      <sheetName val="SHUTDOWN_VALVE2"/>
      <sheetName val="97_사업추정(WEKI)2"/>
      <sheetName val="OSBL-TOTAL_(OTHER_WORK)2"/>
      <sheetName val="_견적서2"/>
      <sheetName val="B31_12"/>
      <sheetName val="Engrg_Est2"/>
      <sheetName val="CABLE_DATA2"/>
      <sheetName val="BAY별_원가표준2"/>
      <sheetName val="Pipe_ID2"/>
      <sheetName val="PTrating_all2"/>
      <sheetName val="Summary_Sheets2"/>
      <sheetName val="_갑지2"/>
      <sheetName val="w't_table2"/>
      <sheetName val="S_N2"/>
      <sheetName val="소상_&quot;1&quot;2"/>
      <sheetName val="Substn,_Pdt_Trans,_Pack,_Other2"/>
      <sheetName val="Line_Details"/>
      <sheetName val="Two_Phase"/>
      <sheetName val="_"/>
      <sheetName val="CYP-O_F"/>
      <sheetName val="조도계산서_(도서)"/>
      <sheetName val="Notes_for_BOQ"/>
      <sheetName val="PAGE_3_GENERAL_DETAILS"/>
      <sheetName val="TN_IO_LIST"/>
      <sheetName val="유효성_검사"/>
      <sheetName val="2001概算定额"/>
      <sheetName val="RNRLRPL2"/>
      <sheetName val="PRO_A"/>
      <sheetName val="DWG"/>
      <sheetName val="ELEC_MCI"/>
      <sheetName val="MAIN"/>
      <sheetName val="INST_MCI"/>
      <sheetName val="MECH_MCI"/>
      <sheetName val="PRO"/>
      <sheetName val="Activity(new)"/>
      <sheetName val="Total(new)"/>
      <sheetName val="현장지지물물량"/>
      <sheetName val="VESSELS &amp; COLUMNS"/>
      <sheetName val="laroux"/>
      <sheetName val="MATRIAL"/>
      <sheetName val="설정"/>
      <sheetName val="원가 BOM-SLV,LND"/>
      <sheetName val="Alternator"/>
      <sheetName val="일위대가"/>
      <sheetName val="Proposal"/>
      <sheetName val="MTP"/>
      <sheetName val="6PILE__(돌출)"/>
      <sheetName val="CAL_"/>
      <sheetName val="Piping_Design_Data8"/>
      <sheetName val="TYPE-B_평균H8"/>
      <sheetName val="Table_18"/>
      <sheetName val="BQ_List7"/>
      <sheetName val="steam_table7"/>
      <sheetName val="Piping_Cost7"/>
      <sheetName val="Cover_sheet7"/>
      <sheetName val="공사비_내역_(가)5"/>
      <sheetName val="할증_5"/>
      <sheetName val="TABLE2-2_OSBL-(SITE_PREP)6"/>
      <sheetName val="TOTAL_PIPING5"/>
      <sheetName val="Bend_fact_5"/>
      <sheetName val="Tipo_Terzi5"/>
      <sheetName val="DATA_LISTS5"/>
      <sheetName val="PRICE_LIST5"/>
      <sheetName val="Pag__15"/>
      <sheetName val="OSBL-TOTAL_(SEA_WATER)5"/>
      <sheetName val="견적_집계5"/>
      <sheetName val="Anal-1_(Nox-SO2-CO)5"/>
      <sheetName val="Graph_(LGEN)5"/>
      <sheetName val="선적schedule_(2)5"/>
      <sheetName val="개시대사_(2)5"/>
      <sheetName val="OSBL-TOTAL_(CIVIL_WORK)5"/>
      <sheetName val="E_Rate_PM5"/>
      <sheetName val="Process_Piping5"/>
      <sheetName val="code_data5"/>
      <sheetName val="OSBL-TOTAL_(OTHER_WORK)3"/>
      <sheetName val="B31_13"/>
      <sheetName val="PRESSURE_GAUGE3"/>
      <sheetName val="SHUTDOWN_VALVE3"/>
      <sheetName val="BAY별_원가표준3"/>
      <sheetName val="CABLE_DATA3"/>
      <sheetName val="INST_LIST5"/>
      <sheetName val="97_사업추정(WEKI)3"/>
      <sheetName val="_견적서3"/>
      <sheetName val="Pipe_ID3"/>
      <sheetName val="PTrating_all3"/>
      <sheetName val="Engrg_Est3"/>
      <sheetName val="소상_&quot;1&quot;3"/>
      <sheetName val="Substn,_Pdt_Trans,_Pack,_Other3"/>
      <sheetName val="_1"/>
      <sheetName val="조도계산서_(도서)1"/>
      <sheetName val="CYP-O_F1"/>
      <sheetName val="Summary_Sheets3"/>
      <sheetName val="_갑지3"/>
      <sheetName val="w't_table3"/>
      <sheetName val="S_N3"/>
      <sheetName val="Line_Details1"/>
      <sheetName val="Two_Phase1"/>
      <sheetName val="Notes_for_BOQ1"/>
      <sheetName val="PAGE_3_GENERAL_DETAILS1"/>
      <sheetName val="유효성_검사1"/>
      <sheetName val="6PILE__(돌출)1"/>
      <sheetName val="CAL_1"/>
      <sheetName val="TN_IO_LIST1"/>
      <sheetName val="Basic"/>
      <sheetName val="자바라1"/>
      <sheetName val="4B - (1) Materials"/>
      <sheetName val="MHRS"/>
      <sheetName val="Datasheet for STRAINER"/>
      <sheetName val="GROUP"/>
      <sheetName val="EVVK"/>
      <sheetName val="EVVG"/>
      <sheetName val="EYDS"/>
      <sheetName val="EVVB"/>
      <sheetName val="EVVD"/>
      <sheetName val="EVVC"/>
      <sheetName val="EFF"/>
      <sheetName val="EFFH"/>
      <sheetName val="EVVH"/>
      <sheetName val="EVVF"/>
      <sheetName val="EVVE"/>
      <sheetName val="EVVM"/>
      <sheetName val="EFFB"/>
      <sheetName val="EMMT"/>
      <sheetName val="EMMC"/>
      <sheetName val="EMMA"/>
      <sheetName val="Engg-Exec-2"/>
      <sheetName val="Site-Precom-2"/>
      <sheetName val="Cont"/>
      <sheetName val="Ranges"/>
      <sheetName val="User"/>
      <sheetName val="HVAC_DCI"/>
      <sheetName val="PIPE_DCI"/>
      <sheetName val="역T형"/>
      <sheetName val="BELİRLENECEKLER"/>
      <sheetName val="재료비"/>
      <sheetName val="Cashflow Analysis"/>
      <sheetName val="parameters"/>
      <sheetName val="dr &amp; wd"/>
      <sheetName val="細目"/>
      <sheetName val="AC"/>
      <sheetName val="基数"/>
      <sheetName val="salary"/>
      <sheetName val="TABLE-A"/>
      <sheetName val="Heat"/>
      <sheetName val="VA_code"/>
      <sheetName val="Man-month Chart - Overall"/>
      <sheetName val="MH(on site)"/>
      <sheetName val="EQUIP"/>
      <sheetName val="Breakdown-1"/>
      <sheetName val="Add"/>
      <sheetName val="Equipment"/>
      <sheetName val="I_O_Module"/>
      <sheetName val="VESSELS_&amp;_COLUMNS"/>
      <sheetName val="4B_-_(1)_Materials"/>
      <sheetName val="Cash2"/>
      <sheetName val="Z"/>
      <sheetName val="L V Separator"/>
      <sheetName val="General Data"/>
      <sheetName val="ABUT수량-A1"/>
      <sheetName val="NPV"/>
      <sheetName val="Piping_Design_Data9"/>
      <sheetName val="TYPE-B_평균H9"/>
      <sheetName val="Table_19"/>
      <sheetName val="Cover_sheet8"/>
      <sheetName val="BQ_List8"/>
      <sheetName val="steam_table8"/>
      <sheetName val="Piping_Cost8"/>
      <sheetName val="공사비_내역_(가)6"/>
      <sheetName val="Tipo_Terzi6"/>
      <sheetName val="Pag__16"/>
      <sheetName val="할증_6"/>
      <sheetName val="견적_집계6"/>
      <sheetName val="Anal-1_(Nox-SO2-CO)6"/>
      <sheetName val="DATA_LISTS6"/>
      <sheetName val="B31_14"/>
      <sheetName val="Graph_(LGEN)6"/>
      <sheetName val="선적schedule_(2)6"/>
      <sheetName val="PRICE_LIST6"/>
      <sheetName val="TABLE2-2_OSBL-(SITE_PREP)7"/>
      <sheetName val="TOTAL_PIPING6"/>
      <sheetName val="Bend_fact_6"/>
      <sheetName val="OSBL-TOTAL_(SEA_WATER)6"/>
      <sheetName val="BAY별_원가표준4"/>
      <sheetName val="OSBL-TOTAL_(OTHER_WORK)4"/>
      <sheetName val="CABLE_DATA4"/>
      <sheetName val="Process_Piping6"/>
      <sheetName val="개시대사_(2)6"/>
      <sheetName val="OSBL-TOTAL_(CIVIL_WORK)6"/>
      <sheetName val="E_Rate_PM6"/>
      <sheetName val="code_data6"/>
      <sheetName val="PRESSURE_GAUGE4"/>
      <sheetName val="SHUTDOWN_VALVE4"/>
      <sheetName val="INST_LIST6"/>
      <sheetName val="97_사업추정(WEKI)4"/>
      <sheetName val="_견적서4"/>
      <sheetName val="Engrg_Est4"/>
      <sheetName val="PTrating_all4"/>
      <sheetName val="Pipe_ID4"/>
      <sheetName val="Summary_Sheets4"/>
      <sheetName val="_갑지4"/>
      <sheetName val="w't_table4"/>
      <sheetName val="S_N4"/>
      <sheetName val="소상_&quot;1&quot;4"/>
      <sheetName val="Substn,_Pdt_Trans,_Pack,_Other4"/>
      <sheetName val="_2"/>
      <sheetName val="CYP-O_F2"/>
      <sheetName val="Line_Details2"/>
      <sheetName val="Two_Phase2"/>
      <sheetName val="조도계산서_(도서)2"/>
      <sheetName val="Notes_for_BOQ2"/>
      <sheetName val="PAGE_3_GENERAL_DETAILS2"/>
      <sheetName val="유효성_검사2"/>
      <sheetName val="TN_IO_LIST2"/>
      <sheetName val="6PILE__(돌출)2"/>
      <sheetName val="CAL_2"/>
      <sheetName val="원가_BOM-SLV,LND"/>
      <sheetName val="Datasheet_for_STRAINER"/>
      <sheetName val="dr_&amp;_wd"/>
      <sheetName val="Man-month_Chart_-_Overall"/>
      <sheetName val="MH(on_site)"/>
    </sheetNames>
    <sheetDataSet>
      <sheetData sheetId="0">
        <row r="4">
          <cell r="B4" t="str">
            <v>Line N°</v>
          </cell>
        </row>
      </sheetData>
      <sheetData sheetId="1">
        <row r="4">
          <cell r="B4" t="str">
            <v>Line N°</v>
          </cell>
        </row>
      </sheetData>
      <sheetData sheetId="2">
        <row r="4">
          <cell r="B4" t="str">
            <v>Line N°</v>
          </cell>
        </row>
      </sheetData>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X3A61"/>
      <sheetName val="ANX3A62"/>
      <sheetName val="ANX3A63"/>
      <sheetName val="ANX3A64"/>
      <sheetName val="ANX3A65"/>
      <sheetName val="ANX3A66"/>
      <sheetName val="ANX3A67"/>
      <sheetName val="ANX3A68"/>
      <sheetName val="ANX3A69"/>
      <sheetName val="영업소실적"/>
      <sheetName val="eq_data"/>
      <sheetName val="본지점중"/>
      <sheetName val="TABLE2-2 OSBL-(SITE PREP)"/>
      <sheetName val="SKETCH"/>
      <sheetName val="LOADS"/>
      <sheetName val="boq"/>
      <sheetName val="VLOOKUP"/>
      <sheetName val="OSBL-TOTAL (SEA WATER)"/>
      <sheetName val="OSBL-TOTAL (CIVIL WORK)"/>
      <sheetName val="OSBL-TOTAL (OTHER WORK)"/>
      <sheetName val="Graph (LGEN)"/>
      <sheetName val="out_prog"/>
      <sheetName val="선적schedule (2)"/>
      <sheetName val="Information"/>
    </sheetNames>
    <sheetDataSet>
      <sheetData sheetId="0" refreshError="1"/>
      <sheetData sheetId="1" refreshError="1"/>
      <sheetData sheetId="2" refreshError="1"/>
      <sheetData sheetId="3" refreshError="1"/>
      <sheetData sheetId="4">
        <row r="1">
          <cell r="A1" t="str">
            <v xml:space="preserve">  ANNEX-3   BILL  OF  QUANTITY  AND  COST  BREAKDOWN  </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 oh."/>
      <sheetName val="indirect-oh"/>
      <sheetName val="EQUIP"/>
      <sheetName val="D-1"/>
      <sheetName val="D-2"/>
      <sheetName val="D-3"/>
      <sheetName val="ESCALATED RATIOS"/>
      <sheetName val="cement"/>
      <sheetName val="TABLE2-2 OSBL-(SITE PREP)"/>
      <sheetName val="Civil"/>
      <sheetName val="PROCESS"/>
      <sheetName val="A CONDITIONS"/>
      <sheetName val="Bend_fact "/>
      <sheetName val="estimate"/>
      <sheetName val="OHF~1"/>
      <sheetName val="UTCA"/>
      <sheetName val="General Data"/>
      <sheetName val="KP_List"/>
      <sheetName val="API Units"/>
      <sheetName val="당초"/>
      <sheetName val="공사비 내역 (가)"/>
      <sheetName val="1. Piping Final BOQ List(G)"/>
      <sheetName val="PipWT"/>
      <sheetName val="Macro"/>
      <sheetName val="Taux"/>
      <sheetName val="PUMP"/>
      <sheetName val=" 견적서"/>
      <sheetName val="TIE-INS"/>
      <sheetName val="Sheet1"/>
      <sheetName val="Graph (LGEN)"/>
      <sheetName val="out_prog"/>
      <sheetName val="선적schedule (2)"/>
      <sheetName val="unit rates"/>
      <sheetName val="견적"/>
      <sheetName val="exp-report(e,p,c)"/>
      <sheetName val="MOTOR"/>
      <sheetName val="Main"/>
      <sheetName val="DATA"/>
      <sheetName val="예산서"/>
      <sheetName val="적용환율"/>
      <sheetName val="간접비내역-1"/>
      <sheetName val="작성기준"/>
      <sheetName val="LEGEND"/>
      <sheetName val="AILC004"/>
      <sheetName val="XZLC004_PART2"/>
      <sheetName val="3. Piping"/>
      <sheetName val="1. Stationary"/>
      <sheetName val="CALCULATION"/>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ing Design Data"/>
      <sheetName val="Calc Sheet"/>
      <sheetName val="D-3"/>
      <sheetName val="cement"/>
      <sheetName val="laroux"/>
      <sheetName val="piping"/>
      <sheetName val="AILC004"/>
      <sheetName val="eq_data"/>
      <sheetName val="BQ List"/>
      <sheetName val="PipWT"/>
      <sheetName val="3514-HV-0201"/>
      <sheetName val="A CONDITIONS"/>
      <sheetName val="API Units"/>
      <sheetName val="당초"/>
      <sheetName val="공사비 내역 (가)"/>
      <sheetName val="TYPE-B 평균H"/>
      <sheetName val="Total"/>
      <sheetName val="Civil"/>
      <sheetName val="견적"/>
      <sheetName val="Bend_fact "/>
      <sheetName val="Mtl Summary"/>
      <sheetName val="F-302"/>
      <sheetName val="PIPES"/>
      <sheetName val="Sheet1"/>
      <sheetName val="PROCESS"/>
      <sheetName val="노임"/>
      <sheetName val="Graph (LGEN)"/>
      <sheetName val="out_prog"/>
      <sheetName val="선적schedule (2)"/>
      <sheetName val="TIE-INS"/>
      <sheetName val="LOOKUP"/>
      <sheetName val="paint mat"/>
      <sheetName val="AD merkblatter dış basınç"/>
      <sheetName val="estimate"/>
      <sheetName val="현황CODE"/>
      <sheetName val="손익현황"/>
      <sheetName val="BOQ"/>
      <sheetName val="PUMP"/>
      <sheetName val="Main"/>
      <sheetName val="DATA"/>
      <sheetName val="CAT_5"/>
      <sheetName val="인건비"/>
      <sheetName val="Schedule"/>
      <sheetName val="BM_TOTAL"/>
      <sheetName val="BQ Calc Sheet(Pipe)"/>
      <sheetName val="3. Piping"/>
      <sheetName val="1. Stationary"/>
      <sheetName val="적용환율"/>
      <sheetName val="General Data"/>
      <sheetName val="간접비내역-1"/>
      <sheetName val="Precios"/>
      <sheetName val="CAL."/>
      <sheetName val="예산서"/>
      <sheetName val="General"/>
      <sheetName val="도급양식"/>
      <sheetName val="POWER"/>
      <sheetName val="97 사업추정(WEKI)"/>
      <sheetName val="Pipe Classes"/>
      <sheetName val="설계조건"/>
      <sheetName val="6PILE  (돌출)"/>
      <sheetName val="작성기준"/>
      <sheetName val="LEGEND"/>
      <sheetName val="Units"/>
      <sheetName val="Indeks"/>
      <sheetName val="name"/>
      <sheetName val="MT-C"/>
      <sheetName val="COVER"/>
      <sheetName val="Sheet2"/>
      <sheetName val="ST단가"/>
      <sheetName val="GTC 106-ED- 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 code"/>
      <sheetName val="Information"/>
      <sheetName val="Boilers"/>
      <sheetName val="Air Coolers"/>
      <sheetName val="Coalescers"/>
      <sheetName val="Columns"/>
      <sheetName val="ST Exchangers"/>
      <sheetName val="COLD BOX"/>
      <sheetName val="Filters"/>
      <sheetName val="Vessels"/>
      <sheetName val="Reactors"/>
      <sheetName val="Vacuum system"/>
      <sheetName val="Coalescer"/>
      <sheetName val="Desuperheater"/>
      <sheetName val="Ejectors"/>
      <sheetName val="Storage Tanks"/>
      <sheetName val="Detonation Arrestor"/>
      <sheetName val="Exhaust head"/>
      <sheetName val="영업소실적"/>
      <sheetName val="eq_data"/>
      <sheetName val="TABLE2-2 OSBL-(SITE PREP)"/>
      <sheetName val="SKETCH"/>
      <sheetName val="LOADS"/>
      <sheetName val="boq"/>
      <sheetName val="96.12"/>
      <sheetName val="OSBL-TOTAL (SEA WATER)"/>
      <sheetName val="OSBL-TOTAL (CIVIL WORK)"/>
      <sheetName val="D-3"/>
    </sheetNames>
    <sheetDataSet>
      <sheetData sheetId="0"/>
      <sheetData sheetId="1">
        <row r="22">
          <cell r="C22" t="str">
            <v>kg/cm² (g)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문제점"/>
      <sheetName val="DCS"/>
      <sheetName val="CMS"/>
      <sheetName val="INSTRUMENT"/>
      <sheetName val="VALVE"/>
      <sheetName val="CABLETRN"/>
      <sheetName val="CBLINJ"/>
      <sheetName val="F.O CABLE TERMI"/>
      <sheetName val="TRAY&amp;LADDER"/>
      <sheetName val="BULK"/>
      <sheetName val="LOCAL INDICATION"/>
      <sheetName val="ANALYSER"/>
      <sheetName val="F&amp;G"/>
      <sheetName val="CABLE"/>
      <sheetName val="ANALYSIS SYS"/>
      <sheetName val="XXXXXX"/>
      <sheetName val="결재용 대비 금액"/>
      <sheetName val="견적대비 시행 "/>
      <sheetName val="FWBS7000,8000"/>
      <sheetName val="비교표"/>
      <sheetName val="MANPOWER"/>
      <sheetName val="CONSUMABLE"/>
      <sheetName val="산출근거"/>
      <sheetName val="TOOL"/>
      <sheetName val="TEST"/>
      <sheetName val="Sheet1"/>
      <sheetName val="condition"/>
      <sheetName val="견적근거"/>
      <sheetName val="DCS ESD 3RD FG"/>
      <sheetName val="F&amp;G DETECTOR"/>
      <sheetName val="LOCAL FIELD"/>
      <sheetName val="FO RO VALVE"/>
      <sheetName val="package"/>
      <sheetName val="CABLErev1"/>
      <sheetName val="CABLE TC rev1"/>
      <sheetName val="TUBE"/>
      <sheetName val="TFTG"/>
      <sheetName val="PIPE"/>
      <sheetName val="PFTrev"/>
      <sheetName val="VLVrev1"/>
      <sheetName val="GLDrev1"/>
      <sheetName val="JB"/>
      <sheetName val="TRAY"/>
      <sheetName val="SUPPrev1"/>
      <sheetName val="CABLE TRAY"/>
      <sheetName val="eq_data"/>
      <sheetName val="경제지표"/>
      <sheetName val="جدول توزيع پيشرفت"/>
      <sheetName val="5"/>
      <sheetName val="Cover"/>
      <sheetName val="ANX3A65"/>
      <sheetName val="001BA"/>
      <sheetName val="세금자료"/>
      <sheetName val="손익차9월2"/>
      <sheetName val="Information"/>
      <sheetName val="영업소실적"/>
      <sheetName val="Piping Design Data"/>
      <sheetName val="EQT-ESTN"/>
      <sheetName val="12CG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99년하반기"/>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7 사업추정(WEKI)"/>
      <sheetName val="우수"/>
      <sheetName val="태화42 "/>
      <sheetName val="ANALYSER"/>
      <sheetName val="1월"/>
      <sheetName val="3-구교-오리지날"/>
      <sheetName val="공통부대비"/>
      <sheetName val="구의33고"/>
      <sheetName val="COVER"/>
      <sheetName val="공정표 "/>
      <sheetName val="부속동"/>
      <sheetName val="10한빛"/>
      <sheetName val="장차입"/>
      <sheetName val="정산표"/>
      <sheetName val="대치판정"/>
      <sheetName val="비교1"/>
      <sheetName val="96.12"/>
      <sheetName val="STAND98"/>
      <sheetName val="97사업계"/>
      <sheetName val="조직표"/>
      <sheetName val="95년12월말"/>
      <sheetName val="주요공사"/>
      <sheetName val="주관사업"/>
      <sheetName val="환율"/>
      <sheetName val="직원동원SCH"/>
      <sheetName val="P.M 별"/>
      <sheetName val="최초침전지집계표"/>
      <sheetName val="PSIZE"/>
      <sheetName val="7.기-검-보.100"/>
      <sheetName val="97년 SEACO예산"/>
      <sheetName val="OUT"/>
      <sheetName val="실적총괄"/>
      <sheetName val="가설건물"/>
      <sheetName val="정부노임단가"/>
      <sheetName val="INSTR"/>
      <sheetName val="1NYS(당)"/>
      <sheetName val="우수공"/>
      <sheetName val="TOEC"/>
      <sheetName val="steel data sheet"/>
      <sheetName val="와동25-3(변경)"/>
      <sheetName val="유림골조"/>
      <sheetName val="청산공사"/>
      <sheetName val="하수급견적대비"/>
      <sheetName val="운동장 (2)"/>
      <sheetName val="월간보고"/>
      <sheetName val="INPUT DATA"/>
      <sheetName val="인원계획"/>
      <sheetName val="#REF"/>
      <sheetName val="고자현황"/>
      <sheetName val="간접비(1)"/>
      <sheetName val="P54"/>
      <sheetName val="001"/>
      <sheetName val="BID"/>
      <sheetName val="마케팅"/>
      <sheetName val="토목공사"/>
      <sheetName val="단가표"/>
      <sheetName val="98지급계획"/>
      <sheetName val="DPRKMHDT"/>
      <sheetName val="T기성9605"/>
      <sheetName val="당초"/>
      <sheetName val="04-D(1)"/>
      <sheetName val="입찰안"/>
      <sheetName val="표지 (2)"/>
      <sheetName val="간접1"/>
      <sheetName val="현장업무"/>
      <sheetName val="TOTAL"/>
      <sheetName val="평균환율-USD"/>
      <sheetName val="광주운남을"/>
      <sheetName val="RCF CLAIMED"/>
      <sheetName val="집계표"/>
      <sheetName val="유기공정"/>
      <sheetName val="TOWER 12TON"/>
      <sheetName val="TOWER 10TON"/>
      <sheetName val="JIB CRANE,HOIST"/>
      <sheetName val="G.R300경비"/>
      <sheetName val="가도공"/>
      <sheetName val="대공종"/>
      <sheetName val="XL4Poppy"/>
      <sheetName val="3차설계"/>
      <sheetName val="단면검토"/>
      <sheetName val="설계조건"/>
      <sheetName val="사급자재"/>
      <sheetName val="ABUT수량-A1"/>
      <sheetName val="BSD (2)"/>
      <sheetName val="계정"/>
      <sheetName val="직원수당"/>
      <sheetName val="new급여T(4을-운전)"/>
      <sheetName val="ITEM"/>
      <sheetName val="내역서"/>
      <sheetName val="마산월령동골조물량변경"/>
      <sheetName val="시험장S자로가로등공사"/>
      <sheetName val="SG"/>
      <sheetName val="간접비내역-1"/>
      <sheetName val="CP-E1(MECEL배분)"/>
      <sheetName val="다이꾸"/>
      <sheetName val="EQT-ESTN"/>
      <sheetName val="투입실적"/>
      <sheetName val="골조물량"/>
      <sheetName val="ANX3A65"/>
      <sheetName val="Information"/>
      <sheetName val="01.가설-파일"/>
      <sheetName val="PRO_A"/>
      <sheetName val="DWG"/>
      <sheetName val="MAIN"/>
      <sheetName val="PRO"/>
      <sheetName val="eq_data"/>
      <sheetName val="WORKER"/>
      <sheetName val="DATA"/>
      <sheetName val="IBASE"/>
      <sheetName val="지급제한자"/>
      <sheetName val="공사비_NDE"/>
      <sheetName val="수입"/>
      <sheetName val="Sheet4"/>
      <sheetName val="본지점중"/>
      <sheetName val="입사시직위"/>
      <sheetName val="Sheet1 (2)"/>
      <sheetName val="Basis"/>
      <sheetName val="TABLE2-2 OSBL-(SITE PREP)"/>
      <sheetName val="공종목록표"/>
      <sheetName val="CAL"/>
      <sheetName val="IPS_0"/>
      <sheetName val="터널조도"/>
      <sheetName val="97_사업추정(WEKI)"/>
      <sheetName val="태화42_"/>
      <sheetName val="상세공정율표"/>
      <sheetName val="1차배부(JB포함)"/>
      <sheetName val="A-8 PD(도로중앙)"/>
      <sheetName val="투찰"/>
      <sheetName val="노임단가"/>
      <sheetName val="현황"/>
      <sheetName val="Piping Design Data"/>
      <sheetName val="내역"/>
      <sheetName val="DHEQSUPT"/>
      <sheetName val="Tipo Terzi"/>
      <sheetName val="3.바닥판설계"/>
      <sheetName val="소화실적"/>
      <sheetName val="UnitList"/>
      <sheetName val="동결보온"/>
      <sheetName val="공사금액 내역 (1)"/>
      <sheetName val="사업부배부A"/>
      <sheetName val="수주실적0709"/>
      <sheetName val="금액내역서"/>
      <sheetName val="CALCULATION"/>
      <sheetName val="CLASS-A"/>
      <sheetName val="유림총괄"/>
      <sheetName val="001BA"/>
      <sheetName val="상반기손익차2총괄"/>
      <sheetName val="PLAN_FEB97"/>
      <sheetName val="96배수"/>
      <sheetName val="배수내역"/>
      <sheetName val="토공"/>
      <sheetName val="공량산출서"/>
      <sheetName val="Sheet6"/>
      <sheetName val="SCH"/>
      <sheetName val="01하반기노임"/>
      <sheetName val="L형 옹벽"/>
      <sheetName val="MOTOR"/>
      <sheetName val="ilch"/>
      <sheetName val="화재 탐지 설비"/>
      <sheetName val="Formulas"/>
      <sheetName val="소상 &quot;1&quot;"/>
      <sheetName val="123"/>
      <sheetName val="980820"/>
      <sheetName val="DNT OSBL"/>
      <sheetName val="평형공사비"/>
      <sheetName val="수안보-MBR1"/>
      <sheetName val="소특"/>
      <sheetName val="TYPE-B 평균H"/>
      <sheetName val="S0"/>
      <sheetName val="설계가"/>
      <sheetName val="Income Statement"/>
      <sheetName val="차액보증"/>
      <sheetName val="PILE길이산출(DRA)"/>
      <sheetName val="초과투입분"/>
      <sheetName val="hvac(제어동)"/>
      <sheetName val="POOM_MOTO"/>
      <sheetName val="POOM_MOTO2"/>
      <sheetName val="남양주댠가표"/>
      <sheetName val="안전내역품의"/>
      <sheetName val="Project Brief"/>
      <sheetName val="TARGET"/>
      <sheetName val="Cac Thong So "/>
      <sheetName val="참고(3)고정비"/>
      <sheetName val="DATE"/>
      <sheetName val="boq"/>
      <sheetName val="OSBL-TOTAL (OTHER WORK)"/>
      <sheetName val="OSBL-TOTAL (SEA WATER)"/>
      <sheetName val="OSBL-TOTAL (CIVIL WORK)"/>
      <sheetName val="3.현장배치"/>
      <sheetName val="현장배치"/>
      <sheetName val="유동표"/>
      <sheetName val="STG TR"/>
      <sheetName val="TYPE-A"/>
      <sheetName val="실행품의서"/>
      <sheetName val="h-013211-2"/>
      <sheetName val="Upgrades pricing"/>
      <sheetName val="DESIGN CRETERIA"/>
      <sheetName val="SE-611"/>
      <sheetName val="실행철강하도"/>
      <sheetName val="PRO_DCI"/>
      <sheetName val="YOEMAGUM"/>
      <sheetName val="기존구조물철거집계계표"/>
      <sheetName val="공사진행"/>
      <sheetName val="가BM"/>
      <sheetName val="시행예산"/>
      <sheetName val="플랜트 설치"/>
      <sheetName val="총체보활공정표"/>
      <sheetName val="단가비교표"/>
      <sheetName val="전기"/>
      <sheetName val="BQ"/>
      <sheetName val="Y-WORK"/>
      <sheetName val="수량집계"/>
      <sheetName val="총괄집계표"/>
      <sheetName val="투찰판"/>
      <sheetName val="표건"/>
      <sheetName val="기준액"/>
      <sheetName val="REDUCER"/>
      <sheetName val="WE'T"/>
      <sheetName val="공사비증감"/>
      <sheetName val="5.전사투자계획종함안"/>
      <sheetName val="pier(각형)"/>
      <sheetName val="건축내역서"/>
      <sheetName val="설비내역서"/>
      <sheetName val="전기내역서"/>
      <sheetName val="이름표"/>
      <sheetName val="안산기계장치"/>
      <sheetName val="실행(7월)"/>
      <sheetName val="지급어음"/>
      <sheetName val="cable-data"/>
      <sheetName val="A"/>
      <sheetName val="sort"/>
      <sheetName val="1.설계조건"/>
      <sheetName val="COPING"/>
      <sheetName val="TABLE2-1 ISBL(GENEAL-CIVIL)"/>
      <sheetName val="TABLE2-1 ISBL-(SlTE PREP)"/>
      <sheetName val="TABLE2.1 ISBL (Soil Invest)"/>
      <sheetName val="TABLE2-2 OSBL(GENERAL-CIVIL)"/>
      <sheetName val="교각(P1)수량"/>
      <sheetName val="지출결의서(1-3)"/>
      <sheetName val="인제내역"/>
      <sheetName val="갑지"/>
      <sheetName val="자료입력"/>
      <sheetName val="6PILE  (돌출)"/>
      <sheetName val="내역(원안-대안)"/>
      <sheetName val="일위대가"/>
      <sheetName val="조건"/>
      <sheetName val="공통비(전체)"/>
      <sheetName val="품의"/>
      <sheetName val="우각부보강"/>
      <sheetName val="JUCKEYK"/>
      <sheetName val="Rent Roll"/>
      <sheetName val="노원열병합  건축공사기성내역서"/>
      <sheetName val="개발비자산성검토"/>
      <sheetName val="밀"/>
      <sheetName val="노무비"/>
      <sheetName val="Ⅳ.1.KEY수입"/>
      <sheetName val="Ⅳ-4.수익총괄"/>
      <sheetName val="hp5월가격"/>
      <sheetName val="Template"/>
      <sheetName val="Initial Input Variable"/>
      <sheetName val="Assumptions"/>
      <sheetName val="tggwan(mac)"/>
      <sheetName val="2.대외공문"/>
      <sheetName val="표지"/>
      <sheetName val="견적서"/>
      <sheetName val="FAB별"/>
      <sheetName val="HDECGTY"/>
      <sheetName val="단자차입일별"/>
      <sheetName val="유가증권"/>
      <sheetName val="유가증권LS"/>
      <sheetName val="지역개발"/>
      <sheetName val="노임"/>
      <sheetName val="물가자료"/>
      <sheetName val="V-VESSEL (WITH DEMISTER)"/>
      <sheetName val="BM DATA SHEET"/>
      <sheetName val="간접비총괄"/>
      <sheetName val="세금자료"/>
      <sheetName val="총원가계산서(요율)"/>
      <sheetName val="발주현황"/>
      <sheetName val="별제권_정리담보권1"/>
      <sheetName val="C급보 "/>
      <sheetName val="공사개요"/>
      <sheetName val="참고"/>
      <sheetName val="내역서(전기)"/>
      <sheetName val="기계공사비집계(원안)"/>
      <sheetName val="RFP007"/>
      <sheetName val="갑지(추정)"/>
      <sheetName val="Area"/>
      <sheetName val="수량산출"/>
      <sheetName val="참조"/>
      <sheetName val="단가"/>
      <sheetName val="BM"/>
      <sheetName val="N賃率-職"/>
      <sheetName val="도급"/>
      <sheetName val="식재"/>
      <sheetName val="시설물"/>
      <sheetName val="식재출력용"/>
      <sheetName val="유지관리"/>
      <sheetName val="단가조사"/>
      <sheetName val="직영2"/>
      <sheetName val="전현장하자보수비"/>
      <sheetName val="민감도분석"/>
      <sheetName val="잡철물"/>
      <sheetName val="쌍송교"/>
      <sheetName val="과천MAIN"/>
      <sheetName val="97_사업추정(WEKI)1"/>
      <sheetName val="태화42_1"/>
      <sheetName val="공정표_"/>
      <sheetName val="96_12"/>
      <sheetName val="P_M_별"/>
      <sheetName val="7_기-검-보_100"/>
      <sheetName val="97년_SEACO예산"/>
      <sheetName val="steel_data_sheet"/>
      <sheetName val="운동장_(2)"/>
      <sheetName val="INPUT_DATA"/>
      <sheetName val="표지_(2)"/>
      <sheetName val="RCF_CLAIMED"/>
      <sheetName val="TOWER_12TON"/>
      <sheetName val="TOWER_10TON"/>
      <sheetName val="JIB_CRANE,HOIST"/>
      <sheetName val="G_R300경비"/>
      <sheetName val="BSD_(2)"/>
      <sheetName val="Sheet1_(2)"/>
      <sheetName val="A-8_PD(도로중앙)"/>
      <sheetName val="공사금액_내역_(1)"/>
      <sheetName val="01_가설-파일"/>
      <sheetName val="3_바닥판설계"/>
      <sheetName val="Tipo_Terzi"/>
      <sheetName val="화재_탐지_설비"/>
      <sheetName val="L형_옹벽"/>
      <sheetName val="주형"/>
      <sheetName val="인사자료총집계"/>
      <sheetName val="COA-17"/>
      <sheetName val="C-18"/>
      <sheetName val="산근"/>
      <sheetName val="설계내역서"/>
      <sheetName val="CTEMCOST"/>
      <sheetName val="노임이"/>
      <sheetName val="hGH정제"/>
      <sheetName val="Testing"/>
      <sheetName val="ELEC_DCI"/>
      <sheetName val="INST_DCI"/>
      <sheetName val="POWER"/>
      <sheetName val="PBS"/>
      <sheetName val="3BL공동구 수량"/>
      <sheetName val="공시지가"/>
      <sheetName val="회사정보"/>
      <sheetName val="지장물-181(2)"/>
      <sheetName val="Tenants"/>
      <sheetName val="토지조서"/>
      <sheetName val="Budget"/>
      <sheetName val="THEME CODE"/>
      <sheetName val="CR CODE"/>
      <sheetName val="부서CODE"/>
      <sheetName val="C3"/>
      <sheetName val="실행(표지,갑,을)"/>
      <sheetName val="98TSON4A"/>
      <sheetName val="잡철단가대비"/>
      <sheetName val="1.CB"/>
      <sheetName val="변수"/>
      <sheetName val="현금및현금등가물1"/>
      <sheetName val="코드"/>
      <sheetName val="nys"/>
      <sheetName val="교대(A1-A2)"/>
      <sheetName val="경제지표"/>
      <sheetName val="호프"/>
      <sheetName val="GAEYO"/>
      <sheetName val=" 태아터널 하도급 승계 공사비 대비표.xlsx"/>
      <sheetName val="실행대비"/>
      <sheetName val="out_prog"/>
      <sheetName val="선적schedule (2)"/>
      <sheetName val="C3.토목_옹벽"/>
      <sheetName val="A3.공사비 검토"/>
      <sheetName val="분당임차변경"/>
      <sheetName val="Schedule 2 and 3"/>
      <sheetName val="종전자산(8명 수정)"/>
      <sheetName val="INPUT"/>
      <sheetName val="마포토정"/>
      <sheetName val=""/>
    </sheetNames>
    <definedNames>
      <definedName name="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9년하반기"/>
      <sheetName val="97 사업추정(WEKI)"/>
      <sheetName val="우수"/>
      <sheetName val="태화42 "/>
      <sheetName val="97사업계"/>
      <sheetName val="본지점중"/>
      <sheetName val="주관사업"/>
      <sheetName val="ANALYSER"/>
      <sheetName val="STAND98"/>
      <sheetName val="1월"/>
      <sheetName val="3-구교-오리지날"/>
      <sheetName val="공통부대비"/>
      <sheetName val="구의33고"/>
      <sheetName val="COVER"/>
      <sheetName val="공정표 "/>
      <sheetName val="부속동"/>
      <sheetName val="10한빛"/>
      <sheetName val="장차입"/>
      <sheetName val="정산표"/>
      <sheetName val="대치판정"/>
      <sheetName val="비교1"/>
      <sheetName val="96.12"/>
      <sheetName val="조직표"/>
      <sheetName val="95년12월말"/>
      <sheetName val="주요공사"/>
      <sheetName val="직원동원SCH"/>
      <sheetName val="실적총괄"/>
      <sheetName val="환율"/>
      <sheetName val="TOEC"/>
      <sheetName val="steel data sheet"/>
      <sheetName val="INSTR"/>
      <sheetName val="최초침전지집계표"/>
      <sheetName val="97년 SEACO예산"/>
      <sheetName val="PSIZE"/>
      <sheetName val="7.기-검-보.100"/>
      <sheetName val="P.M 별"/>
      <sheetName val="OUT"/>
      <sheetName val="가설건물"/>
      <sheetName val="정부노임단가"/>
      <sheetName val="1NYS(당)"/>
      <sheetName val="우수공"/>
      <sheetName val="와동25-3(변경)"/>
      <sheetName val="유림골조"/>
      <sheetName val="청산공사"/>
      <sheetName val="하수급견적대비"/>
      <sheetName val="운동장 (2)"/>
      <sheetName val="월간보고"/>
      <sheetName val="INPUT DATA"/>
      <sheetName val="인원계획"/>
      <sheetName val="#REF"/>
      <sheetName val="고자현황"/>
      <sheetName val="P54"/>
      <sheetName val="001"/>
      <sheetName val="BID"/>
      <sheetName val="마케팅"/>
      <sheetName val="토목공사"/>
      <sheetName val="단가표"/>
      <sheetName val="98지급계획"/>
      <sheetName val="DPRKMHDT"/>
      <sheetName val="T기성9605"/>
      <sheetName val="당초"/>
      <sheetName val="04-D(1)"/>
      <sheetName val="입찰안"/>
      <sheetName val="표지 (2)"/>
      <sheetName val="간접1"/>
      <sheetName val="현장업무"/>
      <sheetName val="평균환율-USD"/>
      <sheetName val="ANX3A65"/>
      <sheetName val="Information"/>
      <sheetName val="01.가설-파일"/>
      <sheetName val="PRO_A"/>
      <sheetName val="DWG"/>
      <sheetName val="MAIN"/>
      <sheetName val="PRO"/>
      <sheetName val="eq_data"/>
      <sheetName val="WORKER"/>
      <sheetName val="DATA"/>
      <sheetName val="간접비(1)"/>
      <sheetName val="TOTAL"/>
      <sheetName val="RCF CLAIMED"/>
      <sheetName val="집계표"/>
      <sheetName val="유기공정"/>
      <sheetName val="광주운남을"/>
      <sheetName val="TOWER 12TON"/>
      <sheetName val="TOWER 10TON"/>
      <sheetName val="JIB CRANE,HOIST"/>
      <sheetName val="G.R300경비"/>
      <sheetName val="가도공"/>
      <sheetName val="대공종"/>
      <sheetName val="XL4Poppy"/>
      <sheetName val="3차설계"/>
      <sheetName val="단면검토"/>
      <sheetName val="설계조건"/>
      <sheetName val="사급자재"/>
      <sheetName val="ABUT수량-A1"/>
      <sheetName val="BSD (2)"/>
      <sheetName val="계정"/>
      <sheetName val="직원수당"/>
      <sheetName val="지급제한자"/>
      <sheetName val="공사비_NDE"/>
      <sheetName val="수입"/>
      <sheetName val="IBASE"/>
      <sheetName val="내역서"/>
      <sheetName val="CP-E1(MECEL배분)"/>
      <sheetName val="다이꾸"/>
      <sheetName val="시험장S자로가로등공사"/>
      <sheetName val="new급여T(4을-운전)"/>
      <sheetName val="Sheet4"/>
      <sheetName val="입사시직위"/>
      <sheetName val="Sheet1 (2)"/>
      <sheetName val="간접비내역-1"/>
      <sheetName val="Basis"/>
      <sheetName val="투입실적"/>
      <sheetName val="ITEM"/>
      <sheetName val="마산월령동골조물량변경"/>
      <sheetName val="SG"/>
      <sheetName val="골조물량"/>
      <sheetName val="EQT-ESTN"/>
      <sheetName val="공종목록표"/>
      <sheetName val="CAL"/>
      <sheetName val="IPS_0"/>
      <sheetName val="터널조도"/>
      <sheetName val="노임단가"/>
      <sheetName val="상세공정율표"/>
      <sheetName val="97_사업추정(WEKI)"/>
      <sheetName val="태화42_"/>
      <sheetName val="Tipo Terzi"/>
      <sheetName val="1차배부(JB포함)"/>
      <sheetName val="A-8 PD(도로중앙)"/>
      <sheetName val="투찰"/>
      <sheetName val="현황"/>
      <sheetName val="내역"/>
      <sheetName val="DHEQSUPT"/>
      <sheetName val="3.바닥판설계"/>
      <sheetName val="소화실적"/>
      <sheetName val="DESIGN CRETERIA"/>
      <sheetName val="UnitList"/>
      <sheetName val="공사금액 내역 (1)"/>
      <sheetName val="사업부배부A"/>
      <sheetName val="수주실적0709"/>
      <sheetName val="금액내역서"/>
      <sheetName val="CALCULATION"/>
      <sheetName val="CLASS-A"/>
      <sheetName val="유림총괄"/>
      <sheetName val="동결보온"/>
      <sheetName val="TABLE2-2 OSBL-(SITE PREP)"/>
      <sheetName val="Piping Design Data"/>
      <sheetName val="화재 탐지 설비"/>
      <sheetName val="001BA"/>
      <sheetName val="상반기손익차2총괄"/>
      <sheetName val="PLAN_FEB97"/>
      <sheetName val="Formulas"/>
      <sheetName val="96배수"/>
      <sheetName val="배수내역"/>
      <sheetName val="토공"/>
      <sheetName val="공량산출서"/>
      <sheetName val="Sheet6"/>
      <sheetName val="SCH"/>
      <sheetName val="01하반기노임"/>
      <sheetName val="L형 옹벽"/>
      <sheetName val="MOTOR"/>
      <sheetName val="ilch"/>
      <sheetName val="123"/>
      <sheetName val="소상 &quot;1&quot;"/>
      <sheetName val="980820"/>
      <sheetName val="DNT OSBL"/>
      <sheetName val="평형공사비"/>
      <sheetName val="수안보-MBR1"/>
      <sheetName val="h-013211-2"/>
      <sheetName val="PRO_DCI"/>
      <sheetName val="수량집계"/>
      <sheetName val="총괄집계표"/>
      <sheetName val="Cac Thong So "/>
      <sheetName val="참고(3)고정비"/>
      <sheetName val="DATE"/>
      <sheetName val="boq"/>
      <sheetName val="OSBL-TOTAL (OTHER WORK)"/>
      <sheetName val="OSBL-TOTAL (SEA WATER)"/>
      <sheetName val="OSBL-TOTAL (CIVIL WORK)"/>
      <sheetName val="3.현장배치"/>
      <sheetName val="현장배치"/>
      <sheetName val="유동표"/>
      <sheetName val="STG TR"/>
      <sheetName val="TYPE-A"/>
      <sheetName val="소특"/>
      <sheetName val="TYPE-B 평균H"/>
      <sheetName val="S0"/>
      <sheetName val="설계가"/>
      <sheetName val="Income Statement"/>
      <sheetName val="차액보증"/>
      <sheetName val="PILE길이산출(DRA)"/>
      <sheetName val="초과투입분"/>
      <sheetName val="실행품의서"/>
      <sheetName val="hvac(제어동)"/>
      <sheetName val="TARGET"/>
      <sheetName val="YOEMAGUM"/>
      <sheetName val="POOM_MOTO"/>
      <sheetName val="POOM_MOTO2"/>
      <sheetName val="남양주댠가표"/>
      <sheetName val="안전내역품의"/>
      <sheetName val="Project Brief"/>
      <sheetName val="기존구조물철거집계계표"/>
      <sheetName val="공사진행"/>
      <sheetName val="가BM"/>
      <sheetName val="시행예산"/>
      <sheetName val="플랜트 설치"/>
      <sheetName val="총체보활공정표"/>
      <sheetName val="전기"/>
      <sheetName val="단가비교표"/>
      <sheetName val="BQ"/>
      <sheetName val="Y-WORK"/>
      <sheetName val="실행철강하도"/>
      <sheetName val="SE-611"/>
      <sheetName val="투찰판"/>
      <sheetName val="표건"/>
      <sheetName val="Upgrades pricing"/>
      <sheetName val="기준액"/>
      <sheetName val="REDUCER"/>
      <sheetName val="WE'T"/>
      <sheetName val="공사비증감"/>
      <sheetName val="COPING"/>
      <sheetName val="이름표"/>
      <sheetName val="안산기계장치"/>
      <sheetName val="5.전사투자계획종함안"/>
      <sheetName val="TABLE2-1 ISBL(GENEAL-CIVIL)"/>
      <sheetName val="TABLE2-1 ISBL-(SlTE PREP)"/>
      <sheetName val="TABLE2.1 ISBL (Soil Invest)"/>
      <sheetName val="TABLE2-2 OSBL(GENERAL-CIVIL)"/>
      <sheetName val="실행(7월)"/>
      <sheetName val="pier(각형)"/>
      <sheetName val="인제내역"/>
      <sheetName val="건축내역서"/>
      <sheetName val="설비내역서"/>
      <sheetName val="전기내역서"/>
      <sheetName val="교각(P1)수량"/>
      <sheetName val="유가증권LS"/>
      <sheetName val="지급어음"/>
      <sheetName val="cable-data"/>
      <sheetName val="A"/>
      <sheetName val="sort"/>
      <sheetName val="1.설계조건"/>
      <sheetName val="내역(원안-대안)"/>
      <sheetName val="일위대가"/>
      <sheetName val="갑지"/>
      <sheetName val="지출결의서(1-3)"/>
      <sheetName val="자료입력"/>
      <sheetName val="JUCKEYK"/>
      <sheetName val="조건"/>
      <sheetName val="공통비(전체)"/>
      <sheetName val="Rent Roll"/>
      <sheetName val="노원열병합  건축공사기성내역서"/>
      <sheetName val="우각부보강"/>
      <sheetName val="6PILE  (돌출)"/>
      <sheetName val="품의"/>
      <sheetName val="표지"/>
      <sheetName val="견적서"/>
      <sheetName val="FAB별"/>
      <sheetName val="HDECGTY"/>
      <sheetName val="단자차입일별"/>
      <sheetName val="유가증권"/>
      <sheetName val="개발비자산성검토"/>
      <sheetName val="밀"/>
      <sheetName val="노무비"/>
      <sheetName val="Ⅳ.1.KEY수입"/>
      <sheetName val="Ⅳ-4.수익총괄"/>
      <sheetName val="hp5월가격"/>
      <sheetName val="Template"/>
      <sheetName val="Initial Input Variable"/>
      <sheetName val="Assumptions"/>
      <sheetName val="tggwan(mac)"/>
      <sheetName val="2.대외공문"/>
      <sheetName val="지역개발"/>
      <sheetName val="노임"/>
      <sheetName val="물가자료"/>
      <sheetName val="간접비총괄"/>
      <sheetName val="세금자료"/>
      <sheetName val="총원가계산서(요율)"/>
      <sheetName val="V-VESSEL (WITH DEMISTER)"/>
      <sheetName val="BM DATA SHEET"/>
      <sheetName val="발주현황"/>
      <sheetName val="공사개요"/>
      <sheetName val="참고"/>
      <sheetName val="별제권_정리담보권1"/>
      <sheetName val="C급보 "/>
      <sheetName val="갑지(추정)"/>
      <sheetName val="Area"/>
      <sheetName val="내역서(전기)"/>
      <sheetName val="기계공사비집계(원안)"/>
      <sheetName val="RFP007"/>
      <sheetName val="수량산출"/>
      <sheetName val="참조"/>
      <sheetName val="단가"/>
      <sheetName val="BM"/>
      <sheetName val="도급"/>
      <sheetName val="식재"/>
      <sheetName val="시설물"/>
      <sheetName val="식재출력용"/>
      <sheetName val="유지관리"/>
      <sheetName val="단가조사"/>
      <sheetName val="직영2"/>
      <sheetName val="N賃率-職"/>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TR"/>
      <sheetName val="IT-P"/>
      <sheetName val="SW6_CBE"/>
      <sheetName val="IT-P1"/>
      <sheetName val="IT-BAT"/>
      <sheetName val="Cover"/>
      <sheetName val="Pipe &amp; Fitting"/>
      <sheetName val="Tube &amp; Fitting"/>
      <sheetName val="Cable Tray"/>
      <sheetName val="Elec Conn"/>
      <sheetName val="cable"/>
      <sheetName val="Junction Box"/>
      <sheetName val="Support &amp; Misc."/>
      <sheetName val="IT_BAT"/>
      <sheetName val="BQ_Utl_Off"/>
      <sheetName val="9-1차이내역"/>
      <sheetName val="화재 탐지 설비"/>
      <sheetName val="목록"/>
      <sheetName val="중기"/>
      <sheetName val="Proposal"/>
      <sheetName val=" 갑지"/>
      <sheetName val="RFP002"/>
      <sheetName val="RFP003E"/>
      <sheetName val="터널조도"/>
      <sheetName val="견적집계"/>
      <sheetName val="자재단가"/>
      <sheetName val="영업소실적"/>
      <sheetName val="본지점중"/>
      <sheetName val="일위대가"/>
      <sheetName val="Sheet5"/>
      <sheetName val="INCHON"/>
      <sheetName val="sheet1"/>
      <sheetName val="원가계산서"/>
      <sheetName val="맨홀수량산출"/>
      <sheetName val="BACK DATA"/>
      <sheetName val="INSTR"/>
      <sheetName val="TTL"/>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Hauptdaten"/>
      <sheetName val="Lumen"/>
      <sheetName val="노임단가"/>
      <sheetName val="소화실적"/>
      <sheetName val="2공구산출내역"/>
      <sheetName val="일위대가목차"/>
      <sheetName val="WE'T"/>
      <sheetName val="BREAKDOWN(철거설치)"/>
      <sheetName val="뜃맟뭁돽띿맟?-BLDG"/>
      <sheetName val="IBASE"/>
      <sheetName val="#REF"/>
      <sheetName val="일위"/>
      <sheetName val="Data Sheet"/>
      <sheetName val="OUT"/>
      <sheetName val="입력값"/>
      <sheetName val="eq_data"/>
      <sheetName val="unit 4"/>
      <sheetName val="노임"/>
      <sheetName val="단가비교"/>
      <sheetName val="MixBed"/>
      <sheetName val="실행내역서_DCU_"/>
      <sheetName val="Pipe_&amp;_Fitting"/>
      <sheetName val="Tube_&amp;_Fitting"/>
      <sheetName val="Cable_Tray"/>
      <sheetName val="Elec_Conn"/>
      <sheetName val="Junction_Box"/>
      <sheetName val="Support_&amp;_Misc_"/>
      <sheetName val="화재_탐지_설비"/>
      <sheetName val="PLC B-M"/>
      <sheetName val="WOC95467"/>
      <sheetName val="LINE,UNIT 구분"/>
      <sheetName val="DANGA"/>
      <sheetName val="작업년월"/>
      <sheetName val="세부내역"/>
      <sheetName val="총괄표양식"/>
      <sheetName val="차량운영비"/>
      <sheetName val="E_Rate PM"/>
      <sheetName val="계측"/>
      <sheetName val="가열로SW"/>
      <sheetName val="내역서"/>
      <sheetName val="장비종합부표"/>
      <sheetName val="집계표_식재"/>
      <sheetName val="부표"/>
      <sheetName val="A-4"/>
      <sheetName val="ISOP"/>
      <sheetName val="Inst. Cable"/>
      <sheetName val="C급보 "/>
      <sheetName val="배수내역"/>
      <sheetName val="Q-7100-001"/>
      <sheetName val="summary"/>
      <sheetName val="MATERIAL BALANCE"/>
      <sheetName val="뜃맟뭁돽띿맟_-BLDG"/>
      <sheetName val="DRUM"/>
      <sheetName val="Summary Sheets"/>
      <sheetName val="DATA"/>
      <sheetName val="TOTAL 구매 내역"/>
      <sheetName val="10공구일위"/>
      <sheetName val="실행철강하도"/>
      <sheetName val="9GNG운반"/>
      <sheetName val="Sheet2"/>
      <sheetName val="투찰내역"/>
      <sheetName val="1,2공구원가계산서"/>
      <sheetName val="1공구산출내역서"/>
      <sheetName val="을지"/>
      <sheetName val="VA_code"/>
      <sheetName val="CP BACKDATA"/>
      <sheetName val="손익차9월2"/>
      <sheetName val="배수관공"/>
      <sheetName val="대치판정"/>
      <sheetName val="Cover sheet"/>
      <sheetName val="98TSON4A"/>
      <sheetName val="Total"/>
      <sheetName val="PRO_DCI"/>
      <sheetName val="NC(공사)입력"/>
      <sheetName val="2001년 예산"/>
      <sheetName val="RECIMAKE"/>
      <sheetName val="할증 "/>
      <sheetName val="_갑지"/>
      <sheetName val="BACK_DATA"/>
      <sheetName val="실행내역서 "/>
      <sheetName val="거래처계좌"/>
      <sheetName val="Hoja3"/>
      <sheetName val="Hoja2"/>
      <sheetName val="CondPol"/>
      <sheetName val="구동"/>
      <sheetName val="General Data"/>
      <sheetName val="PUF"/>
      <sheetName val="BREAKDOWN(신규설치)"/>
      <sheetName val="SUMMARY_철거"/>
      <sheetName val="Hot-Piping"/>
      <sheetName val="갑지(추정)"/>
      <sheetName val="차액보증"/>
      <sheetName val="여과지동"/>
      <sheetName val="기초자료"/>
      <sheetName val="프로젝트"/>
      <sheetName val="BATCH"/>
      <sheetName val="일위대가(1)"/>
      <sheetName val="1 OF 7"/>
      <sheetName val="PIPING"/>
      <sheetName val="CONT10"/>
      <sheetName val="충주"/>
      <sheetName val="Piping Design Data"/>
      <sheetName val="양수장(기계)"/>
      <sheetName val="실행(표지,갑,을)"/>
      <sheetName val="종배수관"/>
      <sheetName val="설계"/>
      <sheetName val="건축설비"/>
      <sheetName val="검토"/>
      <sheetName val=" 견적서"/>
      <sheetName val="간지"/>
      <sheetName val="VLOOKUP"/>
      <sheetName val="PRC-SUM"/>
      <sheetName val="Pipe_&amp;_Fitting1"/>
      <sheetName val="Tube_&amp;_Fitting1"/>
      <sheetName val="Cable_Tray1"/>
      <sheetName val="Elec_Conn1"/>
      <sheetName val="Junction_Box1"/>
      <sheetName val="Support_&amp;_Misc_1"/>
      <sheetName val="화재_탐지_설비1"/>
      <sheetName val="_갑지1"/>
      <sheetName val="단가비교(TOTAL)"/>
      <sheetName val="ANX3A65"/>
      <sheetName val="TWO PASS"/>
      <sheetName val="THREE PASS"/>
      <sheetName val="pri-com"/>
      <sheetName val="전등설비"/>
      <sheetName val="일일공정보고(안)"/>
      <sheetName val="SENSOR LIST"/>
      <sheetName val="부대내역"/>
      <sheetName val="Raw Data"/>
      <sheetName val="BQ"/>
      <sheetName val="CAT_5"/>
      <sheetName val="가중치 종합"/>
      <sheetName val="SHL"/>
      <sheetName val="을"/>
      <sheetName val="Pipe"/>
      <sheetName val="단가산"/>
      <sheetName val="본사인상전"/>
      <sheetName val="Power Detailed"/>
      <sheetName val="갑지1"/>
      <sheetName val="연부97-1"/>
      <sheetName val="PRICE-COMP"/>
      <sheetName val="기본설계기준"/>
      <sheetName val="POWER"/>
      <sheetName val="대공종"/>
      <sheetName val="산근"/>
      <sheetName val="Royalty"/>
      <sheetName val="Stack"/>
      <sheetName val="열계산"/>
      <sheetName val="5.소재"/>
      <sheetName val="SAN"/>
      <sheetName val="설비비4"/>
      <sheetName val="NOMUBI"/>
      <sheetName val="sw1"/>
      <sheetName val="SHEET 19"/>
      <sheetName val="실행내역서(DCU)"/>
      <sheetName val="산수배수"/>
      <sheetName val="TYPE-B 평균H"/>
      <sheetName val="BOQ"/>
      <sheetName val="Insts"/>
      <sheetName val="COVER-P"/>
      <sheetName val="DATE"/>
      <sheetName val="Sheet6"/>
      <sheetName val="Inst Matl Table"/>
      <sheetName val="Inst_Type"/>
      <sheetName val="WBS"/>
      <sheetName val="Pag. 1"/>
      <sheetName val="Farmtrac(Long)"/>
      <sheetName val="세계지역"/>
      <sheetName val="Export(특수운송)"/>
      <sheetName val="Piping(Methanol)"/>
      <sheetName val="RFP003 CIVIL"/>
      <sheetName val="SILICATE"/>
      <sheetName val="보온자재단가표"/>
      <sheetName val="Flaer_Area"/>
      <sheetName val="C급보_"/>
      <sheetName val="MEDIUM Balance"/>
      <sheetName val="FG1500"/>
      <sheetName val="FGHIGH"/>
      <sheetName val="Instructions"/>
      <sheetName val="V-VESSEL (WITH DEMISTER)"/>
      <sheetName val="데이타"/>
      <sheetName val="UC"/>
      <sheetName val="설계서"/>
      <sheetName val="예산서"/>
      <sheetName val="총공사비"/>
      <sheetName val="개요"/>
      <sheetName val="주소"/>
      <sheetName val="포장"/>
      <sheetName val="out_prog"/>
      <sheetName val="선적schedule (2)"/>
      <sheetName val="2001~2002"/>
      <sheetName val="단가조사서"/>
      <sheetName val="총계"/>
      <sheetName val="Motor"/>
      <sheetName val="steam table"/>
      <sheetName val="Load Sum"/>
      <sheetName val="CABLE SCH(process)"/>
      <sheetName val="D-RMIL"/>
      <sheetName val="부하LOAD"/>
      <sheetName val="11.자재단가"/>
      <sheetName val="8.수량산출 (2)"/>
      <sheetName val="B"/>
      <sheetName val="5.전사투자계획종함안"/>
      <sheetName val="집계표"/>
      <sheetName val="수로접합"/>
      <sheetName val="97 사업추정(WEKI)"/>
      <sheetName val="OD5000"/>
      <sheetName val="견적집계표"/>
      <sheetName val="Table"/>
      <sheetName val="여비"/>
      <sheetName val="견"/>
      <sheetName val="FA9902"/>
      <sheetName val="MEASURE LIST"/>
      <sheetName val="Testing"/>
      <sheetName val="Reference"/>
      <sheetName val="Instrument List"/>
      <sheetName val="SPEC-DT2"/>
      <sheetName val="BM Total"/>
      <sheetName val="MEXICO-C"/>
      <sheetName val="Spare"/>
      <sheetName val="UOP 508 PG 5-12"/>
      <sheetName val="UOP 508 PG 2-9"/>
      <sheetName val="TABLE2-2 OSBL-(SITE PREP)"/>
      <sheetName val="전기내역"/>
      <sheetName val="2. 집계표"/>
      <sheetName val="품셈"/>
      <sheetName val="PI"/>
      <sheetName val="RD제품개발투자비(매가)"/>
      <sheetName val="Receipts"/>
      <sheetName val="상용_mp"/>
      <sheetName val="기계"/>
      <sheetName val="ORIGN"/>
      <sheetName val="비교원RD-S"/>
      <sheetName val="계실5-1"/>
      <sheetName val="BS"/>
      <sheetName val="CALCULATION"/>
      <sheetName val="1을"/>
      <sheetName val="PipWT"/>
      <sheetName val="LINE_LIST"/>
      <sheetName val="설계예산서"/>
      <sheetName val="예산내역서"/>
      <sheetName val="TIE-INS"/>
      <sheetName val="MEDIUM_Balance"/>
      <sheetName val="V-VESSEL_(WITH_DEMISTER)"/>
      <sheetName val="MEDIUM_Balance1"/>
      <sheetName val="FAB별"/>
      <sheetName val="30万表三"/>
      <sheetName val="定额"/>
      <sheetName val="CM 1"/>
      <sheetName val="45,46"/>
      <sheetName val="CF Rev.0"/>
      <sheetName val="C3"/>
      <sheetName val="TNK12"/>
      <sheetName val="당초"/>
      <sheetName val="수금 일정"/>
      <sheetName val="산출내역서"/>
      <sheetName val="FWBS7000,8000"/>
      <sheetName val="ANALYSER"/>
      <sheetName val="BOM_DWG"/>
      <sheetName val="WORK"/>
      <sheetName val="Factor"/>
      <sheetName val="Sheet3"/>
      <sheetName val="공량산출서"/>
      <sheetName val="단가표"/>
      <sheetName val="직재"/>
      <sheetName val="가시설단위수량"/>
      <sheetName val="하수급견적대비"/>
      <sheetName val="공사비증감"/>
      <sheetName val="TYPE-A"/>
      <sheetName val="CTEMCOST"/>
      <sheetName val="BEND LOSS"/>
      <sheetName val="재료값"/>
      <sheetName val="정부노임단가"/>
      <sheetName val="입찰안"/>
      <sheetName val="갑지"/>
      <sheetName val="Price"/>
      <sheetName val="시운전연료"/>
      <sheetName val="HRD"/>
      <sheetName val="98지급계획"/>
      <sheetName val="조건"/>
      <sheetName val="MACRO(MCC)"/>
      <sheetName val="PRC_BDWN-99"/>
      <sheetName val="공사비 내역 (가)"/>
      <sheetName val="LOG"/>
      <sheetName val="TEAM하반기 계획 (2)"/>
      <sheetName val="BACK_DATA1"/>
      <sheetName val="unit_4"/>
      <sheetName val="Data_Sheet"/>
      <sheetName val="할증_"/>
      <sheetName val="PLC_B-M"/>
      <sheetName val="실행내역서_"/>
      <sheetName val="LINE,UNIT_구분"/>
      <sheetName val="TOTAL_구매_내역"/>
      <sheetName val="Piping_Design_Data"/>
      <sheetName val="MATERIAL_BALANCE"/>
      <sheetName val="_견적서"/>
      <sheetName val="1_OF_7"/>
      <sheetName val="2001년_예산"/>
      <sheetName val="TYPE-B_평균H"/>
      <sheetName val="선적schedule_(2)"/>
      <sheetName val="Pag__1"/>
      <sheetName val="5_소재"/>
      <sheetName val="E_Rate_PM"/>
      <sheetName val="Inst__Cable"/>
      <sheetName val="CP_BACKDATA"/>
      <sheetName val="SHEET_19"/>
      <sheetName val="Summary_Sheets"/>
      <sheetName val="Cover_sheet"/>
      <sheetName val="Power_Detailed"/>
      <sheetName val="Inst_Matl_Table"/>
      <sheetName val="SENSOR_LIST"/>
      <sheetName val="정부노임"/>
      <sheetName val="기본"/>
      <sheetName val="공사내역"/>
      <sheetName val="공정별계획(생산,발송)"/>
      <sheetName val="내역서 "/>
      <sheetName val="산#3-2-2"/>
      <sheetName val="당초명세(평)"/>
      <sheetName val="용선 C.L"/>
      <sheetName val="CODE"/>
      <sheetName val="Other Testing"/>
      <sheetName val="表三甲"/>
      <sheetName val="Formulation(#21)"/>
      <sheetName val="CSF #21"/>
      <sheetName val="Solvent Characteristics"/>
      <sheetName val="견적 집계"/>
      <sheetName val="중동상가"/>
      <sheetName val="관급"/>
      <sheetName val="빌딩 안내"/>
      <sheetName val="1-7(재가공내역)"/>
      <sheetName val="견적정보"/>
      <sheetName val="7.경제성결과"/>
      <sheetName val="운항율"/>
      <sheetName val="원하대비"/>
      <sheetName val="원도급"/>
      <sheetName val="하도급"/>
      <sheetName val="3.바닥판설계"/>
      <sheetName val="1호인버트수량"/>
      <sheetName val="위생설비"/>
      <sheetName val="계산근거"/>
      <sheetName val="UTIL(SORT)"/>
      <sheetName val="오름차순"/>
      <sheetName val="주간계획"/>
      <sheetName val="Sheet12"/>
      <sheetName val="환율change"/>
      <sheetName val="경산"/>
      <sheetName val="npv"/>
      <sheetName val="건축공사"/>
      <sheetName val="실행비교"/>
      <sheetName val="매입세율"/>
      <sheetName val="공사개요"/>
      <sheetName val="방수"/>
      <sheetName val="현장업무"/>
      <sheetName val="2__집계표2"/>
      <sheetName val="Pipe_&amp;_Fitting3"/>
      <sheetName val="Tube_&amp;_Fitting3"/>
      <sheetName val="Cable_Tray3"/>
      <sheetName val="Elec_Conn3"/>
      <sheetName val="Junction_Box3"/>
      <sheetName val="Support_&amp;_Misc_3"/>
      <sheetName val="화재_탐지_설비3"/>
      <sheetName val="_갑지3"/>
      <sheetName val="BACK_DATA2"/>
      <sheetName val="Data_Sheet2"/>
      <sheetName val="2001년_예산2"/>
      <sheetName val="2__집계표"/>
      <sheetName val="2__집계표1"/>
      <sheetName val="Pipe_&amp;_Fitting2"/>
      <sheetName val="Tube_&amp;_Fitting2"/>
      <sheetName val="Cable_Tray2"/>
      <sheetName val="Elec_Conn2"/>
      <sheetName val="Junction_Box2"/>
      <sheetName val="Support_&amp;_Misc_2"/>
      <sheetName val="화재_탐지_설비2"/>
      <sheetName val="_갑지2"/>
      <sheetName val="Data_Sheet1"/>
      <sheetName val="2001년_예산1"/>
      <sheetName val="2__집계표3"/>
      <sheetName val="Pipe_&amp;_Fitting4"/>
      <sheetName val="Tube_&amp;_Fitting4"/>
      <sheetName val="Cable_Tray4"/>
      <sheetName val="Elec_Conn4"/>
      <sheetName val="Junction_Box4"/>
      <sheetName val="Support_&amp;_Misc_4"/>
      <sheetName val="화재_탐지_설비4"/>
      <sheetName val="_갑지4"/>
      <sheetName val="BACK_DATA3"/>
      <sheetName val="Data_Sheet3"/>
      <sheetName val="2001년_예산3"/>
      <sheetName val="BM "/>
      <sheetName val="도"/>
      <sheetName val="금융비용"/>
      <sheetName val="HCCE01"/>
      <sheetName val="당진1,2호기전선관설치및접지4차공사내역서-을지"/>
      <sheetName val="ﾄﾞﾊﾞｲFUEL GAS追見"/>
      <sheetName val="INS"/>
      <sheetName val="MED. TOTAL"/>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1 9.98"/>
      <sheetName val="VC2 9.98"/>
      <sheetName val="Value Calculation"/>
      <sheetName val="Appx A - Lab &amp; Matl Manifest"/>
      <sheetName val="Appx B -  Materials"/>
      <sheetName val="Appx C - Additional Value"/>
      <sheetName val="Appendix 3 - U&amp;O"/>
      <sheetName val="Appendix 9 - Residual Values"/>
      <sheetName val="Plant VALUE"/>
      <sheetName val="Overhead VALUE"/>
      <sheetName val="영업소실적"/>
      <sheetName val="VC1&amp;2 C5248D 9.98"/>
      <sheetName val="OUT"/>
      <sheetName val="Schedule 2 and 3"/>
      <sheetName val="BOND1"/>
      <sheetName val="COVERSHEET PAGE"/>
      <sheetName val="IT-BAT"/>
      <sheetName val="공사집계"/>
      <sheetName val="간접인원 급료산출"/>
    </sheetNames>
    <sheetDataSet>
      <sheetData sheetId="0" refreshError="1"/>
      <sheetData sheetId="1" refreshError="1">
        <row r="191">
          <cell r="BP191" t="str">
            <v>New</v>
          </cell>
          <cell r="BQ191" t="str">
            <v>Edit</v>
          </cell>
          <cell r="BR191" t="str">
            <v>VOP+MOS</v>
          </cell>
        </row>
        <row r="192">
          <cell r="BP192" t="str">
            <v>Create new report</v>
          </cell>
          <cell r="BQ192" t="str">
            <v>Edit existing report</v>
          </cell>
          <cell r="BR192" t="str">
            <v>Enter cumulative totals for VOP and MOS certified by cost code</v>
          </cell>
        </row>
        <row r="193">
          <cell r="BP193" t="str">
            <v>{GOTO}HOME1~{RIGHT 2}{DOWN 3}{WINDOWSOFF}{PANELOFF}</v>
          </cell>
          <cell r="BQ193" t="str">
            <v>{\R}{WINDOWSOFF}{PANELOFF}</v>
          </cell>
          <cell r="BR193" t="str">
            <v>{\W}</v>
          </cell>
        </row>
        <row r="194">
          <cell r="BP194" t="str">
            <v>{GETNUMBER "Contract period elapsed to date (months)  ",PED}</v>
          </cell>
          <cell r="BQ194" t="str">
            <v>{HOME}{RIGHT 12}{LEFT 3}{DOWN}</v>
          </cell>
        </row>
        <row r="195">
          <cell r="BP195" t="str">
            <v>{GETNUMBER "Enter new cost period end year (eg. 94)  ",$NEWYEAR}</v>
          </cell>
          <cell r="BQ195" t="str">
            <v>{WINDOWSON}{PANELON}</v>
          </cell>
        </row>
        <row r="196">
          <cell r="BP196" t="str">
            <v>{GETNUMBER "Enter new cost period end month (eg. 6)  ",$NEWMONTH}</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re"/>
      <sheetName val="Conseil"/>
      <sheetName val="Heures"/>
      <sheetName val="Valorisation"/>
      <sheetName val="Taux"/>
      <sheetName val="Macro"/>
      <sheetName val="사기도장"/>
      <sheetName val="Backup"/>
      <sheetName val="Final(1)summary"/>
      <sheetName val="LEGEND"/>
      <sheetName val="간선계산"/>
      <sheetName val="Architecture Work"/>
      <sheetName val="M_F"/>
      <sheetName val="PIPE-HOT"/>
      <sheetName val="Resource"/>
      <sheetName val="POWER"/>
      <sheetName val="TOTAL"/>
      <sheetName val="Equipment"/>
      <sheetName val="소특"/>
      <sheetName val="BQ List"/>
      <sheetName val="자동제어"/>
      <sheetName val="Thermal_Conductivity"/>
      <sheetName val="Progress"/>
      <sheetName val="#REF"/>
      <sheetName val="A"/>
      <sheetName val="sbdg2002"/>
      <sheetName val="IBASE"/>
      <sheetName val="Man_P"/>
      <sheetName val="Plan_data"/>
      <sheetName val="General Data"/>
      <sheetName val="Base_Data"/>
      <sheetName val="wage"/>
      <sheetName val="indirect"/>
      <sheetName val="indvehcost"/>
      <sheetName val="mantable"/>
      <sheetName val="direct"/>
      <sheetName val="sheeet2"/>
      <sheetName val="Basic_Info"/>
      <sheetName val="Master"/>
      <sheetName val="TOEC"/>
      <sheetName val="집계표"/>
      <sheetName val="Summary Sheets"/>
      <sheetName val="Final_1_summary"/>
      <sheetName val="Architecture_Work"/>
      <sheetName val="General_Data"/>
      <sheetName val="경비집계"/>
    </sheetNames>
    <sheetDataSet>
      <sheetData sheetId="0" refreshError="1"/>
      <sheetData sheetId="1" refreshError="1"/>
      <sheetData sheetId="2" refreshError="1"/>
      <sheetData sheetId="3" refreshError="1"/>
      <sheetData sheetId="4" refreshError="1">
        <row r="13">
          <cell r="C13" t="str">
            <v>SCE</v>
          </cell>
          <cell r="D13" t="str">
            <v>INTITULE</v>
          </cell>
          <cell r="E13" t="str">
            <v>ETAB</v>
          </cell>
          <cell r="F13" t="str">
            <v>CI PARIS</v>
          </cell>
          <cell r="G13" t="str">
            <v>CI LYON</v>
          </cell>
          <cell r="H13" t="str">
            <v>CSI PARIS</v>
          </cell>
          <cell r="I13" t="str">
            <v>CSI LYON</v>
          </cell>
          <cell r="J13" t="str">
            <v>Ext CSI PARIS</v>
          </cell>
          <cell r="K13" t="str">
            <v>Ext CSI LYON</v>
          </cell>
        </row>
        <row r="14">
          <cell r="C14" t="str">
            <v>110</v>
          </cell>
          <cell r="D14" t="str">
            <v>Direction Générale et Comité de Direction</v>
          </cell>
          <cell r="F14">
            <v>0</v>
          </cell>
          <cell r="G14">
            <v>0</v>
          </cell>
          <cell r="H14">
            <v>0</v>
          </cell>
          <cell r="I14">
            <v>0</v>
          </cell>
        </row>
        <row r="15">
          <cell r="C15" t="str">
            <v>142</v>
          </cell>
          <cell r="D15" t="str">
            <v>Contrôle de Gestion, Budget</v>
          </cell>
          <cell r="F15">
            <v>0</v>
          </cell>
          <cell r="G15">
            <v>0</v>
          </cell>
          <cell r="H15">
            <v>0</v>
          </cell>
          <cell r="I15">
            <v>0</v>
          </cell>
        </row>
        <row r="16">
          <cell r="C16" t="str">
            <v>143</v>
          </cell>
          <cell r="D16" t="str">
            <v>Contrôle des Coûts &amp; Risques</v>
          </cell>
          <cell r="F16">
            <v>63.09</v>
          </cell>
          <cell r="G16">
            <v>63.09</v>
          </cell>
          <cell r="H16">
            <v>43.78</v>
          </cell>
          <cell r="I16">
            <v>43.78</v>
          </cell>
        </row>
        <row r="17">
          <cell r="C17" t="str">
            <v>144</v>
          </cell>
          <cell r="D17" t="str">
            <v>Filiales et Participations</v>
          </cell>
          <cell r="F17">
            <v>0</v>
          </cell>
          <cell r="G17">
            <v>0</v>
          </cell>
          <cell r="H17">
            <v>0</v>
          </cell>
          <cell r="I17">
            <v>0</v>
          </cell>
        </row>
        <row r="18">
          <cell r="C18" t="str">
            <v>145</v>
          </cell>
          <cell r="D18" t="str">
            <v>Chargés de Mission, DCC</v>
          </cell>
          <cell r="F18">
            <v>0</v>
          </cell>
          <cell r="G18">
            <v>0</v>
          </cell>
          <cell r="H18">
            <v>0</v>
          </cell>
          <cell r="I18">
            <v>0</v>
          </cell>
        </row>
        <row r="19">
          <cell r="C19" t="str">
            <v>146</v>
          </cell>
          <cell r="D19" t="str">
            <v>Audit Groupe</v>
          </cell>
          <cell r="F19">
            <v>0</v>
          </cell>
          <cell r="G19">
            <v>0</v>
          </cell>
          <cell r="H19">
            <v>0</v>
          </cell>
          <cell r="I19">
            <v>0</v>
          </cell>
        </row>
        <row r="20">
          <cell r="C20" t="str">
            <v>151</v>
          </cell>
          <cell r="D20" t="str">
            <v>Maitrise Qualité &amp; Prév. Risques</v>
          </cell>
          <cell r="F20">
            <v>91.06</v>
          </cell>
          <cell r="G20">
            <v>91.06</v>
          </cell>
          <cell r="H20">
            <v>63.19</v>
          </cell>
          <cell r="I20">
            <v>63.19</v>
          </cell>
        </row>
        <row r="21">
          <cell r="C21" t="str">
            <v>161</v>
          </cell>
          <cell r="D21" t="str">
            <v>Gestion des Ressources Humaines</v>
          </cell>
          <cell r="F21">
            <v>0</v>
          </cell>
          <cell r="G21">
            <v>0</v>
          </cell>
          <cell r="H21">
            <v>0</v>
          </cell>
          <cell r="I21">
            <v>0</v>
          </cell>
        </row>
        <row r="22">
          <cell r="C22" t="str">
            <v>162</v>
          </cell>
          <cell r="D22" t="str">
            <v>Gestion Documentaire</v>
          </cell>
          <cell r="E22" t="str">
            <v>Lyon Inclus 165</v>
          </cell>
          <cell r="F22">
            <v>0</v>
          </cell>
          <cell r="G22">
            <v>0</v>
          </cell>
          <cell r="H22">
            <v>0</v>
          </cell>
          <cell r="I22">
            <v>0</v>
          </cell>
        </row>
        <row r="23">
          <cell r="C23" t="str">
            <v>163</v>
          </cell>
          <cell r="D23" t="str">
            <v>Traductions</v>
          </cell>
          <cell r="F23">
            <v>62.7</v>
          </cell>
          <cell r="G23">
            <v>62.7</v>
          </cell>
          <cell r="H23">
            <v>43.51</v>
          </cell>
          <cell r="I23">
            <v>43.51</v>
          </cell>
        </row>
        <row r="24">
          <cell r="C24" t="str">
            <v>165</v>
          </cell>
          <cell r="D24" t="str">
            <v>Infrastructure et Logistique</v>
          </cell>
          <cell r="F24">
            <v>0</v>
          </cell>
          <cell r="G24">
            <v>0</v>
          </cell>
          <cell r="H24">
            <v>0</v>
          </cell>
          <cell r="I24">
            <v>0</v>
          </cell>
        </row>
        <row r="25">
          <cell r="C25" t="str">
            <v>166</v>
          </cell>
          <cell r="D25" t="str">
            <v>Communication</v>
          </cell>
          <cell r="F25">
            <v>0</v>
          </cell>
          <cell r="G25">
            <v>0</v>
          </cell>
          <cell r="H25">
            <v>0</v>
          </cell>
          <cell r="I25">
            <v>0</v>
          </cell>
        </row>
        <row r="26">
          <cell r="C26" t="str">
            <v>167</v>
          </cell>
          <cell r="D26" t="str">
            <v>Assemblage Montage Documents</v>
          </cell>
          <cell r="E26" t="str">
            <v>Lyon Inclus 165</v>
          </cell>
          <cell r="F26">
            <v>38.92</v>
          </cell>
          <cell r="G26">
            <v>0</v>
          </cell>
          <cell r="H26">
            <v>27.01</v>
          </cell>
          <cell r="I26">
            <v>0</v>
          </cell>
        </row>
        <row r="27">
          <cell r="C27" t="str">
            <v>168</v>
          </cell>
          <cell r="D27" t="str">
            <v>Reprographie</v>
          </cell>
          <cell r="E27" t="str">
            <v>Lyon Inclus 165</v>
          </cell>
          <cell r="F27">
            <v>0</v>
          </cell>
          <cell r="G27">
            <v>0</v>
          </cell>
          <cell r="H27">
            <v>0</v>
          </cell>
          <cell r="I27">
            <v>0</v>
          </cell>
        </row>
        <row r="28">
          <cell r="C28" t="str">
            <v>176</v>
          </cell>
          <cell r="D28" t="str">
            <v>Elèves apprentis</v>
          </cell>
          <cell r="F28">
            <v>0</v>
          </cell>
          <cell r="G28">
            <v>0</v>
          </cell>
          <cell r="H28">
            <v>0</v>
          </cell>
          <cell r="I28">
            <v>0</v>
          </cell>
        </row>
        <row r="29">
          <cell r="C29" t="str">
            <v>177</v>
          </cell>
          <cell r="D29" t="str">
            <v>Détachés au C.E. Paris/Lyon</v>
          </cell>
          <cell r="F29">
            <v>0</v>
          </cell>
          <cell r="G29">
            <v>0</v>
          </cell>
          <cell r="H29">
            <v>0</v>
          </cell>
          <cell r="I29">
            <v>0</v>
          </cell>
        </row>
        <row r="30">
          <cell r="C30" t="str">
            <v>179</v>
          </cell>
          <cell r="D30" t="str">
            <v>Stagiaires école</v>
          </cell>
          <cell r="F30">
            <v>0</v>
          </cell>
          <cell r="G30">
            <v>0</v>
          </cell>
          <cell r="H30">
            <v>0</v>
          </cell>
          <cell r="I30">
            <v>0</v>
          </cell>
        </row>
        <row r="31">
          <cell r="C31" t="str">
            <v>180</v>
          </cell>
          <cell r="D31" t="str">
            <v>Projets Industriels</v>
          </cell>
          <cell r="F31">
            <v>0</v>
          </cell>
          <cell r="G31">
            <v>0</v>
          </cell>
          <cell r="H31">
            <v>0</v>
          </cell>
          <cell r="I31">
            <v>0</v>
          </cell>
        </row>
        <row r="32">
          <cell r="C32" t="str">
            <v>182</v>
          </cell>
          <cell r="D32" t="str">
            <v>Procédés &amp; Ingéniérie Ciment</v>
          </cell>
          <cell r="F32">
            <v>0</v>
          </cell>
          <cell r="G32">
            <v>0</v>
          </cell>
          <cell r="H32">
            <v>0</v>
          </cell>
          <cell r="I32">
            <v>0</v>
          </cell>
        </row>
        <row r="33">
          <cell r="C33" t="str">
            <v>184</v>
          </cell>
          <cell r="D33" t="str">
            <v>Equipements Propriétaires Ciment</v>
          </cell>
          <cell r="F33">
            <v>0</v>
          </cell>
          <cell r="G33">
            <v>0</v>
          </cell>
          <cell r="H33">
            <v>0</v>
          </cell>
          <cell r="I33">
            <v>0</v>
          </cell>
        </row>
        <row r="34">
          <cell r="C34" t="str">
            <v>187</v>
          </cell>
          <cell r="D34" t="str">
            <v>Industries de Transformation</v>
          </cell>
          <cell r="F34">
            <v>0</v>
          </cell>
          <cell r="G34">
            <v>0</v>
          </cell>
          <cell r="H34">
            <v>0</v>
          </cell>
          <cell r="I34">
            <v>0</v>
          </cell>
        </row>
        <row r="35">
          <cell r="C35" t="str">
            <v>191</v>
          </cell>
          <cell r="D35" t="str">
            <v>UCP (Moyen-Orient, Pakistan, Inde)</v>
          </cell>
          <cell r="F35">
            <v>100.85</v>
          </cell>
          <cell r="G35">
            <v>100.85</v>
          </cell>
          <cell r="H35">
            <v>69.98</v>
          </cell>
          <cell r="I35">
            <v>69.98</v>
          </cell>
        </row>
        <row r="36">
          <cell r="C36" t="str">
            <v>195</v>
          </cell>
          <cell r="D36" t="str">
            <v>Advanced Systems Engineering (Ase)</v>
          </cell>
          <cell r="F36">
            <v>85.04</v>
          </cell>
          <cell r="G36">
            <v>85.04</v>
          </cell>
          <cell r="H36">
            <v>59.01</v>
          </cell>
          <cell r="I36">
            <v>59.01</v>
          </cell>
        </row>
        <row r="37">
          <cell r="C37" t="str">
            <v>215</v>
          </cell>
          <cell r="D37" t="str">
            <v>Direction Upstream</v>
          </cell>
          <cell r="F37">
            <v>79.41</v>
          </cell>
          <cell r="G37">
            <v>79.41</v>
          </cell>
          <cell r="H37">
            <v>55.1</v>
          </cell>
          <cell r="I37">
            <v>55.1</v>
          </cell>
        </row>
        <row r="38">
          <cell r="C38" t="str">
            <v>216</v>
          </cell>
          <cell r="D38" t="str">
            <v>Propositions Upstream</v>
          </cell>
          <cell r="F38">
            <v>65.11</v>
          </cell>
          <cell r="G38">
            <v>65.11</v>
          </cell>
          <cell r="H38">
            <v>45.18</v>
          </cell>
          <cell r="I38">
            <v>45.18</v>
          </cell>
        </row>
        <row r="39">
          <cell r="C39" t="str">
            <v>217</v>
          </cell>
          <cell r="D39" t="str">
            <v>Commercial Upstream</v>
          </cell>
          <cell r="F39">
            <v>86.29</v>
          </cell>
          <cell r="G39">
            <v>86.29</v>
          </cell>
          <cell r="H39">
            <v>59.88</v>
          </cell>
          <cell r="I39">
            <v>59.88</v>
          </cell>
        </row>
        <row r="40">
          <cell r="C40" t="str">
            <v>218</v>
          </cell>
          <cell r="D40" t="str">
            <v>LNG</v>
          </cell>
          <cell r="F40">
            <v>119.35</v>
          </cell>
          <cell r="G40">
            <v>119.35</v>
          </cell>
          <cell r="H40">
            <v>82.82</v>
          </cell>
          <cell r="I40">
            <v>82.82</v>
          </cell>
        </row>
        <row r="41">
          <cell r="C41" t="str">
            <v>219</v>
          </cell>
          <cell r="D41" t="str">
            <v>Branch Technip-CSO</v>
          </cell>
          <cell r="F41">
            <v>45.08</v>
          </cell>
          <cell r="G41">
            <v>45.08</v>
          </cell>
          <cell r="H41">
            <v>31.28</v>
          </cell>
          <cell r="I41">
            <v>31.28</v>
          </cell>
        </row>
        <row r="42">
          <cell r="C42" t="str">
            <v>224</v>
          </cell>
          <cell r="D42" t="str">
            <v>Personnel Détaché  Filiales</v>
          </cell>
          <cell r="E42" t="str">
            <v>Service Hors Siège</v>
          </cell>
          <cell r="F42">
            <v>0</v>
          </cell>
          <cell r="G42">
            <v>0</v>
          </cell>
          <cell r="H42">
            <v>0</v>
          </cell>
          <cell r="I42">
            <v>0</v>
          </cell>
        </row>
        <row r="43">
          <cell r="C43" t="str">
            <v>228</v>
          </cell>
          <cell r="D43" t="str">
            <v>Dirigeants Détachés Filiales</v>
          </cell>
          <cell r="E43" t="str">
            <v>Service Hors Siège</v>
          </cell>
          <cell r="F43">
            <v>0</v>
          </cell>
          <cell r="G43">
            <v>0</v>
          </cell>
          <cell r="H43">
            <v>0</v>
          </cell>
          <cell r="I43">
            <v>0</v>
          </cell>
        </row>
        <row r="44">
          <cell r="C44" t="str">
            <v>232</v>
          </cell>
          <cell r="D44" t="str">
            <v>Financement</v>
          </cell>
          <cell r="F44">
            <v>0</v>
          </cell>
          <cell r="G44">
            <v>0</v>
          </cell>
          <cell r="H44">
            <v>0</v>
          </cell>
          <cell r="I44">
            <v>0</v>
          </cell>
        </row>
        <row r="45">
          <cell r="C45" t="str">
            <v>233</v>
          </cell>
          <cell r="D45" t="str">
            <v>Trésorerie Groupe</v>
          </cell>
          <cell r="F45">
            <v>0</v>
          </cell>
          <cell r="G45">
            <v>0</v>
          </cell>
          <cell r="H45">
            <v>0</v>
          </cell>
          <cell r="I45">
            <v>0</v>
          </cell>
        </row>
        <row r="46">
          <cell r="C46" t="str">
            <v>234</v>
          </cell>
          <cell r="D46" t="str">
            <v>Joint Ventures Groupe</v>
          </cell>
          <cell r="F46">
            <v>60.53</v>
          </cell>
          <cell r="G46">
            <v>60.53</v>
          </cell>
          <cell r="H46">
            <v>42</v>
          </cell>
          <cell r="I46">
            <v>42</v>
          </cell>
        </row>
        <row r="47">
          <cell r="C47" t="str">
            <v>235</v>
          </cell>
          <cell r="D47" t="str">
            <v>Comptabilité</v>
          </cell>
          <cell r="F47">
            <v>53.09</v>
          </cell>
          <cell r="G47">
            <v>43.2</v>
          </cell>
          <cell r="H47">
            <v>36.840000000000003</v>
          </cell>
          <cell r="I47">
            <v>31.85</v>
          </cell>
        </row>
        <row r="48">
          <cell r="C48" t="str">
            <v>236</v>
          </cell>
          <cell r="D48" t="str">
            <v>Paie</v>
          </cell>
          <cell r="F48">
            <v>0</v>
          </cell>
          <cell r="G48">
            <v>0</v>
          </cell>
          <cell r="H48">
            <v>0</v>
          </cell>
          <cell r="I48">
            <v>0</v>
          </cell>
        </row>
        <row r="49">
          <cell r="C49" t="str">
            <v>238</v>
          </cell>
          <cell r="D49" t="str">
            <v>Contrôle de gestion et Comptablité Groupe</v>
          </cell>
          <cell r="F49">
            <v>0</v>
          </cell>
          <cell r="G49">
            <v>0</v>
          </cell>
          <cell r="H49">
            <v>0</v>
          </cell>
          <cell r="I49">
            <v>0</v>
          </cell>
        </row>
        <row r="50">
          <cell r="C50" t="str">
            <v>241</v>
          </cell>
          <cell r="D50" t="str">
            <v>Administration, Téléphione Intranet Groupe</v>
          </cell>
          <cell r="F50">
            <v>0</v>
          </cell>
          <cell r="G50">
            <v>0</v>
          </cell>
          <cell r="H50">
            <v>0</v>
          </cell>
          <cell r="I50">
            <v>0</v>
          </cell>
        </row>
        <row r="51">
          <cell r="C51" t="str">
            <v>242</v>
          </cell>
          <cell r="D51" t="str">
            <v>Etudes Informatiques</v>
          </cell>
          <cell r="F51">
            <v>71.77</v>
          </cell>
          <cell r="G51">
            <v>71.77</v>
          </cell>
          <cell r="H51">
            <v>49.8</v>
          </cell>
          <cell r="I51">
            <v>49.8</v>
          </cell>
        </row>
        <row r="52">
          <cell r="C52" t="str">
            <v>243</v>
          </cell>
          <cell r="D52" t="str">
            <v>Exploitation Informatique</v>
          </cell>
          <cell r="F52">
            <v>0</v>
          </cell>
          <cell r="G52">
            <v>53.4</v>
          </cell>
          <cell r="H52">
            <v>0</v>
          </cell>
          <cell r="I52">
            <v>39.369999999999997</v>
          </cell>
        </row>
        <row r="53">
          <cell r="C53" t="str">
            <v>244</v>
          </cell>
          <cell r="D53" t="str">
            <v>Support réseau</v>
          </cell>
          <cell r="F53">
            <v>64.760000000000005</v>
          </cell>
          <cell r="G53">
            <v>64.760000000000005</v>
          </cell>
          <cell r="H53">
            <v>44.94</v>
          </cell>
          <cell r="I53">
            <v>44.94</v>
          </cell>
        </row>
        <row r="54">
          <cell r="C54" t="str">
            <v>251</v>
          </cell>
          <cell r="D54" t="str">
            <v>Juridique, Filiales, Relations Investisseurs</v>
          </cell>
          <cell r="F54">
            <v>0</v>
          </cell>
          <cell r="G54">
            <v>0</v>
          </cell>
          <cell r="H54">
            <v>0</v>
          </cell>
          <cell r="I54">
            <v>0</v>
          </cell>
        </row>
        <row r="55">
          <cell r="C55" t="str">
            <v>263</v>
          </cell>
          <cell r="D55" t="str">
            <v>Estimation</v>
          </cell>
          <cell r="F55">
            <v>70.89</v>
          </cell>
          <cell r="G55">
            <v>56.55</v>
          </cell>
          <cell r="H55">
            <v>49.19</v>
          </cell>
          <cell r="I55">
            <v>41.69</v>
          </cell>
        </row>
        <row r="56">
          <cell r="C56" t="str">
            <v>264</v>
          </cell>
          <cell r="D56" t="str">
            <v>Programmes</v>
          </cell>
          <cell r="F56">
            <v>65.5</v>
          </cell>
          <cell r="G56">
            <v>59.23</v>
          </cell>
          <cell r="H56">
            <v>45.45</v>
          </cell>
          <cell r="I56">
            <v>43.67</v>
          </cell>
        </row>
        <row r="57">
          <cell r="C57" t="str">
            <v>273</v>
          </cell>
          <cell r="D57" t="str">
            <v>Corporate Planning et Technologie</v>
          </cell>
          <cell r="F57">
            <v>88.59</v>
          </cell>
          <cell r="G57">
            <v>88.59</v>
          </cell>
          <cell r="H57">
            <v>61.47</v>
          </cell>
          <cell r="I57">
            <v>61.47</v>
          </cell>
        </row>
        <row r="58">
          <cell r="C58" t="str">
            <v>274</v>
          </cell>
          <cell r="D58" t="str">
            <v>Agence d'Aix en Provence</v>
          </cell>
          <cell r="F58">
            <v>57.38</v>
          </cell>
          <cell r="G58">
            <v>57.38</v>
          </cell>
          <cell r="H58">
            <v>42.3</v>
          </cell>
          <cell r="I58">
            <v>42.3</v>
          </cell>
        </row>
        <row r="59">
          <cell r="C59" t="str">
            <v>275</v>
          </cell>
          <cell r="D59" t="str">
            <v>Zone Europe de l'Ouest</v>
          </cell>
          <cell r="F59">
            <v>101.7</v>
          </cell>
          <cell r="G59">
            <v>88.26</v>
          </cell>
          <cell r="H59">
            <v>70.569999999999993</v>
          </cell>
          <cell r="I59">
            <v>65.069999999999993</v>
          </cell>
        </row>
        <row r="60">
          <cell r="C60" t="str">
            <v>276</v>
          </cell>
          <cell r="D60" t="str">
            <v>Zone Russie CEI</v>
          </cell>
          <cell r="F60">
            <v>86.68</v>
          </cell>
          <cell r="G60">
            <v>86.68</v>
          </cell>
          <cell r="H60">
            <v>60.15</v>
          </cell>
          <cell r="I60">
            <v>60.15</v>
          </cell>
        </row>
        <row r="61">
          <cell r="C61" t="str">
            <v>277</v>
          </cell>
          <cell r="D61" t="str">
            <v>Propositions Tech. &amp; Commerciales</v>
          </cell>
          <cell r="F61">
            <v>48.46</v>
          </cell>
          <cell r="G61">
            <v>48.46</v>
          </cell>
          <cell r="H61">
            <v>33.630000000000003</v>
          </cell>
          <cell r="I61">
            <v>33.630000000000003</v>
          </cell>
        </row>
        <row r="62">
          <cell r="C62" t="str">
            <v>287</v>
          </cell>
          <cell r="D62" t="str">
            <v>Zone afrique</v>
          </cell>
          <cell r="F62">
            <v>80.180000000000007</v>
          </cell>
          <cell r="G62">
            <v>80.180000000000007</v>
          </cell>
          <cell r="H62">
            <v>55.64</v>
          </cell>
          <cell r="I62">
            <v>55.64</v>
          </cell>
        </row>
        <row r="63">
          <cell r="C63" t="str">
            <v>302</v>
          </cell>
          <cell r="D63" t="str">
            <v>Gestion Unités Opérationnelles</v>
          </cell>
          <cell r="F63">
            <v>0</v>
          </cell>
          <cell r="G63">
            <v>0</v>
          </cell>
          <cell r="H63">
            <v>0</v>
          </cell>
          <cell r="I63">
            <v>0</v>
          </cell>
        </row>
        <row r="64">
          <cell r="C64" t="str">
            <v>312</v>
          </cell>
          <cell r="D64" t="str">
            <v>Procédés et Technologies</v>
          </cell>
          <cell r="F64">
            <v>63.15</v>
          </cell>
          <cell r="G64">
            <v>60.36</v>
          </cell>
          <cell r="H64">
            <v>43.82</v>
          </cell>
          <cell r="I64">
            <v>44.5</v>
          </cell>
        </row>
        <row r="65">
          <cell r="C65" t="str">
            <v>315</v>
          </cell>
          <cell r="D65" t="str">
            <v>Echanges Thermiques</v>
          </cell>
          <cell r="F65">
            <v>57.98</v>
          </cell>
          <cell r="G65">
            <v>57.98</v>
          </cell>
          <cell r="H65">
            <v>40.229999999999997</v>
          </cell>
          <cell r="I65">
            <v>40.229999999999997</v>
          </cell>
        </row>
        <row r="66">
          <cell r="C66" t="str">
            <v>316</v>
          </cell>
          <cell r="D66" t="str">
            <v>Sécurité, Environnement Industriel</v>
          </cell>
          <cell r="F66">
            <v>63.9</v>
          </cell>
          <cell r="G66">
            <v>56.81</v>
          </cell>
          <cell r="H66">
            <v>44.34</v>
          </cell>
          <cell r="I66">
            <v>41.88</v>
          </cell>
        </row>
        <row r="67">
          <cell r="C67" t="str">
            <v>318</v>
          </cell>
          <cell r="D67" t="str">
            <v>Matrîse de la connaissance</v>
          </cell>
          <cell r="F67">
            <v>68.5</v>
          </cell>
          <cell r="G67">
            <v>68.5</v>
          </cell>
          <cell r="H67">
            <v>47.53</v>
          </cell>
          <cell r="I67">
            <v>47.53</v>
          </cell>
        </row>
        <row r="68">
          <cell r="C68" t="str">
            <v>319</v>
          </cell>
          <cell r="D68" t="str">
            <v>Secrétariat Procédés</v>
          </cell>
          <cell r="F68">
            <v>41.01</v>
          </cell>
          <cell r="G68">
            <v>41.01</v>
          </cell>
          <cell r="H68">
            <v>28.46</v>
          </cell>
          <cell r="I68">
            <v>28.46</v>
          </cell>
        </row>
        <row r="69">
          <cell r="C69" t="str">
            <v>324</v>
          </cell>
          <cell r="D69" t="str">
            <v>Upstream DP/IP</v>
          </cell>
          <cell r="F69">
            <v>85.65</v>
          </cell>
          <cell r="G69">
            <v>85.65</v>
          </cell>
          <cell r="H69">
            <v>59.43</v>
          </cell>
          <cell r="I69">
            <v>59.43</v>
          </cell>
        </row>
        <row r="70">
          <cell r="C70" t="str">
            <v>325</v>
          </cell>
          <cell r="D70" t="str">
            <v>Structure Offshore</v>
          </cell>
          <cell r="F70">
            <v>64.69</v>
          </cell>
          <cell r="G70">
            <v>64.69</v>
          </cell>
          <cell r="H70">
            <v>44.89</v>
          </cell>
          <cell r="I70">
            <v>44.89</v>
          </cell>
        </row>
        <row r="71">
          <cell r="C71" t="str">
            <v>327</v>
          </cell>
          <cell r="D71" t="str">
            <v>Tuyauterie Offshore</v>
          </cell>
          <cell r="F71">
            <v>56.56</v>
          </cell>
          <cell r="G71">
            <v>56.56</v>
          </cell>
          <cell r="H71">
            <v>39.25</v>
          </cell>
          <cell r="I71">
            <v>39.25</v>
          </cell>
        </row>
        <row r="72">
          <cell r="C72" t="str">
            <v>328</v>
          </cell>
          <cell r="D72" t="str">
            <v>Architecture Navales Statistiques</v>
          </cell>
          <cell r="F72">
            <v>68.680000000000007</v>
          </cell>
          <cell r="G72">
            <v>68.680000000000007</v>
          </cell>
          <cell r="H72">
            <v>47.66</v>
          </cell>
          <cell r="I72">
            <v>47.66</v>
          </cell>
        </row>
        <row r="73">
          <cell r="C73" t="str">
            <v>330</v>
          </cell>
          <cell r="D73" t="str">
            <v>Executive Project Directors</v>
          </cell>
          <cell r="F73">
            <v>140.91</v>
          </cell>
          <cell r="G73">
            <v>140.91</v>
          </cell>
          <cell r="H73">
            <v>97.78</v>
          </cell>
          <cell r="I73">
            <v>97.78</v>
          </cell>
        </row>
        <row r="74">
          <cell r="C74" t="str">
            <v>332</v>
          </cell>
          <cell r="D74" t="str">
            <v>Directeurs et Ingénieurs de Projet</v>
          </cell>
          <cell r="F74">
            <v>94.22</v>
          </cell>
          <cell r="G74">
            <v>75.319999999999993</v>
          </cell>
          <cell r="H74">
            <v>65.38</v>
          </cell>
          <cell r="I74">
            <v>55.53</v>
          </cell>
        </row>
        <row r="75">
          <cell r="C75" t="str">
            <v>335</v>
          </cell>
          <cell r="D75" t="str">
            <v>Contrats</v>
          </cell>
          <cell r="F75">
            <v>76.849999999999994</v>
          </cell>
          <cell r="G75">
            <v>76.849999999999994</v>
          </cell>
          <cell r="H75">
            <v>53.33</v>
          </cell>
          <cell r="I75">
            <v>53.33</v>
          </cell>
        </row>
        <row r="76">
          <cell r="C76" t="str">
            <v>339</v>
          </cell>
          <cell r="D76" t="str">
            <v>Secrétariats de Projet</v>
          </cell>
          <cell r="F76">
            <v>42.43</v>
          </cell>
          <cell r="G76">
            <v>36.94</v>
          </cell>
          <cell r="H76">
            <v>29.44</v>
          </cell>
          <cell r="I76">
            <v>27.23</v>
          </cell>
        </row>
        <row r="77">
          <cell r="C77" t="str">
            <v>341</v>
          </cell>
          <cell r="D77" t="str">
            <v>Fours et Chaudières</v>
          </cell>
          <cell r="F77">
            <v>72.06</v>
          </cell>
          <cell r="G77">
            <v>72.06</v>
          </cell>
          <cell r="H77">
            <v>50</v>
          </cell>
          <cell r="I77">
            <v>50</v>
          </cell>
        </row>
        <row r="78">
          <cell r="C78" t="str">
            <v>343</v>
          </cell>
          <cell r="D78" t="str">
            <v>Génie Climatique</v>
          </cell>
          <cell r="F78">
            <v>64.78</v>
          </cell>
          <cell r="G78">
            <v>64.78</v>
          </cell>
          <cell r="H78">
            <v>44.95</v>
          </cell>
          <cell r="I78">
            <v>44.95</v>
          </cell>
        </row>
        <row r="79">
          <cell r="C79" t="str">
            <v>344</v>
          </cell>
          <cell r="D79" t="str">
            <v>Gestion des Plans Fournisseurs</v>
          </cell>
          <cell r="F79">
            <v>44.31</v>
          </cell>
          <cell r="G79">
            <v>43.11</v>
          </cell>
          <cell r="H79">
            <v>30.75</v>
          </cell>
          <cell r="I79">
            <v>31.78</v>
          </cell>
        </row>
        <row r="80">
          <cell r="C80" t="str">
            <v>346</v>
          </cell>
          <cell r="D80" t="str">
            <v>Electricité</v>
          </cell>
          <cell r="F80">
            <v>63.55</v>
          </cell>
          <cell r="G80">
            <v>54.35</v>
          </cell>
          <cell r="H80">
            <v>44.1</v>
          </cell>
          <cell r="I80">
            <v>40.07</v>
          </cell>
        </row>
        <row r="81">
          <cell r="C81" t="str">
            <v>349</v>
          </cell>
          <cell r="D81" t="str">
            <v>Mécanique</v>
          </cell>
          <cell r="F81">
            <v>71.7</v>
          </cell>
          <cell r="G81">
            <v>63.82</v>
          </cell>
          <cell r="H81">
            <v>49.75</v>
          </cell>
          <cell r="I81">
            <v>47.05</v>
          </cell>
        </row>
        <row r="82">
          <cell r="C82" t="str">
            <v>351</v>
          </cell>
          <cell r="D82" t="str">
            <v>Etudes - Coordination</v>
          </cell>
          <cell r="F82">
            <v>70.59</v>
          </cell>
          <cell r="G82">
            <v>61.34</v>
          </cell>
          <cell r="H82">
            <v>48.98</v>
          </cell>
          <cell r="I82">
            <v>45.22</v>
          </cell>
        </row>
        <row r="83">
          <cell r="C83" t="str">
            <v>353</v>
          </cell>
          <cell r="D83" t="str">
            <v>Installation, Tuyauterie</v>
          </cell>
          <cell r="F83">
            <v>57.13</v>
          </cell>
          <cell r="G83">
            <v>48.06</v>
          </cell>
          <cell r="H83">
            <v>39.64</v>
          </cell>
          <cell r="I83">
            <v>35.43</v>
          </cell>
        </row>
        <row r="84">
          <cell r="C84" t="str">
            <v>354</v>
          </cell>
          <cell r="D84" t="str">
            <v>Appareils Sous Pression</v>
          </cell>
          <cell r="F84">
            <v>64.45</v>
          </cell>
          <cell r="G84">
            <v>45.34</v>
          </cell>
          <cell r="H84">
            <v>44.72</v>
          </cell>
          <cell r="I84">
            <v>33.43</v>
          </cell>
        </row>
        <row r="85">
          <cell r="C85" t="str">
            <v>357</v>
          </cell>
          <cell r="D85" t="str">
            <v>Bâtiments / Génie Civil</v>
          </cell>
          <cell r="F85">
            <v>62.52</v>
          </cell>
          <cell r="G85">
            <v>51.96</v>
          </cell>
          <cell r="H85">
            <v>43.38</v>
          </cell>
          <cell r="I85">
            <v>38.31</v>
          </cell>
        </row>
        <row r="86">
          <cell r="C86" t="str">
            <v>359</v>
          </cell>
          <cell r="D86" t="str">
            <v>Secrétariat Etudes</v>
          </cell>
          <cell r="F86">
            <v>46.48</v>
          </cell>
          <cell r="G86">
            <v>37.31</v>
          </cell>
          <cell r="H86">
            <v>32.25</v>
          </cell>
          <cell r="I86">
            <v>27.51</v>
          </cell>
        </row>
        <row r="87">
          <cell r="C87" t="str">
            <v>361</v>
          </cell>
          <cell r="D87" t="str">
            <v>Achats</v>
          </cell>
          <cell r="F87">
            <v>70.989999999999995</v>
          </cell>
          <cell r="G87">
            <v>60.05</v>
          </cell>
          <cell r="H87">
            <v>49.26</v>
          </cell>
          <cell r="I87">
            <v>44.27</v>
          </cell>
        </row>
        <row r="88">
          <cell r="C88" t="str">
            <v>363</v>
          </cell>
          <cell r="D88" t="str">
            <v>Relance</v>
          </cell>
          <cell r="F88">
            <v>61.12</v>
          </cell>
          <cell r="G88">
            <v>49.41</v>
          </cell>
          <cell r="H88">
            <v>42.41</v>
          </cell>
          <cell r="I88">
            <v>36.43</v>
          </cell>
        </row>
        <row r="89">
          <cell r="C89" t="str">
            <v>364</v>
          </cell>
          <cell r="D89" t="str">
            <v>Inspection</v>
          </cell>
          <cell r="F89">
            <v>71.540000000000006</v>
          </cell>
          <cell r="G89">
            <v>71.540000000000006</v>
          </cell>
          <cell r="H89">
            <v>49.64</v>
          </cell>
          <cell r="I89">
            <v>49.64</v>
          </cell>
        </row>
        <row r="90">
          <cell r="C90" t="str">
            <v>365</v>
          </cell>
          <cell r="D90" t="str">
            <v>Transport</v>
          </cell>
          <cell r="F90">
            <v>58.71</v>
          </cell>
          <cell r="G90">
            <v>38.47</v>
          </cell>
          <cell r="H90">
            <v>40.74</v>
          </cell>
          <cell r="I90">
            <v>28.36</v>
          </cell>
        </row>
        <row r="91">
          <cell r="C91" t="str">
            <v>369</v>
          </cell>
          <cell r="D91" t="str">
            <v>Secrétariat Appro. et Marchés</v>
          </cell>
          <cell r="F91">
            <v>45.15</v>
          </cell>
          <cell r="G91">
            <v>35.92</v>
          </cell>
          <cell r="H91">
            <v>31.33</v>
          </cell>
          <cell r="I91">
            <v>26.48</v>
          </cell>
        </row>
        <row r="92">
          <cell r="C92" t="str">
            <v>371</v>
          </cell>
          <cell r="D92" t="str">
            <v>Construction</v>
          </cell>
          <cell r="F92">
            <v>70.239999999999995</v>
          </cell>
          <cell r="G92">
            <v>70.239999999999995</v>
          </cell>
          <cell r="H92">
            <v>48.74</v>
          </cell>
          <cell r="I92">
            <v>48.74</v>
          </cell>
        </row>
        <row r="93">
          <cell r="C93" t="str">
            <v>372</v>
          </cell>
          <cell r="D93" t="str">
            <v>Marchés</v>
          </cell>
          <cell r="F93">
            <v>70.12</v>
          </cell>
          <cell r="G93">
            <v>64.62</v>
          </cell>
          <cell r="H93">
            <v>48.66</v>
          </cell>
          <cell r="I93">
            <v>47.64</v>
          </cell>
        </row>
        <row r="94">
          <cell r="C94" t="str">
            <v>373</v>
          </cell>
          <cell r="D94" t="str">
            <v>Personnel  Construction - Chantiers</v>
          </cell>
          <cell r="E94" t="str">
            <v>Service Hors Siège</v>
          </cell>
          <cell r="F94">
            <v>71.709999999999994</v>
          </cell>
          <cell r="G94">
            <v>71.709999999999994</v>
          </cell>
          <cell r="H94">
            <v>49.76</v>
          </cell>
          <cell r="I94">
            <v>49.76</v>
          </cell>
        </row>
        <row r="95">
          <cell r="C95" t="str">
            <v>381</v>
          </cell>
          <cell r="D95" t="str">
            <v>Mise en Route Siège</v>
          </cell>
          <cell r="F95">
            <v>96.57</v>
          </cell>
          <cell r="G95">
            <v>96.57</v>
          </cell>
          <cell r="H95">
            <v>67.010000000000005</v>
          </cell>
          <cell r="I95">
            <v>67.010000000000005</v>
          </cell>
        </row>
        <row r="96">
          <cell r="C96" t="str">
            <v>383</v>
          </cell>
          <cell r="D96" t="str">
            <v>Mise en Route Site</v>
          </cell>
          <cell r="E96" t="str">
            <v>Service Hors Siège</v>
          </cell>
          <cell r="F96">
            <v>69</v>
          </cell>
          <cell r="G96">
            <v>69</v>
          </cell>
          <cell r="H96">
            <v>47.88</v>
          </cell>
          <cell r="I96">
            <v>47.88</v>
          </cell>
        </row>
        <row r="97">
          <cell r="C97" t="str">
            <v>392</v>
          </cell>
          <cell r="D97" t="str">
            <v>Automatismes et Systemes (AES)</v>
          </cell>
          <cell r="F97">
            <v>65.569999999999993</v>
          </cell>
          <cell r="G97">
            <v>54.81</v>
          </cell>
          <cell r="H97">
            <v>45.5</v>
          </cell>
          <cell r="I97">
            <v>40.409999999999997</v>
          </cell>
        </row>
        <row r="98">
          <cell r="C98" t="str">
            <v>710</v>
          </cell>
          <cell r="D98" t="str">
            <v>Direction Branche Technip LCI</v>
          </cell>
          <cell r="F98">
            <v>110.91</v>
          </cell>
          <cell r="G98">
            <v>110.91</v>
          </cell>
          <cell r="H98">
            <v>76.959999999999994</v>
          </cell>
          <cell r="I98">
            <v>76.959999999999994</v>
          </cell>
        </row>
        <row r="99">
          <cell r="C99" t="str">
            <v>711</v>
          </cell>
          <cell r="D99" t="str">
            <v>Chimie</v>
          </cell>
          <cell r="F99">
            <v>86.15</v>
          </cell>
          <cell r="G99">
            <v>86.15</v>
          </cell>
          <cell r="H99">
            <v>59.78</v>
          </cell>
          <cell r="I99">
            <v>59.78</v>
          </cell>
        </row>
        <row r="100">
          <cell r="C100" t="str">
            <v>712</v>
          </cell>
          <cell r="D100" t="str">
            <v>Procédés et Technologies - LDP Chimie</v>
          </cell>
          <cell r="F100">
            <v>73.61</v>
          </cell>
          <cell r="G100">
            <v>73.61</v>
          </cell>
          <cell r="H100">
            <v>51.08</v>
          </cell>
          <cell r="I100">
            <v>51.08</v>
          </cell>
        </row>
        <row r="101">
          <cell r="C101" t="str">
            <v>713</v>
          </cell>
          <cell r="D101" t="str">
            <v>Engrais</v>
          </cell>
          <cell r="F101">
            <v>85.43</v>
          </cell>
          <cell r="G101">
            <v>85.43</v>
          </cell>
          <cell r="H101">
            <v>59.28</v>
          </cell>
          <cell r="I101">
            <v>59.28</v>
          </cell>
        </row>
        <row r="102">
          <cell r="C102" t="str">
            <v>714</v>
          </cell>
          <cell r="D102" t="str">
            <v>Défense et Pyrotechnie</v>
          </cell>
          <cell r="F102">
            <v>66</v>
          </cell>
          <cell r="G102">
            <v>66</v>
          </cell>
          <cell r="H102">
            <v>45.8</v>
          </cell>
          <cell r="I102">
            <v>45.8</v>
          </cell>
        </row>
        <row r="103">
          <cell r="C103" t="str">
            <v>715</v>
          </cell>
          <cell r="D103" t="str">
            <v>Formulation et Procédés Discontinus - LDP Chimie</v>
          </cell>
          <cell r="F103">
            <v>60.43</v>
          </cell>
          <cell r="G103">
            <v>60.43</v>
          </cell>
          <cell r="H103">
            <v>41.93</v>
          </cell>
          <cell r="I103">
            <v>41.93</v>
          </cell>
        </row>
        <row r="104">
          <cell r="C104" t="str">
            <v>718</v>
          </cell>
          <cell r="D104" t="str">
            <v>Ingénieurs de Projet - LDP Chimie</v>
          </cell>
          <cell r="F104">
            <v>83.81</v>
          </cell>
          <cell r="G104">
            <v>83.81</v>
          </cell>
          <cell r="H104">
            <v>58.16</v>
          </cell>
          <cell r="I104">
            <v>58.16</v>
          </cell>
        </row>
        <row r="105">
          <cell r="C105" t="str">
            <v>719</v>
          </cell>
          <cell r="D105" t="str">
            <v>Secrétaires de Projet - LDP Chimie</v>
          </cell>
          <cell r="F105">
            <v>40.340000000000003</v>
          </cell>
          <cell r="G105">
            <v>40.340000000000003</v>
          </cell>
          <cell r="H105">
            <v>27.99</v>
          </cell>
          <cell r="I105">
            <v>27.99</v>
          </cell>
        </row>
        <row r="106">
          <cell r="C106" t="str">
            <v>720</v>
          </cell>
          <cell r="D106" t="str">
            <v>Ligne de Produit Sciences de la Vie</v>
          </cell>
          <cell r="F106">
            <v>73.83</v>
          </cell>
          <cell r="G106">
            <v>64.13</v>
          </cell>
          <cell r="H106">
            <v>51.23</v>
          </cell>
          <cell r="I106">
            <v>47.28</v>
          </cell>
        </row>
        <row r="107">
          <cell r="C107" t="str">
            <v>730</v>
          </cell>
          <cell r="D107" t="str">
            <v>Ligne de Produit Industries Diverses</v>
          </cell>
          <cell r="F107">
            <v>92.16</v>
          </cell>
          <cell r="G107">
            <v>73.94</v>
          </cell>
          <cell r="H107">
            <v>63.95</v>
          </cell>
          <cell r="I107">
            <v>54.51</v>
          </cell>
        </row>
        <row r="108">
          <cell r="C108" t="str">
            <v>734</v>
          </cell>
          <cell r="D108" t="str">
            <v>Ciments</v>
          </cell>
          <cell r="F108">
            <v>64.459999999999994</v>
          </cell>
          <cell r="G108">
            <v>60.67</v>
          </cell>
          <cell r="H108">
            <v>44.73</v>
          </cell>
          <cell r="I108">
            <v>44.73</v>
          </cell>
        </row>
        <row r="109">
          <cell r="C109" t="str">
            <v>750</v>
          </cell>
          <cell r="D109" t="str">
            <v>Unite Opérationnelle Branche Technip LCI</v>
          </cell>
          <cell r="F109">
            <v>124.61</v>
          </cell>
          <cell r="G109">
            <v>124.61</v>
          </cell>
          <cell r="H109">
            <v>86.47</v>
          </cell>
          <cell r="I109">
            <v>86.47</v>
          </cell>
        </row>
        <row r="110">
          <cell r="C110" t="str">
            <v>751</v>
          </cell>
          <cell r="D110" t="str">
            <v>SES - Sécurite, Environnement, Surêté</v>
          </cell>
          <cell r="F110">
            <v>61.67</v>
          </cell>
          <cell r="G110">
            <v>61.67</v>
          </cell>
          <cell r="H110">
            <v>42.79</v>
          </cell>
          <cell r="I110">
            <v>42.79</v>
          </cell>
        </row>
        <row r="111">
          <cell r="C111" t="str">
            <v>752</v>
          </cell>
          <cell r="D111" t="str">
            <v>Environement</v>
          </cell>
          <cell r="F111">
            <v>74.84</v>
          </cell>
          <cell r="G111">
            <v>74.84</v>
          </cell>
          <cell r="H111">
            <v>51.93</v>
          </cell>
          <cell r="I111">
            <v>51.93</v>
          </cell>
        </row>
        <row r="112">
          <cell r="C112" t="str">
            <v>753</v>
          </cell>
          <cell r="D112" t="str">
            <v>Installation Générale</v>
          </cell>
          <cell r="F112">
            <v>58.77</v>
          </cell>
          <cell r="G112">
            <v>58.77</v>
          </cell>
          <cell r="H112">
            <v>40.78</v>
          </cell>
          <cell r="I112">
            <v>40.78</v>
          </cell>
        </row>
        <row r="113">
          <cell r="C113" t="str">
            <v>754</v>
          </cell>
          <cell r="D113" t="str">
            <v>Equipements</v>
          </cell>
          <cell r="F113">
            <v>68.22</v>
          </cell>
          <cell r="G113">
            <v>68.22</v>
          </cell>
          <cell r="H113">
            <v>47.34</v>
          </cell>
          <cell r="I113">
            <v>47.34</v>
          </cell>
        </row>
        <row r="114">
          <cell r="C114" t="str">
            <v>755</v>
          </cell>
          <cell r="D114" t="str">
            <v>Automatismes  et  Systèmes  (AES)</v>
          </cell>
          <cell r="F114">
            <v>67.31</v>
          </cell>
          <cell r="G114">
            <v>67.31</v>
          </cell>
          <cell r="H114">
            <v>46.71</v>
          </cell>
          <cell r="I114">
            <v>46.71</v>
          </cell>
        </row>
        <row r="115">
          <cell r="C115" t="str">
            <v>756</v>
          </cell>
          <cell r="D115" t="str">
            <v xml:space="preserve">Electricité  </v>
          </cell>
          <cell r="F115">
            <v>65.5</v>
          </cell>
          <cell r="G115">
            <v>65.5</v>
          </cell>
          <cell r="H115">
            <v>45.45</v>
          </cell>
          <cell r="I115">
            <v>45.45</v>
          </cell>
        </row>
        <row r="116">
          <cell r="C116" t="str">
            <v>757</v>
          </cell>
          <cell r="D116" t="str">
            <v xml:space="preserve">Bâtiments  -  Génie Civil  </v>
          </cell>
          <cell r="F116">
            <v>65.05</v>
          </cell>
          <cell r="G116">
            <v>65.05</v>
          </cell>
          <cell r="H116">
            <v>45.14</v>
          </cell>
          <cell r="I116">
            <v>45.14</v>
          </cell>
        </row>
        <row r="117">
          <cell r="C117" t="str">
            <v>759</v>
          </cell>
          <cell r="D117" t="str">
            <v xml:space="preserve">Secrétariat Etudes </v>
          </cell>
          <cell r="F117">
            <v>37.700000000000003</v>
          </cell>
          <cell r="G117">
            <v>37.700000000000003</v>
          </cell>
          <cell r="H117">
            <v>26.16</v>
          </cell>
          <cell r="I117">
            <v>26.16</v>
          </cell>
        </row>
        <row r="118">
          <cell r="C118" t="str">
            <v>760</v>
          </cell>
          <cell r="D118" t="str">
            <v>Approvisionnements</v>
          </cell>
          <cell r="F118">
            <v>52.98</v>
          </cell>
          <cell r="G118">
            <v>52.98</v>
          </cell>
          <cell r="H118">
            <v>36.76</v>
          </cell>
          <cell r="I118">
            <v>36.76</v>
          </cell>
        </row>
        <row r="119">
          <cell r="C119" t="str">
            <v>770</v>
          </cell>
          <cell r="D119" t="str">
            <v>Marché Travaux</v>
          </cell>
          <cell r="F119">
            <v>60.77</v>
          </cell>
          <cell r="G119">
            <v>60.77</v>
          </cell>
          <cell r="H119">
            <v>42.17</v>
          </cell>
          <cell r="I119">
            <v>42.17</v>
          </cell>
        </row>
        <row r="120">
          <cell r="C120" t="str">
            <v>780</v>
          </cell>
          <cell r="D120" t="str">
            <v xml:space="preserve">Informatique  </v>
          </cell>
          <cell r="F120">
            <v>63.83</v>
          </cell>
          <cell r="G120">
            <v>63.83</v>
          </cell>
          <cell r="H120">
            <v>44.29</v>
          </cell>
          <cell r="I120">
            <v>44.29</v>
          </cell>
        </row>
        <row r="121">
          <cell r="C121" t="str">
            <v>…</v>
          </cell>
          <cell r="D121" t="str">
            <v xml:space="preserve"> </v>
          </cell>
        </row>
      </sheetData>
      <sheetData sheetId="5" refreshError="1">
        <row r="5">
          <cell r="C5" t="str">
            <v>Imprimé le : 05-Mar-2002 at 15:32</v>
          </cell>
        </row>
        <row r="6">
          <cell r="C6" t="str">
            <v>C:\TRAVAIL.XLS\SOHAR\SBDG2002.XLS</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G.CO"/>
      <sheetName val="RIEP"/>
      <sheetName val="COSTUNI"/>
      <sheetName val="Sheet1"/>
      <sheetName val="서울급여"/>
      <sheetName val="지사급여"/>
      <sheetName val="현장급여"/>
      <sheetName val="eq_data"/>
      <sheetName val="경제지표"/>
      <sheetName val="Cover"/>
      <sheetName val="dummy"/>
      <sheetName val="001BA"/>
      <sheetName val="IT-BAT"/>
      <sheetName val="ANX3A65"/>
      <sheetName val="Information"/>
      <sheetName val="Macro"/>
      <sheetName val="Taux"/>
      <sheetName val="실행철강하도"/>
    </sheetNames>
    <sheetDataSet>
      <sheetData sheetId="0"/>
      <sheetData sheetId="1">
        <row r="5">
          <cell r="F5" t="str">
            <v>LIT x 1000</v>
          </cell>
        </row>
      </sheetData>
      <sheetData sheetId="2">
        <row r="40">
          <cell r="E40">
            <v>53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Description"/>
      <sheetName val="Process"/>
      <sheetName val="Mechanical"/>
      <sheetName val="Elec"/>
      <sheetName val="Civil"/>
      <sheetName val="ProcurementService"/>
      <sheetName val="작성시 유의사항"/>
    </sheetNames>
    <sheetDataSet>
      <sheetData sheetId="0" refreshError="1">
        <row r="6">
          <cell r="N6" t="str">
            <v>HH</v>
          </cell>
          <cell r="O6">
            <v>1</v>
          </cell>
        </row>
        <row r="7">
          <cell r="N7" t="str">
            <v>HM</v>
          </cell>
          <cell r="O7">
            <v>2</v>
          </cell>
        </row>
        <row r="8">
          <cell r="N8" t="str">
            <v>HL</v>
          </cell>
          <cell r="O8">
            <v>3</v>
          </cell>
        </row>
        <row r="9">
          <cell r="N9" t="str">
            <v>MH</v>
          </cell>
          <cell r="O9">
            <v>2</v>
          </cell>
        </row>
        <row r="10">
          <cell r="N10" t="str">
            <v>MM</v>
          </cell>
          <cell r="O10">
            <v>4</v>
          </cell>
        </row>
        <row r="11">
          <cell r="N11" t="str">
            <v>ML</v>
          </cell>
          <cell r="O11">
            <v>5</v>
          </cell>
        </row>
        <row r="12">
          <cell r="N12" t="str">
            <v>LH</v>
          </cell>
          <cell r="O12">
            <v>4</v>
          </cell>
        </row>
        <row r="13">
          <cell r="N13" t="str">
            <v>LM</v>
          </cell>
          <cell r="O13">
            <v>5</v>
          </cell>
        </row>
        <row r="14">
          <cell r="N14" t="str">
            <v>LL</v>
          </cell>
          <cell r="O14">
            <v>5</v>
          </cell>
        </row>
      </sheetData>
      <sheetData sheetId="1"/>
      <sheetData sheetId="2"/>
      <sheetData sheetId="3"/>
      <sheetData sheetId="4"/>
      <sheetData sheetId="5"/>
      <sheetData sheetId="6"/>
      <sheetData sheetId="7"/>
      <sheetData sheetId="8"/>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비 총괄표"/>
      <sheetName val="3. 예산금액 총괄표"/>
      <sheetName val="1.공사개요"/>
      <sheetName val="메뉴"/>
      <sheetName val="총괄표"/>
      <sheetName val="검토서"/>
      <sheetName val="내역총괄"/>
      <sheetName val="토건총괄"/>
      <sheetName val="토건내역"/>
      <sheetName val="기계총괄"/>
      <sheetName val="기계내역"/>
      <sheetName val="전기총괄"/>
      <sheetName val="전기내역"/>
      <sheetName val="운송비"/>
      <sheetName val="공통"/>
      <sheetName val="공통내역"/>
      <sheetName val="부대총괄"/>
      <sheetName val="부대공사"/>
      <sheetName val="감독지원"/>
      <sheetName val="감독내역"/>
      <sheetName val="OM"/>
      <sheetName val="가설총괄"/>
      <sheetName val="가설공사"/>
      <sheetName val="경상비"/>
      <sheetName val="산출근거"/>
      <sheetName val="duct 산출"/>
      <sheetName val="TPI"/>
      <sheetName val="SPvision,insp,tranng"/>
      <sheetName val="FTI"/>
      <sheetName val="장비비"/>
      <sheetName val="flight cost"/>
      <sheetName val="Clearence, C_Duty"/>
    </sheetNames>
    <sheetDataSet>
      <sheetData sheetId="0" refreshError="1"/>
      <sheetData sheetId="1" refreshError="1"/>
      <sheetData sheetId="2" refreshError="1"/>
      <sheetData sheetId="3" refreshError="1"/>
      <sheetData sheetId="4" refreshError="1"/>
      <sheetData sheetId="5" refreshError="1"/>
      <sheetData sheetId="6" refreshError="1">
        <row r="3">
          <cell r="L3">
            <v>3.75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_Rate PM"/>
      <sheetName val="Summary"/>
      <sheetName val="사장비 TS"/>
      <sheetName val="임대비 비교표"/>
      <sheetName val="장비비 단가"/>
      <sheetName val="PKG-1 동원계획"/>
      <sheetName val="PKG-4 동원계획"/>
      <sheetName val="사장비(09년)"/>
      <sheetName val="사장비(07년)"/>
    </sheetNames>
    <sheetDataSet>
      <sheetData sheetId="0">
        <row r="6">
          <cell r="I6">
            <v>3.7498</v>
          </cell>
        </row>
      </sheetData>
      <sheetData sheetId="1" refreshError="1"/>
      <sheetData sheetId="2" refreshError="1"/>
      <sheetData sheetId="3" refreshError="1"/>
      <sheetData sheetId="4">
        <row r="8">
          <cell r="B8" t="str">
            <v>CC0100</v>
          </cell>
        </row>
      </sheetData>
      <sheetData sheetId="5">
        <row r="3">
          <cell r="E3" t="str">
            <v>Saudi Aramco</v>
          </cell>
        </row>
      </sheetData>
      <sheetData sheetId="6"/>
      <sheetData sheetId="7" refreshError="1"/>
      <sheetData sheetId="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견적조건"/>
      <sheetName val="금액총괄표"/>
      <sheetName val="Toyo인원 간접비"/>
      <sheetName val="세부내역"/>
      <sheetName val="인원총괄표-사업계획서용"/>
      <sheetName val="인원총괄표"/>
      <sheetName val="출입국비용"/>
      <sheetName val="항공임"/>
      <sheetName val="서울사무소출장비"/>
      <sheetName val="Toyo사무소출장비"/>
      <sheetName val="현장 출장비"/>
      <sheetName val="건강검진"/>
      <sheetName val="현장복지후생비"/>
      <sheetName val="숙소 유지비"/>
      <sheetName val="Pioneer"/>
      <sheetName val="차량운영비"/>
      <sheetName val="차량동원계획 (SITE)"/>
      <sheetName val="차량동원계획 (TOYO)"/>
      <sheetName val="용전비"/>
      <sheetName val="용전_DETAIL"/>
      <sheetName val="소비전력"/>
      <sheetName val="용수비"/>
      <sheetName val="용수량"/>
      <sheetName val="LC수수료 &amp; TR 이자율-NA"/>
      <sheetName val="보험"/>
      <sheetName val="IT견적"/>
      <sheetName val="컴퓨터 동원계획"/>
      <sheetName val="Bond Fee"/>
      <sheetName val="환율"/>
      <sheetName val="숙소비품구입(HDEC)"/>
      <sheetName val="사무실집기 단가"/>
      <sheetName val="RIEP"/>
      <sheetName val="eq_data"/>
      <sheetName val="경제지표"/>
      <sheetName val="Cover"/>
      <sheetName val="dummy"/>
      <sheetName val="Summary 2002"/>
    </sheetNames>
    <sheetDataSet>
      <sheetData sheetId="0">
        <row r="5">
          <cell r="A5" t="str">
            <v>Project : RRE Project - PKG 1 / U.A.E</v>
          </cell>
        </row>
      </sheetData>
      <sheetData sheetId="1"/>
      <sheetData sheetId="2"/>
      <sheetData sheetId="3">
        <row r="29">
          <cell r="L29">
            <v>691256.94530788169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21">
          <cell r="G21">
            <v>1267</v>
          </cell>
        </row>
      </sheetData>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Sheet1"/>
      <sheetName val="Sheet1 (2)"/>
      <sheetName val="BM"/>
      <sheetName val="Sheet2"/>
      <sheetName val="B-N BM"/>
      <sheetName val="b-n"/>
      <sheetName val="WE'T"/>
      <sheetName val="REDUCER"/>
      <sheetName val="AWWA FLG"/>
      <sheetName val="OFFER RATE"/>
      <sheetName val="COVERSHEET PAGE"/>
      <sheetName val="세부내역"/>
      <sheetName val="환율"/>
      <sheetName val="Final(1)summary"/>
      <sheetName val="POWER"/>
      <sheetName val="RIEP"/>
      <sheetName val="WIND"/>
      <sheetName val="eq_data"/>
      <sheetName val="경제지표"/>
      <sheetName val="VC2 9.98"/>
      <sheetName val="MR"/>
    </sheetNames>
    <sheetDataSet>
      <sheetData sheetId="0"/>
      <sheetData sheetId="1"/>
      <sheetData sheetId="2"/>
      <sheetData sheetId="3"/>
      <sheetData sheetId="4"/>
      <sheetData sheetId="5"/>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12"/>
      <sheetName val="96_12"/>
      <sheetName val="완공미토"/>
      <sheetName val="eq_data"/>
      <sheetName val="인건비"/>
      <sheetName val="97 사업추정(WEKI)"/>
      <sheetName val="sort"/>
      <sheetName val="영업소실적"/>
      <sheetName val="기준"/>
      <sheetName val="Sheet1"/>
      <sheetName val="001BA"/>
      <sheetName val="SCH"/>
      <sheetName val="예산서"/>
      <sheetName val="충주"/>
      <sheetName val="A(Rev.3)"/>
      <sheetName val="Mech CIF"/>
      <sheetName val="배관공사내역서"/>
      <sheetName val="tank list"/>
      <sheetName val="OUT"/>
      <sheetName val="투입실적"/>
      <sheetName val="TOEC"/>
      <sheetName val="내역서"/>
      <sheetName val="2.대외공문"/>
      <sheetName val="1월"/>
      <sheetName val="현금"/>
      <sheetName val="내역(한신APT)"/>
      <sheetName val="실행"/>
      <sheetName val="판"/>
      <sheetName val="입출재고현황 (2)"/>
      <sheetName val="OE"/>
      <sheetName val="#REF"/>
      <sheetName val="월간보고"/>
      <sheetName val="B.Q. breakdown (0723_2) (USD)"/>
      <sheetName val="Sheet1 (2)"/>
      <sheetName val="내역"/>
      <sheetName val="REDUCER"/>
      <sheetName val="WE'T"/>
      <sheetName val="골조시행"/>
      <sheetName val="BR"/>
      <sheetName val="경비 (1)"/>
      <sheetName val="고자현황"/>
      <sheetName val="공사손익"/>
      <sheetName val="95년12월말"/>
      <sheetName val="POOM_MOTO2"/>
      <sheetName val="POOM_MOTO"/>
      <sheetName val="1을"/>
      <sheetName val="직원동원계획"/>
      <sheetName val="환율표"/>
      <sheetName val="Cover"/>
      <sheetName val="3-구교-오리지날"/>
      <sheetName val="P.M 별"/>
      <sheetName val="태화42 "/>
      <sheetName val="2000년1차"/>
      <sheetName val="2000전체분"/>
      <sheetName val="3.바닥판설계"/>
      <sheetName val="공량산출서"/>
      <sheetName val="노무비단가"/>
      <sheetName val="주형"/>
      <sheetName val="data_senior"/>
      <sheetName val="BT"/>
      <sheetName val="1.설계기준"/>
      <sheetName val="노임단가"/>
      <sheetName val="Ex.Rate"/>
      <sheetName val="표지"/>
      <sheetName val="UnitRate"/>
      <sheetName val="세원견적서"/>
      <sheetName val="1차배부(JB포함)"/>
      <sheetName val="5.3 단면가정"/>
      <sheetName val="내역서(당초변경)"/>
      <sheetName val="공사집계"/>
      <sheetName val="말뚝지지력산정"/>
      <sheetName val="건축공사"/>
      <sheetName val="경상예산"/>
      <sheetName val="BOTM"/>
      <sheetName val="98지급계획"/>
      <sheetName val="내역을"/>
      <sheetName val="정산서  (2)"/>
      <sheetName val="Final(1)summary"/>
      <sheetName val="UBC(WIND)"/>
      <sheetName val="SPEC-C1A"/>
      <sheetName val="SPEC-C1U"/>
      <sheetName val="SPEC-C2A"/>
      <sheetName val="SPEC-C2U"/>
      <sheetName val="SPEC-C3A"/>
      <sheetName val="SPEC-C3U"/>
      <sheetName val="SPEC-P1A"/>
      <sheetName val="SPEC-P1U"/>
      <sheetName val="SPEC-P2A"/>
      <sheetName val="SPEC-S1A"/>
      <sheetName val="SK Engrg-Q"/>
      <sheetName val="POWER"/>
      <sheetName val="지사급여"/>
      <sheetName val="공사비 내역 (가)"/>
      <sheetName val="Inquiry_List"/>
      <sheetName val="현황CODE"/>
      <sheetName val="손익현황"/>
      <sheetName val="설계예산서1"/>
      <sheetName val="수입"/>
      <sheetName val="적격"/>
      <sheetName val="Summary Sheet"/>
      <sheetName val="평가내역"/>
      <sheetName val="단가"/>
      <sheetName val="CALCULATION"/>
      <sheetName val="P-COST"/>
      <sheetName val="명세서"/>
      <sheetName val="A"/>
      <sheetName val="청산공사"/>
      <sheetName val="상반기손익차2총괄"/>
      <sheetName val="PLAN_FEB97"/>
      <sheetName val="평균환율-USD"/>
      <sheetName val="직원동원SCH"/>
      <sheetName val="HDECGTY"/>
      <sheetName val="간접비(1)"/>
      <sheetName val="사업계획"/>
      <sheetName val="6호기"/>
      <sheetName val="DATE"/>
      <sheetName val="BCPAB"/>
      <sheetName val="96배수"/>
      <sheetName val="실행내역서 "/>
      <sheetName val="OFFER RATE"/>
      <sheetName val="COVERSHEET PAGE"/>
      <sheetName val="본지점중"/>
      <sheetName val="TABLE2-2 OSBL-(SITE PREP)"/>
      <sheetName val="boq"/>
      <sheetName val="OSBL-TOTAL (OTHER WORK)"/>
      <sheetName val="OSBL-TOTAL (SEA WATER)"/>
      <sheetName val="OSBL-TOTAL (CIVIL WORK)"/>
      <sheetName val="5.세운W-A"/>
      <sheetName val="Ⅳ.1.KEY수입"/>
      <sheetName val="Ⅳ-4.수익총괄"/>
      <sheetName val="노무비"/>
      <sheetName val="집계표"/>
      <sheetName val="input"/>
      <sheetName val="96_121"/>
      <sheetName val="97_사업추정(WEKI)"/>
      <sheetName val="A(Rev_3)"/>
      <sheetName val="청하배수"/>
      <sheetName val="공구"/>
      <sheetName val="가BM"/>
      <sheetName val="여찾사12월"/>
      <sheetName val="노마진12"/>
      <sheetName val="티제주12"/>
      <sheetName val="조건"/>
      <sheetName val="bc"/>
      <sheetName val="TOTAL1"/>
      <sheetName val="ABUT수량-A1"/>
      <sheetName val="CRUDE RE-bar"/>
      <sheetName val="MH rate"/>
      <sheetName val="C급보 "/>
      <sheetName val="요약"/>
      <sheetName val="포장공"/>
      <sheetName val="수안보-MBR1"/>
      <sheetName val="COPING"/>
      <sheetName val="ASME B 36.10 M"/>
      <sheetName val="CBE-VSL"/>
      <sheetName val="협조전"/>
      <sheetName val="SUM (실행원가대비)"/>
      <sheetName val="Summary 2002"/>
      <sheetName val="VC2 9.98"/>
      <sheetName val="투찰판"/>
      <sheetName val="하수급견적대비"/>
      <sheetName val="사용성검토"/>
      <sheetName val="Sales by Salesman"/>
      <sheetName val="3.현장배치"/>
      <sheetName val="업무계획1"/>
      <sheetName val="울산시산표"/>
      <sheetName val="Template"/>
      <sheetName val="Initial Input Variable"/>
      <sheetName val="Assumptions"/>
      <sheetName val="tggwan(mac)"/>
      <sheetName val="Tenants"/>
      <sheetName val="우수"/>
      <sheetName val="평형공사비"/>
      <sheetName val="TC표지"/>
      <sheetName val="화재 탐지 설비"/>
      <sheetName val="설계조건"/>
      <sheetName val="TABLE2-2 OSBL(total)"/>
      <sheetName val="플랜트 설치"/>
      <sheetName val="Sensitivity"/>
      <sheetName val="건축내역"/>
      <sheetName val="우각부보강"/>
      <sheetName val="토지조서"/>
      <sheetName val="E_Rate PM"/>
      <sheetName val="static.cal"/>
      <sheetName val="5사남"/>
      <sheetName val="IT-BAT"/>
      <sheetName val="실행철강하도"/>
      <sheetName val="cable"/>
      <sheetName val="V-VESSEL (WITH DEMISTER)"/>
      <sheetName val="7.경제성결과"/>
      <sheetName val="SUMBER DAYA"/>
      <sheetName val="Bill No. 2 - Carpark"/>
      <sheetName val="산출근거(ON-OFF) "/>
      <sheetName val="DATA"/>
      <sheetName val="Macro"/>
      <sheetName val="Taux"/>
      <sheetName val="변수"/>
      <sheetName val="RFP002"/>
      <sheetName val="D"/>
      <sheetName val="BM DATA SHEET"/>
      <sheetName val="SILICATE"/>
      <sheetName val="1"/>
      <sheetName val="Summary Sheets"/>
      <sheetName val="COA-17"/>
      <sheetName val="C-18"/>
      <sheetName val="MEXICO-C"/>
      <sheetName val="CAL"/>
      <sheetName val="부재력정리"/>
      <sheetName val="SHUTDOWN VALVE"/>
      <sheetName val="MINA BM"/>
      <sheetName val="HVAC"/>
      <sheetName val="Estimate Download"/>
      <sheetName val="hori. vessel(E-895)"/>
      <sheetName val="Resource"/>
      <sheetName val="MHR-ANLIS"/>
      <sheetName val="Mech_CIF"/>
      <sheetName val="tank_list"/>
      <sheetName val="B_Q__breakdown_(0723_2)_(USD)"/>
      <sheetName val="2_대외공문"/>
      <sheetName val="입출재고현황_(2)"/>
      <sheetName val="Sheet1_(2)"/>
      <sheetName val="P_M_별"/>
      <sheetName val="경비_(1)"/>
      <sheetName val="태화42_"/>
      <sheetName val="3_바닥판설계"/>
      <sheetName val="5_3_단면가정"/>
      <sheetName val="Ex_Rate"/>
      <sheetName val="1_설계기준"/>
      <sheetName val="Currency"/>
      <sheetName val="마북 손익분석(CATIA)"/>
      <sheetName val="단자차입일별"/>
      <sheetName val="인원계획"/>
      <sheetName val="NOMUBI"/>
      <sheetName val="sw1"/>
      <sheetName val="정부노임단가"/>
      <sheetName val="TYPE-B 평균H"/>
      <sheetName val="BQ_Utl_Off"/>
      <sheetName val="최민영집계25"/>
      <sheetName val="Regenerator  Concrete Structure"/>
      <sheetName val="조명투자및환수계획"/>
      <sheetName val="제조중간결과"/>
      <sheetName val="수력 250MW"/>
      <sheetName val="계측"/>
      <sheetName val="토공정보"/>
      <sheetName val="96_122"/>
      <sheetName val="97_사업추정(WEKI)1"/>
      <sheetName val="A(Rev_3)1"/>
      <sheetName val="Mech_CIF1"/>
      <sheetName val="tank_list1"/>
      <sheetName val="2_대외공문1"/>
      <sheetName val="입출재고현황_(2)1"/>
      <sheetName val="B_Q__breakdown_(0723_2)_(USD)1"/>
      <sheetName val="정산서__(2)1"/>
      <sheetName val="Sheet1_(2)1"/>
      <sheetName val="경비_(1)1"/>
      <sheetName val="정산서__(2)"/>
      <sheetName val="purpose&amp;input"/>
      <sheetName val="Macro1"/>
      <sheetName val="VAE264_VALVES"/>
      <sheetName val="Consumables"/>
      <sheetName val="Benchmark"/>
      <sheetName val="Piping(Methanol)"/>
      <sheetName val="Quantity"/>
      <sheetName val="적정분양가"/>
      <sheetName val="fs도급사업"/>
      <sheetName val="일위대가"/>
      <sheetName val="MINA_BM"/>
      <sheetName val="45,46"/>
      <sheetName val="DWTables"/>
      <sheetName val="직원신상"/>
      <sheetName val="손대지 마세요!"/>
      <sheetName val="Criteria"/>
      <sheetName val="ICGSIP"/>
      <sheetName val="Spread_sht"/>
      <sheetName val="RFP007"/>
      <sheetName val="RFP009"/>
      <sheetName val="토사(PE)"/>
      <sheetName val="손익차9월2"/>
      <sheetName val="편입용지조서"/>
      <sheetName val="1.CB"/>
      <sheetName val="리스료"/>
      <sheetName val="광교1-1"/>
      <sheetName val="BQ-375-1"/>
      <sheetName val="PCSum"/>
      <sheetName val="Project list"/>
      <sheetName val="Interior Wall TAKE OFF"/>
      <sheetName val="Schedule"/>
      <sheetName val="Sheet4"/>
      <sheetName val="Adimi bldg"/>
      <sheetName val="Pump House"/>
      <sheetName val="Fuel Regu Station"/>
      <sheetName val="Summary"/>
      <sheetName val="DHEQSUPT"/>
      <sheetName val="Key Condition"/>
      <sheetName val="01 GTG"/>
      <sheetName val="02 STG"/>
      <sheetName val="03 HRSG"/>
      <sheetName val="04 Mech BOP"/>
      <sheetName val="04 APCS"/>
      <sheetName val="11"/>
      <sheetName val="13"/>
      <sheetName val="14"/>
      <sheetName val="20"/>
      <sheetName val="21"/>
      <sheetName val="22"/>
      <sheetName val="units"/>
      <sheetName val="Y-WORK"/>
      <sheetName val="ITEM"/>
      <sheetName val="EXPAN-1"/>
      <sheetName val="표건"/>
      <sheetName val="tienluong"/>
      <sheetName val="BSD (2)"/>
      <sheetName val="안산기계장치"/>
      <sheetName val="ORIGN"/>
      <sheetName val="표지 (2)"/>
      <sheetName val="RE9604"/>
      <sheetName val="STANDARD (상)-참고"/>
      <sheetName val="0110원본"/>
      <sheetName val="Para"/>
      <sheetName val="96_123"/>
      <sheetName val="97_사업추정(WEKI)2"/>
      <sheetName val="A(Rev_3)2"/>
      <sheetName val="Mech_CIF2"/>
      <sheetName val="tank_list2"/>
      <sheetName val="2_대외공문2"/>
      <sheetName val="입출재고현황_(2)2"/>
      <sheetName val="B_Q__breakdown_(0723_2)_(USD)2"/>
      <sheetName val="Sheet1_(2)2"/>
      <sheetName val="경비_(1)2"/>
      <sheetName val="1_설계기준1"/>
      <sheetName val="P_M_별1"/>
      <sheetName val="태화42_1"/>
      <sheetName val="3_바닥판설계1"/>
      <sheetName val="Ex_Rate1"/>
      <sheetName val="5_3_단면가정1"/>
      <sheetName val="Summary_Sheet"/>
      <sheetName val="정산서__(2)2"/>
      <sheetName val="SK_Engrg-Q"/>
      <sheetName val="공사비_내역_(가)"/>
      <sheetName val="실행내역서_"/>
      <sheetName val="OFFER_RATE"/>
      <sheetName val="COVERSHEET_PAGE"/>
      <sheetName val="TABLE2-2_OSBL-(SITE_PREP)"/>
      <sheetName val="OSBL-TOTAL_(OTHER_WORK)"/>
      <sheetName val="OSBL-TOTAL_(SEA_WATER)"/>
      <sheetName val="OSBL-TOTAL_(CIVIL_WORK)"/>
      <sheetName val="5_세운W-A"/>
      <sheetName val="Ⅳ_1_KEY수입"/>
      <sheetName val="Ⅳ-4_수익총괄"/>
      <sheetName val="ASME_B_36_10_M"/>
      <sheetName val="SUM_(실행원가대비)"/>
      <sheetName val="Summary_2002"/>
      <sheetName val="MH_rate"/>
      <sheetName val="CRUDE_RE-bar"/>
      <sheetName val="C급보_"/>
      <sheetName val="Initial_Input_Variable"/>
      <sheetName val="V-VESSEL_(WITH_DEMISTER)"/>
      <sheetName val="7_경제성결과"/>
      <sheetName val="SUMBER_DAYA"/>
      <sheetName val="Bill_No__2_-_Carpark"/>
      <sheetName val="산출근거(ON-OFF)_"/>
      <sheetName val="VC2_9_98"/>
      <sheetName val="Sales_by_Salesman"/>
      <sheetName val="3_현장배치"/>
      <sheetName val="화재_탐지_설비"/>
      <sheetName val="TABLE2-2_OSBL(total)"/>
      <sheetName val="플랜트_설치"/>
      <sheetName val="E_Rate_PM"/>
      <sheetName val="static_cal"/>
      <sheetName val="마북_손익분석(CATIA)"/>
      <sheetName val="BM_DATA_SHEET"/>
      <sheetName val="Summary_Sheets"/>
      <sheetName val="SHUTDOWN_VALVE"/>
      <sheetName val="MINA_BM1"/>
      <sheetName val="Estimate_Download"/>
      <sheetName val="hori__vessel(E-895)"/>
      <sheetName val="수력_250MW"/>
      <sheetName val="Regenerator__Concrete_Structure"/>
      <sheetName val="STANDARD_(상)-참고"/>
      <sheetName val="TYPE-B_평균H"/>
      <sheetName val="Key_Condition"/>
      <sheetName val="01_GTG"/>
      <sheetName val="02_STG"/>
      <sheetName val="03_HRSG"/>
      <sheetName val="04_Mech_BOP"/>
      <sheetName val="04_APCS"/>
    </sheetNames>
    <sheetDataSet>
      <sheetData sheetId="0" refreshError="1">
        <row r="1">
          <cell r="A1" t="str">
            <v>完 工 工 事  未 決 現 況</v>
          </cell>
        </row>
        <row r="2">
          <cell r="A2" t="str">
            <v>(96年 12月 31日 現在)</v>
          </cell>
        </row>
        <row r="3">
          <cell r="A3" t="str">
            <v xml:space="preserve"> (海外土木)</v>
          </cell>
          <cell r="B3">
            <v>0</v>
          </cell>
          <cell r="C3">
            <v>0</v>
          </cell>
          <cell r="D3">
            <v>0</v>
          </cell>
          <cell r="E3">
            <v>0</v>
          </cell>
          <cell r="F3">
            <v>0</v>
          </cell>
          <cell r="G3">
            <v>0</v>
          </cell>
          <cell r="H3">
            <v>0</v>
          </cell>
          <cell r="I3">
            <v>0</v>
          </cell>
          <cell r="J3">
            <v>0</v>
          </cell>
          <cell r="K3">
            <v>0</v>
          </cell>
          <cell r="L3">
            <v>0</v>
          </cell>
          <cell r="M3">
            <v>0</v>
          </cell>
          <cell r="N3" t="str">
            <v xml:space="preserve">   (單位 : 阡美弗)</v>
          </cell>
        </row>
        <row r="4">
          <cell r="F4" t="str">
            <v xml:space="preserve">   未    決    事    項</v>
          </cell>
        </row>
        <row r="5">
          <cell r="A5" t="str">
            <v xml:space="preserve"> 現 場 名</v>
          </cell>
          <cell r="B5" t="str">
            <v>契約高</v>
          </cell>
          <cell r="C5">
            <v>0</v>
          </cell>
          <cell r="D5">
            <v>0</v>
          </cell>
          <cell r="E5">
            <v>0</v>
          </cell>
          <cell r="F5">
            <v>0</v>
          </cell>
          <cell r="G5">
            <v>0</v>
          </cell>
          <cell r="H5">
            <v>0</v>
          </cell>
          <cell r="I5">
            <v>0</v>
          </cell>
          <cell r="J5" t="str">
            <v>ＣＬＡＩＭ</v>
          </cell>
          <cell r="K5">
            <v>0</v>
          </cell>
          <cell r="L5">
            <v>0</v>
          </cell>
          <cell r="M5" t="str">
            <v xml:space="preserve">                殘餘 事項  및  問題點</v>
          </cell>
          <cell r="N5" t="str">
            <v xml:space="preserve">    措 置 事 項</v>
          </cell>
        </row>
        <row r="6">
          <cell r="B6" t="str">
            <v>( % )</v>
          </cell>
          <cell r="C6" t="str">
            <v>ＰＡＣ</v>
          </cell>
          <cell r="D6" t="str">
            <v>ＦＡＣ</v>
          </cell>
          <cell r="E6" t="str">
            <v xml:space="preserve">     未     收</v>
          </cell>
          <cell r="F6">
            <v>0</v>
          </cell>
          <cell r="G6" t="str">
            <v xml:space="preserve">    ＢＯＮＤ</v>
          </cell>
          <cell r="H6">
            <v>0</v>
          </cell>
          <cell r="I6" t="str">
            <v>提        起</v>
          </cell>
          <cell r="J6">
            <v>0</v>
          </cell>
          <cell r="K6">
            <v>0</v>
          </cell>
          <cell r="L6" t="str">
            <v xml:space="preserve"> 受領</v>
          </cell>
        </row>
        <row r="7">
          <cell r="B7" t="str">
            <v xml:space="preserve"> 工  期</v>
          </cell>
          <cell r="C7">
            <v>0</v>
          </cell>
          <cell r="D7">
            <v>0</v>
          </cell>
          <cell r="E7">
            <v>0</v>
          </cell>
          <cell r="F7">
            <v>0</v>
          </cell>
          <cell r="G7">
            <v>0</v>
          </cell>
          <cell r="H7">
            <v>0</v>
          </cell>
          <cell r="I7" t="str">
            <v>旣提出</v>
          </cell>
          <cell r="J7" t="str">
            <v>提出豫定</v>
          </cell>
          <cell r="K7" t="str">
            <v xml:space="preserve">  小 計</v>
          </cell>
          <cell r="L7" t="str">
            <v xml:space="preserve"> 豫想</v>
          </cell>
        </row>
        <row r="8">
          <cell r="G8" t="str">
            <v xml:space="preserve"> P   :</v>
          </cell>
          <cell r="H8">
            <v>24856</v>
          </cell>
        </row>
        <row r="9">
          <cell r="A9" t="str">
            <v xml:space="preserve">   合   計</v>
          </cell>
          <cell r="B9">
            <v>1998288</v>
          </cell>
          <cell r="C9">
            <v>0</v>
          </cell>
          <cell r="D9">
            <v>0</v>
          </cell>
          <cell r="E9" t="str">
            <v xml:space="preserve"> 旣 成  : </v>
          </cell>
          <cell r="F9">
            <v>16925</v>
          </cell>
          <cell r="G9" t="str">
            <v xml:space="preserve"> C   :</v>
          </cell>
          <cell r="H9">
            <v>140</v>
          </cell>
          <cell r="I9">
            <v>9539</v>
          </cell>
          <cell r="J9">
            <v>0</v>
          </cell>
          <cell r="K9">
            <v>9539</v>
          </cell>
          <cell r="L9" t="str">
            <v xml:space="preserve"> </v>
          </cell>
        </row>
        <row r="10">
          <cell r="A10" t="str">
            <v xml:space="preserve"> (14個現場)</v>
          </cell>
          <cell r="B10">
            <v>0</v>
          </cell>
          <cell r="C10">
            <v>0</v>
          </cell>
          <cell r="D10">
            <v>0</v>
          </cell>
          <cell r="E10" t="str">
            <v xml:space="preserve"> 留 保  : </v>
          </cell>
          <cell r="F10">
            <v>39005</v>
          </cell>
          <cell r="G10" t="str">
            <v xml:space="preserve"> PAYMENT:</v>
          </cell>
          <cell r="H10">
            <v>2451</v>
          </cell>
        </row>
        <row r="11">
          <cell r="G11" t="str">
            <v xml:space="preserve"> R   :</v>
          </cell>
          <cell r="H11">
            <v>1751</v>
          </cell>
        </row>
        <row r="12">
          <cell r="E12" t="str">
            <v xml:space="preserve">   計   :</v>
          </cell>
          <cell r="F12">
            <v>55930</v>
          </cell>
          <cell r="G12" t="str">
            <v xml:space="preserve"> AP  :</v>
          </cell>
          <cell r="H12">
            <v>302</v>
          </cell>
        </row>
        <row r="13">
          <cell r="G13" t="str">
            <v xml:space="preserve"> 計  :</v>
          </cell>
          <cell r="H13">
            <v>29500</v>
          </cell>
        </row>
        <row r="15">
          <cell r="A15" t="str">
            <v xml:space="preserve">  W A S P-1</v>
          </cell>
          <cell r="B15">
            <v>46355</v>
          </cell>
          <cell r="C15" t="str">
            <v xml:space="preserve"> 85.10.21</v>
          </cell>
          <cell r="D15" t="str">
            <v xml:space="preserve"> 87.10.25</v>
          </cell>
          <cell r="E15" t="str">
            <v xml:space="preserve"> 旣 成  : </v>
          </cell>
          <cell r="F15">
            <v>1785</v>
          </cell>
        </row>
        <row r="16">
          <cell r="A16" t="str">
            <v xml:space="preserve">   (IRAQ)</v>
          </cell>
          <cell r="B16" t="str">
            <v xml:space="preserve">     (177.2%)</v>
          </cell>
          <cell r="C16">
            <v>0</v>
          </cell>
          <cell r="D16">
            <v>0</v>
          </cell>
          <cell r="E16" t="str">
            <v xml:space="preserve"> 留 保  : </v>
          </cell>
          <cell r="F16">
            <v>1401</v>
          </cell>
          <cell r="G16">
            <v>0</v>
          </cell>
          <cell r="H16">
            <v>0</v>
          </cell>
          <cell r="I16">
            <v>0</v>
          </cell>
          <cell r="J16">
            <v>0</v>
          </cell>
          <cell r="K16">
            <v>0</v>
          </cell>
          <cell r="L16">
            <v>0</v>
          </cell>
          <cell r="M16" t="str">
            <v xml:space="preserve"> 1. CLAIM : 이란-이락 戰爭 被害 補償</v>
          </cell>
        </row>
        <row r="17">
          <cell r="B17" t="str">
            <v xml:space="preserve">  78.07.29 -</v>
          </cell>
          <cell r="C17">
            <v>0</v>
          </cell>
          <cell r="D17">
            <v>0</v>
          </cell>
          <cell r="E17" t="str">
            <v xml:space="preserve">   計   :</v>
          </cell>
          <cell r="F17">
            <v>3186</v>
          </cell>
          <cell r="G17">
            <v>0</v>
          </cell>
          <cell r="H17">
            <v>0</v>
          </cell>
          <cell r="I17">
            <v>0</v>
          </cell>
          <cell r="J17">
            <v>0</v>
          </cell>
          <cell r="K17">
            <v>0</v>
          </cell>
          <cell r="L17">
            <v>0</v>
          </cell>
          <cell r="M17" t="str">
            <v xml:space="preserve"> 2. 未收旣成 및 NOC 留保金이 아직 PENDING中이며</v>
          </cell>
        </row>
        <row r="18">
          <cell r="B18" t="str">
            <v xml:space="preserve">     85.07.31</v>
          </cell>
          <cell r="C18">
            <v>0</v>
          </cell>
          <cell r="D18">
            <v>0</v>
          </cell>
          <cell r="E18">
            <v>0</v>
          </cell>
          <cell r="F18">
            <v>0</v>
          </cell>
          <cell r="G18">
            <v>0</v>
          </cell>
          <cell r="H18">
            <v>0</v>
          </cell>
          <cell r="I18">
            <v>0</v>
          </cell>
          <cell r="J18">
            <v>0</v>
          </cell>
          <cell r="K18">
            <v>0</v>
          </cell>
          <cell r="L18">
            <v>0</v>
          </cell>
          <cell r="M18" t="str">
            <v xml:space="preserve">    本社의 CLAIM 포기 不可지침으로 取下가 보류된 상태임</v>
          </cell>
        </row>
        <row r="21">
          <cell r="A21" t="str">
            <v xml:space="preserve">  W A S P-2</v>
          </cell>
          <cell r="B21">
            <v>80454</v>
          </cell>
          <cell r="C21" t="str">
            <v xml:space="preserve"> 84.07.05</v>
          </cell>
          <cell r="D21" t="str">
            <v xml:space="preserve"> 87.10.12</v>
          </cell>
          <cell r="E21" t="str">
            <v xml:space="preserve"> 旣 成  : </v>
          </cell>
          <cell r="F21">
            <v>381</v>
          </cell>
          <cell r="G21">
            <v>0</v>
          </cell>
          <cell r="H21">
            <v>0</v>
          </cell>
          <cell r="I21">
            <v>7423</v>
          </cell>
          <cell r="J21">
            <v>0</v>
          </cell>
          <cell r="K21">
            <v>7423</v>
          </cell>
        </row>
        <row r="22">
          <cell r="A22" t="str">
            <v xml:space="preserve">   (IRAQ)</v>
          </cell>
          <cell r="B22" t="str">
            <v xml:space="preserve">      (97.0%)</v>
          </cell>
          <cell r="C22">
            <v>0</v>
          </cell>
          <cell r="D22">
            <v>0</v>
          </cell>
          <cell r="E22" t="str">
            <v xml:space="preserve"> 留 保  : </v>
          </cell>
          <cell r="F22">
            <v>2088</v>
          </cell>
        </row>
        <row r="23">
          <cell r="B23" t="str">
            <v xml:space="preserve">  81.07.07 -</v>
          </cell>
          <cell r="C23">
            <v>0</v>
          </cell>
          <cell r="D23">
            <v>0</v>
          </cell>
          <cell r="E23" t="str">
            <v xml:space="preserve">   計   :</v>
          </cell>
          <cell r="F23">
            <v>2469</v>
          </cell>
        </row>
        <row r="24">
          <cell r="B24" t="str">
            <v xml:space="preserve">     84.07.06</v>
          </cell>
        </row>
        <row r="27">
          <cell r="A27" t="str">
            <v xml:space="preserve">  R A I L N</v>
          </cell>
          <cell r="B27">
            <v>695985</v>
          </cell>
          <cell r="C27" t="str">
            <v xml:space="preserve"> 87.10.01</v>
          </cell>
          <cell r="D27" t="str">
            <v xml:space="preserve"> 92.12.17</v>
          </cell>
          <cell r="E27" t="str">
            <v xml:space="preserve"> 旣 成  : </v>
          </cell>
          <cell r="F27">
            <v>0</v>
          </cell>
          <cell r="G27">
            <v>0</v>
          </cell>
          <cell r="H27">
            <v>0</v>
          </cell>
          <cell r="I27">
            <v>0</v>
          </cell>
          <cell r="J27">
            <v>0</v>
          </cell>
          <cell r="K27">
            <v>0</v>
          </cell>
          <cell r="L27">
            <v>0</v>
          </cell>
          <cell r="M27" t="str">
            <v xml:space="preserve"> 1. 현재 모든 NOC 종결된 상태이나 향후 현지국 경제 및</v>
          </cell>
        </row>
        <row r="28">
          <cell r="A28" t="str">
            <v xml:space="preserve">   (IRAQ)</v>
          </cell>
          <cell r="B28" t="str">
            <v xml:space="preserve">      (83.7%)</v>
          </cell>
          <cell r="C28">
            <v>0</v>
          </cell>
          <cell r="D28">
            <v>0</v>
          </cell>
          <cell r="E28" t="str">
            <v xml:space="preserve"> 留 保  : </v>
          </cell>
          <cell r="F28">
            <v>17446</v>
          </cell>
          <cell r="G28">
            <v>0</v>
          </cell>
          <cell r="H28">
            <v>0</v>
          </cell>
          <cell r="I28">
            <v>0</v>
          </cell>
          <cell r="J28">
            <v>0</v>
          </cell>
          <cell r="K28">
            <v>0</v>
          </cell>
          <cell r="L28">
            <v>0</v>
          </cell>
          <cell r="M28" t="str">
            <v xml:space="preserve">    현지화 가치 안정시까지 취하 보류중임</v>
          </cell>
        </row>
        <row r="29">
          <cell r="B29" t="str">
            <v xml:space="preserve">  82.08.26 -</v>
          </cell>
          <cell r="C29">
            <v>0</v>
          </cell>
          <cell r="D29">
            <v>0</v>
          </cell>
          <cell r="E29" t="str">
            <v xml:space="preserve">   計   :</v>
          </cell>
          <cell r="F29">
            <v>17446</v>
          </cell>
        </row>
        <row r="30">
          <cell r="B30" t="str">
            <v xml:space="preserve">     87.09.30</v>
          </cell>
        </row>
        <row r="33">
          <cell r="A33" t="str">
            <v xml:space="preserve">  K I W A S</v>
          </cell>
          <cell r="B33">
            <v>102090</v>
          </cell>
          <cell r="C33">
            <v>0</v>
          </cell>
          <cell r="D33">
            <v>0</v>
          </cell>
          <cell r="E33" t="str">
            <v xml:space="preserve"> 旣 成  : </v>
          </cell>
          <cell r="F33">
            <v>4113</v>
          </cell>
          <cell r="G33" t="str">
            <v xml:space="preserve"> P  : </v>
          </cell>
          <cell r="H33">
            <v>4374</v>
          </cell>
          <cell r="I33">
            <v>2116</v>
          </cell>
          <cell r="J33">
            <v>0</v>
          </cell>
          <cell r="K33">
            <v>2116</v>
          </cell>
          <cell r="L33">
            <v>0</v>
          </cell>
          <cell r="M33" t="str">
            <v xml:space="preserve"> 1. 現地業體의 殘工事遂行에 따라 93.5.23日付로 契約 終結</v>
          </cell>
        </row>
        <row r="34">
          <cell r="A34" t="str">
            <v xml:space="preserve">   (IRAQ)</v>
          </cell>
          <cell r="B34" t="str">
            <v xml:space="preserve">      (81.0%)</v>
          </cell>
          <cell r="C34">
            <v>0</v>
          </cell>
          <cell r="D34">
            <v>0</v>
          </cell>
          <cell r="E34" t="str">
            <v xml:space="preserve"> 留 保  : </v>
          </cell>
          <cell r="F34">
            <v>5308</v>
          </cell>
          <cell r="G34" t="str">
            <v xml:space="preserve">   (91.01.25)</v>
          </cell>
          <cell r="H34">
            <v>0</v>
          </cell>
          <cell r="I34">
            <v>0</v>
          </cell>
          <cell r="J34">
            <v>0</v>
          </cell>
          <cell r="K34">
            <v>0</v>
          </cell>
          <cell r="L34">
            <v>0</v>
          </cell>
          <cell r="M34" t="str">
            <v xml:space="preserve"> 2. 契約 終結에 따른 補償費 請求: U$ 2,116阡(93.06.26)</v>
          </cell>
        </row>
        <row r="35">
          <cell r="B35" t="str">
            <v xml:space="preserve">  85.11.11 -</v>
          </cell>
          <cell r="C35">
            <v>0</v>
          </cell>
          <cell r="D35">
            <v>0</v>
          </cell>
          <cell r="E35" t="str">
            <v xml:space="preserve">   計   :</v>
          </cell>
          <cell r="F35">
            <v>9421</v>
          </cell>
          <cell r="G35">
            <v>0</v>
          </cell>
          <cell r="H35">
            <v>0</v>
          </cell>
          <cell r="I35">
            <v>0</v>
          </cell>
          <cell r="J35">
            <v>0</v>
          </cell>
          <cell r="K35">
            <v>0</v>
          </cell>
          <cell r="L35">
            <v>0</v>
          </cell>
          <cell r="M35" t="str">
            <v xml:space="preserve"> 3. 전쟁 발발로 인한 공사중단에 따른 93.5.29 TERMINATION LTR</v>
          </cell>
        </row>
        <row r="36">
          <cell r="B36" t="str">
            <v xml:space="preserve">     90.12.10</v>
          </cell>
          <cell r="C36">
            <v>0</v>
          </cell>
          <cell r="D36">
            <v>0</v>
          </cell>
          <cell r="E36">
            <v>0</v>
          </cell>
          <cell r="F36">
            <v>0</v>
          </cell>
          <cell r="G36">
            <v>0</v>
          </cell>
          <cell r="H36">
            <v>0</v>
          </cell>
          <cell r="I36">
            <v>0</v>
          </cell>
          <cell r="J36">
            <v>0</v>
          </cell>
          <cell r="K36">
            <v>0</v>
          </cell>
          <cell r="L36">
            <v>0</v>
          </cell>
          <cell r="M36" t="str">
            <v xml:space="preserve">    93.6.26, CLAIM을 발주처에 제출해 놓은 상태임</v>
          </cell>
          <cell r="N36" t="str">
            <v xml:space="preserve"> * 當社의 法定</v>
          </cell>
        </row>
        <row r="37">
          <cell r="M37" t="str">
            <v xml:space="preserve"> 4. 발주처로부터 AL-FAO로의 기자재 인수 절차가 시작됨에</v>
          </cell>
          <cell r="N37" t="str">
            <v xml:space="preserve">   代理人 選任</v>
          </cell>
        </row>
        <row r="38">
          <cell r="M38" t="str">
            <v xml:space="preserve">    따라 동 인수절차 완료후 미결 137건에 대한 사후관리를</v>
          </cell>
          <cell r="N38" t="str">
            <v xml:space="preserve">   (94.11.11)</v>
          </cell>
        </row>
        <row r="39">
          <cell r="M39" t="str">
            <v xml:space="preserve">    추진할 예정이며 그후 세관 기타 기관의 NOC를 득한 후</v>
          </cell>
        </row>
        <row r="40">
          <cell r="M40" t="str">
            <v xml:space="preserve">    정식 TERMINATION LTR, CLAIM건, P-BOND 해제를 추진할</v>
          </cell>
        </row>
        <row r="41">
          <cell r="M41" t="str">
            <v xml:space="preserve">    예정임</v>
          </cell>
        </row>
        <row r="44">
          <cell r="A44" t="str">
            <v xml:space="preserve">  I P S A-II</v>
          </cell>
          <cell r="B44">
            <v>214630</v>
          </cell>
          <cell r="C44">
            <v>0</v>
          </cell>
          <cell r="D44">
            <v>0</v>
          </cell>
          <cell r="E44">
            <v>0</v>
          </cell>
          <cell r="F44">
            <v>0</v>
          </cell>
          <cell r="G44">
            <v>0</v>
          </cell>
          <cell r="H44">
            <v>0</v>
          </cell>
          <cell r="I44">
            <v>0</v>
          </cell>
          <cell r="J44">
            <v>0</v>
          </cell>
          <cell r="K44">
            <v>0</v>
          </cell>
          <cell r="L44">
            <v>0</v>
          </cell>
          <cell r="M44" t="str">
            <v xml:space="preserve"> * MHI분 입금시 취하예정</v>
          </cell>
        </row>
        <row r="45">
          <cell r="A45" t="str">
            <v xml:space="preserve">   (IRAQ)</v>
          </cell>
          <cell r="B45" t="str">
            <v xml:space="preserve">      (83.0%)</v>
          </cell>
          <cell r="C45">
            <v>0</v>
          </cell>
          <cell r="D45">
            <v>0</v>
          </cell>
          <cell r="E45" t="str">
            <v xml:space="preserve"> 留 保  : </v>
          </cell>
          <cell r="F45">
            <v>555</v>
          </cell>
          <cell r="G45">
            <v>0</v>
          </cell>
          <cell r="H45">
            <v>0</v>
          </cell>
          <cell r="I45">
            <v>0</v>
          </cell>
          <cell r="J45">
            <v>0</v>
          </cell>
          <cell r="K45">
            <v>0</v>
          </cell>
          <cell r="L45">
            <v>0</v>
          </cell>
          <cell r="M45" t="str">
            <v xml:space="preserve"> * NOC 발급 : 96.12.17</v>
          </cell>
        </row>
        <row r="46">
          <cell r="B46" t="str">
            <v xml:space="preserve">  82.09.20 -</v>
          </cell>
          <cell r="C46">
            <v>0</v>
          </cell>
          <cell r="D46">
            <v>0</v>
          </cell>
          <cell r="E46" t="str">
            <v xml:space="preserve">   計   :</v>
          </cell>
          <cell r="F46">
            <v>555</v>
          </cell>
        </row>
        <row r="48">
          <cell r="M48" t="str">
            <v xml:space="preserve"> 1. 해상장비 13척 반출승인 : 1996.3.26일</v>
          </cell>
        </row>
        <row r="49">
          <cell r="A49" t="str">
            <v xml:space="preserve">  N A S R Y</v>
          </cell>
          <cell r="B49" t="str">
            <v xml:space="preserve">    (754,089)</v>
          </cell>
          <cell r="C49">
            <v>0</v>
          </cell>
          <cell r="D49">
            <v>0</v>
          </cell>
          <cell r="E49">
            <v>0</v>
          </cell>
          <cell r="F49">
            <v>0</v>
          </cell>
          <cell r="G49" t="str">
            <v xml:space="preserve"> (P   :  33,693)</v>
          </cell>
          <cell r="H49">
            <v>0</v>
          </cell>
          <cell r="I49" t="str">
            <v xml:space="preserve">  (39,548)</v>
          </cell>
          <cell r="J49">
            <v>0</v>
          </cell>
          <cell r="K49" t="str">
            <v xml:space="preserve">  (39,548)</v>
          </cell>
          <cell r="L49">
            <v>0</v>
          </cell>
          <cell r="M49" t="str">
            <v xml:space="preserve"> 2. 항만청 기증 : 3척</v>
          </cell>
        </row>
        <row r="50">
          <cell r="A50" t="str">
            <v xml:space="preserve">   (IRAQ)</v>
          </cell>
          <cell r="B50" t="str">
            <v xml:space="preserve">      (75.7%)</v>
          </cell>
          <cell r="C50">
            <v>0</v>
          </cell>
          <cell r="D50">
            <v>0</v>
          </cell>
          <cell r="E50">
            <v>0</v>
          </cell>
          <cell r="F50">
            <v>0</v>
          </cell>
          <cell r="G50" t="str">
            <v xml:space="preserve"> (AP  :  67,387)</v>
          </cell>
          <cell r="H50">
            <v>0</v>
          </cell>
          <cell r="I50">
            <v>0</v>
          </cell>
          <cell r="J50">
            <v>0</v>
          </cell>
          <cell r="K50">
            <v>0</v>
          </cell>
          <cell r="L50">
            <v>0</v>
          </cell>
          <cell r="M50" t="str">
            <v xml:space="preserve"> 3. 석유성 임차(6개월) : 4대(3대 반환 예정)</v>
          </cell>
        </row>
        <row r="51">
          <cell r="B51" t="str">
            <v xml:space="preserve">       36個月</v>
          </cell>
          <cell r="C51">
            <v>0</v>
          </cell>
          <cell r="D51">
            <v>0</v>
          </cell>
          <cell r="E51">
            <v>0</v>
          </cell>
          <cell r="F51">
            <v>0</v>
          </cell>
          <cell r="G51" t="str">
            <v xml:space="preserve"> ( 계 : 101,080)</v>
          </cell>
          <cell r="H51">
            <v>0</v>
          </cell>
          <cell r="I51">
            <v>0</v>
          </cell>
          <cell r="J51">
            <v>0</v>
          </cell>
          <cell r="K51">
            <v>0</v>
          </cell>
          <cell r="L51">
            <v>0</v>
          </cell>
          <cell r="M51" t="str">
            <v xml:space="preserve"> 4. 잔여 6대중 1항차 출발 : 96.10.16(BD-5006)</v>
          </cell>
        </row>
        <row r="52">
          <cell r="M52" t="str">
            <v xml:space="preserve"> 5. 잔여 6대중 2항차 출발 : 96.11.21(BD-5005)</v>
          </cell>
        </row>
        <row r="53">
          <cell r="M53" t="str">
            <v xml:space="preserve"> 6. CHECK POINT 미승인 통과로 해상 계류 : 96.11.25</v>
          </cell>
        </row>
        <row r="54">
          <cell r="M54" t="str">
            <v xml:space="preserve"> 7. 반출된 2척 및 잔여 4대, 준설자재 UN 승인 완 : 96.12.12</v>
          </cell>
        </row>
        <row r="58">
          <cell r="A58" t="str">
            <v xml:space="preserve">   IRAQ 計</v>
          </cell>
          <cell r="B58">
            <v>0</v>
          </cell>
          <cell r="C58">
            <v>0</v>
          </cell>
          <cell r="D58">
            <v>0</v>
          </cell>
          <cell r="E58" t="str">
            <v xml:space="preserve"> 旣 成  : </v>
          </cell>
          <cell r="F58">
            <v>6279</v>
          </cell>
          <cell r="G58" t="str">
            <v xml:space="preserve"> P   :</v>
          </cell>
          <cell r="H58">
            <v>4374</v>
          </cell>
          <cell r="I58">
            <v>9539</v>
          </cell>
          <cell r="J58">
            <v>0</v>
          </cell>
          <cell r="K58">
            <v>9539</v>
          </cell>
        </row>
        <row r="59">
          <cell r="A59" t="str">
            <v>(6個 現場)</v>
          </cell>
          <cell r="B59">
            <v>0</v>
          </cell>
          <cell r="C59">
            <v>0</v>
          </cell>
          <cell r="D59">
            <v>0</v>
          </cell>
          <cell r="E59" t="str">
            <v xml:space="preserve"> 留 保  : </v>
          </cell>
          <cell r="F59">
            <v>26798</v>
          </cell>
          <cell r="G59" t="str">
            <v xml:space="preserve"> AP  :  </v>
          </cell>
          <cell r="H59">
            <v>0</v>
          </cell>
        </row>
        <row r="60">
          <cell r="E60" t="str">
            <v xml:space="preserve">   計   :</v>
          </cell>
          <cell r="F60">
            <v>33077</v>
          </cell>
          <cell r="G60" t="str">
            <v xml:space="preserve">  計 :</v>
          </cell>
          <cell r="H60">
            <v>4374</v>
          </cell>
        </row>
      </sheetData>
      <sheetData sheetId="1">
        <row r="1">
          <cell r="A1" t="str">
            <v>完 工 工 事  未 決 現 況</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ow r="1">
          <cell r="A1">
            <v>0</v>
          </cell>
        </row>
      </sheetData>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row r="1">
          <cell r="A1">
            <v>0</v>
          </cell>
        </row>
      </sheetData>
      <sheetData sheetId="296"/>
      <sheetData sheetId="297"/>
      <sheetData sheetId="298"/>
      <sheetData sheetId="299">
        <row r="1">
          <cell r="A1">
            <v>0</v>
          </cell>
        </row>
      </sheetData>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TCC"/>
      <sheetName val="recommandation"/>
      <sheetName val="mode d'emploi"/>
      <sheetName val="INPUT DATA"/>
      <sheetName val="base"/>
      <sheetName val="RIEP"/>
      <sheetName val="MR"/>
      <sheetName val="WE'T"/>
      <sheetName val="세부내역"/>
      <sheetName val="환율"/>
      <sheetName val="Sheet1"/>
      <sheetName val="노임단가"/>
      <sheetName val="96.12"/>
    </sheetNames>
    <sheetDataSet>
      <sheetData sheetId="0">
        <row r="4">
          <cell r="A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R"/>
      <sheetName val="E_Rate"/>
      <sheetName val="WE'T"/>
      <sheetName val="세부내역"/>
      <sheetName val="환율"/>
      <sheetName val="RIEP"/>
      <sheetName val="WIND"/>
      <sheetName val="eq_data"/>
      <sheetName val="경제지표"/>
      <sheetName val="Shipping Cost"/>
      <sheetName val="실행내역"/>
      <sheetName val="TOEC"/>
      <sheetName val="노임단가"/>
    </sheetNames>
    <sheetDataSet>
      <sheetData sheetId="0">
        <row r="3">
          <cell r="S3" t="str">
            <v>B</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CO"/>
      <sheetName val="97년 SEACO예산"/>
    </sheetNames>
    <sheetDataSet>
      <sheetData sheetId="0"/>
      <sheetData sheetId="1">
        <row r="16">
          <cell r="F16">
            <v>88181</v>
          </cell>
          <cell r="I16">
            <v>98048</v>
          </cell>
          <cell r="J16">
            <v>9867</v>
          </cell>
          <cell r="M16">
            <v>77142</v>
          </cell>
          <cell r="N16" t="str">
            <v xml:space="preserve"> </v>
          </cell>
          <cell r="P16">
            <v>5623</v>
          </cell>
          <cell r="S16">
            <v>82765</v>
          </cell>
          <cell r="T16">
            <v>-15283</v>
          </cell>
        </row>
        <row r="17">
          <cell r="D17">
            <v>14</v>
          </cell>
          <cell r="E17">
            <v>2719.7142857142858</v>
          </cell>
          <cell r="F17">
            <v>38076</v>
          </cell>
          <cell r="G17">
            <v>11.75</v>
          </cell>
          <cell r="H17">
            <v>3256.4255319148938</v>
          </cell>
          <cell r="I17">
            <v>38263</v>
          </cell>
          <cell r="J17">
            <v>187</v>
          </cell>
          <cell r="K17">
            <v>11</v>
          </cell>
          <cell r="L17">
            <v>2797.2727272727275</v>
          </cell>
          <cell r="M17">
            <v>30770</v>
          </cell>
          <cell r="N17" t="str">
            <v xml:space="preserve"> </v>
          </cell>
          <cell r="O17">
            <v>21.909090909090537</v>
          </cell>
          <cell r="P17">
            <v>241</v>
          </cell>
          <cell r="Q17">
            <v>11</v>
          </cell>
          <cell r="R17">
            <v>2819.181818181818</v>
          </cell>
          <cell r="S17">
            <v>31011</v>
          </cell>
          <cell r="T17">
            <v>-7252</v>
          </cell>
        </row>
        <row r="18">
          <cell r="D18">
            <v>14</v>
          </cell>
          <cell r="E18">
            <v>1523</v>
          </cell>
          <cell r="F18">
            <v>21322</v>
          </cell>
          <cell r="G18">
            <v>11.75</v>
          </cell>
          <cell r="H18">
            <v>1697.0212765957447</v>
          </cell>
          <cell r="I18">
            <v>19940</v>
          </cell>
          <cell r="J18">
            <v>-1382</v>
          </cell>
          <cell r="K18">
            <v>11</v>
          </cell>
          <cell r="L18">
            <v>1640.909090909091</v>
          </cell>
          <cell r="M18">
            <v>18050</v>
          </cell>
          <cell r="N18" t="str">
            <v xml:space="preserve"> </v>
          </cell>
          <cell r="O18">
            <v>-9.0909090909235601E-2</v>
          </cell>
          <cell r="P18">
            <v>-1</v>
          </cell>
          <cell r="Q18">
            <v>11</v>
          </cell>
          <cell r="R18">
            <v>1640.8181818181818</v>
          </cell>
          <cell r="S18">
            <v>18049</v>
          </cell>
          <cell r="T18">
            <v>-1891</v>
          </cell>
        </row>
        <row r="19">
          <cell r="D19">
            <v>14</v>
          </cell>
          <cell r="E19">
            <v>625.42857142857144</v>
          </cell>
          <cell r="F19">
            <v>8756</v>
          </cell>
          <cell r="G19">
            <v>11.75</v>
          </cell>
          <cell r="H19">
            <v>1715.3191489361702</v>
          </cell>
          <cell r="I19">
            <v>20155</v>
          </cell>
          <cell r="J19">
            <v>11399</v>
          </cell>
          <cell r="K19">
            <v>11</v>
          </cell>
          <cell r="L19">
            <v>1395.909090909091</v>
          </cell>
          <cell r="M19">
            <v>15355</v>
          </cell>
          <cell r="N19" t="str">
            <v xml:space="preserve"> </v>
          </cell>
          <cell r="O19">
            <v>-9.0909090909092356</v>
          </cell>
          <cell r="P19">
            <v>-100</v>
          </cell>
          <cell r="Q19">
            <v>11</v>
          </cell>
          <cell r="R19">
            <v>1386.8181818181818</v>
          </cell>
          <cell r="S19">
            <v>15255</v>
          </cell>
          <cell r="T19">
            <v>-4900</v>
          </cell>
        </row>
        <row r="20">
          <cell r="D20">
            <v>14</v>
          </cell>
          <cell r="E20">
            <v>1430.5</v>
          </cell>
          <cell r="F20">
            <v>20027</v>
          </cell>
          <cell r="G20">
            <v>11.75</v>
          </cell>
          <cell r="H20">
            <v>1675.7446808510638</v>
          </cell>
          <cell r="I20">
            <v>19690</v>
          </cell>
          <cell r="J20">
            <v>-337</v>
          </cell>
          <cell r="K20">
            <v>11</v>
          </cell>
          <cell r="L20">
            <v>1178.8181818181818</v>
          </cell>
          <cell r="M20">
            <v>12967</v>
          </cell>
          <cell r="N20" t="str">
            <v xml:space="preserve"> </v>
          </cell>
          <cell r="O20">
            <v>498.4545454545455</v>
          </cell>
          <cell r="P20">
            <v>5483</v>
          </cell>
          <cell r="Q20">
            <v>11</v>
          </cell>
          <cell r="R20">
            <v>1677.2727272727273</v>
          </cell>
          <cell r="S20">
            <v>18450</v>
          </cell>
          <cell r="T20">
            <v>-1240</v>
          </cell>
        </row>
        <row r="21">
          <cell r="F21">
            <v>37347</v>
          </cell>
          <cell r="I21">
            <v>44684</v>
          </cell>
          <cell r="J21">
            <v>7337</v>
          </cell>
          <cell r="M21">
            <v>48584</v>
          </cell>
          <cell r="P21">
            <v>-2827</v>
          </cell>
          <cell r="S21">
            <v>45757</v>
          </cell>
          <cell r="T21">
            <v>1073</v>
          </cell>
        </row>
        <row r="22">
          <cell r="D22">
            <v>20</v>
          </cell>
          <cell r="E22">
            <v>1186.8499999999999</v>
          </cell>
          <cell r="F22">
            <v>23737</v>
          </cell>
          <cell r="G22">
            <v>20.75</v>
          </cell>
          <cell r="H22">
            <v>1393.8313253012047</v>
          </cell>
          <cell r="I22">
            <v>28922</v>
          </cell>
          <cell r="J22">
            <v>5185</v>
          </cell>
          <cell r="K22">
            <v>22</v>
          </cell>
          <cell r="L22">
            <v>1463.2727272727273</v>
          </cell>
          <cell r="M22">
            <v>32192</v>
          </cell>
          <cell r="N22">
            <v>-1</v>
          </cell>
          <cell r="O22">
            <v>-13.653679653679546</v>
          </cell>
          <cell r="P22">
            <v>-1750</v>
          </cell>
          <cell r="Q22">
            <v>21</v>
          </cell>
          <cell r="R22">
            <v>1449.6190476190477</v>
          </cell>
          <cell r="S22">
            <v>30442</v>
          </cell>
          <cell r="T22">
            <v>1520</v>
          </cell>
        </row>
        <row r="23">
          <cell r="D23">
            <v>20</v>
          </cell>
          <cell r="E23">
            <v>439.15</v>
          </cell>
          <cell r="F23">
            <v>8783</v>
          </cell>
          <cell r="G23">
            <v>20.75</v>
          </cell>
          <cell r="H23">
            <v>536.04819277108436</v>
          </cell>
          <cell r="I23">
            <v>11123</v>
          </cell>
          <cell r="J23">
            <v>2340</v>
          </cell>
          <cell r="K23">
            <v>22</v>
          </cell>
          <cell r="L23">
            <v>438.36363636363637</v>
          </cell>
          <cell r="M23">
            <v>9644</v>
          </cell>
          <cell r="N23">
            <v>-1</v>
          </cell>
          <cell r="O23">
            <v>1.2077922077921812</v>
          </cell>
          <cell r="P23">
            <v>-413</v>
          </cell>
          <cell r="Q23">
            <v>21</v>
          </cell>
          <cell r="R23">
            <v>439.57142857142856</v>
          </cell>
          <cell r="S23">
            <v>9231</v>
          </cell>
          <cell r="T23">
            <v>-1892</v>
          </cell>
        </row>
        <row r="24">
          <cell r="D24">
            <v>20</v>
          </cell>
          <cell r="E24">
            <v>241.35</v>
          </cell>
          <cell r="F24">
            <v>4827</v>
          </cell>
          <cell r="G24">
            <v>20.75</v>
          </cell>
          <cell r="H24">
            <v>223.56626506024097</v>
          </cell>
          <cell r="I24">
            <v>4639</v>
          </cell>
          <cell r="J24">
            <v>-188</v>
          </cell>
          <cell r="K24">
            <v>22</v>
          </cell>
          <cell r="L24">
            <v>306.72727272727275</v>
          </cell>
          <cell r="M24">
            <v>6748</v>
          </cell>
          <cell r="N24">
            <v>-1</v>
          </cell>
          <cell r="O24">
            <v>-17.012987012987026</v>
          </cell>
          <cell r="P24">
            <v>-664</v>
          </cell>
          <cell r="Q24">
            <v>21</v>
          </cell>
          <cell r="R24">
            <v>289.71428571428572</v>
          </cell>
          <cell r="S24">
            <v>6084</v>
          </cell>
          <cell r="T24">
            <v>1445</v>
          </cell>
        </row>
        <row r="25">
          <cell r="F25">
            <v>4975</v>
          </cell>
          <cell r="J25">
            <v>-4975</v>
          </cell>
          <cell r="N25" t="str">
            <v xml:space="preserve"> </v>
          </cell>
          <cell r="O25" t="str">
            <v xml:space="preserve"> </v>
          </cell>
          <cell r="P25" t="str">
            <v xml:space="preserve"> </v>
          </cell>
          <cell r="T25" t="str">
            <v xml:space="preserve"> </v>
          </cell>
        </row>
        <row r="26">
          <cell r="J26" t="str">
            <v xml:space="preserve"> </v>
          </cell>
          <cell r="T26" t="str">
            <v xml:space="preserve"> </v>
          </cell>
        </row>
        <row r="27">
          <cell r="D27">
            <v>3.3</v>
          </cell>
          <cell r="E27">
            <v>1507.5757575757577</v>
          </cell>
          <cell r="F27">
            <v>4975</v>
          </cell>
          <cell r="J27">
            <v>-4975</v>
          </cell>
          <cell r="N27" t="str">
            <v xml:space="preserve"> </v>
          </cell>
          <cell r="O27" t="str">
            <v xml:space="preserve"> </v>
          </cell>
          <cell r="P27" t="str">
            <v xml:space="preserve"> </v>
          </cell>
          <cell r="T27" t="str">
            <v xml:space="preserve"> </v>
          </cell>
        </row>
        <row r="28">
          <cell r="D28">
            <v>13.9</v>
          </cell>
          <cell r="E28">
            <v>571.43884892086328</v>
          </cell>
          <cell r="F28">
            <v>7943</v>
          </cell>
          <cell r="G28">
            <v>11.75</v>
          </cell>
          <cell r="H28">
            <v>1482.2978723404256</v>
          </cell>
          <cell r="I28">
            <v>17417</v>
          </cell>
          <cell r="J28">
            <v>9474</v>
          </cell>
          <cell r="K28">
            <v>11</v>
          </cell>
          <cell r="L28">
            <v>1123.4545454545455</v>
          </cell>
          <cell r="M28">
            <v>12358</v>
          </cell>
          <cell r="N28" t="str">
            <v xml:space="preserve"> </v>
          </cell>
          <cell r="O28">
            <v>-167.36363636363637</v>
          </cell>
          <cell r="P28">
            <v>-1841</v>
          </cell>
          <cell r="Q28">
            <v>11</v>
          </cell>
          <cell r="R28">
            <v>956.09090909090912</v>
          </cell>
          <cell r="S28">
            <v>10517</v>
          </cell>
          <cell r="T28">
            <v>-6900</v>
          </cell>
        </row>
        <row r="29">
          <cell r="F29">
            <v>138446</v>
          </cell>
          <cell r="I29">
            <v>160149</v>
          </cell>
          <cell r="J29">
            <v>21703</v>
          </cell>
          <cell r="M29">
            <v>138084</v>
          </cell>
          <cell r="N29" t="str">
            <v xml:space="preserve"> </v>
          </cell>
          <cell r="O29" t="str">
            <v xml:space="preserve"> </v>
          </cell>
          <cell r="P29">
            <v>955</v>
          </cell>
          <cell r="S29">
            <v>139039</v>
          </cell>
          <cell r="T29">
            <v>-21110</v>
          </cell>
        </row>
        <row r="30">
          <cell r="D30">
            <v>34</v>
          </cell>
          <cell r="E30">
            <v>1015.5588235294117</v>
          </cell>
          <cell r="F30">
            <v>34529</v>
          </cell>
          <cell r="G30">
            <v>32.5</v>
          </cell>
          <cell r="H30">
            <v>1123.2307692307693</v>
          </cell>
          <cell r="I30">
            <v>36505</v>
          </cell>
          <cell r="J30">
            <v>1976</v>
          </cell>
          <cell r="K30">
            <v>30</v>
          </cell>
          <cell r="L30">
            <v>1293.1333333333334</v>
          </cell>
          <cell r="M30">
            <v>38794</v>
          </cell>
          <cell r="N30">
            <v>2</v>
          </cell>
          <cell r="O30">
            <v>-80.820833333333439</v>
          </cell>
          <cell r="Q30">
            <v>32</v>
          </cell>
          <cell r="R30">
            <v>1212.3125</v>
          </cell>
          <cell r="S30">
            <v>38794</v>
          </cell>
          <cell r="T30">
            <v>2289</v>
          </cell>
        </row>
        <row r="31">
          <cell r="F31">
            <v>7094</v>
          </cell>
          <cell r="I31">
            <v>5513</v>
          </cell>
          <cell r="J31">
            <v>-1581</v>
          </cell>
          <cell r="M31">
            <v>3894</v>
          </cell>
          <cell r="N31" t="str">
            <v xml:space="preserve"> </v>
          </cell>
          <cell r="O31" t="str">
            <v xml:space="preserve"> </v>
          </cell>
          <cell r="P31" t="str">
            <v xml:space="preserve"> </v>
          </cell>
          <cell r="S31">
            <v>3894</v>
          </cell>
          <cell r="T31">
            <v>-1619</v>
          </cell>
        </row>
        <row r="32">
          <cell r="J32" t="str">
            <v xml:space="preserve"> </v>
          </cell>
          <cell r="N32" t="str">
            <v xml:space="preserve"> </v>
          </cell>
          <cell r="O32" t="str">
            <v xml:space="preserve"> </v>
          </cell>
          <cell r="T32" t="str">
            <v xml:space="preserve"> </v>
          </cell>
        </row>
        <row r="33">
          <cell r="D33">
            <v>3</v>
          </cell>
          <cell r="E33">
            <v>2364.6666666666665</v>
          </cell>
          <cell r="F33">
            <v>7094</v>
          </cell>
          <cell r="G33">
            <v>11.75</v>
          </cell>
          <cell r="H33">
            <v>469.19148936170211</v>
          </cell>
          <cell r="I33">
            <v>5513</v>
          </cell>
          <cell r="J33">
            <v>-1581</v>
          </cell>
          <cell r="K33">
            <v>10</v>
          </cell>
          <cell r="L33">
            <v>389.4</v>
          </cell>
          <cell r="M33">
            <v>3894</v>
          </cell>
          <cell r="N33">
            <v>-8</v>
          </cell>
          <cell r="O33">
            <v>1557.6</v>
          </cell>
          <cell r="P33" t="str">
            <v xml:space="preserve"> </v>
          </cell>
          <cell r="Q33">
            <v>2</v>
          </cell>
          <cell r="R33">
            <v>1947</v>
          </cell>
          <cell r="S33">
            <v>3894</v>
          </cell>
          <cell r="T33">
            <v>-1619</v>
          </cell>
        </row>
        <row r="34">
          <cell r="J34" t="str">
            <v xml:space="preserve"> </v>
          </cell>
          <cell r="N34" t="str">
            <v xml:space="preserve"> </v>
          </cell>
          <cell r="O34" t="str">
            <v xml:space="preserve"> </v>
          </cell>
          <cell r="P34" t="str">
            <v xml:space="preserve"> </v>
          </cell>
          <cell r="T34" t="str">
            <v xml:space="preserve"> </v>
          </cell>
        </row>
        <row r="35">
          <cell r="D35">
            <v>34</v>
          </cell>
          <cell r="E35">
            <v>34.794117647058826</v>
          </cell>
          <cell r="F35">
            <v>1183</v>
          </cell>
          <cell r="T35" t="str">
            <v xml:space="preserve"> </v>
          </cell>
        </row>
        <row r="36">
          <cell r="J36" t="str">
            <v xml:space="preserve"> </v>
          </cell>
          <cell r="N36" t="str">
            <v xml:space="preserve"> </v>
          </cell>
          <cell r="O36" t="str">
            <v xml:space="preserve"> </v>
          </cell>
          <cell r="P36" t="str">
            <v xml:space="preserve"> </v>
          </cell>
          <cell r="T36" t="str">
            <v xml:space="preserve"> </v>
          </cell>
        </row>
        <row r="37">
          <cell r="D37">
            <v>34</v>
          </cell>
          <cell r="E37">
            <v>8.7058823529411757</v>
          </cell>
          <cell r="F37">
            <v>296</v>
          </cell>
          <cell r="G37">
            <v>32.5</v>
          </cell>
          <cell r="H37">
            <v>22.338461538461537</v>
          </cell>
          <cell r="I37">
            <v>726</v>
          </cell>
          <cell r="K37">
            <v>30</v>
          </cell>
          <cell r="L37">
            <v>14.033333333333333</v>
          </cell>
          <cell r="M37">
            <v>421</v>
          </cell>
          <cell r="N37">
            <v>2</v>
          </cell>
          <cell r="O37">
            <v>-0.87708333333333321</v>
          </cell>
          <cell r="P37" t="str">
            <v xml:space="preserve"> </v>
          </cell>
          <cell r="Q37">
            <v>32</v>
          </cell>
          <cell r="R37">
            <v>13.15625</v>
          </cell>
          <cell r="S37">
            <v>421</v>
          </cell>
        </row>
        <row r="38">
          <cell r="F38">
            <v>43102</v>
          </cell>
          <cell r="I38">
            <v>42744</v>
          </cell>
          <cell r="J38">
            <v>-358</v>
          </cell>
          <cell r="M38">
            <v>43109</v>
          </cell>
          <cell r="N38" t="str">
            <v xml:space="preserve"> </v>
          </cell>
          <cell r="O38" t="str">
            <v xml:space="preserve"> </v>
          </cell>
          <cell r="P38" t="str">
            <v xml:space="preserve"> </v>
          </cell>
          <cell r="S38">
            <v>43109</v>
          </cell>
          <cell r="T38">
            <v>365</v>
          </cell>
        </row>
        <row r="39">
          <cell r="D39">
            <v>1</v>
          </cell>
          <cell r="E39">
            <v>50</v>
          </cell>
          <cell r="F39">
            <v>50</v>
          </cell>
          <cell r="I39">
            <v>153</v>
          </cell>
          <cell r="J39">
            <v>103</v>
          </cell>
          <cell r="N39" t="str">
            <v xml:space="preserve"> </v>
          </cell>
          <cell r="O39" t="str">
            <v xml:space="preserve"> </v>
          </cell>
          <cell r="P39" t="str">
            <v xml:space="preserve"> </v>
          </cell>
          <cell r="T39">
            <v>-153</v>
          </cell>
        </row>
        <row r="40">
          <cell r="D40">
            <v>14</v>
          </cell>
          <cell r="E40">
            <v>140.92857142857142</v>
          </cell>
          <cell r="F40">
            <v>1973</v>
          </cell>
          <cell r="G40">
            <v>11.75</v>
          </cell>
          <cell r="H40">
            <v>55.914893617021278</v>
          </cell>
          <cell r="I40">
            <v>657</v>
          </cell>
          <cell r="J40">
            <v>-1316</v>
          </cell>
          <cell r="K40">
            <v>11</v>
          </cell>
          <cell r="L40">
            <v>70.272727272727266</v>
          </cell>
          <cell r="M40">
            <v>773</v>
          </cell>
          <cell r="N40" t="str">
            <v xml:space="preserve"> </v>
          </cell>
          <cell r="O40">
            <v>-31.54545454545454</v>
          </cell>
          <cell r="P40">
            <v>-347</v>
          </cell>
          <cell r="Q40">
            <v>11</v>
          </cell>
          <cell r="R40">
            <v>38.727272727272727</v>
          </cell>
          <cell r="S40">
            <v>426</v>
          </cell>
          <cell r="T40">
            <v>-231</v>
          </cell>
        </row>
        <row r="41">
          <cell r="D41">
            <v>3</v>
          </cell>
          <cell r="E41">
            <v>43</v>
          </cell>
          <cell r="F41">
            <v>129</v>
          </cell>
          <cell r="I41">
            <v>227</v>
          </cell>
          <cell r="J41">
            <v>98</v>
          </cell>
          <cell r="N41" t="str">
            <v xml:space="preserve"> </v>
          </cell>
          <cell r="O41" t="str">
            <v xml:space="preserve"> </v>
          </cell>
          <cell r="P41" t="str">
            <v xml:space="preserve"> </v>
          </cell>
          <cell r="T41">
            <v>-227</v>
          </cell>
        </row>
        <row r="42">
          <cell r="D42">
            <v>1</v>
          </cell>
          <cell r="E42">
            <v>254</v>
          </cell>
          <cell r="F42">
            <v>254</v>
          </cell>
          <cell r="I42">
            <v>439</v>
          </cell>
          <cell r="J42">
            <v>185</v>
          </cell>
          <cell r="T42">
            <v>-439</v>
          </cell>
        </row>
        <row r="43">
          <cell r="F43">
            <v>2406</v>
          </cell>
          <cell r="I43">
            <v>1476</v>
          </cell>
          <cell r="J43">
            <v>-930</v>
          </cell>
          <cell r="M43">
            <v>773</v>
          </cell>
          <cell r="N43" t="str">
            <v xml:space="preserve"> </v>
          </cell>
          <cell r="O43" t="str">
            <v xml:space="preserve"> </v>
          </cell>
          <cell r="P43">
            <v>-347</v>
          </cell>
          <cell r="S43">
            <v>426</v>
          </cell>
          <cell r="T43">
            <v>-1050</v>
          </cell>
        </row>
        <row r="44">
          <cell r="D44">
            <v>14</v>
          </cell>
          <cell r="E44">
            <v>298.07142857142856</v>
          </cell>
          <cell r="F44">
            <v>4173</v>
          </cell>
          <cell r="G44">
            <v>11.75</v>
          </cell>
          <cell r="H44">
            <v>473.531914893617</v>
          </cell>
          <cell r="I44">
            <v>5564</v>
          </cell>
          <cell r="J44">
            <v>1391</v>
          </cell>
          <cell r="K44">
            <v>11</v>
          </cell>
          <cell r="L44">
            <v>850</v>
          </cell>
          <cell r="M44">
            <v>9350</v>
          </cell>
          <cell r="N44" t="str">
            <v xml:space="preserve"> </v>
          </cell>
          <cell r="O44" t="str">
            <v xml:space="preserve"> </v>
          </cell>
          <cell r="P44" t="str">
            <v xml:space="preserve"> </v>
          </cell>
          <cell r="Q44">
            <v>11</v>
          </cell>
          <cell r="R44">
            <v>850</v>
          </cell>
          <cell r="S44">
            <v>9350</v>
          </cell>
          <cell r="T44">
            <v>3786</v>
          </cell>
        </row>
        <row r="45">
          <cell r="D45">
            <v>34</v>
          </cell>
          <cell r="E45">
            <v>248.94117647058823</v>
          </cell>
          <cell r="F45">
            <v>8464</v>
          </cell>
          <cell r="G45">
            <v>20.75</v>
          </cell>
          <cell r="H45">
            <v>338.89156626506025</v>
          </cell>
          <cell r="I45">
            <v>7032</v>
          </cell>
          <cell r="J45">
            <v>-1432</v>
          </cell>
          <cell r="K45">
            <v>22</v>
          </cell>
          <cell r="L45">
            <v>331.04545454545456</v>
          </cell>
          <cell r="M45">
            <v>7283</v>
          </cell>
          <cell r="N45">
            <v>-1</v>
          </cell>
          <cell r="O45">
            <v>104.7164502164502</v>
          </cell>
          <cell r="P45">
            <v>1868</v>
          </cell>
          <cell r="Q45">
            <v>21</v>
          </cell>
          <cell r="R45">
            <v>435.76190476190476</v>
          </cell>
          <cell r="S45">
            <v>9151</v>
          </cell>
          <cell r="T45">
            <v>2119</v>
          </cell>
        </row>
        <row r="46">
          <cell r="J46" t="str">
            <v xml:space="preserve"> </v>
          </cell>
          <cell r="N46" t="str">
            <v xml:space="preserve"> </v>
          </cell>
          <cell r="O46" t="str">
            <v xml:space="preserve"> </v>
          </cell>
          <cell r="T46" t="str">
            <v xml:space="preserve"> </v>
          </cell>
        </row>
        <row r="47">
          <cell r="F47">
            <v>12637</v>
          </cell>
          <cell r="I47">
            <v>12596</v>
          </cell>
          <cell r="J47">
            <v>-41</v>
          </cell>
          <cell r="M47">
            <v>16633</v>
          </cell>
          <cell r="N47" t="str">
            <v xml:space="preserve"> </v>
          </cell>
          <cell r="O47" t="str">
            <v xml:space="preserve"> </v>
          </cell>
          <cell r="P47">
            <v>1868</v>
          </cell>
          <cell r="S47">
            <v>18501</v>
          </cell>
          <cell r="T47">
            <v>5905</v>
          </cell>
        </row>
        <row r="48">
          <cell r="D48">
            <v>14</v>
          </cell>
          <cell r="E48">
            <v>26</v>
          </cell>
          <cell r="F48">
            <v>364</v>
          </cell>
          <cell r="G48">
            <v>11.75</v>
          </cell>
          <cell r="H48">
            <v>30.297872340425531</v>
          </cell>
          <cell r="I48">
            <v>356</v>
          </cell>
          <cell r="J48">
            <v>-8</v>
          </cell>
          <cell r="K48">
            <v>11</v>
          </cell>
          <cell r="L48">
            <v>23.181818181818183</v>
          </cell>
          <cell r="M48">
            <v>255</v>
          </cell>
          <cell r="N48" t="str">
            <v xml:space="preserve"> </v>
          </cell>
          <cell r="O48" t="str">
            <v xml:space="preserve"> </v>
          </cell>
          <cell r="P48" t="str">
            <v xml:space="preserve"> </v>
          </cell>
          <cell r="Q48">
            <v>11</v>
          </cell>
          <cell r="R48">
            <v>23.181818181818183</v>
          </cell>
          <cell r="S48">
            <v>255</v>
          </cell>
          <cell r="T48">
            <v>-101</v>
          </cell>
        </row>
        <row r="49">
          <cell r="D49">
            <v>14</v>
          </cell>
          <cell r="E49">
            <v>91.642857142857139</v>
          </cell>
          <cell r="F49">
            <v>1283</v>
          </cell>
          <cell r="G49">
            <v>11.75</v>
          </cell>
          <cell r="H49">
            <v>47.319148936170215</v>
          </cell>
          <cell r="I49">
            <v>556</v>
          </cell>
          <cell r="J49">
            <v>-727</v>
          </cell>
          <cell r="K49">
            <v>11</v>
          </cell>
          <cell r="L49">
            <v>77.545454545454547</v>
          </cell>
          <cell r="M49">
            <v>853</v>
          </cell>
          <cell r="N49" t="str">
            <v xml:space="preserve"> </v>
          </cell>
          <cell r="O49">
            <v>-10.63636363636364</v>
          </cell>
          <cell r="P49">
            <v>-117</v>
          </cell>
          <cell r="Q49">
            <v>11</v>
          </cell>
          <cell r="R49">
            <v>66.909090909090907</v>
          </cell>
          <cell r="S49">
            <v>736</v>
          </cell>
          <cell r="T49">
            <v>180</v>
          </cell>
        </row>
        <row r="50">
          <cell r="D50">
            <v>14</v>
          </cell>
          <cell r="E50">
            <v>113.5</v>
          </cell>
          <cell r="F50">
            <v>1589</v>
          </cell>
          <cell r="G50">
            <v>11.75</v>
          </cell>
          <cell r="H50">
            <v>64</v>
          </cell>
          <cell r="I50">
            <v>752</v>
          </cell>
          <cell r="J50">
            <v>-837</v>
          </cell>
          <cell r="K50">
            <v>11</v>
          </cell>
          <cell r="L50">
            <v>124.63636363636364</v>
          </cell>
          <cell r="M50">
            <v>1371</v>
          </cell>
          <cell r="N50" t="str">
            <v xml:space="preserve"> </v>
          </cell>
          <cell r="O50">
            <v>-1.9090909090909065</v>
          </cell>
          <cell r="P50">
            <v>-21</v>
          </cell>
          <cell r="Q50">
            <v>11</v>
          </cell>
          <cell r="R50">
            <v>122.72727272727273</v>
          </cell>
          <cell r="S50">
            <v>1350</v>
          </cell>
          <cell r="T50">
            <v>598</v>
          </cell>
        </row>
        <row r="51">
          <cell r="D51">
            <v>1</v>
          </cell>
          <cell r="E51">
            <v>108</v>
          </cell>
          <cell r="F51">
            <v>108</v>
          </cell>
          <cell r="G51">
            <v>1</v>
          </cell>
          <cell r="H51">
            <v>135</v>
          </cell>
          <cell r="I51">
            <v>135</v>
          </cell>
          <cell r="J51">
            <v>27</v>
          </cell>
          <cell r="K51">
            <v>1</v>
          </cell>
          <cell r="L51">
            <v>118</v>
          </cell>
          <cell r="M51">
            <v>118</v>
          </cell>
          <cell r="N51" t="str">
            <v xml:space="preserve"> </v>
          </cell>
          <cell r="O51" t="str">
            <v xml:space="preserve"> </v>
          </cell>
          <cell r="P51" t="str">
            <v xml:space="preserve"> </v>
          </cell>
          <cell r="Q51">
            <v>1</v>
          </cell>
          <cell r="R51">
            <v>118</v>
          </cell>
          <cell r="S51">
            <v>118</v>
          </cell>
          <cell r="T51">
            <v>-17</v>
          </cell>
        </row>
        <row r="52">
          <cell r="D52">
            <v>1</v>
          </cell>
          <cell r="E52">
            <v>87</v>
          </cell>
          <cell r="F52">
            <v>87</v>
          </cell>
          <cell r="G52">
            <v>11.75</v>
          </cell>
          <cell r="H52">
            <v>11.659574468085106</v>
          </cell>
          <cell r="I52">
            <v>137</v>
          </cell>
          <cell r="J52">
            <v>50</v>
          </cell>
          <cell r="K52">
            <v>11</v>
          </cell>
          <cell r="L52">
            <v>8.0909090909090917</v>
          </cell>
          <cell r="M52">
            <v>89</v>
          </cell>
          <cell r="N52" t="str">
            <v xml:space="preserve"> </v>
          </cell>
          <cell r="O52" t="str">
            <v xml:space="preserve"> </v>
          </cell>
          <cell r="P52" t="str">
            <v xml:space="preserve"> </v>
          </cell>
          <cell r="Q52">
            <v>11</v>
          </cell>
          <cell r="R52">
            <v>8.0909090909090917</v>
          </cell>
          <cell r="S52">
            <v>89</v>
          </cell>
          <cell r="T52">
            <v>-48</v>
          </cell>
        </row>
        <row r="53">
          <cell r="D53">
            <v>1</v>
          </cell>
          <cell r="E53">
            <v>463</v>
          </cell>
          <cell r="F53">
            <v>463</v>
          </cell>
          <cell r="G53">
            <v>11.75</v>
          </cell>
          <cell r="H53">
            <v>11.404255319148936</v>
          </cell>
          <cell r="I53">
            <v>134</v>
          </cell>
          <cell r="J53">
            <v>-329</v>
          </cell>
          <cell r="K53">
            <v>11</v>
          </cell>
          <cell r="L53">
            <v>2.4545454545454546</v>
          </cell>
          <cell r="M53">
            <v>27</v>
          </cell>
          <cell r="N53" t="str">
            <v xml:space="preserve"> </v>
          </cell>
          <cell r="O53">
            <v>33.727272727272727</v>
          </cell>
          <cell r="P53">
            <v>371</v>
          </cell>
          <cell r="Q53">
            <v>11</v>
          </cell>
          <cell r="R53">
            <v>36.18181818181818</v>
          </cell>
          <cell r="S53">
            <v>398</v>
          </cell>
          <cell r="T53">
            <v>264</v>
          </cell>
        </row>
        <row r="54">
          <cell r="F54">
            <v>3894</v>
          </cell>
          <cell r="I54">
            <v>2070</v>
          </cell>
          <cell r="J54">
            <v>-1824</v>
          </cell>
          <cell r="M54">
            <v>2713</v>
          </cell>
          <cell r="N54" t="str">
            <v xml:space="preserve"> </v>
          </cell>
          <cell r="O54" t="str">
            <v xml:space="preserve"> </v>
          </cell>
          <cell r="P54">
            <v>233</v>
          </cell>
          <cell r="S54">
            <v>2946</v>
          </cell>
          <cell r="T54">
            <v>876</v>
          </cell>
        </row>
        <row r="55">
          <cell r="D55">
            <v>1</v>
          </cell>
          <cell r="E55">
            <v>881</v>
          </cell>
          <cell r="F55">
            <v>881</v>
          </cell>
          <cell r="G55">
            <v>1</v>
          </cell>
          <cell r="H55">
            <v>881</v>
          </cell>
          <cell r="I55">
            <v>881</v>
          </cell>
          <cell r="J55" t="str">
            <v xml:space="preserve"> </v>
          </cell>
          <cell r="K55">
            <v>1</v>
          </cell>
          <cell r="L55">
            <v>865</v>
          </cell>
          <cell r="M55">
            <v>865</v>
          </cell>
          <cell r="N55" t="str">
            <v xml:space="preserve"> </v>
          </cell>
          <cell r="Q55">
            <v>1</v>
          </cell>
          <cell r="R55">
            <v>865</v>
          </cell>
          <cell r="S55">
            <v>865</v>
          </cell>
        </row>
        <row r="56">
          <cell r="J56" t="str">
            <v xml:space="preserve"> </v>
          </cell>
          <cell r="N56" t="str">
            <v xml:space="preserve"> </v>
          </cell>
          <cell r="T56" t="str">
            <v xml:space="preserve"> </v>
          </cell>
        </row>
        <row r="57">
          <cell r="F57">
            <v>201366</v>
          </cell>
          <cell r="I57">
            <v>219916</v>
          </cell>
          <cell r="J57">
            <v>18550</v>
          </cell>
          <cell r="M57">
            <v>202177</v>
          </cell>
          <cell r="N57" t="str">
            <v xml:space="preserve"> </v>
          </cell>
          <cell r="O57" t="str">
            <v xml:space="preserve"> </v>
          </cell>
          <cell r="P57">
            <v>2709</v>
          </cell>
          <cell r="S57">
            <v>204886</v>
          </cell>
          <cell r="T57">
            <v>-15030</v>
          </cell>
        </row>
        <row r="59">
          <cell r="T59" t="str">
            <v xml:space="preserve">            (單位 : USD)</v>
          </cell>
        </row>
        <row r="60">
          <cell r="D60" t="str">
            <v>96 年度 豫算</v>
          </cell>
          <cell r="G60" t="str">
            <v>96 年度 實績</v>
          </cell>
          <cell r="K60" t="str">
            <v>97年 要請 豫算</v>
          </cell>
          <cell r="N60" t="str">
            <v>97年 調整 豫算</v>
          </cell>
          <cell r="Q60" t="str">
            <v>97年 調整後 確定豫算</v>
          </cell>
          <cell r="T60" t="str">
            <v>96年實績</v>
          </cell>
        </row>
        <row r="61">
          <cell r="D61" t="str">
            <v xml:space="preserve"> 數量</v>
          </cell>
          <cell r="E61" t="str">
            <v xml:space="preserve"> 單 價</v>
          </cell>
          <cell r="F61" t="str">
            <v>金 額</v>
          </cell>
          <cell r="G61" t="str">
            <v xml:space="preserve"> 數量</v>
          </cell>
          <cell r="H61" t="str">
            <v xml:space="preserve"> 單 價</v>
          </cell>
          <cell r="I61" t="str">
            <v>金 額</v>
          </cell>
          <cell r="J61" t="str">
            <v xml:space="preserve"> 差  異</v>
          </cell>
          <cell r="K61" t="str">
            <v xml:space="preserve"> 數量</v>
          </cell>
          <cell r="L61" t="str">
            <v xml:space="preserve"> 單 價</v>
          </cell>
          <cell r="M61" t="str">
            <v>金 額</v>
          </cell>
          <cell r="N61" t="str">
            <v xml:space="preserve"> 數量</v>
          </cell>
          <cell r="O61" t="str">
            <v xml:space="preserve"> 單 價</v>
          </cell>
          <cell r="P61" t="str">
            <v xml:space="preserve"> 金 額</v>
          </cell>
          <cell r="Q61" t="str">
            <v xml:space="preserve"> 數量</v>
          </cell>
          <cell r="R61" t="str">
            <v xml:space="preserve"> 單 價</v>
          </cell>
          <cell r="S61" t="str">
            <v>金 額</v>
          </cell>
          <cell r="T61" t="str">
            <v>對比增減</v>
          </cell>
        </row>
        <row r="62">
          <cell r="D62">
            <v>14</v>
          </cell>
          <cell r="E62">
            <v>325.28571428571428</v>
          </cell>
          <cell r="F62">
            <v>4554</v>
          </cell>
          <cell r="G62">
            <v>11.75</v>
          </cell>
          <cell r="H62">
            <v>409.02127659574467</v>
          </cell>
          <cell r="I62">
            <v>4806</v>
          </cell>
          <cell r="J62">
            <v>252</v>
          </cell>
          <cell r="K62">
            <v>11</v>
          </cell>
          <cell r="L62">
            <v>499.09090909090907</v>
          </cell>
          <cell r="M62">
            <v>5490</v>
          </cell>
          <cell r="N62" t="str">
            <v xml:space="preserve"> </v>
          </cell>
          <cell r="O62">
            <v>-84.909090909090878</v>
          </cell>
          <cell r="P62">
            <v>-934</v>
          </cell>
          <cell r="Q62">
            <v>11</v>
          </cell>
          <cell r="R62">
            <v>414.18181818181819</v>
          </cell>
          <cell r="S62">
            <v>4556</v>
          </cell>
          <cell r="T62">
            <v>-250</v>
          </cell>
        </row>
        <row r="63">
          <cell r="D63">
            <v>14</v>
          </cell>
          <cell r="E63">
            <v>77.5</v>
          </cell>
          <cell r="F63">
            <v>1085</v>
          </cell>
          <cell r="G63">
            <v>32.5</v>
          </cell>
          <cell r="H63">
            <v>35.353846153846156</v>
          </cell>
          <cell r="I63">
            <v>1149</v>
          </cell>
          <cell r="J63">
            <v>64</v>
          </cell>
          <cell r="K63">
            <v>33</v>
          </cell>
          <cell r="L63">
            <v>37.545454545454547</v>
          </cell>
          <cell r="M63">
            <v>1239</v>
          </cell>
          <cell r="N63">
            <v>-1</v>
          </cell>
          <cell r="O63">
            <v>-4.5454545454546746E-2</v>
          </cell>
          <cell r="P63">
            <v>-39</v>
          </cell>
          <cell r="Q63">
            <v>32</v>
          </cell>
          <cell r="R63">
            <v>37.5</v>
          </cell>
          <cell r="S63">
            <v>1200</v>
          </cell>
          <cell r="T63">
            <v>51</v>
          </cell>
        </row>
        <row r="64">
          <cell r="D64">
            <v>14</v>
          </cell>
          <cell r="E64">
            <v>71.428571428571431</v>
          </cell>
          <cell r="F64">
            <v>1000</v>
          </cell>
          <cell r="G64">
            <v>32.5</v>
          </cell>
          <cell r="H64">
            <v>41.138461538461542</v>
          </cell>
          <cell r="I64">
            <v>1337</v>
          </cell>
          <cell r="J64">
            <v>337</v>
          </cell>
          <cell r="K64">
            <v>33</v>
          </cell>
          <cell r="L64">
            <v>48.484848484848484</v>
          </cell>
          <cell r="M64">
            <v>1600</v>
          </cell>
          <cell r="N64">
            <v>-1</v>
          </cell>
          <cell r="O64">
            <v>-10.984848484848484</v>
          </cell>
          <cell r="P64">
            <v>-400</v>
          </cell>
          <cell r="Q64">
            <v>32</v>
          </cell>
          <cell r="R64">
            <v>37.5</v>
          </cell>
          <cell r="S64">
            <v>1200</v>
          </cell>
          <cell r="T64">
            <v>-137</v>
          </cell>
        </row>
        <row r="65">
          <cell r="D65">
            <v>14</v>
          </cell>
          <cell r="E65">
            <v>58.571428571428569</v>
          </cell>
          <cell r="F65">
            <v>820</v>
          </cell>
          <cell r="G65">
            <v>32.5</v>
          </cell>
          <cell r="H65">
            <v>22.215384615384615</v>
          </cell>
          <cell r="I65">
            <v>722</v>
          </cell>
          <cell r="J65">
            <v>-98</v>
          </cell>
          <cell r="K65">
            <v>33</v>
          </cell>
          <cell r="L65">
            <v>25.272727272727273</v>
          </cell>
          <cell r="M65">
            <v>834</v>
          </cell>
          <cell r="N65">
            <v>-1</v>
          </cell>
          <cell r="O65">
            <v>0.78977272727272663</v>
          </cell>
          <cell r="P65" t="str">
            <v xml:space="preserve"> </v>
          </cell>
          <cell r="Q65">
            <v>32</v>
          </cell>
          <cell r="R65">
            <v>26.0625</v>
          </cell>
          <cell r="S65">
            <v>834</v>
          </cell>
          <cell r="T65">
            <v>112</v>
          </cell>
        </row>
        <row r="66">
          <cell r="D66">
            <v>14</v>
          </cell>
          <cell r="E66">
            <v>71.428571428571431</v>
          </cell>
          <cell r="F66">
            <v>1000</v>
          </cell>
          <cell r="G66">
            <v>32.5</v>
          </cell>
          <cell r="H66">
            <v>35.692307692307693</v>
          </cell>
          <cell r="I66">
            <v>1160</v>
          </cell>
          <cell r="J66">
            <v>160</v>
          </cell>
          <cell r="K66">
            <v>33</v>
          </cell>
          <cell r="L66">
            <v>44.545454545454547</v>
          </cell>
          <cell r="M66">
            <v>1470</v>
          </cell>
          <cell r="N66">
            <v>-1</v>
          </cell>
          <cell r="O66">
            <v>-10.170454545454547</v>
          </cell>
          <cell r="P66">
            <v>-370</v>
          </cell>
          <cell r="Q66">
            <v>32</v>
          </cell>
          <cell r="R66">
            <v>34.375</v>
          </cell>
          <cell r="S66">
            <v>1100</v>
          </cell>
          <cell r="T66">
            <v>-60</v>
          </cell>
        </row>
        <row r="67">
          <cell r="D67">
            <v>14</v>
          </cell>
          <cell r="E67">
            <v>371.35714285714283</v>
          </cell>
          <cell r="F67">
            <v>5199</v>
          </cell>
          <cell r="G67">
            <v>32.5</v>
          </cell>
          <cell r="H67">
            <v>275.32307692307694</v>
          </cell>
          <cell r="I67">
            <v>8948</v>
          </cell>
          <cell r="J67">
            <v>3749</v>
          </cell>
          <cell r="K67">
            <v>33</v>
          </cell>
          <cell r="L67">
            <v>382.72727272727275</v>
          </cell>
          <cell r="M67">
            <v>12630</v>
          </cell>
          <cell r="N67">
            <v>-1</v>
          </cell>
          <cell r="O67">
            <v>1.5852272727272521</v>
          </cell>
          <cell r="P67">
            <v>-332</v>
          </cell>
          <cell r="Q67">
            <v>32</v>
          </cell>
          <cell r="R67">
            <v>384.3125</v>
          </cell>
          <cell r="S67">
            <v>12298</v>
          </cell>
          <cell r="T67">
            <v>3350</v>
          </cell>
        </row>
        <row r="68">
          <cell r="F68">
            <v>13658</v>
          </cell>
          <cell r="I68">
            <v>18122</v>
          </cell>
          <cell r="J68">
            <v>4464</v>
          </cell>
          <cell r="M68">
            <v>23263</v>
          </cell>
          <cell r="N68" t="str">
            <v xml:space="preserve"> </v>
          </cell>
          <cell r="O68" t="str">
            <v xml:space="preserve"> </v>
          </cell>
          <cell r="P68">
            <v>-2075</v>
          </cell>
          <cell r="S68">
            <v>21188</v>
          </cell>
          <cell r="T68">
            <v>3066</v>
          </cell>
        </row>
        <row r="69">
          <cell r="D69">
            <v>34</v>
          </cell>
          <cell r="E69">
            <v>44.117647058823529</v>
          </cell>
          <cell r="F69">
            <v>1500</v>
          </cell>
          <cell r="G69">
            <v>32.5</v>
          </cell>
          <cell r="H69">
            <v>46.030769230769231</v>
          </cell>
          <cell r="I69">
            <v>1496</v>
          </cell>
          <cell r="J69">
            <v>-4</v>
          </cell>
          <cell r="K69">
            <v>33</v>
          </cell>
          <cell r="L69">
            <v>49.090909090909093</v>
          </cell>
          <cell r="M69">
            <v>1620</v>
          </cell>
          <cell r="N69">
            <v>-1</v>
          </cell>
          <cell r="O69">
            <v>-2.2159090909090935</v>
          </cell>
          <cell r="P69">
            <v>-120</v>
          </cell>
          <cell r="Q69">
            <v>32</v>
          </cell>
          <cell r="R69">
            <v>46.875</v>
          </cell>
          <cell r="S69">
            <v>1500</v>
          </cell>
          <cell r="T69">
            <v>4</v>
          </cell>
        </row>
        <row r="70">
          <cell r="D70">
            <v>34</v>
          </cell>
          <cell r="E70">
            <v>44.117647058823529</v>
          </cell>
          <cell r="F70">
            <v>1500</v>
          </cell>
          <cell r="G70">
            <v>32.5</v>
          </cell>
          <cell r="H70">
            <v>33.353846153846156</v>
          </cell>
          <cell r="I70">
            <v>1084</v>
          </cell>
          <cell r="J70">
            <v>-416</v>
          </cell>
          <cell r="K70">
            <v>33</v>
          </cell>
          <cell r="L70">
            <v>87.878787878787875</v>
          </cell>
          <cell r="M70">
            <v>2900</v>
          </cell>
          <cell r="N70">
            <v>-1</v>
          </cell>
          <cell r="O70">
            <v>-53.503787878787875</v>
          </cell>
          <cell r="P70">
            <v>-1800</v>
          </cell>
          <cell r="Q70">
            <v>32</v>
          </cell>
          <cell r="R70">
            <v>34.375</v>
          </cell>
          <cell r="S70">
            <v>1100</v>
          </cell>
          <cell r="T70">
            <v>16</v>
          </cell>
        </row>
        <row r="71">
          <cell r="D71">
            <v>34</v>
          </cell>
          <cell r="E71">
            <v>35.294117647058826</v>
          </cell>
          <cell r="F71">
            <v>1200</v>
          </cell>
          <cell r="G71">
            <v>32.5</v>
          </cell>
          <cell r="H71">
            <v>32.676923076923075</v>
          </cell>
          <cell r="I71">
            <v>1062</v>
          </cell>
          <cell r="J71">
            <v>-138</v>
          </cell>
          <cell r="K71">
            <v>33</v>
          </cell>
          <cell r="L71">
            <v>33.575757575757578</v>
          </cell>
          <cell r="M71">
            <v>1108</v>
          </cell>
          <cell r="N71">
            <v>-1</v>
          </cell>
          <cell r="O71">
            <v>1.0492424242424221</v>
          </cell>
          <cell r="P71" t="str">
            <v xml:space="preserve"> </v>
          </cell>
          <cell r="Q71">
            <v>32</v>
          </cell>
          <cell r="R71">
            <v>34.625</v>
          </cell>
          <cell r="S71">
            <v>1108</v>
          </cell>
          <cell r="T71">
            <v>46</v>
          </cell>
        </row>
        <row r="72">
          <cell r="D72">
            <v>34</v>
          </cell>
          <cell r="E72">
            <v>129.41176470588235</v>
          </cell>
          <cell r="F72">
            <v>4400</v>
          </cell>
          <cell r="G72">
            <v>32.5</v>
          </cell>
          <cell r="H72">
            <v>68.615384615384613</v>
          </cell>
          <cell r="I72">
            <v>2230</v>
          </cell>
          <cell r="J72">
            <v>-2170</v>
          </cell>
          <cell r="K72">
            <v>33</v>
          </cell>
          <cell r="L72">
            <v>121.21212121212122</v>
          </cell>
          <cell r="M72">
            <v>4000</v>
          </cell>
          <cell r="N72">
            <v>-1</v>
          </cell>
          <cell r="O72">
            <v>-43.087121212121218</v>
          </cell>
          <cell r="P72">
            <v>-1500</v>
          </cell>
          <cell r="Q72">
            <v>32</v>
          </cell>
          <cell r="R72">
            <v>78.125</v>
          </cell>
          <cell r="S72">
            <v>2500</v>
          </cell>
          <cell r="T72">
            <v>270</v>
          </cell>
        </row>
        <row r="73">
          <cell r="F73">
            <v>8600</v>
          </cell>
          <cell r="I73">
            <v>5872</v>
          </cell>
          <cell r="J73">
            <v>-2728</v>
          </cell>
          <cell r="M73">
            <v>9628</v>
          </cell>
          <cell r="N73" t="str">
            <v xml:space="preserve"> </v>
          </cell>
          <cell r="O73" t="str">
            <v xml:space="preserve"> </v>
          </cell>
          <cell r="P73">
            <v>-3420</v>
          </cell>
          <cell r="S73">
            <v>6208</v>
          </cell>
          <cell r="T73">
            <v>336</v>
          </cell>
        </row>
        <row r="74">
          <cell r="D74">
            <v>34</v>
          </cell>
          <cell r="E74">
            <v>26.470588235294116</v>
          </cell>
          <cell r="F74">
            <v>900</v>
          </cell>
          <cell r="G74">
            <v>32.5</v>
          </cell>
          <cell r="H74">
            <v>35.04615384615385</v>
          </cell>
          <cell r="I74">
            <v>1139</v>
          </cell>
          <cell r="J74">
            <v>239</v>
          </cell>
          <cell r="K74">
            <v>33</v>
          </cell>
          <cell r="L74">
            <v>53.030303030303031</v>
          </cell>
          <cell r="M74">
            <v>1750</v>
          </cell>
          <cell r="N74">
            <v>-1</v>
          </cell>
          <cell r="O74">
            <v>-6.1553030303030312</v>
          </cell>
          <cell r="P74">
            <v>-250</v>
          </cell>
          <cell r="Q74">
            <v>32</v>
          </cell>
          <cell r="R74">
            <v>46.875</v>
          </cell>
          <cell r="S74">
            <v>1500</v>
          </cell>
          <cell r="T74">
            <v>361</v>
          </cell>
        </row>
        <row r="75">
          <cell r="J75" t="str">
            <v xml:space="preserve"> </v>
          </cell>
          <cell r="N75" t="str">
            <v xml:space="preserve"> </v>
          </cell>
          <cell r="O75" t="str">
            <v xml:space="preserve"> </v>
          </cell>
          <cell r="P75" t="str">
            <v xml:space="preserve"> </v>
          </cell>
          <cell r="T75" t="str">
            <v xml:space="preserve"> </v>
          </cell>
        </row>
        <row r="76">
          <cell r="F76">
            <v>2500</v>
          </cell>
          <cell r="I76">
            <v>3927</v>
          </cell>
          <cell r="J76">
            <v>1427</v>
          </cell>
          <cell r="M76">
            <v>14316</v>
          </cell>
          <cell r="N76" t="str">
            <v xml:space="preserve"> </v>
          </cell>
          <cell r="O76" t="str">
            <v xml:space="preserve"> </v>
          </cell>
          <cell r="P76" t="str">
            <v xml:space="preserve"> </v>
          </cell>
          <cell r="S76">
            <v>14316</v>
          </cell>
          <cell r="T76">
            <v>10389</v>
          </cell>
        </row>
        <row r="77">
          <cell r="D77">
            <v>34</v>
          </cell>
          <cell r="E77">
            <v>11.764705882352942</v>
          </cell>
          <cell r="F77">
            <v>400</v>
          </cell>
          <cell r="G77">
            <v>32.5</v>
          </cell>
          <cell r="H77">
            <v>18.215384615384615</v>
          </cell>
          <cell r="I77">
            <v>592</v>
          </cell>
          <cell r="K77">
            <v>33</v>
          </cell>
          <cell r="L77">
            <v>15.151515151515152</v>
          </cell>
          <cell r="M77">
            <v>500</v>
          </cell>
          <cell r="N77">
            <v>-1</v>
          </cell>
          <cell r="O77">
            <v>0.47348484848484773</v>
          </cell>
          <cell r="P77" t="str">
            <v xml:space="preserve"> </v>
          </cell>
          <cell r="Q77">
            <v>32</v>
          </cell>
          <cell r="R77">
            <v>15.625</v>
          </cell>
          <cell r="S77">
            <v>500</v>
          </cell>
          <cell r="T77">
            <v>-92</v>
          </cell>
        </row>
        <row r="78">
          <cell r="D78">
            <v>34</v>
          </cell>
          <cell r="E78">
            <v>61.764705882352942</v>
          </cell>
          <cell r="F78">
            <v>2100</v>
          </cell>
          <cell r="G78">
            <v>32.5</v>
          </cell>
          <cell r="H78">
            <v>102.61538461538461</v>
          </cell>
          <cell r="I78">
            <v>3335</v>
          </cell>
          <cell r="J78">
            <v>1235</v>
          </cell>
          <cell r="K78">
            <v>33</v>
          </cell>
          <cell r="L78">
            <v>418.66666666666669</v>
          </cell>
          <cell r="M78">
            <v>13816</v>
          </cell>
          <cell r="N78">
            <v>-1</v>
          </cell>
          <cell r="O78">
            <v>13.083333333333314</v>
          </cell>
          <cell r="P78" t="str">
            <v xml:space="preserve"> </v>
          </cell>
          <cell r="Q78">
            <v>32</v>
          </cell>
          <cell r="R78">
            <v>431.75</v>
          </cell>
          <cell r="S78">
            <v>13816</v>
          </cell>
          <cell r="T78">
            <v>10481</v>
          </cell>
        </row>
        <row r="79">
          <cell r="F79">
            <v>3400</v>
          </cell>
          <cell r="I79">
            <v>5066</v>
          </cell>
          <cell r="J79">
            <v>1666</v>
          </cell>
          <cell r="M79">
            <v>16066</v>
          </cell>
          <cell r="N79" t="str">
            <v xml:space="preserve"> </v>
          </cell>
          <cell r="O79" t="str">
            <v xml:space="preserve"> </v>
          </cell>
          <cell r="P79">
            <v>-250</v>
          </cell>
          <cell r="S79">
            <v>15816</v>
          </cell>
          <cell r="T79">
            <v>10750</v>
          </cell>
        </row>
        <row r="80">
          <cell r="D80">
            <v>34</v>
          </cell>
          <cell r="E80">
            <v>14.5</v>
          </cell>
          <cell r="F80">
            <v>493</v>
          </cell>
          <cell r="G80">
            <v>32.5</v>
          </cell>
          <cell r="H80">
            <v>32.4</v>
          </cell>
          <cell r="I80">
            <v>1053</v>
          </cell>
          <cell r="J80">
            <v>560</v>
          </cell>
          <cell r="K80">
            <v>33</v>
          </cell>
          <cell r="L80">
            <v>70.606060606060609</v>
          </cell>
          <cell r="M80">
            <v>2330</v>
          </cell>
          <cell r="N80">
            <v>-33</v>
          </cell>
          <cell r="O80">
            <v>-70.606060606060609</v>
          </cell>
          <cell r="P80">
            <v>-2330</v>
          </cell>
          <cell r="T80">
            <v>-1053</v>
          </cell>
        </row>
        <row r="81">
          <cell r="J81" t="str">
            <v xml:space="preserve"> </v>
          </cell>
          <cell r="N81" t="str">
            <v xml:space="preserve"> </v>
          </cell>
          <cell r="O81" t="str">
            <v xml:space="preserve"> </v>
          </cell>
          <cell r="P81" t="str">
            <v xml:space="preserve"> </v>
          </cell>
          <cell r="T81" t="str">
            <v xml:space="preserve"> </v>
          </cell>
        </row>
        <row r="82">
          <cell r="J82" t="str">
            <v xml:space="preserve"> </v>
          </cell>
          <cell r="T82" t="str">
            <v xml:space="preserve"> </v>
          </cell>
        </row>
        <row r="83">
          <cell r="F83">
            <v>493</v>
          </cell>
          <cell r="I83">
            <v>1053</v>
          </cell>
          <cell r="J83">
            <v>560</v>
          </cell>
          <cell r="M83">
            <v>2330</v>
          </cell>
          <cell r="N83" t="str">
            <v xml:space="preserve"> </v>
          </cell>
          <cell r="O83" t="str">
            <v xml:space="preserve"> </v>
          </cell>
          <cell r="P83">
            <v>-2330</v>
          </cell>
          <cell r="T83">
            <v>-1053</v>
          </cell>
        </row>
        <row r="84">
          <cell r="D84">
            <v>14</v>
          </cell>
          <cell r="E84">
            <v>72.785714285714292</v>
          </cell>
          <cell r="F84">
            <v>1019</v>
          </cell>
          <cell r="G84">
            <v>11.75</v>
          </cell>
          <cell r="H84">
            <v>111.74468085106383</v>
          </cell>
          <cell r="I84">
            <v>1313</v>
          </cell>
          <cell r="J84">
            <v>294</v>
          </cell>
          <cell r="K84">
            <v>11</v>
          </cell>
          <cell r="L84">
            <v>830.4545454545455</v>
          </cell>
          <cell r="M84">
            <v>9135</v>
          </cell>
          <cell r="N84" t="str">
            <v xml:space="preserve"> </v>
          </cell>
          <cell r="O84">
            <v>-466.4545454545455</v>
          </cell>
          <cell r="P84">
            <v>-5131</v>
          </cell>
          <cell r="Q84">
            <v>11</v>
          </cell>
          <cell r="R84">
            <v>364</v>
          </cell>
          <cell r="S84">
            <v>4004</v>
          </cell>
          <cell r="T84">
            <v>2691</v>
          </cell>
        </row>
        <row r="85">
          <cell r="J85" t="str">
            <v xml:space="preserve"> </v>
          </cell>
          <cell r="O85" t="str">
            <v xml:space="preserve"> </v>
          </cell>
          <cell r="T85" t="str">
            <v xml:space="preserve"> </v>
          </cell>
        </row>
        <row r="86">
          <cell r="D86">
            <v>14</v>
          </cell>
          <cell r="E86">
            <v>257.28571428571428</v>
          </cell>
          <cell r="F86">
            <v>3602</v>
          </cell>
          <cell r="G86">
            <v>32.5</v>
          </cell>
          <cell r="H86">
            <v>126.61538461538461</v>
          </cell>
          <cell r="I86">
            <v>4115</v>
          </cell>
          <cell r="J86">
            <v>513</v>
          </cell>
          <cell r="K86">
            <v>33</v>
          </cell>
          <cell r="L86">
            <v>146.30303030303031</v>
          </cell>
          <cell r="M86">
            <v>4828</v>
          </cell>
          <cell r="N86">
            <v>-1</v>
          </cell>
          <cell r="O86">
            <v>-26.365530303030312</v>
          </cell>
          <cell r="P86">
            <v>-990</v>
          </cell>
          <cell r="Q86">
            <v>32</v>
          </cell>
          <cell r="R86">
            <v>119.9375</v>
          </cell>
          <cell r="S86">
            <v>3838</v>
          </cell>
          <cell r="T86">
            <v>-277</v>
          </cell>
        </row>
        <row r="87">
          <cell r="F87">
            <v>4621</v>
          </cell>
          <cell r="I87">
            <v>5428</v>
          </cell>
          <cell r="J87">
            <v>807</v>
          </cell>
          <cell r="M87">
            <v>13963</v>
          </cell>
          <cell r="N87" t="str">
            <v xml:space="preserve"> </v>
          </cell>
          <cell r="O87" t="str">
            <v xml:space="preserve"> </v>
          </cell>
          <cell r="P87">
            <v>-6121</v>
          </cell>
          <cell r="S87">
            <v>7842</v>
          </cell>
          <cell r="T87">
            <v>2414</v>
          </cell>
        </row>
        <row r="88">
          <cell r="D88">
            <v>13</v>
          </cell>
          <cell r="E88">
            <v>230.76923076923077</v>
          </cell>
          <cell r="F88">
            <v>3000</v>
          </cell>
          <cell r="G88">
            <v>11.75</v>
          </cell>
          <cell r="H88">
            <v>202.38297872340425</v>
          </cell>
          <cell r="I88">
            <v>2378</v>
          </cell>
          <cell r="J88">
            <v>-622</v>
          </cell>
          <cell r="K88">
            <v>8</v>
          </cell>
          <cell r="L88">
            <v>377.375</v>
          </cell>
          <cell r="M88">
            <v>3019</v>
          </cell>
          <cell r="N88">
            <v>-1</v>
          </cell>
          <cell r="O88">
            <v>-34.517857142857167</v>
          </cell>
          <cell r="P88">
            <v>-619</v>
          </cell>
          <cell r="Q88">
            <v>7</v>
          </cell>
          <cell r="R88">
            <v>342.85714285714283</v>
          </cell>
          <cell r="S88">
            <v>2400</v>
          </cell>
          <cell r="T88">
            <v>22</v>
          </cell>
        </row>
        <row r="89">
          <cell r="D89">
            <v>1</v>
          </cell>
          <cell r="E89">
            <v>150</v>
          </cell>
          <cell r="F89">
            <v>150</v>
          </cell>
          <cell r="G89">
            <v>1</v>
          </cell>
          <cell r="H89">
            <v>253</v>
          </cell>
          <cell r="I89">
            <v>253</v>
          </cell>
          <cell r="J89">
            <v>103</v>
          </cell>
          <cell r="K89">
            <v>1</v>
          </cell>
          <cell r="L89">
            <v>245</v>
          </cell>
          <cell r="M89">
            <v>245</v>
          </cell>
          <cell r="O89" t="str">
            <v xml:space="preserve"> </v>
          </cell>
          <cell r="P89" t="str">
            <v xml:space="preserve"> </v>
          </cell>
          <cell r="Q89">
            <v>1</v>
          </cell>
          <cell r="R89">
            <v>245</v>
          </cell>
          <cell r="S89">
            <v>245</v>
          </cell>
          <cell r="T89">
            <v>-8</v>
          </cell>
        </row>
        <row r="90">
          <cell r="D90">
            <v>13</v>
          </cell>
          <cell r="E90">
            <v>1305.7692307692307</v>
          </cell>
          <cell r="F90">
            <v>16975</v>
          </cell>
          <cell r="G90">
            <v>6</v>
          </cell>
          <cell r="H90">
            <v>2439</v>
          </cell>
          <cell r="I90">
            <v>14634</v>
          </cell>
          <cell r="K90">
            <v>7</v>
          </cell>
          <cell r="L90">
            <v>1395.5714285714287</v>
          </cell>
          <cell r="M90">
            <v>9769</v>
          </cell>
          <cell r="N90">
            <v>-1</v>
          </cell>
          <cell r="O90">
            <v>20.095238095238074</v>
          </cell>
          <cell r="P90">
            <v>-1275</v>
          </cell>
          <cell r="Q90">
            <v>6</v>
          </cell>
          <cell r="R90">
            <v>1415.6666666666667</v>
          </cell>
          <cell r="S90">
            <v>8494</v>
          </cell>
          <cell r="T90">
            <v>-6140</v>
          </cell>
        </row>
        <row r="91">
          <cell r="D91">
            <v>1</v>
          </cell>
          <cell r="E91">
            <v>261</v>
          </cell>
          <cell r="F91">
            <v>261</v>
          </cell>
          <cell r="G91">
            <v>1</v>
          </cell>
          <cell r="H91">
            <v>511</v>
          </cell>
          <cell r="I91">
            <v>511</v>
          </cell>
          <cell r="J91">
            <v>250</v>
          </cell>
          <cell r="K91">
            <v>1</v>
          </cell>
          <cell r="L91">
            <v>266</v>
          </cell>
          <cell r="M91">
            <v>266</v>
          </cell>
          <cell r="O91" t="str">
            <v xml:space="preserve"> </v>
          </cell>
          <cell r="P91" t="str">
            <v xml:space="preserve"> </v>
          </cell>
          <cell r="Q91">
            <v>1</v>
          </cell>
          <cell r="R91">
            <v>266</v>
          </cell>
          <cell r="S91">
            <v>266</v>
          </cell>
          <cell r="T91">
            <v>-245</v>
          </cell>
        </row>
        <row r="92">
          <cell r="F92">
            <v>20386</v>
          </cell>
          <cell r="I92">
            <v>17776</v>
          </cell>
          <cell r="J92">
            <v>-2610</v>
          </cell>
          <cell r="M92">
            <v>13299</v>
          </cell>
          <cell r="N92" t="str">
            <v xml:space="preserve"> </v>
          </cell>
          <cell r="O92" t="str">
            <v xml:space="preserve"> </v>
          </cell>
          <cell r="P92">
            <v>-1894</v>
          </cell>
          <cell r="S92">
            <v>11405</v>
          </cell>
          <cell r="T92">
            <v>-6371</v>
          </cell>
        </row>
        <row r="93">
          <cell r="D93">
            <v>34</v>
          </cell>
          <cell r="E93">
            <v>8.1764705882352935</v>
          </cell>
          <cell r="F93">
            <v>278</v>
          </cell>
          <cell r="G93">
            <v>32.5</v>
          </cell>
          <cell r="H93">
            <v>16.923076923076923</v>
          </cell>
          <cell r="I93">
            <v>550</v>
          </cell>
          <cell r="J93">
            <v>272</v>
          </cell>
          <cell r="K93">
            <v>33</v>
          </cell>
          <cell r="L93">
            <v>23.606060606060606</v>
          </cell>
          <cell r="M93">
            <v>779</v>
          </cell>
          <cell r="N93">
            <v>-1</v>
          </cell>
          <cell r="O93">
            <v>-7.9810606060606055</v>
          </cell>
          <cell r="P93">
            <v>-279</v>
          </cell>
          <cell r="Q93">
            <v>32</v>
          </cell>
          <cell r="R93">
            <v>15.625</v>
          </cell>
          <cell r="S93">
            <v>500</v>
          </cell>
          <cell r="T93">
            <v>-50</v>
          </cell>
        </row>
        <row r="94">
          <cell r="J94" t="str">
            <v xml:space="preserve"> </v>
          </cell>
          <cell r="N94" t="str">
            <v xml:space="preserve"> </v>
          </cell>
          <cell r="O94" t="str">
            <v xml:space="preserve"> </v>
          </cell>
          <cell r="P94" t="str">
            <v xml:space="preserve"> </v>
          </cell>
          <cell r="T94" t="str">
            <v xml:space="preserve"> </v>
          </cell>
        </row>
        <row r="95">
          <cell r="F95">
            <v>278</v>
          </cell>
          <cell r="I95">
            <v>550</v>
          </cell>
          <cell r="J95">
            <v>272</v>
          </cell>
          <cell r="M95">
            <v>779</v>
          </cell>
          <cell r="N95" t="str">
            <v xml:space="preserve"> </v>
          </cell>
          <cell r="O95" t="str">
            <v xml:space="preserve"> </v>
          </cell>
          <cell r="P95">
            <v>-279</v>
          </cell>
          <cell r="S95">
            <v>500</v>
          </cell>
          <cell r="T95">
            <v>-50</v>
          </cell>
        </row>
        <row r="96">
          <cell r="D96">
            <v>12</v>
          </cell>
          <cell r="E96">
            <v>166.66666666666666</v>
          </cell>
          <cell r="F96">
            <v>2000</v>
          </cell>
          <cell r="G96">
            <v>11.75</v>
          </cell>
          <cell r="H96">
            <v>191.91489361702128</v>
          </cell>
          <cell r="I96">
            <v>2255</v>
          </cell>
          <cell r="J96">
            <v>255</v>
          </cell>
          <cell r="K96">
            <v>11</v>
          </cell>
          <cell r="L96">
            <v>257.45454545454544</v>
          </cell>
          <cell r="M96">
            <v>2832</v>
          </cell>
          <cell r="O96">
            <v>-121.09090909090907</v>
          </cell>
          <cell r="P96">
            <v>-1332</v>
          </cell>
          <cell r="Q96">
            <v>11</v>
          </cell>
          <cell r="R96">
            <v>136.36363636363637</v>
          </cell>
          <cell r="S96">
            <v>1500</v>
          </cell>
          <cell r="T96">
            <v>-755</v>
          </cell>
        </row>
        <row r="97">
          <cell r="D97">
            <v>12</v>
          </cell>
          <cell r="E97">
            <v>83.333333333333329</v>
          </cell>
          <cell r="F97">
            <v>1000</v>
          </cell>
          <cell r="G97">
            <v>11.75</v>
          </cell>
          <cell r="H97">
            <v>170.80851063829786</v>
          </cell>
          <cell r="I97">
            <v>2007</v>
          </cell>
          <cell r="J97">
            <v>1007</v>
          </cell>
          <cell r="K97">
            <v>11</v>
          </cell>
          <cell r="L97">
            <v>509.27272727272725</v>
          </cell>
          <cell r="M97">
            <v>5602</v>
          </cell>
          <cell r="O97">
            <v>-372.90909090909088</v>
          </cell>
          <cell r="P97">
            <v>-4102</v>
          </cell>
          <cell r="Q97">
            <v>11</v>
          </cell>
          <cell r="R97">
            <v>136.36363636363637</v>
          </cell>
          <cell r="S97">
            <v>1500</v>
          </cell>
          <cell r="T97">
            <v>-507</v>
          </cell>
        </row>
        <row r="98">
          <cell r="F98">
            <v>3000</v>
          </cell>
          <cell r="I98">
            <v>4262</v>
          </cell>
          <cell r="J98">
            <v>1262</v>
          </cell>
          <cell r="M98">
            <v>8434</v>
          </cell>
          <cell r="N98" t="str">
            <v xml:space="preserve"> </v>
          </cell>
          <cell r="O98" t="str">
            <v xml:space="preserve"> </v>
          </cell>
          <cell r="P98">
            <v>-5434</v>
          </cell>
          <cell r="S98">
            <v>3000</v>
          </cell>
          <cell r="T98">
            <v>-1262</v>
          </cell>
        </row>
        <row r="99">
          <cell r="D99">
            <v>34</v>
          </cell>
          <cell r="E99">
            <v>101.76470588235294</v>
          </cell>
          <cell r="F99">
            <v>3460</v>
          </cell>
          <cell r="G99">
            <v>32.5</v>
          </cell>
          <cell r="H99">
            <v>170.30769230769232</v>
          </cell>
          <cell r="I99">
            <v>5535</v>
          </cell>
          <cell r="J99">
            <v>2075</v>
          </cell>
          <cell r="K99">
            <v>33</v>
          </cell>
          <cell r="L99">
            <v>186.72727272727272</v>
          </cell>
          <cell r="M99">
            <v>6162</v>
          </cell>
          <cell r="N99">
            <v>-1</v>
          </cell>
          <cell r="O99">
            <v>0.77272727272728048</v>
          </cell>
          <cell r="P99">
            <v>-162</v>
          </cell>
          <cell r="Q99">
            <v>32</v>
          </cell>
          <cell r="R99">
            <v>187.5</v>
          </cell>
          <cell r="S99">
            <v>6000</v>
          </cell>
          <cell r="T99">
            <v>465</v>
          </cell>
        </row>
        <row r="100">
          <cell r="D100">
            <v>34</v>
          </cell>
          <cell r="E100">
            <v>3.8235294117647061</v>
          </cell>
          <cell r="F100">
            <v>130</v>
          </cell>
          <cell r="G100">
            <v>32.5</v>
          </cell>
          <cell r="H100">
            <v>10.092307692307692</v>
          </cell>
          <cell r="I100">
            <v>328</v>
          </cell>
          <cell r="J100">
            <v>198</v>
          </cell>
          <cell r="K100">
            <v>33</v>
          </cell>
          <cell r="L100">
            <v>9.4848484848484844</v>
          </cell>
          <cell r="M100">
            <v>313</v>
          </cell>
          <cell r="N100">
            <v>-1</v>
          </cell>
          <cell r="O100">
            <v>0.29640151515151558</v>
          </cell>
          <cell r="P100" t="str">
            <v xml:space="preserve"> </v>
          </cell>
          <cell r="Q100">
            <v>32</v>
          </cell>
          <cell r="R100">
            <v>9.78125</v>
          </cell>
          <cell r="S100">
            <v>313</v>
          </cell>
          <cell r="T100">
            <v>-15</v>
          </cell>
        </row>
        <row r="101">
          <cell r="D101">
            <v>34</v>
          </cell>
          <cell r="E101">
            <v>1.4705882352941178</v>
          </cell>
          <cell r="F101">
            <v>50</v>
          </cell>
          <cell r="G101">
            <v>32.5</v>
          </cell>
          <cell r="H101">
            <v>1.2307692307692308</v>
          </cell>
          <cell r="I101">
            <v>40</v>
          </cell>
          <cell r="J101">
            <v>-10</v>
          </cell>
          <cell r="K101">
            <v>33</v>
          </cell>
          <cell r="L101">
            <v>4.3030303030303028</v>
          </cell>
          <cell r="M101">
            <v>142</v>
          </cell>
          <cell r="N101">
            <v>-1</v>
          </cell>
          <cell r="O101">
            <v>-2.7405303030303028</v>
          </cell>
          <cell r="P101">
            <v>-92</v>
          </cell>
          <cell r="Q101">
            <v>32</v>
          </cell>
          <cell r="R101">
            <v>1.5625</v>
          </cell>
          <cell r="S101">
            <v>50</v>
          </cell>
          <cell r="T101">
            <v>10</v>
          </cell>
        </row>
        <row r="102">
          <cell r="D102">
            <v>34</v>
          </cell>
          <cell r="E102">
            <v>1.4705882352941178</v>
          </cell>
          <cell r="F102">
            <v>50</v>
          </cell>
          <cell r="G102">
            <v>32.5</v>
          </cell>
          <cell r="H102">
            <v>2.0923076923076924</v>
          </cell>
          <cell r="I102">
            <v>68</v>
          </cell>
          <cell r="J102">
            <v>18</v>
          </cell>
          <cell r="K102">
            <v>33</v>
          </cell>
          <cell r="L102">
            <v>5.1515151515151514</v>
          </cell>
          <cell r="M102">
            <v>170</v>
          </cell>
          <cell r="N102">
            <v>-1</v>
          </cell>
          <cell r="O102">
            <v>-2.0265151515151514</v>
          </cell>
          <cell r="P102">
            <v>-70</v>
          </cell>
          <cell r="Q102">
            <v>32</v>
          </cell>
          <cell r="R102">
            <v>3.125</v>
          </cell>
          <cell r="S102">
            <v>100</v>
          </cell>
          <cell r="T102">
            <v>32</v>
          </cell>
        </row>
        <row r="103">
          <cell r="D103">
            <v>34</v>
          </cell>
          <cell r="E103">
            <v>11.764705882352942</v>
          </cell>
          <cell r="F103">
            <v>400</v>
          </cell>
          <cell r="G103">
            <v>32.5</v>
          </cell>
          <cell r="H103">
            <v>22.061538461538461</v>
          </cell>
          <cell r="I103">
            <v>717</v>
          </cell>
          <cell r="J103">
            <v>317</v>
          </cell>
          <cell r="K103">
            <v>33</v>
          </cell>
          <cell r="L103">
            <v>27.272727272727273</v>
          </cell>
          <cell r="M103">
            <v>900</v>
          </cell>
          <cell r="N103">
            <v>-1</v>
          </cell>
          <cell r="O103">
            <v>-2.2727272727272734</v>
          </cell>
          <cell r="P103">
            <v>-100</v>
          </cell>
          <cell r="Q103">
            <v>32</v>
          </cell>
          <cell r="R103">
            <v>25</v>
          </cell>
          <cell r="S103">
            <v>800</v>
          </cell>
          <cell r="T103">
            <v>83</v>
          </cell>
        </row>
        <row r="104">
          <cell r="D104">
            <v>34</v>
          </cell>
          <cell r="E104">
            <v>30.676470588235293</v>
          </cell>
          <cell r="F104">
            <v>1043</v>
          </cell>
          <cell r="G104">
            <v>32.5</v>
          </cell>
          <cell r="H104">
            <v>44.307692307692307</v>
          </cell>
          <cell r="I104">
            <v>1440</v>
          </cell>
          <cell r="K104">
            <v>33</v>
          </cell>
          <cell r="L104">
            <v>32.18181818181818</v>
          </cell>
          <cell r="M104">
            <v>1062</v>
          </cell>
          <cell r="N104">
            <v>-1</v>
          </cell>
          <cell r="O104">
            <v>1.0056818181818201</v>
          </cell>
          <cell r="P104" t="str">
            <v xml:space="preserve"> </v>
          </cell>
          <cell r="Q104">
            <v>32</v>
          </cell>
          <cell r="R104">
            <v>33.1875</v>
          </cell>
          <cell r="S104">
            <v>1062</v>
          </cell>
          <cell r="T104">
            <v>-378</v>
          </cell>
        </row>
        <row r="105">
          <cell r="D105">
            <v>34</v>
          </cell>
          <cell r="E105">
            <v>44.117647058823529</v>
          </cell>
          <cell r="F105">
            <v>1500</v>
          </cell>
          <cell r="G105">
            <v>32.5</v>
          </cell>
          <cell r="H105">
            <v>71.753846153846155</v>
          </cell>
          <cell r="I105">
            <v>2332</v>
          </cell>
          <cell r="J105">
            <v>832</v>
          </cell>
          <cell r="K105">
            <v>33</v>
          </cell>
          <cell r="L105">
            <v>124.75757575757575</v>
          </cell>
          <cell r="M105">
            <v>4117</v>
          </cell>
          <cell r="N105">
            <v>-1</v>
          </cell>
          <cell r="O105">
            <v>-46.632575757575751</v>
          </cell>
          <cell r="P105">
            <v>-1617</v>
          </cell>
          <cell r="Q105">
            <v>32</v>
          </cell>
          <cell r="R105">
            <v>78.125</v>
          </cell>
          <cell r="S105">
            <v>2500</v>
          </cell>
          <cell r="T105">
            <v>168</v>
          </cell>
        </row>
        <row r="106">
          <cell r="F106">
            <v>6633</v>
          </cell>
          <cell r="I106">
            <v>10460</v>
          </cell>
          <cell r="J106">
            <v>3827</v>
          </cell>
          <cell r="M106">
            <v>12866</v>
          </cell>
          <cell r="N106" t="str">
            <v xml:space="preserve"> </v>
          </cell>
          <cell r="O106" t="str">
            <v xml:space="preserve"> </v>
          </cell>
          <cell r="P106">
            <v>-2041</v>
          </cell>
          <cell r="S106">
            <v>10825</v>
          </cell>
          <cell r="T106">
            <v>365</v>
          </cell>
        </row>
        <row r="107">
          <cell r="F107">
            <v>61069</v>
          </cell>
          <cell r="I107">
            <v>68589</v>
          </cell>
          <cell r="J107">
            <v>7520</v>
          </cell>
          <cell r="M107">
            <v>100628</v>
          </cell>
          <cell r="N107" t="str">
            <v xml:space="preserve"> </v>
          </cell>
          <cell r="O107" t="str">
            <v xml:space="preserve"> </v>
          </cell>
          <cell r="P107">
            <v>-23844</v>
          </cell>
          <cell r="S107">
            <v>76784</v>
          </cell>
          <cell r="T107">
            <v>8195</v>
          </cell>
        </row>
        <row r="108">
          <cell r="F108">
            <v>262435</v>
          </cell>
          <cell r="I108">
            <v>288505</v>
          </cell>
          <cell r="J108">
            <v>26070</v>
          </cell>
          <cell r="M108">
            <v>302805</v>
          </cell>
          <cell r="N108" t="str">
            <v xml:space="preserve"> </v>
          </cell>
          <cell r="P108">
            <v>-21135</v>
          </cell>
          <cell r="S108">
            <v>281670</v>
          </cell>
          <cell r="T108">
            <v>-6835</v>
          </cell>
        </row>
        <row r="109">
          <cell r="D109">
            <v>34</v>
          </cell>
          <cell r="E109">
            <v>227.01989619377161</v>
          </cell>
          <cell r="F109">
            <v>7718.6764705882351</v>
          </cell>
          <cell r="G109">
            <v>32.5</v>
          </cell>
          <cell r="H109">
            <v>273.14082840236688</v>
          </cell>
          <cell r="I109">
            <v>8877.0769230769238</v>
          </cell>
          <cell r="K109">
            <v>30</v>
          </cell>
          <cell r="L109">
            <v>336.45</v>
          </cell>
          <cell r="M109">
            <v>10093.5</v>
          </cell>
          <cell r="N109">
            <v>2</v>
          </cell>
          <cell r="O109">
            <v>-61.381640624999989</v>
          </cell>
          <cell r="P109">
            <v>-1291.3125</v>
          </cell>
          <cell r="Q109">
            <v>32</v>
          </cell>
          <cell r="R109">
            <v>275.068359375</v>
          </cell>
          <cell r="S109">
            <v>8802.1875</v>
          </cell>
          <cell r="T109">
            <v>-74.889423076923777</v>
          </cell>
        </row>
        <row r="110">
          <cell r="F110">
            <v>3149220</v>
          </cell>
          <cell r="I110">
            <v>3462060</v>
          </cell>
          <cell r="J110">
            <v>312840</v>
          </cell>
          <cell r="M110">
            <v>3633660</v>
          </cell>
          <cell r="N110" t="str">
            <v xml:space="preserve"> </v>
          </cell>
          <cell r="O110" t="str">
            <v xml:space="preserve"> </v>
          </cell>
          <cell r="P110">
            <v>-253620</v>
          </cell>
          <cell r="S110">
            <v>3380040</v>
          </cell>
          <cell r="T110">
            <v>-82020</v>
          </cell>
        </row>
      </sheetData>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문"/>
      <sheetName val="STAND98"/>
      <sheetName val="월별예산"/>
      <sheetName val="예산내역"/>
      <sheetName val="지점예산"/>
      <sheetName val="예산실행분석"/>
      <sheetName val="한국직원수급"/>
      <sheetName val="현지인수급"/>
      <sheetName val="간접직원수급"/>
      <sheetName val="한국직원현황"/>
      <sheetName val="현지인현황"/>
      <sheetName val="간접직원현황"/>
      <sheetName val="사무임차현황"/>
      <sheetName val="차량현황"/>
      <sheetName val="비품임차현황"/>
      <sheetName val="그룹사현황"/>
      <sheetName val="KOR"/>
      <sheetName val="LOC"/>
      <sheetName val="B.Q. breakdown (0723_2) (USD)"/>
      <sheetName val="예산서"/>
      <sheetName val="Sheet1"/>
      <sheetName val="환율"/>
      <sheetName val="97년 SEACO예산"/>
      <sheetName val="간접인원 급료산출"/>
      <sheetName val="OFFER RATE"/>
    </sheetNames>
    <sheetDataSet>
      <sheetData sheetId="0"/>
      <sheetData sheetId="1" refreshError="1">
        <row r="1">
          <cell r="A1" t="str">
            <v>GUIDELINES ON MAKING-UP OF '98 BUDGET</v>
          </cell>
          <cell r="G1" t="str">
            <v>/PPRAA~AG</v>
          </cell>
        </row>
        <row r="3">
          <cell r="G3" t="str">
            <v>RBB~AG</v>
          </cell>
        </row>
        <row r="4">
          <cell r="A4" t="str">
            <v xml:space="preserve"> A. FIXED EXPENSE</v>
          </cell>
          <cell r="G4" t="str">
            <v>RCC~AG</v>
          </cell>
        </row>
        <row r="5">
          <cell r="G5" t="str">
            <v>RDD~AG</v>
          </cell>
        </row>
        <row r="6">
          <cell r="A6" t="str">
            <v>I T E M</v>
          </cell>
          <cell r="B6" t="str">
            <v>S U B  -  I T E M</v>
          </cell>
          <cell r="C6" t="str">
            <v xml:space="preserve">              G U I D E L I N E S      I N        D E T A I L S</v>
          </cell>
          <cell r="F6" t="str">
            <v>R E M A R K S</v>
          </cell>
          <cell r="G6" t="str">
            <v>REE~AG</v>
          </cell>
        </row>
        <row r="8">
          <cell r="A8" t="str">
            <v xml:space="preserve"> 1. SALARY &amp;</v>
          </cell>
          <cell r="B8" t="str">
            <v xml:space="preserve"> 1. KOREAN STAFF SALARY</v>
          </cell>
          <cell r="C8" t="str">
            <v xml:space="preserve"> - DRAFTED BY PERSON ACCORDING TO MONTHLY DEMAND-SUPPLY SCH.</v>
          </cell>
        </row>
        <row r="9">
          <cell r="A9" t="str">
            <v xml:space="preserve">    WAGE</v>
          </cell>
          <cell r="B9" t="str">
            <v xml:space="preserve">  1) SALARY</v>
          </cell>
          <cell r="C9" t="str">
            <v xml:space="preserve"> - JAN-FEB H/O-PAID SALARY (BASIC SALARY + ALLOWANCE FOR THE POST ATTACHED +</v>
          </cell>
        </row>
        <row r="10">
          <cell r="C10" t="str">
            <v xml:space="preserve">   OVERTIME PAY + LONG-SERVICE ALLOWANCE + ANNUAL ALLOWANCE + OTHER ALLOWANCE)</v>
          </cell>
        </row>
        <row r="11">
          <cell r="C11" t="str">
            <v xml:space="preserve">   FOLLOW CURRENT SALARY &amp; AFTER MARCH REFLECTS A 5% INCREASE.</v>
          </cell>
        </row>
        <row r="12">
          <cell r="B12" t="str">
            <v xml:space="preserve">  2) H/O PAID OVERSEAS</v>
          </cell>
          <cell r="C12" t="str">
            <v xml:space="preserve"> - H/O-PAID OVERSEAS ALLOWANCE BY GRADE BASED ON </v>
          </cell>
        </row>
        <row r="13">
          <cell r="B13" t="str">
            <v xml:space="preserve">     ALLOWANCE</v>
          </cell>
          <cell r="C13" t="str">
            <v xml:space="preserve">   OVERSEAS ALLOWANCE PAYMENT REGULATIONS.</v>
          </cell>
        </row>
        <row r="14">
          <cell r="B14" t="str">
            <v xml:space="preserve">  3) LOCAL-PAID ALLOWANCE</v>
          </cell>
          <cell r="C14" t="str">
            <v xml:space="preserve"> ① LOCAL-PAID OVERSEAS ALLOWANCE BY GRADE, CASHIER ALLOWANCE BASED ON</v>
          </cell>
        </row>
        <row r="15">
          <cell r="C15" t="str">
            <v xml:space="preserve">    OVERSEAS ALLOWANCE PAYMENT REGULATIONS.</v>
          </cell>
        </row>
        <row r="16">
          <cell r="C16" t="str">
            <v xml:space="preserve"> ② PURCHASING BRANCH : LOCAL-PAID ALLOWANCE &amp; HOUSING ALLOWANCE INC.</v>
          </cell>
        </row>
        <row r="17">
          <cell r="C17" t="str">
            <v xml:space="preserve">                        FOOD STUFFS, TAXES.</v>
          </cell>
        </row>
        <row r="18">
          <cell r="C18" t="str">
            <v xml:space="preserve"> ③ EXTENSION-SERVICE ALLOWANCE FOR EXTENTION-SERVICE STAFF.</v>
          </cell>
        </row>
        <row r="19">
          <cell r="C19" t="str">
            <v xml:space="preserve"> ④ HOUSING ALLOWANCE &amp; SINGLE POST ALLOWANCE</v>
          </cell>
        </row>
        <row r="20">
          <cell r="C20" t="str">
            <v xml:space="preserve"> ⑤ SINGLE POSTED ALLOWANCE</v>
          </cell>
        </row>
        <row r="21">
          <cell r="B21" t="str">
            <v xml:space="preserve">  4) BONUS</v>
          </cell>
          <cell r="C21" t="str">
            <v xml:space="preserve"> - (BASIC SALARY + POST ALLOWANCE(WELFARE) + O/T + EXTENSION + </v>
          </cell>
        </row>
        <row r="22">
          <cell r="C22" t="str">
            <v xml:space="preserve">   SELF DEVELOPMENT ALLOWANCE) X 800%</v>
          </cell>
        </row>
        <row r="23">
          <cell r="B23" t="str">
            <v xml:space="preserve"> 2. LOCAL STAFF SALARY</v>
          </cell>
          <cell r="C23" t="str">
            <v xml:space="preserve"> - DRAFTED BY PERSON ACCORDING TO MONTHLY DEMAND-SUPPLY SCH.</v>
          </cell>
          <cell r="F23" t="str">
            <v xml:space="preserve"> - TO ATTACH ONE COPY OF EMPLOYMENT </v>
          </cell>
        </row>
        <row r="24">
          <cell r="B24" t="str">
            <v xml:space="preserve">  1) SALARY</v>
          </cell>
          <cell r="C24" t="str">
            <v xml:space="preserve"> - APPROPRIATE TOTAL MONTHLY-FIXED SALARY ON CONTRACT</v>
          </cell>
          <cell r="F24" t="str">
            <v xml:space="preserve">   CONTRACT AGREEMENT FOR LOCAL STAFF.</v>
          </cell>
        </row>
        <row r="25">
          <cell r="C25" t="str">
            <v xml:space="preserve"> - APPLY SALARY INCREASE IN ACCORADANCE WITH CONTRACT</v>
          </cell>
        </row>
        <row r="26">
          <cell r="B26" t="str">
            <v xml:space="preserve">  2) OVERTIME PAY</v>
          </cell>
          <cell r="C26" t="str">
            <v xml:space="preserve"> - SPECIFY OVERTIME WORK DETAILS, TIME &amp; PAYMENT STANDARDS</v>
          </cell>
        </row>
        <row r="27">
          <cell r="B27" t="str">
            <v xml:space="preserve">  3) BONUS</v>
          </cell>
          <cell r="C27" t="str">
            <v xml:space="preserve"> - CALCULATE BY PAYMENT TERMS SPECIFIED ON CONTRACT</v>
          </cell>
        </row>
        <row r="28">
          <cell r="C28" t="str">
            <v xml:space="preserve">   (PAYMENT TIME &amp; AMOUNT SPECIFIED)</v>
          </cell>
        </row>
        <row r="29">
          <cell r="B29" t="str">
            <v xml:space="preserve"> 3. INDIRECT LABOUR'S WAGE</v>
          </cell>
          <cell r="C29" t="str">
            <v xml:space="preserve"> - DRAFTED BY PERSON ACCORDING TO MONTHLY DEMAND-SUPPLY SCH.</v>
          </cell>
        </row>
        <row r="30">
          <cell r="B30" t="str">
            <v xml:space="preserve">  1) KOREAN</v>
          </cell>
          <cell r="C30" t="str">
            <v xml:space="preserve"> - APPROPRIATE KOREAN LABOUR'S TOTAL WAGE</v>
          </cell>
        </row>
        <row r="31">
          <cell r="B31" t="str">
            <v xml:space="preserve">  2) FOREIGNER</v>
          </cell>
          <cell r="C31" t="str">
            <v xml:space="preserve"> - APPROPRIATE LOCAL &amp; FOREIGN LABOUR'S TOTAL WAGE</v>
          </cell>
        </row>
        <row r="33">
          <cell r="B33" t="str">
            <v xml:space="preserve"> 4. RETIREMENT GRANTS</v>
          </cell>
          <cell r="C33" t="str">
            <v xml:space="preserve"> ① KOREAN STAFF RETIREMENT GRANTS : APPROPRIATE 20% OF TOTAL AMOUNTS FOR </v>
          </cell>
          <cell r="F33" t="str">
            <v xml:space="preserve"> - EXCEPT LOCAL ALLOWANCE</v>
          </cell>
        </row>
        <row r="34">
          <cell r="D34" t="str">
            <v xml:space="preserve">     SALARY, ALLOWANCE(H/O-PAID) AND BONUS.</v>
          </cell>
        </row>
        <row r="35">
          <cell r="C35" t="str">
            <v xml:space="preserve"> ② LOCAL STAFF RETIREMENT GRANTS  : APPROPRIATE AMOUNT OF RELEVANT YEAR</v>
          </cell>
          <cell r="F35" t="str">
            <v xml:space="preserve"> - SPECIFY CALCULATION DETAILS.</v>
          </cell>
        </row>
        <row r="36">
          <cell r="D36" t="str">
            <v xml:space="preserve">     ACCORDING TO LOCAL LAW.</v>
          </cell>
        </row>
        <row r="37">
          <cell r="C37" t="str">
            <v xml:space="preserve"> ③ KOREAN INDIRECT LABOURS' RETIREMENT GRANTS : APPROPRIATE 1/12 OF EACH </v>
          </cell>
          <cell r="F37" t="str">
            <v xml:space="preserve"> -              〃</v>
          </cell>
        </row>
        <row r="38">
          <cell r="D38" t="str">
            <v xml:space="preserve">                 ACTUAL (MONTH) WAGE</v>
          </cell>
        </row>
        <row r="39">
          <cell r="C39" t="str">
            <v xml:space="preserve"> ④ FOREIGN INDIRECT LABOURS' RETIREMENT GRANTS : APPROPRIATE AMOUNT OF</v>
          </cell>
          <cell r="F39" t="str">
            <v xml:space="preserve"> -              〃</v>
          </cell>
        </row>
        <row r="40">
          <cell r="D40" t="str">
            <v xml:space="preserve">         RELEVANT YEAR ACCORDING TO LOCAL LAW.</v>
          </cell>
        </row>
        <row r="42">
          <cell r="A42" t="str">
            <v xml:space="preserve"> 2. RENTAL CHARGE</v>
          </cell>
          <cell r="B42" t="str">
            <v xml:space="preserve"> 1. OFFICE RENTAL CHARGE</v>
          </cell>
          <cell r="C42" t="str">
            <v xml:space="preserve"> ① REFLECT YEARLY RENTAL CHARGE (SPECIFY SIZE, RENTAL CHARGE, RENTAL PERIOD,</v>
          </cell>
          <cell r="F42" t="str">
            <v xml:space="preserve"> - TO ATTACH ONE COPY OF LEASE CONTRACT </v>
          </cell>
        </row>
        <row r="43">
          <cell r="C43" t="str">
            <v xml:space="preserve">    DEPOSITS, PAYMENT TERMS ETC.)</v>
          </cell>
          <cell r="F43" t="str">
            <v xml:space="preserve">   AGREEMENT</v>
          </cell>
        </row>
        <row r="44">
          <cell r="C44" t="str">
            <v xml:space="preserve"> ② ON JOINT USE WITH GROUP CO. SPECIFY ALLOTED DETAILS &amp; STANDARD AND</v>
          </cell>
        </row>
        <row r="45">
          <cell r="C45" t="str">
            <v xml:space="preserve">    APPROPRIATE AMOUNT OF OUR CO.(HDEC) ONLY.</v>
          </cell>
        </row>
        <row r="46">
          <cell r="C46" t="str">
            <v xml:space="preserve"> ③ ADMISTRATIVE EXPENSE OCCURED FLUCTUATELY EVERY MONTH BESIDES RENTAL CHARGE </v>
          </cell>
        </row>
        <row r="47">
          <cell r="C47" t="str">
            <v xml:space="preserve">    (ELECTRICITY, WATER RATE, CLEANING EXPENSE, OTHER ADMISTRATIVE EXPENSE)  </v>
          </cell>
        </row>
        <row r="48">
          <cell r="C48" t="str">
            <v xml:space="preserve">    SHOULD BE REFLECTED IN WATER &amp; ELEC.(ITEM NO : B-7)  OR  QUARTER </v>
          </cell>
        </row>
        <row r="49">
          <cell r="C49" t="str">
            <v xml:space="preserve">   MAINTENANCE EXP. (ITEM NO : B-1-2)</v>
          </cell>
        </row>
        <row r="53">
          <cell r="A53" t="str">
            <v>I T E M</v>
          </cell>
          <cell r="B53" t="str">
            <v>S U B  -  I T E M</v>
          </cell>
          <cell r="C53" t="str">
            <v xml:space="preserve">              G U I D E L I N E S      I N        D E T A I L S</v>
          </cell>
          <cell r="F53" t="str">
            <v>R E M A R K S</v>
          </cell>
        </row>
        <row r="55">
          <cell r="B55" t="str">
            <v xml:space="preserve"> 2. QUARTER RENTAL CHARGE</v>
          </cell>
          <cell r="C55" t="str">
            <v xml:space="preserve"> ① COMPANION QUARTER : APPROPRIATE YEARLY RENTAL CHARGE (SPECIFY AREA, RENTAL </v>
          </cell>
          <cell r="F55" t="str">
            <v xml:space="preserve"> - TO ATTACH ONE COPY OF LEASE CONTRACT </v>
          </cell>
        </row>
        <row r="56">
          <cell r="C56" t="str">
            <v xml:space="preserve">                        CHARGE, RENTAL PERIOD, DEPOSITS, PAYMENT TERMS ETC.)</v>
          </cell>
          <cell r="F56" t="str">
            <v xml:space="preserve">   AGREEMENT</v>
          </cell>
        </row>
        <row r="57">
          <cell r="C57" t="str">
            <v xml:space="preserve"> ② SINGLE    QUARTER : (SPECIFY AREA, RENTAL CHARGE, RENTAL PERIOD, DEPOSITS,</v>
          </cell>
        </row>
        <row r="58">
          <cell r="C58" t="str">
            <v xml:space="preserve">                        PAYMENT TERMS ETC.)</v>
          </cell>
        </row>
        <row r="60">
          <cell r="B60" t="str">
            <v xml:space="preserve"> 3. COMMUNICATION </v>
          </cell>
          <cell r="C60" t="str">
            <v xml:space="preserve"> - COMMUNICATION EQUIPMENTS (TLX M/C, TELEPHONE EXCHANGE) RENTAL CHARGE</v>
          </cell>
          <cell r="F60" t="str">
            <v xml:space="preserve"> - TO ATTACH ONE COPY OF LEASE CONTRACT </v>
          </cell>
        </row>
        <row r="61">
          <cell r="B61" t="str">
            <v xml:space="preserve">  FACILITIES RENTAL CHARGE</v>
          </cell>
          <cell r="C61" t="str">
            <v xml:space="preserve">   (SPECIFY RENTAL TERMS)</v>
          </cell>
          <cell r="F61" t="str">
            <v xml:space="preserve">   AGREEMENT.</v>
          </cell>
        </row>
        <row r="63">
          <cell r="B63" t="str">
            <v xml:space="preserve"> 4. OFFICE FIXTURES RENTAL</v>
          </cell>
          <cell r="C63" t="str">
            <v xml:space="preserve"> - APPROPRIATE OFFICE FIXTURES RENTAL CHARGE (SPECIFY RENTAL TERMS)</v>
          </cell>
          <cell r="F63" t="str">
            <v xml:space="preserve"> -              〃</v>
          </cell>
        </row>
        <row r="64">
          <cell r="B64" t="str">
            <v xml:space="preserve">    CHARGE</v>
          </cell>
        </row>
        <row r="66">
          <cell r="B66" t="str">
            <v xml:space="preserve"> 5. AREA RENTAL CHARGE</v>
          </cell>
          <cell r="C66" t="str">
            <v xml:space="preserve"> - APPROPRIATE YEARLY RENTAL CHARGE (SPECIFY AREA, RENTAL CHARGE, RENTAL PERIOD,</v>
          </cell>
          <cell r="F66" t="str">
            <v xml:space="preserve"> -              〃</v>
          </cell>
        </row>
        <row r="67">
          <cell r="C67" t="str">
            <v xml:space="preserve">                                     DEPOSITS, PAYMENT TERMS ETC.)</v>
          </cell>
        </row>
        <row r="68">
          <cell r="B68" t="str">
            <v xml:space="preserve"> 6. OTHERS</v>
          </cell>
        </row>
        <row r="70">
          <cell r="A70" t="str">
            <v xml:space="preserve"> 3. AIR-FARE</v>
          </cell>
          <cell r="B70" t="str">
            <v xml:space="preserve"> 1. NEW POST AIR-FARE</v>
          </cell>
          <cell r="C70" t="str">
            <v xml:space="preserve"> ① APPROPRIATE NEW POST PERSON'S AIR-FARE ACCORDING TO STAFF &amp; WORKER'S</v>
          </cell>
        </row>
        <row r="71">
          <cell r="C71" t="str">
            <v xml:space="preserve">    DEMAND-SUPPLY SCH.</v>
          </cell>
        </row>
        <row r="72">
          <cell r="C72" t="str">
            <v xml:space="preserve"> ② APPRORIATE PREP. EXP. FOR DEPARTURE (PREP. EXP. FOR PASSPORT, PHYSICAL</v>
          </cell>
        </row>
        <row r="73">
          <cell r="C73" t="str">
            <v xml:space="preserve">    CHECK-UP EXP., AIRPORT RENTAL FEE, VISA FEE ETC.)</v>
          </cell>
        </row>
        <row r="74">
          <cell r="C74" t="str">
            <v xml:space="preserve"> ③ EXCLUDE NEW POST TCN'S AIR-FARE(CHARGE IN PERSON OR BY AGENT)</v>
          </cell>
        </row>
        <row r="75">
          <cell r="B75" t="str">
            <v xml:space="preserve"> 2. VACATION AIR-FARE</v>
          </cell>
          <cell r="C75" t="str">
            <v xml:space="preserve"> - APPROPRIATE SINGLE POST STAFF'S VACATION AIR FARE</v>
          </cell>
        </row>
        <row r="77">
          <cell r="B77" t="str">
            <v xml:space="preserve"> 3. RETURN AIR-FARE</v>
          </cell>
          <cell r="C77" t="str">
            <v xml:space="preserve"> ① APPROPRIATE AIR-FARE ACCORDING TO STAFF &amp; LABOUR RETURN</v>
          </cell>
        </row>
        <row r="78">
          <cell r="C78" t="str">
            <v xml:space="preserve"> ② APPROPRIATE TCN'S RETURN AIR-FARE ACCORDING TO CONTRACT TERMS WITH AGENT</v>
          </cell>
        </row>
        <row r="79">
          <cell r="C79" t="str">
            <v xml:space="preserve">    BY COUNTRY.</v>
          </cell>
        </row>
        <row r="81">
          <cell r="B81" t="str">
            <v xml:space="preserve"> 4. FAMILY AIR-FARE</v>
          </cell>
          <cell r="C81" t="str">
            <v xml:space="preserve"> ① DESPATCHING &amp; RETURN AIR-FARE OF STAFF FAMILY &amp; RETURN-RELATED EXPENSES.</v>
          </cell>
        </row>
        <row r="82">
          <cell r="C82" t="str">
            <v xml:space="preserve"> ② APPROPRIATE FAMILY IMMIGRATION EXPENSES ACCORDING TO CO'S REGULATION.</v>
          </cell>
        </row>
        <row r="83">
          <cell r="C83" t="str">
            <v xml:space="preserve">                          </v>
          </cell>
        </row>
        <row r="84">
          <cell r="A84" t="str">
            <v xml:space="preserve"> 4. TAXES</v>
          </cell>
          <cell r="C84" t="str">
            <v xml:space="preserve">  SPECIFY RELEVANT CLAUSE(TAX AMOUNT &amp; CALCULATION METHOD, PAYMENT PERIOD ETC.)</v>
          </cell>
        </row>
        <row r="85">
          <cell r="C85" t="str">
            <v xml:space="preserve">   ACCORDING TO LOCAL LAW BY COUNTRY.</v>
          </cell>
        </row>
        <row r="86">
          <cell r="B86" t="str">
            <v xml:space="preserve"> 1. INCOME TAX</v>
          </cell>
          <cell r="C86" t="str">
            <v xml:space="preserve"> - INDICATE SUBJECT, TAXATION STANDARD, TAX RATES ETC.</v>
          </cell>
          <cell r="F86" t="str">
            <v xml:space="preserve"> - EXCEPT PURCHASING BRANCH.</v>
          </cell>
        </row>
        <row r="87">
          <cell r="B87" t="str">
            <v xml:space="preserve"> 2. SOCIAL SECURITY TAX</v>
          </cell>
          <cell r="C87" t="str">
            <v xml:space="preserve"> - INDICATE SUBJECT, TAXATION STANDARD, TAX RATES ETC.</v>
          </cell>
        </row>
        <row r="88">
          <cell r="B88" t="str">
            <v xml:space="preserve"> 3. OTHER</v>
          </cell>
          <cell r="C88" t="str">
            <v xml:space="preserve"> - TAXES OTHER THAN ABOVE 1,2 CLAUSE.</v>
          </cell>
        </row>
        <row r="90">
          <cell r="A90" t="str">
            <v xml:space="preserve"> 5. INSURANCE </v>
          </cell>
          <cell r="B90" t="str">
            <v xml:space="preserve"> 1. WORKMAN'S COMPENSATION</v>
          </cell>
          <cell r="C90" t="str">
            <v xml:space="preserve"> ⑴ SAUDI ARABIA</v>
          </cell>
        </row>
        <row r="91">
          <cell r="A91" t="str">
            <v xml:space="preserve">    PREMIUMS</v>
          </cell>
          <cell r="B91" t="str">
            <v xml:space="preserve">    INSURANCE</v>
          </cell>
          <cell r="C91" t="str">
            <v xml:space="preserve">  ① KOREAN STAFF : TOTAL STAFF'S U$ 500 MONTHLY PER PERSON X 4.1922% = MONTHLY </v>
          </cell>
        </row>
        <row r="92">
          <cell r="C92" t="str">
            <v xml:space="preserve">                    INSURANCE PREMIUM.</v>
          </cell>
        </row>
        <row r="93">
          <cell r="C93" t="str">
            <v xml:space="preserve">  ② KOREAN WORKER : TATAL MONTHLY WAGE X 4.04% = MONTHLY INSURANCE PREMIUM.</v>
          </cell>
        </row>
        <row r="94">
          <cell r="C94" t="str">
            <v xml:space="preserve"> ⑵ OTHER AREAS (EXC. SAUDI ARABIA)</v>
          </cell>
        </row>
        <row r="95">
          <cell r="C95" t="str">
            <v xml:space="preserve">  ① KOREAN STAFF : TOTAL STAFF'S U$500 MONTHLY PER PERSON X 4.63675% = MONTHLY</v>
          </cell>
        </row>
        <row r="96">
          <cell r="C96" t="str">
            <v xml:space="preserve">                    INSURANCE PREMIUM.</v>
          </cell>
        </row>
        <row r="97">
          <cell r="C97" t="str">
            <v xml:space="preserve">  ② KOREAN WORKER : TOTAL MONTHLY WAGE X 4.46% = MONTHLY INSURANCE PREMIUM.</v>
          </cell>
        </row>
        <row r="98">
          <cell r="C98" t="str">
            <v xml:space="preserve"> ⑶ INDICATE LOCAL INSURANCE PREMIUM DETAILS IF ANY.</v>
          </cell>
        </row>
        <row r="99">
          <cell r="C99" t="str">
            <v xml:space="preserve"> ⑷ THOUGH LOCAL STAFF/ TCN PAYS PREMIUMS AT HIS OWN EXPENSE IN PRINCIPLE,</v>
          </cell>
        </row>
        <row r="100">
          <cell r="C100" t="str">
            <v xml:space="preserve">    APPROPRIATE IF CONTRACT CONTAINS COMPANY PAY TERMS.</v>
          </cell>
        </row>
        <row r="104">
          <cell r="A104" t="str">
            <v>I T E M</v>
          </cell>
          <cell r="B104" t="str">
            <v>S U B  -  I T E M</v>
          </cell>
          <cell r="C104" t="str">
            <v xml:space="preserve">              G U I D E L I N E S      I N        D E T A I L S</v>
          </cell>
          <cell r="F104" t="str">
            <v>R E M A R K S</v>
          </cell>
        </row>
        <row r="106">
          <cell r="B106" t="str">
            <v xml:space="preserve"> 2. MEDICAL INSURANCE </v>
          </cell>
          <cell r="C106" t="str">
            <v xml:space="preserve"> ① SUBJECT : KOREAN STAFF/WORKER</v>
          </cell>
        </row>
        <row r="107">
          <cell r="B107" t="str">
            <v xml:space="preserve">    PREMIUM</v>
          </cell>
          <cell r="C107" t="str">
            <v xml:space="preserve"> ② INSURANCE PREMIUM : TOTAL MONTHLY SALARY (BONUS EXCLUDED) X 1.5% (CO'S EXP)</v>
          </cell>
        </row>
        <row r="108">
          <cell r="C108" t="str">
            <v xml:space="preserve">  ※ TOTAL MONTHLY SALARY MEANS GROSS SALARY PAID BY HEAD OFFICE</v>
          </cell>
        </row>
        <row r="109">
          <cell r="C109" t="str">
            <v xml:space="preserve">     EXCLUDING BONUS AND LOCAL ALLOWANCE.</v>
          </cell>
        </row>
        <row r="110">
          <cell r="B110" t="str">
            <v xml:space="preserve"> 3. NATIONAL PENSION</v>
          </cell>
          <cell r="C110" t="str">
            <v xml:space="preserve"> ① SUBJECT : KOREAN STAFF/WORKER</v>
          </cell>
        </row>
        <row r="111">
          <cell r="C111" t="str">
            <v xml:space="preserve"> ② PENSION : TOTAL MONTHLY SALARY (BONUS INCLUDED) X 2.0% (CO'S EXPENSE)</v>
          </cell>
        </row>
        <row r="113">
          <cell r="B113" t="str">
            <v xml:space="preserve"> 4. EMPLOYMENT INSURANCE</v>
          </cell>
          <cell r="C113" t="str">
            <v xml:space="preserve"> ① SUBJECT : KOREAN STAFF</v>
          </cell>
        </row>
        <row r="114">
          <cell r="C114" t="str">
            <v xml:space="preserve"> ② INSURANCE PREMIUM : TOTAL MONTHLY SALARY  X 0.55% </v>
          </cell>
        </row>
        <row r="115">
          <cell r="C115" t="str">
            <v xml:space="preserve">  ※ TOTAL MONTHLY SALARY MEANS GROSS SALARY PAID BY HEAD OFFICE</v>
          </cell>
        </row>
        <row r="116">
          <cell r="C116" t="str">
            <v xml:space="preserve">     EXCLUDING LOCAL ALLOWANCE ONLY.</v>
          </cell>
        </row>
        <row r="117">
          <cell r="B117" t="str">
            <v xml:space="preserve"> 5. VEHICLE INSURANCE </v>
          </cell>
          <cell r="C117" t="str">
            <v xml:space="preserve"> - INSURANCE PREMIUM BY VEHICLE TYPE AND NUMBERS.</v>
          </cell>
        </row>
        <row r="118">
          <cell r="B118" t="str">
            <v xml:space="preserve">    PREMIUM</v>
          </cell>
        </row>
        <row r="119">
          <cell r="B119" t="str">
            <v xml:space="preserve"> 6. FIRE INSURANCE PREMIUM</v>
          </cell>
          <cell r="C119" t="str">
            <v xml:space="preserve"> - INSURANCE PREMIUM INSURED AGAINST FIRE.</v>
          </cell>
          <cell r="F119" t="str">
            <v xml:space="preserve"> - TO ATTACH ONE COPY OF INSURANCE</v>
          </cell>
        </row>
        <row r="121">
          <cell r="A121" t="str">
            <v xml:space="preserve"> 6. DEPRECIATIONS</v>
          </cell>
          <cell r="B121" t="str">
            <v xml:space="preserve">    DEPRECIATIONS FOR </v>
          </cell>
          <cell r="C121" t="str">
            <v xml:space="preserve"> - APPROPRIATE EXP. BASED ON YEARLY DEPRECIATIONS RATE</v>
          </cell>
          <cell r="F121" t="str">
            <v xml:space="preserve"> - TO INCLUDE DEPRECIATION FOR TOOLS &amp; FUR-</v>
          </cell>
        </row>
        <row r="122">
          <cell r="B122" t="str">
            <v xml:space="preserve">    BUILDING AND VEHICLES</v>
          </cell>
          <cell r="C122" t="str">
            <v xml:space="preserve">   (SPECIFIED DERECIATION METHOD)</v>
          </cell>
          <cell r="F122" t="str">
            <v xml:space="preserve">   NITURE TO BE PURCHASED NEWLY IN FY 98</v>
          </cell>
        </row>
        <row r="124">
          <cell r="A124" t="str">
            <v xml:space="preserve"> 7. OTHERS</v>
          </cell>
          <cell r="B124" t="str">
            <v xml:space="preserve">    EQUIPMENT MAINTENANCE</v>
          </cell>
          <cell r="C124" t="str">
            <v xml:space="preserve"> - SET UP MONTHLY OPERATION PLAN AND REFLECT THE AMOUNTS SPECIFIED ITEM BY ITEM</v>
          </cell>
          <cell r="F124" t="str">
            <v xml:space="preserve"> - FOR BATAM-YARD, JOR-YARD, BAH-YARD</v>
          </cell>
        </row>
        <row r="125">
          <cell r="B125" t="str">
            <v xml:space="preserve">    EXP.</v>
          </cell>
          <cell r="C125" t="str">
            <v xml:space="preserve">   IN DETAILS.</v>
          </cell>
          <cell r="F125" t="str">
            <v xml:space="preserve">   ONLY</v>
          </cell>
        </row>
        <row r="126">
          <cell r="C126" t="str">
            <v xml:space="preserve">  (REPAIRING/MAINTENANCE FOR EQUIPMENT AND FACILITIES, FUELS, CUSTOM CLEARANCE,</v>
          </cell>
        </row>
        <row r="127">
          <cell r="C127" t="str">
            <v xml:space="preserve">   TRANSPORTATION, SPARE PARTS AND OTHERS)</v>
          </cell>
        </row>
        <row r="130">
          <cell r="A130" t="str">
            <v xml:space="preserve"> B. VARIABLE EXPENSE</v>
          </cell>
        </row>
        <row r="132">
          <cell r="A132" t="str">
            <v>I T E M</v>
          </cell>
          <cell r="B132" t="str">
            <v>S U B  -  I T E M</v>
          </cell>
          <cell r="C132" t="str">
            <v xml:space="preserve">              G U I D E L I N E S      I N        D E T A I L S</v>
          </cell>
          <cell r="F132" t="str">
            <v>R E M A R K S</v>
          </cell>
        </row>
        <row r="134">
          <cell r="A134" t="str">
            <v xml:space="preserve"> 1. WELFARE </v>
          </cell>
          <cell r="B134" t="str">
            <v xml:space="preserve"> 1. MEAL CHARGE</v>
          </cell>
          <cell r="C134" t="str">
            <v xml:space="preserve"> ① BRANCH : REFLECT UNIT PRICE BASED ON ACTUAL MEAL CHARGE.</v>
          </cell>
          <cell r="F134" t="str">
            <v xml:space="preserve"> - EXCEPT PURCHASING BRANCH.</v>
          </cell>
        </row>
        <row r="135">
          <cell r="A135" t="str">
            <v xml:space="preserve">    EXPENSES</v>
          </cell>
          <cell r="C135" t="str">
            <v xml:space="preserve"> ② CATERING BRANCH : APPLY CATERING UNIT PRICE UNDER CONTRACT.</v>
          </cell>
        </row>
        <row r="136">
          <cell r="C136" t="str">
            <v xml:space="preserve"> ③ NUMBERS OF PERSON TAKING MEALS COINCIDE WITH TOTAL M/M OF PERSONNEL</v>
          </cell>
        </row>
        <row r="137">
          <cell r="C137" t="str">
            <v xml:space="preserve">    DEMAND-SUPPLY SCH.</v>
          </cell>
        </row>
        <row r="138">
          <cell r="C138" t="str">
            <v xml:space="preserve"> ④  APPROPRIATE LUNCH COST INSOFAR AS STAFF ACCOMPANIES FAMILY.</v>
          </cell>
        </row>
        <row r="140">
          <cell r="B140" t="str">
            <v xml:space="preserve"> 2. QUARTER MAINTENANCE</v>
          </cell>
          <cell r="C140" t="str">
            <v xml:space="preserve"> - QUARTER &amp; OFFICE MAINTENANCE/REPAIR EXPENSE.</v>
          </cell>
        </row>
        <row r="141">
          <cell r="B141" t="str">
            <v xml:space="preserve">    EXPENSE</v>
          </cell>
        </row>
        <row r="142">
          <cell r="B142" t="str">
            <v xml:space="preserve"> 3. MEDICAL EXP</v>
          </cell>
          <cell r="C142" t="str">
            <v xml:space="preserve"> ① MEDICAL, DISPOSABLE SUPPLIES EXP.</v>
          </cell>
        </row>
        <row r="143">
          <cell r="C143" t="str">
            <v xml:space="preserve"> ② MEDICAL FEE UNCOVERED BY INSURANCE.</v>
          </cell>
        </row>
        <row r="144">
          <cell r="C144" t="str">
            <v xml:space="preserve"> ③ IN CASE STAFF ACOMPANIES FAMILY, APPROPRIATE 60% OF LOCAL HOSPITAL CHARGES</v>
          </cell>
        </row>
        <row r="145">
          <cell r="C145" t="str">
            <v xml:space="preserve">    AND 50% OF OUTPATIENT FEE.</v>
          </cell>
        </row>
        <row r="146">
          <cell r="B146" t="str">
            <v xml:space="preserve"> 4. EDUCATION TRAINING EXP</v>
          </cell>
          <cell r="C146" t="str">
            <v xml:space="preserve"> - APPROPRIATE EDUCATION EXPENSES SUCH AS LANGUAGE TUTORING.</v>
          </cell>
        </row>
        <row r="148">
          <cell r="B148" t="str">
            <v xml:space="preserve"> 5. SPORTS AND RECREATION</v>
          </cell>
          <cell r="C148" t="str">
            <v xml:space="preserve"> ① EVENT &amp; SPORTS COMPETITION EXPENSES (YEAR-END, KOREAN THANKSGIVING HOLIDAY,</v>
          </cell>
        </row>
        <row r="149">
          <cell r="B149" t="str">
            <v xml:space="preserve">    EXP</v>
          </cell>
          <cell r="D149" t="str">
            <v xml:space="preserve">         LABOR DAY ETC.)</v>
          </cell>
        </row>
        <row r="150">
          <cell r="C150" t="str">
            <v xml:space="preserve"> ② APPROPRIATE PURCHASING EXP. FOR SPORTS/RECREATION FACILITIES AND VIDEO TAPE</v>
          </cell>
        </row>
        <row r="151">
          <cell r="C151" t="str">
            <v xml:space="preserve">    RENTAL FEES ETC.</v>
          </cell>
        </row>
        <row r="157">
          <cell r="A157" t="str">
            <v>I T E M</v>
          </cell>
          <cell r="B157" t="str">
            <v>S U B  -  I T E M</v>
          </cell>
          <cell r="C157" t="str">
            <v xml:space="preserve">              G U I D E L I N E S      I N        D E T A I L S</v>
          </cell>
          <cell r="F157" t="str">
            <v>R E M A R K S</v>
          </cell>
        </row>
        <row r="159">
          <cell r="B159" t="str">
            <v xml:space="preserve"> 6. OTHER WELFARE EXP</v>
          </cell>
          <cell r="C159" t="str">
            <v xml:space="preserve"> ① CLOTHING EXP : CLOTHING EXP. SUPPLIED TO STAFF, INDIRECT WORKER BY</v>
          </cell>
        </row>
        <row r="160">
          <cell r="C160" t="str">
            <v xml:space="preserve">                   CLOTHING SUPPLY REGULATIONS.</v>
          </cell>
        </row>
        <row r="161">
          <cell r="C161" t="str">
            <v xml:space="preserve"> ② NIGHT DUTY ALLOWANCE : WEEKDAY - U$ 5 PER DAY. (HOLIDAY - U$ 10 PER DAY.)</v>
          </cell>
          <cell r="F161" t="str">
            <v xml:space="preserve"> - REFER TO INSA LTR 91-646(91.5.31)</v>
          </cell>
        </row>
        <row r="162">
          <cell r="C162" t="str">
            <v xml:space="preserve"> ③ CHILDREN SCHOOLING EXP : SCHOOLING EXP. FOR CHILDREN ACCOMPANIED BY FAMILY.</v>
          </cell>
          <cell r="F162" t="str">
            <v xml:space="preserve">   AND 92-1041 (92.9.24)</v>
          </cell>
        </row>
        <row r="163">
          <cell r="C163" t="str">
            <v xml:space="preserve"> ④ TRAVELING SUBSIDY FOR SIGLE POSTED STAFF</v>
          </cell>
          <cell r="F163" t="str">
            <v xml:space="preserve"> - REFER TO INSA LTR 97-3072(97.9.2)</v>
          </cell>
        </row>
        <row r="165">
          <cell r="A165" t="str">
            <v xml:space="preserve"> 2. STATIONERY </v>
          </cell>
          <cell r="B165" t="str">
            <v xml:space="preserve"> 1. STATIONERY EXP.</v>
          </cell>
          <cell r="C165" t="str">
            <v xml:space="preserve"> - STATIONERY PURCHASING EXP. (ITEM NAME, QUANTITY, UNIT PRICE SPECIFIED)</v>
          </cell>
        </row>
        <row r="166">
          <cell r="A166" t="str">
            <v xml:space="preserve">    EXPENSES</v>
          </cell>
        </row>
        <row r="167">
          <cell r="B167" t="str">
            <v xml:space="preserve"> 2. PRINTING EXP.</v>
          </cell>
          <cell r="C167" t="str">
            <v xml:space="preserve"> - PRINTING EXP., ZEROX CHARGE, PAPER CHARGE.</v>
          </cell>
        </row>
        <row r="169">
          <cell r="B169" t="str">
            <v xml:space="preserve"> 3. PERIODICALS PURCHASING</v>
          </cell>
          <cell r="C169" t="str">
            <v xml:space="preserve"> - NEWSPAPER, MAGAZINE SUBSCRIPTION RATE &amp; REFERENCE BOOK PURCHASING EXP.</v>
          </cell>
        </row>
        <row r="170">
          <cell r="B170" t="str">
            <v xml:space="preserve">    EXP.</v>
          </cell>
          <cell r="C170" t="str">
            <v xml:space="preserve">   (SPECIFY TYPE &amp; MONTHLY SUBSCRIPTION RATE)</v>
          </cell>
        </row>
        <row r="172">
          <cell r="B172" t="str">
            <v xml:space="preserve"> 4. COMPUTER OPERATING </v>
          </cell>
          <cell r="C172" t="str">
            <v xml:space="preserve"> - COMPUTER REPAIR EXP., PAPER CHARGE, PGM DEVELOPMENT EXP., SERVICE EXP. ETC.</v>
          </cell>
          <cell r="F172" t="str">
            <v xml:space="preserve"> - TO APPROPRIATE COMPUTER PURCHASING </v>
          </cell>
        </row>
        <row r="173">
          <cell r="B173" t="str">
            <v xml:space="preserve">    EXP.</v>
          </cell>
          <cell r="F173" t="str">
            <v xml:space="preserve">   AMOUNT AT OFFICE FIXTURES BUDGET.</v>
          </cell>
        </row>
        <row r="175">
          <cell r="A175" t="str">
            <v xml:space="preserve"> 3. COMMUNICATION</v>
          </cell>
          <cell r="B175" t="str">
            <v xml:space="preserve"> 1. POSTAL CHARGES</v>
          </cell>
          <cell r="C175" t="str">
            <v xml:space="preserve"> - STAMP CHARGE, DHL CHARGE.</v>
          </cell>
        </row>
        <row r="176">
          <cell r="A176" t="str">
            <v xml:space="preserve">    EXPENSES</v>
          </cell>
        </row>
        <row r="177">
          <cell r="B177" t="str">
            <v xml:space="preserve"> 2. TLX CHARGE </v>
          </cell>
          <cell r="C177" t="str">
            <v xml:space="preserve"> - CIRCUIT USAGE CHARGE, REPAIR EXP., PAPER CHARGE.</v>
          </cell>
          <cell r="F177" t="str">
            <v xml:space="preserve"> - TO APPROPRIATE TLX M/C LEASE CHARGE</v>
          </cell>
        </row>
        <row r="178">
          <cell r="F178" t="str">
            <v xml:space="preserve">   AT COMMUNICATION FACILITIES RENTAL </v>
          </cell>
        </row>
        <row r="179">
          <cell r="B179" t="str">
            <v xml:space="preserve"> 3. TELEPHONE CHARGE</v>
          </cell>
          <cell r="C179" t="str">
            <v xml:space="preserve"> - INDICATE DIVIDING TELEPHONE &amp; FAX USAGE EXP. INTO USAGE FREQUENCY, AMT.</v>
          </cell>
          <cell r="F179" t="str">
            <v xml:space="preserve">   CHARGE.</v>
          </cell>
        </row>
        <row r="180">
          <cell r="C180" t="str">
            <v xml:space="preserve">   CHARGED PER MINUTE BY COUNTRY.</v>
          </cell>
        </row>
        <row r="181">
          <cell r="B181" t="str">
            <v xml:space="preserve"> ① DOMESTIC TEL. EXP.</v>
          </cell>
          <cell r="C181" t="str">
            <v xml:space="preserve"> - INDICATE MONTHLY AVERAGE USAGE FREQUENCY, USAGE AREA, AMOUNT ETC.</v>
          </cell>
        </row>
        <row r="182">
          <cell r="B182" t="str">
            <v xml:space="preserve"> ② INTERNATIONAL TEL. EXP.</v>
          </cell>
          <cell r="C182" t="str">
            <v xml:space="preserve"> - INDICATE MONTHLY AVERAGE USAGE AREA, AMOUNT ETC.</v>
          </cell>
        </row>
        <row r="184">
          <cell r="A184" t="str">
            <v xml:space="preserve"> 4. FIXTURE </v>
          </cell>
          <cell r="B184" t="str">
            <v xml:space="preserve"> 1. OFFICE FIXTURES</v>
          </cell>
          <cell r="C184" t="str">
            <v xml:space="preserve"> - REPAIR EXP. FOR OFFICE FIXTURES</v>
          </cell>
        </row>
        <row r="185">
          <cell r="A185" t="str">
            <v xml:space="preserve">    REPAIR EXP.</v>
          </cell>
        </row>
        <row r="186">
          <cell r="B186" t="str">
            <v xml:space="preserve"> 2. QUARTER FIXTURES</v>
          </cell>
          <cell r="C186" t="str">
            <v xml:space="preserve"> - REPAIR EXP. FOR QUARTER FIXTURES (EXC. PURCHASING BRANCH)</v>
          </cell>
        </row>
        <row r="188">
          <cell r="B188" t="str">
            <v xml:space="preserve"> 3. KITCHEN FIXTURES</v>
          </cell>
          <cell r="C188" t="str">
            <v xml:space="preserve"> - REPAIR EXP. FOR KITCHEN AND MESS HALL FIXTURES</v>
          </cell>
        </row>
        <row r="189">
          <cell r="C189" t="str">
            <v xml:space="preserve">   (EXC. PURCHASING BRANCH)</v>
          </cell>
        </row>
        <row r="191">
          <cell r="A191" t="str">
            <v xml:space="preserve"> 5. TRAVELLING </v>
          </cell>
          <cell r="B191" t="str">
            <v xml:space="preserve"> 1. OVERSEAS BUSINESS TRIP</v>
          </cell>
          <cell r="C191" t="str">
            <v xml:space="preserve"> - APPROPRIATE AIR-FARE AND VISIT EXP. DURING BUSINESS TRIP SPECIFIED OVERSEAS</v>
          </cell>
        </row>
        <row r="192">
          <cell r="A192" t="str">
            <v xml:space="preserve">    EXPENSES</v>
          </cell>
          <cell r="B192" t="str">
            <v xml:space="preserve">    EXP.</v>
          </cell>
          <cell r="C192" t="str">
            <v xml:space="preserve">   BUSINESS TRIP AREA INC. H/O, NUMBER OF TIMES AND PERIOD.</v>
          </cell>
        </row>
        <row r="193">
          <cell r="B193" t="str">
            <v xml:space="preserve"> 2. DOMESTIC BUSINESS TRIP</v>
          </cell>
          <cell r="C193" t="str">
            <v xml:space="preserve"> - SPECIFY DOMESTIC BUSINESS TRIP AREA, FREQUENCY, PERIOD, VISIT EXP.,</v>
          </cell>
        </row>
        <row r="194">
          <cell r="B194" t="str">
            <v xml:space="preserve">    EXP.</v>
          </cell>
          <cell r="C194" t="str">
            <v xml:space="preserve">   TRANSPORTATION EXP. ETC.</v>
          </cell>
        </row>
        <row r="195">
          <cell r="B195" t="str">
            <v xml:space="preserve"> 3. CITY TRANSPORTATION</v>
          </cell>
          <cell r="C195" t="str">
            <v xml:space="preserve"> - TAXI FARE, PARKING &amp; PASSAGE FEE ETC.</v>
          </cell>
        </row>
        <row r="196">
          <cell r="B196" t="str">
            <v xml:space="preserve">    EXP.</v>
          </cell>
        </row>
        <row r="198">
          <cell r="A198" t="str">
            <v xml:space="preserve"> 6. VEHICLE</v>
          </cell>
          <cell r="B198" t="str">
            <v xml:space="preserve"> 1. FUEL COST</v>
          </cell>
          <cell r="C198" t="str">
            <v xml:space="preserve"> - MONTHLY USAGE STANDARD BY VEHICLE NUMBER, TYPE (BY NUMBER, FUEL EXHAUSTION</v>
          </cell>
        </row>
        <row r="199">
          <cell r="A199" t="str">
            <v xml:space="preserve">    OPERATION </v>
          </cell>
          <cell r="C199" t="str">
            <v xml:space="preserve">   RATE/DAY, FUEL UNIT PRICE, 26 DAYS PER MONTH.)</v>
          </cell>
        </row>
        <row r="200">
          <cell r="A200" t="str">
            <v xml:space="preserve">    EXP.</v>
          </cell>
          <cell r="B200" t="str">
            <v xml:space="preserve"> 2. REPAIR EXP</v>
          </cell>
          <cell r="C200" t="str">
            <v xml:space="preserve"> - VEHICLE REPAIR EXP.</v>
          </cell>
        </row>
        <row r="201">
          <cell r="B201" t="str">
            <v xml:space="preserve"> 3. RENTAL CHARGE</v>
          </cell>
          <cell r="C201" t="str">
            <v xml:space="preserve"> - SPECIFY PURPOSE &amp; USAGE USED AS VEHICLE RENTAL CHARGE</v>
          </cell>
        </row>
        <row r="202">
          <cell r="B202" t="str">
            <v xml:space="preserve"> 4. REGISTRATION &amp;</v>
          </cell>
          <cell r="C202" t="str">
            <v xml:space="preserve"> - COST SPENT ON VEHICLE REGISTRATION &amp; LICENSE ISSUANCE.</v>
          </cell>
        </row>
        <row r="203">
          <cell r="B203" t="str">
            <v xml:space="preserve">    LICENSE ISSUANCE</v>
          </cell>
          <cell r="C203" t="str">
            <v xml:space="preserve"> - ROAD TAX &amp; OTHERS</v>
          </cell>
        </row>
        <row r="208">
          <cell r="A208" t="str">
            <v>I T E M</v>
          </cell>
          <cell r="B208" t="str">
            <v>S U B  -  I T E M</v>
          </cell>
          <cell r="C208" t="str">
            <v xml:space="preserve">              G U I D E L I N E S      I N        D E T A I L S</v>
          </cell>
          <cell r="F208" t="str">
            <v>R E M A R K S</v>
          </cell>
        </row>
        <row r="210">
          <cell r="A210" t="str">
            <v xml:space="preserve"> 7. WATER &amp; ELEC.</v>
          </cell>
          <cell r="B210" t="str">
            <v xml:space="preserve"> 1. ELECTRICITY EXP</v>
          </cell>
          <cell r="C210" t="str">
            <v xml:space="preserve"> - POWER GENERATION EXP., ELECTRICITY EXP., FUEL CHARGE FOR HEATING.</v>
          </cell>
          <cell r="F210" t="str">
            <v xml:space="preserve"> - TO SPECIFY QUANTITY, UNIT PRICE AND</v>
          </cell>
        </row>
        <row r="211">
          <cell r="A211" t="str">
            <v xml:space="preserve">    EXPENSES</v>
          </cell>
          <cell r="F211" t="str">
            <v xml:space="preserve">   CALCULATION DETAILS.</v>
          </cell>
        </row>
        <row r="212">
          <cell r="B212" t="str">
            <v xml:space="preserve"> 2. WATER EXP.</v>
          </cell>
          <cell r="C212" t="str">
            <v xml:space="preserve"> - WATER USAGE EXP.</v>
          </cell>
        </row>
        <row r="215">
          <cell r="A215" t="str">
            <v xml:space="preserve"> 8. ENTERTAINMENT</v>
          </cell>
          <cell r="B215" t="str">
            <v xml:space="preserve"> 1. CLIENT</v>
          </cell>
          <cell r="C215" t="str">
            <v xml:space="preserve"> - ENTERTAINMENT EXP. FOR CLIENT AND CONSULTANT CO.</v>
          </cell>
          <cell r="F215" t="str">
            <v xml:space="preserve"> - EXCLUDE SOO JOO HWALDONG BEE</v>
          </cell>
        </row>
        <row r="216">
          <cell r="A216" t="str">
            <v xml:space="preserve">    EXP.</v>
          </cell>
        </row>
        <row r="217">
          <cell r="B217" t="str">
            <v xml:space="preserve"> 2. GOVERNMENT &amp; PUBLIC</v>
          </cell>
          <cell r="C217" t="str">
            <v xml:space="preserve"> - ENTERTAINMENT EXP. FOR GOVERNMENT, AUTHORITIES CONCERNED, BANK AND CUSTOMER.</v>
          </cell>
        </row>
        <row r="218">
          <cell r="B218" t="str">
            <v xml:space="preserve">    OFFICES, OTHERS</v>
          </cell>
        </row>
        <row r="221">
          <cell r="A221" t="str">
            <v xml:space="preserve"> 9. FEES &amp; </v>
          </cell>
          <cell r="B221" t="str">
            <v xml:space="preserve"> 1. CPA, LEGAL SERVICES</v>
          </cell>
          <cell r="C221" t="str">
            <v xml:space="preserve"> - CPA &amp; LEGAL SERVICES</v>
          </cell>
          <cell r="F221" t="str">
            <v xml:space="preserve"> - TO ATTACH CONTRACT AGREEMENT.</v>
          </cell>
        </row>
        <row r="222">
          <cell r="A222" t="str">
            <v xml:space="preserve">    CHARGES</v>
          </cell>
        </row>
        <row r="223">
          <cell r="B223" t="str">
            <v xml:space="preserve"> 2. STAMP CHARGE </v>
          </cell>
          <cell r="C223" t="str">
            <v xml:space="preserve"> - FEES &amp; CHARGES GENERATED AT LOCAL GOVERNMENT &amp; PUBLIC OFFICES SUCH AS</v>
          </cell>
          <cell r="F223" t="str">
            <v xml:space="preserve"> - TO REFLECT VISA FEE AT AIR-FARE</v>
          </cell>
        </row>
        <row r="224">
          <cell r="C224" t="str">
            <v xml:space="preserve">   R/P, W/P.</v>
          </cell>
        </row>
        <row r="226">
          <cell r="B226" t="str">
            <v xml:space="preserve"> 3. TRANSLATION FEES</v>
          </cell>
          <cell r="C226" t="str">
            <v xml:space="preserve"> - DOCUMENT TRANSLATION FEES &amp; CHARGES.</v>
          </cell>
        </row>
        <row r="228">
          <cell r="B228" t="str">
            <v xml:space="preserve"> 4. CONSULATE-VERIFICATION</v>
          </cell>
          <cell r="C228" t="str">
            <v xml:space="preserve"> - EMBASSY, CONSULATE-VERIFICATION FEES &amp; CHARGES.</v>
          </cell>
        </row>
        <row r="229">
          <cell r="B229" t="str">
            <v xml:space="preserve">    FEES &amp; CHARGE</v>
          </cell>
        </row>
        <row r="231">
          <cell r="B231" t="str">
            <v xml:space="preserve"> 5. BANK REMITTANCE FEES</v>
          </cell>
          <cell r="C231" t="str">
            <v xml:space="preserve"> - P/P &amp; FUND REMITTANCE FEES &amp; CHARGES.</v>
          </cell>
        </row>
        <row r="232">
          <cell r="B232" t="str">
            <v xml:space="preserve">    &amp; CHARGE</v>
          </cell>
        </row>
        <row r="234">
          <cell r="B234" t="str">
            <v xml:space="preserve"> 6. OTHERS</v>
          </cell>
          <cell r="C234" t="str">
            <v xml:space="preserve"> - OTHER FEES &amp; CHARGES.</v>
          </cell>
          <cell r="F234" t="str">
            <v xml:space="preserve"> - TO SPECIFY CALCULATION DETAILS</v>
          </cell>
        </row>
        <row r="235">
          <cell r="F235" t="str">
            <v xml:space="preserve">   BY ITEM.</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بيمه"/>
      <sheetName val="Sheet4"/>
      <sheetName val="Sheet5"/>
      <sheetName val="ماليات خارجي"/>
      <sheetName val=" پايه حقوق 80"/>
      <sheetName val="Sheet8"/>
      <sheetName val="Sheet9"/>
      <sheetName val="정부노임단가"/>
      <sheetName val="ISBL"/>
      <sheetName val="OSBL"/>
      <sheetName val="집계표"/>
      <sheetName val="환율표"/>
      <sheetName val="rates"/>
      <sheetName val="MR"/>
      <sheetName val="입사시직위"/>
      <sheetName val="INPUT DATA"/>
      <sheetName val="RFP007"/>
      <sheetName val="CAL"/>
      <sheetName val="TAX TABEL"/>
      <sheetName val="WE'T"/>
      <sheetName val="fitting"/>
      <sheetName val="ANALYSER"/>
      <sheetName val="SE-611"/>
      <sheetName val="Testing"/>
      <sheetName val="Tipo Terzi"/>
      <sheetName val="Salary"/>
      <sheetName val="ITEM"/>
      <sheetName val="세부내역"/>
      <sheetName val="환율"/>
      <sheetName val="Sheet1"/>
      <sheetName val="STAND98"/>
      <sheetName val="#REF"/>
      <sheetName val="간접비(1)"/>
      <sheetName val="Expat Conditions"/>
      <sheetName val="Staff"/>
      <sheetName val="PRO_DCI"/>
      <sheetName val="INST_DCI"/>
      <sheetName val="HVAC_DCI"/>
      <sheetName val="PIPE_DCI"/>
      <sheetName val="BQ"/>
      <sheetName val="CAT_5"/>
      <sheetName val="97 사업추정(WEKI)"/>
      <sheetName val="7. 매출 투입 취하"/>
      <sheetName val="ITB COST"/>
      <sheetName val="RFP002"/>
      <sheetName val="INPUT RACK"/>
      <sheetName val="source foundation"/>
      <sheetName val="사업계획"/>
      <sheetName val="공사내역"/>
      <sheetName val="plan&amp;section of foundation"/>
      <sheetName val="TABLE2-1 ISBL(GENEAL-CIVIL)"/>
      <sheetName val="TABLE2-1 ISBL-(SlTE PREP)"/>
      <sheetName val="TABLE2.1 ISBL (Soil Invest)"/>
      <sheetName val="TABLE2-2 OSBL(GENERAL-CIVIL)"/>
      <sheetName val="TABLE2-2 OSBL-(SITE PREP)"/>
      <sheetName val="공사비 내역 (가)"/>
      <sheetName val="BQ List"/>
      <sheetName val="BM"/>
      <sheetName val="관람석제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Cover"/>
      <sheetName val="jobhist"/>
      <sheetName val="수입"/>
      <sheetName val="내역서"/>
      <sheetName val="h_013211_2"/>
      <sheetName val="PipWT"/>
      <sheetName val="cal"/>
      <sheetName val="INPUT DATA"/>
      <sheetName val="Summary Sheets"/>
      <sheetName val="eq_data"/>
      <sheetName val="CAT_5"/>
      <sheetName val="INSTR"/>
      <sheetName val="7.6.3(B) UG Piping"/>
      <sheetName val="BOQ"/>
      <sheetName val="Sheet1"/>
      <sheetName val=" Sum"/>
      <sheetName val="#REF"/>
      <sheetName val="ANALYSER"/>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말뚝물량"/>
      <sheetName val="상반기손익차2총괄"/>
      <sheetName val="8.현장관리비"/>
      <sheetName val="7.안전관리비"/>
      <sheetName val="노임단가"/>
      <sheetName val="w't table"/>
      <sheetName val="BQ"/>
      <sheetName val="CondPol"/>
      <sheetName val="영업소실적"/>
      <sheetName val="경제지표"/>
      <sheetName val="세금자료"/>
      <sheetName val="cable"/>
      <sheetName val="DESIGN(77C-102A)-2"/>
      <sheetName val="RFP007"/>
      <sheetName val="0.갑지"/>
      <sheetName val="LOOKUP"/>
      <sheetName val="수량산출서"/>
      <sheetName val="최민영집계25"/>
      <sheetName val="제출sche(Basic)"/>
      <sheetName val="PHALAIDUCT "/>
      <sheetName val="5"/>
      <sheetName val="Database"/>
      <sheetName val="Gia vat tu"/>
      <sheetName val="PDS U-1400"/>
      <sheetName val="Summary"/>
      <sheetName val="대치판정"/>
      <sheetName val="AILC004"/>
      <sheetName val="Sheet4"/>
      <sheetName val="MR"/>
      <sheetName val="EQT-ESTN"/>
      <sheetName val="ZAR SAZ"/>
      <sheetName val="Unit 49_분개표"/>
      <sheetName val="Unit 76_분개표"/>
      <sheetName val="Macro"/>
      <sheetName val="Taux"/>
      <sheetName val="rates"/>
      <sheetName val="구조물철거타공정이월"/>
      <sheetName val="VC2 8.98"/>
      <sheetName val="공사비 내역 (가)"/>
      <sheetName val="간접비 총괄표"/>
      <sheetName val="X17-TOTAL"/>
      <sheetName val="FDM TOT"/>
      <sheetName val="요약배부"/>
      <sheetName val="주관사업"/>
      <sheetName val="내역"/>
      <sheetName val="IT-BAT"/>
      <sheetName val="HVAC"/>
      <sheetName val="정부노임단가"/>
      <sheetName val="DATE"/>
      <sheetName val="TOTAL"/>
      <sheetName val="Factor"/>
      <sheetName val="98TSON4A"/>
      <sheetName val="단중표-ST"/>
      <sheetName val="CIVIL WORK"/>
      <sheetName val="환율"/>
      <sheetName val="인원계획"/>
      <sheetName val="물량집계(전기)"/>
      <sheetName val="물량집계(계장)"/>
      <sheetName val="12CGOU"/>
      <sheetName val="PAINT"/>
      <sheetName val="공정계획(내부계획25%,내부w.f)"/>
      <sheetName val="costing_CV"/>
      <sheetName val="PIPE"/>
      <sheetName val="DESIGN CRETERIA"/>
      <sheetName val="DESIGN CRITERIA"/>
      <sheetName val="COVERSHEET"/>
      <sheetName val="DESIGN_CRETERIA"/>
      <sheetName val="Graph (LGEN)"/>
      <sheetName val="out_prog"/>
      <sheetName val="선적schedule (2)"/>
      <sheetName val="조도계산서 (도서)"/>
      <sheetName val="UnitList"/>
      <sheetName val="96.12"/>
      <sheetName val="직원동원계획"/>
      <sheetName val="REDUCER"/>
      <sheetName val="WE'T"/>
      <sheetName val="Testing"/>
      <sheetName val="PRO_DCI"/>
      <sheetName val="INST_DCI"/>
      <sheetName val="HVAC_DCI"/>
      <sheetName val="PIPE_DCI"/>
      <sheetName val="TRANSPORT"/>
      <sheetName val="working load at the btm ft_"/>
      <sheetName val="plan_section of foundation"/>
      <sheetName val="member design"/>
      <sheetName val="soil bearing check"/>
      <sheetName val="TO  MEST"/>
      <sheetName val="Est-Trench1"/>
      <sheetName val="PumpSpec"/>
      <sheetName val="mhrrate"/>
      <sheetName val="Ind"/>
      <sheetName val="Proposal"/>
      <sheetName val="간접비내역-1"/>
      <sheetName val="AABS내역"/>
      <sheetName val="Main Code"/>
      <sheetName val="집계표(OPTION)"/>
      <sheetName val="변수데이타"/>
      <sheetName val="C급보 "/>
      <sheetName val="ELEC_DCI"/>
      <sheetName val="직원동원SCH"/>
      <sheetName val="Sheet2"/>
      <sheetName val="할증 "/>
      <sheetName val="RENUN"/>
      <sheetName val="공사내역"/>
      <sheetName val="집계표"/>
      <sheetName val="BQ List"/>
      <sheetName val="개시대사 (2)"/>
      <sheetName val="설계조건"/>
      <sheetName val="단면검토"/>
      <sheetName val="BM DATA SHEET"/>
      <sheetName val="사업계획"/>
      <sheetName val="2월가격"/>
      <sheetName val="TOEC"/>
      <sheetName val="Define"/>
      <sheetName val="DESIGN"/>
      <sheetName val="OCT.FDN"/>
      <sheetName val="analisa"/>
      <sheetName val="INSPECTOR (EPC-1)"/>
      <sheetName val="Pipe Classes"/>
      <sheetName val="piping"/>
      <sheetName val="투입실적"/>
      <sheetName val="SPEC"/>
      <sheetName val="Cash2"/>
      <sheetName val="Z"/>
      <sheetName val="Base_Data"/>
      <sheetName val="Basic"/>
      <sheetName val="견적기준"/>
      <sheetName val="DATA"/>
      <sheetName val="REINF."/>
      <sheetName val="LOADS"/>
      <sheetName val="CHECK1"/>
      <sheetName val="MAIN"/>
      <sheetName val="PRO_A"/>
      <sheetName val="PRO"/>
      <sheetName val="Rekap A"/>
      <sheetName val="VL"/>
      <sheetName val="일위대가표(DEEP)"/>
      <sheetName val="연돌일위집계"/>
      <sheetName val="ACTDATA"/>
      <sheetName val="영업2"/>
      <sheetName val="Ox-Air"/>
      <sheetName val="3.현장배치"/>
      <sheetName val="인원현황"/>
      <sheetName val="plan&amp;section of foundation"/>
      <sheetName val="Instruction"/>
      <sheetName val="U+SRU 5UG"/>
      <sheetName val="NEWDRAW"/>
      <sheetName val="131COMP"/>
      <sheetName val="ITstk"/>
      <sheetName val="ECC Master Title"/>
      <sheetName val="SE-611"/>
      <sheetName val="steam table"/>
      <sheetName val="개시전표"/>
      <sheetName val="생산계획"/>
      <sheetName val="95삼성급(본사)"/>
      <sheetName val="EQUIP"/>
      <sheetName val="BQMPALOC"/>
      <sheetName val="자동이름-삽입-시트"/>
      <sheetName val="Desal-E&amp;I"/>
      <sheetName val="PI"/>
      <sheetName val="Staff,Labor Wage &amp; Salary"/>
      <sheetName val="실행(1)"/>
      <sheetName val="SS2"/>
      <sheetName val="인원동원계획"/>
      <sheetName val="갑지"/>
      <sheetName val="PUMP"/>
      <sheetName val="산근"/>
      <sheetName val="PROCURE"/>
      <sheetName val="nde_request"/>
      <sheetName val="Seals"/>
      <sheetName val="4K - (6a) Non Manual Breakdown"/>
      <sheetName val="Hangers"/>
      <sheetName val="Read Me"/>
      <sheetName val="Tbl"/>
      <sheetName val="투입인력"/>
      <sheetName val="wagerate"/>
      <sheetName val="Lab-Rate"/>
      <sheetName val="SITE EST"/>
      <sheetName val="단중표"/>
      <sheetName val="TABLE2-2 OSBL-(SITE PREP)"/>
      <sheetName val="견적의뢰"/>
      <sheetName val="B"/>
      <sheetName val="TANK"/>
      <sheetName val="Piping(Methanol)"/>
      <sheetName val="토목"/>
      <sheetName val="공사비예산서(토목분)"/>
      <sheetName val="loading"/>
      <sheetName val="P-산#1-1(WOWA1)"/>
      <sheetName val="SUPERH_FLAT_END"/>
      <sheetName val="실행내역"/>
      <sheetName val="사업부배부A"/>
      <sheetName val="기준"/>
      <sheetName val="Sheet5"/>
      <sheetName val="9-1차이내역"/>
      <sheetName val="노무비단가"/>
      <sheetName val="배수내역"/>
      <sheetName val="예산M12A"/>
      <sheetName val="RFP009"/>
      <sheetName val="IN"/>
      <sheetName val="Standard Piping MTO"/>
      <sheetName val="Pipe&amp;Valve Coding"/>
      <sheetName val="SubSum"/>
      <sheetName val="ITB COST"/>
      <sheetName val="04 - Civil"/>
      <sheetName val="ELEC_MCI"/>
      <sheetName val="INST_MCI"/>
      <sheetName val="MECH_MCI"/>
      <sheetName val="Table 1"/>
      <sheetName val="제출내역 (2)"/>
      <sheetName val="A LINE"/>
      <sheetName val="부표총괄"/>
      <sheetName val="환율표"/>
      <sheetName val="WorkSheet1"/>
      <sheetName val="VXXXXXX"/>
      <sheetName val="표지"/>
      <sheetName val="OFFER RATE"/>
      <sheetName val="실행철강하도"/>
      <sheetName val="STAND98"/>
      <sheetName val="인사자료총집계"/>
      <sheetName val="T RFA"/>
      <sheetName val="SortedList"/>
      <sheetName val="CVA"/>
      <sheetName val="P1_Body"/>
      <sheetName val="PILOT품"/>
      <sheetName val="Overview"/>
      <sheetName val="M96현황-동아"/>
      <sheetName val="금형품의서"/>
      <sheetName val="수주추정"/>
      <sheetName val="약품공급2"/>
      <sheetName val="JUCKEYK"/>
      <sheetName val="2.대외공문"/>
      <sheetName val="Setup"/>
      <sheetName val="Marsh. FGS (Hours)"/>
      <sheetName val="Marsh. ESD (Materials)"/>
      <sheetName val="Marsh. FGS (Materials)"/>
      <sheetName val="Project Price Summary"/>
      <sheetName val="cable-data"/>
      <sheetName val="Currencies"/>
      <sheetName val="diamètres"/>
      <sheetName val="EQUIPMENT ERECTION BREAKDOWN"/>
      <sheetName val="wg"/>
      <sheetName val="9100"/>
      <sheetName val="Summary_Sheets"/>
      <sheetName val="INPUT_DATA"/>
      <sheetName val="7_6_3(B)_UG_Piping"/>
      <sheetName val="_Sum"/>
      <sheetName val="8_현장관리비"/>
      <sheetName val="7_안전관리비"/>
      <sheetName val="w't_table"/>
      <sheetName val="0_갑지"/>
      <sheetName val="PHALAIDUCT_"/>
      <sheetName val="Gia_vat_tu"/>
      <sheetName val="PDS_U-1400"/>
      <sheetName val="ZAR_SAZ"/>
      <sheetName val="ITB_COST"/>
      <sheetName val="T_RFA"/>
      <sheetName val="Unit_49_분개표"/>
      <sheetName val="Unit_76_분개표"/>
      <sheetName val="공사비_내역_(가)"/>
      <sheetName val="간접비_총괄표"/>
      <sheetName val="VC2_8_98"/>
      <sheetName val="FDM_TOT"/>
      <sheetName val="CIVIL_WORK"/>
      <sheetName val="공정계획(내부계획25%,내부w_f)"/>
      <sheetName val="DESIGN_CRETERIA1"/>
      <sheetName val="DESIGN_CRITERIA"/>
      <sheetName val="Graph_(LGEN)"/>
      <sheetName val="선적schedule_(2)"/>
      <sheetName val="조도계산서_(도서)"/>
      <sheetName val="96_12"/>
      <sheetName val="working_load_at_the_btm_ft_"/>
      <sheetName val="plan_section_of_foundation"/>
      <sheetName val="member_design"/>
      <sheetName val="soil_bearing_check"/>
      <sheetName val="TO__MEST"/>
      <sheetName val="Main_Code"/>
      <sheetName val="C급보_"/>
      <sheetName val="할증_"/>
      <sheetName val="BQ_List"/>
      <sheetName val="개시대사_(2)"/>
      <sheetName val="BM_DATA_SHEET"/>
      <sheetName val="OCT_FDN"/>
      <sheetName val="INSPECTOR_(EPC-1)"/>
      <sheetName val="Pipe_Classes"/>
      <sheetName val="REINF_"/>
      <sheetName val="Rekap_A"/>
      <sheetName val="3_현장배치"/>
      <sheetName val="plan&amp;section_of_foundation"/>
      <sheetName val="U+SRU_5UG"/>
      <sheetName val="ECC_Master_Title"/>
      <sheetName val="steam_table"/>
      <sheetName val="Staff,Labor_Wage_&amp;_Salary"/>
      <sheetName val="4K_-_(6a)_Non_Manual_Breakdown"/>
      <sheetName val="Read_Me"/>
      <sheetName val="SITE_EST"/>
      <sheetName val="TABLE2-2_OSBL-(SITE_PREP)"/>
      <sheetName val="Standard_Piping_MTO"/>
      <sheetName val="Pipe&amp;Valve_Coding"/>
      <sheetName val="04_-_Civil"/>
      <sheetName val="Table_1"/>
      <sheetName val="제출내역_(2)"/>
      <sheetName val="A_LINE"/>
      <sheetName val="OFFER_RATE"/>
      <sheetName val="INPUT_DATA1"/>
      <sheetName val="Summary_Sheets1"/>
      <sheetName val="7_6_3(B)_UG_Piping1"/>
      <sheetName val="_Sum1"/>
      <sheetName val="8_현장관리비1"/>
      <sheetName val="7_안전관리비1"/>
      <sheetName val="w't_table1"/>
      <sheetName val="0_갑지1"/>
      <sheetName val="PHALAIDUCT_1"/>
      <sheetName val="Gia_vat_tu1"/>
      <sheetName val="PDS_U-14001"/>
      <sheetName val="ZAR_SAZ1"/>
      <sheetName val="Unit_49_분개표1"/>
      <sheetName val="Unit_76_분개표1"/>
      <sheetName val="VC2_8_981"/>
      <sheetName val="공사비_내역_(가)1"/>
      <sheetName val="간접비_총괄표1"/>
      <sheetName val="FDM_TOT1"/>
      <sheetName val="CIVIL_WORK1"/>
      <sheetName val="공정계획(내부계획25%,내부w_f)1"/>
      <sheetName val="DESIGN_CRETERIA2"/>
      <sheetName val="DESIGN_CRITERIA1"/>
      <sheetName val="Graph_(LGEN)1"/>
      <sheetName val="선적schedule_(2)1"/>
      <sheetName val="조도계산서_(도서)1"/>
      <sheetName val="96_121"/>
      <sheetName val="working_load_at_the_btm_ft_1"/>
      <sheetName val="plan_section_of_foundation1"/>
      <sheetName val="member_design1"/>
      <sheetName val="soil_bearing_check1"/>
      <sheetName val="TO__MEST1"/>
      <sheetName val="Main_Code1"/>
      <sheetName val="C급보_1"/>
      <sheetName val="할증_1"/>
      <sheetName val="BQ_List1"/>
      <sheetName val="개시대사_(2)1"/>
      <sheetName val="BM_DATA_SHEET1"/>
      <sheetName val="OCT_FDN1"/>
      <sheetName val="INSPECTOR_(EPC-1)1"/>
      <sheetName val="Pipe_Classes1"/>
      <sheetName val="REINF_1"/>
      <sheetName val="Rekap_A1"/>
      <sheetName val="3_현장배치1"/>
      <sheetName val="plan&amp;section_of_foundation1"/>
      <sheetName val="U+SRU_5UG1"/>
      <sheetName val="ECC_Master_Title1"/>
      <sheetName val="steam_table1"/>
      <sheetName val="Staff,Labor_Wage_&amp;_Salary1"/>
      <sheetName val="4K_-_(6a)_Non_Manual_Breakdown1"/>
      <sheetName val="Read_Me1"/>
      <sheetName val="SITE_EST1"/>
      <sheetName val="TABLE2-2_OSBL-(SITE_PREP)1"/>
      <sheetName val="Standard_Piping_MTO1"/>
      <sheetName val="Pipe&amp;Valve_Coding1"/>
      <sheetName val="ITB_COST1"/>
      <sheetName val="04_-_Civil1"/>
      <sheetName val="Table_11"/>
      <sheetName val="제출내역_(2)1"/>
      <sheetName val="A_LINE1"/>
      <sheetName val="OFFER_RATE1"/>
      <sheetName val="T_RFA1"/>
      <sheetName val="ABUT수량-A1"/>
      <sheetName val="Issue Resolution"/>
      <sheetName val="CAPVC"/>
      <sheetName val="가도공"/>
      <sheetName val="Data Pembukaan_1.1"/>
      <sheetName val="공사비_NDE"/>
      <sheetName val="1 COST"/>
      <sheetName val="내역(한신APT)"/>
      <sheetName val="Input"/>
      <sheetName val="DI-ESTI"/>
      <sheetName val="건축집계"/>
      <sheetName val="DB_ET200(R. A)"/>
      <sheetName val="MH rate"/>
      <sheetName val="ASCEandUBC"/>
      <sheetName val="CTEMCOST"/>
      <sheetName val="7_6_3(B)_UG_Piping2"/>
      <sheetName val="Summary_Sheets2"/>
      <sheetName val="INPUT_DATA2"/>
      <sheetName val="_Sum2"/>
      <sheetName val="8_현장관리비2"/>
      <sheetName val="7_안전관리비2"/>
      <sheetName val="w't_table2"/>
      <sheetName val="0_갑지2"/>
      <sheetName val="PHALAIDUCT_2"/>
      <sheetName val="Gia_vat_tu2"/>
      <sheetName val="PDS_U-14002"/>
      <sheetName val="Sheet3"/>
      <sheetName val="TD"/>
      <sheetName val="BT Cane Dev Prog"/>
      <sheetName val="L"/>
      <sheetName val="ANX3A11"/>
      <sheetName val="TYPE-B 평균H"/>
      <sheetName val="FJK 0"/>
      <sheetName val="본지점중"/>
      <sheetName val="data_dci"/>
      <sheetName val="data_mci"/>
      <sheetName val="CODE"/>
      <sheetName val="tank3"/>
      <sheetName val="2.2 STAFF Scedule"/>
      <sheetName val="대비표"/>
      <sheetName val="예총"/>
      <sheetName val="焊工状态表"/>
      <sheetName val="Default"/>
      <sheetName val="breakdown"/>
      <sheetName val="뜃맟뭁돽띿맟_-BLDG"/>
      <sheetName val="BREAKDOWN(신규설치)"/>
      <sheetName val="SUMMARY_철거"/>
      <sheetName val="BREAKDOWN(철거설치)"/>
      <sheetName val="D-3109"/>
      <sheetName val="뜃맟뭁돽띿맟?-BLDG"/>
      <sheetName val="97 사업추정(WEKI)"/>
      <sheetName val="DB@Acess"/>
      <sheetName val="Civil"/>
      <sheetName val="TTL"/>
      <sheetName val="Quantity"/>
      <sheetName val="기성내역"/>
      <sheetName val="7.5.2 BOQ Summary "/>
      <sheetName val="회사99"/>
      <sheetName val="실행"/>
      <sheetName val="DO AM DT"/>
      <sheetName val="TUAS"/>
      <sheetName val="단가비교"/>
      <sheetName val="예산M11A"/>
      <sheetName val="Renf_flat_center"/>
      <sheetName val="TKOFF"/>
      <sheetName val="Notes"/>
      <sheetName val="가상data"/>
      <sheetName val="p.mgmt"/>
      <sheetName val="BRICK"/>
      <sheetName val="COMPRESSOR"/>
      <sheetName val="h-013211-2??0?_x0013_??0?????_x0013_?"/>
      <sheetName val="h-013211-2厧㉠0䧬_x0013_冞㉠0冣㉠幇髃䴾_x0013_Ӥ"/>
      <sheetName val="4.1구조설계"/>
      <sheetName val="TYPE-B_평균H"/>
      <sheetName val="h-013211-2__"/>
      <sheetName val="h-013211-2厧㉠"/>
      <sheetName val="Detail"/>
      <sheetName val="LOPCALC"/>
      <sheetName val="FJK_0"/>
      <sheetName val="2_2_STAFF_Scedule"/>
      <sheetName val="97_사업추정(WEKI)"/>
      <sheetName val="7_5_2_BOQ_Summary_"/>
      <sheetName val="DO_AM_DT"/>
      <sheetName val="Utilities"/>
      <sheetName val="Staff-OP"/>
      <sheetName val="0. SUM"/>
      <sheetName val="Transformer FDN_1"/>
      <sheetName val="Transformer FDN_2"/>
      <sheetName val="Transformer FDN_3"/>
      <sheetName val="Fuel Oil Tank_1"/>
      <sheetName val="Fuel Oil Tank_2"/>
      <sheetName val="WATER TRETMENT PLANT"/>
      <sheetName val="Untreated Water Tank"/>
      <sheetName val="Untreated Water Tank Demi"/>
      <sheetName val="Pretreated Water Tank"/>
      <sheetName val="Demineralized Tank"/>
      <sheetName val="Potabel Water Tank"/>
      <sheetName val="Waste Water Treatment System"/>
      <sheetName val="Modular Septic Tank"/>
      <sheetName val="OSSPA"/>
      <sheetName val="OSSWL"/>
      <sheetName val="Skimmed Oil Tank"/>
      <sheetName val="Oil Sludge Tank"/>
      <sheetName val="Oil Sludge Discharge Pump"/>
      <sheetName val="STG"/>
      <sheetName val="BOILER"/>
      <sheetName val="PRECIPITATOR&amp;ID FAN"/>
      <sheetName val="Air Cooled Condenser FDN"/>
      <sheetName val="Fly Ash Silos"/>
      <sheetName val="BOTTOM ASH SILO"/>
      <sheetName val="FUEL OIL PUMPING"/>
      <sheetName val="FLASH TANK"/>
      <sheetName val="ACC DUCT1"/>
      <sheetName val="ACC DUCT"/>
      <sheetName val="STEAM AIR"/>
      <sheetName val="EXTRACTION PUMP"/>
      <sheetName val="CLOSE COOLING WATER PUMP"/>
      <sheetName val="Closed cooling water cooler"/>
      <sheetName val="33628-Rev. A"/>
      <sheetName val="ZAR_SAZ2"/>
      <sheetName val="Unit_49_분개표2"/>
      <sheetName val="Unit_76_분개표2"/>
      <sheetName val="공사비_내역_(가)2"/>
      <sheetName val="간접비_총괄표2"/>
      <sheetName val="FDM_TOT2"/>
      <sheetName val="VC2_8_982"/>
      <sheetName val="CIVIL_WORK2"/>
      <sheetName val="공정계획(내부계획25%,내부w_f)2"/>
      <sheetName val="DESIGN_CRETERIA3"/>
      <sheetName val="DESIGN_CRITERIA2"/>
      <sheetName val="Graph_(LGEN)2"/>
      <sheetName val="선적schedule_(2)2"/>
      <sheetName val="조도계산서_(도서)2"/>
      <sheetName val="working_load_at_the_btm_ft_2"/>
      <sheetName val="plan_section_of_foundation2"/>
      <sheetName val="member_design2"/>
      <sheetName val="soil_bearing_check2"/>
      <sheetName val="TO__MEST2"/>
      <sheetName val="C급보_2"/>
      <sheetName val="Main_Code2"/>
      <sheetName val="BQ_List2"/>
      <sheetName val="Staff,Labor_Wage_&amp;_Salary2"/>
      <sheetName val="할증_2"/>
      <sheetName val="개시대사_(2)2"/>
      <sheetName val="BM_DATA_SHEET2"/>
      <sheetName val="OCT_FDN2"/>
      <sheetName val="INSPECTOR_(EPC-1)2"/>
      <sheetName val="Pipe_Classes2"/>
      <sheetName val="REINF_2"/>
      <sheetName val="Rekap_A2"/>
      <sheetName val="3_현장배치2"/>
      <sheetName val="plan&amp;section_of_foundation2"/>
      <sheetName val="U+SRU_5UG2"/>
      <sheetName val="ECC_Master_Title2"/>
      <sheetName val="steam_table2"/>
      <sheetName val="96_122"/>
      <sheetName val="4K_-_(6a)_Non_Manual_Breakdown2"/>
      <sheetName val="Read_Me2"/>
      <sheetName val="SITE_EST2"/>
      <sheetName val="TABLE2-2_OSBL-(SITE_PREP)2"/>
      <sheetName val="Standard_Piping_MTO2"/>
      <sheetName val="Pipe&amp;Valve_Coding2"/>
      <sheetName val="ITB_COST2"/>
      <sheetName val="04_-_Civil2"/>
      <sheetName val="Table_12"/>
      <sheetName val="A_LINE2"/>
      <sheetName val="제출내역_(2)2"/>
      <sheetName val="OFFER_RATE2"/>
      <sheetName val="T_RFA2"/>
      <sheetName val="Marsh__FGS_(Hours)"/>
      <sheetName val="Marsh__ESD_(Materials)"/>
      <sheetName val="Marsh__FGS_(Materials)"/>
      <sheetName val="Project_Price_Summary"/>
      <sheetName val="EQUIPMENT_ERECTION_BREAKDOWN"/>
      <sheetName val="Issue_Resolution"/>
      <sheetName val="DB_ET200(R__A)"/>
      <sheetName val="2_대외공문"/>
      <sheetName val="Data_Pembukaan_1_1"/>
      <sheetName val="h-013211-2??"/>
      <sheetName val="표지세로"/>
      <sheetName val="일위대가(가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ara입찰견적서_원본"/>
      <sheetName val="Sheet1"/>
      <sheetName val="#REF"/>
      <sheetName val="01.가설-파일"/>
      <sheetName val="공정"/>
      <sheetName val="인력동원-본사-현장-외주"/>
      <sheetName val="안전"/>
      <sheetName val="장치"/>
      <sheetName val="기계"/>
      <sheetName val="전기"/>
      <sheetName val="계장"/>
      <sheetName val="배관"/>
      <sheetName val="토목"/>
      <sheetName val="건축"/>
      <sheetName val="설비"/>
      <sheetName val="개시전표"/>
      <sheetName val="공사집계"/>
      <sheetName val="SW 소요계획 "/>
      <sheetName val="영업소실적"/>
      <sheetName val="8.PILE  (돌출)"/>
      <sheetName val="eq_data"/>
      <sheetName val="대비표"/>
      <sheetName val="CIVIL WORK"/>
      <sheetName val="bqmpaloc"/>
      <sheetName val="3. HS Pek SILO &amp; Pondasi"/>
      <sheetName val="1 COST"/>
      <sheetName val="tj定额"/>
      <sheetName val="Upgrades pricing"/>
      <sheetName val="MTO - TUBING &amp; FITTINGS"/>
      <sheetName val="Summary Assumption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sheetData sheetId="3" refreshError="1"/>
      <sheetData sheetId="4" refreshError="1"/>
      <sheetData sheetId="5"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row r="8">
          <cell r="B8" t="str">
            <v xml:space="preserve">        TURKEY</v>
          </cell>
        </row>
      </sheetData>
      <sheetData sheetId="3" refreshError="1"/>
      <sheetData sheetId="4" refreshError="1"/>
      <sheetData sheetId="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NOTES"/>
      <sheetName val="RFP002"/>
      <sheetName val="RFP003  "/>
      <sheetName val="RFP004"/>
      <sheetName val="RFP005 "/>
      <sheetName val="RFP006"/>
      <sheetName val="RFP007"/>
      <sheetName val="RFP008"/>
      <sheetName val="RFP009"/>
      <sheetName val="RFP010"/>
      <sheetName val="RFP011"/>
      <sheetName val="RFP11(1)"/>
      <sheetName val="RFP11(3)"/>
      <sheetName val="RFP012"/>
      <sheetName val="RFP013"/>
      <sheetName val="RFP014"/>
      <sheetName val="RFP015"/>
      <sheetName val="rates"/>
      <sheetName val="Sheet4"/>
      <sheetName val="MR"/>
      <sheetName val="CAL"/>
      <sheetName val="환율"/>
      <sheetName val="부재력정리"/>
      <sheetName val="CIVIL WORK"/>
      <sheetName val="WE'T"/>
      <sheetName val="HVAC"/>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5">
          <cell r="L45">
            <v>216210</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sheetData sheetId="3" refreshError="1"/>
      <sheetData sheetId="4" refreshError="1"/>
      <sheetData sheetId="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Split_CPS"/>
      <sheetName val="GRS"/>
      <sheetName val="split_WBS"/>
      <sheetName val="NEWCPS"/>
      <sheetName val="Piv_Table_Cost"/>
      <sheetName val="Piv_Table_Price"/>
      <sheetName val="Cash Flow"/>
      <sheetName val="SoP OGTEB"/>
      <sheetName val="SoP OGB"/>
      <sheetName val="SoP TEB"/>
      <sheetName val="Cancelled SoP TEB"/>
      <sheetName val="NEW WBS"/>
      <sheetName val="Options"/>
      <sheetName val="Proc_General"/>
      <sheetName val="time"/>
      <sheetName val="RFP007"/>
      <sheetName val="ANALYSER"/>
      <sheetName val="Sheet4"/>
      <sheetName val="EQT-ESTN"/>
      <sheetName val="경제지표"/>
      <sheetName val="세금자료"/>
      <sheetName val="rates"/>
      <sheetName val="Unit 49_분개표"/>
      <sheetName val="Unit 76_분개표"/>
      <sheetName val="VC2 8.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LL WORK"/>
      <sheetName val="Mob eq (Civil)"/>
      <sheetName val="Mob La SC-1&amp;2&amp;3"/>
      <sheetName val="Mob La TANKAGE(SC-1&amp;2&amp;3)"/>
      <sheetName val="Mob La SITE PREP(SC-1&amp;2&amp;3)"/>
      <sheetName val="SUM"/>
      <sheetName val="TOTAL"/>
      <sheetName val="SC-1 &amp; SC-2"/>
      <sheetName val="SC1&amp;2&amp;3"/>
      <sheetName val="SC-1"/>
      <sheetName val="SC-2"/>
      <sheetName val="SC-3"/>
      <sheetName val="SITE PREPARATION"/>
      <sheetName val="shoreline protect"/>
      <sheetName val="Tankage Area"/>
      <sheetName val="Temporary"/>
      <sheetName val="단가비교(TOTAL)"/>
      <sheetName val="FDM TOT"/>
      <sheetName val="NEWCPS"/>
      <sheetName val="RFP009"/>
      <sheetName val="RFP007"/>
      <sheetName val="ANALYSER"/>
      <sheetName val="가도공"/>
      <sheetName val="EQT-ESTN"/>
      <sheetName val="rates"/>
      <sheetName val="Sheet4"/>
    </sheetNames>
    <sheetDataSet>
      <sheetData sheetId="0"/>
      <sheetData sheetId="1"/>
      <sheetData sheetId="2"/>
      <sheetData sheetId="3"/>
      <sheetData sheetId="4"/>
      <sheetData sheetId="5"/>
      <sheetData sheetId="6">
        <row r="8">
          <cell r="F8" t="str">
            <v>Building</v>
          </cell>
        </row>
      </sheetData>
      <sheetData sheetId="7"/>
      <sheetData sheetId="8"/>
      <sheetData sheetId="9"/>
      <sheetData sheetId="10"/>
      <sheetData sheetId="11"/>
      <sheetData sheetId="12"/>
      <sheetData sheetId="13"/>
      <sheetData sheetId="14"/>
      <sheetData sheetId="15"/>
      <sheetData sheetId="16">
        <row r="4">
          <cell r="B4" t="str">
            <v>Building</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base1"/>
      <sheetName val="Unit 49_분개표"/>
      <sheetName val="Unit 76_분개표"/>
      <sheetName val="수입"/>
      <sheetName val="TOTAL"/>
      <sheetName val="FDM TOT"/>
      <sheetName val="NEWCPS"/>
      <sheetName val="ANALYSER"/>
      <sheetName val="Information"/>
      <sheetName val="가도공"/>
      <sheetName val="RIEP"/>
    </sheetNames>
    <sheetDataSet>
      <sheetData sheetId="0">
        <row r="76">
          <cell r="F76" t="str">
            <v>INSTALLATION WORK FOR:</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base"/>
      <sheetName val="TOTAL"/>
      <sheetName val="ANX3A65"/>
      <sheetName val="design criteria"/>
      <sheetName val="FDM TOT"/>
      <sheetName val="NEWCPS"/>
      <sheetName val="ANALYSER"/>
    </sheetNames>
    <sheetDataSet>
      <sheetData sheetId="0">
        <row r="24">
          <cell r="T24">
            <v>14251719.733223382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9년하반기"/>
      <sheetName val="97 사업추정(WEKI)"/>
      <sheetName val="우수"/>
      <sheetName val="태화42 "/>
      <sheetName val="ANALYSER"/>
      <sheetName val="1월"/>
      <sheetName val="3-구교-오리지날"/>
      <sheetName val="공통부대비"/>
      <sheetName val="구의33고"/>
      <sheetName val="COVER"/>
      <sheetName val="공정표 "/>
      <sheetName val="부속동"/>
      <sheetName val="10한빛"/>
      <sheetName val="장차입"/>
      <sheetName val="정산표"/>
      <sheetName val="대치판정"/>
      <sheetName val="비교1"/>
      <sheetName val="96.12"/>
      <sheetName val="STAND98"/>
      <sheetName val="97사업계"/>
      <sheetName val="조직표"/>
      <sheetName val="95년12월말"/>
      <sheetName val="주요공사"/>
      <sheetName val="주관사업"/>
      <sheetName val="직원동원SCH"/>
      <sheetName val="실적총괄"/>
      <sheetName val="환율"/>
      <sheetName val="TOEC"/>
      <sheetName val="steel data sheet"/>
      <sheetName val="INSTR"/>
      <sheetName val="최초침전지집계표"/>
      <sheetName val="97년 SEACO예산"/>
      <sheetName val="PSIZE"/>
      <sheetName val="7.기-검-보.100"/>
      <sheetName val="P.M 별"/>
      <sheetName val="OUT"/>
      <sheetName val="가설건물"/>
      <sheetName val="정부노임단가"/>
      <sheetName val="1NYS(당)"/>
      <sheetName val="우수공"/>
      <sheetName val="와동25-3(변경)"/>
      <sheetName val="INPUT DATA"/>
      <sheetName val="유림골조"/>
      <sheetName val="청산공사"/>
      <sheetName val="하수급견적대비"/>
      <sheetName val="운동장 (2)"/>
      <sheetName val="월간보고"/>
      <sheetName val="인원계획"/>
      <sheetName val="P54"/>
      <sheetName val="001"/>
      <sheetName val="#REF"/>
      <sheetName val="고자현황"/>
      <sheetName val="간접비(1)"/>
      <sheetName val="BID"/>
      <sheetName val="마케팅"/>
      <sheetName val="토목공사"/>
      <sheetName val="단가표"/>
      <sheetName val="98지급계획"/>
      <sheetName val="DPRKMHDT"/>
      <sheetName val="T기성9605"/>
      <sheetName val="당초"/>
      <sheetName val="04-D(1)"/>
      <sheetName val="입찰안"/>
      <sheetName val="표지 (2)"/>
      <sheetName val="간접1"/>
      <sheetName val="현장업무"/>
      <sheetName val="TOTAL"/>
      <sheetName val="평균환율-USD"/>
      <sheetName val="RCF CLAIMED"/>
      <sheetName val="집계표"/>
      <sheetName val="유기공정"/>
      <sheetName val="광주운남을"/>
      <sheetName val="TOWER 12TON"/>
      <sheetName val="TOWER 10TON"/>
      <sheetName val="JIB CRANE,HOIST"/>
      <sheetName val="G.R300경비"/>
      <sheetName val="가도공"/>
      <sheetName val="대공종"/>
      <sheetName val="XL4Poppy"/>
      <sheetName val="3차설계"/>
      <sheetName val="단면검토"/>
      <sheetName val="설계조건"/>
      <sheetName val="사급자재"/>
      <sheetName val="ABUT수량-A1"/>
      <sheetName val="BSD (2)"/>
      <sheetName val="계정"/>
      <sheetName val="직원수당"/>
      <sheetName val="ANX3A65"/>
      <sheetName val="Information"/>
      <sheetName val="01.가설-파일"/>
      <sheetName val="PRO_A"/>
      <sheetName val="DWG"/>
      <sheetName val="MAIN"/>
      <sheetName val="PRO"/>
      <sheetName val="eq_data"/>
      <sheetName val="WORKER"/>
      <sheetName val="DATA"/>
      <sheetName val="IBASE"/>
      <sheetName val="new급여T(4을-운전)"/>
      <sheetName val="ITEM"/>
      <sheetName val="내역서"/>
      <sheetName val="마산월령동골조물량변경"/>
      <sheetName val="시험장S자로가로등공사"/>
      <sheetName val="SG"/>
      <sheetName val="간접비내역-1"/>
      <sheetName val="CP-E1(MECEL배분)"/>
      <sheetName val="다이꾸"/>
      <sheetName val="EQT-ESTN"/>
      <sheetName val="투입실적"/>
      <sheetName val="골조물량"/>
      <sheetName val="지급제한자"/>
      <sheetName val="공사비_NDE"/>
      <sheetName val="수입"/>
      <sheetName val="Sheet4"/>
      <sheetName val="상세공정율표"/>
      <sheetName val="공종목록표"/>
      <sheetName val="노임단가"/>
      <sheetName val="Sheet1 (2)"/>
      <sheetName val="IPS_0"/>
      <sheetName val="터널조도"/>
      <sheetName val="97_사업추정(WEKI)"/>
      <sheetName val="태화42_"/>
      <sheetName val="CAL"/>
      <sheetName val="내역"/>
      <sheetName val="DHEQSUPT"/>
      <sheetName val="3.바닥판설계"/>
      <sheetName val="1차배부(JB포함)"/>
      <sheetName val="A-8 PD(도로중앙)"/>
      <sheetName val="투찰"/>
      <sheetName val="현황"/>
      <sheetName val="소화실적"/>
      <sheetName val="공사금액 내역 (1)"/>
      <sheetName val="사업부배부A"/>
      <sheetName val="수주실적0709"/>
      <sheetName val="본지점중"/>
      <sheetName val="입사시직위"/>
      <sheetName val="Basis"/>
      <sheetName val="TABLE2-2 OSBL-(SITE PREP)"/>
      <sheetName val="Piping Design Data"/>
      <sheetName val="금액내역서"/>
      <sheetName val="CALCULATION"/>
      <sheetName val="CLASS-A"/>
      <sheetName val="Tipo Terzi"/>
      <sheetName val="유림총괄"/>
      <sheetName val="001BA"/>
      <sheetName val="상반기손익차2총괄"/>
      <sheetName val="PLAN_FEB97"/>
      <sheetName val="동결보온"/>
      <sheetName val="UnitList"/>
      <sheetName val="96배수"/>
      <sheetName val="배수내역"/>
      <sheetName val="토공"/>
      <sheetName val="공량산출서"/>
      <sheetName val="Sheet6"/>
      <sheetName val="SCH"/>
      <sheetName val="01하반기노임"/>
      <sheetName val="L형 옹벽"/>
      <sheetName val="MOTOR"/>
      <sheetName val="ilch"/>
      <sheetName val="화재 탐지 설비"/>
      <sheetName val="Formulas"/>
      <sheetName val="980820"/>
      <sheetName val="123"/>
      <sheetName val="소상 &quot;1&quot;"/>
      <sheetName val="DNT OSBL"/>
      <sheetName val="평형공사비"/>
      <sheetName val="수안보-MBR1"/>
      <sheetName val="소특"/>
      <sheetName val="TYPE-B 평균H"/>
      <sheetName val="S0"/>
      <sheetName val="설계가"/>
      <sheetName val="Income Statement"/>
      <sheetName val="차액보증"/>
      <sheetName val="PILE길이산출(DRA)"/>
      <sheetName val="초과투입분"/>
      <sheetName val="hvac(제어동)"/>
      <sheetName val="POOM_MOTO"/>
      <sheetName val="POOM_MOTO2"/>
      <sheetName val="남양주댠가표"/>
      <sheetName val="안전내역품의"/>
      <sheetName val="Project Brief"/>
      <sheetName val="TARGET"/>
      <sheetName val="Cac Thong So "/>
      <sheetName val="참고(3)고정비"/>
      <sheetName val="DATE"/>
      <sheetName val="boq"/>
      <sheetName val="OSBL-TOTAL (OTHER WORK)"/>
      <sheetName val="OSBL-TOTAL (SEA WATER)"/>
      <sheetName val="OSBL-TOTAL (CIVIL WORK)"/>
      <sheetName val="3.현장배치"/>
      <sheetName val="현장배치"/>
      <sheetName val="유동표"/>
      <sheetName val="STG TR"/>
      <sheetName val="TYPE-A"/>
      <sheetName val="실행품의서"/>
      <sheetName val="h-013211-2"/>
      <sheetName val="Upgrades pricing"/>
      <sheetName val="DESIGN CRETERIA"/>
      <sheetName val="SE-611"/>
      <sheetName val="실행철강하도"/>
      <sheetName val="PRO_DCI"/>
      <sheetName val="YOEMAGU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1 8.98"/>
      <sheetName val="VC2 8.98"/>
      <sheetName val="Value Calculation"/>
      <sheetName val="Appx A - Lab &amp; Matl Manifest"/>
      <sheetName val="Appx B - Plant Allowance"/>
      <sheetName val="Appx C - Permanent Material"/>
      <sheetName val="Appx D - Hydro Equip"/>
      <sheetName val="Appx E - Temporary Matls"/>
      <sheetName val="Appx F - Additional Value"/>
      <sheetName val="Appx G - Overheads"/>
      <sheetName val="Appendix 3 - U&amp;O"/>
      <sheetName val="Appendix 9 - Residual Values"/>
      <sheetName val="수입"/>
      <sheetName val="Unit 49_분개표"/>
      <sheetName val="Unit 76_분개표"/>
      <sheetName val="PLAN_FEB97"/>
      <sheetName val="공정계획(내부계획25%,내부w.f)"/>
      <sheetName val="Sheet1"/>
      <sheetName val="STAND98"/>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INPUT DATA"/>
      <sheetName val="간접비내역-1"/>
      <sheetName val="97년 SEACO예산"/>
      <sheetName val="TST"/>
      <sheetName val="C701ACT"/>
      <sheetName val="DATA"/>
      <sheetName val="ANALYSER"/>
    </sheetNames>
    <sheetDataSet>
      <sheetData sheetId="0" refreshError="1"/>
      <sheetData sheetId="1" refreshError="1">
        <row r="187">
          <cell r="BN187" t="str">
            <v>/WTC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COST BREAKDOWN"/>
      <sheetName val="EXCHANGE RATE (2)"/>
      <sheetName val="SUMMARY_A"/>
      <sheetName val="SUMMARY_B"/>
      <sheetName val="BREAKDOWN"/>
      <sheetName val="KUWAITIZATION"/>
      <sheetName val="MANPOWER ORGANIZATION"/>
      <sheetName val="MANPOWER MOBILIZATION"/>
      <sheetName val="STAFF MOBILIZATION SUMMARY"/>
      <sheetName val="STAFF MOBILIZATION PLAN_HDEC"/>
      <sheetName val="INDIRECT MOBILIZATION PLAN"/>
      <sheetName val="EUR, TCN &amp; LOC STAFF SALARY"/>
      <sheetName val="INDIRECT SALARY"/>
      <sheetName val="HEC SEOUL MOBILIZATION"/>
      <sheetName val="LIST OF AIR FARE"/>
      <sheetName val="AIR FARE"/>
      <sheetName val="OVERSEAS TRAVELING EXPENSE"/>
      <sheetName val="BUSINESS TRIP_FROM SEOUL"/>
      <sheetName val="BUSINESS TRIP_FROM MILAN"/>
      <sheetName val="BUSINESS TRIP_FROM SITE"/>
      <sheetName val="TF - Summary"/>
      <sheetName val="TF - Site Office"/>
      <sheetName val="TF - Laydown Area"/>
      <sheetName val="OFFICE EQUIPMENT_LIST"/>
      <sheetName val="OFFICE EQUIPMENT_유지보수"/>
      <sheetName val="OFFICE EQUIPMENT_소모품구입"/>
      <sheetName val="FURNITURE 표준단가표"/>
      <sheetName val="FURNITURE FROM AL HANA"/>
      <sheetName val="PERIODIC MEDICAL TEST"/>
      <sheetName val="VEHICLE_MOBILIZATION PLAN"/>
      <sheetName val="COST FOR VEHICLE_SITE"/>
      <sheetName val="KOR STAFF ALLOWANCE_현지불수당"/>
      <sheetName val="KOR STAFF ALLOWANCE_연장수당"/>
      <sheetName val="KOR STAFF ALLOWANCE_직책수당"/>
      <sheetName val="KOR STAFF SALARY_단신부임수당"/>
      <sheetName val="WELFARE COST_SITE"/>
      <sheetName val="CLOTHES PAYMENT CONDITION"/>
      <sheetName val="CAMP OPERATION COST"/>
      <sheetName val="VISA &amp; PERMIT"/>
      <sheetName val="WATER SUPPLY"/>
      <sheetName val="KOR STAFF SALARY_HDEC ONLY"/>
      <sheetName val="HDEC STAFF SALARY_HOME"/>
      <sheetName val="HDEC STAFF SALARY_SITE"/>
      <sheetName val="HDEC STAFF SALARY_BRANCH"/>
      <sheetName val="KOR STAFF ALLOWANCE"/>
      <sheetName val="INSURANCE_KOR_STAFF"/>
      <sheetName val="INSURANCE_KOR_INDIRECT"/>
      <sheetName val="Generator Fuel Consumption"/>
      <sheetName val="여기까지"/>
      <sheetName val="HEC COST BREAKDOWN"/>
      <sheetName val="STAFF MOBILIZATION PLAN_JGC"/>
      <sheetName val="COST FOR VEHICLE_YOC"/>
      <sheetName val="용전비"/>
      <sheetName val="용전_DETAIL"/>
      <sheetName val="소비전력"/>
      <sheetName val="SUMMARY"/>
      <sheetName val="base"/>
      <sheetName val="TOTAL"/>
      <sheetName val="design criteria"/>
      <sheetName val="Testing"/>
      <sheetName val="FDM TOT"/>
      <sheetName val="1100-1200-1300-1910-2140-LEV 2"/>
      <sheetName val="세금자료"/>
      <sheetName val="LABOR MOBILIZATION PLAN"/>
      <sheetName val="STAFF MOBILIZATION PLAN"/>
      <sheetName val="LIST OF OFFICE EQUIPMENT"/>
      <sheetName val="PERSONNEL SETUP"/>
      <sheetName val="BOQ0822"/>
      <sheetName val="KOREAN STAFF SALARY - SITE"/>
      <sheetName val="TEMPORARY FACILITIES"/>
    </sheetNames>
    <sheetDataSet>
      <sheetData sheetId="0" refreshError="1"/>
      <sheetData sheetId="1" refreshError="1"/>
      <sheetData sheetId="2" refreshError="1"/>
      <sheetData sheetId="3" refreshError="1"/>
      <sheetData sheetId="4">
        <row r="21">
          <cell r="E21">
            <v>4812983.1293478785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대외공문"/>
      <sheetName val="해외"/>
      <sheetName val="현금흐름표"/>
    </sheetNames>
    <sheetDataSet>
      <sheetData sheetId="0"/>
      <sheetData sheetId="1" refreshError="1"/>
      <sheetData sheetId="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R3)"/>
      <sheetName val="총괄표 (R2)"/>
      <sheetName val="총괄표 (R1)"/>
      <sheetName val="총괄표"/>
      <sheetName val="색인표"/>
      <sheetName val="표지"/>
      <sheetName val="목차"/>
      <sheetName val="공장배치"/>
      <sheetName val="공사개요"/>
      <sheetName val="지도"/>
      <sheetName val="공사물량"/>
      <sheetName val="투찰금액"/>
      <sheetName val="공사비 내역 (가)"/>
      <sheetName val="공정표"/>
      <sheetName val="공사비 내역"/>
      <sheetName val="직원조직"/>
      <sheetName val="직원조직 (2)"/>
      <sheetName val="직원동원"/>
      <sheetName val="직원(SEL)"/>
      <sheetName val="직원(THR)"/>
      <sheetName val="직원(MIL)"/>
      <sheetName val="간접인원계획"/>
      <sheetName val="기능공동원"/>
      <sheetName val="간접비총괄"/>
      <sheetName val="Sheet2"/>
      <sheetName val="공사비_NDE"/>
      <sheetName val="설계명세서"/>
      <sheetName val="품셈표"/>
      <sheetName val="간접비 총괄표"/>
      <sheetName val="h-013211-2"/>
      <sheetName val="상반기손익차2총괄"/>
      <sheetName val="인원계획"/>
      <sheetName val="base"/>
      <sheetName val="간접비총괄 (2)"/>
      <sheetName val="1-11조직표"/>
      <sheetName val="간접비"/>
      <sheetName val="데이타"/>
      <sheetName val="식재인부"/>
      <sheetName val="직원수당"/>
      <sheetName val="노임이"/>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_NDE"/>
      <sheetName val="공사비_BULK"/>
      <sheetName val="공사비_INSUL"/>
      <sheetName val="BULK"/>
      <sheetName val="INSULATION"/>
      <sheetName val="PAINT"/>
      <sheetName val="NDE"/>
      <sheetName val="h-013211-2"/>
      <sheetName val="공사내역"/>
      <sheetName val="jobhist"/>
      <sheetName val="DATE"/>
      <sheetName val="전체"/>
      <sheetName val="청천내"/>
      <sheetName val="B"/>
      <sheetName val="세금자료"/>
      <sheetName val="VA_code"/>
      <sheetName val="현장업무"/>
      <sheetName val="접대비명세서"/>
      <sheetName val="산근"/>
      <sheetName val="노임단가"/>
      <sheetName val="공사계획서"/>
      <sheetName val="품셈표"/>
      <sheetName val="경제지표"/>
      <sheetName val="CAT_5"/>
      <sheetName val="수입"/>
      <sheetName val="내역서"/>
      <sheetName val="3.내역서"/>
      <sheetName val="GeneralNote"/>
      <sheetName val="노임"/>
      <sheetName val="Cash2"/>
      <sheetName val="Z"/>
      <sheetName val="eq_data"/>
      <sheetName val="A"/>
      <sheetName val="INSTR"/>
      <sheetName val="cable-data"/>
      <sheetName val="Panel제작명세서"/>
      <sheetName val="FILTER"/>
      <sheetName val="Pivot"/>
      <sheetName val="설계명세서-2"/>
      <sheetName val="UnitList"/>
      <sheetName val="data_dci"/>
      <sheetName val="data_mci"/>
      <sheetName val="behind"/>
      <sheetName val="Main"/>
      <sheetName val="BREAKDOWN"/>
      <sheetName val="BUSINESS TRIP-TRAVELING EXPENSE"/>
      <sheetName val="LIST OF AIR FARE"/>
      <sheetName val="CAMP - RENTAL"/>
      <sheetName val="CAMP - COMMON FACILITIES"/>
      <sheetName val="ELECTRIC POWER CONSUMPTION"/>
      <sheetName val="INDIRECT SALARY"/>
      <sheetName val="EUR, TCN &amp; LOC STAFF SALARY"/>
      <sheetName val="INDIRECT MOBILIZATION PLAN"/>
      <sheetName val="MANPOWER MOBILIZATION"/>
      <sheetName val="STAFF MOBILIZATION PLAN"/>
      <sheetName val="LABOR MOBILIZATION PLAN"/>
      <sheetName val="LIST OF OFFICE EQUIPMENT"/>
      <sheetName val="PERSONNEL SETUP"/>
      <sheetName val="KOREAN STAFF SALARY - BRANCH"/>
      <sheetName val="TEMPORARY FACILITIES"/>
      <sheetName val="WATER SUPPLY"/>
      <sheetName val="3.공통공사대비"/>
      <sheetName val="데이타"/>
      <sheetName val="PDS U-1400"/>
      <sheetName val="INPUT DATA"/>
      <sheetName val="품셈 "/>
      <sheetName val="공사비 내역 (가)"/>
      <sheetName val="1100-1200-1300-1910-2140-LEV 2"/>
      <sheetName val="TOTAL"/>
      <sheetName val="base"/>
      <sheetName val="설계내역서"/>
      <sheetName val="ANALYSER"/>
      <sheetName val="costing_CV"/>
      <sheetName val="CondPol"/>
      <sheetName val="Sheet1"/>
      <sheetName val="Cover"/>
      <sheetName val="정부노임단가"/>
      <sheetName val="설계명세서"/>
      <sheetName val="Data Pembukaan_1.1"/>
      <sheetName val="HVAC"/>
      <sheetName val="견적주요현황"/>
      <sheetName val="입력SHEET"/>
      <sheetName val="참고"/>
      <sheetName val="NEWCPS"/>
      <sheetName val="BQ"/>
      <sheetName val="w't table"/>
      <sheetName val="Ind"/>
      <sheetName val="mhrrate"/>
      <sheetName val="A01"/>
      <sheetName val="A11"/>
      <sheetName val="A16"/>
      <sheetName val="A02"/>
      <sheetName val="A03"/>
      <sheetName val="A04"/>
      <sheetName val="A05"/>
      <sheetName val="A06"/>
      <sheetName val="A07"/>
      <sheetName val="A08a"/>
      <sheetName val="A08b"/>
      <sheetName val="Currencies"/>
      <sheetName val="02-10 (실행)"/>
      <sheetName val="영업2"/>
      <sheetName val="영업3"/>
      <sheetName val="#REF"/>
      <sheetName val="Gia vat tu"/>
      <sheetName val="P-Ph3-F-002"/>
      <sheetName val="CODE"/>
      <sheetName val="동아합의"/>
      <sheetName val="3)단가산출 가)관종별접합및부설"/>
      <sheetName val="다)~아)"/>
      <sheetName val="cal"/>
      <sheetName val="실행철강하도"/>
      <sheetName val="영업소실적"/>
      <sheetName val="B31.1"/>
      <sheetName val="PSIZE"/>
      <sheetName val="cable"/>
      <sheetName val="3_내역서"/>
      <sheetName val="Unit_Name"/>
      <sheetName val="3_내역서1"/>
      <sheetName val="인원계획"/>
      <sheetName val="주관사업"/>
      <sheetName val="M-EQPT-Z"/>
      <sheetName val="손익차총괄2"/>
      <sheetName val="97 사업추정(WEKI)"/>
      <sheetName val="wordsdata"/>
      <sheetName val="Sheet4"/>
      <sheetName val="내역(원안-대안)"/>
      <sheetName val="Project overview"/>
      <sheetName val="금액"/>
      <sheetName val="Pump"/>
      <sheetName val="12CGOU"/>
      <sheetName val="VST재료산출"/>
      <sheetName val="Basic"/>
      <sheetName val="7.6.3(B) UG Piping"/>
      <sheetName val="TDC_ADMIN"/>
      <sheetName val="Requisitions"/>
      <sheetName val="ICDS"/>
      <sheetName val="Compressors"/>
      <sheetName val="SS2"/>
      <sheetName val="견적내역서"/>
      <sheetName val="일위대가 "/>
      <sheetName val="출금실적"/>
      <sheetName val="자재코드"/>
      <sheetName val="Table"/>
      <sheetName val="기초입력"/>
      <sheetName val="견적기준"/>
      <sheetName val="Marsh. FGS (Hours)"/>
      <sheetName val="Marsh. ESD (Materials)"/>
      <sheetName val="Marsh. FGS (Materials)"/>
      <sheetName val="Project Price Summary"/>
      <sheetName val="4002"/>
      <sheetName val="4-3LEVEL-5 epic.4"/>
      <sheetName val="잡비계산"/>
      <sheetName val="sum"/>
      <sheetName val="설계예산서"/>
      <sheetName val="예산내역서"/>
      <sheetName val="현장경비"/>
      <sheetName val=" Sum"/>
      <sheetName val="철거산출근거"/>
      <sheetName val="working load at the btm ft."/>
      <sheetName val="DATA1"/>
      <sheetName val="CoverShawIntl"/>
      <sheetName val="DropDown"/>
      <sheetName val="자재단가"/>
      <sheetName val="자재비"/>
      <sheetName val="동원인원"/>
      <sheetName val="calc"/>
      <sheetName val="DTCT"/>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SortedList"/>
      <sheetName val="상반기손익차2총괄"/>
      <sheetName val="수주추정"/>
      <sheetName val="도급예산내역서봉투"/>
      <sheetName val="공사원가계산서"/>
      <sheetName val="기계경비(시간당)"/>
      <sheetName val="설계산출표지"/>
      <sheetName val="도급예산내역서총괄표"/>
      <sheetName val="램머"/>
      <sheetName val="을부담운반비"/>
      <sheetName val="운반비산출"/>
      <sheetName val="입찰내역서"/>
      <sheetName val="계약고별 차등단가"/>
      <sheetName val="Foglio1"/>
      <sheetName val="vendors"/>
      <sheetName val="tower 10ton"/>
      <sheetName val="tower 12ton"/>
      <sheetName val="JIB CRANE,HOIST"/>
      <sheetName val="w't_table"/>
      <sheetName val="3)단가산출_가)관종별접합및부설"/>
      <sheetName val="PDS_U-1400"/>
      <sheetName val="INPUT_DATA"/>
      <sheetName val="품셈_"/>
      <sheetName val="BUSINESS_TRIP-TRAVELING_EXPENSE"/>
      <sheetName val="LIST_OF_AIR_FARE"/>
      <sheetName val="CAMP_-_RENTAL"/>
      <sheetName val="CAMP_-_COMMON_FACILITIES"/>
      <sheetName val="ELECTRIC_POWER_CONSUMPTION"/>
      <sheetName val="INDIRECT_SALARY"/>
      <sheetName val="EUR,_TCN_&amp;_LOC_STAFF_SALARY"/>
      <sheetName val="INDIRECT_MOBILIZATION_PLAN"/>
      <sheetName val="MANPOWER_MOBILIZATION"/>
      <sheetName val="STAFF_MOBILIZATION_PLAN"/>
      <sheetName val="LABOR_MOBILIZATION_PLAN"/>
      <sheetName val="LIST_OF_OFFICE_EQUIPMENT"/>
      <sheetName val="PERSONNEL_SETUP"/>
      <sheetName val="KOREAN_STAFF_SALARY_-_BRANCH"/>
      <sheetName val="TEMPORARY_FACILITIES"/>
      <sheetName val="WATER_SUPPLY"/>
      <sheetName val="이름정의"/>
      <sheetName val="INPUT"/>
      <sheetName val="Bend_fact "/>
      <sheetName val="계정"/>
      <sheetName val="COVERSHEET PAGE"/>
      <sheetName val="BM"/>
      <sheetName val="삭제금지단가"/>
      <sheetName val="Status"/>
      <sheetName val="ACTDATA"/>
      <sheetName val="AILC004"/>
      <sheetName val="ITB"/>
      <sheetName val="_Sum"/>
      <sheetName val="공사비_내역_(가)"/>
      <sheetName val="1100-1200-1300-1910-2140-LEV_2"/>
      <sheetName val="3_공통공사대비"/>
      <sheetName val="02-10_(실행)"/>
      <sheetName val="설계산출기초"/>
      <sheetName val="조명시설"/>
      <sheetName val="BUSINESS_TRIP-TRAVELING_EXPENS1"/>
      <sheetName val="LIST_OF_AIR_FARE1"/>
      <sheetName val="CAMP_-_RENTAL1"/>
      <sheetName val="CAMP_-_COMMON_FACILITIES1"/>
      <sheetName val="ELECTRIC_POWER_CONSUMPTION1"/>
      <sheetName val="INDIRECT_SALARY1"/>
      <sheetName val="EUR,_TCN_&amp;_LOC_STAFF_SALARY1"/>
      <sheetName val="INDIRECT_MOBILIZATION_PLAN1"/>
      <sheetName val="MANPOWER_MOBILIZATION1"/>
      <sheetName val="STAFF_MOBILIZATION_PLAN1"/>
      <sheetName val="LABOR_MOBILIZATION_PLAN1"/>
      <sheetName val="LIST_OF_OFFICE_EQUIPMENT1"/>
      <sheetName val="PERSONNEL_SETUP1"/>
      <sheetName val="KOREAN_STAFF_SALARY_-_BRANCH1"/>
      <sheetName val="TEMPORARY_FACILITIES1"/>
      <sheetName val="WATER_SUPPLY1"/>
      <sheetName val="PDS_U-14001"/>
      <sheetName val="INPUT_DATA1"/>
      <sheetName val="공사비_내역_(가)1"/>
      <sheetName val="품셈_1"/>
      <sheetName val="1100-1200-1300-1910-2140-LEV_21"/>
      <sheetName val="3_내역서2"/>
      <sheetName val="BUSINESS_TRIP-TRAVELING_EXPENS2"/>
      <sheetName val="LIST_OF_AIR_FARE2"/>
      <sheetName val="CAMP_-_RENTAL2"/>
      <sheetName val="CAMP_-_COMMON_FACILITIES2"/>
      <sheetName val="ELECTRIC_POWER_CONSUMPTION2"/>
      <sheetName val="INDIRECT_SALARY2"/>
      <sheetName val="EUR,_TCN_&amp;_LOC_STAFF_SALARY2"/>
      <sheetName val="INDIRECT_MOBILIZATION_PLAN2"/>
      <sheetName val="MANPOWER_MOBILIZATION2"/>
      <sheetName val="STAFF_MOBILIZATION_PLAN2"/>
      <sheetName val="LABOR_MOBILIZATION_PLAN2"/>
      <sheetName val="LIST_OF_OFFICE_EQUIPMENT2"/>
      <sheetName val="PERSONNEL_SETUP2"/>
      <sheetName val="KOREAN_STAFF_SALARY_-_BRANCH2"/>
      <sheetName val="TEMPORARY_FACILITIES2"/>
      <sheetName val="WATER_SUPPLY2"/>
      <sheetName val="PDS_U-14002"/>
      <sheetName val="INPUT_DATA2"/>
      <sheetName val="공사비_내역_(가)2"/>
      <sheetName val="품셈_2"/>
      <sheetName val="1100-1200-1300-1910-2140-LEV_22"/>
      <sheetName val="3_내역서4"/>
      <sheetName val="BUSINESS_TRIP-TRAVELING_EXPENS4"/>
      <sheetName val="LIST_OF_AIR_FARE4"/>
      <sheetName val="CAMP_-_RENTAL4"/>
      <sheetName val="CAMP_-_COMMON_FACILITIES4"/>
      <sheetName val="ELECTRIC_POWER_CONSUMPTION4"/>
      <sheetName val="INDIRECT_SALARY4"/>
      <sheetName val="EUR,_TCN_&amp;_LOC_STAFF_SALARY4"/>
      <sheetName val="INDIRECT_MOBILIZATION_PLAN4"/>
      <sheetName val="MANPOWER_MOBILIZATION4"/>
      <sheetName val="STAFF_MOBILIZATION_PLAN4"/>
      <sheetName val="LABOR_MOBILIZATION_PLAN4"/>
      <sheetName val="LIST_OF_OFFICE_EQUIPMENT4"/>
      <sheetName val="PERSONNEL_SETUP4"/>
      <sheetName val="KOREAN_STAFF_SALARY_-_BRANCH4"/>
      <sheetName val="TEMPORARY_FACILITIES4"/>
      <sheetName val="WATER_SUPPLY4"/>
      <sheetName val="PDS_U-14004"/>
      <sheetName val="INPUT_DATA4"/>
      <sheetName val="공사비_내역_(가)4"/>
      <sheetName val="품셈_4"/>
      <sheetName val="1100-1200-1300-1910-2140-LEV_24"/>
      <sheetName val="3_내역서3"/>
      <sheetName val="BUSINESS_TRIP-TRAVELING_EXPENS3"/>
      <sheetName val="LIST_OF_AIR_FARE3"/>
      <sheetName val="CAMP_-_RENTAL3"/>
      <sheetName val="CAMP_-_COMMON_FACILITIES3"/>
      <sheetName val="ELECTRIC_POWER_CONSUMPTION3"/>
      <sheetName val="INDIRECT_SALARY3"/>
      <sheetName val="EUR,_TCN_&amp;_LOC_STAFF_SALARY3"/>
      <sheetName val="INDIRECT_MOBILIZATION_PLAN3"/>
      <sheetName val="MANPOWER_MOBILIZATION3"/>
      <sheetName val="STAFF_MOBILIZATION_PLAN3"/>
      <sheetName val="LABOR_MOBILIZATION_PLAN3"/>
      <sheetName val="LIST_OF_OFFICE_EQUIPMENT3"/>
      <sheetName val="PERSONNEL_SETUP3"/>
      <sheetName val="KOREAN_STAFF_SALARY_-_BRANCH3"/>
      <sheetName val="TEMPORARY_FACILITIES3"/>
      <sheetName val="WATER_SUPPLY3"/>
      <sheetName val="PDS_U-14003"/>
      <sheetName val="INPUT_DATA3"/>
      <sheetName val="공사비_내역_(가)3"/>
      <sheetName val="품셈_3"/>
      <sheetName val="1100-1200-1300-1910-2140-LEV_23"/>
      <sheetName val="3_내역서5"/>
      <sheetName val="BUSINESS_TRIP-TRAVELING_EXPENS5"/>
      <sheetName val="LIST_OF_AIR_FARE5"/>
      <sheetName val="CAMP_-_RENTAL5"/>
      <sheetName val="CAMP_-_COMMON_FACILITIES5"/>
      <sheetName val="ELECTRIC_POWER_CONSUMPTION5"/>
      <sheetName val="INDIRECT_SALARY5"/>
      <sheetName val="EUR,_TCN_&amp;_LOC_STAFF_SALARY5"/>
      <sheetName val="INDIRECT_MOBILIZATION_PLAN5"/>
      <sheetName val="MANPOWER_MOBILIZATION5"/>
      <sheetName val="STAFF_MOBILIZATION_PLAN5"/>
      <sheetName val="LABOR_MOBILIZATION_PLAN5"/>
      <sheetName val="LIST_OF_OFFICE_EQUIPMENT5"/>
      <sheetName val="PERSONNEL_SETUP5"/>
      <sheetName val="KOREAN_STAFF_SALARY_-_BRANCH5"/>
      <sheetName val="TEMPORARY_FACILITIES5"/>
      <sheetName val="WATER_SUPPLY5"/>
      <sheetName val="PDS_U-14005"/>
      <sheetName val="INPUT_DATA5"/>
      <sheetName val="공사비_내역_(가)5"/>
      <sheetName val="품셈_5"/>
      <sheetName val="1100-1200-1300-1910-2140-LEV_25"/>
      <sheetName val="F.D."/>
      <sheetName val="집계표(option)"/>
      <sheetName val="Segment"/>
      <sheetName val=" 갑  지 "/>
      <sheetName val="INDEX"/>
      <sheetName val="플랜트 설치"/>
      <sheetName val="증감내역서"/>
      <sheetName val="P-산#1-1(WOWA1)"/>
      <sheetName val="ASCEandUBC"/>
      <sheetName val="_Sum2"/>
      <sheetName val="_Sum1"/>
      <sheetName val="기계내역서"/>
      <sheetName val="자료"/>
      <sheetName val="집계표"/>
      <sheetName val="7.공정표"/>
      <sheetName val="Spec1"/>
      <sheetName val="1호인버트수량"/>
      <sheetName val="#REF!"/>
      <sheetName val="BREAKDOWN(철거설치)"/>
      <sheetName val="C.배수관공"/>
      <sheetName val="Pipe"/>
      <sheetName val="EQT-ESTN"/>
      <sheetName val="Harga Satuan"/>
      <sheetName val="공정계획(내부계획25%,내부w.f)"/>
      <sheetName val="BAG_2"/>
      <sheetName val="BUDGET"/>
      <sheetName val="Analis Kusen okk"/>
      <sheetName val="Public Area"/>
      <sheetName val="板房区目标成本"/>
      <sheetName val="Ana. PU"/>
      <sheetName val="Konfirm"/>
      <sheetName val="MT"/>
      <sheetName val="BQ &amp; Harga"/>
      <sheetName val="Sumber Daya"/>
      <sheetName val="다이꾸"/>
      <sheetName val="손익차9월2"/>
      <sheetName val="수주현황2월"/>
      <sheetName val="3-DIV3"/>
      <sheetName val="analis standar(20m)"/>
      <sheetName val="ANAL BETON"/>
      <sheetName val="BoQ"/>
      <sheetName val="AnalisaSIPIL RIIL"/>
      <sheetName val="Bill No 6 Koord &amp; Attendance"/>
      <sheetName val="97_사업추정(WEKI)"/>
      <sheetName val="Gia_vat_tu"/>
      <sheetName val="B31_1"/>
      <sheetName val="Project_overview"/>
      <sheetName val="Data_Pembukaan_1_1"/>
      <sheetName val="7_6_3(B)_UG_Piping"/>
      <sheetName val="일위대가_"/>
      <sheetName val="Marsh__FGS_(Hours)"/>
      <sheetName val="Marsh__ESD_(Materials)"/>
      <sheetName val="Marsh__FGS_(Materials)"/>
      <sheetName val="Project_Price_Summary"/>
      <sheetName val="4-3LEVEL-5_epic_4"/>
      <sheetName val="w't_table1"/>
      <sheetName val="3)단가산출_가)관종별접합및부설1"/>
      <sheetName val="tower_10ton"/>
      <sheetName val="tower_12ton"/>
      <sheetName val="JIB_CRANE,HOIST"/>
      <sheetName val="working_load_at_the_btm_ft_"/>
      <sheetName val="L3-AAA"/>
      <sheetName val="2. OFF-PLOT RFC1"/>
      <sheetName val="자재단가조사표-수목"/>
      <sheetName val="TDI ISBL"/>
      <sheetName val="REDUCER"/>
      <sheetName val="WE'T"/>
      <sheetName val="협력업체"/>
      <sheetName val="BLDG_DCI"/>
      <sheetName val="BLDG_MCI"/>
      <sheetName val="RFP Codes"/>
      <sheetName val="Phase 2A - REvised"/>
      <sheetName val="derive"/>
      <sheetName val="96.12"/>
      <sheetName val="BQ Bpo stand alone"/>
      <sheetName val="Interior Wall TAKE OFF"/>
      <sheetName val="9-30-06 graduates"/>
      <sheetName val="EX_STRBQ"/>
      <sheetName val="경비일위"/>
      <sheetName val="경비목록"/>
      <sheetName val="계산일위"/>
      <sheetName val="계산목록"/>
      <sheetName val="단위일위"/>
      <sheetName val="단위목록"/>
      <sheetName val="3.옥내전력"/>
      <sheetName val="1.옥외전력"/>
      <sheetName val="자재"/>
      <sheetName val="4.자탐설비"/>
      <sheetName val="2.전력장치"/>
      <sheetName val="조합일위"/>
      <sheetName val="조합목록"/>
      <sheetName val="21301동"/>
      <sheetName val="A(Rev.3)"/>
      <sheetName val="D 5243-ARAMCO"/>
      <sheetName val="D-4801 OXY"/>
      <sheetName val="단가표"/>
      <sheetName val="내역"/>
      <sheetName val="EXPAN-1"/>
      <sheetName val="3_내역서6"/>
      <sheetName val="품셈_6"/>
      <sheetName val="BUSINESS_TRIP-TRAVELING_EXPENS6"/>
      <sheetName val="LIST_OF_AIR_FARE6"/>
      <sheetName val="CAMP_-_RENTAL6"/>
      <sheetName val="CAMP_-_COMMON_FACILITIES6"/>
      <sheetName val="ELECTRIC_POWER_CONSUMPTION6"/>
      <sheetName val="INDIRECT_SALARY6"/>
      <sheetName val="EUR,_TCN_&amp;_LOC_STAFF_SALARY6"/>
      <sheetName val="INDIRECT_MOBILIZATION_PLAN6"/>
      <sheetName val="MANPOWER_MOBILIZATION6"/>
      <sheetName val="STAFF_MOBILIZATION_PLAN6"/>
      <sheetName val="LABOR_MOBILIZATION_PLAN6"/>
      <sheetName val="LIST_OF_OFFICE_EQUIPMENT6"/>
      <sheetName val="PERSONNEL_SETUP6"/>
      <sheetName val="KOREAN_STAFF_SALARY_-_BRANCH6"/>
      <sheetName val="TEMPORARY_FACILITIES6"/>
      <sheetName val="WATER_SUPPLY6"/>
      <sheetName val="공사비_내역_(가)6"/>
      <sheetName val="PDS_U-14006"/>
      <sheetName val="INPUT_DATA6"/>
      <sheetName val="1100-1200-1300-1910-2140-LEV_26"/>
      <sheetName val="3_공통공사대비1"/>
      <sheetName val="02-10_(실행)1"/>
      <sheetName val="97_사업추정(WEKI)1"/>
      <sheetName val="Gia_vat_tu1"/>
      <sheetName val="B31_11"/>
      <sheetName val="Project_overview1"/>
      <sheetName val="Data_Pembukaan_1_11"/>
      <sheetName val="7_6_3(B)_UG_Piping1"/>
      <sheetName val="일위대가_1"/>
      <sheetName val="Marsh__FGS_(Hours)1"/>
      <sheetName val="Marsh__ESD_(Materials)1"/>
      <sheetName val="Marsh__FGS_(Materials)1"/>
      <sheetName val="Project_Price_Summary1"/>
      <sheetName val="4-3LEVEL-5_epic_41"/>
      <sheetName val="계약고별_차등단가"/>
      <sheetName val="F_D_"/>
      <sheetName val="Bend_fact_"/>
      <sheetName val="COVERSHEET_PAGE"/>
      <sheetName val="플랜트_설치"/>
      <sheetName val="_갑__지_"/>
      <sheetName val="STAND20"/>
      <sheetName val="간접비 총괄표"/>
      <sheetName val="1999-2000 MONTHLY CASHFLOW"/>
      <sheetName val="Summ"/>
      <sheetName val="RFP_Codes"/>
      <sheetName val="Phase_2A_-_REvised"/>
      <sheetName val="96_12"/>
      <sheetName val="BQ_Bpo_stand_alone"/>
      <sheetName val="Interior_Wall_TAKE_OFF"/>
      <sheetName val="9-30-06_graduates"/>
      <sheetName val="1999-2000_MONTHLY_CASHFLOW"/>
      <sheetName val="PCSum"/>
      <sheetName val="POWER"/>
      <sheetName val="RW48 E"/>
      <sheetName val="Summary"/>
      <sheetName val="요약"/>
      <sheetName val="COST-TZ"/>
      <sheetName val="일위대가"/>
    </sheetNames>
    <sheetDataSet>
      <sheetData sheetId="0" refreshError="1">
        <row r="1">
          <cell r="A1" t="str">
            <v>AREA</v>
          </cell>
          <cell r="B1" t="str">
            <v>SPC1</v>
          </cell>
          <cell r="C1" t="str">
            <v>SERCOD</v>
          </cell>
          <cell r="D1" t="str">
            <v>LINO</v>
          </cell>
          <cell r="E1" t="str">
            <v>ITNM</v>
          </cell>
          <cell r="F1" t="str">
            <v>GROUP</v>
          </cell>
          <cell r="G1" t="str">
            <v>MAT_CODE</v>
          </cell>
          <cell r="H1" t="str">
            <v>SIZ1</v>
          </cell>
          <cell r="I1" t="str">
            <v>SIZ2</v>
          </cell>
          <cell r="J1" t="str">
            <v>QTY</v>
          </cell>
          <cell r="K1" t="str">
            <v>QTY</v>
          </cell>
        </row>
        <row r="2">
          <cell r="A2" t="str">
            <v>M1</v>
          </cell>
          <cell r="B2" t="str">
            <v>B2C</v>
          </cell>
          <cell r="C2" t="str">
            <v>SH</v>
          </cell>
          <cell r="D2" t="str">
            <v>22611</v>
          </cell>
          <cell r="E2" t="str">
            <v>PIPE</v>
          </cell>
          <cell r="F2">
            <v>1</v>
          </cell>
          <cell r="G2" t="str">
            <v>CB100508000H00</v>
          </cell>
          <cell r="H2">
            <v>0.5</v>
          </cell>
          <cell r="I2" t="str">
            <v>--</v>
          </cell>
          <cell r="J2">
            <v>0.3</v>
          </cell>
          <cell r="K2">
            <v>0.3</v>
          </cell>
        </row>
        <row r="3">
          <cell r="A3" t="str">
            <v>M1</v>
          </cell>
          <cell r="B3" t="str">
            <v>A5C</v>
          </cell>
          <cell r="C3" t="str">
            <v>P</v>
          </cell>
          <cell r="D3" t="str">
            <v>22065</v>
          </cell>
          <cell r="E3" t="str">
            <v>PIPE</v>
          </cell>
          <cell r="F3">
            <v>1</v>
          </cell>
          <cell r="G3" t="str">
            <v>CB100508000H00</v>
          </cell>
          <cell r="H3">
            <v>0.5</v>
          </cell>
          <cell r="I3" t="str">
            <v>--</v>
          </cell>
          <cell r="J3">
            <v>0.5</v>
          </cell>
          <cell r="K3">
            <v>0.5</v>
          </cell>
        </row>
        <row r="4">
          <cell r="A4" t="str">
            <v>M1</v>
          </cell>
          <cell r="B4" t="str">
            <v>A5C</v>
          </cell>
          <cell r="C4" t="str">
            <v>P</v>
          </cell>
          <cell r="D4" t="str">
            <v>22157</v>
          </cell>
          <cell r="E4" t="str">
            <v>PIPE</v>
          </cell>
          <cell r="F4">
            <v>1</v>
          </cell>
          <cell r="G4" t="str">
            <v>CB100508000H00</v>
          </cell>
          <cell r="H4">
            <v>0.5</v>
          </cell>
          <cell r="I4" t="str">
            <v>--</v>
          </cell>
          <cell r="J4">
            <v>0.8</v>
          </cell>
          <cell r="K4">
            <v>0.8</v>
          </cell>
        </row>
        <row r="5">
          <cell r="A5" t="str">
            <v>M1</v>
          </cell>
          <cell r="B5" t="str">
            <v>A5C</v>
          </cell>
          <cell r="C5" t="str">
            <v>P</v>
          </cell>
          <cell r="D5" t="str">
            <v>22158</v>
          </cell>
          <cell r="E5" t="str">
            <v>PIPE</v>
          </cell>
          <cell r="F5">
            <v>1</v>
          </cell>
          <cell r="G5" t="str">
            <v>CB100508000H00</v>
          </cell>
          <cell r="H5">
            <v>0.5</v>
          </cell>
          <cell r="I5" t="str">
            <v>--</v>
          </cell>
          <cell r="J5">
            <v>0.8</v>
          </cell>
          <cell r="K5">
            <v>0.8</v>
          </cell>
        </row>
        <row r="6">
          <cell r="A6" t="str">
            <v>M1</v>
          </cell>
          <cell r="B6" t="str">
            <v>A5C</v>
          </cell>
          <cell r="C6" t="str">
            <v>P</v>
          </cell>
          <cell r="D6" t="str">
            <v>22040</v>
          </cell>
          <cell r="E6" t="str">
            <v>PIPE</v>
          </cell>
          <cell r="F6">
            <v>1</v>
          </cell>
          <cell r="G6" t="str">
            <v>CB100508000H00</v>
          </cell>
          <cell r="H6">
            <v>0.5</v>
          </cell>
          <cell r="I6" t="str">
            <v>--</v>
          </cell>
          <cell r="J6">
            <v>0.8</v>
          </cell>
          <cell r="K6">
            <v>0.8</v>
          </cell>
        </row>
        <row r="7">
          <cell r="A7" t="str">
            <v>M1</v>
          </cell>
          <cell r="B7" t="str">
            <v>A5C</v>
          </cell>
          <cell r="C7" t="str">
            <v>P</v>
          </cell>
          <cell r="D7" t="str">
            <v>22039</v>
          </cell>
          <cell r="E7" t="str">
            <v>PIPE</v>
          </cell>
          <cell r="F7">
            <v>1</v>
          </cell>
          <cell r="G7" t="str">
            <v>CB100508000H00</v>
          </cell>
          <cell r="H7">
            <v>0.5</v>
          </cell>
          <cell r="I7" t="str">
            <v>--</v>
          </cell>
          <cell r="J7">
            <v>0.8</v>
          </cell>
          <cell r="K7">
            <v>0.8</v>
          </cell>
        </row>
        <row r="8">
          <cell r="A8" t="str">
            <v>M1</v>
          </cell>
          <cell r="B8" t="str">
            <v>A5C</v>
          </cell>
          <cell r="C8" t="str">
            <v>P</v>
          </cell>
          <cell r="D8" t="str">
            <v>22041</v>
          </cell>
          <cell r="E8" t="str">
            <v>PIPE</v>
          </cell>
          <cell r="F8">
            <v>1</v>
          </cell>
          <cell r="G8" t="str">
            <v>CB100508000H00</v>
          </cell>
          <cell r="H8">
            <v>0.5</v>
          </cell>
          <cell r="I8" t="str">
            <v>--</v>
          </cell>
          <cell r="J8">
            <v>0.8</v>
          </cell>
          <cell r="K8">
            <v>0.8</v>
          </cell>
        </row>
        <row r="9">
          <cell r="A9" t="str">
            <v>M1</v>
          </cell>
          <cell r="B9" t="str">
            <v>A5C</v>
          </cell>
          <cell r="C9" t="str">
            <v>N</v>
          </cell>
          <cell r="D9" t="str">
            <v>22670</v>
          </cell>
          <cell r="E9" t="str">
            <v>PIPE</v>
          </cell>
          <cell r="F9">
            <v>1</v>
          </cell>
          <cell r="G9" t="str">
            <v>CB100508000H00</v>
          </cell>
          <cell r="H9">
            <v>0.5</v>
          </cell>
          <cell r="I9" t="str">
            <v>--</v>
          </cell>
          <cell r="J9">
            <v>1</v>
          </cell>
          <cell r="K9">
            <v>1</v>
          </cell>
        </row>
        <row r="10">
          <cell r="A10" t="str">
            <v>M1</v>
          </cell>
          <cell r="B10" t="str">
            <v>A4C</v>
          </cell>
          <cell r="C10" t="str">
            <v>P</v>
          </cell>
          <cell r="D10" t="str">
            <v>22031</v>
          </cell>
          <cell r="E10" t="str">
            <v>PIPE</v>
          </cell>
          <cell r="F10">
            <v>1</v>
          </cell>
          <cell r="G10" t="str">
            <v>CB110508000H00</v>
          </cell>
          <cell r="H10">
            <v>0.5</v>
          </cell>
          <cell r="I10" t="str">
            <v>--</v>
          </cell>
          <cell r="J10">
            <v>3</v>
          </cell>
          <cell r="K10">
            <v>3</v>
          </cell>
        </row>
        <row r="11">
          <cell r="A11" t="str">
            <v>M1</v>
          </cell>
          <cell r="B11" t="str">
            <v>A5C</v>
          </cell>
          <cell r="C11" t="str">
            <v>SCD</v>
          </cell>
          <cell r="D11" t="str">
            <v>HOLD1</v>
          </cell>
          <cell r="E11" t="str">
            <v>PIPE</v>
          </cell>
          <cell r="F11">
            <v>1</v>
          </cell>
          <cell r="G11" t="str">
            <v>CB100508000H00</v>
          </cell>
          <cell r="H11">
            <v>0.5</v>
          </cell>
          <cell r="I11" t="str">
            <v>--</v>
          </cell>
          <cell r="J11">
            <v>4</v>
          </cell>
          <cell r="K11">
            <v>4</v>
          </cell>
        </row>
        <row r="12">
          <cell r="A12" t="str">
            <v>M1</v>
          </cell>
          <cell r="B12" t="str">
            <v>A5C</v>
          </cell>
          <cell r="C12" t="str">
            <v>SCC</v>
          </cell>
          <cell r="D12" t="str">
            <v>HOLD1</v>
          </cell>
          <cell r="E12" t="str">
            <v>PIPE</v>
          </cell>
          <cell r="F12">
            <v>1</v>
          </cell>
          <cell r="G12" t="str">
            <v>CB100508000H00</v>
          </cell>
          <cell r="H12">
            <v>0.5</v>
          </cell>
          <cell r="I12" t="str">
            <v>--</v>
          </cell>
          <cell r="J12">
            <v>5</v>
          </cell>
          <cell r="K12">
            <v>5</v>
          </cell>
        </row>
        <row r="13">
          <cell r="A13" t="str">
            <v>M1</v>
          </cell>
          <cell r="B13" t="str">
            <v>A5C</v>
          </cell>
          <cell r="C13" t="str">
            <v>P</v>
          </cell>
          <cell r="D13" t="str">
            <v>22107</v>
          </cell>
          <cell r="E13" t="str">
            <v>PIPE</v>
          </cell>
          <cell r="F13">
            <v>1</v>
          </cell>
          <cell r="G13" t="str">
            <v>CB100508000H00</v>
          </cell>
          <cell r="H13">
            <v>0.5</v>
          </cell>
          <cell r="I13" t="str">
            <v>--</v>
          </cell>
          <cell r="J13">
            <v>19.600000000000001</v>
          </cell>
          <cell r="K13">
            <v>19.600000000000001</v>
          </cell>
        </row>
        <row r="14">
          <cell r="A14" t="str">
            <v>M1</v>
          </cell>
          <cell r="B14" t="str">
            <v>A5C</v>
          </cell>
          <cell r="C14" t="str">
            <v>COMP</v>
          </cell>
          <cell r="D14" t="str">
            <v>006</v>
          </cell>
          <cell r="E14" t="str">
            <v>PIPE</v>
          </cell>
          <cell r="F14">
            <v>1</v>
          </cell>
          <cell r="G14" t="str">
            <v>CB100508000H00</v>
          </cell>
          <cell r="H14">
            <v>0.5</v>
          </cell>
          <cell r="I14" t="str">
            <v>--</v>
          </cell>
          <cell r="J14">
            <v>36</v>
          </cell>
          <cell r="K14">
            <v>36</v>
          </cell>
        </row>
        <row r="15">
          <cell r="A15" t="str">
            <v>M1</v>
          </cell>
          <cell r="B15" t="str">
            <v>B2C</v>
          </cell>
          <cell r="C15" t="str">
            <v>SH</v>
          </cell>
          <cell r="D15" t="str">
            <v>22601</v>
          </cell>
          <cell r="E15" t="str">
            <v>PIPE</v>
          </cell>
          <cell r="F15">
            <v>1</v>
          </cell>
          <cell r="G15" t="str">
            <v>CB100508000T00</v>
          </cell>
          <cell r="H15">
            <v>0.75</v>
          </cell>
          <cell r="I15" t="str">
            <v>--</v>
          </cell>
          <cell r="J15">
            <v>0.2</v>
          </cell>
          <cell r="K15">
            <v>0.2</v>
          </cell>
        </row>
        <row r="16">
          <cell r="A16" t="str">
            <v>M1</v>
          </cell>
          <cell r="B16" t="str">
            <v>A5C</v>
          </cell>
          <cell r="C16" t="str">
            <v>N</v>
          </cell>
          <cell r="D16" t="str">
            <v>25613</v>
          </cell>
          <cell r="E16" t="str">
            <v>PIPE</v>
          </cell>
          <cell r="F16">
            <v>1</v>
          </cell>
          <cell r="G16" t="str">
            <v>CB100508000T00</v>
          </cell>
          <cell r="H16">
            <v>0.75</v>
          </cell>
          <cell r="I16" t="str">
            <v>--</v>
          </cell>
          <cell r="J16">
            <v>0.2</v>
          </cell>
          <cell r="K16">
            <v>0.2</v>
          </cell>
        </row>
        <row r="17">
          <cell r="A17" t="str">
            <v>M1</v>
          </cell>
          <cell r="B17" t="str">
            <v>B1C</v>
          </cell>
          <cell r="C17" t="str">
            <v>P</v>
          </cell>
          <cell r="D17" t="str">
            <v>22029</v>
          </cell>
          <cell r="E17" t="str">
            <v>PIPE</v>
          </cell>
          <cell r="F17">
            <v>1</v>
          </cell>
          <cell r="G17" t="str">
            <v>CB100508000T00</v>
          </cell>
          <cell r="H17">
            <v>0.75</v>
          </cell>
          <cell r="I17" t="str">
            <v>--</v>
          </cell>
          <cell r="J17">
            <v>0.2</v>
          </cell>
          <cell r="K17">
            <v>0.2</v>
          </cell>
        </row>
        <row r="18">
          <cell r="A18" t="str">
            <v>M1</v>
          </cell>
          <cell r="B18" t="str">
            <v>A5C</v>
          </cell>
          <cell r="C18" t="str">
            <v>N</v>
          </cell>
          <cell r="D18" t="str">
            <v>25618</v>
          </cell>
          <cell r="E18" t="str">
            <v>PIPE</v>
          </cell>
          <cell r="F18">
            <v>1</v>
          </cell>
          <cell r="G18" t="str">
            <v>CB100508000T00</v>
          </cell>
          <cell r="H18">
            <v>0.75</v>
          </cell>
          <cell r="I18" t="str">
            <v>--</v>
          </cell>
          <cell r="J18">
            <v>0.3</v>
          </cell>
          <cell r="K18">
            <v>0.3</v>
          </cell>
        </row>
        <row r="19">
          <cell r="A19" t="str">
            <v>M1</v>
          </cell>
          <cell r="B19" t="str">
            <v>A6C</v>
          </cell>
          <cell r="C19" t="str">
            <v>HOR</v>
          </cell>
          <cell r="D19" t="str">
            <v>65622</v>
          </cell>
          <cell r="E19" t="str">
            <v>PIPE</v>
          </cell>
          <cell r="F19">
            <v>1</v>
          </cell>
          <cell r="G19" t="str">
            <v>CB100508000T00</v>
          </cell>
          <cell r="H19">
            <v>0.75</v>
          </cell>
          <cell r="I19" t="str">
            <v>--</v>
          </cell>
          <cell r="J19">
            <v>0.4</v>
          </cell>
          <cell r="K19">
            <v>0.4</v>
          </cell>
        </row>
        <row r="20">
          <cell r="A20" t="str">
            <v>M1</v>
          </cell>
          <cell r="B20" t="str">
            <v>B1X</v>
          </cell>
          <cell r="C20" t="str">
            <v>P</v>
          </cell>
          <cell r="D20" t="str">
            <v>22042</v>
          </cell>
          <cell r="E20" t="str">
            <v>PIPE</v>
          </cell>
          <cell r="F20">
            <v>1</v>
          </cell>
          <cell r="G20" t="str">
            <v>CB100508000T00</v>
          </cell>
          <cell r="H20">
            <v>0.75</v>
          </cell>
          <cell r="I20" t="str">
            <v>--</v>
          </cell>
          <cell r="J20">
            <v>0.4</v>
          </cell>
          <cell r="K20">
            <v>0.4</v>
          </cell>
        </row>
        <row r="21">
          <cell r="A21" t="str">
            <v>M1</v>
          </cell>
          <cell r="B21" t="str">
            <v>A6C</v>
          </cell>
          <cell r="C21" t="str">
            <v>TRIM</v>
          </cell>
          <cell r="D21" t="str">
            <v>H-6501</v>
          </cell>
          <cell r="E21" t="str">
            <v>PIPE</v>
          </cell>
          <cell r="F21">
            <v>1</v>
          </cell>
          <cell r="G21" t="str">
            <v>CB100508000T00</v>
          </cell>
          <cell r="H21">
            <v>0.75</v>
          </cell>
          <cell r="I21" t="str">
            <v>--</v>
          </cell>
          <cell r="J21">
            <v>0.5</v>
          </cell>
          <cell r="K21">
            <v>0.5</v>
          </cell>
        </row>
        <row r="22">
          <cell r="A22" t="str">
            <v>M1</v>
          </cell>
          <cell r="B22" t="str">
            <v>A5C</v>
          </cell>
          <cell r="C22" t="str">
            <v>WW</v>
          </cell>
          <cell r="D22" t="str">
            <v>22601</v>
          </cell>
          <cell r="E22" t="str">
            <v>PIPE</v>
          </cell>
          <cell r="F22">
            <v>1</v>
          </cell>
          <cell r="G22" t="str">
            <v>CB100508000T00</v>
          </cell>
          <cell r="H22">
            <v>0.75</v>
          </cell>
          <cell r="I22" t="str">
            <v>--</v>
          </cell>
          <cell r="J22">
            <v>1</v>
          </cell>
          <cell r="K22">
            <v>1</v>
          </cell>
        </row>
        <row r="23">
          <cell r="A23" t="str">
            <v>M1</v>
          </cell>
          <cell r="B23" t="str">
            <v>A5C</v>
          </cell>
          <cell r="C23" t="str">
            <v>N</v>
          </cell>
          <cell r="D23" t="str">
            <v>22617</v>
          </cell>
          <cell r="E23" t="str">
            <v>PIPE</v>
          </cell>
          <cell r="F23">
            <v>1</v>
          </cell>
          <cell r="G23" t="str">
            <v>CB100508000T00</v>
          </cell>
          <cell r="H23">
            <v>0.75</v>
          </cell>
          <cell r="I23" t="str">
            <v>--</v>
          </cell>
          <cell r="J23">
            <v>1.3</v>
          </cell>
          <cell r="K23">
            <v>1.3</v>
          </cell>
        </row>
        <row r="24">
          <cell r="A24" t="str">
            <v>M1</v>
          </cell>
          <cell r="B24" t="str">
            <v>A5C</v>
          </cell>
          <cell r="C24" t="str">
            <v>N</v>
          </cell>
          <cell r="D24" t="str">
            <v>22670</v>
          </cell>
          <cell r="E24" t="str">
            <v>PIPE</v>
          </cell>
          <cell r="F24">
            <v>1</v>
          </cell>
          <cell r="G24" t="str">
            <v>CB100508000T00</v>
          </cell>
          <cell r="H24">
            <v>0.75</v>
          </cell>
          <cell r="I24" t="str">
            <v>--</v>
          </cell>
          <cell r="J24">
            <v>1.3</v>
          </cell>
          <cell r="K24">
            <v>1.3</v>
          </cell>
        </row>
        <row r="25">
          <cell r="A25" t="str">
            <v>M1</v>
          </cell>
          <cell r="B25" t="str">
            <v>A6C</v>
          </cell>
          <cell r="C25" t="str">
            <v>TRIM</v>
          </cell>
          <cell r="D25" t="str">
            <v>V-6502</v>
          </cell>
          <cell r="E25" t="str">
            <v>PIPE</v>
          </cell>
          <cell r="F25">
            <v>1</v>
          </cell>
          <cell r="G25" t="str">
            <v>CB100508000T00</v>
          </cell>
          <cell r="H25">
            <v>0.75</v>
          </cell>
          <cell r="I25" t="str">
            <v>--</v>
          </cell>
          <cell r="J25">
            <v>1.6</v>
          </cell>
          <cell r="K25">
            <v>1.6</v>
          </cell>
        </row>
        <row r="26">
          <cell r="A26" t="str">
            <v>M1</v>
          </cell>
          <cell r="B26" t="str">
            <v>A6C</v>
          </cell>
          <cell r="C26" t="str">
            <v>HOR</v>
          </cell>
          <cell r="D26" t="str">
            <v>65612</v>
          </cell>
          <cell r="E26" t="str">
            <v>PIPE</v>
          </cell>
          <cell r="F26">
            <v>1</v>
          </cell>
          <cell r="G26" t="str">
            <v>CB100508000T00</v>
          </cell>
          <cell r="H26">
            <v>0.75</v>
          </cell>
          <cell r="I26" t="str">
            <v>--</v>
          </cell>
          <cell r="J26">
            <v>2</v>
          </cell>
          <cell r="K26">
            <v>2</v>
          </cell>
        </row>
        <row r="27">
          <cell r="A27" t="str">
            <v>M1</v>
          </cell>
          <cell r="B27" t="str">
            <v>A6C</v>
          </cell>
          <cell r="C27" t="str">
            <v>HOS</v>
          </cell>
          <cell r="D27" t="str">
            <v>65634</v>
          </cell>
          <cell r="E27" t="str">
            <v>PIPE</v>
          </cell>
          <cell r="F27">
            <v>1</v>
          </cell>
          <cell r="G27" t="str">
            <v>CB100508000T00</v>
          </cell>
          <cell r="H27">
            <v>0.75</v>
          </cell>
          <cell r="I27" t="str">
            <v>--</v>
          </cell>
          <cell r="J27">
            <v>5.8</v>
          </cell>
          <cell r="K27">
            <v>5.8</v>
          </cell>
        </row>
        <row r="28">
          <cell r="A28" t="str">
            <v>M1</v>
          </cell>
          <cell r="B28" t="str">
            <v>A6C</v>
          </cell>
          <cell r="C28" t="str">
            <v>HOR</v>
          </cell>
          <cell r="D28" t="str">
            <v>65620</v>
          </cell>
          <cell r="E28" t="str">
            <v>PIPE</v>
          </cell>
          <cell r="F28">
            <v>1</v>
          </cell>
          <cell r="G28" t="str">
            <v>CB100508000T00</v>
          </cell>
          <cell r="H28">
            <v>0.75</v>
          </cell>
          <cell r="I28" t="str">
            <v>--</v>
          </cell>
          <cell r="J28">
            <v>7.7</v>
          </cell>
          <cell r="K28">
            <v>7.7</v>
          </cell>
        </row>
        <row r="29">
          <cell r="A29" t="str">
            <v>M1</v>
          </cell>
          <cell r="B29" t="str">
            <v>A6C</v>
          </cell>
          <cell r="C29" t="str">
            <v>HOR</v>
          </cell>
          <cell r="D29" t="str">
            <v>65612</v>
          </cell>
          <cell r="E29" t="str">
            <v>PIPE</v>
          </cell>
          <cell r="F29">
            <v>1</v>
          </cell>
          <cell r="G29" t="str">
            <v>CB100508000T00</v>
          </cell>
          <cell r="H29">
            <v>0.75</v>
          </cell>
          <cell r="I29" t="str">
            <v>--</v>
          </cell>
          <cell r="J29">
            <v>10.6</v>
          </cell>
          <cell r="K29">
            <v>10.6</v>
          </cell>
        </row>
        <row r="30">
          <cell r="A30" t="str">
            <v>M1</v>
          </cell>
          <cell r="B30" t="str">
            <v>A5C</v>
          </cell>
          <cell r="C30" t="str">
            <v>P</v>
          </cell>
          <cell r="D30" t="str">
            <v>22065</v>
          </cell>
          <cell r="E30" t="str">
            <v>PIPE</v>
          </cell>
          <cell r="F30">
            <v>1</v>
          </cell>
          <cell r="G30" t="str">
            <v>CB100508000T00</v>
          </cell>
          <cell r="H30">
            <v>0.75</v>
          </cell>
          <cell r="I30" t="str">
            <v>--</v>
          </cell>
          <cell r="J30">
            <v>17.5</v>
          </cell>
          <cell r="K30">
            <v>17.5</v>
          </cell>
        </row>
        <row r="31">
          <cell r="A31" t="str">
            <v>M1</v>
          </cell>
          <cell r="B31" t="str">
            <v>A6C</v>
          </cell>
          <cell r="C31" t="str">
            <v>HOS</v>
          </cell>
          <cell r="D31" t="str">
            <v>65629</v>
          </cell>
          <cell r="E31" t="str">
            <v>PIPE</v>
          </cell>
          <cell r="F31">
            <v>1</v>
          </cell>
          <cell r="G31" t="str">
            <v>CB100508000T00</v>
          </cell>
          <cell r="H31">
            <v>0.75</v>
          </cell>
          <cell r="I31" t="str">
            <v>--</v>
          </cell>
          <cell r="J31">
            <v>24.5</v>
          </cell>
          <cell r="K31">
            <v>24.5</v>
          </cell>
        </row>
        <row r="32">
          <cell r="A32" t="str">
            <v>M1</v>
          </cell>
          <cell r="B32" t="str">
            <v>A5C</v>
          </cell>
          <cell r="C32" t="str">
            <v>SCD</v>
          </cell>
          <cell r="D32" t="str">
            <v>HOLD1</v>
          </cell>
          <cell r="E32" t="str">
            <v>PIPE</v>
          </cell>
          <cell r="F32">
            <v>1</v>
          </cell>
          <cell r="G32" t="str">
            <v>CB100508000T00</v>
          </cell>
          <cell r="H32">
            <v>0.75</v>
          </cell>
          <cell r="I32" t="str">
            <v>--</v>
          </cell>
          <cell r="J32">
            <v>25</v>
          </cell>
          <cell r="K32">
            <v>25</v>
          </cell>
        </row>
        <row r="33">
          <cell r="A33" t="str">
            <v>M1</v>
          </cell>
          <cell r="B33" t="str">
            <v>A5C</v>
          </cell>
          <cell r="C33" t="str">
            <v>P</v>
          </cell>
          <cell r="D33" t="str">
            <v>24029</v>
          </cell>
          <cell r="E33" t="str">
            <v>PIPE</v>
          </cell>
          <cell r="F33">
            <v>1</v>
          </cell>
          <cell r="G33" t="str">
            <v>CB100508000T00</v>
          </cell>
          <cell r="H33">
            <v>0.75</v>
          </cell>
          <cell r="I33" t="str">
            <v>--</v>
          </cell>
          <cell r="J33">
            <v>36</v>
          </cell>
          <cell r="K33">
            <v>36</v>
          </cell>
        </row>
        <row r="34">
          <cell r="A34" t="str">
            <v>M1</v>
          </cell>
          <cell r="B34" t="str">
            <v>A5C</v>
          </cell>
          <cell r="C34" t="str">
            <v>SCC</v>
          </cell>
          <cell r="D34" t="str">
            <v>HOLD1</v>
          </cell>
          <cell r="E34" t="str">
            <v>PIPE</v>
          </cell>
          <cell r="F34">
            <v>1</v>
          </cell>
          <cell r="G34" t="str">
            <v>CB100508000T00</v>
          </cell>
          <cell r="H34">
            <v>0.75</v>
          </cell>
          <cell r="I34" t="str">
            <v>--</v>
          </cell>
          <cell r="J34">
            <v>41</v>
          </cell>
          <cell r="K34">
            <v>41</v>
          </cell>
        </row>
        <row r="35">
          <cell r="A35" t="str">
            <v>M1</v>
          </cell>
          <cell r="B35" t="str">
            <v>B2C</v>
          </cell>
          <cell r="C35" t="str">
            <v>SH</v>
          </cell>
          <cell r="D35" t="str">
            <v>22611</v>
          </cell>
          <cell r="E35" t="str">
            <v>PIPE</v>
          </cell>
          <cell r="F35">
            <v>1</v>
          </cell>
          <cell r="G35" t="str">
            <v>CB100508000100</v>
          </cell>
          <cell r="H35">
            <v>1</v>
          </cell>
          <cell r="I35" t="str">
            <v>--</v>
          </cell>
          <cell r="J35">
            <v>0.2</v>
          </cell>
          <cell r="K35">
            <v>0.2</v>
          </cell>
        </row>
        <row r="36">
          <cell r="A36" t="str">
            <v>M1</v>
          </cell>
          <cell r="B36" t="str">
            <v>A5C</v>
          </cell>
          <cell r="C36" t="str">
            <v>P</v>
          </cell>
          <cell r="D36" t="str">
            <v>22130</v>
          </cell>
          <cell r="E36" t="str">
            <v>PIPE</v>
          </cell>
          <cell r="F36">
            <v>1</v>
          </cell>
          <cell r="G36" t="str">
            <v>CB100508000100</v>
          </cell>
          <cell r="H36">
            <v>1</v>
          </cell>
          <cell r="I36" t="str">
            <v>--</v>
          </cell>
          <cell r="J36">
            <v>0.2</v>
          </cell>
          <cell r="K36">
            <v>0.2</v>
          </cell>
        </row>
        <row r="37">
          <cell r="A37" t="str">
            <v>M1</v>
          </cell>
          <cell r="B37" t="str">
            <v>A5C</v>
          </cell>
          <cell r="C37" t="str">
            <v>P</v>
          </cell>
          <cell r="D37" t="str">
            <v>22140</v>
          </cell>
          <cell r="E37" t="str">
            <v>PIPE</v>
          </cell>
          <cell r="F37">
            <v>1</v>
          </cell>
          <cell r="G37" t="str">
            <v>CB100508000100</v>
          </cell>
          <cell r="H37">
            <v>1</v>
          </cell>
          <cell r="I37" t="str">
            <v>--</v>
          </cell>
          <cell r="J37">
            <v>0.2</v>
          </cell>
          <cell r="K37">
            <v>0.2</v>
          </cell>
        </row>
        <row r="38">
          <cell r="A38" t="str">
            <v>M1</v>
          </cell>
          <cell r="B38" t="str">
            <v>A5C</v>
          </cell>
          <cell r="C38" t="str">
            <v>P</v>
          </cell>
          <cell r="D38" t="str">
            <v>22100</v>
          </cell>
          <cell r="E38" t="str">
            <v>PIPE</v>
          </cell>
          <cell r="F38">
            <v>1</v>
          </cell>
          <cell r="G38" t="str">
            <v>CB100508000100</v>
          </cell>
          <cell r="H38">
            <v>1</v>
          </cell>
          <cell r="I38" t="str">
            <v>--</v>
          </cell>
          <cell r="J38">
            <v>0.2</v>
          </cell>
          <cell r="K38">
            <v>0.2</v>
          </cell>
        </row>
        <row r="39">
          <cell r="A39" t="str">
            <v>M1</v>
          </cell>
          <cell r="B39" t="str">
            <v>A5C</v>
          </cell>
          <cell r="C39" t="str">
            <v>N</v>
          </cell>
          <cell r="D39" t="str">
            <v>22670</v>
          </cell>
          <cell r="E39" t="str">
            <v>PIPE</v>
          </cell>
          <cell r="F39">
            <v>1</v>
          </cell>
          <cell r="G39" t="str">
            <v>CB100508000100</v>
          </cell>
          <cell r="H39">
            <v>1</v>
          </cell>
          <cell r="I39" t="str">
            <v>--</v>
          </cell>
          <cell r="J39">
            <v>0.5</v>
          </cell>
          <cell r="K39">
            <v>0.5</v>
          </cell>
        </row>
        <row r="40">
          <cell r="A40" t="str">
            <v>M1</v>
          </cell>
          <cell r="B40" t="str">
            <v>A5C</v>
          </cell>
          <cell r="C40" t="str">
            <v>N</v>
          </cell>
          <cell r="D40" t="str">
            <v>22731</v>
          </cell>
          <cell r="E40" t="str">
            <v>PIPE</v>
          </cell>
          <cell r="F40">
            <v>1</v>
          </cell>
          <cell r="G40" t="str">
            <v>CB100508000100</v>
          </cell>
          <cell r="H40">
            <v>1</v>
          </cell>
          <cell r="I40" t="str">
            <v>--</v>
          </cell>
          <cell r="J40">
            <v>0.6</v>
          </cell>
          <cell r="K40">
            <v>0.6</v>
          </cell>
        </row>
        <row r="41">
          <cell r="A41" t="str">
            <v>M1</v>
          </cell>
          <cell r="B41" t="str">
            <v>A5C</v>
          </cell>
          <cell r="C41" t="str">
            <v>P</v>
          </cell>
          <cell r="D41" t="str">
            <v>22066</v>
          </cell>
          <cell r="E41" t="str">
            <v>PIPE</v>
          </cell>
          <cell r="F41">
            <v>1</v>
          </cell>
          <cell r="G41" t="str">
            <v>CB100508000100</v>
          </cell>
          <cell r="H41">
            <v>1</v>
          </cell>
          <cell r="I41" t="str">
            <v>--</v>
          </cell>
          <cell r="J41">
            <v>0.6</v>
          </cell>
          <cell r="K41">
            <v>0.6</v>
          </cell>
        </row>
        <row r="42">
          <cell r="A42" t="str">
            <v>M1</v>
          </cell>
          <cell r="B42" t="str">
            <v>A5C</v>
          </cell>
          <cell r="C42" t="str">
            <v>N</v>
          </cell>
          <cell r="D42" t="str">
            <v>22682</v>
          </cell>
          <cell r="E42" t="str">
            <v>PIPE</v>
          </cell>
          <cell r="F42">
            <v>1</v>
          </cell>
          <cell r="G42" t="str">
            <v>CB100508000100</v>
          </cell>
          <cell r="H42">
            <v>1</v>
          </cell>
          <cell r="I42" t="str">
            <v>--</v>
          </cell>
          <cell r="J42">
            <v>0.8</v>
          </cell>
          <cell r="K42">
            <v>0.8</v>
          </cell>
        </row>
        <row r="43">
          <cell r="A43" t="str">
            <v>M1</v>
          </cell>
          <cell r="B43" t="str">
            <v>A5C</v>
          </cell>
          <cell r="C43" t="str">
            <v>N</v>
          </cell>
          <cell r="D43" t="str">
            <v>22685</v>
          </cell>
          <cell r="E43" t="str">
            <v>PIPE</v>
          </cell>
          <cell r="F43">
            <v>1</v>
          </cell>
          <cell r="G43" t="str">
            <v>CB100508000100</v>
          </cell>
          <cell r="H43">
            <v>1</v>
          </cell>
          <cell r="I43" t="str">
            <v>--</v>
          </cell>
          <cell r="J43">
            <v>0.8</v>
          </cell>
          <cell r="K43">
            <v>0.8</v>
          </cell>
        </row>
        <row r="44">
          <cell r="A44" t="str">
            <v>M1</v>
          </cell>
          <cell r="B44" t="str">
            <v>A5C</v>
          </cell>
          <cell r="C44" t="str">
            <v>N</v>
          </cell>
          <cell r="D44" t="str">
            <v>22686</v>
          </cell>
          <cell r="E44" t="str">
            <v>PIPE</v>
          </cell>
          <cell r="F44">
            <v>1</v>
          </cell>
          <cell r="G44" t="str">
            <v>CB100508000100</v>
          </cell>
          <cell r="H44">
            <v>1</v>
          </cell>
          <cell r="I44" t="str">
            <v>--</v>
          </cell>
          <cell r="J44">
            <v>0.8</v>
          </cell>
          <cell r="K44">
            <v>0.8</v>
          </cell>
        </row>
        <row r="45">
          <cell r="A45" t="str">
            <v>M1</v>
          </cell>
          <cell r="B45" t="str">
            <v>A5C</v>
          </cell>
          <cell r="C45" t="str">
            <v>N</v>
          </cell>
          <cell r="D45" t="str">
            <v>22681</v>
          </cell>
          <cell r="E45" t="str">
            <v>PIPE</v>
          </cell>
          <cell r="F45">
            <v>1</v>
          </cell>
          <cell r="G45" t="str">
            <v>CB100508000100</v>
          </cell>
          <cell r="H45">
            <v>1</v>
          </cell>
          <cell r="I45" t="str">
            <v>--</v>
          </cell>
          <cell r="J45">
            <v>0.8</v>
          </cell>
          <cell r="K45">
            <v>0.8</v>
          </cell>
        </row>
        <row r="46">
          <cell r="A46" t="str">
            <v>M1</v>
          </cell>
          <cell r="B46" t="str">
            <v>A5C</v>
          </cell>
          <cell r="C46" t="str">
            <v>N</v>
          </cell>
          <cell r="D46" t="str">
            <v>22670</v>
          </cell>
          <cell r="E46" t="str">
            <v>PIPE</v>
          </cell>
          <cell r="F46">
            <v>1</v>
          </cell>
          <cell r="G46" t="str">
            <v>CB100508000100</v>
          </cell>
          <cell r="H46">
            <v>1</v>
          </cell>
          <cell r="I46" t="str">
            <v>--</v>
          </cell>
          <cell r="J46">
            <v>1</v>
          </cell>
          <cell r="K46">
            <v>1</v>
          </cell>
        </row>
        <row r="47">
          <cell r="A47" t="str">
            <v>M1</v>
          </cell>
          <cell r="B47" t="str">
            <v>A5C</v>
          </cell>
          <cell r="C47" t="str">
            <v>N</v>
          </cell>
          <cell r="D47" t="str">
            <v>25611</v>
          </cell>
          <cell r="E47" t="str">
            <v>PIPE</v>
          </cell>
          <cell r="F47">
            <v>1</v>
          </cell>
          <cell r="G47" t="str">
            <v>CB100508000100</v>
          </cell>
          <cell r="H47">
            <v>1</v>
          </cell>
          <cell r="I47" t="str">
            <v>--</v>
          </cell>
          <cell r="J47">
            <v>1</v>
          </cell>
          <cell r="K47">
            <v>1</v>
          </cell>
        </row>
        <row r="48">
          <cell r="A48" t="str">
            <v>M1</v>
          </cell>
          <cell r="B48" t="str">
            <v>A5C</v>
          </cell>
          <cell r="C48" t="str">
            <v>P</v>
          </cell>
          <cell r="D48" t="str">
            <v>24029</v>
          </cell>
          <cell r="E48" t="str">
            <v>PIPE</v>
          </cell>
          <cell r="F48">
            <v>1</v>
          </cell>
          <cell r="G48" t="str">
            <v>CB100508000100</v>
          </cell>
          <cell r="H48">
            <v>1</v>
          </cell>
          <cell r="I48" t="str">
            <v>--</v>
          </cell>
          <cell r="J48">
            <v>1</v>
          </cell>
          <cell r="K48">
            <v>1</v>
          </cell>
        </row>
        <row r="49">
          <cell r="A49" t="str">
            <v>M1</v>
          </cell>
          <cell r="B49" t="str">
            <v>B2C</v>
          </cell>
          <cell r="C49" t="str">
            <v>SH</v>
          </cell>
          <cell r="D49" t="str">
            <v>22614</v>
          </cell>
          <cell r="E49" t="str">
            <v>PIPE</v>
          </cell>
          <cell r="F49">
            <v>1</v>
          </cell>
          <cell r="G49" t="str">
            <v>CB100508000100</v>
          </cell>
          <cell r="H49">
            <v>1</v>
          </cell>
          <cell r="I49" t="str">
            <v>--</v>
          </cell>
          <cell r="J49">
            <v>2</v>
          </cell>
          <cell r="K49">
            <v>2</v>
          </cell>
        </row>
        <row r="50">
          <cell r="A50" t="str">
            <v>M1</v>
          </cell>
          <cell r="B50" t="str">
            <v>A5C</v>
          </cell>
          <cell r="C50" t="str">
            <v>TRIM</v>
          </cell>
          <cell r="D50" t="str">
            <v>V-2202</v>
          </cell>
          <cell r="E50" t="str">
            <v>PIPE</v>
          </cell>
          <cell r="F50">
            <v>1</v>
          </cell>
          <cell r="G50" t="str">
            <v>CB100508000100</v>
          </cell>
          <cell r="H50">
            <v>1</v>
          </cell>
          <cell r="I50" t="str">
            <v>--</v>
          </cell>
          <cell r="J50">
            <v>2</v>
          </cell>
          <cell r="K50">
            <v>2</v>
          </cell>
        </row>
        <row r="51">
          <cell r="A51" t="str">
            <v>M1</v>
          </cell>
          <cell r="B51" t="str">
            <v>A6C</v>
          </cell>
          <cell r="C51" t="str">
            <v>HOS</v>
          </cell>
          <cell r="D51" t="str">
            <v>65621</v>
          </cell>
          <cell r="E51" t="str">
            <v>PIPE</v>
          </cell>
          <cell r="F51">
            <v>1</v>
          </cell>
          <cell r="G51" t="str">
            <v>CB100508000100</v>
          </cell>
          <cell r="H51">
            <v>1</v>
          </cell>
          <cell r="I51" t="str">
            <v>--</v>
          </cell>
          <cell r="J51">
            <v>2</v>
          </cell>
          <cell r="K51">
            <v>2</v>
          </cell>
        </row>
        <row r="52">
          <cell r="A52" t="str">
            <v>M1</v>
          </cell>
          <cell r="B52" t="str">
            <v>A5C</v>
          </cell>
          <cell r="C52" t="str">
            <v>P</v>
          </cell>
          <cell r="D52" t="str">
            <v>22063</v>
          </cell>
          <cell r="E52" t="str">
            <v>PIPE</v>
          </cell>
          <cell r="F52">
            <v>1</v>
          </cell>
          <cell r="G52" t="str">
            <v>CB100508000100</v>
          </cell>
          <cell r="H52">
            <v>1</v>
          </cell>
          <cell r="I52" t="str">
            <v>--</v>
          </cell>
          <cell r="J52">
            <v>2.2000000000000002</v>
          </cell>
          <cell r="K52">
            <v>2.2000000000000002</v>
          </cell>
        </row>
        <row r="53">
          <cell r="A53" t="str">
            <v>M1</v>
          </cell>
          <cell r="B53" t="str">
            <v>A5C</v>
          </cell>
          <cell r="C53" t="str">
            <v>N</v>
          </cell>
          <cell r="D53" t="str">
            <v>22679</v>
          </cell>
          <cell r="E53" t="str">
            <v>PIPE</v>
          </cell>
          <cell r="F53">
            <v>1</v>
          </cell>
          <cell r="G53" t="str">
            <v>CB100508000100</v>
          </cell>
          <cell r="H53">
            <v>1</v>
          </cell>
          <cell r="I53" t="str">
            <v>--</v>
          </cell>
          <cell r="J53">
            <v>2.2000000000000002</v>
          </cell>
          <cell r="K53">
            <v>2.2000000000000002</v>
          </cell>
        </row>
        <row r="54">
          <cell r="A54" t="str">
            <v>M1</v>
          </cell>
          <cell r="B54" t="str">
            <v>A5C</v>
          </cell>
          <cell r="C54" t="str">
            <v>N</v>
          </cell>
          <cell r="D54" t="str">
            <v>25614</v>
          </cell>
          <cell r="E54" t="str">
            <v>PIPE</v>
          </cell>
          <cell r="F54">
            <v>1</v>
          </cell>
          <cell r="G54" t="str">
            <v>CB100508000100</v>
          </cell>
          <cell r="H54">
            <v>1</v>
          </cell>
          <cell r="I54" t="str">
            <v>--</v>
          </cell>
          <cell r="J54">
            <v>2.2000000000000002</v>
          </cell>
          <cell r="K54">
            <v>2.2000000000000002</v>
          </cell>
        </row>
        <row r="55">
          <cell r="A55" t="str">
            <v>M1</v>
          </cell>
          <cell r="B55" t="str">
            <v>A5C</v>
          </cell>
          <cell r="C55" t="str">
            <v>N</v>
          </cell>
          <cell r="D55" t="str">
            <v>22684</v>
          </cell>
          <cell r="E55" t="str">
            <v>PIPE</v>
          </cell>
          <cell r="F55">
            <v>1</v>
          </cell>
          <cell r="G55" t="str">
            <v>CB100508000100</v>
          </cell>
          <cell r="H55">
            <v>1</v>
          </cell>
          <cell r="I55" t="str">
            <v>--</v>
          </cell>
          <cell r="J55">
            <v>2.5</v>
          </cell>
          <cell r="K55">
            <v>2.5</v>
          </cell>
        </row>
        <row r="56">
          <cell r="A56" t="str">
            <v>M1</v>
          </cell>
          <cell r="B56" t="str">
            <v>A5C</v>
          </cell>
          <cell r="C56" t="str">
            <v>N</v>
          </cell>
          <cell r="D56" t="str">
            <v>22683</v>
          </cell>
          <cell r="E56" t="str">
            <v>PIPE</v>
          </cell>
          <cell r="F56">
            <v>1</v>
          </cell>
          <cell r="G56" t="str">
            <v>CB100508000100</v>
          </cell>
          <cell r="H56">
            <v>1</v>
          </cell>
          <cell r="I56" t="str">
            <v>--</v>
          </cell>
          <cell r="J56">
            <v>2.5</v>
          </cell>
          <cell r="K56">
            <v>2.5</v>
          </cell>
        </row>
        <row r="57">
          <cell r="A57" t="str">
            <v>M1</v>
          </cell>
          <cell r="B57" t="str">
            <v>A6C</v>
          </cell>
          <cell r="C57" t="str">
            <v>HOR</v>
          </cell>
          <cell r="D57" t="str">
            <v>65622</v>
          </cell>
          <cell r="E57" t="str">
            <v>PIPE</v>
          </cell>
          <cell r="F57">
            <v>1</v>
          </cell>
          <cell r="G57" t="str">
            <v>CB100508000100</v>
          </cell>
          <cell r="H57">
            <v>1</v>
          </cell>
          <cell r="I57" t="str">
            <v>--</v>
          </cell>
          <cell r="J57">
            <v>2.8</v>
          </cell>
          <cell r="K57">
            <v>2.8</v>
          </cell>
        </row>
        <row r="58">
          <cell r="A58" t="str">
            <v>M1</v>
          </cell>
          <cell r="B58" t="str">
            <v>A6C</v>
          </cell>
          <cell r="C58" t="str">
            <v>HOS</v>
          </cell>
          <cell r="D58" t="str">
            <v>65613</v>
          </cell>
          <cell r="E58" t="str">
            <v>PIPE</v>
          </cell>
          <cell r="F58">
            <v>1</v>
          </cell>
          <cell r="G58" t="str">
            <v>CB100508000100</v>
          </cell>
          <cell r="H58">
            <v>1</v>
          </cell>
          <cell r="I58" t="str">
            <v>--</v>
          </cell>
          <cell r="J58">
            <v>3</v>
          </cell>
          <cell r="K58">
            <v>3</v>
          </cell>
        </row>
        <row r="59">
          <cell r="A59" t="str">
            <v>M1</v>
          </cell>
          <cell r="B59" t="str">
            <v>A4C</v>
          </cell>
          <cell r="C59" t="str">
            <v>N</v>
          </cell>
          <cell r="D59" t="str">
            <v>22661</v>
          </cell>
          <cell r="E59" t="str">
            <v>PIPE</v>
          </cell>
          <cell r="F59">
            <v>1</v>
          </cell>
          <cell r="G59" t="str">
            <v>CB110508000100</v>
          </cell>
          <cell r="H59">
            <v>1</v>
          </cell>
          <cell r="I59" t="str">
            <v>--</v>
          </cell>
          <cell r="J59">
            <v>3.5</v>
          </cell>
          <cell r="K59">
            <v>3.5</v>
          </cell>
        </row>
        <row r="60">
          <cell r="A60" t="str">
            <v>M1</v>
          </cell>
          <cell r="B60" t="str">
            <v>A6C</v>
          </cell>
          <cell r="C60" t="str">
            <v>HOS</v>
          </cell>
          <cell r="D60" t="str">
            <v>65616</v>
          </cell>
          <cell r="E60" t="str">
            <v>PIPE</v>
          </cell>
          <cell r="F60">
            <v>1</v>
          </cell>
          <cell r="G60" t="str">
            <v>CB100508000100</v>
          </cell>
          <cell r="H60">
            <v>1</v>
          </cell>
          <cell r="I60" t="str">
            <v>--</v>
          </cell>
          <cell r="J60">
            <v>3.5</v>
          </cell>
          <cell r="K60">
            <v>3.5</v>
          </cell>
        </row>
        <row r="61">
          <cell r="A61" t="str">
            <v>M1</v>
          </cell>
          <cell r="B61" t="str">
            <v>A5C</v>
          </cell>
          <cell r="C61" t="str">
            <v>P</v>
          </cell>
          <cell r="D61" t="str">
            <v>22157</v>
          </cell>
          <cell r="E61" t="str">
            <v>PIPE</v>
          </cell>
          <cell r="F61">
            <v>1</v>
          </cell>
          <cell r="G61" t="str">
            <v>CB100508000100</v>
          </cell>
          <cell r="H61">
            <v>1</v>
          </cell>
          <cell r="I61" t="str">
            <v>--</v>
          </cell>
          <cell r="J61">
            <v>4</v>
          </cell>
          <cell r="K61">
            <v>4</v>
          </cell>
        </row>
        <row r="62">
          <cell r="A62" t="str">
            <v>M1</v>
          </cell>
          <cell r="B62" t="str">
            <v>A5C</v>
          </cell>
          <cell r="C62" t="str">
            <v>P</v>
          </cell>
          <cell r="D62" t="str">
            <v>22158</v>
          </cell>
          <cell r="E62" t="str">
            <v>PIPE</v>
          </cell>
          <cell r="F62">
            <v>1</v>
          </cell>
          <cell r="G62" t="str">
            <v>CB100508000100</v>
          </cell>
          <cell r="H62">
            <v>1</v>
          </cell>
          <cell r="I62" t="str">
            <v>--</v>
          </cell>
          <cell r="J62">
            <v>4</v>
          </cell>
          <cell r="K62">
            <v>4</v>
          </cell>
        </row>
        <row r="63">
          <cell r="A63" t="str">
            <v>M1</v>
          </cell>
          <cell r="B63" t="str">
            <v>A5C</v>
          </cell>
          <cell r="C63" t="str">
            <v>P</v>
          </cell>
          <cell r="D63" t="str">
            <v>22039</v>
          </cell>
          <cell r="E63" t="str">
            <v>PIPE</v>
          </cell>
          <cell r="F63">
            <v>1</v>
          </cell>
          <cell r="G63" t="str">
            <v>CB100508000100</v>
          </cell>
          <cell r="H63">
            <v>1</v>
          </cell>
          <cell r="I63" t="str">
            <v>--</v>
          </cell>
          <cell r="J63">
            <v>4</v>
          </cell>
          <cell r="K63">
            <v>4</v>
          </cell>
        </row>
        <row r="64">
          <cell r="A64" t="str">
            <v>M1</v>
          </cell>
          <cell r="B64" t="str">
            <v>A5C</v>
          </cell>
          <cell r="C64" t="str">
            <v>P</v>
          </cell>
          <cell r="D64" t="str">
            <v>22040</v>
          </cell>
          <cell r="E64" t="str">
            <v>PIPE</v>
          </cell>
          <cell r="F64">
            <v>1</v>
          </cell>
          <cell r="G64" t="str">
            <v>CB100508000100</v>
          </cell>
          <cell r="H64">
            <v>1</v>
          </cell>
          <cell r="I64" t="str">
            <v>--</v>
          </cell>
          <cell r="J64">
            <v>4</v>
          </cell>
          <cell r="K64">
            <v>4</v>
          </cell>
        </row>
        <row r="65">
          <cell r="A65" t="str">
            <v>M1</v>
          </cell>
          <cell r="B65" t="str">
            <v>A5C</v>
          </cell>
          <cell r="C65" t="str">
            <v>P</v>
          </cell>
          <cell r="D65" t="str">
            <v>22041</v>
          </cell>
          <cell r="E65" t="str">
            <v>PIPE</v>
          </cell>
          <cell r="F65">
            <v>1</v>
          </cell>
          <cell r="G65" t="str">
            <v>CB100508000100</v>
          </cell>
          <cell r="H65">
            <v>1</v>
          </cell>
          <cell r="I65" t="str">
            <v>--</v>
          </cell>
          <cell r="J65">
            <v>4</v>
          </cell>
          <cell r="K65">
            <v>4</v>
          </cell>
        </row>
        <row r="66">
          <cell r="A66" t="str">
            <v>M1</v>
          </cell>
          <cell r="B66" t="str">
            <v>A5C</v>
          </cell>
          <cell r="C66" t="str">
            <v>N</v>
          </cell>
          <cell r="D66" t="str">
            <v>22630</v>
          </cell>
          <cell r="E66" t="str">
            <v>PIPE</v>
          </cell>
          <cell r="F66">
            <v>1</v>
          </cell>
          <cell r="G66" t="str">
            <v>CB100508000100</v>
          </cell>
          <cell r="H66">
            <v>1</v>
          </cell>
          <cell r="I66" t="str">
            <v>--</v>
          </cell>
          <cell r="J66">
            <v>4.5</v>
          </cell>
          <cell r="K66">
            <v>4.5</v>
          </cell>
        </row>
        <row r="67">
          <cell r="A67" t="str">
            <v>M1</v>
          </cell>
          <cell r="B67" t="str">
            <v>A5C</v>
          </cell>
          <cell r="C67" t="str">
            <v>P</v>
          </cell>
          <cell r="D67" t="str">
            <v>22105</v>
          </cell>
          <cell r="E67" t="str">
            <v>PIPE</v>
          </cell>
          <cell r="F67">
            <v>1</v>
          </cell>
          <cell r="G67" t="str">
            <v>CB100508000100</v>
          </cell>
          <cell r="H67">
            <v>1</v>
          </cell>
          <cell r="I67" t="str">
            <v>--</v>
          </cell>
          <cell r="J67">
            <v>5.8</v>
          </cell>
          <cell r="K67">
            <v>5.8</v>
          </cell>
        </row>
        <row r="68">
          <cell r="A68" t="str">
            <v>M1</v>
          </cell>
          <cell r="B68" t="str">
            <v>A5C</v>
          </cell>
          <cell r="C68" t="str">
            <v>P</v>
          </cell>
          <cell r="D68" t="str">
            <v>22103</v>
          </cell>
          <cell r="E68" t="str">
            <v>PIPE</v>
          </cell>
          <cell r="F68">
            <v>1</v>
          </cell>
          <cell r="G68" t="str">
            <v>CB100508000100</v>
          </cell>
          <cell r="H68">
            <v>1</v>
          </cell>
          <cell r="I68" t="str">
            <v>--</v>
          </cell>
          <cell r="J68">
            <v>9</v>
          </cell>
          <cell r="K68">
            <v>9</v>
          </cell>
        </row>
        <row r="69">
          <cell r="A69" t="str">
            <v>M1</v>
          </cell>
          <cell r="B69" t="str">
            <v>A5C</v>
          </cell>
          <cell r="C69" t="str">
            <v>P</v>
          </cell>
          <cell r="D69" t="str">
            <v>22106</v>
          </cell>
          <cell r="E69" t="str">
            <v>PIPE</v>
          </cell>
          <cell r="F69">
            <v>1</v>
          </cell>
          <cell r="G69" t="str">
            <v>CB100508000100</v>
          </cell>
          <cell r="H69">
            <v>1</v>
          </cell>
          <cell r="I69" t="str">
            <v>--</v>
          </cell>
          <cell r="J69">
            <v>11</v>
          </cell>
          <cell r="K69">
            <v>11</v>
          </cell>
        </row>
        <row r="70">
          <cell r="A70" t="str">
            <v>M1</v>
          </cell>
          <cell r="B70" t="str">
            <v>A5C</v>
          </cell>
          <cell r="C70" t="str">
            <v>P</v>
          </cell>
          <cell r="D70" t="str">
            <v>21004</v>
          </cell>
          <cell r="E70" t="str">
            <v>PIPE</v>
          </cell>
          <cell r="F70">
            <v>1</v>
          </cell>
          <cell r="G70" t="str">
            <v>CB100508000100</v>
          </cell>
          <cell r="H70">
            <v>1</v>
          </cell>
          <cell r="I70" t="str">
            <v>--</v>
          </cell>
          <cell r="J70">
            <v>11.5</v>
          </cell>
          <cell r="K70">
            <v>11.5</v>
          </cell>
        </row>
        <row r="71">
          <cell r="A71" t="str">
            <v>M1</v>
          </cell>
          <cell r="B71" t="str">
            <v>A5C</v>
          </cell>
          <cell r="C71" t="str">
            <v>P</v>
          </cell>
          <cell r="D71" t="str">
            <v>99002</v>
          </cell>
          <cell r="E71" t="str">
            <v>PIPE</v>
          </cell>
          <cell r="F71">
            <v>1</v>
          </cell>
          <cell r="G71" t="str">
            <v>CB100508000100</v>
          </cell>
          <cell r="H71">
            <v>1</v>
          </cell>
          <cell r="I71" t="str">
            <v>--</v>
          </cell>
          <cell r="J71">
            <v>16.3</v>
          </cell>
          <cell r="K71">
            <v>16.3</v>
          </cell>
        </row>
        <row r="72">
          <cell r="A72" t="str">
            <v>M1</v>
          </cell>
          <cell r="B72" t="str">
            <v>A6C</v>
          </cell>
          <cell r="C72" t="str">
            <v>HOR</v>
          </cell>
          <cell r="D72" t="str">
            <v>65612</v>
          </cell>
          <cell r="E72" t="str">
            <v>PIPE</v>
          </cell>
          <cell r="F72">
            <v>1</v>
          </cell>
          <cell r="G72" t="str">
            <v>CB100508000100</v>
          </cell>
          <cell r="H72">
            <v>1</v>
          </cell>
          <cell r="I72" t="str">
            <v>--</v>
          </cell>
          <cell r="J72">
            <v>23.6</v>
          </cell>
          <cell r="K72">
            <v>23.6</v>
          </cell>
        </row>
        <row r="73">
          <cell r="A73" t="str">
            <v>M1</v>
          </cell>
          <cell r="B73" t="str">
            <v>A5C</v>
          </cell>
          <cell r="C73" t="str">
            <v>P</v>
          </cell>
          <cell r="D73" t="str">
            <v>22117</v>
          </cell>
          <cell r="E73" t="str">
            <v>PIPE</v>
          </cell>
          <cell r="F73">
            <v>1</v>
          </cell>
          <cell r="G73" t="str">
            <v>CB100508001H00</v>
          </cell>
          <cell r="H73">
            <v>1.5</v>
          </cell>
          <cell r="I73" t="str">
            <v>--</v>
          </cell>
          <cell r="J73">
            <v>0.1</v>
          </cell>
          <cell r="K73">
            <v>0.1</v>
          </cell>
        </row>
        <row r="74">
          <cell r="A74" t="str">
            <v>M1</v>
          </cell>
          <cell r="B74" t="str">
            <v>A5C</v>
          </cell>
          <cell r="C74" t="str">
            <v>P</v>
          </cell>
          <cell r="D74" t="str">
            <v>22004</v>
          </cell>
          <cell r="E74" t="str">
            <v>PIPE</v>
          </cell>
          <cell r="F74">
            <v>1</v>
          </cell>
          <cell r="G74" t="str">
            <v>CB100508001H00</v>
          </cell>
          <cell r="H74">
            <v>1.5</v>
          </cell>
          <cell r="I74" t="str">
            <v>--</v>
          </cell>
          <cell r="J74">
            <v>0.1</v>
          </cell>
          <cell r="K74">
            <v>0.1</v>
          </cell>
        </row>
        <row r="75">
          <cell r="A75" t="str">
            <v>M1</v>
          </cell>
          <cell r="B75" t="str">
            <v>B2C</v>
          </cell>
          <cell r="C75" t="str">
            <v>SH</v>
          </cell>
          <cell r="D75" t="str">
            <v>22614</v>
          </cell>
          <cell r="E75" t="str">
            <v>PIPE</v>
          </cell>
          <cell r="F75">
            <v>1</v>
          </cell>
          <cell r="G75" t="str">
            <v>CB100508001H00</v>
          </cell>
          <cell r="H75">
            <v>1.5</v>
          </cell>
          <cell r="I75" t="str">
            <v>--</v>
          </cell>
          <cell r="J75">
            <v>0.2</v>
          </cell>
          <cell r="K75">
            <v>0.2</v>
          </cell>
        </row>
        <row r="76">
          <cell r="A76" t="str">
            <v>M1</v>
          </cell>
          <cell r="B76" t="str">
            <v>A4C</v>
          </cell>
          <cell r="C76" t="str">
            <v>N</v>
          </cell>
          <cell r="D76" t="str">
            <v>22662</v>
          </cell>
          <cell r="E76" t="str">
            <v>PIPE</v>
          </cell>
          <cell r="F76">
            <v>1</v>
          </cell>
          <cell r="G76" t="str">
            <v>CB110508001H00</v>
          </cell>
          <cell r="H76">
            <v>1.5</v>
          </cell>
          <cell r="I76" t="str">
            <v>--</v>
          </cell>
          <cell r="J76">
            <v>1</v>
          </cell>
          <cell r="K76">
            <v>1</v>
          </cell>
        </row>
        <row r="77">
          <cell r="A77" t="str">
            <v>M1</v>
          </cell>
          <cell r="B77" t="str">
            <v>A6C</v>
          </cell>
          <cell r="C77" t="str">
            <v>HOS</v>
          </cell>
          <cell r="D77" t="str">
            <v>65618</v>
          </cell>
          <cell r="E77" t="str">
            <v>PIPE</v>
          </cell>
          <cell r="F77">
            <v>1</v>
          </cell>
          <cell r="G77" t="str">
            <v>CB100508001H00</v>
          </cell>
          <cell r="H77">
            <v>1.5</v>
          </cell>
          <cell r="I77" t="str">
            <v>--</v>
          </cell>
          <cell r="J77">
            <v>1.5</v>
          </cell>
          <cell r="K77">
            <v>1.5</v>
          </cell>
        </row>
        <row r="78">
          <cell r="A78" t="str">
            <v>M1</v>
          </cell>
          <cell r="B78" t="str">
            <v>A5C</v>
          </cell>
          <cell r="C78" t="str">
            <v>P</v>
          </cell>
          <cell r="D78" t="str">
            <v>22158</v>
          </cell>
          <cell r="E78" t="str">
            <v>PIPE</v>
          </cell>
          <cell r="F78">
            <v>1</v>
          </cell>
          <cell r="G78" t="str">
            <v>CB100508001H00</v>
          </cell>
          <cell r="H78">
            <v>1.5</v>
          </cell>
          <cell r="I78" t="str">
            <v>--</v>
          </cell>
          <cell r="J78">
            <v>2</v>
          </cell>
          <cell r="K78">
            <v>2</v>
          </cell>
        </row>
        <row r="79">
          <cell r="A79" t="str">
            <v>M1</v>
          </cell>
          <cell r="B79" t="str">
            <v>A5C</v>
          </cell>
          <cell r="C79" t="str">
            <v>P</v>
          </cell>
          <cell r="D79" t="str">
            <v>22039</v>
          </cell>
          <cell r="E79" t="str">
            <v>PIPE</v>
          </cell>
          <cell r="F79">
            <v>1</v>
          </cell>
          <cell r="G79" t="str">
            <v>CB100508001H00</v>
          </cell>
          <cell r="H79">
            <v>1.5</v>
          </cell>
          <cell r="I79" t="str">
            <v>--</v>
          </cell>
          <cell r="J79">
            <v>2</v>
          </cell>
          <cell r="K79">
            <v>2</v>
          </cell>
        </row>
        <row r="80">
          <cell r="A80" t="str">
            <v>M1</v>
          </cell>
          <cell r="B80" t="str">
            <v>A5C</v>
          </cell>
          <cell r="C80" t="str">
            <v>P</v>
          </cell>
          <cell r="D80" t="str">
            <v>22040</v>
          </cell>
          <cell r="E80" t="str">
            <v>PIPE</v>
          </cell>
          <cell r="F80">
            <v>1</v>
          </cell>
          <cell r="G80" t="str">
            <v>CB100508001H00</v>
          </cell>
          <cell r="H80">
            <v>1.5</v>
          </cell>
          <cell r="I80" t="str">
            <v>--</v>
          </cell>
          <cell r="J80">
            <v>2</v>
          </cell>
          <cell r="K80">
            <v>2</v>
          </cell>
        </row>
        <row r="81">
          <cell r="A81" t="str">
            <v>M1</v>
          </cell>
          <cell r="B81" t="str">
            <v>A5C</v>
          </cell>
          <cell r="C81" t="str">
            <v>P</v>
          </cell>
          <cell r="D81" t="str">
            <v>22041</v>
          </cell>
          <cell r="E81" t="str">
            <v>PIPE</v>
          </cell>
          <cell r="F81">
            <v>1</v>
          </cell>
          <cell r="G81" t="str">
            <v>CB100508001H00</v>
          </cell>
          <cell r="H81">
            <v>1.5</v>
          </cell>
          <cell r="I81" t="str">
            <v>--</v>
          </cell>
          <cell r="J81">
            <v>2</v>
          </cell>
          <cell r="K81">
            <v>2</v>
          </cell>
        </row>
        <row r="82">
          <cell r="A82" t="str">
            <v>M1</v>
          </cell>
          <cell r="B82" t="str">
            <v>A6C</v>
          </cell>
          <cell r="C82" t="str">
            <v>HOS</v>
          </cell>
          <cell r="D82" t="str">
            <v>65622</v>
          </cell>
          <cell r="E82" t="str">
            <v>PIPE</v>
          </cell>
          <cell r="F82">
            <v>1</v>
          </cell>
          <cell r="G82" t="str">
            <v>CB100508001H00</v>
          </cell>
          <cell r="H82">
            <v>1.5</v>
          </cell>
          <cell r="I82" t="str">
            <v>--</v>
          </cell>
          <cell r="J82">
            <v>3.7</v>
          </cell>
          <cell r="K82">
            <v>3.7</v>
          </cell>
        </row>
        <row r="83">
          <cell r="A83" t="str">
            <v>M1</v>
          </cell>
          <cell r="B83" t="str">
            <v>A5C</v>
          </cell>
          <cell r="C83" t="str">
            <v>P</v>
          </cell>
          <cell r="D83" t="str">
            <v>22064</v>
          </cell>
          <cell r="E83" t="str">
            <v>PIPE</v>
          </cell>
          <cell r="F83">
            <v>1</v>
          </cell>
          <cell r="G83" t="str">
            <v>CB100508001H00</v>
          </cell>
          <cell r="H83">
            <v>1.5</v>
          </cell>
          <cell r="I83" t="str">
            <v>--</v>
          </cell>
          <cell r="J83">
            <v>3.8</v>
          </cell>
          <cell r="K83">
            <v>3.8</v>
          </cell>
        </row>
        <row r="84">
          <cell r="A84" t="str">
            <v>M1</v>
          </cell>
          <cell r="B84" t="str">
            <v>A5C</v>
          </cell>
          <cell r="C84" t="str">
            <v>P</v>
          </cell>
          <cell r="D84" t="str">
            <v>22085</v>
          </cell>
          <cell r="E84" t="str">
            <v>PIPE</v>
          </cell>
          <cell r="F84">
            <v>1</v>
          </cell>
          <cell r="G84" t="str">
            <v>CB100508001H00</v>
          </cell>
          <cell r="H84">
            <v>1.5</v>
          </cell>
          <cell r="I84" t="str">
            <v>--</v>
          </cell>
          <cell r="J84">
            <v>4</v>
          </cell>
          <cell r="K84">
            <v>4</v>
          </cell>
        </row>
        <row r="85">
          <cell r="A85" t="str">
            <v>M1</v>
          </cell>
          <cell r="B85" t="str">
            <v>A6C</v>
          </cell>
          <cell r="C85" t="str">
            <v>HOR</v>
          </cell>
          <cell r="D85" t="str">
            <v>65618</v>
          </cell>
          <cell r="E85" t="str">
            <v>PIPE</v>
          </cell>
          <cell r="F85">
            <v>1</v>
          </cell>
          <cell r="G85" t="str">
            <v>CB100508001H00</v>
          </cell>
          <cell r="H85">
            <v>1.5</v>
          </cell>
          <cell r="I85" t="str">
            <v>--</v>
          </cell>
          <cell r="J85">
            <v>5.5</v>
          </cell>
          <cell r="K85">
            <v>5.5</v>
          </cell>
        </row>
        <row r="86">
          <cell r="A86" t="str">
            <v>M1</v>
          </cell>
          <cell r="B86" t="str">
            <v>A5C</v>
          </cell>
          <cell r="C86" t="str">
            <v>P</v>
          </cell>
          <cell r="D86" t="str">
            <v>22113</v>
          </cell>
          <cell r="E86" t="str">
            <v>PIPE</v>
          </cell>
          <cell r="F86">
            <v>1</v>
          </cell>
          <cell r="G86" t="str">
            <v>CB100508001H00</v>
          </cell>
          <cell r="H86">
            <v>1.5</v>
          </cell>
          <cell r="I86" t="str">
            <v>--</v>
          </cell>
          <cell r="J86">
            <v>5.8</v>
          </cell>
          <cell r="K86">
            <v>5.8</v>
          </cell>
        </row>
        <row r="87">
          <cell r="A87" t="str">
            <v>M1</v>
          </cell>
          <cell r="B87" t="str">
            <v>A4C</v>
          </cell>
          <cell r="C87" t="str">
            <v>P</v>
          </cell>
          <cell r="D87" t="str">
            <v>22031</v>
          </cell>
          <cell r="E87" t="str">
            <v>PIPE</v>
          </cell>
          <cell r="F87">
            <v>1</v>
          </cell>
          <cell r="G87" t="str">
            <v>CB110508001H00</v>
          </cell>
          <cell r="H87">
            <v>1.5</v>
          </cell>
          <cell r="I87" t="str">
            <v>--</v>
          </cell>
          <cell r="J87">
            <v>6</v>
          </cell>
          <cell r="K87">
            <v>6</v>
          </cell>
        </row>
        <row r="88">
          <cell r="A88" t="str">
            <v>M1</v>
          </cell>
          <cell r="B88" t="str">
            <v>A5C</v>
          </cell>
          <cell r="C88" t="str">
            <v>P</v>
          </cell>
          <cell r="D88" t="str">
            <v>22071</v>
          </cell>
          <cell r="E88" t="str">
            <v>PIPE</v>
          </cell>
          <cell r="F88">
            <v>1</v>
          </cell>
          <cell r="G88" t="str">
            <v>CB100508001H00</v>
          </cell>
          <cell r="H88">
            <v>1.5</v>
          </cell>
          <cell r="I88" t="str">
            <v>--</v>
          </cell>
          <cell r="J88">
            <v>6.5</v>
          </cell>
          <cell r="K88">
            <v>6.5</v>
          </cell>
        </row>
        <row r="89">
          <cell r="A89" t="str">
            <v>M1</v>
          </cell>
          <cell r="B89" t="str">
            <v>A5C</v>
          </cell>
          <cell r="C89" t="str">
            <v>P</v>
          </cell>
          <cell r="D89" t="str">
            <v>22087</v>
          </cell>
          <cell r="E89" t="str">
            <v>PIPE</v>
          </cell>
          <cell r="F89">
            <v>1</v>
          </cell>
          <cell r="G89" t="str">
            <v>CB100508001H00</v>
          </cell>
          <cell r="H89">
            <v>1.5</v>
          </cell>
          <cell r="I89" t="str">
            <v>--</v>
          </cell>
          <cell r="J89">
            <v>6.6</v>
          </cell>
          <cell r="K89">
            <v>6.6</v>
          </cell>
        </row>
        <row r="90">
          <cell r="A90" t="str">
            <v>M1</v>
          </cell>
          <cell r="B90" t="str">
            <v>A5C</v>
          </cell>
          <cell r="C90" t="str">
            <v>RW</v>
          </cell>
          <cell r="D90" t="str">
            <v>25611</v>
          </cell>
          <cell r="E90" t="str">
            <v>PIPE</v>
          </cell>
          <cell r="F90">
            <v>1</v>
          </cell>
          <cell r="G90" t="str">
            <v>CB100508001H00</v>
          </cell>
          <cell r="H90">
            <v>1.5</v>
          </cell>
          <cell r="I90" t="str">
            <v>--</v>
          </cell>
          <cell r="J90">
            <v>7</v>
          </cell>
          <cell r="K90">
            <v>7</v>
          </cell>
        </row>
        <row r="91">
          <cell r="A91" t="str">
            <v>M1</v>
          </cell>
          <cell r="B91" t="str">
            <v>A6C</v>
          </cell>
          <cell r="C91" t="str">
            <v>HOS</v>
          </cell>
          <cell r="D91" t="str">
            <v>65611</v>
          </cell>
          <cell r="E91" t="str">
            <v>PIPE</v>
          </cell>
          <cell r="F91">
            <v>1</v>
          </cell>
          <cell r="G91" t="str">
            <v>CB100508001H00</v>
          </cell>
          <cell r="H91">
            <v>1.5</v>
          </cell>
          <cell r="I91" t="str">
            <v>--</v>
          </cell>
          <cell r="J91">
            <v>7.3</v>
          </cell>
          <cell r="K91">
            <v>7.3</v>
          </cell>
        </row>
        <row r="92">
          <cell r="A92" t="str">
            <v>M1</v>
          </cell>
          <cell r="B92" t="str">
            <v>A5C</v>
          </cell>
          <cell r="C92" t="str">
            <v>P</v>
          </cell>
          <cell r="D92" t="str">
            <v>22114</v>
          </cell>
          <cell r="E92" t="str">
            <v>PIPE</v>
          </cell>
          <cell r="F92">
            <v>1</v>
          </cell>
          <cell r="G92" t="str">
            <v>CB100508001H00</v>
          </cell>
          <cell r="H92">
            <v>1.5</v>
          </cell>
          <cell r="I92" t="str">
            <v>--</v>
          </cell>
          <cell r="J92">
            <v>7.4</v>
          </cell>
          <cell r="K92">
            <v>7.4</v>
          </cell>
        </row>
        <row r="93">
          <cell r="A93" t="str">
            <v>M1</v>
          </cell>
          <cell r="B93" t="str">
            <v>A6C</v>
          </cell>
          <cell r="C93" t="str">
            <v>HOS</v>
          </cell>
          <cell r="D93" t="str">
            <v>65623</v>
          </cell>
          <cell r="E93" t="str">
            <v>PIPE</v>
          </cell>
          <cell r="F93">
            <v>1</v>
          </cell>
          <cell r="G93" t="str">
            <v>CB100508001H00</v>
          </cell>
          <cell r="H93">
            <v>1.5</v>
          </cell>
          <cell r="I93" t="str">
            <v>--</v>
          </cell>
          <cell r="J93">
            <v>7.5</v>
          </cell>
          <cell r="K93">
            <v>7.5</v>
          </cell>
        </row>
        <row r="94">
          <cell r="A94" t="str">
            <v>M1</v>
          </cell>
          <cell r="B94" t="str">
            <v>A6C</v>
          </cell>
          <cell r="C94" t="str">
            <v>HOS</v>
          </cell>
          <cell r="D94" t="str">
            <v>65632</v>
          </cell>
          <cell r="E94" t="str">
            <v>PIPE</v>
          </cell>
          <cell r="F94">
            <v>1</v>
          </cell>
          <cell r="G94" t="str">
            <v>CB100508001H00</v>
          </cell>
          <cell r="H94">
            <v>1.5</v>
          </cell>
          <cell r="I94" t="str">
            <v>--</v>
          </cell>
          <cell r="J94">
            <v>10.5</v>
          </cell>
          <cell r="K94">
            <v>10.5</v>
          </cell>
        </row>
        <row r="95">
          <cell r="A95" t="str">
            <v>M1</v>
          </cell>
          <cell r="B95" t="str">
            <v>A5C</v>
          </cell>
          <cell r="C95" t="str">
            <v>P</v>
          </cell>
          <cell r="D95" t="str">
            <v>22109</v>
          </cell>
          <cell r="E95" t="str">
            <v>PIPE</v>
          </cell>
          <cell r="F95">
            <v>1</v>
          </cell>
          <cell r="G95" t="str">
            <v>CB100508001H00</v>
          </cell>
          <cell r="H95">
            <v>1.5</v>
          </cell>
          <cell r="I95" t="str">
            <v>--</v>
          </cell>
          <cell r="J95">
            <v>11</v>
          </cell>
          <cell r="K95">
            <v>11</v>
          </cell>
        </row>
        <row r="96">
          <cell r="A96" t="str">
            <v>M1</v>
          </cell>
          <cell r="B96" t="str">
            <v>A5C</v>
          </cell>
          <cell r="C96" t="str">
            <v>P</v>
          </cell>
          <cell r="D96" t="str">
            <v>22002</v>
          </cell>
          <cell r="E96" t="str">
            <v>PIPE</v>
          </cell>
          <cell r="F96">
            <v>1</v>
          </cell>
          <cell r="G96" t="str">
            <v>CB100508001H00</v>
          </cell>
          <cell r="H96">
            <v>1.5</v>
          </cell>
          <cell r="I96" t="str">
            <v>--</v>
          </cell>
          <cell r="J96">
            <v>13.3</v>
          </cell>
          <cell r="K96">
            <v>13.3</v>
          </cell>
        </row>
        <row r="97">
          <cell r="A97" t="str">
            <v>M1</v>
          </cell>
          <cell r="B97" t="str">
            <v>A5C</v>
          </cell>
          <cell r="C97" t="str">
            <v>P</v>
          </cell>
          <cell r="D97" t="str">
            <v>22070</v>
          </cell>
          <cell r="E97" t="str">
            <v>PIPE</v>
          </cell>
          <cell r="F97">
            <v>1</v>
          </cell>
          <cell r="G97" t="str">
            <v>CB100508001H00</v>
          </cell>
          <cell r="H97">
            <v>1.5</v>
          </cell>
          <cell r="I97" t="str">
            <v>--</v>
          </cell>
          <cell r="J97">
            <v>13.4</v>
          </cell>
          <cell r="K97">
            <v>13.4</v>
          </cell>
        </row>
        <row r="98">
          <cell r="A98" t="str">
            <v>M1</v>
          </cell>
          <cell r="B98" t="str">
            <v>A6C</v>
          </cell>
          <cell r="C98" t="str">
            <v>HOR</v>
          </cell>
          <cell r="D98" t="str">
            <v>65612</v>
          </cell>
          <cell r="E98" t="str">
            <v>PIPE</v>
          </cell>
          <cell r="F98">
            <v>1</v>
          </cell>
          <cell r="G98" t="str">
            <v>CB100508001H00</v>
          </cell>
          <cell r="H98">
            <v>1.5</v>
          </cell>
          <cell r="I98" t="str">
            <v>--</v>
          </cell>
          <cell r="J98">
            <v>13.9</v>
          </cell>
          <cell r="K98">
            <v>13.9</v>
          </cell>
        </row>
        <row r="99">
          <cell r="A99" t="str">
            <v>M1</v>
          </cell>
          <cell r="B99" t="str">
            <v>A5C</v>
          </cell>
          <cell r="C99" t="str">
            <v>P</v>
          </cell>
          <cell r="D99" t="str">
            <v>22078</v>
          </cell>
          <cell r="E99" t="str">
            <v>PIPE</v>
          </cell>
          <cell r="F99">
            <v>1</v>
          </cell>
          <cell r="G99" t="str">
            <v>CB100508001H00</v>
          </cell>
          <cell r="H99">
            <v>1.5</v>
          </cell>
          <cell r="I99" t="str">
            <v>--</v>
          </cell>
          <cell r="J99">
            <v>14</v>
          </cell>
          <cell r="K99">
            <v>14</v>
          </cell>
        </row>
        <row r="100">
          <cell r="A100" t="str">
            <v>M1</v>
          </cell>
          <cell r="B100" t="str">
            <v>A6C</v>
          </cell>
          <cell r="C100" t="str">
            <v>HOS</v>
          </cell>
          <cell r="D100" t="str">
            <v>65633</v>
          </cell>
          <cell r="E100" t="str">
            <v>PIPE</v>
          </cell>
          <cell r="F100">
            <v>1</v>
          </cell>
          <cell r="G100" t="str">
            <v>CB100508001H00</v>
          </cell>
          <cell r="H100">
            <v>1.5</v>
          </cell>
          <cell r="I100" t="str">
            <v>--</v>
          </cell>
          <cell r="J100">
            <v>14.7</v>
          </cell>
          <cell r="K100">
            <v>14.7</v>
          </cell>
        </row>
        <row r="101">
          <cell r="A101" t="str">
            <v>M1</v>
          </cell>
          <cell r="B101" t="str">
            <v>A6C</v>
          </cell>
          <cell r="C101" t="str">
            <v>HOR</v>
          </cell>
          <cell r="D101" t="str">
            <v>65612</v>
          </cell>
          <cell r="E101" t="str">
            <v>PIPE</v>
          </cell>
          <cell r="F101">
            <v>1</v>
          </cell>
          <cell r="G101" t="str">
            <v>CB100508001H00</v>
          </cell>
          <cell r="H101">
            <v>1.5</v>
          </cell>
          <cell r="I101" t="str">
            <v>--</v>
          </cell>
          <cell r="J101">
            <v>16.2</v>
          </cell>
          <cell r="K101">
            <v>16.2</v>
          </cell>
        </row>
        <row r="102">
          <cell r="A102" t="str">
            <v>M1</v>
          </cell>
          <cell r="B102" t="str">
            <v>A5C</v>
          </cell>
          <cell r="C102" t="str">
            <v>P</v>
          </cell>
          <cell r="D102" t="str">
            <v>22157</v>
          </cell>
          <cell r="E102" t="str">
            <v>PIPE</v>
          </cell>
          <cell r="F102">
            <v>1</v>
          </cell>
          <cell r="G102" t="str">
            <v>CB100508001H00</v>
          </cell>
          <cell r="H102">
            <v>1.5</v>
          </cell>
          <cell r="I102" t="str">
            <v>--</v>
          </cell>
          <cell r="J102">
            <v>17</v>
          </cell>
          <cell r="K102">
            <v>17</v>
          </cell>
        </row>
        <row r="103">
          <cell r="A103" t="str">
            <v>M1</v>
          </cell>
          <cell r="B103" t="str">
            <v>A5C</v>
          </cell>
          <cell r="C103" t="str">
            <v>P</v>
          </cell>
          <cell r="D103" t="str">
            <v>22071</v>
          </cell>
          <cell r="E103" t="str">
            <v>PIPE</v>
          </cell>
          <cell r="F103">
            <v>1</v>
          </cell>
          <cell r="G103" t="str">
            <v>CB100508001H00</v>
          </cell>
          <cell r="H103">
            <v>1.5</v>
          </cell>
          <cell r="I103" t="str">
            <v>--</v>
          </cell>
          <cell r="J103">
            <v>18.399999999999999</v>
          </cell>
          <cell r="K103">
            <v>18.399999999999999</v>
          </cell>
        </row>
        <row r="104">
          <cell r="A104" t="str">
            <v>M1</v>
          </cell>
          <cell r="B104" t="str">
            <v>A5C</v>
          </cell>
          <cell r="C104" t="str">
            <v>P</v>
          </cell>
          <cell r="D104" t="str">
            <v>22036</v>
          </cell>
          <cell r="E104" t="str">
            <v>PIPE</v>
          </cell>
          <cell r="F104">
            <v>1</v>
          </cell>
          <cell r="G104" t="str">
            <v>CB100508001H00</v>
          </cell>
          <cell r="H104">
            <v>1.5</v>
          </cell>
          <cell r="I104" t="str">
            <v>--</v>
          </cell>
          <cell r="J104">
            <v>18.5</v>
          </cell>
          <cell r="K104">
            <v>18.5</v>
          </cell>
        </row>
        <row r="105">
          <cell r="A105" t="str">
            <v>M1</v>
          </cell>
          <cell r="B105" t="str">
            <v>A5C</v>
          </cell>
          <cell r="C105" t="str">
            <v>P</v>
          </cell>
          <cell r="D105" t="str">
            <v>22102</v>
          </cell>
          <cell r="E105" t="str">
            <v>PIPE</v>
          </cell>
          <cell r="F105">
            <v>1</v>
          </cell>
          <cell r="G105" t="str">
            <v>CB100508001H00</v>
          </cell>
          <cell r="H105">
            <v>1.5</v>
          </cell>
          <cell r="I105" t="str">
            <v>--</v>
          </cell>
          <cell r="J105">
            <v>19</v>
          </cell>
          <cell r="K105">
            <v>19</v>
          </cell>
        </row>
        <row r="106">
          <cell r="A106" t="str">
            <v>M1</v>
          </cell>
          <cell r="B106" t="str">
            <v>A4C</v>
          </cell>
          <cell r="C106" t="str">
            <v>P</v>
          </cell>
          <cell r="D106" t="str">
            <v>22031</v>
          </cell>
          <cell r="E106" t="str">
            <v>PIPE</v>
          </cell>
          <cell r="F106">
            <v>1</v>
          </cell>
          <cell r="G106" t="str">
            <v>CB110508001H00</v>
          </cell>
          <cell r="H106">
            <v>1.5</v>
          </cell>
          <cell r="I106" t="str">
            <v>--</v>
          </cell>
          <cell r="J106">
            <v>21.1</v>
          </cell>
          <cell r="K106">
            <v>21.1</v>
          </cell>
        </row>
        <row r="107">
          <cell r="A107" t="str">
            <v>M1</v>
          </cell>
          <cell r="B107" t="str">
            <v>A5C</v>
          </cell>
          <cell r="C107" t="str">
            <v>P</v>
          </cell>
          <cell r="D107" t="str">
            <v>22045</v>
          </cell>
          <cell r="E107" t="str">
            <v>PIPE</v>
          </cell>
          <cell r="F107">
            <v>1</v>
          </cell>
          <cell r="G107" t="str">
            <v>CB100508001H00</v>
          </cell>
          <cell r="H107">
            <v>1.5</v>
          </cell>
          <cell r="I107" t="str">
            <v>--</v>
          </cell>
          <cell r="J107">
            <v>21.4</v>
          </cell>
          <cell r="K107">
            <v>21.4</v>
          </cell>
        </row>
        <row r="108">
          <cell r="A108" t="str">
            <v>M1</v>
          </cell>
          <cell r="B108" t="str">
            <v>A5C</v>
          </cell>
          <cell r="C108" t="str">
            <v>P</v>
          </cell>
          <cell r="D108" t="str">
            <v>22079</v>
          </cell>
          <cell r="E108" t="str">
            <v>PIPE</v>
          </cell>
          <cell r="F108">
            <v>1</v>
          </cell>
          <cell r="G108" t="str">
            <v>CB100508001H00</v>
          </cell>
          <cell r="H108">
            <v>1.5</v>
          </cell>
          <cell r="I108" t="str">
            <v>--</v>
          </cell>
          <cell r="J108">
            <v>21.6</v>
          </cell>
          <cell r="K108">
            <v>21.6</v>
          </cell>
        </row>
        <row r="109">
          <cell r="A109" t="str">
            <v>M1</v>
          </cell>
          <cell r="B109" t="str">
            <v>A5C</v>
          </cell>
          <cell r="C109" t="str">
            <v>P</v>
          </cell>
          <cell r="D109" t="str">
            <v>22111</v>
          </cell>
          <cell r="E109" t="str">
            <v>PIPE</v>
          </cell>
          <cell r="F109">
            <v>1</v>
          </cell>
          <cell r="G109" t="str">
            <v>CB100508001H00</v>
          </cell>
          <cell r="H109">
            <v>1.5</v>
          </cell>
          <cell r="I109" t="str">
            <v>--</v>
          </cell>
          <cell r="J109">
            <v>24.8</v>
          </cell>
          <cell r="K109">
            <v>24.8</v>
          </cell>
        </row>
        <row r="110">
          <cell r="A110" t="str">
            <v>M1</v>
          </cell>
          <cell r="B110" t="str">
            <v>A6C</v>
          </cell>
          <cell r="C110" t="str">
            <v>HOS</v>
          </cell>
          <cell r="D110" t="str">
            <v>65633</v>
          </cell>
          <cell r="E110" t="str">
            <v>PIPE</v>
          </cell>
          <cell r="F110">
            <v>1</v>
          </cell>
          <cell r="G110" t="str">
            <v>CB100508001H00</v>
          </cell>
          <cell r="H110">
            <v>1.5</v>
          </cell>
          <cell r="I110" t="str">
            <v>--</v>
          </cell>
          <cell r="J110">
            <v>32.299999999999997</v>
          </cell>
          <cell r="K110">
            <v>32.299999999999997</v>
          </cell>
        </row>
        <row r="111">
          <cell r="A111" t="str">
            <v>M1</v>
          </cell>
          <cell r="B111" t="str">
            <v>A5C</v>
          </cell>
          <cell r="C111" t="str">
            <v>P</v>
          </cell>
          <cell r="D111" t="str">
            <v>22102</v>
          </cell>
          <cell r="E111" t="str">
            <v>PIPE</v>
          </cell>
          <cell r="F111">
            <v>1</v>
          </cell>
          <cell r="G111" t="str">
            <v>CB100508001H00</v>
          </cell>
          <cell r="H111">
            <v>1.5</v>
          </cell>
          <cell r="I111" t="str">
            <v>--</v>
          </cell>
          <cell r="J111">
            <v>33</v>
          </cell>
          <cell r="K111">
            <v>33</v>
          </cell>
        </row>
        <row r="112">
          <cell r="A112" t="str">
            <v>M1</v>
          </cell>
          <cell r="B112" t="str">
            <v>A5C</v>
          </cell>
          <cell r="C112" t="str">
            <v>P</v>
          </cell>
          <cell r="D112" t="str">
            <v>22108</v>
          </cell>
          <cell r="E112" t="str">
            <v>PIPE</v>
          </cell>
          <cell r="F112">
            <v>1</v>
          </cell>
          <cell r="G112" t="str">
            <v>CB100508001H00</v>
          </cell>
          <cell r="H112">
            <v>1.5</v>
          </cell>
          <cell r="I112" t="str">
            <v>--</v>
          </cell>
          <cell r="J112">
            <v>33.299999999999997</v>
          </cell>
          <cell r="K112">
            <v>33.299999999999997</v>
          </cell>
        </row>
        <row r="113">
          <cell r="A113" t="str">
            <v>M1</v>
          </cell>
          <cell r="B113" t="str">
            <v>A5C</v>
          </cell>
          <cell r="C113" t="str">
            <v>P</v>
          </cell>
          <cell r="D113" t="str">
            <v>22104</v>
          </cell>
          <cell r="E113" t="str">
            <v>PIPE</v>
          </cell>
          <cell r="F113">
            <v>1</v>
          </cell>
          <cell r="G113" t="str">
            <v>CB100508001H00</v>
          </cell>
          <cell r="H113">
            <v>1.5</v>
          </cell>
          <cell r="I113" t="str">
            <v>--</v>
          </cell>
          <cell r="J113">
            <v>36</v>
          </cell>
          <cell r="K113">
            <v>36</v>
          </cell>
        </row>
        <row r="114">
          <cell r="A114" t="str">
            <v>M1</v>
          </cell>
          <cell r="B114" t="str">
            <v>A5C</v>
          </cell>
          <cell r="C114" t="str">
            <v>P</v>
          </cell>
          <cell r="D114" t="str">
            <v>22071</v>
          </cell>
          <cell r="E114" t="str">
            <v>PIPE</v>
          </cell>
          <cell r="F114">
            <v>1</v>
          </cell>
          <cell r="G114" t="str">
            <v>CB100508001H00</v>
          </cell>
          <cell r="H114">
            <v>1.5</v>
          </cell>
          <cell r="I114" t="str">
            <v>--</v>
          </cell>
          <cell r="J114">
            <v>38</v>
          </cell>
          <cell r="K114">
            <v>38</v>
          </cell>
        </row>
        <row r="115">
          <cell r="A115" t="str">
            <v>M1</v>
          </cell>
          <cell r="B115" t="str">
            <v>A5C</v>
          </cell>
          <cell r="C115" t="str">
            <v>P</v>
          </cell>
          <cell r="D115" t="str">
            <v>22069</v>
          </cell>
          <cell r="E115" t="str">
            <v>PIPE</v>
          </cell>
          <cell r="F115">
            <v>1</v>
          </cell>
          <cell r="G115" t="str">
            <v>CB100408000200</v>
          </cell>
          <cell r="H115">
            <v>2</v>
          </cell>
          <cell r="I115" t="str">
            <v>--</v>
          </cell>
          <cell r="J115">
            <v>0.5</v>
          </cell>
          <cell r="K115">
            <v>0.6</v>
          </cell>
        </row>
        <row r="116">
          <cell r="A116" t="str">
            <v>M1</v>
          </cell>
          <cell r="B116" t="str">
            <v>B2C</v>
          </cell>
          <cell r="C116" t="str">
            <v>CWR</v>
          </cell>
          <cell r="D116" t="str">
            <v>22620</v>
          </cell>
          <cell r="E116" t="str">
            <v>PIPE</v>
          </cell>
          <cell r="F116">
            <v>1</v>
          </cell>
          <cell r="G116" t="str">
            <v>CB100408000200</v>
          </cell>
          <cell r="H116">
            <v>2</v>
          </cell>
          <cell r="I116" t="str">
            <v>--</v>
          </cell>
          <cell r="J116">
            <v>1</v>
          </cell>
          <cell r="K116">
            <v>1.1000000000000001</v>
          </cell>
        </row>
        <row r="117">
          <cell r="A117" t="str">
            <v>M1</v>
          </cell>
          <cell r="B117" t="str">
            <v>B2C</v>
          </cell>
          <cell r="C117" t="str">
            <v>CWR</v>
          </cell>
          <cell r="D117" t="str">
            <v>22619</v>
          </cell>
          <cell r="E117" t="str">
            <v>PIPE</v>
          </cell>
          <cell r="F117">
            <v>1</v>
          </cell>
          <cell r="G117" t="str">
            <v>CB100408000200</v>
          </cell>
          <cell r="H117">
            <v>2</v>
          </cell>
          <cell r="I117" t="str">
            <v>--</v>
          </cell>
          <cell r="J117">
            <v>1</v>
          </cell>
          <cell r="K117">
            <v>1.1000000000000001</v>
          </cell>
        </row>
        <row r="118">
          <cell r="A118" t="str">
            <v>M1</v>
          </cell>
          <cell r="B118" t="str">
            <v>A5C</v>
          </cell>
          <cell r="C118" t="str">
            <v>P</v>
          </cell>
          <cell r="D118" t="str">
            <v>22153</v>
          </cell>
          <cell r="E118" t="str">
            <v>PIPE</v>
          </cell>
          <cell r="F118">
            <v>1</v>
          </cell>
          <cell r="G118" t="str">
            <v>CB100408000200</v>
          </cell>
          <cell r="H118">
            <v>2</v>
          </cell>
          <cell r="I118" t="str">
            <v>--</v>
          </cell>
          <cell r="J118">
            <v>1</v>
          </cell>
          <cell r="K118">
            <v>1.1000000000000001</v>
          </cell>
        </row>
        <row r="119">
          <cell r="A119" t="str">
            <v>M1</v>
          </cell>
          <cell r="B119" t="str">
            <v>A5C</v>
          </cell>
          <cell r="C119" t="str">
            <v>TRIM</v>
          </cell>
          <cell r="D119" t="str">
            <v>F-2213A</v>
          </cell>
          <cell r="E119" t="str">
            <v>PIPE</v>
          </cell>
          <cell r="F119">
            <v>1</v>
          </cell>
          <cell r="G119" t="str">
            <v>CB100408000200</v>
          </cell>
          <cell r="H119">
            <v>2</v>
          </cell>
          <cell r="I119" t="str">
            <v>--</v>
          </cell>
          <cell r="J119">
            <v>1</v>
          </cell>
          <cell r="K119">
            <v>1.1000000000000001</v>
          </cell>
        </row>
        <row r="120">
          <cell r="A120" t="str">
            <v>M1</v>
          </cell>
          <cell r="B120" t="str">
            <v>A5C</v>
          </cell>
          <cell r="C120" t="str">
            <v>TRIM</v>
          </cell>
          <cell r="D120" t="str">
            <v>F-2213B</v>
          </cell>
          <cell r="E120" t="str">
            <v>PIPE</v>
          </cell>
          <cell r="F120">
            <v>1</v>
          </cell>
          <cell r="G120" t="str">
            <v>CB100408000200</v>
          </cell>
          <cell r="H120">
            <v>2</v>
          </cell>
          <cell r="I120" t="str">
            <v>--</v>
          </cell>
          <cell r="J120">
            <v>1</v>
          </cell>
          <cell r="K120">
            <v>1.1000000000000001</v>
          </cell>
        </row>
        <row r="121">
          <cell r="A121" t="str">
            <v>M1</v>
          </cell>
          <cell r="B121" t="str">
            <v>A5C</v>
          </cell>
          <cell r="C121" t="str">
            <v>COMP</v>
          </cell>
          <cell r="D121" t="str">
            <v>005</v>
          </cell>
          <cell r="E121" t="str">
            <v>PIPE</v>
          </cell>
          <cell r="F121">
            <v>1</v>
          </cell>
          <cell r="G121" t="str">
            <v>CB100408000200</v>
          </cell>
          <cell r="H121">
            <v>2</v>
          </cell>
          <cell r="I121" t="str">
            <v>--</v>
          </cell>
          <cell r="J121">
            <v>1.5</v>
          </cell>
          <cell r="K121">
            <v>1.7</v>
          </cell>
        </row>
        <row r="122">
          <cell r="A122" t="str">
            <v>M1</v>
          </cell>
          <cell r="B122" t="str">
            <v>B2C</v>
          </cell>
          <cell r="C122" t="str">
            <v>TRIM</v>
          </cell>
          <cell r="D122" t="str">
            <v>V-2218</v>
          </cell>
          <cell r="E122" t="str">
            <v>PIPE</v>
          </cell>
          <cell r="F122">
            <v>1</v>
          </cell>
          <cell r="G122" t="str">
            <v>CB100408000200</v>
          </cell>
          <cell r="H122">
            <v>2</v>
          </cell>
          <cell r="I122" t="str">
            <v>--</v>
          </cell>
          <cell r="J122">
            <v>1.6</v>
          </cell>
          <cell r="K122">
            <v>1.8</v>
          </cell>
        </row>
        <row r="123">
          <cell r="A123" t="str">
            <v>M1</v>
          </cell>
          <cell r="B123" t="str">
            <v>A5C</v>
          </cell>
          <cell r="C123" t="str">
            <v>TRIM</v>
          </cell>
          <cell r="D123" t="str">
            <v>C-2201</v>
          </cell>
          <cell r="E123" t="str">
            <v>PIPE</v>
          </cell>
          <cell r="F123">
            <v>1</v>
          </cell>
          <cell r="G123" t="str">
            <v>CB100408000200</v>
          </cell>
          <cell r="H123">
            <v>2</v>
          </cell>
          <cell r="I123" t="str">
            <v>--</v>
          </cell>
          <cell r="J123">
            <v>1.6</v>
          </cell>
          <cell r="K123">
            <v>1.8</v>
          </cell>
        </row>
        <row r="124">
          <cell r="A124" t="str">
            <v>M1</v>
          </cell>
          <cell r="B124" t="str">
            <v>A5C</v>
          </cell>
          <cell r="C124" t="str">
            <v>P</v>
          </cell>
          <cell r="D124" t="str">
            <v>22096</v>
          </cell>
          <cell r="E124" t="str">
            <v>PIPE</v>
          </cell>
          <cell r="F124">
            <v>1</v>
          </cell>
          <cell r="G124" t="str">
            <v>CB100408000200</v>
          </cell>
          <cell r="H124">
            <v>2</v>
          </cell>
          <cell r="I124" t="str">
            <v>--</v>
          </cell>
          <cell r="J124">
            <v>2.7</v>
          </cell>
          <cell r="K124">
            <v>3</v>
          </cell>
        </row>
        <row r="125">
          <cell r="A125" t="str">
            <v>M1</v>
          </cell>
          <cell r="B125" t="str">
            <v>A5C</v>
          </cell>
          <cell r="C125" t="str">
            <v>P</v>
          </cell>
          <cell r="D125" t="str">
            <v>22004</v>
          </cell>
          <cell r="E125" t="str">
            <v>PIPE</v>
          </cell>
          <cell r="F125">
            <v>1</v>
          </cell>
          <cell r="G125" t="str">
            <v>CB100408000200</v>
          </cell>
          <cell r="H125">
            <v>2</v>
          </cell>
          <cell r="I125" t="str">
            <v>--</v>
          </cell>
          <cell r="J125">
            <v>3</v>
          </cell>
          <cell r="K125">
            <v>3.3</v>
          </cell>
        </row>
        <row r="126">
          <cell r="A126" t="str">
            <v>M1</v>
          </cell>
          <cell r="B126" t="str">
            <v>A6C</v>
          </cell>
          <cell r="C126" t="str">
            <v>TRIM</v>
          </cell>
          <cell r="D126" t="str">
            <v>V-6501</v>
          </cell>
          <cell r="E126" t="str">
            <v>PIPE</v>
          </cell>
          <cell r="F126">
            <v>1</v>
          </cell>
          <cell r="G126" t="str">
            <v>CB100408000200</v>
          </cell>
          <cell r="H126">
            <v>2</v>
          </cell>
          <cell r="I126" t="str">
            <v>--</v>
          </cell>
          <cell r="J126">
            <v>3</v>
          </cell>
          <cell r="K126">
            <v>3.3</v>
          </cell>
        </row>
        <row r="127">
          <cell r="A127" t="str">
            <v>M1</v>
          </cell>
          <cell r="B127" t="str">
            <v>A5C</v>
          </cell>
          <cell r="C127" t="str">
            <v>P</v>
          </cell>
          <cell r="D127" t="str">
            <v>22097</v>
          </cell>
          <cell r="E127" t="str">
            <v>PIPE</v>
          </cell>
          <cell r="F127">
            <v>1</v>
          </cell>
          <cell r="G127" t="str">
            <v>CB100408000200</v>
          </cell>
          <cell r="H127">
            <v>2</v>
          </cell>
          <cell r="I127" t="str">
            <v>--</v>
          </cell>
          <cell r="J127">
            <v>3.3</v>
          </cell>
          <cell r="K127">
            <v>3.7</v>
          </cell>
        </row>
        <row r="128">
          <cell r="A128" t="str">
            <v>M1</v>
          </cell>
          <cell r="B128" t="str">
            <v>A5C</v>
          </cell>
          <cell r="C128" t="str">
            <v>P</v>
          </cell>
          <cell r="D128" t="str">
            <v>22115</v>
          </cell>
          <cell r="E128" t="str">
            <v>PIPE</v>
          </cell>
          <cell r="F128">
            <v>1</v>
          </cell>
          <cell r="G128" t="str">
            <v>CB100408000200</v>
          </cell>
          <cell r="H128">
            <v>2</v>
          </cell>
          <cell r="I128" t="str">
            <v>--</v>
          </cell>
          <cell r="J128">
            <v>3.5</v>
          </cell>
          <cell r="K128">
            <v>3.9</v>
          </cell>
        </row>
        <row r="129">
          <cell r="A129" t="str">
            <v>M1</v>
          </cell>
          <cell r="B129" t="str">
            <v>A5C</v>
          </cell>
          <cell r="C129" t="str">
            <v>P</v>
          </cell>
          <cell r="D129" t="str">
            <v>22101</v>
          </cell>
          <cell r="E129" t="str">
            <v>PIPE</v>
          </cell>
          <cell r="F129">
            <v>1</v>
          </cell>
          <cell r="G129" t="str">
            <v>CB100408000200</v>
          </cell>
          <cell r="H129">
            <v>2</v>
          </cell>
          <cell r="I129" t="str">
            <v>--</v>
          </cell>
          <cell r="J129">
            <v>4.8</v>
          </cell>
          <cell r="K129">
            <v>5.3</v>
          </cell>
        </row>
        <row r="130">
          <cell r="A130" t="str">
            <v>M1</v>
          </cell>
          <cell r="B130" t="str">
            <v>A5C</v>
          </cell>
          <cell r="C130" t="str">
            <v>P</v>
          </cell>
          <cell r="D130" t="str">
            <v>22100</v>
          </cell>
          <cell r="E130" t="str">
            <v>PIPE</v>
          </cell>
          <cell r="F130">
            <v>1</v>
          </cell>
          <cell r="G130" t="str">
            <v>CB100408000200</v>
          </cell>
          <cell r="H130">
            <v>2</v>
          </cell>
          <cell r="I130" t="str">
            <v>--</v>
          </cell>
          <cell r="J130">
            <v>4.8</v>
          </cell>
          <cell r="K130">
            <v>5.3</v>
          </cell>
        </row>
        <row r="131">
          <cell r="A131" t="str">
            <v>M1</v>
          </cell>
          <cell r="B131" t="str">
            <v>A5C</v>
          </cell>
          <cell r="C131" t="str">
            <v>N</v>
          </cell>
          <cell r="D131" t="str">
            <v>25611</v>
          </cell>
          <cell r="E131" t="str">
            <v>PIPE</v>
          </cell>
          <cell r="F131">
            <v>1</v>
          </cell>
          <cell r="G131" t="str">
            <v>CB100408000200</v>
          </cell>
          <cell r="H131">
            <v>2</v>
          </cell>
          <cell r="I131" t="str">
            <v>--</v>
          </cell>
          <cell r="J131">
            <v>5</v>
          </cell>
          <cell r="K131">
            <v>5.5</v>
          </cell>
        </row>
        <row r="132">
          <cell r="A132" t="str">
            <v>M1</v>
          </cell>
          <cell r="B132" t="str">
            <v>A5C</v>
          </cell>
          <cell r="C132" t="str">
            <v>P</v>
          </cell>
          <cell r="D132" t="str">
            <v>22117</v>
          </cell>
          <cell r="E132" t="str">
            <v>PIPE</v>
          </cell>
          <cell r="F132">
            <v>1</v>
          </cell>
          <cell r="G132" t="str">
            <v>CB100408000200</v>
          </cell>
          <cell r="H132">
            <v>2</v>
          </cell>
          <cell r="I132" t="str">
            <v>--</v>
          </cell>
          <cell r="J132">
            <v>5</v>
          </cell>
          <cell r="K132">
            <v>5.5</v>
          </cell>
        </row>
        <row r="133">
          <cell r="A133" t="str">
            <v>M1</v>
          </cell>
          <cell r="B133" t="str">
            <v>A5C</v>
          </cell>
          <cell r="C133" t="str">
            <v>P</v>
          </cell>
          <cell r="D133" t="str">
            <v>22130</v>
          </cell>
          <cell r="E133" t="str">
            <v>PIPE</v>
          </cell>
          <cell r="F133">
            <v>1</v>
          </cell>
          <cell r="G133" t="str">
            <v>CB100408000200</v>
          </cell>
          <cell r="H133">
            <v>2</v>
          </cell>
          <cell r="I133" t="str">
            <v>--</v>
          </cell>
          <cell r="J133">
            <v>5</v>
          </cell>
          <cell r="K133">
            <v>5.5</v>
          </cell>
        </row>
        <row r="134">
          <cell r="A134" t="str">
            <v>M1</v>
          </cell>
          <cell r="B134" t="str">
            <v>A5C</v>
          </cell>
          <cell r="C134" t="str">
            <v>P</v>
          </cell>
          <cell r="D134" t="str">
            <v>22140</v>
          </cell>
          <cell r="E134" t="str">
            <v>PIPE</v>
          </cell>
          <cell r="F134">
            <v>1</v>
          </cell>
          <cell r="G134" t="str">
            <v>CB100408000200</v>
          </cell>
          <cell r="H134">
            <v>2</v>
          </cell>
          <cell r="I134" t="str">
            <v>--</v>
          </cell>
          <cell r="J134">
            <v>5</v>
          </cell>
          <cell r="K134">
            <v>5.5</v>
          </cell>
        </row>
        <row r="135">
          <cell r="A135" t="str">
            <v>M1</v>
          </cell>
          <cell r="B135" t="str">
            <v>B2C</v>
          </cell>
          <cell r="C135" t="str">
            <v>SH</v>
          </cell>
          <cell r="D135" t="str">
            <v>22611</v>
          </cell>
          <cell r="E135" t="str">
            <v>PIPE</v>
          </cell>
          <cell r="F135">
            <v>1</v>
          </cell>
          <cell r="G135" t="str">
            <v>CB100408000200</v>
          </cell>
          <cell r="H135">
            <v>2</v>
          </cell>
          <cell r="I135" t="str">
            <v>--</v>
          </cell>
          <cell r="J135">
            <v>6.5</v>
          </cell>
          <cell r="K135">
            <v>7.2</v>
          </cell>
        </row>
        <row r="136">
          <cell r="A136" t="str">
            <v>M1</v>
          </cell>
          <cell r="B136" t="str">
            <v>A5C</v>
          </cell>
          <cell r="C136" t="str">
            <v>P</v>
          </cell>
          <cell r="D136" t="str">
            <v>22110</v>
          </cell>
          <cell r="E136" t="str">
            <v>PIPE</v>
          </cell>
          <cell r="F136">
            <v>1</v>
          </cell>
          <cell r="G136" t="str">
            <v>CB100408000200</v>
          </cell>
          <cell r="H136">
            <v>2</v>
          </cell>
          <cell r="I136" t="str">
            <v>--</v>
          </cell>
          <cell r="J136">
            <v>7.2</v>
          </cell>
          <cell r="K136">
            <v>8</v>
          </cell>
        </row>
        <row r="137">
          <cell r="A137" t="str">
            <v>M1</v>
          </cell>
          <cell r="B137" t="str">
            <v>B2C</v>
          </cell>
          <cell r="C137" t="str">
            <v>SH</v>
          </cell>
          <cell r="D137" t="str">
            <v>22611</v>
          </cell>
          <cell r="E137" t="str">
            <v>PIPE</v>
          </cell>
          <cell r="F137">
            <v>1</v>
          </cell>
          <cell r="G137" t="str">
            <v>CB100408000200</v>
          </cell>
          <cell r="H137">
            <v>2</v>
          </cell>
          <cell r="I137" t="str">
            <v>--</v>
          </cell>
          <cell r="J137">
            <v>8.5</v>
          </cell>
          <cell r="K137">
            <v>9.4</v>
          </cell>
        </row>
        <row r="138">
          <cell r="A138" t="str">
            <v>M1</v>
          </cell>
          <cell r="B138" t="str">
            <v>A5C</v>
          </cell>
          <cell r="C138" t="str">
            <v>P</v>
          </cell>
          <cell r="D138" t="str">
            <v>22066</v>
          </cell>
          <cell r="E138" t="str">
            <v>PIPE</v>
          </cell>
          <cell r="F138">
            <v>1</v>
          </cell>
          <cell r="G138" t="str">
            <v>CB100408000200</v>
          </cell>
          <cell r="H138">
            <v>2</v>
          </cell>
          <cell r="I138" t="str">
            <v>--</v>
          </cell>
          <cell r="J138">
            <v>9.1999999999999993</v>
          </cell>
          <cell r="K138">
            <v>10.199999999999999</v>
          </cell>
        </row>
        <row r="139">
          <cell r="A139" t="str">
            <v>M1</v>
          </cell>
          <cell r="B139" t="str">
            <v>A5C</v>
          </cell>
          <cell r="C139" t="str">
            <v>P</v>
          </cell>
          <cell r="D139" t="str">
            <v>22068</v>
          </cell>
          <cell r="E139" t="str">
            <v>PIPE</v>
          </cell>
          <cell r="F139">
            <v>1</v>
          </cell>
          <cell r="G139" t="str">
            <v>CB100408000200</v>
          </cell>
          <cell r="H139">
            <v>2</v>
          </cell>
          <cell r="I139" t="str">
            <v>--</v>
          </cell>
          <cell r="J139">
            <v>9.6</v>
          </cell>
          <cell r="K139">
            <v>10.6</v>
          </cell>
        </row>
        <row r="140">
          <cell r="A140" t="str">
            <v>M1</v>
          </cell>
          <cell r="B140" t="str">
            <v>B2C</v>
          </cell>
          <cell r="C140" t="str">
            <v>SH</v>
          </cell>
          <cell r="D140" t="str">
            <v>22613</v>
          </cell>
          <cell r="E140" t="str">
            <v>PIPE</v>
          </cell>
          <cell r="F140">
            <v>1</v>
          </cell>
          <cell r="G140" t="str">
            <v>CB100408000200</v>
          </cell>
          <cell r="H140">
            <v>2</v>
          </cell>
          <cell r="I140" t="str">
            <v>--</v>
          </cell>
          <cell r="J140">
            <v>13.4</v>
          </cell>
          <cell r="K140">
            <v>14.8</v>
          </cell>
        </row>
        <row r="141">
          <cell r="A141" t="str">
            <v>M1</v>
          </cell>
          <cell r="B141" t="str">
            <v>A5C</v>
          </cell>
          <cell r="C141" t="str">
            <v>P</v>
          </cell>
          <cell r="D141" t="str">
            <v>21006</v>
          </cell>
          <cell r="E141" t="str">
            <v>PIPE</v>
          </cell>
          <cell r="F141">
            <v>1</v>
          </cell>
          <cell r="G141" t="str">
            <v>CB100408000200</v>
          </cell>
          <cell r="H141">
            <v>2</v>
          </cell>
          <cell r="I141" t="str">
            <v>--</v>
          </cell>
          <cell r="J141">
            <v>14</v>
          </cell>
          <cell r="K141">
            <v>15.4</v>
          </cell>
        </row>
        <row r="142">
          <cell r="A142" t="str">
            <v>M1</v>
          </cell>
          <cell r="B142" t="str">
            <v>B2C</v>
          </cell>
          <cell r="C142" t="str">
            <v>SH</v>
          </cell>
          <cell r="D142" t="str">
            <v>22614</v>
          </cell>
          <cell r="E142" t="str">
            <v>PIPE</v>
          </cell>
          <cell r="F142">
            <v>1</v>
          </cell>
          <cell r="G142" t="str">
            <v>CB100408000200</v>
          </cell>
          <cell r="H142">
            <v>2</v>
          </cell>
          <cell r="I142" t="str">
            <v>--</v>
          </cell>
          <cell r="J142">
            <v>15.3</v>
          </cell>
          <cell r="K142">
            <v>16.899999999999999</v>
          </cell>
        </row>
        <row r="143">
          <cell r="A143" t="str">
            <v>M1</v>
          </cell>
          <cell r="B143" t="str">
            <v>A5C</v>
          </cell>
          <cell r="C143" t="str">
            <v>P</v>
          </cell>
          <cell r="D143" t="str">
            <v>22004</v>
          </cell>
          <cell r="E143" t="str">
            <v>PIPE</v>
          </cell>
          <cell r="F143">
            <v>1</v>
          </cell>
          <cell r="G143" t="str">
            <v>CB100408000200</v>
          </cell>
          <cell r="H143">
            <v>2</v>
          </cell>
          <cell r="I143" t="str">
            <v>--</v>
          </cell>
          <cell r="J143">
            <v>16.899999999999999</v>
          </cell>
          <cell r="K143">
            <v>18.600000000000001</v>
          </cell>
        </row>
        <row r="144">
          <cell r="A144" t="str">
            <v>M1</v>
          </cell>
          <cell r="B144" t="str">
            <v>A5C</v>
          </cell>
          <cell r="C144" t="str">
            <v>P</v>
          </cell>
          <cell r="D144" t="str">
            <v>22004</v>
          </cell>
          <cell r="E144" t="str">
            <v>PIPE</v>
          </cell>
          <cell r="F144">
            <v>1</v>
          </cell>
          <cell r="G144" t="str">
            <v>CB100408000200</v>
          </cell>
          <cell r="H144">
            <v>2</v>
          </cell>
          <cell r="I144" t="str">
            <v>--</v>
          </cell>
          <cell r="J144">
            <v>17.899999999999999</v>
          </cell>
          <cell r="K144">
            <v>19.7</v>
          </cell>
        </row>
        <row r="145">
          <cell r="A145" t="str">
            <v>M1</v>
          </cell>
          <cell r="B145" t="str">
            <v>A5C</v>
          </cell>
          <cell r="C145" t="str">
            <v>N</v>
          </cell>
          <cell r="D145" t="str">
            <v>25617</v>
          </cell>
          <cell r="E145" t="str">
            <v>PIPE</v>
          </cell>
          <cell r="F145">
            <v>1</v>
          </cell>
          <cell r="G145" t="str">
            <v>CB100408000200</v>
          </cell>
          <cell r="H145">
            <v>2</v>
          </cell>
          <cell r="I145" t="str">
            <v>--</v>
          </cell>
          <cell r="J145">
            <v>18</v>
          </cell>
          <cell r="K145">
            <v>19.8</v>
          </cell>
        </row>
        <row r="146">
          <cell r="A146" t="str">
            <v>M1</v>
          </cell>
          <cell r="B146" t="str">
            <v>B2C</v>
          </cell>
          <cell r="C146" t="str">
            <v>SH</v>
          </cell>
          <cell r="D146" t="str">
            <v>22612</v>
          </cell>
          <cell r="E146" t="str">
            <v>PIPE</v>
          </cell>
          <cell r="F146">
            <v>1</v>
          </cell>
          <cell r="G146" t="str">
            <v>CB100408000200</v>
          </cell>
          <cell r="H146">
            <v>2</v>
          </cell>
          <cell r="I146" t="str">
            <v>--</v>
          </cell>
          <cell r="J146">
            <v>27.7</v>
          </cell>
          <cell r="K146">
            <v>30.5</v>
          </cell>
        </row>
        <row r="147">
          <cell r="A147" t="str">
            <v>M1</v>
          </cell>
          <cell r="B147" t="str">
            <v>A6C</v>
          </cell>
          <cell r="C147" t="str">
            <v>HOS</v>
          </cell>
          <cell r="D147" t="str">
            <v>65624</v>
          </cell>
          <cell r="E147" t="str">
            <v>PIPE</v>
          </cell>
          <cell r="F147">
            <v>1</v>
          </cell>
          <cell r="G147" t="str">
            <v>CB100408000200</v>
          </cell>
          <cell r="H147">
            <v>2</v>
          </cell>
          <cell r="I147" t="str">
            <v>--</v>
          </cell>
          <cell r="J147">
            <v>28</v>
          </cell>
          <cell r="K147">
            <v>30.8</v>
          </cell>
        </row>
        <row r="148">
          <cell r="A148" t="str">
            <v>M1</v>
          </cell>
          <cell r="B148" t="str">
            <v>A6C</v>
          </cell>
          <cell r="C148" t="str">
            <v>HOS</v>
          </cell>
          <cell r="D148" t="str">
            <v>65624</v>
          </cell>
          <cell r="E148" t="str">
            <v>PIPE</v>
          </cell>
          <cell r="F148">
            <v>1</v>
          </cell>
          <cell r="G148" t="str">
            <v>CB100408000200</v>
          </cell>
          <cell r="H148">
            <v>2</v>
          </cell>
          <cell r="I148" t="str">
            <v>--</v>
          </cell>
          <cell r="J148">
            <v>28</v>
          </cell>
          <cell r="K148">
            <v>30.8</v>
          </cell>
        </row>
        <row r="149">
          <cell r="A149" t="str">
            <v>M1</v>
          </cell>
          <cell r="B149" t="str">
            <v>A6C</v>
          </cell>
          <cell r="C149" t="str">
            <v>HOR</v>
          </cell>
          <cell r="D149" t="str">
            <v>65611</v>
          </cell>
          <cell r="E149" t="str">
            <v>PIPE</v>
          </cell>
          <cell r="F149">
            <v>1</v>
          </cell>
          <cell r="G149" t="str">
            <v>CB100408000200</v>
          </cell>
          <cell r="H149">
            <v>2</v>
          </cell>
          <cell r="I149" t="str">
            <v>--</v>
          </cell>
          <cell r="J149">
            <v>28</v>
          </cell>
          <cell r="K149">
            <v>30.8</v>
          </cell>
        </row>
        <row r="150">
          <cell r="A150" t="str">
            <v>M1</v>
          </cell>
          <cell r="B150" t="str">
            <v>A6C</v>
          </cell>
          <cell r="C150" t="str">
            <v>HOR</v>
          </cell>
          <cell r="D150" t="str">
            <v>65611</v>
          </cell>
          <cell r="E150" t="str">
            <v>PIPE</v>
          </cell>
          <cell r="F150">
            <v>1</v>
          </cell>
          <cell r="G150" t="str">
            <v>CB100408000200</v>
          </cell>
          <cell r="H150">
            <v>2</v>
          </cell>
          <cell r="I150" t="str">
            <v>--</v>
          </cell>
          <cell r="J150">
            <v>28</v>
          </cell>
          <cell r="K150">
            <v>30.8</v>
          </cell>
        </row>
        <row r="151">
          <cell r="A151" t="str">
            <v>M1</v>
          </cell>
          <cell r="B151" t="str">
            <v>A6C</v>
          </cell>
          <cell r="C151" t="str">
            <v>HOS</v>
          </cell>
          <cell r="D151" t="str">
            <v>65620</v>
          </cell>
          <cell r="E151" t="str">
            <v>PIPE</v>
          </cell>
          <cell r="F151">
            <v>1</v>
          </cell>
          <cell r="G151" t="str">
            <v>CB100408000200</v>
          </cell>
          <cell r="H151">
            <v>2</v>
          </cell>
          <cell r="I151" t="str">
            <v>--</v>
          </cell>
          <cell r="J151">
            <v>29.9</v>
          </cell>
          <cell r="K151">
            <v>32.9</v>
          </cell>
        </row>
        <row r="152">
          <cell r="A152" t="str">
            <v>M1</v>
          </cell>
          <cell r="B152" t="str">
            <v>CA304</v>
          </cell>
          <cell r="C152" t="str">
            <v>MC</v>
          </cell>
          <cell r="D152" t="str">
            <v>12014</v>
          </cell>
          <cell r="E152" t="str">
            <v>PIPE</v>
          </cell>
          <cell r="F152">
            <v>1</v>
          </cell>
          <cell r="G152" t="str">
            <v>CB100405000200</v>
          </cell>
          <cell r="H152">
            <v>2</v>
          </cell>
          <cell r="I152" t="str">
            <v>--</v>
          </cell>
          <cell r="J152">
            <v>49.5</v>
          </cell>
          <cell r="K152">
            <v>54.5</v>
          </cell>
        </row>
        <row r="153">
          <cell r="A153" t="str">
            <v>M1</v>
          </cell>
          <cell r="B153" t="str">
            <v>A5C</v>
          </cell>
          <cell r="C153" t="str">
            <v>P</v>
          </cell>
          <cell r="D153" t="str">
            <v>22062</v>
          </cell>
          <cell r="E153" t="str">
            <v>PIPE</v>
          </cell>
          <cell r="F153">
            <v>1</v>
          </cell>
          <cell r="G153" t="str">
            <v>CB100404000300</v>
          </cell>
          <cell r="H153">
            <v>3</v>
          </cell>
          <cell r="I153" t="str">
            <v>--</v>
          </cell>
          <cell r="J153">
            <v>0.1</v>
          </cell>
          <cell r="K153">
            <v>0.2</v>
          </cell>
        </row>
        <row r="154">
          <cell r="A154" t="str">
            <v>M1</v>
          </cell>
          <cell r="B154" t="str">
            <v>A5C</v>
          </cell>
          <cell r="C154" t="str">
            <v>P</v>
          </cell>
          <cell r="D154" t="str">
            <v>22073</v>
          </cell>
          <cell r="E154" t="str">
            <v>PIPE</v>
          </cell>
          <cell r="F154">
            <v>1</v>
          </cell>
          <cell r="G154" t="str">
            <v>CB100404000300</v>
          </cell>
          <cell r="H154">
            <v>3</v>
          </cell>
          <cell r="I154" t="str">
            <v>--</v>
          </cell>
          <cell r="J154">
            <v>0.1</v>
          </cell>
          <cell r="K154">
            <v>0.2</v>
          </cell>
        </row>
        <row r="155">
          <cell r="A155" t="str">
            <v>M1</v>
          </cell>
          <cell r="B155" t="str">
            <v>B2C</v>
          </cell>
          <cell r="C155" t="str">
            <v>SH</v>
          </cell>
          <cell r="D155" t="str">
            <v>22612</v>
          </cell>
          <cell r="E155" t="str">
            <v>PIPE</v>
          </cell>
          <cell r="F155">
            <v>1</v>
          </cell>
          <cell r="G155" t="str">
            <v>CB100404000300</v>
          </cell>
          <cell r="H155">
            <v>3</v>
          </cell>
          <cell r="I155" t="str">
            <v>--</v>
          </cell>
          <cell r="J155">
            <v>0.5</v>
          </cell>
          <cell r="K155">
            <v>0.6</v>
          </cell>
        </row>
        <row r="156">
          <cell r="A156" t="str">
            <v>M1</v>
          </cell>
          <cell r="B156" t="str">
            <v>A5C</v>
          </cell>
          <cell r="C156" t="str">
            <v>TRIM</v>
          </cell>
          <cell r="D156" t="str">
            <v>V-2216B</v>
          </cell>
          <cell r="E156" t="str">
            <v>PIPE</v>
          </cell>
          <cell r="F156">
            <v>1</v>
          </cell>
          <cell r="G156" t="str">
            <v>CB100404000300</v>
          </cell>
          <cell r="H156">
            <v>3</v>
          </cell>
          <cell r="I156" t="str">
            <v>--</v>
          </cell>
          <cell r="J156">
            <v>0.5</v>
          </cell>
          <cell r="K156">
            <v>0.6</v>
          </cell>
        </row>
        <row r="157">
          <cell r="A157" t="str">
            <v>M1</v>
          </cell>
          <cell r="B157" t="str">
            <v>A5C</v>
          </cell>
          <cell r="C157" t="str">
            <v>TRIM</v>
          </cell>
          <cell r="D157" t="str">
            <v>V-2216A</v>
          </cell>
          <cell r="E157" t="str">
            <v>PIPE</v>
          </cell>
          <cell r="F157">
            <v>1</v>
          </cell>
          <cell r="G157" t="str">
            <v>CB100404000300</v>
          </cell>
          <cell r="H157">
            <v>3</v>
          </cell>
          <cell r="I157" t="str">
            <v>--</v>
          </cell>
          <cell r="J157">
            <v>0.5</v>
          </cell>
          <cell r="K157">
            <v>0.6</v>
          </cell>
        </row>
        <row r="158">
          <cell r="A158" t="str">
            <v>M1</v>
          </cell>
          <cell r="B158" t="str">
            <v>A5C</v>
          </cell>
          <cell r="C158" t="str">
            <v>P</v>
          </cell>
          <cell r="D158" t="str">
            <v>25002</v>
          </cell>
          <cell r="E158" t="str">
            <v>PIPE</v>
          </cell>
          <cell r="F158">
            <v>1</v>
          </cell>
          <cell r="G158" t="str">
            <v>CB100404000300</v>
          </cell>
          <cell r="H158">
            <v>3</v>
          </cell>
          <cell r="I158" t="str">
            <v>--</v>
          </cell>
          <cell r="J158">
            <v>1</v>
          </cell>
          <cell r="K158">
            <v>1.1000000000000001</v>
          </cell>
        </row>
        <row r="159">
          <cell r="A159" t="str">
            <v>M1</v>
          </cell>
          <cell r="B159" t="str">
            <v>A6C</v>
          </cell>
          <cell r="C159" t="str">
            <v>HOR</v>
          </cell>
          <cell r="D159" t="str">
            <v>65621</v>
          </cell>
          <cell r="E159" t="str">
            <v>PIPE</v>
          </cell>
          <cell r="F159">
            <v>1</v>
          </cell>
          <cell r="G159" t="str">
            <v>CB100404000300</v>
          </cell>
          <cell r="H159">
            <v>3</v>
          </cell>
          <cell r="I159" t="str">
            <v>--</v>
          </cell>
          <cell r="J159">
            <v>1.5</v>
          </cell>
          <cell r="K159">
            <v>1.7</v>
          </cell>
        </row>
        <row r="160">
          <cell r="A160" t="str">
            <v>M1</v>
          </cell>
          <cell r="B160" t="str">
            <v>A5C</v>
          </cell>
          <cell r="C160" t="str">
            <v>P</v>
          </cell>
          <cell r="D160" t="str">
            <v>22133</v>
          </cell>
          <cell r="E160" t="str">
            <v>PIPE</v>
          </cell>
          <cell r="F160">
            <v>1</v>
          </cell>
          <cell r="G160" t="str">
            <v>CB100404000300</v>
          </cell>
          <cell r="H160">
            <v>3</v>
          </cell>
          <cell r="I160" t="str">
            <v>--</v>
          </cell>
          <cell r="J160">
            <v>1.8</v>
          </cell>
          <cell r="K160">
            <v>2</v>
          </cell>
        </row>
        <row r="161">
          <cell r="A161" t="str">
            <v>M1</v>
          </cell>
          <cell r="B161" t="str">
            <v>A5C</v>
          </cell>
          <cell r="C161" t="str">
            <v>P</v>
          </cell>
          <cell r="D161" t="str">
            <v>22096</v>
          </cell>
          <cell r="E161" t="str">
            <v>PIPE</v>
          </cell>
          <cell r="F161">
            <v>1</v>
          </cell>
          <cell r="G161" t="str">
            <v>CB100404000300</v>
          </cell>
          <cell r="H161">
            <v>3</v>
          </cell>
          <cell r="I161" t="str">
            <v>--</v>
          </cell>
          <cell r="J161">
            <v>1.9</v>
          </cell>
          <cell r="K161">
            <v>2.1</v>
          </cell>
        </row>
        <row r="162">
          <cell r="A162" t="str">
            <v>M1</v>
          </cell>
          <cell r="B162" t="str">
            <v>A5C</v>
          </cell>
          <cell r="C162" t="str">
            <v>P</v>
          </cell>
          <cell r="D162" t="str">
            <v>22090</v>
          </cell>
          <cell r="E162" t="str">
            <v>PIPE</v>
          </cell>
          <cell r="F162">
            <v>1</v>
          </cell>
          <cell r="G162" t="str">
            <v>CB100404000300</v>
          </cell>
          <cell r="H162">
            <v>3</v>
          </cell>
          <cell r="I162" t="str">
            <v>--</v>
          </cell>
          <cell r="J162">
            <v>2.5</v>
          </cell>
          <cell r="K162">
            <v>2.8</v>
          </cell>
        </row>
        <row r="163">
          <cell r="A163" t="str">
            <v>M1</v>
          </cell>
          <cell r="B163" t="str">
            <v>A6C</v>
          </cell>
          <cell r="C163" t="str">
            <v>TRIM</v>
          </cell>
          <cell r="D163" t="str">
            <v>V-6501</v>
          </cell>
          <cell r="E163" t="str">
            <v>PIPE</v>
          </cell>
          <cell r="F163">
            <v>1</v>
          </cell>
          <cell r="G163" t="str">
            <v>CB100404000300</v>
          </cell>
          <cell r="H163">
            <v>3</v>
          </cell>
          <cell r="I163" t="str">
            <v>--</v>
          </cell>
          <cell r="J163">
            <v>2.5</v>
          </cell>
          <cell r="K163">
            <v>2.8</v>
          </cell>
        </row>
        <row r="164">
          <cell r="A164" t="str">
            <v>M1</v>
          </cell>
          <cell r="B164" t="str">
            <v>A5C</v>
          </cell>
          <cell r="C164" t="str">
            <v>TRIM</v>
          </cell>
          <cell r="D164" t="str">
            <v>C-2201</v>
          </cell>
          <cell r="E164" t="str">
            <v>PIPE</v>
          </cell>
          <cell r="F164">
            <v>1</v>
          </cell>
          <cell r="G164" t="str">
            <v>CB100404000300</v>
          </cell>
          <cell r="H164">
            <v>3</v>
          </cell>
          <cell r="I164" t="str">
            <v>--</v>
          </cell>
          <cell r="J164">
            <v>2.5</v>
          </cell>
          <cell r="K164">
            <v>2.8</v>
          </cell>
        </row>
        <row r="165">
          <cell r="A165" t="str">
            <v>M1</v>
          </cell>
          <cell r="B165" t="str">
            <v>A5C</v>
          </cell>
          <cell r="C165" t="str">
            <v>P</v>
          </cell>
          <cell r="D165" t="str">
            <v>22153</v>
          </cell>
          <cell r="E165" t="str">
            <v>PIPE</v>
          </cell>
          <cell r="F165">
            <v>1</v>
          </cell>
          <cell r="G165" t="str">
            <v>CB100404000300</v>
          </cell>
          <cell r="H165">
            <v>3</v>
          </cell>
          <cell r="I165" t="str">
            <v>--</v>
          </cell>
          <cell r="J165">
            <v>3.2</v>
          </cell>
          <cell r="K165">
            <v>3.6</v>
          </cell>
        </row>
        <row r="166">
          <cell r="A166" t="str">
            <v>M1</v>
          </cell>
          <cell r="B166" t="str">
            <v>A5C</v>
          </cell>
          <cell r="C166" t="str">
            <v>P</v>
          </cell>
          <cell r="D166" t="str">
            <v>22118</v>
          </cell>
          <cell r="E166" t="str">
            <v>PIPE</v>
          </cell>
          <cell r="F166">
            <v>1</v>
          </cell>
          <cell r="G166" t="str">
            <v>CB100404000300</v>
          </cell>
          <cell r="H166">
            <v>3</v>
          </cell>
          <cell r="I166" t="str">
            <v>--</v>
          </cell>
          <cell r="J166">
            <v>3.5</v>
          </cell>
          <cell r="K166">
            <v>3.9</v>
          </cell>
        </row>
        <row r="167">
          <cell r="A167" t="str">
            <v>M1</v>
          </cell>
          <cell r="B167" t="str">
            <v>B2C</v>
          </cell>
          <cell r="C167" t="str">
            <v>TRIM</v>
          </cell>
          <cell r="D167" t="str">
            <v>V-2218</v>
          </cell>
          <cell r="E167" t="str">
            <v>PIPE</v>
          </cell>
          <cell r="F167">
            <v>1</v>
          </cell>
          <cell r="G167" t="str">
            <v>CB100404000300</v>
          </cell>
          <cell r="H167">
            <v>3</v>
          </cell>
          <cell r="I167" t="str">
            <v>--</v>
          </cell>
          <cell r="J167">
            <v>4</v>
          </cell>
          <cell r="K167">
            <v>4.4000000000000004</v>
          </cell>
        </row>
        <row r="168">
          <cell r="A168" t="str">
            <v>M1</v>
          </cell>
          <cell r="B168" t="str">
            <v>A5C</v>
          </cell>
          <cell r="C168" t="str">
            <v>P</v>
          </cell>
          <cell r="D168" t="str">
            <v>22025</v>
          </cell>
          <cell r="E168" t="str">
            <v>PIPE</v>
          </cell>
          <cell r="F168">
            <v>1</v>
          </cell>
          <cell r="G168" t="str">
            <v>CB100404000300</v>
          </cell>
          <cell r="H168">
            <v>3</v>
          </cell>
          <cell r="I168" t="str">
            <v>--</v>
          </cell>
          <cell r="J168">
            <v>4</v>
          </cell>
          <cell r="K168">
            <v>4.4000000000000004</v>
          </cell>
        </row>
        <row r="169">
          <cell r="A169" t="str">
            <v>M1</v>
          </cell>
          <cell r="B169" t="str">
            <v>A5C</v>
          </cell>
          <cell r="C169" t="str">
            <v>P</v>
          </cell>
          <cell r="D169" t="str">
            <v>22130</v>
          </cell>
          <cell r="E169" t="str">
            <v>PIPE</v>
          </cell>
          <cell r="F169">
            <v>1</v>
          </cell>
          <cell r="G169" t="str">
            <v>CB100404000300</v>
          </cell>
          <cell r="H169">
            <v>3</v>
          </cell>
          <cell r="I169" t="str">
            <v>--</v>
          </cell>
          <cell r="J169">
            <v>4</v>
          </cell>
          <cell r="K169">
            <v>4.4000000000000004</v>
          </cell>
        </row>
        <row r="170">
          <cell r="A170" t="str">
            <v>M1</v>
          </cell>
          <cell r="B170" t="str">
            <v>A5C</v>
          </cell>
          <cell r="C170" t="str">
            <v>P</v>
          </cell>
          <cell r="D170" t="str">
            <v>22140</v>
          </cell>
          <cell r="E170" t="str">
            <v>PIPE</v>
          </cell>
          <cell r="F170">
            <v>1</v>
          </cell>
          <cell r="G170" t="str">
            <v>CB100404000300</v>
          </cell>
          <cell r="H170">
            <v>3</v>
          </cell>
          <cell r="I170" t="str">
            <v>--</v>
          </cell>
          <cell r="J170">
            <v>4</v>
          </cell>
          <cell r="K170">
            <v>4.4000000000000004</v>
          </cell>
        </row>
        <row r="171">
          <cell r="A171" t="str">
            <v>M1</v>
          </cell>
          <cell r="B171" t="str">
            <v>A5C</v>
          </cell>
          <cell r="C171" t="str">
            <v>P</v>
          </cell>
          <cell r="D171" t="str">
            <v>22134</v>
          </cell>
          <cell r="E171" t="str">
            <v>PIPE</v>
          </cell>
          <cell r="F171">
            <v>1</v>
          </cell>
          <cell r="G171" t="str">
            <v>CB100404000300</v>
          </cell>
          <cell r="H171">
            <v>3</v>
          </cell>
          <cell r="I171" t="str">
            <v>--</v>
          </cell>
          <cell r="J171">
            <v>4</v>
          </cell>
          <cell r="K171">
            <v>4.4000000000000004</v>
          </cell>
        </row>
        <row r="172">
          <cell r="A172" t="str">
            <v>M1</v>
          </cell>
          <cell r="B172" t="str">
            <v>A5C</v>
          </cell>
          <cell r="C172" t="str">
            <v>P</v>
          </cell>
          <cell r="D172" t="str">
            <v>22061</v>
          </cell>
          <cell r="E172" t="str">
            <v>PIPE</v>
          </cell>
          <cell r="F172">
            <v>1</v>
          </cell>
          <cell r="G172" t="str">
            <v>CB100404000300</v>
          </cell>
          <cell r="H172">
            <v>3</v>
          </cell>
          <cell r="I172" t="str">
            <v>--</v>
          </cell>
          <cell r="J172">
            <v>4</v>
          </cell>
          <cell r="K172">
            <v>4.4000000000000004</v>
          </cell>
        </row>
        <row r="173">
          <cell r="A173" t="str">
            <v>M1</v>
          </cell>
          <cell r="B173" t="str">
            <v>A5C</v>
          </cell>
          <cell r="C173" t="str">
            <v>TRIM</v>
          </cell>
          <cell r="D173" t="str">
            <v>V-2211</v>
          </cell>
          <cell r="E173" t="str">
            <v>PIPE</v>
          </cell>
          <cell r="F173">
            <v>1</v>
          </cell>
          <cell r="G173" t="str">
            <v>CB100404000300</v>
          </cell>
          <cell r="H173">
            <v>3</v>
          </cell>
          <cell r="I173" t="str">
            <v>--</v>
          </cell>
          <cell r="J173">
            <v>4.5</v>
          </cell>
          <cell r="K173">
            <v>5</v>
          </cell>
        </row>
        <row r="174">
          <cell r="A174" t="str">
            <v>M1</v>
          </cell>
          <cell r="B174" t="str">
            <v>A6C</v>
          </cell>
          <cell r="C174" t="str">
            <v>HOR</v>
          </cell>
          <cell r="D174" t="str">
            <v>65813</v>
          </cell>
          <cell r="E174" t="str">
            <v>PIPE</v>
          </cell>
          <cell r="F174">
            <v>1</v>
          </cell>
          <cell r="G174" t="str">
            <v>CB100404000300</v>
          </cell>
          <cell r="H174">
            <v>3</v>
          </cell>
          <cell r="I174" t="str">
            <v>--</v>
          </cell>
          <cell r="J174">
            <v>6</v>
          </cell>
          <cell r="K174">
            <v>6.6</v>
          </cell>
        </row>
        <row r="175">
          <cell r="A175" t="str">
            <v>M1</v>
          </cell>
          <cell r="B175" t="str">
            <v>A6C</v>
          </cell>
          <cell r="C175" t="str">
            <v>HOS</v>
          </cell>
          <cell r="D175" t="str">
            <v>65634</v>
          </cell>
          <cell r="E175" t="str">
            <v>PIPE</v>
          </cell>
          <cell r="F175">
            <v>1</v>
          </cell>
          <cell r="G175" t="str">
            <v>CB100404000300</v>
          </cell>
          <cell r="H175">
            <v>3</v>
          </cell>
          <cell r="I175" t="str">
            <v>--</v>
          </cell>
          <cell r="J175">
            <v>6</v>
          </cell>
          <cell r="K175">
            <v>6.6</v>
          </cell>
        </row>
        <row r="176">
          <cell r="A176" t="str">
            <v>M1</v>
          </cell>
          <cell r="B176" t="str">
            <v>A5C</v>
          </cell>
          <cell r="C176" t="str">
            <v>P</v>
          </cell>
          <cell r="D176" t="str">
            <v>22092</v>
          </cell>
          <cell r="E176" t="str">
            <v>PIPE</v>
          </cell>
          <cell r="F176">
            <v>1</v>
          </cell>
          <cell r="G176" t="str">
            <v>CB100404000300</v>
          </cell>
          <cell r="H176">
            <v>3</v>
          </cell>
          <cell r="I176" t="str">
            <v>--</v>
          </cell>
          <cell r="J176">
            <v>6.5</v>
          </cell>
          <cell r="K176">
            <v>7.2</v>
          </cell>
        </row>
        <row r="177">
          <cell r="A177" t="str">
            <v>M1</v>
          </cell>
          <cell r="B177" t="str">
            <v>A5C</v>
          </cell>
          <cell r="C177" t="str">
            <v>P</v>
          </cell>
          <cell r="D177" t="str">
            <v>22095</v>
          </cell>
          <cell r="E177" t="str">
            <v>PIPE</v>
          </cell>
          <cell r="F177">
            <v>1</v>
          </cell>
          <cell r="G177" t="str">
            <v>CB100404000300</v>
          </cell>
          <cell r="H177">
            <v>3</v>
          </cell>
          <cell r="I177" t="str">
            <v>--</v>
          </cell>
          <cell r="J177">
            <v>6.8</v>
          </cell>
          <cell r="K177">
            <v>7.5</v>
          </cell>
        </row>
        <row r="178">
          <cell r="A178" t="str">
            <v>M1</v>
          </cell>
          <cell r="B178" t="str">
            <v>A5C</v>
          </cell>
          <cell r="C178" t="str">
            <v>P</v>
          </cell>
          <cell r="D178" t="str">
            <v>22094</v>
          </cell>
          <cell r="E178" t="str">
            <v>PIPE</v>
          </cell>
          <cell r="F178">
            <v>1</v>
          </cell>
          <cell r="G178" t="str">
            <v>CB100404000300</v>
          </cell>
          <cell r="H178">
            <v>3</v>
          </cell>
          <cell r="I178" t="str">
            <v>--</v>
          </cell>
          <cell r="J178">
            <v>6.8</v>
          </cell>
          <cell r="K178">
            <v>7.5</v>
          </cell>
        </row>
        <row r="179">
          <cell r="A179" t="str">
            <v>M1</v>
          </cell>
          <cell r="B179" t="str">
            <v>A5C</v>
          </cell>
          <cell r="C179" t="str">
            <v>P</v>
          </cell>
          <cell r="D179" t="str">
            <v>22089</v>
          </cell>
          <cell r="E179" t="str">
            <v>PIPE</v>
          </cell>
          <cell r="F179">
            <v>1</v>
          </cell>
          <cell r="G179" t="str">
            <v>CB100404000300</v>
          </cell>
          <cell r="H179">
            <v>3</v>
          </cell>
          <cell r="I179" t="str">
            <v>--</v>
          </cell>
          <cell r="J179">
            <v>6.8</v>
          </cell>
          <cell r="K179">
            <v>7.5</v>
          </cell>
        </row>
        <row r="180">
          <cell r="A180" t="str">
            <v>M1</v>
          </cell>
          <cell r="B180" t="str">
            <v>A5C</v>
          </cell>
          <cell r="C180" t="str">
            <v>P</v>
          </cell>
          <cell r="D180" t="str">
            <v>22091</v>
          </cell>
          <cell r="E180" t="str">
            <v>PIPE</v>
          </cell>
          <cell r="F180">
            <v>1</v>
          </cell>
          <cell r="G180" t="str">
            <v>CB100404000300</v>
          </cell>
          <cell r="H180">
            <v>3</v>
          </cell>
          <cell r="I180" t="str">
            <v>--</v>
          </cell>
          <cell r="J180">
            <v>7.7</v>
          </cell>
          <cell r="K180">
            <v>8.5</v>
          </cell>
        </row>
        <row r="181">
          <cell r="A181" t="str">
            <v>M1</v>
          </cell>
          <cell r="B181" t="str">
            <v>A5C</v>
          </cell>
          <cell r="C181" t="str">
            <v>P</v>
          </cell>
          <cell r="D181" t="str">
            <v>22090</v>
          </cell>
          <cell r="E181" t="str">
            <v>PIPE</v>
          </cell>
          <cell r="F181">
            <v>1</v>
          </cell>
          <cell r="G181" t="str">
            <v>CB100404000300</v>
          </cell>
          <cell r="H181">
            <v>3</v>
          </cell>
          <cell r="I181" t="str">
            <v>--</v>
          </cell>
          <cell r="J181">
            <v>8.1999999999999993</v>
          </cell>
          <cell r="K181">
            <v>9.1</v>
          </cell>
        </row>
        <row r="182">
          <cell r="A182" t="str">
            <v>M1</v>
          </cell>
          <cell r="B182" t="str">
            <v>A5C</v>
          </cell>
          <cell r="C182" t="str">
            <v>P</v>
          </cell>
          <cell r="D182" t="str">
            <v>22004</v>
          </cell>
          <cell r="E182" t="str">
            <v>PIPE</v>
          </cell>
          <cell r="F182">
            <v>1</v>
          </cell>
          <cell r="G182" t="str">
            <v>CB100404000300</v>
          </cell>
          <cell r="H182">
            <v>3</v>
          </cell>
          <cell r="I182" t="str">
            <v>--</v>
          </cell>
          <cell r="J182">
            <v>8.5</v>
          </cell>
          <cell r="K182">
            <v>9.4</v>
          </cell>
        </row>
        <row r="183">
          <cell r="A183" t="str">
            <v>M1</v>
          </cell>
          <cell r="B183" t="str">
            <v>A5C</v>
          </cell>
          <cell r="C183" t="str">
            <v>P</v>
          </cell>
          <cell r="D183" t="str">
            <v>22005</v>
          </cell>
          <cell r="E183" t="str">
            <v>PIPE</v>
          </cell>
          <cell r="F183">
            <v>1</v>
          </cell>
          <cell r="G183" t="str">
            <v>CB100404000300</v>
          </cell>
          <cell r="H183">
            <v>3</v>
          </cell>
          <cell r="I183" t="str">
            <v>--</v>
          </cell>
          <cell r="J183">
            <v>8.6</v>
          </cell>
          <cell r="K183">
            <v>9.5</v>
          </cell>
        </row>
        <row r="184">
          <cell r="A184" t="str">
            <v>M1</v>
          </cell>
          <cell r="B184" t="str">
            <v>A5C</v>
          </cell>
          <cell r="C184" t="str">
            <v>P</v>
          </cell>
          <cell r="D184" t="str">
            <v>22093</v>
          </cell>
          <cell r="E184" t="str">
            <v>PIPE</v>
          </cell>
          <cell r="F184">
            <v>1</v>
          </cell>
          <cell r="G184" t="str">
            <v>CB100404000300</v>
          </cell>
          <cell r="H184">
            <v>3</v>
          </cell>
          <cell r="I184" t="str">
            <v>--</v>
          </cell>
          <cell r="J184">
            <v>9</v>
          </cell>
          <cell r="K184">
            <v>9.9</v>
          </cell>
        </row>
        <row r="185">
          <cell r="A185" t="str">
            <v>M1</v>
          </cell>
          <cell r="B185" t="str">
            <v>A6C</v>
          </cell>
          <cell r="C185" t="str">
            <v>HOS</v>
          </cell>
          <cell r="D185" t="str">
            <v>65612</v>
          </cell>
          <cell r="E185" t="str">
            <v>PIPE</v>
          </cell>
          <cell r="F185">
            <v>1</v>
          </cell>
          <cell r="G185" t="str">
            <v>CB100404000300</v>
          </cell>
          <cell r="H185">
            <v>3</v>
          </cell>
          <cell r="I185" t="str">
            <v>--</v>
          </cell>
          <cell r="J185">
            <v>9</v>
          </cell>
          <cell r="K185">
            <v>9.9</v>
          </cell>
        </row>
        <row r="186">
          <cell r="A186" t="str">
            <v>M1</v>
          </cell>
          <cell r="B186" t="str">
            <v>A5C</v>
          </cell>
          <cell r="C186" t="str">
            <v>P</v>
          </cell>
          <cell r="D186" t="str">
            <v>22003</v>
          </cell>
          <cell r="E186" t="str">
            <v>PIPE</v>
          </cell>
          <cell r="F186">
            <v>1</v>
          </cell>
          <cell r="G186" t="str">
            <v>CB100404000300</v>
          </cell>
          <cell r="H186">
            <v>3</v>
          </cell>
          <cell r="I186" t="str">
            <v>--</v>
          </cell>
          <cell r="J186">
            <v>11</v>
          </cell>
          <cell r="K186">
            <v>12.1</v>
          </cell>
        </row>
        <row r="187">
          <cell r="A187" t="str">
            <v>M1</v>
          </cell>
          <cell r="B187" t="str">
            <v>A4C</v>
          </cell>
          <cell r="C187" t="str">
            <v>P</v>
          </cell>
          <cell r="D187" t="str">
            <v>22003</v>
          </cell>
          <cell r="E187" t="str">
            <v>PIPE</v>
          </cell>
          <cell r="F187">
            <v>1</v>
          </cell>
          <cell r="G187" t="str">
            <v>CB110404000300</v>
          </cell>
          <cell r="H187">
            <v>3</v>
          </cell>
          <cell r="I187" t="str">
            <v>--</v>
          </cell>
          <cell r="J187">
            <v>11.1</v>
          </cell>
          <cell r="K187">
            <v>12.3</v>
          </cell>
        </row>
        <row r="188">
          <cell r="A188" t="str">
            <v>M1</v>
          </cell>
          <cell r="B188" t="str">
            <v>A5C</v>
          </cell>
          <cell r="C188" t="str">
            <v>P</v>
          </cell>
          <cell r="D188" t="str">
            <v>22004</v>
          </cell>
          <cell r="E188" t="str">
            <v>PIPE</v>
          </cell>
          <cell r="F188">
            <v>1</v>
          </cell>
          <cell r="G188" t="str">
            <v>CB100404000300</v>
          </cell>
          <cell r="H188">
            <v>3</v>
          </cell>
          <cell r="I188" t="str">
            <v>--</v>
          </cell>
          <cell r="J188">
            <v>11.5</v>
          </cell>
          <cell r="K188">
            <v>12.7</v>
          </cell>
        </row>
        <row r="189">
          <cell r="A189" t="str">
            <v>M1</v>
          </cell>
          <cell r="B189" t="str">
            <v>B2C</v>
          </cell>
          <cell r="C189" t="str">
            <v>SH</v>
          </cell>
          <cell r="D189" t="str">
            <v>22625</v>
          </cell>
          <cell r="E189" t="str">
            <v>PIPE</v>
          </cell>
          <cell r="F189">
            <v>1</v>
          </cell>
          <cell r="G189" t="str">
            <v>CB100404000300</v>
          </cell>
          <cell r="H189">
            <v>3</v>
          </cell>
          <cell r="I189" t="str">
            <v>--</v>
          </cell>
          <cell r="J189">
            <v>12.5</v>
          </cell>
          <cell r="K189">
            <v>13.8</v>
          </cell>
        </row>
        <row r="190">
          <cell r="A190" t="str">
            <v>M1</v>
          </cell>
          <cell r="B190" t="str">
            <v>A5C</v>
          </cell>
          <cell r="C190" t="str">
            <v>P</v>
          </cell>
          <cell r="D190" t="str">
            <v>22026</v>
          </cell>
          <cell r="E190" t="str">
            <v>PIPE</v>
          </cell>
          <cell r="F190">
            <v>1</v>
          </cell>
          <cell r="G190" t="str">
            <v>CB100404000300</v>
          </cell>
          <cell r="H190">
            <v>3</v>
          </cell>
          <cell r="I190" t="str">
            <v>--</v>
          </cell>
          <cell r="J190">
            <v>14.1</v>
          </cell>
          <cell r="K190">
            <v>15.6</v>
          </cell>
        </row>
        <row r="191">
          <cell r="A191" t="str">
            <v>M1</v>
          </cell>
          <cell r="B191" t="str">
            <v>A5C</v>
          </cell>
          <cell r="C191" t="str">
            <v>P</v>
          </cell>
          <cell r="D191" t="str">
            <v>22088</v>
          </cell>
          <cell r="E191" t="str">
            <v>PIPE</v>
          </cell>
          <cell r="F191">
            <v>1</v>
          </cell>
          <cell r="G191" t="str">
            <v>CB100404000300</v>
          </cell>
          <cell r="H191">
            <v>3</v>
          </cell>
          <cell r="I191" t="str">
            <v>--</v>
          </cell>
          <cell r="J191">
            <v>15.1</v>
          </cell>
          <cell r="K191">
            <v>16.7</v>
          </cell>
        </row>
        <row r="192">
          <cell r="A192" t="str">
            <v>M1</v>
          </cell>
          <cell r="B192" t="str">
            <v>A5C</v>
          </cell>
          <cell r="C192" t="str">
            <v>P</v>
          </cell>
          <cell r="D192" t="str">
            <v>22081</v>
          </cell>
          <cell r="E192" t="str">
            <v>PIPE</v>
          </cell>
          <cell r="F192">
            <v>1</v>
          </cell>
          <cell r="G192" t="str">
            <v>CB100404000300</v>
          </cell>
          <cell r="H192">
            <v>3</v>
          </cell>
          <cell r="I192" t="str">
            <v>--</v>
          </cell>
          <cell r="J192">
            <v>15.2</v>
          </cell>
          <cell r="K192">
            <v>16.8</v>
          </cell>
        </row>
        <row r="193">
          <cell r="A193" t="str">
            <v>M1</v>
          </cell>
          <cell r="B193" t="str">
            <v>A5C</v>
          </cell>
          <cell r="C193" t="str">
            <v>P</v>
          </cell>
          <cell r="D193" t="str">
            <v>22100</v>
          </cell>
          <cell r="E193" t="str">
            <v>PIPE</v>
          </cell>
          <cell r="F193">
            <v>1</v>
          </cell>
          <cell r="G193" t="str">
            <v>CB100404000300</v>
          </cell>
          <cell r="H193">
            <v>3</v>
          </cell>
          <cell r="I193" t="str">
            <v>--</v>
          </cell>
          <cell r="J193">
            <v>15.5</v>
          </cell>
          <cell r="K193">
            <v>17.100000000000001</v>
          </cell>
        </row>
        <row r="194">
          <cell r="A194" t="str">
            <v>M1</v>
          </cell>
          <cell r="B194" t="str">
            <v>A5C</v>
          </cell>
          <cell r="C194" t="str">
            <v>P</v>
          </cell>
          <cell r="D194" t="str">
            <v>22001</v>
          </cell>
          <cell r="E194" t="str">
            <v>PIPE</v>
          </cell>
          <cell r="F194">
            <v>1</v>
          </cell>
          <cell r="G194" t="str">
            <v>CB100404000300</v>
          </cell>
          <cell r="H194">
            <v>3</v>
          </cell>
          <cell r="I194" t="str">
            <v>--</v>
          </cell>
          <cell r="J194">
            <v>37.200000000000003</v>
          </cell>
          <cell r="K194">
            <v>41</v>
          </cell>
        </row>
        <row r="195">
          <cell r="A195" t="str">
            <v>M1</v>
          </cell>
          <cell r="B195" t="str">
            <v>B2C</v>
          </cell>
          <cell r="C195" t="str">
            <v>SH</v>
          </cell>
          <cell r="D195" t="str">
            <v>22601</v>
          </cell>
          <cell r="E195" t="str">
            <v>PIPE</v>
          </cell>
          <cell r="F195">
            <v>1</v>
          </cell>
          <cell r="G195" t="str">
            <v>CB100404000300</v>
          </cell>
          <cell r="H195">
            <v>3</v>
          </cell>
          <cell r="I195" t="str">
            <v>--</v>
          </cell>
          <cell r="J195">
            <v>60.5</v>
          </cell>
          <cell r="K195">
            <v>66.599999999999994</v>
          </cell>
        </row>
        <row r="196">
          <cell r="A196" t="str">
            <v>M1</v>
          </cell>
          <cell r="B196" t="str">
            <v>A5C</v>
          </cell>
          <cell r="C196" t="str">
            <v>P</v>
          </cell>
          <cell r="D196" t="str">
            <v>22003</v>
          </cell>
          <cell r="E196" t="str">
            <v>PIPE</v>
          </cell>
          <cell r="F196">
            <v>1</v>
          </cell>
          <cell r="G196" t="str">
            <v>CB100404000400</v>
          </cell>
          <cell r="H196">
            <v>4</v>
          </cell>
          <cell r="I196" t="str">
            <v>--</v>
          </cell>
          <cell r="J196">
            <v>0.2</v>
          </cell>
          <cell r="K196">
            <v>0.3</v>
          </cell>
        </row>
        <row r="197">
          <cell r="A197" t="str">
            <v>M1</v>
          </cell>
          <cell r="B197" t="str">
            <v>A4C</v>
          </cell>
          <cell r="C197" t="str">
            <v>N</v>
          </cell>
          <cell r="D197" t="str">
            <v>22611</v>
          </cell>
          <cell r="E197" t="str">
            <v>PIPE</v>
          </cell>
          <cell r="F197">
            <v>1</v>
          </cell>
          <cell r="G197" t="str">
            <v>CB110404000400</v>
          </cell>
          <cell r="H197">
            <v>4</v>
          </cell>
          <cell r="I197" t="str">
            <v>--</v>
          </cell>
          <cell r="J197">
            <v>0.3</v>
          </cell>
          <cell r="K197">
            <v>0.4</v>
          </cell>
        </row>
        <row r="198">
          <cell r="A198" t="str">
            <v>M1</v>
          </cell>
          <cell r="B198" t="str">
            <v>A5C</v>
          </cell>
          <cell r="C198" t="str">
            <v>P</v>
          </cell>
          <cell r="D198" t="str">
            <v>22109</v>
          </cell>
          <cell r="E198" t="str">
            <v>PIPE</v>
          </cell>
          <cell r="F198">
            <v>1</v>
          </cell>
          <cell r="G198" t="str">
            <v>CB100404000400</v>
          </cell>
          <cell r="H198">
            <v>4</v>
          </cell>
          <cell r="I198" t="str">
            <v>--</v>
          </cell>
          <cell r="J198">
            <v>0.3</v>
          </cell>
          <cell r="K198">
            <v>0.4</v>
          </cell>
        </row>
        <row r="199">
          <cell r="A199" t="str">
            <v>M1</v>
          </cell>
          <cell r="B199" t="str">
            <v>A5C</v>
          </cell>
          <cell r="C199" t="str">
            <v>P</v>
          </cell>
          <cell r="D199" t="str">
            <v>22102</v>
          </cell>
          <cell r="E199" t="str">
            <v>PIPE</v>
          </cell>
          <cell r="F199">
            <v>1</v>
          </cell>
          <cell r="G199" t="str">
            <v>CB100404000400</v>
          </cell>
          <cell r="H199">
            <v>4</v>
          </cell>
          <cell r="I199" t="str">
            <v>--</v>
          </cell>
          <cell r="J199">
            <v>0.3</v>
          </cell>
          <cell r="K199">
            <v>0.4</v>
          </cell>
        </row>
        <row r="200">
          <cell r="A200" t="str">
            <v>M1</v>
          </cell>
          <cell r="B200" t="str">
            <v>A5C</v>
          </cell>
          <cell r="C200" t="str">
            <v>TRIM</v>
          </cell>
          <cell r="D200" t="str">
            <v>V-2211</v>
          </cell>
          <cell r="E200" t="str">
            <v>PIPE</v>
          </cell>
          <cell r="F200">
            <v>1</v>
          </cell>
          <cell r="G200" t="str">
            <v>CB100404000400</v>
          </cell>
          <cell r="H200">
            <v>4</v>
          </cell>
          <cell r="I200" t="str">
            <v>--</v>
          </cell>
          <cell r="J200">
            <v>1.5</v>
          </cell>
          <cell r="K200">
            <v>1.8</v>
          </cell>
        </row>
        <row r="201">
          <cell r="A201" t="str">
            <v>M1</v>
          </cell>
          <cell r="B201" t="str">
            <v>A5C</v>
          </cell>
          <cell r="C201" t="str">
            <v>TRIM</v>
          </cell>
          <cell r="D201" t="str">
            <v>X-2220</v>
          </cell>
          <cell r="E201" t="str">
            <v>PIPE</v>
          </cell>
          <cell r="F201">
            <v>1</v>
          </cell>
          <cell r="G201" t="str">
            <v>CB100404000400</v>
          </cell>
          <cell r="H201">
            <v>4</v>
          </cell>
          <cell r="I201" t="str">
            <v>--</v>
          </cell>
          <cell r="J201">
            <v>2.5</v>
          </cell>
          <cell r="K201">
            <v>3</v>
          </cell>
        </row>
        <row r="202">
          <cell r="A202" t="str">
            <v>M1</v>
          </cell>
          <cell r="B202" t="str">
            <v>A5C</v>
          </cell>
          <cell r="C202" t="str">
            <v>P</v>
          </cell>
          <cell r="D202" t="str">
            <v>22139</v>
          </cell>
          <cell r="E202" t="str">
            <v>PIPE</v>
          </cell>
          <cell r="F202">
            <v>1</v>
          </cell>
          <cell r="G202" t="str">
            <v>CB100404000400</v>
          </cell>
          <cell r="H202">
            <v>4</v>
          </cell>
          <cell r="I202" t="str">
            <v>--</v>
          </cell>
          <cell r="J202">
            <v>2.7</v>
          </cell>
          <cell r="K202">
            <v>3.3</v>
          </cell>
        </row>
        <row r="203">
          <cell r="A203" t="str">
            <v>M1</v>
          </cell>
          <cell r="B203" t="str">
            <v>A5C</v>
          </cell>
          <cell r="C203" t="str">
            <v>P</v>
          </cell>
          <cell r="D203" t="str">
            <v>22021</v>
          </cell>
          <cell r="E203" t="str">
            <v>PIPE</v>
          </cell>
          <cell r="F203">
            <v>1</v>
          </cell>
          <cell r="G203" t="str">
            <v>CB100404000400</v>
          </cell>
          <cell r="H203">
            <v>4</v>
          </cell>
          <cell r="I203" t="str">
            <v>--</v>
          </cell>
          <cell r="J203">
            <v>3</v>
          </cell>
          <cell r="K203">
            <v>3.6</v>
          </cell>
        </row>
        <row r="204">
          <cell r="A204" t="str">
            <v>M1</v>
          </cell>
          <cell r="B204" t="str">
            <v>A5C</v>
          </cell>
          <cell r="C204" t="str">
            <v>P</v>
          </cell>
          <cell r="D204" t="str">
            <v>22059</v>
          </cell>
          <cell r="E204" t="str">
            <v>PIPE</v>
          </cell>
          <cell r="F204">
            <v>1</v>
          </cell>
          <cell r="G204" t="str">
            <v>CB100404000400</v>
          </cell>
          <cell r="H204">
            <v>4</v>
          </cell>
          <cell r="I204" t="str">
            <v>--</v>
          </cell>
          <cell r="J204">
            <v>3</v>
          </cell>
          <cell r="K204">
            <v>3.6</v>
          </cell>
        </row>
        <row r="205">
          <cell r="A205" t="str">
            <v>M1</v>
          </cell>
          <cell r="B205" t="str">
            <v>A5C</v>
          </cell>
          <cell r="C205" t="str">
            <v>P</v>
          </cell>
          <cell r="D205" t="str">
            <v>22024</v>
          </cell>
          <cell r="E205" t="str">
            <v>PIPE</v>
          </cell>
          <cell r="F205">
            <v>1</v>
          </cell>
          <cell r="G205" t="str">
            <v>CB100404000400</v>
          </cell>
          <cell r="H205">
            <v>4</v>
          </cell>
          <cell r="I205" t="str">
            <v>--</v>
          </cell>
          <cell r="J205">
            <v>3.5</v>
          </cell>
          <cell r="K205">
            <v>4.2</v>
          </cell>
        </row>
        <row r="206">
          <cell r="A206" t="str">
            <v>M1</v>
          </cell>
          <cell r="B206" t="str">
            <v>A5C</v>
          </cell>
          <cell r="C206" t="str">
            <v>P</v>
          </cell>
          <cell r="D206" t="str">
            <v>22057</v>
          </cell>
          <cell r="E206" t="str">
            <v>PIPE</v>
          </cell>
          <cell r="F206">
            <v>1</v>
          </cell>
          <cell r="G206" t="str">
            <v>CB100404000400</v>
          </cell>
          <cell r="H206">
            <v>4</v>
          </cell>
          <cell r="I206" t="str">
            <v>--</v>
          </cell>
          <cell r="J206">
            <v>4.2</v>
          </cell>
          <cell r="K206">
            <v>5.0999999999999996</v>
          </cell>
        </row>
        <row r="207">
          <cell r="A207" t="str">
            <v>M1</v>
          </cell>
          <cell r="B207" t="str">
            <v>A5C</v>
          </cell>
          <cell r="C207" t="str">
            <v>WW</v>
          </cell>
          <cell r="D207" t="str">
            <v>22601</v>
          </cell>
          <cell r="E207" t="str">
            <v>PIPE</v>
          </cell>
          <cell r="F207">
            <v>1</v>
          </cell>
          <cell r="G207" t="str">
            <v>CB100404000400</v>
          </cell>
          <cell r="H207">
            <v>4</v>
          </cell>
          <cell r="I207" t="str">
            <v>--</v>
          </cell>
          <cell r="J207">
            <v>4.5999999999999996</v>
          </cell>
          <cell r="K207">
            <v>5.6</v>
          </cell>
        </row>
        <row r="208">
          <cell r="A208" t="str">
            <v>M1</v>
          </cell>
          <cell r="B208" t="str">
            <v>A5C</v>
          </cell>
          <cell r="C208" t="str">
            <v>P</v>
          </cell>
          <cell r="D208" t="str">
            <v>22098</v>
          </cell>
          <cell r="E208" t="str">
            <v>PIPE</v>
          </cell>
          <cell r="F208">
            <v>1</v>
          </cell>
          <cell r="G208" t="str">
            <v>CB100404000400</v>
          </cell>
          <cell r="H208">
            <v>4</v>
          </cell>
          <cell r="I208" t="str">
            <v>--</v>
          </cell>
          <cell r="J208">
            <v>5</v>
          </cell>
          <cell r="K208">
            <v>6</v>
          </cell>
        </row>
        <row r="209">
          <cell r="A209" t="str">
            <v>M1</v>
          </cell>
          <cell r="B209" t="str">
            <v>A5C</v>
          </cell>
          <cell r="C209" t="str">
            <v>COMP</v>
          </cell>
          <cell r="D209" t="str">
            <v>005</v>
          </cell>
          <cell r="E209" t="str">
            <v>PIPE</v>
          </cell>
          <cell r="F209">
            <v>1</v>
          </cell>
          <cell r="G209" t="str">
            <v>CB100404000400</v>
          </cell>
          <cell r="H209">
            <v>4</v>
          </cell>
          <cell r="I209" t="str">
            <v>--</v>
          </cell>
          <cell r="J209">
            <v>8</v>
          </cell>
          <cell r="K209">
            <v>9.6</v>
          </cell>
        </row>
        <row r="210">
          <cell r="A210" t="str">
            <v>M1</v>
          </cell>
          <cell r="B210" t="str">
            <v>B1C</v>
          </cell>
          <cell r="C210" t="str">
            <v>P</v>
          </cell>
          <cell r="D210" t="str">
            <v>22029</v>
          </cell>
          <cell r="E210" t="str">
            <v>PIPE</v>
          </cell>
          <cell r="F210">
            <v>1</v>
          </cell>
          <cell r="G210" t="str">
            <v>CB100404000400</v>
          </cell>
          <cell r="H210">
            <v>4</v>
          </cell>
          <cell r="I210" t="str">
            <v>--</v>
          </cell>
          <cell r="J210">
            <v>8.1999999999999993</v>
          </cell>
          <cell r="K210">
            <v>9.9</v>
          </cell>
        </row>
        <row r="211">
          <cell r="A211" t="str">
            <v>M1</v>
          </cell>
          <cell r="B211" t="str">
            <v>A5C</v>
          </cell>
          <cell r="C211" t="str">
            <v>P</v>
          </cell>
          <cell r="D211" t="str">
            <v>22099</v>
          </cell>
          <cell r="E211" t="str">
            <v>PIPE</v>
          </cell>
          <cell r="F211">
            <v>1</v>
          </cell>
          <cell r="G211" t="str">
            <v>CB100404000400</v>
          </cell>
          <cell r="H211">
            <v>4</v>
          </cell>
          <cell r="I211" t="str">
            <v>--</v>
          </cell>
          <cell r="J211">
            <v>9</v>
          </cell>
          <cell r="K211">
            <v>10.8</v>
          </cell>
        </row>
        <row r="212">
          <cell r="A212" t="str">
            <v>M1</v>
          </cell>
          <cell r="B212" t="str">
            <v>A6C</v>
          </cell>
          <cell r="C212" t="str">
            <v>HOS</v>
          </cell>
          <cell r="D212" t="str">
            <v>65634</v>
          </cell>
          <cell r="E212" t="str">
            <v>PIPE</v>
          </cell>
          <cell r="F212">
            <v>1</v>
          </cell>
          <cell r="G212" t="str">
            <v>CB100404000400</v>
          </cell>
          <cell r="H212">
            <v>4</v>
          </cell>
          <cell r="I212" t="str">
            <v>--</v>
          </cell>
          <cell r="J212">
            <v>10.3</v>
          </cell>
          <cell r="K212">
            <v>12.4</v>
          </cell>
        </row>
        <row r="213">
          <cell r="A213" t="str">
            <v>M1</v>
          </cell>
          <cell r="B213" t="str">
            <v>A6C</v>
          </cell>
          <cell r="C213" t="str">
            <v>HOR</v>
          </cell>
          <cell r="D213" t="str">
            <v>65813</v>
          </cell>
          <cell r="E213" t="str">
            <v>PIPE</v>
          </cell>
          <cell r="F213">
            <v>1</v>
          </cell>
          <cell r="G213" t="str">
            <v>CB100404000400</v>
          </cell>
          <cell r="H213">
            <v>4</v>
          </cell>
          <cell r="I213" t="str">
            <v>--</v>
          </cell>
          <cell r="J213">
            <v>10.3</v>
          </cell>
          <cell r="K213">
            <v>12.4</v>
          </cell>
        </row>
        <row r="214">
          <cell r="A214" t="str">
            <v>M1</v>
          </cell>
          <cell r="B214" t="str">
            <v>A6C</v>
          </cell>
          <cell r="C214" t="str">
            <v>HOS</v>
          </cell>
          <cell r="D214" t="str">
            <v>65614</v>
          </cell>
          <cell r="E214" t="str">
            <v>PIPE</v>
          </cell>
          <cell r="F214">
            <v>1</v>
          </cell>
          <cell r="G214" t="str">
            <v>CB100404000400</v>
          </cell>
          <cell r="H214">
            <v>4</v>
          </cell>
          <cell r="I214" t="str">
            <v>--</v>
          </cell>
          <cell r="J214">
            <v>10.3</v>
          </cell>
          <cell r="K214">
            <v>12.4</v>
          </cell>
        </row>
        <row r="215">
          <cell r="A215" t="str">
            <v>M1</v>
          </cell>
          <cell r="B215" t="str">
            <v>A5C</v>
          </cell>
          <cell r="C215" t="str">
            <v>P</v>
          </cell>
          <cell r="D215" t="str">
            <v>22082</v>
          </cell>
          <cell r="E215" t="str">
            <v>PIPE</v>
          </cell>
          <cell r="F215">
            <v>1</v>
          </cell>
          <cell r="G215" t="str">
            <v>CB100404000400</v>
          </cell>
          <cell r="H215">
            <v>4</v>
          </cell>
          <cell r="I215" t="str">
            <v>--</v>
          </cell>
          <cell r="J215">
            <v>11.3</v>
          </cell>
          <cell r="K215">
            <v>13.6</v>
          </cell>
        </row>
        <row r="216">
          <cell r="A216" t="str">
            <v>M1</v>
          </cell>
          <cell r="B216" t="str">
            <v>A5C</v>
          </cell>
          <cell r="C216" t="str">
            <v>P</v>
          </cell>
          <cell r="D216" t="str">
            <v>22069</v>
          </cell>
          <cell r="E216" t="str">
            <v>PIPE</v>
          </cell>
          <cell r="F216">
            <v>1</v>
          </cell>
          <cell r="G216" t="str">
            <v>CB100404000400</v>
          </cell>
          <cell r="H216">
            <v>4</v>
          </cell>
          <cell r="I216" t="str">
            <v>--</v>
          </cell>
          <cell r="J216">
            <v>12</v>
          </cell>
          <cell r="K216">
            <v>14.4</v>
          </cell>
        </row>
        <row r="217">
          <cell r="A217" t="str">
            <v>M1</v>
          </cell>
          <cell r="B217" t="str">
            <v>A4C</v>
          </cell>
          <cell r="C217" t="str">
            <v>P</v>
          </cell>
          <cell r="D217" t="str">
            <v>22009</v>
          </cell>
          <cell r="E217" t="str">
            <v>PIPE</v>
          </cell>
          <cell r="F217">
            <v>1</v>
          </cell>
          <cell r="G217" t="str">
            <v>CB110404000400</v>
          </cell>
          <cell r="H217">
            <v>4</v>
          </cell>
          <cell r="I217" t="str">
            <v>--</v>
          </cell>
          <cell r="J217">
            <v>19.8</v>
          </cell>
          <cell r="K217">
            <v>23.8</v>
          </cell>
        </row>
        <row r="218">
          <cell r="A218" t="str">
            <v>M1</v>
          </cell>
          <cell r="B218" t="str">
            <v>A5C</v>
          </cell>
          <cell r="C218" t="str">
            <v>WW</v>
          </cell>
          <cell r="D218" t="str">
            <v>22613</v>
          </cell>
          <cell r="E218" t="str">
            <v>PIPE</v>
          </cell>
          <cell r="F218">
            <v>1</v>
          </cell>
          <cell r="G218" t="str">
            <v>CB100404000400</v>
          </cell>
          <cell r="H218">
            <v>4</v>
          </cell>
          <cell r="I218" t="str">
            <v>--</v>
          </cell>
          <cell r="J218">
            <v>22</v>
          </cell>
          <cell r="K218">
            <v>26.4</v>
          </cell>
        </row>
        <row r="219">
          <cell r="A219" t="str">
            <v>M1</v>
          </cell>
          <cell r="B219" t="str">
            <v>A5C</v>
          </cell>
          <cell r="C219" t="str">
            <v>P</v>
          </cell>
          <cell r="D219" t="str">
            <v>22094</v>
          </cell>
          <cell r="E219" t="str">
            <v>PIPE</v>
          </cell>
          <cell r="F219">
            <v>1</v>
          </cell>
          <cell r="G219" t="str">
            <v>CB100404000400</v>
          </cell>
          <cell r="H219">
            <v>4</v>
          </cell>
          <cell r="I219" t="str">
            <v>--</v>
          </cell>
          <cell r="J219">
            <v>22.5</v>
          </cell>
          <cell r="K219">
            <v>27</v>
          </cell>
        </row>
        <row r="220">
          <cell r="A220" t="str">
            <v>M1</v>
          </cell>
          <cell r="B220" t="str">
            <v>A5C</v>
          </cell>
          <cell r="C220" t="str">
            <v>P</v>
          </cell>
          <cell r="D220" t="str">
            <v>22095</v>
          </cell>
          <cell r="E220" t="str">
            <v>PIPE</v>
          </cell>
          <cell r="F220">
            <v>1</v>
          </cell>
          <cell r="G220" t="str">
            <v>CB100404000400</v>
          </cell>
          <cell r="H220">
            <v>4</v>
          </cell>
          <cell r="I220" t="str">
            <v>--</v>
          </cell>
          <cell r="J220">
            <v>22.5</v>
          </cell>
          <cell r="K220">
            <v>27</v>
          </cell>
        </row>
        <row r="221">
          <cell r="A221" t="str">
            <v>M1</v>
          </cell>
          <cell r="B221" t="str">
            <v>A5C</v>
          </cell>
          <cell r="C221" t="str">
            <v>P</v>
          </cell>
          <cell r="D221" t="str">
            <v>22069</v>
          </cell>
          <cell r="E221" t="str">
            <v>PIPE</v>
          </cell>
          <cell r="F221">
            <v>1</v>
          </cell>
          <cell r="G221" t="str">
            <v>CB100404000400</v>
          </cell>
          <cell r="H221">
            <v>4</v>
          </cell>
          <cell r="I221" t="str">
            <v>--</v>
          </cell>
          <cell r="J221">
            <v>23.3</v>
          </cell>
          <cell r="K221">
            <v>28</v>
          </cell>
        </row>
        <row r="222">
          <cell r="A222" t="str">
            <v>M1</v>
          </cell>
          <cell r="B222" t="str">
            <v>A6C</v>
          </cell>
          <cell r="C222" t="str">
            <v>HOS</v>
          </cell>
          <cell r="D222" t="str">
            <v>65628</v>
          </cell>
          <cell r="E222" t="str">
            <v>PIPE</v>
          </cell>
          <cell r="F222">
            <v>1</v>
          </cell>
          <cell r="G222" t="str">
            <v>CB100404000400</v>
          </cell>
          <cell r="H222">
            <v>4</v>
          </cell>
          <cell r="I222" t="str">
            <v>--</v>
          </cell>
          <cell r="J222">
            <v>26.2</v>
          </cell>
          <cell r="K222">
            <v>31.5</v>
          </cell>
        </row>
        <row r="223">
          <cell r="A223" t="str">
            <v>M1</v>
          </cell>
          <cell r="B223" t="str">
            <v>A5C</v>
          </cell>
          <cell r="C223" t="str">
            <v>P</v>
          </cell>
          <cell r="D223" t="str">
            <v>21005</v>
          </cell>
          <cell r="E223" t="str">
            <v>PIPE</v>
          </cell>
          <cell r="F223">
            <v>1</v>
          </cell>
          <cell r="G223" t="str">
            <v>CB1004040004000400</v>
          </cell>
          <cell r="H223">
            <v>4</v>
          </cell>
          <cell r="I223" t="str">
            <v>--</v>
          </cell>
          <cell r="J223">
            <v>33.4</v>
          </cell>
          <cell r="K223">
            <v>40.1</v>
          </cell>
        </row>
        <row r="224">
          <cell r="A224" t="str">
            <v>M1</v>
          </cell>
          <cell r="B224" t="str">
            <v>A5C</v>
          </cell>
          <cell r="C224" t="str">
            <v>P</v>
          </cell>
          <cell r="D224" t="str">
            <v>22022</v>
          </cell>
          <cell r="E224" t="str">
            <v>PIPE</v>
          </cell>
          <cell r="F224">
            <v>1</v>
          </cell>
          <cell r="G224" t="str">
            <v>CB100404000600</v>
          </cell>
          <cell r="H224">
            <v>6</v>
          </cell>
          <cell r="I224" t="str">
            <v>--</v>
          </cell>
          <cell r="J224">
            <v>0.2</v>
          </cell>
          <cell r="K224">
            <v>0.3</v>
          </cell>
        </row>
        <row r="225">
          <cell r="A225" t="str">
            <v>M1</v>
          </cell>
          <cell r="B225" t="str">
            <v>A6C</v>
          </cell>
          <cell r="C225" t="str">
            <v>HOR</v>
          </cell>
          <cell r="D225" t="str">
            <v>65635</v>
          </cell>
          <cell r="E225" t="str">
            <v>PIPE</v>
          </cell>
          <cell r="F225">
            <v>1</v>
          </cell>
          <cell r="G225" t="str">
            <v>CB100404000600</v>
          </cell>
          <cell r="H225">
            <v>6</v>
          </cell>
          <cell r="I225" t="str">
            <v>--</v>
          </cell>
          <cell r="J225">
            <v>1</v>
          </cell>
          <cell r="K225">
            <v>1.2</v>
          </cell>
        </row>
        <row r="226">
          <cell r="A226" t="str">
            <v>M1</v>
          </cell>
          <cell r="B226" t="str">
            <v>A5C</v>
          </cell>
          <cell r="C226" t="str">
            <v>P</v>
          </cell>
          <cell r="D226" t="str">
            <v>22034</v>
          </cell>
          <cell r="E226" t="str">
            <v>PIPE</v>
          </cell>
          <cell r="F226">
            <v>1</v>
          </cell>
          <cell r="G226" t="str">
            <v>CB1004040006000600</v>
          </cell>
          <cell r="H226">
            <v>6</v>
          </cell>
          <cell r="I226" t="str">
            <v>--</v>
          </cell>
          <cell r="J226">
            <v>2.5</v>
          </cell>
          <cell r="K226">
            <v>3</v>
          </cell>
        </row>
        <row r="227">
          <cell r="A227" t="str">
            <v>M1</v>
          </cell>
          <cell r="B227" t="str">
            <v>A6C</v>
          </cell>
          <cell r="C227" t="str">
            <v>HOS</v>
          </cell>
          <cell r="D227" t="str">
            <v>65624</v>
          </cell>
          <cell r="E227" t="str">
            <v>PIPE</v>
          </cell>
          <cell r="F227">
            <v>1</v>
          </cell>
          <cell r="G227" t="str">
            <v>CB100404000600</v>
          </cell>
          <cell r="H227">
            <v>6</v>
          </cell>
          <cell r="I227" t="str">
            <v>--</v>
          </cell>
          <cell r="J227">
            <v>6.4</v>
          </cell>
          <cell r="K227">
            <v>7.7</v>
          </cell>
        </row>
        <row r="228">
          <cell r="A228" t="str">
            <v>M1</v>
          </cell>
          <cell r="B228" t="str">
            <v>A6C</v>
          </cell>
          <cell r="C228" t="str">
            <v>HOS</v>
          </cell>
          <cell r="D228" t="str">
            <v>65624</v>
          </cell>
          <cell r="E228" t="str">
            <v>PIPE</v>
          </cell>
          <cell r="F228">
            <v>1</v>
          </cell>
          <cell r="G228" t="str">
            <v>CB100404000600</v>
          </cell>
          <cell r="H228">
            <v>6</v>
          </cell>
          <cell r="I228" t="str">
            <v>--</v>
          </cell>
          <cell r="J228">
            <v>6.4</v>
          </cell>
          <cell r="K228">
            <v>7.7</v>
          </cell>
        </row>
        <row r="229">
          <cell r="A229" t="str">
            <v>M1</v>
          </cell>
          <cell r="B229" t="str">
            <v>A6C</v>
          </cell>
          <cell r="C229" t="str">
            <v>HOR</v>
          </cell>
          <cell r="D229" t="str">
            <v>65611</v>
          </cell>
          <cell r="E229" t="str">
            <v>PIPE</v>
          </cell>
          <cell r="F229">
            <v>1</v>
          </cell>
          <cell r="G229" t="str">
            <v>CB100404000600</v>
          </cell>
          <cell r="H229">
            <v>6</v>
          </cell>
          <cell r="I229" t="str">
            <v>--</v>
          </cell>
          <cell r="J229">
            <v>6.4</v>
          </cell>
          <cell r="K229">
            <v>7.7</v>
          </cell>
        </row>
        <row r="230">
          <cell r="A230" t="str">
            <v>M1</v>
          </cell>
          <cell r="B230" t="str">
            <v>A6C</v>
          </cell>
          <cell r="C230" t="str">
            <v>HOR</v>
          </cell>
          <cell r="D230" t="str">
            <v>65611</v>
          </cell>
          <cell r="E230" t="str">
            <v>PIPE</v>
          </cell>
          <cell r="F230">
            <v>1</v>
          </cell>
          <cell r="G230" t="str">
            <v>CB100404000600</v>
          </cell>
          <cell r="H230">
            <v>6</v>
          </cell>
          <cell r="I230" t="str">
            <v>--</v>
          </cell>
          <cell r="J230">
            <v>6.4</v>
          </cell>
          <cell r="K230">
            <v>7.7</v>
          </cell>
        </row>
        <row r="231">
          <cell r="A231" t="str">
            <v>M1</v>
          </cell>
          <cell r="B231" t="str">
            <v>A5C</v>
          </cell>
          <cell r="C231" t="str">
            <v>COMP</v>
          </cell>
          <cell r="D231" t="str">
            <v>003</v>
          </cell>
          <cell r="E231" t="str">
            <v>PIPE</v>
          </cell>
          <cell r="F231">
            <v>1</v>
          </cell>
          <cell r="G231" t="str">
            <v>CB100404000600</v>
          </cell>
          <cell r="H231">
            <v>6</v>
          </cell>
          <cell r="I231" t="str">
            <v>--</v>
          </cell>
          <cell r="J231">
            <v>6.5</v>
          </cell>
          <cell r="K231">
            <v>7.8</v>
          </cell>
        </row>
        <row r="232">
          <cell r="A232" t="str">
            <v>M1</v>
          </cell>
          <cell r="B232" t="str">
            <v>A5C</v>
          </cell>
          <cell r="C232" t="str">
            <v>P</v>
          </cell>
          <cell r="D232" t="str">
            <v>22055</v>
          </cell>
          <cell r="E232" t="str">
            <v>PIPE</v>
          </cell>
          <cell r="F232">
            <v>1</v>
          </cell>
          <cell r="G232" t="str">
            <v>CB100404000600</v>
          </cell>
          <cell r="H232">
            <v>6</v>
          </cell>
          <cell r="I232" t="str">
            <v>--</v>
          </cell>
          <cell r="J232">
            <v>8</v>
          </cell>
          <cell r="K232">
            <v>9.6</v>
          </cell>
        </row>
        <row r="233">
          <cell r="A233" t="str">
            <v>M1</v>
          </cell>
          <cell r="B233" t="str">
            <v>A5C</v>
          </cell>
          <cell r="C233" t="str">
            <v>P</v>
          </cell>
          <cell r="D233" t="str">
            <v>22035</v>
          </cell>
          <cell r="E233" t="str">
            <v>PIPE</v>
          </cell>
          <cell r="F233">
            <v>1</v>
          </cell>
          <cell r="G233" t="str">
            <v>CB100404000600</v>
          </cell>
          <cell r="H233">
            <v>6</v>
          </cell>
          <cell r="I233" t="str">
            <v>--</v>
          </cell>
          <cell r="J233">
            <v>8.8000000000000007</v>
          </cell>
          <cell r="K233">
            <v>10.6</v>
          </cell>
        </row>
        <row r="234">
          <cell r="A234" t="str">
            <v>M1</v>
          </cell>
          <cell r="B234" t="str">
            <v>A5C</v>
          </cell>
          <cell r="C234" t="str">
            <v>P</v>
          </cell>
          <cell r="D234" t="str">
            <v>22023</v>
          </cell>
          <cell r="E234" t="str">
            <v>PIPE</v>
          </cell>
          <cell r="F234">
            <v>1</v>
          </cell>
          <cell r="G234" t="str">
            <v>CB100404000600</v>
          </cell>
          <cell r="H234">
            <v>6</v>
          </cell>
          <cell r="I234" t="str">
            <v>--</v>
          </cell>
          <cell r="J234">
            <v>12.1</v>
          </cell>
          <cell r="K234">
            <v>14.6</v>
          </cell>
        </row>
        <row r="235">
          <cell r="A235" t="str">
            <v>M1</v>
          </cell>
          <cell r="B235" t="str">
            <v>A5C</v>
          </cell>
          <cell r="C235" t="str">
            <v>P</v>
          </cell>
          <cell r="D235" t="str">
            <v>22028</v>
          </cell>
          <cell r="E235" t="str">
            <v>PIPE</v>
          </cell>
          <cell r="F235">
            <v>1</v>
          </cell>
          <cell r="G235" t="str">
            <v>CB100404000600</v>
          </cell>
          <cell r="H235">
            <v>6</v>
          </cell>
          <cell r="I235" t="str">
            <v>--</v>
          </cell>
          <cell r="J235">
            <v>12.8</v>
          </cell>
          <cell r="K235">
            <v>15.4</v>
          </cell>
        </row>
        <row r="236">
          <cell r="A236" t="str">
            <v>M1</v>
          </cell>
          <cell r="B236" t="str">
            <v>A5C</v>
          </cell>
          <cell r="C236" t="str">
            <v>P</v>
          </cell>
          <cell r="D236" t="str">
            <v>22065</v>
          </cell>
          <cell r="E236" t="str">
            <v>PIPE</v>
          </cell>
          <cell r="F236">
            <v>1</v>
          </cell>
          <cell r="G236" t="str">
            <v>CB100404000600</v>
          </cell>
          <cell r="H236">
            <v>6</v>
          </cell>
          <cell r="I236" t="str">
            <v>--</v>
          </cell>
          <cell r="J236">
            <v>13.9</v>
          </cell>
          <cell r="K236">
            <v>16.7</v>
          </cell>
        </row>
        <row r="237">
          <cell r="A237" t="str">
            <v>M1</v>
          </cell>
          <cell r="B237" t="str">
            <v>A5C</v>
          </cell>
          <cell r="C237" t="str">
            <v>P</v>
          </cell>
          <cell r="D237" t="str">
            <v>22139</v>
          </cell>
          <cell r="E237" t="str">
            <v>PIPE</v>
          </cell>
          <cell r="F237">
            <v>1</v>
          </cell>
          <cell r="G237" t="str">
            <v>CB100404000600</v>
          </cell>
          <cell r="H237">
            <v>6</v>
          </cell>
          <cell r="I237" t="str">
            <v>--</v>
          </cell>
          <cell r="J237">
            <v>14.7</v>
          </cell>
          <cell r="K237">
            <v>17.7</v>
          </cell>
        </row>
        <row r="238">
          <cell r="A238" t="str">
            <v>M1</v>
          </cell>
          <cell r="B238" t="str">
            <v>B1C</v>
          </cell>
          <cell r="C238" t="str">
            <v>P</v>
          </cell>
          <cell r="D238" t="str">
            <v>22029</v>
          </cell>
          <cell r="E238" t="str">
            <v>PIPE</v>
          </cell>
          <cell r="F238">
            <v>1</v>
          </cell>
          <cell r="G238" t="str">
            <v>CB100404000600</v>
          </cell>
          <cell r="H238">
            <v>6</v>
          </cell>
          <cell r="I238" t="str">
            <v>--</v>
          </cell>
          <cell r="J238">
            <v>14.7</v>
          </cell>
          <cell r="K238">
            <v>17.7</v>
          </cell>
        </row>
        <row r="239">
          <cell r="A239" t="str">
            <v>M1</v>
          </cell>
          <cell r="B239" t="str">
            <v>A5C</v>
          </cell>
          <cell r="C239" t="str">
            <v>WW</v>
          </cell>
          <cell r="D239" t="str">
            <v>22601</v>
          </cell>
          <cell r="E239" t="str">
            <v>PIPE</v>
          </cell>
          <cell r="F239">
            <v>1</v>
          </cell>
          <cell r="G239" t="str">
            <v>CB100404000600</v>
          </cell>
          <cell r="H239">
            <v>6</v>
          </cell>
          <cell r="I239" t="str">
            <v>--</v>
          </cell>
          <cell r="J239">
            <v>15</v>
          </cell>
          <cell r="K239">
            <v>18</v>
          </cell>
        </row>
        <row r="240">
          <cell r="A240" t="str">
            <v>M1</v>
          </cell>
          <cell r="B240" t="str">
            <v>A5C</v>
          </cell>
          <cell r="C240" t="str">
            <v>P</v>
          </cell>
          <cell r="D240" t="str">
            <v>22019</v>
          </cell>
          <cell r="E240" t="str">
            <v>PIPE</v>
          </cell>
          <cell r="F240">
            <v>1</v>
          </cell>
          <cell r="G240" t="str">
            <v>CB1004040006000600</v>
          </cell>
          <cell r="H240">
            <v>6</v>
          </cell>
          <cell r="I240" t="str">
            <v>--</v>
          </cell>
          <cell r="J240">
            <v>17</v>
          </cell>
          <cell r="K240">
            <v>20.399999999999999</v>
          </cell>
        </row>
        <row r="241">
          <cell r="A241" t="str">
            <v>M1</v>
          </cell>
          <cell r="B241" t="str">
            <v>A5C</v>
          </cell>
          <cell r="C241" t="str">
            <v>P</v>
          </cell>
          <cell r="D241" t="str">
            <v>22048</v>
          </cell>
          <cell r="E241" t="str">
            <v>PIPE</v>
          </cell>
          <cell r="F241">
            <v>1</v>
          </cell>
          <cell r="G241" t="str">
            <v>CB1004040006000600</v>
          </cell>
          <cell r="H241">
            <v>6</v>
          </cell>
          <cell r="I241" t="str">
            <v>--</v>
          </cell>
          <cell r="J241">
            <v>17.5</v>
          </cell>
          <cell r="K241">
            <v>21</v>
          </cell>
        </row>
        <row r="242">
          <cell r="A242" t="str">
            <v>M1</v>
          </cell>
          <cell r="B242" t="str">
            <v>A5C</v>
          </cell>
          <cell r="C242" t="str">
            <v>P</v>
          </cell>
          <cell r="D242" t="str">
            <v>22048</v>
          </cell>
          <cell r="E242" t="str">
            <v>PIPE</v>
          </cell>
          <cell r="F242">
            <v>1</v>
          </cell>
          <cell r="G242" t="str">
            <v>CB1004040006000600</v>
          </cell>
          <cell r="H242">
            <v>6</v>
          </cell>
          <cell r="I242" t="str">
            <v>--</v>
          </cell>
          <cell r="J242">
            <v>19.5</v>
          </cell>
          <cell r="K242">
            <v>23.4</v>
          </cell>
        </row>
        <row r="243">
          <cell r="A243" t="str">
            <v>M1</v>
          </cell>
          <cell r="B243" t="str">
            <v>A5C</v>
          </cell>
          <cell r="C243" t="str">
            <v>P</v>
          </cell>
          <cell r="D243" t="str">
            <v>22020</v>
          </cell>
          <cell r="E243" t="str">
            <v>PIPE</v>
          </cell>
          <cell r="F243">
            <v>1</v>
          </cell>
          <cell r="G243" t="str">
            <v>CB1004040006000600</v>
          </cell>
          <cell r="H243">
            <v>6</v>
          </cell>
          <cell r="I243" t="str">
            <v>--</v>
          </cell>
          <cell r="J243">
            <v>45.9</v>
          </cell>
          <cell r="K243">
            <v>55.1</v>
          </cell>
        </row>
        <row r="244">
          <cell r="A244" t="str">
            <v>M1</v>
          </cell>
          <cell r="B244" t="str">
            <v>A5C</v>
          </cell>
          <cell r="C244" t="str">
            <v>WW</v>
          </cell>
          <cell r="D244" t="str">
            <v>22601</v>
          </cell>
          <cell r="E244" t="str">
            <v>PIPE</v>
          </cell>
          <cell r="F244">
            <v>1</v>
          </cell>
          <cell r="G244" t="str">
            <v>CB100404000600</v>
          </cell>
          <cell r="H244">
            <v>6</v>
          </cell>
          <cell r="I244" t="str">
            <v>--</v>
          </cell>
          <cell r="J244">
            <v>49</v>
          </cell>
          <cell r="K244">
            <v>58.8</v>
          </cell>
        </row>
        <row r="245">
          <cell r="A245" t="str">
            <v>M1</v>
          </cell>
          <cell r="B245" t="str">
            <v>A6C</v>
          </cell>
          <cell r="C245" t="str">
            <v>HOS</v>
          </cell>
          <cell r="D245" t="str">
            <v>65631</v>
          </cell>
          <cell r="E245" t="str">
            <v>PIPE</v>
          </cell>
          <cell r="F245">
            <v>1</v>
          </cell>
          <cell r="G245" t="str">
            <v>CB100404000800</v>
          </cell>
          <cell r="H245">
            <v>8</v>
          </cell>
          <cell r="I245" t="str">
            <v>--</v>
          </cell>
          <cell r="J245">
            <v>0.9</v>
          </cell>
          <cell r="K245">
            <v>1.1000000000000001</v>
          </cell>
        </row>
        <row r="246">
          <cell r="A246" t="str">
            <v>M1</v>
          </cell>
          <cell r="B246" t="str">
            <v>A6C</v>
          </cell>
          <cell r="C246" t="str">
            <v>HOR</v>
          </cell>
          <cell r="D246" t="str">
            <v>65615</v>
          </cell>
          <cell r="E246" t="str">
            <v>PIPE</v>
          </cell>
          <cell r="F246">
            <v>1</v>
          </cell>
          <cell r="G246" t="str">
            <v>CB100404000800</v>
          </cell>
          <cell r="H246">
            <v>8</v>
          </cell>
          <cell r="I246" t="str">
            <v>--</v>
          </cell>
          <cell r="J246">
            <v>1.6</v>
          </cell>
          <cell r="K246">
            <v>2</v>
          </cell>
        </row>
        <row r="247">
          <cell r="A247" t="str">
            <v>M1</v>
          </cell>
          <cell r="B247" t="str">
            <v>A5C</v>
          </cell>
          <cell r="C247" t="str">
            <v>P</v>
          </cell>
          <cell r="D247" t="str">
            <v>22074</v>
          </cell>
          <cell r="E247" t="str">
            <v>PIPE</v>
          </cell>
          <cell r="F247">
            <v>1</v>
          </cell>
          <cell r="G247" t="str">
            <v>CB100404000800</v>
          </cell>
          <cell r="H247">
            <v>8</v>
          </cell>
          <cell r="I247" t="str">
            <v>--</v>
          </cell>
          <cell r="J247">
            <v>1.8</v>
          </cell>
          <cell r="K247">
            <v>2.2000000000000002</v>
          </cell>
        </row>
        <row r="248">
          <cell r="A248" t="str">
            <v>M1</v>
          </cell>
          <cell r="B248" t="str">
            <v>A6C</v>
          </cell>
          <cell r="C248" t="str">
            <v>HOR</v>
          </cell>
          <cell r="D248" t="str">
            <v>65621</v>
          </cell>
          <cell r="E248" t="str">
            <v>PIPE</v>
          </cell>
          <cell r="F248">
            <v>1</v>
          </cell>
          <cell r="G248" t="str">
            <v>CB100404000800</v>
          </cell>
          <cell r="H248">
            <v>8</v>
          </cell>
          <cell r="I248" t="str">
            <v>--</v>
          </cell>
          <cell r="J248">
            <v>2.2000000000000002</v>
          </cell>
          <cell r="K248">
            <v>2.7</v>
          </cell>
        </row>
        <row r="249">
          <cell r="A249" t="str">
            <v>M1</v>
          </cell>
          <cell r="B249" t="str">
            <v>A6C</v>
          </cell>
          <cell r="C249" t="str">
            <v>HOS</v>
          </cell>
          <cell r="D249" t="str">
            <v>65619</v>
          </cell>
          <cell r="E249" t="str">
            <v>PIPE</v>
          </cell>
          <cell r="F249">
            <v>1</v>
          </cell>
          <cell r="G249" t="str">
            <v>CB100404000800</v>
          </cell>
          <cell r="H249">
            <v>8</v>
          </cell>
          <cell r="I249" t="str">
            <v>--</v>
          </cell>
          <cell r="J249">
            <v>2.7</v>
          </cell>
          <cell r="K249">
            <v>3.3</v>
          </cell>
        </row>
        <row r="250">
          <cell r="A250" t="str">
            <v>M1</v>
          </cell>
          <cell r="B250" t="str">
            <v>A5C</v>
          </cell>
          <cell r="C250" t="str">
            <v>P</v>
          </cell>
          <cell r="D250" t="str">
            <v>22044</v>
          </cell>
          <cell r="E250" t="str">
            <v>PIPE</v>
          </cell>
          <cell r="F250">
            <v>1</v>
          </cell>
          <cell r="G250" t="str">
            <v>CB100404000800</v>
          </cell>
          <cell r="H250">
            <v>8</v>
          </cell>
          <cell r="I250" t="str">
            <v>--</v>
          </cell>
          <cell r="J250">
            <v>3.6</v>
          </cell>
          <cell r="K250">
            <v>4.4000000000000004</v>
          </cell>
        </row>
        <row r="251">
          <cell r="A251" t="str">
            <v>M1</v>
          </cell>
          <cell r="B251" t="str">
            <v>A6C</v>
          </cell>
          <cell r="C251" t="str">
            <v>HOS</v>
          </cell>
          <cell r="D251" t="str">
            <v>65613</v>
          </cell>
          <cell r="E251" t="str">
            <v>PIPE</v>
          </cell>
          <cell r="F251">
            <v>1</v>
          </cell>
          <cell r="G251" t="str">
            <v>CB100404000800</v>
          </cell>
          <cell r="H251">
            <v>8</v>
          </cell>
          <cell r="I251" t="str">
            <v>--</v>
          </cell>
          <cell r="J251">
            <v>3.6</v>
          </cell>
          <cell r="K251">
            <v>4.4000000000000004</v>
          </cell>
        </row>
        <row r="252">
          <cell r="A252" t="str">
            <v>M1</v>
          </cell>
          <cell r="B252" t="str">
            <v>A6C</v>
          </cell>
          <cell r="C252" t="str">
            <v>HOS</v>
          </cell>
          <cell r="D252" t="str">
            <v>65624</v>
          </cell>
          <cell r="E252" t="str">
            <v>PIPE</v>
          </cell>
          <cell r="F252">
            <v>1</v>
          </cell>
          <cell r="G252" t="str">
            <v>CB100404000800</v>
          </cell>
          <cell r="H252">
            <v>8</v>
          </cell>
          <cell r="I252" t="str">
            <v>--</v>
          </cell>
          <cell r="J252">
            <v>3.7</v>
          </cell>
          <cell r="K252">
            <v>4.5</v>
          </cell>
        </row>
        <row r="253">
          <cell r="A253" t="str">
            <v>M1</v>
          </cell>
          <cell r="B253" t="str">
            <v>A6C</v>
          </cell>
          <cell r="C253" t="str">
            <v>HOS</v>
          </cell>
          <cell r="D253" t="str">
            <v>65617</v>
          </cell>
          <cell r="E253" t="str">
            <v>PIPE</v>
          </cell>
          <cell r="F253">
            <v>1</v>
          </cell>
          <cell r="G253" t="str">
            <v>CB100404000800</v>
          </cell>
          <cell r="H253">
            <v>8</v>
          </cell>
          <cell r="I253" t="str">
            <v>--</v>
          </cell>
          <cell r="J253">
            <v>4</v>
          </cell>
          <cell r="K253">
            <v>4.8</v>
          </cell>
        </row>
        <row r="254">
          <cell r="A254" t="str">
            <v>M1</v>
          </cell>
          <cell r="B254" t="str">
            <v>A6C</v>
          </cell>
          <cell r="C254" t="str">
            <v>HOR</v>
          </cell>
          <cell r="D254" t="str">
            <v>65619</v>
          </cell>
          <cell r="E254" t="str">
            <v>PIPE</v>
          </cell>
          <cell r="F254">
            <v>1</v>
          </cell>
          <cell r="G254" t="str">
            <v>CB100404000800</v>
          </cell>
          <cell r="H254">
            <v>8</v>
          </cell>
          <cell r="I254" t="str">
            <v>--</v>
          </cell>
          <cell r="J254">
            <v>4.4000000000000004</v>
          </cell>
          <cell r="K254">
            <v>5.3</v>
          </cell>
        </row>
        <row r="255">
          <cell r="A255" t="str">
            <v>M1</v>
          </cell>
          <cell r="B255" t="str">
            <v>A6C</v>
          </cell>
          <cell r="C255" t="str">
            <v>HOS</v>
          </cell>
          <cell r="D255" t="str">
            <v>65624</v>
          </cell>
          <cell r="E255" t="str">
            <v>PIPE</v>
          </cell>
          <cell r="F255">
            <v>1</v>
          </cell>
          <cell r="G255" t="str">
            <v>CB100404000800</v>
          </cell>
          <cell r="H255">
            <v>8</v>
          </cell>
          <cell r="I255" t="str">
            <v>--</v>
          </cell>
          <cell r="J255">
            <v>6</v>
          </cell>
          <cell r="K255">
            <v>7.2</v>
          </cell>
        </row>
        <row r="256">
          <cell r="A256" t="str">
            <v>M1</v>
          </cell>
          <cell r="B256" t="str">
            <v>A6C</v>
          </cell>
          <cell r="C256" t="str">
            <v>HOS</v>
          </cell>
          <cell r="D256" t="str">
            <v>65613</v>
          </cell>
          <cell r="E256" t="str">
            <v>PIPE</v>
          </cell>
          <cell r="F256">
            <v>1</v>
          </cell>
          <cell r="G256" t="str">
            <v>CB100404000800</v>
          </cell>
          <cell r="H256">
            <v>8</v>
          </cell>
          <cell r="I256" t="str">
            <v>--</v>
          </cell>
          <cell r="J256">
            <v>6.5</v>
          </cell>
          <cell r="K256">
            <v>7.8</v>
          </cell>
        </row>
        <row r="257">
          <cell r="A257" t="str">
            <v>M1</v>
          </cell>
          <cell r="B257" t="str">
            <v>A6C</v>
          </cell>
          <cell r="C257" t="str">
            <v>HOS</v>
          </cell>
          <cell r="D257" t="str">
            <v>65624</v>
          </cell>
          <cell r="E257" t="str">
            <v>PIPE</v>
          </cell>
          <cell r="F257">
            <v>1</v>
          </cell>
          <cell r="G257" t="str">
            <v>CB100404000800</v>
          </cell>
          <cell r="H257">
            <v>8</v>
          </cell>
          <cell r="I257" t="str">
            <v>--</v>
          </cell>
          <cell r="J257">
            <v>7</v>
          </cell>
          <cell r="K257">
            <v>8.4</v>
          </cell>
        </row>
        <row r="258">
          <cell r="A258" t="str">
            <v>M1</v>
          </cell>
          <cell r="B258" t="str">
            <v>A6C</v>
          </cell>
          <cell r="C258" t="str">
            <v>HOS</v>
          </cell>
          <cell r="D258" t="str">
            <v>65624</v>
          </cell>
          <cell r="E258" t="str">
            <v>PIPE</v>
          </cell>
          <cell r="F258">
            <v>1</v>
          </cell>
          <cell r="G258" t="str">
            <v>CB100404000800</v>
          </cell>
          <cell r="H258">
            <v>8</v>
          </cell>
          <cell r="I258" t="str">
            <v>--</v>
          </cell>
          <cell r="J258">
            <v>7.1</v>
          </cell>
          <cell r="K258">
            <v>8.6</v>
          </cell>
        </row>
        <row r="259">
          <cell r="A259" t="str">
            <v>M1</v>
          </cell>
          <cell r="B259" t="str">
            <v>A6C</v>
          </cell>
          <cell r="C259" t="str">
            <v>HOS</v>
          </cell>
          <cell r="D259" t="str">
            <v>65615</v>
          </cell>
          <cell r="E259" t="str">
            <v>PIPE</v>
          </cell>
          <cell r="F259">
            <v>1</v>
          </cell>
          <cell r="G259" t="str">
            <v>CB100404000800</v>
          </cell>
          <cell r="H259">
            <v>8</v>
          </cell>
          <cell r="I259" t="str">
            <v>--</v>
          </cell>
          <cell r="J259">
            <v>7.4</v>
          </cell>
          <cell r="K259">
            <v>8.9</v>
          </cell>
        </row>
        <row r="260">
          <cell r="A260" t="str">
            <v>M1</v>
          </cell>
          <cell r="B260" t="str">
            <v>A5C</v>
          </cell>
          <cell r="C260" t="str">
            <v>COMP</v>
          </cell>
          <cell r="D260" t="str">
            <v>004</v>
          </cell>
          <cell r="E260" t="str">
            <v>PIPE</v>
          </cell>
          <cell r="F260">
            <v>1</v>
          </cell>
          <cell r="G260" t="str">
            <v>CB100404000800</v>
          </cell>
          <cell r="H260">
            <v>8</v>
          </cell>
          <cell r="I260" t="str">
            <v>--</v>
          </cell>
          <cell r="J260">
            <v>8</v>
          </cell>
          <cell r="K260">
            <v>9.6</v>
          </cell>
        </row>
        <row r="261">
          <cell r="A261" t="str">
            <v>M1</v>
          </cell>
          <cell r="B261" t="str">
            <v>A5C</v>
          </cell>
          <cell r="C261" t="str">
            <v>P</v>
          </cell>
          <cell r="D261" t="str">
            <v>22011</v>
          </cell>
          <cell r="E261" t="str">
            <v>PIPE</v>
          </cell>
          <cell r="F261">
            <v>1</v>
          </cell>
          <cell r="G261" t="str">
            <v>CB100404000800</v>
          </cell>
          <cell r="H261">
            <v>8</v>
          </cell>
          <cell r="I261" t="str">
            <v>--</v>
          </cell>
          <cell r="J261">
            <v>8</v>
          </cell>
          <cell r="K261">
            <v>9.6</v>
          </cell>
        </row>
        <row r="262">
          <cell r="A262" t="str">
            <v>M1</v>
          </cell>
          <cell r="B262" t="str">
            <v>A6C</v>
          </cell>
          <cell r="C262" t="str">
            <v>HOR</v>
          </cell>
          <cell r="D262" t="str">
            <v>65611</v>
          </cell>
          <cell r="E262" t="str">
            <v>PIPE</v>
          </cell>
          <cell r="F262">
            <v>1</v>
          </cell>
          <cell r="G262" t="str">
            <v>CB100404000800</v>
          </cell>
          <cell r="H262">
            <v>8</v>
          </cell>
          <cell r="I262" t="str">
            <v>--</v>
          </cell>
          <cell r="J262">
            <v>8.1999999999999993</v>
          </cell>
          <cell r="K262">
            <v>9.9</v>
          </cell>
        </row>
        <row r="263">
          <cell r="A263" t="str">
            <v>M1</v>
          </cell>
          <cell r="B263" t="str">
            <v>A6C</v>
          </cell>
          <cell r="C263" t="str">
            <v>HOR</v>
          </cell>
          <cell r="D263" t="str">
            <v>65611</v>
          </cell>
          <cell r="E263" t="str">
            <v>PIPE</v>
          </cell>
          <cell r="F263">
            <v>1</v>
          </cell>
          <cell r="G263" t="str">
            <v>CB100404000800</v>
          </cell>
          <cell r="H263">
            <v>8</v>
          </cell>
          <cell r="I263" t="str">
            <v>--</v>
          </cell>
          <cell r="J263">
            <v>8.5</v>
          </cell>
          <cell r="K263">
            <v>10.199999999999999</v>
          </cell>
        </row>
        <row r="264">
          <cell r="A264" t="str">
            <v>M1</v>
          </cell>
          <cell r="B264" t="str">
            <v>A6C</v>
          </cell>
          <cell r="C264" t="str">
            <v>HOS</v>
          </cell>
          <cell r="D264" t="str">
            <v>65613</v>
          </cell>
          <cell r="E264" t="str">
            <v>PIPE</v>
          </cell>
          <cell r="F264">
            <v>1</v>
          </cell>
          <cell r="G264" t="str">
            <v>CB100404000800</v>
          </cell>
          <cell r="H264">
            <v>8</v>
          </cell>
          <cell r="I264" t="str">
            <v>--</v>
          </cell>
          <cell r="J264">
            <v>9.1</v>
          </cell>
          <cell r="K264">
            <v>11</v>
          </cell>
        </row>
        <row r="265">
          <cell r="A265" t="str">
            <v>M1</v>
          </cell>
          <cell r="B265" t="str">
            <v>A6C</v>
          </cell>
          <cell r="C265" t="str">
            <v>HOS</v>
          </cell>
          <cell r="D265" t="str">
            <v>65625</v>
          </cell>
          <cell r="E265" t="str">
            <v>PIPE</v>
          </cell>
          <cell r="F265">
            <v>1</v>
          </cell>
          <cell r="G265" t="str">
            <v>CB100404000800</v>
          </cell>
          <cell r="H265">
            <v>8</v>
          </cell>
          <cell r="I265" t="str">
            <v>--</v>
          </cell>
          <cell r="J265">
            <v>9.5</v>
          </cell>
          <cell r="K265">
            <v>11.4</v>
          </cell>
        </row>
        <row r="266">
          <cell r="A266" t="str">
            <v>M1</v>
          </cell>
          <cell r="B266" t="str">
            <v>A6C</v>
          </cell>
          <cell r="C266" t="str">
            <v>HOR</v>
          </cell>
          <cell r="D266" t="str">
            <v>65611</v>
          </cell>
          <cell r="E266" t="str">
            <v>PIPE</v>
          </cell>
          <cell r="F266">
            <v>1</v>
          </cell>
          <cell r="G266" t="str">
            <v>CB100404000800</v>
          </cell>
          <cell r="H266">
            <v>8</v>
          </cell>
          <cell r="I266" t="str">
            <v>--</v>
          </cell>
          <cell r="J266">
            <v>14.2</v>
          </cell>
          <cell r="K266">
            <v>17.100000000000001</v>
          </cell>
        </row>
        <row r="267">
          <cell r="A267" t="str">
            <v>M1</v>
          </cell>
          <cell r="B267" t="str">
            <v>A6C</v>
          </cell>
          <cell r="C267" t="str">
            <v>HOR</v>
          </cell>
          <cell r="D267" t="str">
            <v>65619</v>
          </cell>
          <cell r="E267" t="str">
            <v>PIPE</v>
          </cell>
          <cell r="F267">
            <v>1</v>
          </cell>
          <cell r="G267" t="str">
            <v>CB100404000800</v>
          </cell>
          <cell r="H267">
            <v>8</v>
          </cell>
          <cell r="I267" t="str">
            <v>--</v>
          </cell>
          <cell r="J267">
            <v>19.5</v>
          </cell>
          <cell r="K267">
            <v>23.4</v>
          </cell>
        </row>
        <row r="268">
          <cell r="A268" t="str">
            <v>M1</v>
          </cell>
          <cell r="B268" t="str">
            <v>A6C</v>
          </cell>
          <cell r="C268" t="str">
            <v>HOS</v>
          </cell>
          <cell r="D268" t="str">
            <v>65627</v>
          </cell>
          <cell r="E268" t="str">
            <v>PIPE</v>
          </cell>
          <cell r="F268">
            <v>1</v>
          </cell>
          <cell r="G268" t="str">
            <v>CB100404000800</v>
          </cell>
          <cell r="H268">
            <v>8</v>
          </cell>
          <cell r="I268" t="str">
            <v>--</v>
          </cell>
          <cell r="J268">
            <v>25.8</v>
          </cell>
          <cell r="K268">
            <v>31</v>
          </cell>
        </row>
        <row r="269">
          <cell r="A269" t="str">
            <v>M1</v>
          </cell>
          <cell r="B269" t="str">
            <v>A6C</v>
          </cell>
          <cell r="C269" t="str">
            <v>HOS</v>
          </cell>
          <cell r="D269" t="str">
            <v>65624</v>
          </cell>
          <cell r="E269" t="str">
            <v>PIPE</v>
          </cell>
          <cell r="F269">
            <v>1</v>
          </cell>
          <cell r="G269" t="str">
            <v>CB100404000800</v>
          </cell>
          <cell r="H269">
            <v>8</v>
          </cell>
          <cell r="I269" t="str">
            <v>--</v>
          </cell>
          <cell r="J269">
            <v>33.4</v>
          </cell>
          <cell r="K269">
            <v>40.1</v>
          </cell>
        </row>
        <row r="270">
          <cell r="A270" t="str">
            <v>M1</v>
          </cell>
          <cell r="B270" t="str">
            <v>A6C</v>
          </cell>
          <cell r="C270" t="str">
            <v>HOR</v>
          </cell>
          <cell r="D270" t="str">
            <v>65621</v>
          </cell>
          <cell r="E270" t="str">
            <v>PIPE</v>
          </cell>
          <cell r="F270">
            <v>1</v>
          </cell>
          <cell r="G270" t="str">
            <v>CB100404000800</v>
          </cell>
          <cell r="H270">
            <v>8</v>
          </cell>
          <cell r="I270" t="str">
            <v>--</v>
          </cell>
          <cell r="J270">
            <v>34.799999999999997</v>
          </cell>
          <cell r="K270">
            <v>41.8</v>
          </cell>
        </row>
        <row r="271">
          <cell r="A271" t="str">
            <v>M1</v>
          </cell>
          <cell r="B271" t="str">
            <v>A6C</v>
          </cell>
          <cell r="C271" t="str">
            <v>HOR</v>
          </cell>
          <cell r="D271" t="str">
            <v>65615</v>
          </cell>
          <cell r="E271" t="str">
            <v>PIPE</v>
          </cell>
          <cell r="F271">
            <v>1</v>
          </cell>
          <cell r="G271" t="str">
            <v>CB100404000800</v>
          </cell>
          <cell r="H271">
            <v>8</v>
          </cell>
          <cell r="I271" t="str">
            <v>--</v>
          </cell>
          <cell r="J271">
            <v>37.200000000000003</v>
          </cell>
          <cell r="K271">
            <v>44.7</v>
          </cell>
        </row>
        <row r="272">
          <cell r="A272" t="str">
            <v>M1</v>
          </cell>
          <cell r="B272" t="str">
            <v>A4C</v>
          </cell>
          <cell r="C272" t="str">
            <v>P</v>
          </cell>
          <cell r="D272" t="str">
            <v>22008</v>
          </cell>
          <cell r="E272" t="str">
            <v>PIPE</v>
          </cell>
          <cell r="F272">
            <v>1</v>
          </cell>
          <cell r="G272" t="str">
            <v>CB110404001000</v>
          </cell>
          <cell r="H272">
            <v>10</v>
          </cell>
          <cell r="I272" t="str">
            <v>--</v>
          </cell>
          <cell r="J272">
            <v>5.9</v>
          </cell>
          <cell r="K272">
            <v>6.5</v>
          </cell>
        </row>
        <row r="273">
          <cell r="A273" t="str">
            <v>M1</v>
          </cell>
          <cell r="B273" t="str">
            <v>A5C</v>
          </cell>
          <cell r="C273" t="str">
            <v>P</v>
          </cell>
          <cell r="D273" t="str">
            <v>22073</v>
          </cell>
          <cell r="E273" t="str">
            <v>PIPE</v>
          </cell>
          <cell r="F273">
            <v>1</v>
          </cell>
          <cell r="G273" t="str">
            <v>CB100404001000</v>
          </cell>
          <cell r="H273">
            <v>10</v>
          </cell>
          <cell r="I273" t="str">
            <v>--</v>
          </cell>
          <cell r="J273">
            <v>6.8</v>
          </cell>
          <cell r="K273">
            <v>7.5</v>
          </cell>
        </row>
        <row r="274">
          <cell r="A274" t="str">
            <v>M1</v>
          </cell>
          <cell r="B274" t="str">
            <v>A5C</v>
          </cell>
          <cell r="C274" t="str">
            <v>P</v>
          </cell>
          <cell r="D274" t="str">
            <v>22074</v>
          </cell>
          <cell r="E274" t="str">
            <v>PIPE</v>
          </cell>
          <cell r="F274">
            <v>1</v>
          </cell>
          <cell r="G274" t="str">
            <v>CB100404001000</v>
          </cell>
          <cell r="H274">
            <v>10</v>
          </cell>
          <cell r="I274" t="str">
            <v>--</v>
          </cell>
          <cell r="J274">
            <v>7.9</v>
          </cell>
          <cell r="K274">
            <v>8.6999999999999993</v>
          </cell>
        </row>
        <row r="275">
          <cell r="A275" t="str">
            <v>M1</v>
          </cell>
          <cell r="B275" t="str">
            <v>A5C</v>
          </cell>
          <cell r="C275" t="str">
            <v>P</v>
          </cell>
          <cell r="D275" t="str">
            <v>22075</v>
          </cell>
          <cell r="E275" t="str">
            <v>PIPE</v>
          </cell>
          <cell r="F275">
            <v>1</v>
          </cell>
          <cell r="G275" t="str">
            <v>CB100404001000</v>
          </cell>
          <cell r="H275">
            <v>10</v>
          </cell>
          <cell r="I275" t="str">
            <v>--</v>
          </cell>
          <cell r="J275">
            <v>8.3000000000000007</v>
          </cell>
          <cell r="K275">
            <v>9.1999999999999993</v>
          </cell>
        </row>
        <row r="276">
          <cell r="A276" t="str">
            <v>M1</v>
          </cell>
          <cell r="B276" t="str">
            <v>A5C</v>
          </cell>
          <cell r="C276" t="str">
            <v>P</v>
          </cell>
          <cell r="D276" t="str">
            <v>22062</v>
          </cell>
          <cell r="E276" t="str">
            <v>PIPE</v>
          </cell>
          <cell r="F276">
            <v>1</v>
          </cell>
          <cell r="G276" t="str">
            <v>CB100404001000</v>
          </cell>
          <cell r="H276">
            <v>10</v>
          </cell>
          <cell r="I276" t="str">
            <v>--</v>
          </cell>
          <cell r="J276">
            <v>9.3000000000000007</v>
          </cell>
          <cell r="K276">
            <v>10.3</v>
          </cell>
        </row>
        <row r="277">
          <cell r="A277" t="str">
            <v>M1</v>
          </cell>
          <cell r="B277" t="str">
            <v>A4C</v>
          </cell>
          <cell r="C277" t="str">
            <v>P</v>
          </cell>
          <cell r="D277" t="str">
            <v>22080</v>
          </cell>
          <cell r="E277" t="str">
            <v>PIPE</v>
          </cell>
          <cell r="F277">
            <v>1</v>
          </cell>
          <cell r="G277" t="str">
            <v>CB110404001000</v>
          </cell>
          <cell r="H277">
            <v>10</v>
          </cell>
          <cell r="I277" t="str">
            <v>--</v>
          </cell>
          <cell r="J277">
            <v>9.3000000000000007</v>
          </cell>
          <cell r="K277">
            <v>10.3</v>
          </cell>
        </row>
        <row r="278">
          <cell r="A278" t="str">
            <v>M1</v>
          </cell>
          <cell r="B278" t="str">
            <v>A5C</v>
          </cell>
          <cell r="C278" t="str">
            <v>P</v>
          </cell>
          <cell r="D278" t="str">
            <v>22060</v>
          </cell>
          <cell r="E278" t="str">
            <v>PIPE</v>
          </cell>
          <cell r="F278">
            <v>1</v>
          </cell>
          <cell r="G278" t="str">
            <v>CB100404001000</v>
          </cell>
          <cell r="H278">
            <v>10</v>
          </cell>
          <cell r="I278" t="str">
            <v>--</v>
          </cell>
          <cell r="J278">
            <v>9.4</v>
          </cell>
          <cell r="K278">
            <v>10.4</v>
          </cell>
        </row>
        <row r="279">
          <cell r="A279" t="str">
            <v>M1</v>
          </cell>
          <cell r="B279" t="str">
            <v>A5C</v>
          </cell>
          <cell r="C279" t="str">
            <v>P</v>
          </cell>
          <cell r="D279" t="str">
            <v>22077</v>
          </cell>
          <cell r="E279" t="str">
            <v>PIPE</v>
          </cell>
          <cell r="F279">
            <v>1</v>
          </cell>
          <cell r="G279" t="str">
            <v>CB100404001000</v>
          </cell>
          <cell r="H279">
            <v>10</v>
          </cell>
          <cell r="I279" t="str">
            <v>--</v>
          </cell>
          <cell r="J279">
            <v>13.4</v>
          </cell>
          <cell r="K279">
            <v>14.8</v>
          </cell>
        </row>
        <row r="280">
          <cell r="A280" t="str">
            <v>M1</v>
          </cell>
          <cell r="B280" t="str">
            <v>A4C</v>
          </cell>
          <cell r="C280" t="str">
            <v>P</v>
          </cell>
          <cell r="D280" t="str">
            <v>22008</v>
          </cell>
          <cell r="E280" t="str">
            <v>PIPE</v>
          </cell>
          <cell r="F280">
            <v>1</v>
          </cell>
          <cell r="G280" t="str">
            <v>CB110404001000</v>
          </cell>
          <cell r="H280">
            <v>10</v>
          </cell>
          <cell r="I280" t="str">
            <v>--</v>
          </cell>
          <cell r="J280">
            <v>22.7</v>
          </cell>
          <cell r="K280">
            <v>25</v>
          </cell>
        </row>
        <row r="281">
          <cell r="A281" t="str">
            <v>M1</v>
          </cell>
          <cell r="B281" t="str">
            <v>A4C</v>
          </cell>
          <cell r="C281" t="str">
            <v>P</v>
          </cell>
          <cell r="D281" t="str">
            <v>22008</v>
          </cell>
          <cell r="E281" t="str">
            <v>PIPE</v>
          </cell>
          <cell r="F281">
            <v>1</v>
          </cell>
          <cell r="G281" t="str">
            <v>CB110404001000</v>
          </cell>
          <cell r="H281">
            <v>10</v>
          </cell>
          <cell r="I281" t="str">
            <v>--</v>
          </cell>
          <cell r="J281">
            <v>25.4</v>
          </cell>
          <cell r="K281">
            <v>28</v>
          </cell>
        </row>
        <row r="282">
          <cell r="A282" t="str">
            <v>M1</v>
          </cell>
          <cell r="B282" t="str">
            <v>A5C</v>
          </cell>
          <cell r="C282" t="str">
            <v>P</v>
          </cell>
          <cell r="D282" t="str">
            <v>22062</v>
          </cell>
          <cell r="E282" t="str">
            <v>PIPE</v>
          </cell>
          <cell r="F282">
            <v>1</v>
          </cell>
          <cell r="G282" t="str">
            <v>CB100404001000</v>
          </cell>
          <cell r="H282">
            <v>10</v>
          </cell>
          <cell r="I282" t="str">
            <v>--</v>
          </cell>
          <cell r="J282">
            <v>34.1</v>
          </cell>
          <cell r="K282">
            <v>37.6</v>
          </cell>
        </row>
        <row r="283">
          <cell r="A283" t="str">
            <v>M1</v>
          </cell>
          <cell r="B283" t="str">
            <v>A5C</v>
          </cell>
          <cell r="C283" t="str">
            <v>P</v>
          </cell>
          <cell r="D283" t="str">
            <v>22077</v>
          </cell>
          <cell r="E283" t="str">
            <v>PIPE</v>
          </cell>
          <cell r="F283">
            <v>1</v>
          </cell>
          <cell r="G283" t="str">
            <v>CB100404001000</v>
          </cell>
          <cell r="H283">
            <v>10</v>
          </cell>
          <cell r="I283" t="str">
            <v>--</v>
          </cell>
          <cell r="J283">
            <v>38.6</v>
          </cell>
          <cell r="K283">
            <v>42.5</v>
          </cell>
        </row>
        <row r="284">
          <cell r="A284" t="str">
            <v>M1</v>
          </cell>
          <cell r="B284" t="str">
            <v>B1X</v>
          </cell>
          <cell r="C284" t="str">
            <v>P</v>
          </cell>
          <cell r="D284" t="str">
            <v>22042</v>
          </cell>
          <cell r="E284" t="str">
            <v>PIPE</v>
          </cell>
          <cell r="F284">
            <v>1</v>
          </cell>
          <cell r="G284" t="str">
            <v>LN100404001200</v>
          </cell>
          <cell r="H284">
            <v>12</v>
          </cell>
          <cell r="I284" t="str">
            <v>--</v>
          </cell>
          <cell r="J284">
            <v>2</v>
          </cell>
          <cell r="K284">
            <v>2.2000000000000002</v>
          </cell>
        </row>
        <row r="285">
          <cell r="A285" t="str">
            <v>M1</v>
          </cell>
          <cell r="B285" t="str">
            <v>A5C</v>
          </cell>
          <cell r="C285" t="str">
            <v>COMP</v>
          </cell>
          <cell r="D285" t="str">
            <v>001</v>
          </cell>
          <cell r="E285" t="str">
            <v>PIPE</v>
          </cell>
          <cell r="F285">
            <v>1</v>
          </cell>
          <cell r="G285" t="str">
            <v>CB100404001200</v>
          </cell>
          <cell r="H285">
            <v>12</v>
          </cell>
          <cell r="I285" t="str">
            <v>--</v>
          </cell>
          <cell r="J285">
            <v>6.5</v>
          </cell>
          <cell r="K285">
            <v>7.2</v>
          </cell>
        </row>
        <row r="286">
          <cell r="A286" t="str">
            <v>M1</v>
          </cell>
          <cell r="B286" t="str">
            <v>A5C</v>
          </cell>
          <cell r="C286" t="str">
            <v>COMP</v>
          </cell>
          <cell r="D286" t="str">
            <v>002</v>
          </cell>
          <cell r="E286" t="str">
            <v>PIPE</v>
          </cell>
          <cell r="F286">
            <v>1</v>
          </cell>
          <cell r="G286" t="str">
            <v>CB100404001200</v>
          </cell>
          <cell r="H286">
            <v>12</v>
          </cell>
          <cell r="I286" t="str">
            <v>--</v>
          </cell>
          <cell r="J286">
            <v>6.5</v>
          </cell>
          <cell r="K286">
            <v>7.2</v>
          </cell>
        </row>
        <row r="287">
          <cell r="A287" t="str">
            <v>M1</v>
          </cell>
          <cell r="B287" t="str">
            <v>B1C</v>
          </cell>
          <cell r="C287" t="str">
            <v>P</v>
          </cell>
          <cell r="D287" t="str">
            <v>22027</v>
          </cell>
          <cell r="E287" t="str">
            <v>PIPE</v>
          </cell>
          <cell r="F287">
            <v>1</v>
          </cell>
          <cell r="G287" t="str">
            <v>CB100404001400</v>
          </cell>
          <cell r="H287">
            <v>14</v>
          </cell>
          <cell r="I287" t="str">
            <v>--</v>
          </cell>
          <cell r="J287">
            <v>1</v>
          </cell>
          <cell r="K287">
            <v>1</v>
          </cell>
        </row>
        <row r="288">
          <cell r="A288" t="str">
            <v>M1</v>
          </cell>
          <cell r="B288" t="str">
            <v>A5C</v>
          </cell>
          <cell r="C288" t="str">
            <v>P</v>
          </cell>
          <cell r="D288" t="str">
            <v>22056</v>
          </cell>
          <cell r="E288" t="str">
            <v>PIPE</v>
          </cell>
          <cell r="F288">
            <v>1</v>
          </cell>
          <cell r="G288" t="str">
            <v>CB100404001400</v>
          </cell>
          <cell r="H288">
            <v>14</v>
          </cell>
          <cell r="I288" t="str">
            <v>--</v>
          </cell>
          <cell r="J288">
            <v>5.9</v>
          </cell>
          <cell r="K288">
            <v>5.9</v>
          </cell>
        </row>
        <row r="289">
          <cell r="A289" t="str">
            <v>M1</v>
          </cell>
          <cell r="B289" t="str">
            <v>A5C</v>
          </cell>
          <cell r="C289" t="str">
            <v>P</v>
          </cell>
          <cell r="D289" t="str">
            <v>22058</v>
          </cell>
          <cell r="E289" t="str">
            <v>PIPE</v>
          </cell>
          <cell r="F289">
            <v>1</v>
          </cell>
          <cell r="G289" t="str">
            <v>CB100404001400</v>
          </cell>
          <cell r="H289">
            <v>14</v>
          </cell>
          <cell r="I289" t="str">
            <v>--</v>
          </cell>
          <cell r="J289">
            <v>5.9</v>
          </cell>
          <cell r="K289">
            <v>5.9</v>
          </cell>
        </row>
        <row r="290">
          <cell r="A290" t="str">
            <v>M1</v>
          </cell>
          <cell r="B290" t="str">
            <v>A5C</v>
          </cell>
          <cell r="C290" t="str">
            <v>P</v>
          </cell>
          <cell r="D290" t="str">
            <v>22054</v>
          </cell>
          <cell r="E290" t="str">
            <v>PIPE</v>
          </cell>
          <cell r="F290">
            <v>1</v>
          </cell>
          <cell r="G290" t="str">
            <v>CB100404001400</v>
          </cell>
          <cell r="H290">
            <v>14</v>
          </cell>
          <cell r="I290" t="str">
            <v>--</v>
          </cell>
          <cell r="J290">
            <v>7.1</v>
          </cell>
          <cell r="K290">
            <v>7.1</v>
          </cell>
        </row>
        <row r="291">
          <cell r="A291" t="str">
            <v>M1</v>
          </cell>
          <cell r="B291" t="str">
            <v>A5C</v>
          </cell>
          <cell r="C291" t="str">
            <v>P</v>
          </cell>
          <cell r="D291" t="str">
            <v>22074</v>
          </cell>
          <cell r="E291" t="str">
            <v>PIPE</v>
          </cell>
          <cell r="F291">
            <v>1</v>
          </cell>
          <cell r="G291" t="str">
            <v>CB100404001600</v>
          </cell>
          <cell r="H291">
            <v>16</v>
          </cell>
          <cell r="I291" t="str">
            <v>--</v>
          </cell>
          <cell r="J291">
            <v>4</v>
          </cell>
          <cell r="K291">
            <v>4</v>
          </cell>
        </row>
        <row r="292">
          <cell r="A292" t="str">
            <v>M1</v>
          </cell>
          <cell r="B292" t="str">
            <v>A5C</v>
          </cell>
          <cell r="C292" t="str">
            <v>P</v>
          </cell>
          <cell r="D292" t="str">
            <v>22034</v>
          </cell>
          <cell r="E292" t="str">
            <v>PIPE</v>
          </cell>
          <cell r="F292">
            <v>1</v>
          </cell>
          <cell r="G292" t="str">
            <v>CB1005080001000100</v>
          </cell>
          <cell r="H292">
            <v>1</v>
          </cell>
          <cell r="I292" t="str">
            <v>--</v>
          </cell>
          <cell r="J292">
            <v>0.5</v>
          </cell>
          <cell r="K292">
            <v>0.5</v>
          </cell>
        </row>
        <row r="293">
          <cell r="A293" t="str">
            <v>M1</v>
          </cell>
          <cell r="B293" t="str">
            <v>A5C</v>
          </cell>
          <cell r="C293" t="str">
            <v>P</v>
          </cell>
          <cell r="D293" t="str">
            <v>21002</v>
          </cell>
          <cell r="E293" t="str">
            <v>PIPE</v>
          </cell>
          <cell r="F293">
            <v>1</v>
          </cell>
          <cell r="G293" t="str">
            <v>CB1004040010001000</v>
          </cell>
          <cell r="H293">
            <v>10</v>
          </cell>
          <cell r="I293" t="str">
            <v>--</v>
          </cell>
          <cell r="J293">
            <v>1</v>
          </cell>
          <cell r="K293">
            <v>1.1000000000000001</v>
          </cell>
        </row>
        <row r="294">
          <cell r="A294" t="str">
            <v>M1</v>
          </cell>
          <cell r="B294" t="str">
            <v>A5C</v>
          </cell>
          <cell r="C294" t="str">
            <v>P</v>
          </cell>
          <cell r="D294" t="str">
            <v>22046</v>
          </cell>
          <cell r="E294" t="str">
            <v>PIPE</v>
          </cell>
          <cell r="F294">
            <v>1</v>
          </cell>
          <cell r="G294" t="str">
            <v>CB1004040010001000</v>
          </cell>
          <cell r="H294">
            <v>10</v>
          </cell>
          <cell r="I294" t="str">
            <v>--</v>
          </cell>
          <cell r="J294">
            <v>3.1</v>
          </cell>
          <cell r="K294">
            <v>3.5</v>
          </cell>
        </row>
        <row r="295">
          <cell r="A295" t="str">
            <v>M1</v>
          </cell>
          <cell r="B295" t="str">
            <v>B2C</v>
          </cell>
          <cell r="C295" t="str">
            <v>SH</v>
          </cell>
          <cell r="D295" t="str">
            <v>22601</v>
          </cell>
          <cell r="E295" t="str">
            <v>NPL</v>
          </cell>
          <cell r="F295">
            <v>2</v>
          </cell>
          <cell r="G295" t="str">
            <v>CB132108000HVR</v>
          </cell>
          <cell r="H295">
            <v>0.5</v>
          </cell>
          <cell r="I295" t="str">
            <v>75mm</v>
          </cell>
          <cell r="J295">
            <v>2</v>
          </cell>
          <cell r="K295">
            <v>2</v>
          </cell>
        </row>
        <row r="296">
          <cell r="A296" t="str">
            <v>M1</v>
          </cell>
          <cell r="B296" t="str">
            <v>B2C</v>
          </cell>
          <cell r="C296" t="str">
            <v>SH</v>
          </cell>
          <cell r="D296" t="str">
            <v>22614</v>
          </cell>
          <cell r="E296" t="str">
            <v>NPL</v>
          </cell>
          <cell r="F296">
            <v>2</v>
          </cell>
          <cell r="G296" t="str">
            <v>CB132108000HVR</v>
          </cell>
          <cell r="H296">
            <v>0.5</v>
          </cell>
          <cell r="I296" t="str">
            <v>75mm</v>
          </cell>
          <cell r="J296">
            <v>1</v>
          </cell>
          <cell r="K296">
            <v>1</v>
          </cell>
        </row>
        <row r="297">
          <cell r="A297" t="str">
            <v>M1</v>
          </cell>
          <cell r="B297" t="str">
            <v>B2C</v>
          </cell>
          <cell r="C297" t="str">
            <v>SH</v>
          </cell>
          <cell r="D297" t="str">
            <v>22614</v>
          </cell>
          <cell r="E297" t="str">
            <v>NPL</v>
          </cell>
          <cell r="F297">
            <v>2</v>
          </cell>
          <cell r="G297" t="str">
            <v>CB132108000HWL</v>
          </cell>
          <cell r="H297">
            <v>0.5</v>
          </cell>
          <cell r="I297" t="str">
            <v>150mm</v>
          </cell>
          <cell r="J297">
            <v>1</v>
          </cell>
          <cell r="K297">
            <v>1</v>
          </cell>
        </row>
        <row r="298">
          <cell r="A298" t="str">
            <v>M1</v>
          </cell>
          <cell r="B298" t="str">
            <v>A5C</v>
          </cell>
          <cell r="C298" t="str">
            <v>COMP</v>
          </cell>
          <cell r="D298" t="str">
            <v>006</v>
          </cell>
          <cell r="E298" t="str">
            <v>90 ELL</v>
          </cell>
          <cell r="F298">
            <v>2</v>
          </cell>
          <cell r="G298" t="str">
            <v>CB400100001000</v>
          </cell>
          <cell r="H298">
            <v>0.5</v>
          </cell>
          <cell r="I298" t="str">
            <v>--</v>
          </cell>
          <cell r="J298">
            <v>8</v>
          </cell>
          <cell r="K298">
            <v>8</v>
          </cell>
        </row>
        <row r="299">
          <cell r="A299" t="str">
            <v>M1</v>
          </cell>
          <cell r="B299" t="str">
            <v>A5C</v>
          </cell>
          <cell r="C299" t="str">
            <v>P</v>
          </cell>
          <cell r="D299" t="str">
            <v>22107</v>
          </cell>
          <cell r="E299" t="str">
            <v>90 ELL</v>
          </cell>
          <cell r="F299">
            <v>2</v>
          </cell>
          <cell r="G299" t="str">
            <v>CB400100001000</v>
          </cell>
          <cell r="H299">
            <v>0.5</v>
          </cell>
          <cell r="I299" t="str">
            <v>--</v>
          </cell>
          <cell r="J299">
            <v>20</v>
          </cell>
          <cell r="K299">
            <v>20</v>
          </cell>
        </row>
        <row r="300">
          <cell r="A300" t="str">
            <v>M1</v>
          </cell>
          <cell r="B300" t="str">
            <v>A5C</v>
          </cell>
          <cell r="C300" t="str">
            <v>P</v>
          </cell>
          <cell r="D300" t="str">
            <v>22157</v>
          </cell>
          <cell r="E300" t="str">
            <v>90 ELL</v>
          </cell>
          <cell r="F300">
            <v>2</v>
          </cell>
          <cell r="G300" t="str">
            <v>CB400100001000</v>
          </cell>
          <cell r="H300">
            <v>0.5</v>
          </cell>
          <cell r="I300" t="str">
            <v>--</v>
          </cell>
          <cell r="J300">
            <v>1</v>
          </cell>
          <cell r="K300">
            <v>1</v>
          </cell>
        </row>
        <row r="301">
          <cell r="A301" t="str">
            <v>M1</v>
          </cell>
          <cell r="B301" t="str">
            <v>A5C</v>
          </cell>
          <cell r="C301" t="str">
            <v>P</v>
          </cell>
          <cell r="D301" t="str">
            <v>22158</v>
          </cell>
          <cell r="E301" t="str">
            <v>90 ELL</v>
          </cell>
          <cell r="F301">
            <v>2</v>
          </cell>
          <cell r="G301" t="str">
            <v>CB400100001000</v>
          </cell>
          <cell r="H301">
            <v>0.5</v>
          </cell>
          <cell r="I301" t="str">
            <v>--</v>
          </cell>
          <cell r="J301">
            <v>1</v>
          </cell>
          <cell r="K301">
            <v>1</v>
          </cell>
        </row>
        <row r="302">
          <cell r="A302" t="str">
            <v>M1</v>
          </cell>
          <cell r="B302" t="str">
            <v>A5C</v>
          </cell>
          <cell r="C302" t="str">
            <v>SCD</v>
          </cell>
          <cell r="D302" t="str">
            <v>HOLD1</v>
          </cell>
          <cell r="E302" t="str">
            <v>C SWG</v>
          </cell>
          <cell r="F302">
            <v>2</v>
          </cell>
          <cell r="G302" t="str">
            <v>CB161308080H0Q</v>
          </cell>
          <cell r="H302">
            <v>0.5</v>
          </cell>
          <cell r="I302">
            <v>0.25</v>
          </cell>
          <cell r="J302">
            <v>2</v>
          </cell>
          <cell r="K302">
            <v>2</v>
          </cell>
        </row>
        <row r="303">
          <cell r="A303" t="str">
            <v>M1</v>
          </cell>
          <cell r="B303" t="str">
            <v>A5C</v>
          </cell>
          <cell r="C303" t="str">
            <v>SCC</v>
          </cell>
          <cell r="D303" t="str">
            <v>HOLD1</v>
          </cell>
          <cell r="E303" t="str">
            <v>C SWG</v>
          </cell>
          <cell r="F303">
            <v>2</v>
          </cell>
          <cell r="G303" t="str">
            <v>CB161308080H0Q</v>
          </cell>
          <cell r="H303">
            <v>0.5</v>
          </cell>
          <cell r="I303">
            <v>0.25</v>
          </cell>
          <cell r="J303">
            <v>3</v>
          </cell>
          <cell r="K303">
            <v>3</v>
          </cell>
        </row>
        <row r="304">
          <cell r="A304" t="str">
            <v>M1</v>
          </cell>
          <cell r="B304" t="str">
            <v>A5C</v>
          </cell>
          <cell r="C304" t="str">
            <v>P</v>
          </cell>
          <cell r="D304" t="str">
            <v>22107</v>
          </cell>
          <cell r="E304" t="str">
            <v>CAP</v>
          </cell>
          <cell r="F304">
            <v>2</v>
          </cell>
          <cell r="G304" t="str">
            <v>CB520700000H00</v>
          </cell>
          <cell r="H304">
            <v>0.5</v>
          </cell>
          <cell r="I304" t="str">
            <v>--</v>
          </cell>
          <cell r="J304">
            <v>4</v>
          </cell>
          <cell r="K304">
            <v>4</v>
          </cell>
        </row>
        <row r="305">
          <cell r="A305" t="str">
            <v>M1</v>
          </cell>
          <cell r="B305" t="str">
            <v>A5C</v>
          </cell>
          <cell r="C305" t="str">
            <v>P</v>
          </cell>
          <cell r="D305" t="str">
            <v>22065</v>
          </cell>
          <cell r="E305" t="str">
            <v>CPLG</v>
          </cell>
          <cell r="F305">
            <v>2</v>
          </cell>
          <cell r="G305" t="str">
            <v>CB400500000H00</v>
          </cell>
          <cell r="H305">
            <v>0.5</v>
          </cell>
          <cell r="I305" t="str">
            <v>--</v>
          </cell>
          <cell r="J305">
            <v>1</v>
          </cell>
          <cell r="K305">
            <v>1</v>
          </cell>
        </row>
        <row r="306">
          <cell r="A306" t="str">
            <v>M1</v>
          </cell>
          <cell r="B306" t="str">
            <v>A5C</v>
          </cell>
          <cell r="C306" t="str">
            <v>P</v>
          </cell>
          <cell r="D306" t="str">
            <v>22104</v>
          </cell>
          <cell r="E306" t="str">
            <v>CPLG</v>
          </cell>
          <cell r="F306">
            <v>2</v>
          </cell>
          <cell r="G306" t="str">
            <v>CB400500000H00</v>
          </cell>
          <cell r="H306">
            <v>0.5</v>
          </cell>
          <cell r="I306" t="str">
            <v>--</v>
          </cell>
          <cell r="J306">
            <v>2</v>
          </cell>
          <cell r="K306">
            <v>2</v>
          </cell>
        </row>
        <row r="307">
          <cell r="A307" t="str">
            <v>M1</v>
          </cell>
          <cell r="B307" t="str">
            <v>A5C</v>
          </cell>
          <cell r="C307" t="str">
            <v>COMP</v>
          </cell>
          <cell r="D307" t="str">
            <v>006</v>
          </cell>
          <cell r="E307" t="str">
            <v>TEE</v>
          </cell>
          <cell r="F307">
            <v>2</v>
          </cell>
          <cell r="G307" t="str">
            <v>CB400300000H00</v>
          </cell>
          <cell r="H307">
            <v>0.5</v>
          </cell>
          <cell r="I307" t="str">
            <v>--</v>
          </cell>
          <cell r="J307">
            <v>4</v>
          </cell>
          <cell r="K307">
            <v>4</v>
          </cell>
        </row>
        <row r="308">
          <cell r="A308" t="str">
            <v>M1</v>
          </cell>
          <cell r="B308" t="str">
            <v>A5C</v>
          </cell>
          <cell r="C308" t="str">
            <v>P</v>
          </cell>
          <cell r="D308" t="str">
            <v>22065</v>
          </cell>
          <cell r="E308" t="str">
            <v>TEE</v>
          </cell>
          <cell r="F308">
            <v>2</v>
          </cell>
          <cell r="G308" t="str">
            <v>CB400300000H00</v>
          </cell>
          <cell r="H308">
            <v>0.5</v>
          </cell>
          <cell r="I308" t="str">
            <v>--</v>
          </cell>
          <cell r="J308">
            <v>1</v>
          </cell>
          <cell r="K308">
            <v>1</v>
          </cell>
        </row>
        <row r="309">
          <cell r="A309" t="str">
            <v>M1</v>
          </cell>
          <cell r="B309" t="str">
            <v>A5C</v>
          </cell>
          <cell r="C309" t="str">
            <v>SCC</v>
          </cell>
          <cell r="D309" t="str">
            <v>HOLD1</v>
          </cell>
          <cell r="E309" t="str">
            <v>TEE</v>
          </cell>
          <cell r="F309">
            <v>2</v>
          </cell>
          <cell r="G309" t="str">
            <v>CB400300000H00</v>
          </cell>
          <cell r="H309">
            <v>0.5</v>
          </cell>
          <cell r="I309" t="str">
            <v>--</v>
          </cell>
          <cell r="J309">
            <v>3</v>
          </cell>
          <cell r="K309">
            <v>3</v>
          </cell>
        </row>
        <row r="310">
          <cell r="A310" t="str">
            <v>M1</v>
          </cell>
          <cell r="B310" t="str">
            <v>A5C</v>
          </cell>
          <cell r="C310" t="str">
            <v>P</v>
          </cell>
          <cell r="D310" t="str">
            <v>22107</v>
          </cell>
          <cell r="E310" t="str">
            <v>TEE</v>
          </cell>
          <cell r="F310">
            <v>2</v>
          </cell>
          <cell r="G310" t="str">
            <v>CB400300000H00</v>
          </cell>
          <cell r="H310">
            <v>0.5</v>
          </cell>
          <cell r="I310" t="str">
            <v>--</v>
          </cell>
          <cell r="J310">
            <v>8</v>
          </cell>
          <cell r="K310">
            <v>8</v>
          </cell>
        </row>
        <row r="311">
          <cell r="A311" t="str">
            <v>M1</v>
          </cell>
          <cell r="B311" t="str">
            <v>A5C</v>
          </cell>
          <cell r="C311" t="str">
            <v>SCD</v>
          </cell>
          <cell r="D311" t="str">
            <v>HOLD1</v>
          </cell>
          <cell r="E311" t="str">
            <v>TEE</v>
          </cell>
          <cell r="F311">
            <v>2</v>
          </cell>
          <cell r="G311" t="str">
            <v>CB400300000H00</v>
          </cell>
          <cell r="H311">
            <v>0.5</v>
          </cell>
          <cell r="I311" t="str">
            <v>--</v>
          </cell>
          <cell r="J311">
            <v>2</v>
          </cell>
          <cell r="K311">
            <v>2</v>
          </cell>
        </row>
        <row r="312">
          <cell r="A312" t="str">
            <v>M1</v>
          </cell>
          <cell r="B312" t="str">
            <v>A5C</v>
          </cell>
          <cell r="C312" t="str">
            <v>P</v>
          </cell>
          <cell r="D312" t="str">
            <v>22041</v>
          </cell>
          <cell r="E312" t="str">
            <v>CPLG</v>
          </cell>
          <cell r="F312">
            <v>2</v>
          </cell>
          <cell r="G312" t="str">
            <v>CB400500000H00</v>
          </cell>
          <cell r="H312">
            <v>0.5</v>
          </cell>
          <cell r="I312" t="str">
            <v>--</v>
          </cell>
          <cell r="J312">
            <v>1</v>
          </cell>
          <cell r="K312">
            <v>1</v>
          </cell>
        </row>
        <row r="313">
          <cell r="A313" t="str">
            <v>M1</v>
          </cell>
          <cell r="B313" t="str">
            <v>A6C</v>
          </cell>
          <cell r="C313" t="str">
            <v>HOS</v>
          </cell>
          <cell r="D313" t="str">
            <v>65624</v>
          </cell>
          <cell r="E313" t="str">
            <v>NPL</v>
          </cell>
          <cell r="F313">
            <v>2</v>
          </cell>
          <cell r="G313" t="str">
            <v>CB132308000HVR</v>
          </cell>
          <cell r="H313">
            <v>0.5</v>
          </cell>
          <cell r="I313" t="str">
            <v>75mm</v>
          </cell>
          <cell r="J313">
            <v>2</v>
          </cell>
          <cell r="K313">
            <v>2</v>
          </cell>
        </row>
        <row r="314">
          <cell r="A314" t="str">
            <v>M1</v>
          </cell>
          <cell r="B314" t="str">
            <v>A6C</v>
          </cell>
          <cell r="C314" t="str">
            <v>HOS</v>
          </cell>
          <cell r="D314" t="str">
            <v>65615</v>
          </cell>
          <cell r="E314" t="str">
            <v>NPL</v>
          </cell>
          <cell r="F314">
            <v>2</v>
          </cell>
          <cell r="G314" t="str">
            <v>CB132308000HVR</v>
          </cell>
          <cell r="H314">
            <v>0.5</v>
          </cell>
          <cell r="I314" t="str">
            <v>75mm</v>
          </cell>
          <cell r="J314">
            <v>2</v>
          </cell>
          <cell r="K314">
            <v>2</v>
          </cell>
        </row>
        <row r="315">
          <cell r="A315" t="str">
            <v>M1</v>
          </cell>
          <cell r="B315" t="str">
            <v>A6C</v>
          </cell>
          <cell r="C315" t="str">
            <v>HOS</v>
          </cell>
          <cell r="D315" t="str">
            <v>65628</v>
          </cell>
          <cell r="E315" t="str">
            <v>NPL</v>
          </cell>
          <cell r="F315">
            <v>2</v>
          </cell>
          <cell r="G315" t="str">
            <v>CB132308000HVR</v>
          </cell>
          <cell r="H315">
            <v>0.5</v>
          </cell>
          <cell r="I315" t="str">
            <v>75mm</v>
          </cell>
          <cell r="J315">
            <v>2</v>
          </cell>
          <cell r="K315">
            <v>2</v>
          </cell>
        </row>
        <row r="316">
          <cell r="A316" t="str">
            <v>M1</v>
          </cell>
          <cell r="B316" t="str">
            <v>B2C</v>
          </cell>
          <cell r="C316" t="str">
            <v>SH</v>
          </cell>
          <cell r="D316" t="str">
            <v>22601</v>
          </cell>
          <cell r="E316" t="str">
            <v>CAP</v>
          </cell>
          <cell r="F316">
            <v>2</v>
          </cell>
          <cell r="G316" t="str">
            <v>CB520700000T00</v>
          </cell>
          <cell r="H316">
            <v>0.75</v>
          </cell>
          <cell r="I316" t="str">
            <v>--</v>
          </cell>
          <cell r="J316">
            <v>1</v>
          </cell>
          <cell r="K316">
            <v>1</v>
          </cell>
        </row>
        <row r="317">
          <cell r="A317" t="str">
            <v>M1</v>
          </cell>
          <cell r="B317" t="str">
            <v>B2C</v>
          </cell>
          <cell r="C317" t="str">
            <v>SH</v>
          </cell>
          <cell r="D317" t="str">
            <v>22612</v>
          </cell>
          <cell r="E317" t="str">
            <v>CAP</v>
          </cell>
          <cell r="F317">
            <v>2</v>
          </cell>
          <cell r="G317" t="str">
            <v>CB520700000T00</v>
          </cell>
          <cell r="H317">
            <v>0.75</v>
          </cell>
          <cell r="I317" t="str">
            <v>--</v>
          </cell>
          <cell r="J317">
            <v>1</v>
          </cell>
          <cell r="K317">
            <v>1</v>
          </cell>
        </row>
        <row r="318">
          <cell r="A318" t="str">
            <v>M1</v>
          </cell>
          <cell r="B318" t="str">
            <v>B2C</v>
          </cell>
          <cell r="C318" t="str">
            <v>SH</v>
          </cell>
          <cell r="D318" t="str">
            <v>22613</v>
          </cell>
          <cell r="E318" t="str">
            <v>CAP</v>
          </cell>
          <cell r="F318">
            <v>2</v>
          </cell>
          <cell r="G318" t="str">
            <v>CB520700000T00</v>
          </cell>
          <cell r="H318">
            <v>0.75</v>
          </cell>
          <cell r="I318" t="str">
            <v>--</v>
          </cell>
          <cell r="J318">
            <v>1</v>
          </cell>
          <cell r="K318">
            <v>1</v>
          </cell>
        </row>
        <row r="319">
          <cell r="A319" t="str">
            <v>M1</v>
          </cell>
          <cell r="B319" t="str">
            <v>B2C</v>
          </cell>
          <cell r="C319" t="str">
            <v>TRIM</v>
          </cell>
          <cell r="D319" t="str">
            <v>V-2218</v>
          </cell>
          <cell r="E319" t="str">
            <v>CAP</v>
          </cell>
          <cell r="F319">
            <v>2</v>
          </cell>
          <cell r="G319" t="str">
            <v>CB520700000T00</v>
          </cell>
          <cell r="H319">
            <v>0.75</v>
          </cell>
          <cell r="I319" t="str">
            <v>--</v>
          </cell>
          <cell r="J319">
            <v>2</v>
          </cell>
          <cell r="K319">
            <v>2</v>
          </cell>
        </row>
        <row r="320">
          <cell r="A320" t="str">
            <v>M1</v>
          </cell>
          <cell r="B320" t="str">
            <v>B2C</v>
          </cell>
          <cell r="C320" t="str">
            <v>SH</v>
          </cell>
          <cell r="D320" t="str">
            <v>22612</v>
          </cell>
          <cell r="E320" t="str">
            <v>NPL</v>
          </cell>
          <cell r="F320">
            <v>2</v>
          </cell>
          <cell r="G320" t="str">
            <v>CB132308000TVR</v>
          </cell>
          <cell r="H320">
            <v>0.75</v>
          </cell>
          <cell r="I320" t="str">
            <v>75mm</v>
          </cell>
          <cell r="J320">
            <v>1</v>
          </cell>
          <cell r="K320">
            <v>1</v>
          </cell>
        </row>
        <row r="321">
          <cell r="A321" t="str">
            <v>M1</v>
          </cell>
          <cell r="B321" t="str">
            <v>B2C</v>
          </cell>
          <cell r="C321" t="str">
            <v>SH</v>
          </cell>
          <cell r="D321" t="str">
            <v>22612</v>
          </cell>
          <cell r="E321" t="str">
            <v>NPL</v>
          </cell>
          <cell r="F321">
            <v>2</v>
          </cell>
          <cell r="G321" t="str">
            <v>CB132108000TVR</v>
          </cell>
          <cell r="H321">
            <v>0.75</v>
          </cell>
          <cell r="I321" t="str">
            <v>75mm</v>
          </cell>
          <cell r="J321">
            <v>2</v>
          </cell>
          <cell r="K321">
            <v>2</v>
          </cell>
        </row>
        <row r="322">
          <cell r="A322" t="str">
            <v>M1</v>
          </cell>
          <cell r="B322" t="str">
            <v>B2C</v>
          </cell>
          <cell r="C322" t="str">
            <v>SH</v>
          </cell>
          <cell r="D322" t="str">
            <v>22601</v>
          </cell>
          <cell r="E322" t="str">
            <v>NPL</v>
          </cell>
          <cell r="F322">
            <v>2</v>
          </cell>
          <cell r="G322" t="str">
            <v>CB132308000TVR</v>
          </cell>
          <cell r="H322">
            <v>0.75</v>
          </cell>
          <cell r="I322" t="str">
            <v>75mm</v>
          </cell>
          <cell r="J322">
            <v>1</v>
          </cell>
          <cell r="K322">
            <v>1</v>
          </cell>
        </row>
        <row r="323">
          <cell r="A323" t="str">
            <v>M1</v>
          </cell>
          <cell r="B323" t="str">
            <v>B2C</v>
          </cell>
          <cell r="C323" t="str">
            <v>SH</v>
          </cell>
          <cell r="D323" t="str">
            <v>22613</v>
          </cell>
          <cell r="E323" t="str">
            <v>NPL</v>
          </cell>
          <cell r="F323">
            <v>2</v>
          </cell>
          <cell r="G323" t="str">
            <v>CB132108000TVR</v>
          </cell>
          <cell r="H323">
            <v>0.75</v>
          </cell>
          <cell r="I323" t="str">
            <v>75mm</v>
          </cell>
          <cell r="J323">
            <v>2</v>
          </cell>
          <cell r="K323">
            <v>2</v>
          </cell>
        </row>
        <row r="324">
          <cell r="A324" t="str">
            <v>M1</v>
          </cell>
          <cell r="B324" t="str">
            <v>B2C</v>
          </cell>
          <cell r="C324" t="str">
            <v>SH</v>
          </cell>
          <cell r="D324" t="str">
            <v>22613</v>
          </cell>
          <cell r="E324" t="str">
            <v>NPL</v>
          </cell>
          <cell r="F324">
            <v>2</v>
          </cell>
          <cell r="G324" t="str">
            <v>CB132208000TVR</v>
          </cell>
          <cell r="H324">
            <v>0.75</v>
          </cell>
          <cell r="I324" t="str">
            <v>75mm</v>
          </cell>
          <cell r="J324">
            <v>1</v>
          </cell>
          <cell r="K324">
            <v>1</v>
          </cell>
        </row>
        <row r="325">
          <cell r="A325" t="str">
            <v>M1</v>
          </cell>
          <cell r="B325" t="str">
            <v>B2C</v>
          </cell>
          <cell r="C325" t="str">
            <v>TRIM</v>
          </cell>
          <cell r="D325" t="str">
            <v>V-2218</v>
          </cell>
          <cell r="E325" t="str">
            <v>NPL</v>
          </cell>
          <cell r="F325">
            <v>2</v>
          </cell>
          <cell r="G325" t="str">
            <v>CB132108000TVR</v>
          </cell>
          <cell r="H325">
            <v>0.75</v>
          </cell>
          <cell r="I325" t="str">
            <v>75mm</v>
          </cell>
          <cell r="J325">
            <v>4</v>
          </cell>
          <cell r="K325">
            <v>4</v>
          </cell>
        </row>
        <row r="326">
          <cell r="A326" t="str">
            <v>M1</v>
          </cell>
          <cell r="B326" t="str">
            <v>B2C</v>
          </cell>
          <cell r="C326" t="str">
            <v>TRIM</v>
          </cell>
          <cell r="D326" t="str">
            <v>V-2218</v>
          </cell>
          <cell r="E326" t="str">
            <v>NPL</v>
          </cell>
          <cell r="F326">
            <v>2</v>
          </cell>
          <cell r="G326" t="str">
            <v>CB132308000TVR</v>
          </cell>
          <cell r="H326">
            <v>0.75</v>
          </cell>
          <cell r="I326" t="str">
            <v>75mm</v>
          </cell>
          <cell r="J326">
            <v>2</v>
          </cell>
          <cell r="K326">
            <v>2</v>
          </cell>
        </row>
        <row r="327">
          <cell r="A327" t="str">
            <v>M1</v>
          </cell>
          <cell r="B327" t="str">
            <v>B2C</v>
          </cell>
          <cell r="C327" t="str">
            <v>SH</v>
          </cell>
          <cell r="D327" t="str">
            <v>22614</v>
          </cell>
          <cell r="E327" t="str">
            <v>NPL</v>
          </cell>
          <cell r="F327">
            <v>2</v>
          </cell>
          <cell r="G327" t="str">
            <v>CB132108000TVR</v>
          </cell>
          <cell r="H327">
            <v>0.75</v>
          </cell>
          <cell r="I327" t="str">
            <v>75mm</v>
          </cell>
          <cell r="J327">
            <v>1</v>
          </cell>
          <cell r="K327">
            <v>1</v>
          </cell>
        </row>
        <row r="328">
          <cell r="A328" t="str">
            <v>M1</v>
          </cell>
          <cell r="B328" t="str">
            <v>A5C</v>
          </cell>
          <cell r="C328" t="str">
            <v>N</v>
          </cell>
          <cell r="D328" t="str">
            <v>22617</v>
          </cell>
          <cell r="E328" t="str">
            <v>90 ELL</v>
          </cell>
          <cell r="F328">
            <v>2</v>
          </cell>
          <cell r="G328" t="str">
            <v>CB400100001000</v>
          </cell>
          <cell r="H328">
            <v>0.75</v>
          </cell>
          <cell r="I328" t="str">
            <v>--</v>
          </cell>
          <cell r="J328">
            <v>2</v>
          </cell>
          <cell r="K328">
            <v>2</v>
          </cell>
        </row>
        <row r="329">
          <cell r="A329" t="str">
            <v>M1</v>
          </cell>
          <cell r="B329" t="str">
            <v>A5C</v>
          </cell>
          <cell r="C329" t="str">
            <v>P</v>
          </cell>
          <cell r="D329" t="str">
            <v>22069</v>
          </cell>
          <cell r="E329" t="str">
            <v>90 ELL</v>
          </cell>
          <cell r="F329">
            <v>2</v>
          </cell>
          <cell r="G329" t="str">
            <v>CB400100001000</v>
          </cell>
          <cell r="H329">
            <v>0.75</v>
          </cell>
          <cell r="I329" t="str">
            <v>--</v>
          </cell>
          <cell r="J329">
            <v>4</v>
          </cell>
          <cell r="K329">
            <v>4</v>
          </cell>
        </row>
        <row r="330">
          <cell r="A330" t="str">
            <v>M1</v>
          </cell>
          <cell r="B330" t="str">
            <v>A5C</v>
          </cell>
          <cell r="C330" t="str">
            <v>P</v>
          </cell>
          <cell r="D330" t="str">
            <v>22071</v>
          </cell>
          <cell r="E330" t="str">
            <v>90 ELL</v>
          </cell>
          <cell r="F330">
            <v>2</v>
          </cell>
          <cell r="G330" t="str">
            <v>CB400100001000</v>
          </cell>
          <cell r="H330">
            <v>0.75</v>
          </cell>
          <cell r="I330" t="str">
            <v>--</v>
          </cell>
          <cell r="J330">
            <v>1</v>
          </cell>
          <cell r="K330">
            <v>1</v>
          </cell>
        </row>
        <row r="331">
          <cell r="A331" t="str">
            <v>M1</v>
          </cell>
          <cell r="B331" t="str">
            <v>A5C</v>
          </cell>
          <cell r="C331" t="str">
            <v>P</v>
          </cell>
          <cell r="D331" t="str">
            <v>22102</v>
          </cell>
          <cell r="E331" t="str">
            <v>90 ELL</v>
          </cell>
          <cell r="F331">
            <v>2</v>
          </cell>
          <cell r="G331" t="str">
            <v>CB400100001000</v>
          </cell>
          <cell r="H331">
            <v>0.75</v>
          </cell>
          <cell r="I331" t="str">
            <v>--</v>
          </cell>
          <cell r="J331">
            <v>2</v>
          </cell>
          <cell r="K331">
            <v>2</v>
          </cell>
        </row>
        <row r="332">
          <cell r="A332" t="str">
            <v>M1</v>
          </cell>
          <cell r="B332" t="str">
            <v>A5C</v>
          </cell>
          <cell r="C332" t="str">
            <v>P</v>
          </cell>
          <cell r="D332" t="str">
            <v>22130</v>
          </cell>
          <cell r="E332" t="str">
            <v>90 ELL</v>
          </cell>
          <cell r="F332">
            <v>2</v>
          </cell>
          <cell r="G332" t="str">
            <v>CB400100001000</v>
          </cell>
          <cell r="H332">
            <v>0.75</v>
          </cell>
          <cell r="I332" t="str">
            <v>--</v>
          </cell>
          <cell r="J332">
            <v>2</v>
          </cell>
          <cell r="K332">
            <v>2</v>
          </cell>
        </row>
        <row r="333">
          <cell r="A333" t="str">
            <v>M1</v>
          </cell>
          <cell r="B333" t="str">
            <v>A5C</v>
          </cell>
          <cell r="C333" t="str">
            <v>P</v>
          </cell>
          <cell r="D333" t="str">
            <v>22139</v>
          </cell>
          <cell r="E333" t="str">
            <v>90 ELL</v>
          </cell>
          <cell r="F333">
            <v>2</v>
          </cell>
          <cell r="G333" t="str">
            <v>CB400100001000</v>
          </cell>
          <cell r="H333">
            <v>0.75</v>
          </cell>
          <cell r="I333" t="str">
            <v>--</v>
          </cell>
          <cell r="J333">
            <v>2</v>
          </cell>
          <cell r="K333">
            <v>2</v>
          </cell>
        </row>
        <row r="334">
          <cell r="A334" t="str">
            <v>M1</v>
          </cell>
          <cell r="B334" t="str">
            <v>A5C</v>
          </cell>
          <cell r="C334" t="str">
            <v>P</v>
          </cell>
          <cell r="D334" t="str">
            <v>22140</v>
          </cell>
          <cell r="E334" t="str">
            <v>90 ELL</v>
          </cell>
          <cell r="F334">
            <v>2</v>
          </cell>
          <cell r="G334" t="str">
            <v>CB400100001000</v>
          </cell>
          <cell r="H334">
            <v>0.75</v>
          </cell>
          <cell r="I334" t="str">
            <v>--</v>
          </cell>
          <cell r="J334">
            <v>2</v>
          </cell>
          <cell r="K334">
            <v>2</v>
          </cell>
        </row>
        <row r="335">
          <cell r="A335" t="str">
            <v>M1</v>
          </cell>
          <cell r="B335" t="str">
            <v>A5C</v>
          </cell>
          <cell r="C335" t="str">
            <v>P</v>
          </cell>
          <cell r="D335" t="str">
            <v>24029</v>
          </cell>
          <cell r="E335" t="str">
            <v>90 ELL</v>
          </cell>
          <cell r="F335">
            <v>2</v>
          </cell>
          <cell r="G335" t="str">
            <v>CB400100001000</v>
          </cell>
          <cell r="H335">
            <v>0.75</v>
          </cell>
          <cell r="I335" t="str">
            <v>--</v>
          </cell>
          <cell r="J335">
            <v>5</v>
          </cell>
          <cell r="K335">
            <v>5</v>
          </cell>
        </row>
        <row r="336">
          <cell r="A336" t="str">
            <v>M1</v>
          </cell>
          <cell r="B336" t="str">
            <v>A5C</v>
          </cell>
          <cell r="C336" t="str">
            <v>SCC</v>
          </cell>
          <cell r="D336" t="str">
            <v>HOLD1</v>
          </cell>
          <cell r="E336" t="str">
            <v>90 ELL</v>
          </cell>
          <cell r="F336">
            <v>2</v>
          </cell>
          <cell r="G336" t="str">
            <v>CB400100001000</v>
          </cell>
          <cell r="H336">
            <v>0.75</v>
          </cell>
          <cell r="I336" t="str">
            <v>--</v>
          </cell>
          <cell r="J336">
            <v>18</v>
          </cell>
          <cell r="K336">
            <v>18</v>
          </cell>
        </row>
        <row r="337">
          <cell r="A337" t="str">
            <v>M1</v>
          </cell>
          <cell r="B337" t="str">
            <v>A5C</v>
          </cell>
          <cell r="C337" t="str">
            <v>SCD</v>
          </cell>
          <cell r="D337" t="str">
            <v>HOLD1</v>
          </cell>
          <cell r="E337" t="str">
            <v>90 ELL</v>
          </cell>
          <cell r="F337">
            <v>2</v>
          </cell>
          <cell r="G337" t="str">
            <v>CB400100001000</v>
          </cell>
          <cell r="H337">
            <v>0.75</v>
          </cell>
          <cell r="I337" t="str">
            <v>--</v>
          </cell>
          <cell r="J337">
            <v>8</v>
          </cell>
          <cell r="K337">
            <v>8</v>
          </cell>
        </row>
        <row r="338">
          <cell r="A338" t="str">
            <v>M1</v>
          </cell>
          <cell r="B338" t="str">
            <v>A5C</v>
          </cell>
          <cell r="C338" t="str">
            <v>TRIM</v>
          </cell>
          <cell r="D338" t="str">
            <v>V-2206</v>
          </cell>
          <cell r="E338" t="str">
            <v>90 ELL</v>
          </cell>
          <cell r="F338">
            <v>2</v>
          </cell>
          <cell r="G338" t="str">
            <v>CB400100001000</v>
          </cell>
          <cell r="H338">
            <v>0.75</v>
          </cell>
          <cell r="I338" t="str">
            <v>--</v>
          </cell>
          <cell r="J338">
            <v>1</v>
          </cell>
          <cell r="K338">
            <v>1</v>
          </cell>
        </row>
        <row r="339">
          <cell r="A339" t="str">
            <v>M1</v>
          </cell>
          <cell r="B339" t="str">
            <v>A5C</v>
          </cell>
          <cell r="C339" t="str">
            <v>N</v>
          </cell>
          <cell r="D339" t="str">
            <v>22670</v>
          </cell>
          <cell r="E339" t="str">
            <v>90 ELL</v>
          </cell>
          <cell r="F339">
            <v>2</v>
          </cell>
          <cell r="G339" t="str">
            <v>CB400100001000</v>
          </cell>
          <cell r="H339">
            <v>0.75</v>
          </cell>
          <cell r="I339" t="str">
            <v>--</v>
          </cell>
          <cell r="J339">
            <v>1</v>
          </cell>
          <cell r="K339">
            <v>1</v>
          </cell>
        </row>
        <row r="340">
          <cell r="A340" t="str">
            <v>M1</v>
          </cell>
          <cell r="B340" t="str">
            <v>A5C</v>
          </cell>
          <cell r="C340" t="str">
            <v>P</v>
          </cell>
          <cell r="D340" t="str">
            <v>22065</v>
          </cell>
          <cell r="E340" t="str">
            <v>90 ELL</v>
          </cell>
          <cell r="F340">
            <v>2</v>
          </cell>
          <cell r="G340" t="str">
            <v>CB400100001000</v>
          </cell>
          <cell r="H340">
            <v>0.75</v>
          </cell>
          <cell r="I340" t="str">
            <v>--</v>
          </cell>
          <cell r="J340">
            <v>5</v>
          </cell>
          <cell r="K340">
            <v>5</v>
          </cell>
        </row>
        <row r="341">
          <cell r="A341" t="str">
            <v>M1</v>
          </cell>
          <cell r="B341" t="str">
            <v>A5C</v>
          </cell>
          <cell r="C341" t="str">
            <v>P</v>
          </cell>
          <cell r="D341" t="str">
            <v>22071</v>
          </cell>
          <cell r="E341" t="str">
            <v>90 ELL</v>
          </cell>
          <cell r="F341">
            <v>2</v>
          </cell>
          <cell r="G341" t="str">
            <v>CB400100001000</v>
          </cell>
          <cell r="H341">
            <v>0.75</v>
          </cell>
          <cell r="I341" t="str">
            <v>--</v>
          </cell>
          <cell r="J341">
            <v>4</v>
          </cell>
          <cell r="K341">
            <v>4</v>
          </cell>
        </row>
        <row r="342">
          <cell r="A342" t="str">
            <v>M1</v>
          </cell>
          <cell r="B342" t="str">
            <v>A5C</v>
          </cell>
          <cell r="C342" t="str">
            <v>P</v>
          </cell>
          <cell r="D342" t="str">
            <v>22065</v>
          </cell>
          <cell r="E342" t="str">
            <v>C SWG</v>
          </cell>
          <cell r="F342">
            <v>2</v>
          </cell>
          <cell r="G342" t="str">
            <v>CB161108080T0H</v>
          </cell>
          <cell r="H342">
            <v>0.75</v>
          </cell>
          <cell r="I342">
            <v>0.5</v>
          </cell>
          <cell r="J342">
            <v>1</v>
          </cell>
          <cell r="K342">
            <v>1</v>
          </cell>
        </row>
        <row r="343">
          <cell r="A343" t="str">
            <v>M1</v>
          </cell>
          <cell r="B343" t="str">
            <v>A5C</v>
          </cell>
          <cell r="C343" t="str">
            <v>SCD</v>
          </cell>
          <cell r="D343" t="str">
            <v>HOLD1</v>
          </cell>
          <cell r="E343" t="str">
            <v>C SWG</v>
          </cell>
          <cell r="F343">
            <v>2</v>
          </cell>
          <cell r="G343" t="str">
            <v>CB161308080T0Q</v>
          </cell>
          <cell r="H343">
            <v>0.75</v>
          </cell>
          <cell r="I343">
            <v>0.25</v>
          </cell>
          <cell r="J343">
            <v>2</v>
          </cell>
          <cell r="K343">
            <v>2</v>
          </cell>
        </row>
        <row r="344">
          <cell r="A344" t="str">
            <v>M1</v>
          </cell>
          <cell r="B344" t="str">
            <v>A5C</v>
          </cell>
          <cell r="C344" t="str">
            <v>SCD</v>
          </cell>
          <cell r="D344" t="str">
            <v>HOLD1</v>
          </cell>
          <cell r="E344" t="str">
            <v>C SWG</v>
          </cell>
          <cell r="F344">
            <v>2</v>
          </cell>
          <cell r="G344" t="str">
            <v>CB161108080T0H</v>
          </cell>
          <cell r="H344">
            <v>0.75</v>
          </cell>
          <cell r="I344">
            <v>0.5</v>
          </cell>
          <cell r="J344">
            <v>2</v>
          </cell>
          <cell r="K344">
            <v>2</v>
          </cell>
        </row>
        <row r="345">
          <cell r="A345" t="str">
            <v>M1</v>
          </cell>
          <cell r="B345" t="str">
            <v>A5C</v>
          </cell>
          <cell r="C345" t="str">
            <v>SCC</v>
          </cell>
          <cell r="D345" t="str">
            <v>HOLD1</v>
          </cell>
          <cell r="E345" t="str">
            <v>C SWG</v>
          </cell>
          <cell r="F345">
            <v>2</v>
          </cell>
          <cell r="G345" t="str">
            <v>CB161308080T0Q</v>
          </cell>
          <cell r="H345">
            <v>0.75</v>
          </cell>
          <cell r="I345">
            <v>0.25</v>
          </cell>
          <cell r="J345">
            <v>3</v>
          </cell>
          <cell r="K345">
            <v>3</v>
          </cell>
        </row>
        <row r="346">
          <cell r="A346" t="str">
            <v>M1</v>
          </cell>
          <cell r="B346" t="str">
            <v>A5C</v>
          </cell>
          <cell r="C346" t="str">
            <v>SCC</v>
          </cell>
          <cell r="D346" t="str">
            <v>HOLD1</v>
          </cell>
          <cell r="E346" t="str">
            <v>C SWG</v>
          </cell>
          <cell r="F346">
            <v>2</v>
          </cell>
          <cell r="G346" t="str">
            <v>CB161108080T0H</v>
          </cell>
          <cell r="H346">
            <v>0.75</v>
          </cell>
          <cell r="I346">
            <v>0.5</v>
          </cell>
          <cell r="J346">
            <v>3</v>
          </cell>
          <cell r="K346">
            <v>3</v>
          </cell>
        </row>
        <row r="347">
          <cell r="A347" t="str">
            <v>M1</v>
          </cell>
          <cell r="B347" t="str">
            <v>A5C</v>
          </cell>
          <cell r="C347" t="str">
            <v>N</v>
          </cell>
          <cell r="D347" t="str">
            <v>25611</v>
          </cell>
          <cell r="E347" t="str">
            <v>CAP</v>
          </cell>
          <cell r="F347">
            <v>2</v>
          </cell>
          <cell r="G347" t="str">
            <v>CB520700000T00</v>
          </cell>
          <cell r="H347">
            <v>0.75</v>
          </cell>
          <cell r="I347" t="str">
            <v>--</v>
          </cell>
          <cell r="J347">
            <v>1</v>
          </cell>
          <cell r="K347">
            <v>1</v>
          </cell>
        </row>
        <row r="348">
          <cell r="A348" t="str">
            <v>M1</v>
          </cell>
          <cell r="B348" t="str">
            <v>A5C</v>
          </cell>
          <cell r="C348" t="str">
            <v>P</v>
          </cell>
          <cell r="D348" t="str">
            <v>22065</v>
          </cell>
          <cell r="E348" t="str">
            <v>CAP</v>
          </cell>
          <cell r="F348">
            <v>2</v>
          </cell>
          <cell r="G348" t="str">
            <v>CB520700000T00</v>
          </cell>
          <cell r="H348">
            <v>0.75</v>
          </cell>
          <cell r="I348" t="str">
            <v>--</v>
          </cell>
          <cell r="J348">
            <v>4</v>
          </cell>
          <cell r="K348">
            <v>4</v>
          </cell>
        </row>
        <row r="349">
          <cell r="A349" t="str">
            <v>M1</v>
          </cell>
          <cell r="B349" t="str">
            <v>A5C</v>
          </cell>
          <cell r="C349" t="str">
            <v>P</v>
          </cell>
          <cell r="D349" t="str">
            <v>22068</v>
          </cell>
          <cell r="E349" t="str">
            <v>CAP</v>
          </cell>
          <cell r="F349">
            <v>2</v>
          </cell>
          <cell r="G349" t="str">
            <v>CB520700000T00</v>
          </cell>
          <cell r="H349">
            <v>0.75</v>
          </cell>
          <cell r="I349" t="str">
            <v>--</v>
          </cell>
          <cell r="J349">
            <v>2</v>
          </cell>
          <cell r="K349">
            <v>2</v>
          </cell>
        </row>
        <row r="350">
          <cell r="A350" t="str">
            <v>M1</v>
          </cell>
          <cell r="B350" t="str">
            <v>A5C</v>
          </cell>
          <cell r="C350" t="str">
            <v>P</v>
          </cell>
          <cell r="D350" t="str">
            <v>22069</v>
          </cell>
          <cell r="E350" t="str">
            <v>CAP</v>
          </cell>
          <cell r="F350">
            <v>2</v>
          </cell>
          <cell r="G350" t="str">
            <v>CB520700000T00</v>
          </cell>
          <cell r="H350">
            <v>0.75</v>
          </cell>
          <cell r="I350" t="str">
            <v>--</v>
          </cell>
          <cell r="J350">
            <v>2</v>
          </cell>
          <cell r="K350">
            <v>2</v>
          </cell>
        </row>
        <row r="351">
          <cell r="A351" t="str">
            <v>M1</v>
          </cell>
          <cell r="B351" t="str">
            <v>A5C</v>
          </cell>
          <cell r="C351" t="str">
            <v>P</v>
          </cell>
          <cell r="D351" t="str">
            <v>22069</v>
          </cell>
          <cell r="E351" t="str">
            <v>CAP</v>
          </cell>
          <cell r="F351">
            <v>2</v>
          </cell>
          <cell r="G351" t="str">
            <v>CB520700000T00</v>
          </cell>
          <cell r="H351">
            <v>0.75</v>
          </cell>
          <cell r="I351" t="str">
            <v>--</v>
          </cell>
          <cell r="J351">
            <v>1</v>
          </cell>
          <cell r="K351">
            <v>1</v>
          </cell>
        </row>
        <row r="352">
          <cell r="A352" t="str">
            <v>M1</v>
          </cell>
          <cell r="B352" t="str">
            <v>A5C</v>
          </cell>
          <cell r="C352" t="str">
            <v>P</v>
          </cell>
          <cell r="D352" t="str">
            <v>22071</v>
          </cell>
          <cell r="E352" t="str">
            <v>CAP</v>
          </cell>
          <cell r="F352">
            <v>2</v>
          </cell>
          <cell r="G352" t="str">
            <v>CB520700000T00</v>
          </cell>
          <cell r="H352">
            <v>0.75</v>
          </cell>
          <cell r="I352" t="str">
            <v>--</v>
          </cell>
          <cell r="J352">
            <v>1</v>
          </cell>
          <cell r="K352">
            <v>1</v>
          </cell>
        </row>
        <row r="353">
          <cell r="A353" t="str">
            <v>M1</v>
          </cell>
          <cell r="B353" t="str">
            <v>A5C</v>
          </cell>
          <cell r="C353" t="str">
            <v>P</v>
          </cell>
          <cell r="D353" t="str">
            <v>22078</v>
          </cell>
          <cell r="E353" t="str">
            <v>CAP</v>
          </cell>
          <cell r="F353">
            <v>2</v>
          </cell>
          <cell r="G353" t="str">
            <v>CB520700000T00</v>
          </cell>
          <cell r="H353">
            <v>0.75</v>
          </cell>
          <cell r="I353" t="str">
            <v>--</v>
          </cell>
          <cell r="J353">
            <v>1</v>
          </cell>
          <cell r="K353">
            <v>1</v>
          </cell>
        </row>
        <row r="354">
          <cell r="A354" t="str">
            <v>M1</v>
          </cell>
          <cell r="B354" t="str">
            <v>A5C</v>
          </cell>
          <cell r="C354" t="str">
            <v>P</v>
          </cell>
          <cell r="D354" t="str">
            <v>22087</v>
          </cell>
          <cell r="E354" t="str">
            <v>CAP</v>
          </cell>
          <cell r="F354">
            <v>2</v>
          </cell>
          <cell r="G354" t="str">
            <v>CB520700000T00</v>
          </cell>
          <cell r="H354">
            <v>0.75</v>
          </cell>
          <cell r="I354" t="str">
            <v>--</v>
          </cell>
          <cell r="J354">
            <v>1</v>
          </cell>
          <cell r="K354">
            <v>1</v>
          </cell>
        </row>
        <row r="355">
          <cell r="A355" t="str">
            <v>M1</v>
          </cell>
          <cell r="B355" t="str">
            <v>A5C</v>
          </cell>
          <cell r="C355" t="str">
            <v>P</v>
          </cell>
          <cell r="D355" t="str">
            <v>22071</v>
          </cell>
          <cell r="E355" t="str">
            <v>CAP</v>
          </cell>
          <cell r="F355">
            <v>2</v>
          </cell>
          <cell r="G355" t="str">
            <v>CB520700000T00</v>
          </cell>
          <cell r="H355">
            <v>0.75</v>
          </cell>
          <cell r="I355" t="str">
            <v>--</v>
          </cell>
          <cell r="J355">
            <v>2</v>
          </cell>
          <cell r="K355">
            <v>2</v>
          </cell>
        </row>
        <row r="356">
          <cell r="A356" t="str">
            <v>M1</v>
          </cell>
          <cell r="B356" t="str">
            <v>A5C</v>
          </cell>
          <cell r="C356" t="str">
            <v>P</v>
          </cell>
          <cell r="D356" t="str">
            <v>22071</v>
          </cell>
          <cell r="E356" t="str">
            <v>CAP</v>
          </cell>
          <cell r="F356">
            <v>2</v>
          </cell>
          <cell r="G356" t="str">
            <v>CB520700000T00</v>
          </cell>
          <cell r="H356">
            <v>0.75</v>
          </cell>
          <cell r="I356" t="str">
            <v>--</v>
          </cell>
          <cell r="J356">
            <v>4</v>
          </cell>
          <cell r="K356">
            <v>4</v>
          </cell>
        </row>
        <row r="357">
          <cell r="A357" t="str">
            <v>M1</v>
          </cell>
          <cell r="B357" t="str">
            <v>A5C</v>
          </cell>
          <cell r="C357" t="str">
            <v>P</v>
          </cell>
          <cell r="D357" t="str">
            <v>22081</v>
          </cell>
          <cell r="E357" t="str">
            <v>CAP</v>
          </cell>
          <cell r="F357">
            <v>2</v>
          </cell>
          <cell r="G357" t="str">
            <v>CB520700000T00</v>
          </cell>
          <cell r="H357">
            <v>0.75</v>
          </cell>
          <cell r="I357" t="str">
            <v>--</v>
          </cell>
          <cell r="J357">
            <v>3</v>
          </cell>
          <cell r="K357">
            <v>3</v>
          </cell>
        </row>
        <row r="358">
          <cell r="A358" t="str">
            <v>M1</v>
          </cell>
          <cell r="B358" t="str">
            <v>A5C</v>
          </cell>
          <cell r="C358" t="str">
            <v>P</v>
          </cell>
          <cell r="D358" t="str">
            <v>22101</v>
          </cell>
          <cell r="E358" t="str">
            <v>CAP</v>
          </cell>
          <cell r="F358">
            <v>2</v>
          </cell>
          <cell r="G358" t="str">
            <v>CB520700000T00</v>
          </cell>
          <cell r="H358">
            <v>0.75</v>
          </cell>
          <cell r="I358" t="str">
            <v>--</v>
          </cell>
          <cell r="J358">
            <v>2</v>
          </cell>
          <cell r="K358">
            <v>2</v>
          </cell>
        </row>
        <row r="359">
          <cell r="A359" t="str">
            <v>M1</v>
          </cell>
          <cell r="B359" t="str">
            <v>A5C</v>
          </cell>
          <cell r="C359" t="str">
            <v>P</v>
          </cell>
          <cell r="D359" t="str">
            <v>22102</v>
          </cell>
          <cell r="E359" t="str">
            <v>CAP</v>
          </cell>
          <cell r="F359">
            <v>2</v>
          </cell>
          <cell r="G359" t="str">
            <v>CB520700000T00</v>
          </cell>
          <cell r="H359">
            <v>0.75</v>
          </cell>
          <cell r="I359" t="str">
            <v>--</v>
          </cell>
          <cell r="J359">
            <v>2</v>
          </cell>
          <cell r="K359">
            <v>2</v>
          </cell>
        </row>
        <row r="360">
          <cell r="A360" t="str">
            <v>M1</v>
          </cell>
          <cell r="B360" t="str">
            <v>A5C</v>
          </cell>
          <cell r="C360" t="str">
            <v>P</v>
          </cell>
          <cell r="D360" t="str">
            <v>22103</v>
          </cell>
          <cell r="E360" t="str">
            <v>CAP</v>
          </cell>
          <cell r="F360">
            <v>2</v>
          </cell>
          <cell r="G360" t="str">
            <v>CB520700000T00</v>
          </cell>
          <cell r="H360">
            <v>0.75</v>
          </cell>
          <cell r="I360" t="str">
            <v>--</v>
          </cell>
          <cell r="J360">
            <v>1</v>
          </cell>
          <cell r="K360">
            <v>1</v>
          </cell>
        </row>
        <row r="361">
          <cell r="A361" t="str">
            <v>M1</v>
          </cell>
          <cell r="B361" t="str">
            <v>A5C</v>
          </cell>
          <cell r="C361" t="str">
            <v>P</v>
          </cell>
          <cell r="D361" t="str">
            <v>22114</v>
          </cell>
          <cell r="E361" t="str">
            <v>CAP</v>
          </cell>
          <cell r="F361">
            <v>2</v>
          </cell>
          <cell r="G361" t="str">
            <v>CB520700000T00</v>
          </cell>
          <cell r="H361">
            <v>0.75</v>
          </cell>
          <cell r="I361" t="str">
            <v>--</v>
          </cell>
          <cell r="J361">
            <v>1</v>
          </cell>
          <cell r="K361">
            <v>1</v>
          </cell>
        </row>
        <row r="362">
          <cell r="A362" t="str">
            <v>M1</v>
          </cell>
          <cell r="B362" t="str">
            <v>A5C</v>
          </cell>
          <cell r="C362" t="str">
            <v>P</v>
          </cell>
          <cell r="D362" t="str">
            <v>22113</v>
          </cell>
          <cell r="E362" t="str">
            <v>CAP</v>
          </cell>
          <cell r="F362">
            <v>2</v>
          </cell>
          <cell r="G362" t="str">
            <v>CB520700000T00</v>
          </cell>
          <cell r="H362">
            <v>0.75</v>
          </cell>
          <cell r="I362" t="str">
            <v>--</v>
          </cell>
          <cell r="J362">
            <v>1</v>
          </cell>
          <cell r="K362">
            <v>1</v>
          </cell>
        </row>
        <row r="363">
          <cell r="A363" t="str">
            <v>M1</v>
          </cell>
          <cell r="B363" t="str">
            <v>A5C</v>
          </cell>
          <cell r="C363" t="str">
            <v>SCD</v>
          </cell>
          <cell r="D363" t="str">
            <v>HOLD1</v>
          </cell>
          <cell r="E363" t="str">
            <v>CAP</v>
          </cell>
          <cell r="F363">
            <v>2</v>
          </cell>
          <cell r="G363" t="str">
            <v>CB520700000T00</v>
          </cell>
          <cell r="H363">
            <v>0.75</v>
          </cell>
          <cell r="I363" t="str">
            <v>--</v>
          </cell>
          <cell r="J363">
            <v>2</v>
          </cell>
          <cell r="K363">
            <v>2</v>
          </cell>
        </row>
        <row r="364">
          <cell r="A364" t="str">
            <v>M1</v>
          </cell>
          <cell r="B364" t="str">
            <v>A5C</v>
          </cell>
          <cell r="C364" t="str">
            <v>TRIM</v>
          </cell>
          <cell r="D364" t="str">
            <v>V-2211</v>
          </cell>
          <cell r="E364" t="str">
            <v>CAP</v>
          </cell>
          <cell r="F364">
            <v>2</v>
          </cell>
          <cell r="G364" t="str">
            <v>CB520700000T00</v>
          </cell>
          <cell r="H364">
            <v>0.75</v>
          </cell>
          <cell r="I364" t="str">
            <v>--</v>
          </cell>
          <cell r="J364">
            <v>2</v>
          </cell>
          <cell r="K364">
            <v>2</v>
          </cell>
        </row>
        <row r="365">
          <cell r="A365" t="str">
            <v>M1</v>
          </cell>
          <cell r="B365" t="str">
            <v>A5C</v>
          </cell>
          <cell r="C365" t="str">
            <v>P</v>
          </cell>
          <cell r="D365" t="str">
            <v>22028</v>
          </cell>
          <cell r="E365" t="str">
            <v>CAP</v>
          </cell>
          <cell r="F365">
            <v>2</v>
          </cell>
          <cell r="G365" t="str">
            <v>CB520700000T00</v>
          </cell>
          <cell r="H365">
            <v>0.75</v>
          </cell>
          <cell r="I365" t="str">
            <v>--</v>
          </cell>
          <cell r="J365">
            <v>1</v>
          </cell>
          <cell r="K365">
            <v>1</v>
          </cell>
        </row>
        <row r="366">
          <cell r="A366" t="str">
            <v>M1</v>
          </cell>
          <cell r="B366" t="str">
            <v>A5C</v>
          </cell>
          <cell r="C366" t="str">
            <v>P</v>
          </cell>
          <cell r="D366" t="str">
            <v>22066</v>
          </cell>
          <cell r="E366" t="str">
            <v>CAP</v>
          </cell>
          <cell r="F366">
            <v>2</v>
          </cell>
          <cell r="G366" t="str">
            <v>CB520700000T00</v>
          </cell>
          <cell r="H366">
            <v>0.75</v>
          </cell>
          <cell r="I366" t="str">
            <v>--</v>
          </cell>
          <cell r="J366">
            <v>4</v>
          </cell>
          <cell r="K366">
            <v>4</v>
          </cell>
        </row>
        <row r="367">
          <cell r="A367" t="str">
            <v>M1</v>
          </cell>
          <cell r="B367" t="str">
            <v>A5C</v>
          </cell>
          <cell r="C367" t="str">
            <v>P</v>
          </cell>
          <cell r="D367" t="str">
            <v>22082</v>
          </cell>
          <cell r="E367" t="str">
            <v>CAP</v>
          </cell>
          <cell r="F367">
            <v>2</v>
          </cell>
          <cell r="G367" t="str">
            <v>CB520700000T00</v>
          </cell>
          <cell r="H367">
            <v>0.75</v>
          </cell>
          <cell r="I367" t="str">
            <v>--</v>
          </cell>
          <cell r="J367">
            <v>2</v>
          </cell>
          <cell r="K367">
            <v>2</v>
          </cell>
        </row>
        <row r="368">
          <cell r="A368" t="str">
            <v>M1</v>
          </cell>
          <cell r="B368" t="str">
            <v>A5C</v>
          </cell>
          <cell r="C368" t="str">
            <v>P</v>
          </cell>
          <cell r="D368" t="str">
            <v>22102</v>
          </cell>
          <cell r="E368" t="str">
            <v>CAP</v>
          </cell>
          <cell r="F368">
            <v>2</v>
          </cell>
          <cell r="G368" t="str">
            <v>CB520700000T00</v>
          </cell>
          <cell r="H368">
            <v>0.75</v>
          </cell>
          <cell r="I368" t="str">
            <v>--</v>
          </cell>
          <cell r="J368">
            <v>2</v>
          </cell>
          <cell r="K368">
            <v>2</v>
          </cell>
        </row>
        <row r="369">
          <cell r="A369" t="str">
            <v>M1</v>
          </cell>
          <cell r="B369" t="str">
            <v>A5C</v>
          </cell>
          <cell r="C369" t="str">
            <v>P</v>
          </cell>
          <cell r="D369" t="str">
            <v>22104</v>
          </cell>
          <cell r="E369" t="str">
            <v>CAP</v>
          </cell>
          <cell r="F369">
            <v>2</v>
          </cell>
          <cell r="G369" t="str">
            <v>CB520700000T00</v>
          </cell>
          <cell r="H369">
            <v>0.75</v>
          </cell>
          <cell r="I369" t="str">
            <v>--</v>
          </cell>
          <cell r="J369">
            <v>1</v>
          </cell>
          <cell r="K369">
            <v>1</v>
          </cell>
        </row>
        <row r="370">
          <cell r="A370" t="str">
            <v>M1</v>
          </cell>
          <cell r="B370" t="str">
            <v>A5C</v>
          </cell>
          <cell r="C370" t="str">
            <v>P</v>
          </cell>
          <cell r="D370" t="str">
            <v>22106</v>
          </cell>
          <cell r="E370" t="str">
            <v>CAP</v>
          </cell>
          <cell r="F370">
            <v>2</v>
          </cell>
          <cell r="G370" t="str">
            <v>CB520700000T00</v>
          </cell>
          <cell r="H370">
            <v>0.75</v>
          </cell>
          <cell r="I370" t="str">
            <v>--</v>
          </cell>
          <cell r="J370">
            <v>2</v>
          </cell>
          <cell r="K370">
            <v>2</v>
          </cell>
        </row>
        <row r="371">
          <cell r="A371" t="str">
            <v>M1</v>
          </cell>
          <cell r="B371" t="str">
            <v>A5C</v>
          </cell>
          <cell r="C371" t="str">
            <v>P</v>
          </cell>
          <cell r="D371" t="str">
            <v>22153</v>
          </cell>
          <cell r="E371" t="str">
            <v>CAP</v>
          </cell>
          <cell r="F371">
            <v>2</v>
          </cell>
          <cell r="G371" t="str">
            <v>CB520700000T00</v>
          </cell>
          <cell r="H371">
            <v>0.75</v>
          </cell>
          <cell r="I371" t="str">
            <v>--</v>
          </cell>
          <cell r="J371">
            <v>2</v>
          </cell>
          <cell r="K371">
            <v>2</v>
          </cell>
        </row>
        <row r="372">
          <cell r="A372" t="str">
            <v>M1</v>
          </cell>
          <cell r="B372" t="str">
            <v>A5C</v>
          </cell>
          <cell r="C372" t="str">
            <v>N</v>
          </cell>
          <cell r="D372" t="str">
            <v>22670</v>
          </cell>
          <cell r="E372" t="str">
            <v>CPLG</v>
          </cell>
          <cell r="F372">
            <v>2</v>
          </cell>
          <cell r="G372" t="str">
            <v>CB400500000T00</v>
          </cell>
          <cell r="H372">
            <v>0.75</v>
          </cell>
          <cell r="I372" t="str">
            <v>--</v>
          </cell>
          <cell r="J372">
            <v>1</v>
          </cell>
          <cell r="K372">
            <v>1</v>
          </cell>
        </row>
        <row r="373">
          <cell r="A373" t="str">
            <v>M1</v>
          </cell>
          <cell r="B373" t="str">
            <v>A5C</v>
          </cell>
          <cell r="C373" t="str">
            <v>P</v>
          </cell>
          <cell r="D373" t="str">
            <v>22065</v>
          </cell>
          <cell r="E373" t="str">
            <v>CPLG</v>
          </cell>
          <cell r="F373">
            <v>2</v>
          </cell>
          <cell r="G373" t="str">
            <v>CB400500000T00</v>
          </cell>
          <cell r="H373">
            <v>0.75</v>
          </cell>
          <cell r="I373" t="str">
            <v>--</v>
          </cell>
          <cell r="J373">
            <v>2</v>
          </cell>
          <cell r="K373">
            <v>2</v>
          </cell>
        </row>
        <row r="374">
          <cell r="A374" t="str">
            <v>M1</v>
          </cell>
          <cell r="B374" t="str">
            <v>A5C</v>
          </cell>
          <cell r="C374" t="str">
            <v>P</v>
          </cell>
          <cell r="D374" t="str">
            <v>24029</v>
          </cell>
          <cell r="E374" t="str">
            <v>CPLG</v>
          </cell>
          <cell r="F374">
            <v>2</v>
          </cell>
          <cell r="G374" t="str">
            <v>CB400500000T00</v>
          </cell>
          <cell r="H374">
            <v>0.75</v>
          </cell>
          <cell r="I374" t="str">
            <v>--</v>
          </cell>
          <cell r="J374">
            <v>6</v>
          </cell>
          <cell r="K374">
            <v>6</v>
          </cell>
        </row>
        <row r="375">
          <cell r="A375" t="str">
            <v>M1</v>
          </cell>
          <cell r="B375" t="str">
            <v>A5C</v>
          </cell>
          <cell r="C375" t="str">
            <v>TRIM</v>
          </cell>
          <cell r="D375" t="str">
            <v>V-2206</v>
          </cell>
          <cell r="E375" t="str">
            <v>CPLG</v>
          </cell>
          <cell r="F375">
            <v>2</v>
          </cell>
          <cell r="G375" t="str">
            <v>CB400500000T00</v>
          </cell>
          <cell r="H375">
            <v>0.75</v>
          </cell>
          <cell r="I375" t="str">
            <v>--</v>
          </cell>
          <cell r="J375">
            <v>1</v>
          </cell>
          <cell r="K375">
            <v>1</v>
          </cell>
        </row>
        <row r="376">
          <cell r="A376" t="str">
            <v>M1</v>
          </cell>
          <cell r="B376" t="str">
            <v>A5C</v>
          </cell>
          <cell r="C376" t="str">
            <v>P</v>
          </cell>
          <cell r="D376" t="str">
            <v>22069</v>
          </cell>
          <cell r="E376" t="str">
            <v>NPL</v>
          </cell>
          <cell r="F376">
            <v>2</v>
          </cell>
          <cell r="G376" t="str">
            <v>CB132108000TVR</v>
          </cell>
          <cell r="H376">
            <v>0.75</v>
          </cell>
          <cell r="I376" t="str">
            <v>75mm</v>
          </cell>
          <cell r="J376">
            <v>4</v>
          </cell>
          <cell r="K376">
            <v>4</v>
          </cell>
        </row>
        <row r="377">
          <cell r="A377" t="str">
            <v>M1</v>
          </cell>
          <cell r="B377" t="str">
            <v>A5C</v>
          </cell>
          <cell r="C377" t="str">
            <v>P</v>
          </cell>
          <cell r="D377" t="str">
            <v>22071</v>
          </cell>
          <cell r="E377" t="str">
            <v>NPL</v>
          </cell>
          <cell r="F377">
            <v>2</v>
          </cell>
          <cell r="G377" t="str">
            <v>CB132108000TVR</v>
          </cell>
          <cell r="H377">
            <v>0.75</v>
          </cell>
          <cell r="I377" t="str">
            <v>75mm</v>
          </cell>
          <cell r="J377">
            <v>4</v>
          </cell>
          <cell r="K377">
            <v>4</v>
          </cell>
        </row>
        <row r="378">
          <cell r="A378" t="str">
            <v>M1</v>
          </cell>
          <cell r="B378" t="str">
            <v>A5C</v>
          </cell>
          <cell r="C378" t="str">
            <v>P</v>
          </cell>
          <cell r="D378" t="str">
            <v>22071</v>
          </cell>
          <cell r="E378" t="str">
            <v>NPL</v>
          </cell>
          <cell r="F378">
            <v>2</v>
          </cell>
          <cell r="G378" t="str">
            <v>CB132108000TVR</v>
          </cell>
          <cell r="H378">
            <v>0.75</v>
          </cell>
          <cell r="I378" t="str">
            <v>75mm</v>
          </cell>
          <cell r="J378">
            <v>1</v>
          </cell>
          <cell r="K378">
            <v>1</v>
          </cell>
        </row>
        <row r="379">
          <cell r="A379" t="str">
            <v>M1</v>
          </cell>
          <cell r="B379" t="str">
            <v>A5C</v>
          </cell>
          <cell r="C379" t="str">
            <v>P</v>
          </cell>
          <cell r="D379" t="str">
            <v>22102</v>
          </cell>
          <cell r="E379" t="str">
            <v>NPL</v>
          </cell>
          <cell r="F379">
            <v>2</v>
          </cell>
          <cell r="G379" t="str">
            <v>CB132108000TVR</v>
          </cell>
          <cell r="H379">
            <v>0.75</v>
          </cell>
          <cell r="I379" t="str">
            <v>75mm</v>
          </cell>
          <cell r="J379">
            <v>2</v>
          </cell>
          <cell r="K379">
            <v>2</v>
          </cell>
        </row>
        <row r="380">
          <cell r="A380" t="str">
            <v>M1</v>
          </cell>
          <cell r="B380" t="str">
            <v>A5C</v>
          </cell>
          <cell r="C380" t="str">
            <v>P</v>
          </cell>
          <cell r="D380" t="str">
            <v>22130</v>
          </cell>
          <cell r="E380" t="str">
            <v>NPL</v>
          </cell>
          <cell r="F380">
            <v>2</v>
          </cell>
          <cell r="G380" t="str">
            <v>CB132108000TVR</v>
          </cell>
          <cell r="H380">
            <v>0.75</v>
          </cell>
          <cell r="I380" t="str">
            <v>75mm</v>
          </cell>
          <cell r="J380">
            <v>2</v>
          </cell>
          <cell r="K380">
            <v>2</v>
          </cell>
        </row>
        <row r="381">
          <cell r="A381" t="str">
            <v>M1</v>
          </cell>
          <cell r="B381" t="str">
            <v>A5C</v>
          </cell>
          <cell r="C381" t="str">
            <v>P</v>
          </cell>
          <cell r="D381" t="str">
            <v>22140</v>
          </cell>
          <cell r="E381" t="str">
            <v>NPL</v>
          </cell>
          <cell r="F381">
            <v>2</v>
          </cell>
          <cell r="G381" t="str">
            <v>CB132108000TVR</v>
          </cell>
          <cell r="H381">
            <v>0.75</v>
          </cell>
          <cell r="I381" t="str">
            <v>75mm</v>
          </cell>
          <cell r="J381">
            <v>2</v>
          </cell>
          <cell r="K381">
            <v>2</v>
          </cell>
        </row>
        <row r="382">
          <cell r="A382" t="str">
            <v>M1</v>
          </cell>
          <cell r="B382" t="str">
            <v>A5C</v>
          </cell>
          <cell r="C382" t="str">
            <v>P</v>
          </cell>
          <cell r="D382" t="str">
            <v>22153</v>
          </cell>
          <cell r="E382" t="str">
            <v>NPL</v>
          </cell>
          <cell r="F382">
            <v>2</v>
          </cell>
          <cell r="G382" t="str">
            <v>CB132108000TVR</v>
          </cell>
          <cell r="H382">
            <v>0.75</v>
          </cell>
          <cell r="I382" t="str">
            <v>75mm</v>
          </cell>
          <cell r="J382">
            <v>4</v>
          </cell>
          <cell r="K382">
            <v>4</v>
          </cell>
        </row>
        <row r="383">
          <cell r="A383" t="str">
            <v>M1</v>
          </cell>
          <cell r="B383" t="str">
            <v>A5C</v>
          </cell>
          <cell r="C383" t="str">
            <v>P</v>
          </cell>
          <cell r="D383" t="str">
            <v>22153</v>
          </cell>
          <cell r="E383" t="str">
            <v>NPL</v>
          </cell>
          <cell r="F383">
            <v>2</v>
          </cell>
          <cell r="G383" t="str">
            <v>CB132308000TVR</v>
          </cell>
          <cell r="H383">
            <v>0.75</v>
          </cell>
          <cell r="I383" t="str">
            <v>75mm</v>
          </cell>
          <cell r="J383">
            <v>2</v>
          </cell>
          <cell r="K383">
            <v>2</v>
          </cell>
        </row>
        <row r="384">
          <cell r="A384" t="str">
            <v>M1</v>
          </cell>
          <cell r="B384" t="str">
            <v>A5C</v>
          </cell>
          <cell r="C384" t="str">
            <v>TRIM</v>
          </cell>
          <cell r="D384" t="str">
            <v>V-2206</v>
          </cell>
          <cell r="E384" t="str">
            <v>NPL</v>
          </cell>
          <cell r="F384">
            <v>2</v>
          </cell>
          <cell r="G384" t="str">
            <v>CB132108000TVR</v>
          </cell>
          <cell r="H384">
            <v>0.75</v>
          </cell>
          <cell r="I384" t="str">
            <v>75mm</v>
          </cell>
          <cell r="J384">
            <v>1</v>
          </cell>
          <cell r="K384">
            <v>1</v>
          </cell>
        </row>
        <row r="385">
          <cell r="A385" t="str">
            <v>M1</v>
          </cell>
          <cell r="B385" t="str">
            <v>A5C</v>
          </cell>
          <cell r="C385" t="str">
            <v>N</v>
          </cell>
          <cell r="D385" t="str">
            <v>22617</v>
          </cell>
          <cell r="E385" t="str">
            <v>NPL</v>
          </cell>
          <cell r="F385">
            <v>2</v>
          </cell>
          <cell r="G385" t="str">
            <v>CB132108000TVR</v>
          </cell>
          <cell r="H385">
            <v>0.75</v>
          </cell>
          <cell r="I385" t="str">
            <v>75mm</v>
          </cell>
          <cell r="J385">
            <v>1</v>
          </cell>
          <cell r="K385">
            <v>1</v>
          </cell>
        </row>
        <row r="386">
          <cell r="A386" t="str">
            <v>M1</v>
          </cell>
          <cell r="B386" t="str">
            <v>A5C</v>
          </cell>
          <cell r="C386" t="str">
            <v>P</v>
          </cell>
          <cell r="D386" t="str">
            <v>22139</v>
          </cell>
          <cell r="E386" t="str">
            <v>NPL</v>
          </cell>
          <cell r="F386">
            <v>2</v>
          </cell>
          <cell r="G386" t="str">
            <v>CB132108000TVR</v>
          </cell>
          <cell r="H386">
            <v>0.75</v>
          </cell>
          <cell r="I386" t="str">
            <v>75mm</v>
          </cell>
          <cell r="J386">
            <v>2</v>
          </cell>
          <cell r="K386">
            <v>2</v>
          </cell>
        </row>
        <row r="387">
          <cell r="A387" t="str">
            <v>M1</v>
          </cell>
          <cell r="B387" t="str">
            <v>A5C</v>
          </cell>
          <cell r="C387" t="str">
            <v>P</v>
          </cell>
          <cell r="D387" t="str">
            <v>22065</v>
          </cell>
          <cell r="E387" t="str">
            <v>R TEE</v>
          </cell>
          <cell r="F387">
            <v>2</v>
          </cell>
          <cell r="G387" t="str">
            <v>CB400400000T0H</v>
          </cell>
          <cell r="H387">
            <v>0.75</v>
          </cell>
          <cell r="I387">
            <v>0.5</v>
          </cell>
          <cell r="J387">
            <v>1</v>
          </cell>
          <cell r="K387">
            <v>1</v>
          </cell>
        </row>
        <row r="388">
          <cell r="A388" t="str">
            <v>M1</v>
          </cell>
          <cell r="B388" t="str">
            <v>A5C</v>
          </cell>
          <cell r="C388" t="str">
            <v>SCC</v>
          </cell>
          <cell r="D388" t="str">
            <v>HOLD1</v>
          </cell>
          <cell r="E388" t="str">
            <v>R TEE</v>
          </cell>
          <cell r="F388">
            <v>2</v>
          </cell>
          <cell r="G388" t="str">
            <v>CB400400000T0H</v>
          </cell>
          <cell r="H388">
            <v>0.75</v>
          </cell>
          <cell r="I388">
            <v>0.5</v>
          </cell>
          <cell r="J388">
            <v>3</v>
          </cell>
          <cell r="K388">
            <v>3</v>
          </cell>
        </row>
        <row r="389">
          <cell r="A389" t="str">
            <v>M1</v>
          </cell>
          <cell r="B389" t="str">
            <v>A5C</v>
          </cell>
          <cell r="C389" t="str">
            <v>SCD</v>
          </cell>
          <cell r="D389" t="str">
            <v>HOLD1</v>
          </cell>
          <cell r="E389" t="str">
            <v>R TEE</v>
          </cell>
          <cell r="F389">
            <v>2</v>
          </cell>
          <cell r="G389" t="str">
            <v>CB400400000T0H</v>
          </cell>
          <cell r="H389">
            <v>0.75</v>
          </cell>
          <cell r="I389">
            <v>0.5</v>
          </cell>
          <cell r="J389">
            <v>2</v>
          </cell>
          <cell r="K389">
            <v>2</v>
          </cell>
        </row>
        <row r="390">
          <cell r="A390" t="str">
            <v>M1</v>
          </cell>
          <cell r="B390" t="str">
            <v>A5C</v>
          </cell>
          <cell r="C390" t="str">
            <v>N</v>
          </cell>
          <cell r="D390" t="str">
            <v>22617</v>
          </cell>
          <cell r="E390" t="str">
            <v>TEE</v>
          </cell>
          <cell r="F390">
            <v>2</v>
          </cell>
          <cell r="G390" t="str">
            <v>CB400300000T00</v>
          </cell>
          <cell r="H390">
            <v>0.75</v>
          </cell>
          <cell r="I390" t="str">
            <v>--</v>
          </cell>
          <cell r="J390">
            <v>1</v>
          </cell>
          <cell r="K390">
            <v>1</v>
          </cell>
        </row>
        <row r="391">
          <cell r="A391" t="str">
            <v>M1</v>
          </cell>
          <cell r="B391" t="str">
            <v>A5C</v>
          </cell>
          <cell r="C391" t="str">
            <v>P</v>
          </cell>
          <cell r="D391" t="str">
            <v>22094</v>
          </cell>
          <cell r="E391" t="str">
            <v>90 ELL</v>
          </cell>
          <cell r="F391">
            <v>2</v>
          </cell>
          <cell r="G391" t="str">
            <v>CB400100001000</v>
          </cell>
          <cell r="H391">
            <v>0.75</v>
          </cell>
          <cell r="I391" t="str">
            <v>--</v>
          </cell>
          <cell r="J391">
            <v>2</v>
          </cell>
          <cell r="K391">
            <v>2</v>
          </cell>
        </row>
        <row r="392">
          <cell r="A392" t="str">
            <v>M1</v>
          </cell>
          <cell r="B392" t="str">
            <v>A5C</v>
          </cell>
          <cell r="C392" t="str">
            <v>P</v>
          </cell>
          <cell r="D392" t="str">
            <v>22095</v>
          </cell>
          <cell r="E392" t="str">
            <v>90 ELL</v>
          </cell>
          <cell r="F392">
            <v>2</v>
          </cell>
          <cell r="G392" t="str">
            <v>CB400100001000</v>
          </cell>
          <cell r="H392">
            <v>0.75</v>
          </cell>
          <cell r="I392" t="str">
            <v>--</v>
          </cell>
          <cell r="J392">
            <v>2</v>
          </cell>
          <cell r="K392">
            <v>2</v>
          </cell>
        </row>
        <row r="393">
          <cell r="A393" t="str">
            <v>M1</v>
          </cell>
          <cell r="B393" t="str">
            <v>A5C</v>
          </cell>
          <cell r="C393" t="str">
            <v>P</v>
          </cell>
          <cell r="D393" t="str">
            <v>22100</v>
          </cell>
          <cell r="E393" t="str">
            <v>90 ELL</v>
          </cell>
          <cell r="F393">
            <v>2</v>
          </cell>
          <cell r="G393" t="str">
            <v>CB400100001000</v>
          </cell>
          <cell r="H393">
            <v>0.75</v>
          </cell>
          <cell r="I393" t="str">
            <v>--</v>
          </cell>
          <cell r="J393">
            <v>2</v>
          </cell>
          <cell r="K393">
            <v>2</v>
          </cell>
        </row>
        <row r="394">
          <cell r="A394" t="str">
            <v>M1</v>
          </cell>
          <cell r="B394" t="str">
            <v>A5C</v>
          </cell>
          <cell r="C394" t="str">
            <v>P</v>
          </cell>
          <cell r="D394" t="str">
            <v>22099</v>
          </cell>
          <cell r="E394" t="str">
            <v>90 ELL</v>
          </cell>
          <cell r="F394">
            <v>2</v>
          </cell>
          <cell r="G394" t="str">
            <v>CB400100001000</v>
          </cell>
          <cell r="H394">
            <v>0.75</v>
          </cell>
          <cell r="I394" t="str">
            <v>--</v>
          </cell>
          <cell r="J394">
            <v>2</v>
          </cell>
          <cell r="K394">
            <v>2</v>
          </cell>
        </row>
        <row r="395">
          <cell r="A395" t="str">
            <v>M1</v>
          </cell>
          <cell r="B395" t="str">
            <v>A5C</v>
          </cell>
          <cell r="C395" t="str">
            <v>P</v>
          </cell>
          <cell r="D395" t="str">
            <v>22090</v>
          </cell>
          <cell r="E395" t="str">
            <v>CAP</v>
          </cell>
          <cell r="F395">
            <v>2</v>
          </cell>
          <cell r="G395" t="str">
            <v>CB520700000T00</v>
          </cell>
          <cell r="H395">
            <v>0.75</v>
          </cell>
          <cell r="I395" t="str">
            <v>--</v>
          </cell>
          <cell r="J395">
            <v>1</v>
          </cell>
          <cell r="K395">
            <v>1</v>
          </cell>
        </row>
        <row r="396">
          <cell r="A396" t="str">
            <v>M1</v>
          </cell>
          <cell r="B396" t="str">
            <v>A5C</v>
          </cell>
          <cell r="C396" t="str">
            <v>P</v>
          </cell>
          <cell r="D396" t="str">
            <v>22094</v>
          </cell>
          <cell r="E396" t="str">
            <v>NPL</v>
          </cell>
          <cell r="F396">
            <v>2</v>
          </cell>
          <cell r="G396" t="str">
            <v>CB132108000TVR</v>
          </cell>
          <cell r="H396">
            <v>0.75</v>
          </cell>
          <cell r="I396" t="str">
            <v>75mm</v>
          </cell>
          <cell r="J396">
            <v>2</v>
          </cell>
          <cell r="K396">
            <v>2</v>
          </cell>
        </row>
        <row r="397">
          <cell r="A397" t="str">
            <v>M1</v>
          </cell>
          <cell r="B397" t="str">
            <v>A5C</v>
          </cell>
          <cell r="C397" t="str">
            <v>P</v>
          </cell>
          <cell r="D397" t="str">
            <v>22095</v>
          </cell>
          <cell r="E397" t="str">
            <v>NPL</v>
          </cell>
          <cell r="F397">
            <v>2</v>
          </cell>
          <cell r="G397" t="str">
            <v>CB132108000TVR</v>
          </cell>
          <cell r="H397">
            <v>0.75</v>
          </cell>
          <cell r="I397" t="str">
            <v>75mm</v>
          </cell>
          <cell r="J397">
            <v>2</v>
          </cell>
          <cell r="K397">
            <v>2</v>
          </cell>
        </row>
        <row r="398">
          <cell r="A398" t="str">
            <v>M1</v>
          </cell>
          <cell r="B398" t="str">
            <v>A5C</v>
          </cell>
          <cell r="C398" t="str">
            <v>P</v>
          </cell>
          <cell r="D398" t="str">
            <v>22100</v>
          </cell>
          <cell r="E398" t="str">
            <v>NPL</v>
          </cell>
          <cell r="F398">
            <v>2</v>
          </cell>
          <cell r="G398" t="str">
            <v>CB132108000TVR</v>
          </cell>
          <cell r="H398">
            <v>0.75</v>
          </cell>
          <cell r="I398" t="str">
            <v>75mm</v>
          </cell>
          <cell r="J398">
            <v>2</v>
          </cell>
          <cell r="K398">
            <v>2</v>
          </cell>
        </row>
        <row r="399">
          <cell r="A399" t="str">
            <v>M1</v>
          </cell>
          <cell r="B399" t="str">
            <v>A5C</v>
          </cell>
          <cell r="C399" t="str">
            <v>P</v>
          </cell>
          <cell r="D399" t="str">
            <v>22099</v>
          </cell>
          <cell r="E399" t="str">
            <v>NPL</v>
          </cell>
          <cell r="F399">
            <v>2</v>
          </cell>
          <cell r="G399" t="str">
            <v>CB132108000TVR</v>
          </cell>
          <cell r="H399">
            <v>0.75</v>
          </cell>
          <cell r="I399" t="str">
            <v>75mm</v>
          </cell>
          <cell r="J399">
            <v>2</v>
          </cell>
          <cell r="K399">
            <v>2</v>
          </cell>
        </row>
        <row r="400">
          <cell r="A400" t="str">
            <v>M1</v>
          </cell>
          <cell r="B400" t="str">
            <v>A6C</v>
          </cell>
          <cell r="C400" t="str">
            <v>HOR</v>
          </cell>
          <cell r="D400" t="str">
            <v>65612</v>
          </cell>
          <cell r="E400" t="str">
            <v>90 ELL</v>
          </cell>
          <cell r="F400">
            <v>2</v>
          </cell>
          <cell r="G400" t="str">
            <v>CB400100001000</v>
          </cell>
          <cell r="H400">
            <v>0.75</v>
          </cell>
          <cell r="I400" t="str">
            <v>--</v>
          </cell>
          <cell r="J400">
            <v>4</v>
          </cell>
          <cell r="K400">
            <v>4</v>
          </cell>
        </row>
        <row r="401">
          <cell r="A401" t="str">
            <v>M1</v>
          </cell>
          <cell r="B401" t="str">
            <v>A5C</v>
          </cell>
          <cell r="C401" t="str">
            <v>P</v>
          </cell>
          <cell r="D401" t="str">
            <v>22062</v>
          </cell>
          <cell r="E401" t="str">
            <v>90 ELL</v>
          </cell>
          <cell r="F401">
            <v>2</v>
          </cell>
          <cell r="G401" t="str">
            <v>CB400100001000</v>
          </cell>
          <cell r="H401">
            <v>0.75</v>
          </cell>
          <cell r="I401" t="str">
            <v>--</v>
          </cell>
          <cell r="J401">
            <v>2</v>
          </cell>
          <cell r="K401">
            <v>2</v>
          </cell>
        </row>
        <row r="402">
          <cell r="A402" t="str">
            <v>M1</v>
          </cell>
          <cell r="B402" t="str">
            <v>A5C</v>
          </cell>
          <cell r="C402" t="str">
            <v>P</v>
          </cell>
          <cell r="D402" t="str">
            <v>22002</v>
          </cell>
          <cell r="E402" t="str">
            <v>90 ELL</v>
          </cell>
          <cell r="F402">
            <v>2</v>
          </cell>
          <cell r="G402" t="str">
            <v>CB400100001000</v>
          </cell>
          <cell r="H402">
            <v>0.75</v>
          </cell>
          <cell r="I402" t="str">
            <v>--</v>
          </cell>
          <cell r="J402">
            <v>2</v>
          </cell>
          <cell r="K402">
            <v>2</v>
          </cell>
        </row>
        <row r="403">
          <cell r="A403" t="str">
            <v>M1</v>
          </cell>
          <cell r="B403" t="str">
            <v>A5C</v>
          </cell>
          <cell r="C403" t="str">
            <v>P</v>
          </cell>
          <cell r="D403" t="str">
            <v>22073</v>
          </cell>
          <cell r="E403" t="str">
            <v>90 ELL</v>
          </cell>
          <cell r="F403">
            <v>2</v>
          </cell>
          <cell r="G403" t="str">
            <v>CB400100001000</v>
          </cell>
          <cell r="H403">
            <v>0.75</v>
          </cell>
          <cell r="I403" t="str">
            <v>--</v>
          </cell>
          <cell r="J403">
            <v>2</v>
          </cell>
          <cell r="K403">
            <v>2</v>
          </cell>
        </row>
        <row r="404">
          <cell r="A404" t="str">
            <v>M1</v>
          </cell>
          <cell r="B404" t="str">
            <v>A5C</v>
          </cell>
          <cell r="C404" t="str">
            <v>WW</v>
          </cell>
          <cell r="D404" t="str">
            <v>22601</v>
          </cell>
          <cell r="E404" t="str">
            <v>90 ELL</v>
          </cell>
          <cell r="F404">
            <v>2</v>
          </cell>
          <cell r="G404" t="str">
            <v>CB400100001000</v>
          </cell>
          <cell r="H404">
            <v>0.75</v>
          </cell>
          <cell r="I404" t="str">
            <v>--</v>
          </cell>
          <cell r="J404">
            <v>4</v>
          </cell>
          <cell r="K404">
            <v>4</v>
          </cell>
        </row>
        <row r="405">
          <cell r="A405" t="str">
            <v>M1</v>
          </cell>
          <cell r="B405" t="str">
            <v>A6C</v>
          </cell>
          <cell r="C405" t="str">
            <v>HOS</v>
          </cell>
          <cell r="D405" t="str">
            <v>65632</v>
          </cell>
          <cell r="E405" t="str">
            <v>CAP</v>
          </cell>
          <cell r="F405">
            <v>2</v>
          </cell>
          <cell r="G405" t="str">
            <v>CB520700000T00</v>
          </cell>
          <cell r="H405">
            <v>0.75</v>
          </cell>
          <cell r="I405" t="str">
            <v>--</v>
          </cell>
          <cell r="J405">
            <v>2</v>
          </cell>
          <cell r="K405">
            <v>2</v>
          </cell>
        </row>
        <row r="406">
          <cell r="A406" t="str">
            <v>M1</v>
          </cell>
          <cell r="B406" t="str">
            <v>A6C</v>
          </cell>
          <cell r="C406" t="str">
            <v>HOS</v>
          </cell>
          <cell r="D406" t="str">
            <v>65633</v>
          </cell>
          <cell r="E406" t="str">
            <v>CAP</v>
          </cell>
          <cell r="F406">
            <v>2</v>
          </cell>
          <cell r="G406" t="str">
            <v>CB520700000T00</v>
          </cell>
          <cell r="H406">
            <v>0.75</v>
          </cell>
          <cell r="I406" t="str">
            <v>--</v>
          </cell>
          <cell r="J406">
            <v>1</v>
          </cell>
          <cell r="K406">
            <v>1</v>
          </cell>
        </row>
        <row r="407">
          <cell r="A407" t="str">
            <v>M1</v>
          </cell>
          <cell r="B407" t="str">
            <v>A5C</v>
          </cell>
          <cell r="C407" t="str">
            <v>P</v>
          </cell>
          <cell r="D407" t="str">
            <v>22003</v>
          </cell>
          <cell r="E407" t="str">
            <v>CAP</v>
          </cell>
          <cell r="F407">
            <v>2</v>
          </cell>
          <cell r="G407" t="str">
            <v>CB520700000T00</v>
          </cell>
          <cell r="H407">
            <v>0.75</v>
          </cell>
          <cell r="I407" t="str">
            <v>--</v>
          </cell>
          <cell r="J407">
            <v>1</v>
          </cell>
          <cell r="K407">
            <v>1</v>
          </cell>
        </row>
        <row r="408">
          <cell r="A408" t="str">
            <v>M1</v>
          </cell>
          <cell r="B408" t="str">
            <v>A5C</v>
          </cell>
          <cell r="C408" t="str">
            <v>P</v>
          </cell>
          <cell r="D408" t="str">
            <v>22004</v>
          </cell>
          <cell r="E408" t="str">
            <v>CAP</v>
          </cell>
          <cell r="F408">
            <v>2</v>
          </cell>
          <cell r="G408" t="str">
            <v>CB520700000T00</v>
          </cell>
          <cell r="H408">
            <v>0.75</v>
          </cell>
          <cell r="I408" t="str">
            <v>--</v>
          </cell>
          <cell r="J408">
            <v>2</v>
          </cell>
          <cell r="K408">
            <v>2</v>
          </cell>
        </row>
        <row r="409">
          <cell r="A409" t="str">
            <v>M1</v>
          </cell>
          <cell r="B409" t="str">
            <v>A5C</v>
          </cell>
          <cell r="C409" t="str">
            <v>P</v>
          </cell>
          <cell r="D409" t="str">
            <v>22004</v>
          </cell>
          <cell r="E409" t="str">
            <v>CAP</v>
          </cell>
          <cell r="F409">
            <v>2</v>
          </cell>
          <cell r="G409" t="str">
            <v>CB520700000T00</v>
          </cell>
          <cell r="H409">
            <v>0.75</v>
          </cell>
          <cell r="I409" t="str">
            <v>--</v>
          </cell>
          <cell r="J409">
            <v>1</v>
          </cell>
          <cell r="K409">
            <v>1</v>
          </cell>
        </row>
        <row r="410">
          <cell r="A410" t="str">
            <v>M1</v>
          </cell>
          <cell r="B410" t="str">
            <v>A5C</v>
          </cell>
          <cell r="C410" t="str">
            <v>P</v>
          </cell>
          <cell r="D410" t="str">
            <v>22074</v>
          </cell>
          <cell r="E410" t="str">
            <v>CAP</v>
          </cell>
          <cell r="F410">
            <v>2</v>
          </cell>
          <cell r="G410" t="str">
            <v>CB520700000T00</v>
          </cell>
          <cell r="H410">
            <v>0.75</v>
          </cell>
          <cell r="I410" t="str">
            <v>--</v>
          </cell>
          <cell r="J410">
            <v>3</v>
          </cell>
          <cell r="K410">
            <v>3</v>
          </cell>
        </row>
        <row r="411">
          <cell r="A411" t="str">
            <v>M1</v>
          </cell>
          <cell r="B411" t="str">
            <v>A5C</v>
          </cell>
          <cell r="C411" t="str">
            <v>P</v>
          </cell>
          <cell r="D411" t="str">
            <v>22077</v>
          </cell>
          <cell r="E411" t="str">
            <v>CAP</v>
          </cell>
          <cell r="F411">
            <v>2</v>
          </cell>
          <cell r="G411" t="str">
            <v>CB520700000T00</v>
          </cell>
          <cell r="H411">
            <v>0.75</v>
          </cell>
          <cell r="I411" t="str">
            <v>--</v>
          </cell>
          <cell r="J411">
            <v>1</v>
          </cell>
          <cell r="K411">
            <v>1</v>
          </cell>
        </row>
        <row r="412">
          <cell r="A412" t="str">
            <v>M1</v>
          </cell>
          <cell r="B412" t="str">
            <v>A5C</v>
          </cell>
          <cell r="C412" t="str">
            <v>P</v>
          </cell>
          <cell r="D412" t="str">
            <v>22077</v>
          </cell>
          <cell r="E412" t="str">
            <v>CAP</v>
          </cell>
          <cell r="F412">
            <v>2</v>
          </cell>
          <cell r="G412" t="str">
            <v>CB520700000T00</v>
          </cell>
          <cell r="H412">
            <v>0.75</v>
          </cell>
          <cell r="I412" t="str">
            <v>--</v>
          </cell>
          <cell r="J412">
            <v>1</v>
          </cell>
          <cell r="K412">
            <v>1</v>
          </cell>
        </row>
        <row r="413">
          <cell r="A413" t="str">
            <v>M1</v>
          </cell>
          <cell r="B413" t="str">
            <v>A5C</v>
          </cell>
          <cell r="C413" t="str">
            <v>P</v>
          </cell>
          <cell r="D413" t="str">
            <v>22111</v>
          </cell>
          <cell r="E413" t="str">
            <v>CAP</v>
          </cell>
          <cell r="F413">
            <v>2</v>
          </cell>
          <cell r="G413" t="str">
            <v>CB520700000T00</v>
          </cell>
          <cell r="H413">
            <v>0.75</v>
          </cell>
          <cell r="I413" t="str">
            <v>--</v>
          </cell>
          <cell r="J413">
            <v>2</v>
          </cell>
          <cell r="K413">
            <v>2</v>
          </cell>
        </row>
        <row r="414">
          <cell r="A414" t="str">
            <v>M1</v>
          </cell>
          <cell r="B414" t="str">
            <v>A5C</v>
          </cell>
          <cell r="C414" t="str">
            <v>TRIM</v>
          </cell>
          <cell r="D414" t="str">
            <v>V-2214</v>
          </cell>
          <cell r="E414" t="str">
            <v>CAP</v>
          </cell>
          <cell r="F414">
            <v>2</v>
          </cell>
          <cell r="G414" t="str">
            <v>CB520700000T00</v>
          </cell>
          <cell r="H414">
            <v>0.75</v>
          </cell>
          <cell r="I414" t="str">
            <v>--</v>
          </cell>
          <cell r="J414">
            <v>1</v>
          </cell>
          <cell r="K414">
            <v>1</v>
          </cell>
        </row>
        <row r="415">
          <cell r="A415" t="str">
            <v>M1</v>
          </cell>
          <cell r="B415" t="str">
            <v>A5C</v>
          </cell>
          <cell r="C415" t="str">
            <v>P</v>
          </cell>
          <cell r="D415" t="str">
            <v>22005</v>
          </cell>
          <cell r="E415" t="str">
            <v>CAP</v>
          </cell>
          <cell r="F415">
            <v>2</v>
          </cell>
          <cell r="G415" t="str">
            <v>CB520700000T00</v>
          </cell>
          <cell r="H415">
            <v>0.75</v>
          </cell>
          <cell r="I415" t="str">
            <v>--</v>
          </cell>
          <cell r="J415">
            <v>1</v>
          </cell>
          <cell r="K415">
            <v>1</v>
          </cell>
        </row>
        <row r="416">
          <cell r="A416" t="str">
            <v>M1</v>
          </cell>
          <cell r="B416" t="str">
            <v>A6C</v>
          </cell>
          <cell r="C416" t="str">
            <v>HOS</v>
          </cell>
          <cell r="D416" t="str">
            <v>65633</v>
          </cell>
          <cell r="E416" t="str">
            <v>CPLG</v>
          </cell>
          <cell r="F416">
            <v>2</v>
          </cell>
          <cell r="G416" t="str">
            <v>CB400500000T00</v>
          </cell>
          <cell r="H416">
            <v>0.75</v>
          </cell>
          <cell r="I416" t="str">
            <v>--</v>
          </cell>
          <cell r="J416">
            <v>1</v>
          </cell>
          <cell r="K416">
            <v>1</v>
          </cell>
        </row>
        <row r="417">
          <cell r="A417" t="str">
            <v>M1</v>
          </cell>
          <cell r="B417" t="str">
            <v>A6C</v>
          </cell>
          <cell r="C417" t="str">
            <v>HOS</v>
          </cell>
          <cell r="D417" t="str">
            <v>65632</v>
          </cell>
          <cell r="E417" t="str">
            <v>NPL</v>
          </cell>
          <cell r="F417">
            <v>2</v>
          </cell>
          <cell r="G417" t="str">
            <v>CB132308000TVR</v>
          </cell>
          <cell r="H417">
            <v>0.75</v>
          </cell>
          <cell r="I417" t="str">
            <v>75mm</v>
          </cell>
          <cell r="J417">
            <v>2</v>
          </cell>
          <cell r="K417">
            <v>2</v>
          </cell>
        </row>
        <row r="418">
          <cell r="A418" t="str">
            <v>M1</v>
          </cell>
          <cell r="B418" t="str">
            <v>A6C</v>
          </cell>
          <cell r="C418" t="str">
            <v>HOS</v>
          </cell>
          <cell r="D418" t="str">
            <v>65633</v>
          </cell>
          <cell r="E418" t="str">
            <v>NPL</v>
          </cell>
          <cell r="F418">
            <v>2</v>
          </cell>
          <cell r="G418" t="str">
            <v>CB132108000TVR</v>
          </cell>
          <cell r="H418">
            <v>0.75</v>
          </cell>
          <cell r="I418" t="str">
            <v>75mm</v>
          </cell>
          <cell r="J418">
            <v>3</v>
          </cell>
          <cell r="K418">
            <v>3</v>
          </cell>
        </row>
        <row r="419">
          <cell r="A419" t="str">
            <v>M1</v>
          </cell>
          <cell r="B419" t="str">
            <v>A6C</v>
          </cell>
          <cell r="C419" t="str">
            <v>HOS</v>
          </cell>
          <cell r="D419" t="str">
            <v>65632</v>
          </cell>
          <cell r="E419" t="str">
            <v>NPL</v>
          </cell>
          <cell r="F419">
            <v>2</v>
          </cell>
          <cell r="G419" t="str">
            <v>CB132108000TVR</v>
          </cell>
          <cell r="H419">
            <v>0.75</v>
          </cell>
          <cell r="I419" t="str">
            <v>75mm</v>
          </cell>
          <cell r="J419">
            <v>2</v>
          </cell>
          <cell r="K419">
            <v>2</v>
          </cell>
        </row>
        <row r="420">
          <cell r="A420" t="str">
            <v>M1</v>
          </cell>
          <cell r="B420" t="str">
            <v>A5C</v>
          </cell>
          <cell r="C420" t="str">
            <v>P</v>
          </cell>
          <cell r="D420" t="str">
            <v>22002</v>
          </cell>
          <cell r="E420" t="str">
            <v>NPL</v>
          </cell>
          <cell r="F420">
            <v>2</v>
          </cell>
          <cell r="G420" t="str">
            <v>CB132108000TVR</v>
          </cell>
          <cell r="H420">
            <v>0.75</v>
          </cell>
          <cell r="I420" t="str">
            <v>75mm</v>
          </cell>
          <cell r="J420">
            <v>4</v>
          </cell>
          <cell r="K420">
            <v>4</v>
          </cell>
        </row>
        <row r="421">
          <cell r="A421" t="str">
            <v>M1</v>
          </cell>
          <cell r="B421" t="str">
            <v>A5C</v>
          </cell>
          <cell r="C421" t="str">
            <v>P</v>
          </cell>
          <cell r="D421" t="str">
            <v>22003</v>
          </cell>
          <cell r="E421" t="str">
            <v>NPL</v>
          </cell>
          <cell r="F421">
            <v>2</v>
          </cell>
          <cell r="G421" t="str">
            <v>CB132108000TVR</v>
          </cell>
          <cell r="H421">
            <v>0.75</v>
          </cell>
          <cell r="I421" t="str">
            <v>75mm</v>
          </cell>
          <cell r="J421">
            <v>3</v>
          </cell>
          <cell r="K421">
            <v>3</v>
          </cell>
        </row>
        <row r="422">
          <cell r="A422" t="str">
            <v>M1</v>
          </cell>
          <cell r="B422" t="str">
            <v>A5C</v>
          </cell>
          <cell r="C422" t="str">
            <v>P</v>
          </cell>
          <cell r="D422" t="str">
            <v>22004</v>
          </cell>
          <cell r="E422" t="str">
            <v>NPL</v>
          </cell>
          <cell r="F422">
            <v>2</v>
          </cell>
          <cell r="G422" t="str">
            <v>CB132108000TVR</v>
          </cell>
          <cell r="H422">
            <v>0.75</v>
          </cell>
          <cell r="I422" t="str">
            <v>75mm</v>
          </cell>
          <cell r="J422">
            <v>2</v>
          </cell>
          <cell r="K422">
            <v>2</v>
          </cell>
        </row>
        <row r="423">
          <cell r="A423" t="str">
            <v>M1</v>
          </cell>
          <cell r="B423" t="str">
            <v>A5C</v>
          </cell>
          <cell r="C423" t="str">
            <v>P</v>
          </cell>
          <cell r="D423" t="str">
            <v>22004</v>
          </cell>
          <cell r="E423" t="str">
            <v>NPL</v>
          </cell>
          <cell r="F423">
            <v>2</v>
          </cell>
          <cell r="G423" t="str">
            <v>CB132308000TVR</v>
          </cell>
          <cell r="H423">
            <v>0.75</v>
          </cell>
          <cell r="I423" t="str">
            <v>75mm</v>
          </cell>
          <cell r="J423">
            <v>2</v>
          </cell>
          <cell r="K423">
            <v>2</v>
          </cell>
        </row>
        <row r="424">
          <cell r="A424" t="str">
            <v>M1</v>
          </cell>
          <cell r="B424" t="str">
            <v>A5C</v>
          </cell>
          <cell r="C424" t="str">
            <v>P</v>
          </cell>
          <cell r="D424" t="str">
            <v>22004</v>
          </cell>
          <cell r="E424" t="str">
            <v>NPL</v>
          </cell>
          <cell r="F424">
            <v>2</v>
          </cell>
          <cell r="G424" t="str">
            <v>CB132108000TVR</v>
          </cell>
          <cell r="H424">
            <v>0.75</v>
          </cell>
          <cell r="I424" t="str">
            <v>75mm</v>
          </cell>
          <cell r="J424">
            <v>1</v>
          </cell>
          <cell r="K424">
            <v>1</v>
          </cell>
        </row>
        <row r="425">
          <cell r="A425" t="str">
            <v>M1</v>
          </cell>
          <cell r="B425" t="str">
            <v>A5C</v>
          </cell>
          <cell r="C425" t="str">
            <v>P</v>
          </cell>
          <cell r="D425" t="str">
            <v>22005</v>
          </cell>
          <cell r="E425" t="str">
            <v>NPL</v>
          </cell>
          <cell r="F425">
            <v>2</v>
          </cell>
          <cell r="G425" t="str">
            <v>CB132308000TVR</v>
          </cell>
          <cell r="H425">
            <v>0.75</v>
          </cell>
          <cell r="I425" t="str">
            <v>75mm</v>
          </cell>
          <cell r="J425">
            <v>2</v>
          </cell>
          <cell r="K425">
            <v>2</v>
          </cell>
        </row>
        <row r="426">
          <cell r="A426" t="str">
            <v>M1</v>
          </cell>
          <cell r="B426" t="str">
            <v>A5C</v>
          </cell>
          <cell r="C426" t="str">
            <v>P</v>
          </cell>
          <cell r="D426" t="str">
            <v>22062</v>
          </cell>
          <cell r="E426" t="str">
            <v>NPL</v>
          </cell>
          <cell r="F426">
            <v>2</v>
          </cell>
          <cell r="G426" t="str">
            <v>CB132108000TVR</v>
          </cell>
          <cell r="H426">
            <v>0.75</v>
          </cell>
          <cell r="I426" t="str">
            <v>75mm</v>
          </cell>
          <cell r="J426">
            <v>2</v>
          </cell>
          <cell r="K426">
            <v>2</v>
          </cell>
        </row>
        <row r="427">
          <cell r="A427" t="str">
            <v>M1</v>
          </cell>
          <cell r="B427" t="str">
            <v>A5C</v>
          </cell>
          <cell r="C427" t="str">
            <v>P</v>
          </cell>
          <cell r="D427" t="str">
            <v>22001</v>
          </cell>
          <cell r="E427" t="str">
            <v>NPL</v>
          </cell>
          <cell r="F427">
            <v>2</v>
          </cell>
          <cell r="G427" t="str">
            <v>CB132108000TVR</v>
          </cell>
          <cell r="H427">
            <v>0.75</v>
          </cell>
          <cell r="I427" t="str">
            <v>75mm</v>
          </cell>
          <cell r="J427">
            <v>3</v>
          </cell>
          <cell r="K427">
            <v>3</v>
          </cell>
        </row>
        <row r="428">
          <cell r="A428" t="str">
            <v>M1</v>
          </cell>
          <cell r="B428" t="str">
            <v>A5C</v>
          </cell>
          <cell r="C428" t="str">
            <v>P</v>
          </cell>
          <cell r="D428" t="str">
            <v>22004</v>
          </cell>
          <cell r="E428" t="str">
            <v>NPL</v>
          </cell>
          <cell r="F428">
            <v>2</v>
          </cell>
          <cell r="G428" t="str">
            <v>CB132308000TVR</v>
          </cell>
          <cell r="H428">
            <v>0.75</v>
          </cell>
          <cell r="I428" t="str">
            <v>75mm</v>
          </cell>
          <cell r="J428">
            <v>1</v>
          </cell>
          <cell r="K428">
            <v>1</v>
          </cell>
        </row>
        <row r="429">
          <cell r="A429" t="str">
            <v>M1</v>
          </cell>
          <cell r="B429" t="str">
            <v>A5C</v>
          </cell>
          <cell r="C429" t="str">
            <v>P</v>
          </cell>
          <cell r="D429" t="str">
            <v>22073</v>
          </cell>
          <cell r="E429" t="str">
            <v>NPL</v>
          </cell>
          <cell r="F429">
            <v>2</v>
          </cell>
          <cell r="G429" t="str">
            <v>CB132108000TVR</v>
          </cell>
          <cell r="H429">
            <v>0.75</v>
          </cell>
          <cell r="I429" t="str">
            <v>75mm</v>
          </cell>
          <cell r="J429">
            <v>2</v>
          </cell>
          <cell r="K429">
            <v>2</v>
          </cell>
        </row>
        <row r="430">
          <cell r="A430" t="str">
            <v>M1</v>
          </cell>
          <cell r="B430" t="str">
            <v>A6C</v>
          </cell>
          <cell r="C430" t="str">
            <v>HOS</v>
          </cell>
          <cell r="D430" t="str">
            <v>65629</v>
          </cell>
          <cell r="E430" t="str">
            <v>90 ELL</v>
          </cell>
          <cell r="F430">
            <v>2</v>
          </cell>
          <cell r="G430" t="str">
            <v>CB400100001000</v>
          </cell>
          <cell r="H430">
            <v>0.75</v>
          </cell>
          <cell r="I430" t="str">
            <v>--</v>
          </cell>
          <cell r="J430">
            <v>3</v>
          </cell>
          <cell r="K430">
            <v>3</v>
          </cell>
        </row>
        <row r="431">
          <cell r="A431" t="str">
            <v>M1</v>
          </cell>
          <cell r="B431" t="str">
            <v>A6C</v>
          </cell>
          <cell r="C431" t="str">
            <v>HOS</v>
          </cell>
          <cell r="D431" t="str">
            <v>65624</v>
          </cell>
          <cell r="E431" t="str">
            <v>90 ELL</v>
          </cell>
          <cell r="F431">
            <v>2</v>
          </cell>
          <cell r="G431" t="str">
            <v>CB400100001000</v>
          </cell>
          <cell r="H431">
            <v>0.75</v>
          </cell>
          <cell r="I431" t="str">
            <v>--</v>
          </cell>
          <cell r="J431">
            <v>1</v>
          </cell>
          <cell r="K431">
            <v>1</v>
          </cell>
        </row>
        <row r="432">
          <cell r="A432" t="str">
            <v>M1</v>
          </cell>
          <cell r="B432" t="str">
            <v>A6C</v>
          </cell>
          <cell r="C432" t="str">
            <v>HOS</v>
          </cell>
          <cell r="D432" t="str">
            <v>65634</v>
          </cell>
          <cell r="E432" t="str">
            <v>90 ELL</v>
          </cell>
          <cell r="F432">
            <v>2</v>
          </cell>
          <cell r="G432" t="str">
            <v>CB400100001000</v>
          </cell>
          <cell r="H432">
            <v>0.75</v>
          </cell>
          <cell r="I432" t="str">
            <v>--</v>
          </cell>
          <cell r="J432">
            <v>3</v>
          </cell>
          <cell r="K432">
            <v>3</v>
          </cell>
        </row>
        <row r="433">
          <cell r="A433" t="str">
            <v>M1</v>
          </cell>
          <cell r="B433" t="str">
            <v>A4C</v>
          </cell>
          <cell r="C433" t="str">
            <v>P</v>
          </cell>
          <cell r="D433" t="str">
            <v>22008</v>
          </cell>
          <cell r="E433" t="str">
            <v>90 ELL</v>
          </cell>
          <cell r="F433">
            <v>2</v>
          </cell>
          <cell r="G433" t="str">
            <v>CB400100001000</v>
          </cell>
          <cell r="H433">
            <v>0.75</v>
          </cell>
          <cell r="I433" t="str">
            <v>--</v>
          </cell>
          <cell r="J433">
            <v>1</v>
          </cell>
          <cell r="K433">
            <v>1</v>
          </cell>
        </row>
        <row r="434">
          <cell r="A434" t="str">
            <v>M1</v>
          </cell>
          <cell r="B434" t="str">
            <v>A4C</v>
          </cell>
          <cell r="C434" t="str">
            <v>P</v>
          </cell>
          <cell r="D434" t="str">
            <v>22031</v>
          </cell>
          <cell r="E434" t="str">
            <v>90 ELL</v>
          </cell>
          <cell r="F434">
            <v>2</v>
          </cell>
          <cell r="G434" t="str">
            <v>CB400100001000</v>
          </cell>
          <cell r="H434">
            <v>0.75</v>
          </cell>
          <cell r="I434" t="str">
            <v>--</v>
          </cell>
          <cell r="J434">
            <v>1</v>
          </cell>
          <cell r="K434">
            <v>1</v>
          </cell>
        </row>
        <row r="435">
          <cell r="A435" t="str">
            <v>M1</v>
          </cell>
          <cell r="B435" t="str">
            <v>A6C</v>
          </cell>
          <cell r="C435" t="str">
            <v>TRIM</v>
          </cell>
          <cell r="D435" t="str">
            <v>H-6501</v>
          </cell>
          <cell r="E435" t="str">
            <v>90 ELL</v>
          </cell>
          <cell r="F435">
            <v>2</v>
          </cell>
          <cell r="G435" t="str">
            <v>CB400100001000</v>
          </cell>
          <cell r="H435">
            <v>0.75</v>
          </cell>
          <cell r="I435" t="str">
            <v>--</v>
          </cell>
          <cell r="J435">
            <v>1</v>
          </cell>
          <cell r="K435">
            <v>1</v>
          </cell>
        </row>
        <row r="436">
          <cell r="A436" t="str">
            <v>M1</v>
          </cell>
          <cell r="B436" t="str">
            <v>A6C</v>
          </cell>
          <cell r="C436" t="str">
            <v>TRIM</v>
          </cell>
          <cell r="D436" t="str">
            <v>V-6502</v>
          </cell>
          <cell r="E436" t="str">
            <v>90 ELL</v>
          </cell>
          <cell r="F436">
            <v>2</v>
          </cell>
          <cell r="G436" t="str">
            <v>CB400100001000</v>
          </cell>
          <cell r="H436">
            <v>0.75</v>
          </cell>
          <cell r="I436" t="str">
            <v>--</v>
          </cell>
          <cell r="J436">
            <v>2</v>
          </cell>
          <cell r="K436">
            <v>2</v>
          </cell>
        </row>
        <row r="437">
          <cell r="A437" t="str">
            <v>M1</v>
          </cell>
          <cell r="B437" t="str">
            <v>A6C</v>
          </cell>
          <cell r="C437" t="str">
            <v>HOR</v>
          </cell>
          <cell r="D437" t="str">
            <v>65620</v>
          </cell>
          <cell r="E437" t="str">
            <v>90 ELL</v>
          </cell>
          <cell r="F437">
            <v>2</v>
          </cell>
          <cell r="G437" t="str">
            <v>CB400100001000</v>
          </cell>
          <cell r="H437">
            <v>0.75</v>
          </cell>
          <cell r="I437" t="str">
            <v>--</v>
          </cell>
          <cell r="J437">
            <v>7</v>
          </cell>
          <cell r="K437">
            <v>7</v>
          </cell>
        </row>
        <row r="438">
          <cell r="A438" t="str">
            <v>M1</v>
          </cell>
          <cell r="B438" t="str">
            <v>A4C</v>
          </cell>
          <cell r="C438" t="str">
            <v>P</v>
          </cell>
          <cell r="D438" t="str">
            <v>22008</v>
          </cell>
          <cell r="E438" t="str">
            <v>90 ELL</v>
          </cell>
          <cell r="F438">
            <v>2</v>
          </cell>
          <cell r="G438" t="str">
            <v>CB400100001000</v>
          </cell>
          <cell r="H438">
            <v>0.75</v>
          </cell>
          <cell r="I438" t="str">
            <v>--</v>
          </cell>
          <cell r="J438">
            <v>1</v>
          </cell>
          <cell r="K438">
            <v>1</v>
          </cell>
        </row>
        <row r="439">
          <cell r="A439" t="str">
            <v>M1</v>
          </cell>
          <cell r="B439" t="str">
            <v>A4C</v>
          </cell>
          <cell r="C439" t="str">
            <v>P</v>
          </cell>
          <cell r="D439" t="str">
            <v>22009</v>
          </cell>
          <cell r="E439" t="str">
            <v>90 ELL</v>
          </cell>
          <cell r="F439">
            <v>2</v>
          </cell>
          <cell r="G439" t="str">
            <v>CB400100001000</v>
          </cell>
          <cell r="H439">
            <v>0.75</v>
          </cell>
          <cell r="I439" t="str">
            <v>--</v>
          </cell>
          <cell r="J439">
            <v>2</v>
          </cell>
          <cell r="K439">
            <v>2</v>
          </cell>
        </row>
        <row r="440">
          <cell r="A440" t="str">
            <v>M1</v>
          </cell>
          <cell r="B440" t="str">
            <v>A5C</v>
          </cell>
          <cell r="C440" t="str">
            <v>P</v>
          </cell>
          <cell r="D440" t="str">
            <v>22098</v>
          </cell>
          <cell r="E440" t="str">
            <v>90 ELL</v>
          </cell>
          <cell r="F440">
            <v>2</v>
          </cell>
          <cell r="G440" t="str">
            <v>CB400100001000</v>
          </cell>
          <cell r="H440">
            <v>0.75</v>
          </cell>
          <cell r="I440" t="str">
            <v>--</v>
          </cell>
          <cell r="J440">
            <v>1</v>
          </cell>
          <cell r="K440">
            <v>1</v>
          </cell>
        </row>
        <row r="441">
          <cell r="A441" t="str">
            <v>M1</v>
          </cell>
          <cell r="B441" t="str">
            <v>A6C</v>
          </cell>
          <cell r="C441" t="str">
            <v>HOR</v>
          </cell>
          <cell r="D441" t="str">
            <v>65620</v>
          </cell>
          <cell r="E441" t="str">
            <v>C SWG</v>
          </cell>
          <cell r="F441">
            <v>2</v>
          </cell>
          <cell r="G441" t="str">
            <v>CB161308080T0Q</v>
          </cell>
          <cell r="H441">
            <v>0.75</v>
          </cell>
          <cell r="I441">
            <v>0.25</v>
          </cell>
          <cell r="J441">
            <v>1</v>
          </cell>
          <cell r="K441">
            <v>1</v>
          </cell>
        </row>
        <row r="442">
          <cell r="A442" t="str">
            <v>M1</v>
          </cell>
          <cell r="B442" t="str">
            <v>A6C</v>
          </cell>
          <cell r="C442" t="str">
            <v>HOS</v>
          </cell>
          <cell r="D442" t="str">
            <v>65613</v>
          </cell>
          <cell r="E442" t="str">
            <v>CAP</v>
          </cell>
          <cell r="F442">
            <v>2</v>
          </cell>
          <cell r="G442" t="str">
            <v>CB520700000T00</v>
          </cell>
          <cell r="H442">
            <v>0.75</v>
          </cell>
          <cell r="I442" t="str">
            <v>--</v>
          </cell>
          <cell r="J442">
            <v>2</v>
          </cell>
          <cell r="K442">
            <v>2</v>
          </cell>
        </row>
        <row r="443">
          <cell r="A443" t="str">
            <v>M1</v>
          </cell>
          <cell r="B443" t="str">
            <v>A6C</v>
          </cell>
          <cell r="C443" t="str">
            <v>HOS</v>
          </cell>
          <cell r="D443" t="str">
            <v>65624</v>
          </cell>
          <cell r="E443" t="str">
            <v>CAP</v>
          </cell>
          <cell r="F443">
            <v>2</v>
          </cell>
          <cell r="G443" t="str">
            <v>CB520700000T00</v>
          </cell>
          <cell r="H443">
            <v>0.75</v>
          </cell>
          <cell r="I443" t="str">
            <v>--</v>
          </cell>
          <cell r="J443">
            <v>2</v>
          </cell>
          <cell r="K443">
            <v>2</v>
          </cell>
        </row>
        <row r="444">
          <cell r="A444" t="str">
            <v>M1</v>
          </cell>
          <cell r="B444" t="str">
            <v>A6C</v>
          </cell>
          <cell r="C444" t="str">
            <v>HOS</v>
          </cell>
          <cell r="D444" t="str">
            <v>65627</v>
          </cell>
          <cell r="E444" t="str">
            <v>CAP</v>
          </cell>
          <cell r="F444">
            <v>2</v>
          </cell>
          <cell r="G444" t="str">
            <v>CB520700000T00</v>
          </cell>
          <cell r="H444">
            <v>0.75</v>
          </cell>
          <cell r="I444" t="str">
            <v>--</v>
          </cell>
          <cell r="J444">
            <v>1</v>
          </cell>
          <cell r="K444">
            <v>1</v>
          </cell>
        </row>
        <row r="445">
          <cell r="A445" t="str">
            <v>M1</v>
          </cell>
          <cell r="B445" t="str">
            <v>A6C</v>
          </cell>
          <cell r="C445" t="str">
            <v>HOS</v>
          </cell>
          <cell r="D445" t="str">
            <v>65628</v>
          </cell>
          <cell r="E445" t="str">
            <v>CAP</v>
          </cell>
          <cell r="F445">
            <v>2</v>
          </cell>
          <cell r="G445" t="str">
            <v>CB520700000T00</v>
          </cell>
          <cell r="H445">
            <v>0.75</v>
          </cell>
          <cell r="I445" t="str">
            <v>--</v>
          </cell>
          <cell r="J445">
            <v>1</v>
          </cell>
          <cell r="K445">
            <v>1</v>
          </cell>
        </row>
        <row r="446">
          <cell r="A446" t="str">
            <v>M1</v>
          </cell>
          <cell r="B446" t="str">
            <v>A5C</v>
          </cell>
          <cell r="C446" t="str">
            <v>P</v>
          </cell>
          <cell r="D446" t="str">
            <v>22089</v>
          </cell>
          <cell r="E446" t="str">
            <v>CAP</v>
          </cell>
          <cell r="F446">
            <v>2</v>
          </cell>
          <cell r="G446" t="str">
            <v>CB520700000T00</v>
          </cell>
          <cell r="H446">
            <v>0.75</v>
          </cell>
          <cell r="I446" t="str">
            <v>--</v>
          </cell>
          <cell r="J446">
            <v>1</v>
          </cell>
          <cell r="K446">
            <v>1</v>
          </cell>
        </row>
        <row r="447">
          <cell r="A447" t="str">
            <v>M1</v>
          </cell>
          <cell r="B447" t="str">
            <v>A5C</v>
          </cell>
          <cell r="C447" t="str">
            <v>TRIM</v>
          </cell>
          <cell r="D447" t="str">
            <v>C-2201</v>
          </cell>
          <cell r="E447" t="str">
            <v>CAP</v>
          </cell>
          <cell r="F447">
            <v>2</v>
          </cell>
          <cell r="G447" t="str">
            <v>CB520700000T00</v>
          </cell>
          <cell r="H447">
            <v>0.75</v>
          </cell>
          <cell r="I447" t="str">
            <v>--</v>
          </cell>
          <cell r="J447">
            <v>2</v>
          </cell>
          <cell r="K447">
            <v>2</v>
          </cell>
        </row>
        <row r="448">
          <cell r="A448" t="str">
            <v>M1</v>
          </cell>
          <cell r="B448" t="str">
            <v>A6C</v>
          </cell>
          <cell r="C448" t="str">
            <v>TRIM</v>
          </cell>
          <cell r="D448" t="str">
            <v>V-6501</v>
          </cell>
          <cell r="E448" t="str">
            <v>CAP</v>
          </cell>
          <cell r="F448">
            <v>2</v>
          </cell>
          <cell r="G448" t="str">
            <v>CB520700000T00</v>
          </cell>
          <cell r="H448">
            <v>0.75</v>
          </cell>
          <cell r="I448" t="str">
            <v>--</v>
          </cell>
          <cell r="J448">
            <v>2</v>
          </cell>
          <cell r="K448">
            <v>2</v>
          </cell>
        </row>
        <row r="449">
          <cell r="A449" t="str">
            <v>M1</v>
          </cell>
          <cell r="B449" t="str">
            <v>A6C</v>
          </cell>
          <cell r="C449" t="str">
            <v>HOR</v>
          </cell>
          <cell r="D449" t="str">
            <v>65619</v>
          </cell>
          <cell r="E449" t="str">
            <v>CAP</v>
          </cell>
          <cell r="F449">
            <v>2</v>
          </cell>
          <cell r="G449" t="str">
            <v>CB520700000T00</v>
          </cell>
          <cell r="H449">
            <v>0.75</v>
          </cell>
          <cell r="I449" t="str">
            <v>--</v>
          </cell>
          <cell r="J449">
            <v>1</v>
          </cell>
          <cell r="K449">
            <v>1</v>
          </cell>
        </row>
        <row r="450">
          <cell r="A450" t="str">
            <v>M1</v>
          </cell>
          <cell r="B450" t="str">
            <v>A6C</v>
          </cell>
          <cell r="C450" t="str">
            <v>HOR</v>
          </cell>
          <cell r="D450" t="str">
            <v>65611</v>
          </cell>
          <cell r="E450" t="str">
            <v>CAP</v>
          </cell>
          <cell r="F450">
            <v>2</v>
          </cell>
          <cell r="G450" t="str">
            <v>CB520700000T00</v>
          </cell>
          <cell r="H450">
            <v>0.75</v>
          </cell>
          <cell r="I450" t="str">
            <v>--</v>
          </cell>
          <cell r="J450">
            <v>1</v>
          </cell>
          <cell r="K450">
            <v>1</v>
          </cell>
        </row>
        <row r="451">
          <cell r="A451" t="str">
            <v>M1</v>
          </cell>
          <cell r="B451" t="str">
            <v>A6C</v>
          </cell>
          <cell r="C451" t="str">
            <v>HOR</v>
          </cell>
          <cell r="D451" t="str">
            <v>65619</v>
          </cell>
          <cell r="E451" t="str">
            <v>CAP</v>
          </cell>
          <cell r="F451">
            <v>2</v>
          </cell>
          <cell r="G451" t="str">
            <v>CB520700000T00</v>
          </cell>
          <cell r="H451">
            <v>0.75</v>
          </cell>
          <cell r="I451" t="str">
            <v>--</v>
          </cell>
          <cell r="J451">
            <v>4</v>
          </cell>
          <cell r="K451">
            <v>4</v>
          </cell>
        </row>
        <row r="452">
          <cell r="A452" t="str">
            <v>M1</v>
          </cell>
          <cell r="B452" t="str">
            <v>A5C</v>
          </cell>
          <cell r="C452" t="str">
            <v>P</v>
          </cell>
          <cell r="D452" t="str">
            <v>22088</v>
          </cell>
          <cell r="E452" t="str">
            <v>CAP</v>
          </cell>
          <cell r="F452">
            <v>2</v>
          </cell>
          <cell r="G452" t="str">
            <v>CB520700000T00</v>
          </cell>
          <cell r="H452">
            <v>0.75</v>
          </cell>
          <cell r="I452" t="str">
            <v>--</v>
          </cell>
          <cell r="J452">
            <v>1</v>
          </cell>
          <cell r="K452">
            <v>1</v>
          </cell>
        </row>
        <row r="453">
          <cell r="A453" t="str">
            <v>M1</v>
          </cell>
          <cell r="B453" t="str">
            <v>A6C</v>
          </cell>
          <cell r="C453" t="str">
            <v>TRIM</v>
          </cell>
          <cell r="D453" t="str">
            <v>H-6501</v>
          </cell>
          <cell r="E453" t="str">
            <v>CAP</v>
          </cell>
          <cell r="F453">
            <v>2</v>
          </cell>
          <cell r="G453" t="str">
            <v>CB520700000T00</v>
          </cell>
          <cell r="H453">
            <v>0.75</v>
          </cell>
          <cell r="I453" t="str">
            <v>--</v>
          </cell>
          <cell r="J453">
            <v>1</v>
          </cell>
          <cell r="K453">
            <v>1</v>
          </cell>
        </row>
        <row r="454">
          <cell r="A454" t="str">
            <v>M1</v>
          </cell>
          <cell r="B454" t="str">
            <v>A6C</v>
          </cell>
          <cell r="C454" t="str">
            <v>HOS</v>
          </cell>
          <cell r="D454" t="str">
            <v>65629</v>
          </cell>
          <cell r="E454" t="str">
            <v>CPLG</v>
          </cell>
          <cell r="F454">
            <v>2</v>
          </cell>
          <cell r="G454" t="str">
            <v>CB400500000T00</v>
          </cell>
          <cell r="H454">
            <v>0.75</v>
          </cell>
          <cell r="I454" t="str">
            <v>--</v>
          </cell>
          <cell r="J454">
            <v>2</v>
          </cell>
          <cell r="K454">
            <v>2</v>
          </cell>
        </row>
        <row r="455">
          <cell r="A455" t="str">
            <v>M1</v>
          </cell>
          <cell r="B455" t="str">
            <v>A5C</v>
          </cell>
          <cell r="C455" t="str">
            <v>TRIM</v>
          </cell>
          <cell r="D455" t="str">
            <v>V-2208</v>
          </cell>
          <cell r="E455" t="str">
            <v>CPLG</v>
          </cell>
          <cell r="F455">
            <v>2</v>
          </cell>
          <cell r="G455" t="str">
            <v>CB400500000T00</v>
          </cell>
          <cell r="H455">
            <v>0.75</v>
          </cell>
          <cell r="I455" t="str">
            <v>--</v>
          </cell>
          <cell r="J455">
            <v>1</v>
          </cell>
          <cell r="K455">
            <v>1</v>
          </cell>
        </row>
        <row r="456">
          <cell r="A456" t="str">
            <v>M1</v>
          </cell>
          <cell r="B456" t="str">
            <v>A6C</v>
          </cell>
          <cell r="C456" t="str">
            <v>HOR</v>
          </cell>
          <cell r="D456" t="str">
            <v>65622</v>
          </cell>
          <cell r="E456" t="str">
            <v>CPLG</v>
          </cell>
          <cell r="F456">
            <v>2</v>
          </cell>
          <cell r="G456" t="str">
            <v>CB400500000T00</v>
          </cell>
          <cell r="H456">
            <v>0.75</v>
          </cell>
          <cell r="I456" t="str">
            <v>--</v>
          </cell>
          <cell r="J456">
            <v>4</v>
          </cell>
          <cell r="K456">
            <v>4</v>
          </cell>
        </row>
        <row r="457">
          <cell r="A457" t="str">
            <v>M1</v>
          </cell>
          <cell r="B457" t="str">
            <v>A5C</v>
          </cell>
          <cell r="C457" t="str">
            <v>TRIM</v>
          </cell>
          <cell r="D457" t="str">
            <v>V-2209</v>
          </cell>
          <cell r="E457" t="str">
            <v>CPLG</v>
          </cell>
          <cell r="F457">
            <v>2</v>
          </cell>
          <cell r="G457" t="str">
            <v>CB400500000T00</v>
          </cell>
          <cell r="H457">
            <v>0.75</v>
          </cell>
          <cell r="I457" t="str">
            <v>--</v>
          </cell>
          <cell r="J457">
            <v>1</v>
          </cell>
          <cell r="K457">
            <v>1</v>
          </cell>
        </row>
        <row r="458">
          <cell r="A458" t="str">
            <v>M1</v>
          </cell>
          <cell r="B458" t="str">
            <v>A6C</v>
          </cell>
          <cell r="C458" t="str">
            <v>HOS</v>
          </cell>
          <cell r="D458" t="str">
            <v>65624</v>
          </cell>
          <cell r="E458" t="str">
            <v>NPL</v>
          </cell>
          <cell r="F458">
            <v>2</v>
          </cell>
          <cell r="G458" t="str">
            <v>CB132108000TVR</v>
          </cell>
          <cell r="H458">
            <v>0.75</v>
          </cell>
          <cell r="I458" t="str">
            <v>75mm</v>
          </cell>
          <cell r="J458">
            <v>6</v>
          </cell>
          <cell r="K458">
            <v>6</v>
          </cell>
        </row>
        <row r="459">
          <cell r="A459" t="str">
            <v>M1</v>
          </cell>
          <cell r="B459" t="str">
            <v>A6C</v>
          </cell>
          <cell r="C459" t="str">
            <v>HOS</v>
          </cell>
          <cell r="D459" t="str">
            <v>65627</v>
          </cell>
          <cell r="E459" t="str">
            <v>NPL</v>
          </cell>
          <cell r="F459">
            <v>2</v>
          </cell>
          <cell r="G459" t="str">
            <v>CB132108000TVR</v>
          </cell>
          <cell r="H459">
            <v>0.75</v>
          </cell>
          <cell r="I459" t="str">
            <v>75mm</v>
          </cell>
          <cell r="J459">
            <v>1</v>
          </cell>
          <cell r="K459">
            <v>1</v>
          </cell>
        </row>
        <row r="460">
          <cell r="A460" t="str">
            <v>M1</v>
          </cell>
          <cell r="B460" t="str">
            <v>A6C</v>
          </cell>
          <cell r="C460" t="str">
            <v>HOS</v>
          </cell>
          <cell r="D460" t="str">
            <v>65627</v>
          </cell>
          <cell r="E460" t="str">
            <v>NPL</v>
          </cell>
          <cell r="F460">
            <v>2</v>
          </cell>
          <cell r="G460" t="str">
            <v>CB132308000TVR</v>
          </cell>
          <cell r="H460">
            <v>0.75</v>
          </cell>
          <cell r="I460" t="str">
            <v>75mm</v>
          </cell>
          <cell r="J460">
            <v>1</v>
          </cell>
          <cell r="K460">
            <v>1</v>
          </cell>
        </row>
        <row r="461">
          <cell r="A461" t="str">
            <v>M1</v>
          </cell>
          <cell r="B461" t="str">
            <v>A6C</v>
          </cell>
          <cell r="C461" t="str">
            <v>HOS</v>
          </cell>
          <cell r="D461" t="str">
            <v>65628</v>
          </cell>
          <cell r="E461" t="str">
            <v>NPL</v>
          </cell>
          <cell r="F461">
            <v>2</v>
          </cell>
          <cell r="G461" t="str">
            <v>CB132108000TVR</v>
          </cell>
          <cell r="H461">
            <v>0.75</v>
          </cell>
          <cell r="I461" t="str">
            <v>75mm</v>
          </cell>
          <cell r="J461">
            <v>2</v>
          </cell>
          <cell r="K461">
            <v>2</v>
          </cell>
        </row>
        <row r="462">
          <cell r="A462" t="str">
            <v>M1</v>
          </cell>
          <cell r="B462" t="str">
            <v>A4C</v>
          </cell>
          <cell r="C462" t="str">
            <v>P</v>
          </cell>
          <cell r="D462" t="str">
            <v>22008</v>
          </cell>
          <cell r="E462" t="str">
            <v>NPL</v>
          </cell>
          <cell r="F462">
            <v>2</v>
          </cell>
          <cell r="G462" t="str">
            <v>CB132108000TVR</v>
          </cell>
          <cell r="H462">
            <v>0.75</v>
          </cell>
          <cell r="I462" t="str">
            <v>75mm</v>
          </cell>
          <cell r="J462">
            <v>1</v>
          </cell>
          <cell r="K462">
            <v>1</v>
          </cell>
        </row>
        <row r="463">
          <cell r="A463" t="str">
            <v>M1</v>
          </cell>
          <cell r="B463" t="str">
            <v>A4C</v>
          </cell>
          <cell r="C463" t="str">
            <v>P</v>
          </cell>
          <cell r="D463" t="str">
            <v>22008</v>
          </cell>
          <cell r="E463" t="str">
            <v>NPL</v>
          </cell>
          <cell r="F463">
            <v>2</v>
          </cell>
          <cell r="G463" t="str">
            <v>CB132108000TVR</v>
          </cell>
          <cell r="H463">
            <v>0.75</v>
          </cell>
          <cell r="I463" t="str">
            <v>75mm</v>
          </cell>
          <cell r="J463">
            <v>2</v>
          </cell>
          <cell r="K463">
            <v>2</v>
          </cell>
        </row>
        <row r="464">
          <cell r="A464" t="str">
            <v>M1</v>
          </cell>
          <cell r="B464" t="str">
            <v>A4C</v>
          </cell>
          <cell r="C464" t="str">
            <v>P</v>
          </cell>
          <cell r="D464" t="str">
            <v>22031</v>
          </cell>
          <cell r="E464" t="str">
            <v>NPL</v>
          </cell>
          <cell r="F464">
            <v>2</v>
          </cell>
          <cell r="G464" t="str">
            <v>CB132108000TVR</v>
          </cell>
          <cell r="H464">
            <v>0.75</v>
          </cell>
          <cell r="I464" t="str">
            <v>75mm</v>
          </cell>
          <cell r="J464">
            <v>1</v>
          </cell>
          <cell r="K464">
            <v>1</v>
          </cell>
        </row>
        <row r="465">
          <cell r="A465" t="str">
            <v>M1</v>
          </cell>
          <cell r="B465" t="str">
            <v>A6C</v>
          </cell>
          <cell r="C465" t="str">
            <v>HOR</v>
          </cell>
          <cell r="D465" t="str">
            <v>65611</v>
          </cell>
          <cell r="E465" t="str">
            <v>NPL</v>
          </cell>
          <cell r="F465">
            <v>2</v>
          </cell>
          <cell r="G465" t="str">
            <v>CB132108000TVR</v>
          </cell>
          <cell r="H465">
            <v>0.75</v>
          </cell>
          <cell r="I465" t="str">
            <v>75mm</v>
          </cell>
          <cell r="J465">
            <v>2</v>
          </cell>
          <cell r="K465">
            <v>2</v>
          </cell>
        </row>
        <row r="466">
          <cell r="A466" t="str">
            <v>M1</v>
          </cell>
          <cell r="B466" t="str">
            <v>A6C</v>
          </cell>
          <cell r="C466" t="str">
            <v>HOS</v>
          </cell>
          <cell r="D466" t="str">
            <v>65613</v>
          </cell>
          <cell r="E466" t="str">
            <v>NPL</v>
          </cell>
          <cell r="F466">
            <v>2</v>
          </cell>
          <cell r="G466" t="str">
            <v>CB132308000TVR</v>
          </cell>
          <cell r="H466">
            <v>0.75</v>
          </cell>
          <cell r="I466" t="str">
            <v>75mm</v>
          </cell>
          <cell r="J466">
            <v>6</v>
          </cell>
          <cell r="K466">
            <v>6</v>
          </cell>
        </row>
        <row r="467">
          <cell r="A467" t="str">
            <v>M1</v>
          </cell>
          <cell r="B467" t="str">
            <v>A6C</v>
          </cell>
          <cell r="C467" t="str">
            <v>HOR</v>
          </cell>
          <cell r="D467" t="str">
            <v>65619</v>
          </cell>
          <cell r="E467" t="str">
            <v>NPL</v>
          </cell>
          <cell r="F467">
            <v>2</v>
          </cell>
          <cell r="G467" t="str">
            <v>CB132108000TVR</v>
          </cell>
          <cell r="H467">
            <v>0.75</v>
          </cell>
          <cell r="I467" t="str">
            <v>75mm</v>
          </cell>
          <cell r="J467">
            <v>2</v>
          </cell>
          <cell r="K467">
            <v>2</v>
          </cell>
        </row>
        <row r="468">
          <cell r="A468" t="str">
            <v>M1</v>
          </cell>
          <cell r="B468" t="str">
            <v>A6C</v>
          </cell>
          <cell r="C468" t="str">
            <v>HOR</v>
          </cell>
          <cell r="D468" t="str">
            <v>65619</v>
          </cell>
          <cell r="E468" t="str">
            <v>NPL</v>
          </cell>
          <cell r="F468">
            <v>2</v>
          </cell>
          <cell r="G468" t="str">
            <v>CB132108000TVR</v>
          </cell>
          <cell r="H468">
            <v>0.75</v>
          </cell>
          <cell r="I468" t="str">
            <v>75mm</v>
          </cell>
          <cell r="J468">
            <v>10</v>
          </cell>
          <cell r="K468">
            <v>10</v>
          </cell>
        </row>
        <row r="469">
          <cell r="A469" t="str">
            <v>M1</v>
          </cell>
          <cell r="B469" t="str">
            <v>A4C</v>
          </cell>
          <cell r="C469" t="str">
            <v>P</v>
          </cell>
          <cell r="D469" t="str">
            <v>22009</v>
          </cell>
          <cell r="E469" t="str">
            <v>NPL</v>
          </cell>
          <cell r="F469">
            <v>2</v>
          </cell>
          <cell r="G469" t="str">
            <v>CB132108000TVR</v>
          </cell>
          <cell r="H469">
            <v>0.75</v>
          </cell>
          <cell r="I469" t="str">
            <v>75mm</v>
          </cell>
          <cell r="J469">
            <v>2</v>
          </cell>
          <cell r="K469">
            <v>2</v>
          </cell>
        </row>
        <row r="470">
          <cell r="A470" t="str">
            <v>M1</v>
          </cell>
          <cell r="B470" t="str">
            <v>A6C</v>
          </cell>
          <cell r="C470" t="str">
            <v>TRIM</v>
          </cell>
          <cell r="D470" t="str">
            <v>H-6501</v>
          </cell>
          <cell r="E470" t="str">
            <v>NPL</v>
          </cell>
          <cell r="F470">
            <v>2</v>
          </cell>
          <cell r="G470" t="str">
            <v>CB132108000TVR</v>
          </cell>
          <cell r="H470">
            <v>0.75</v>
          </cell>
          <cell r="I470" t="str">
            <v>75mm</v>
          </cell>
          <cell r="J470">
            <v>4</v>
          </cell>
          <cell r="K470">
            <v>4</v>
          </cell>
        </row>
        <row r="471">
          <cell r="A471" t="str">
            <v>M1</v>
          </cell>
          <cell r="B471" t="str">
            <v>A6C</v>
          </cell>
          <cell r="C471" t="str">
            <v>TRIM</v>
          </cell>
          <cell r="D471" t="str">
            <v>V-6501</v>
          </cell>
          <cell r="E471" t="str">
            <v>NPL</v>
          </cell>
          <cell r="F471">
            <v>2</v>
          </cell>
          <cell r="G471" t="str">
            <v>CB132108000TVR</v>
          </cell>
          <cell r="H471">
            <v>0.75</v>
          </cell>
          <cell r="I471" t="str">
            <v>75mm</v>
          </cell>
          <cell r="J471">
            <v>8</v>
          </cell>
          <cell r="K471">
            <v>8</v>
          </cell>
        </row>
        <row r="472">
          <cell r="A472" t="str">
            <v>M1</v>
          </cell>
          <cell r="B472" t="str">
            <v>A4C</v>
          </cell>
          <cell r="C472" t="str">
            <v>P</v>
          </cell>
          <cell r="D472" t="str">
            <v>22008</v>
          </cell>
          <cell r="E472" t="str">
            <v>TEE</v>
          </cell>
          <cell r="F472">
            <v>2</v>
          </cell>
          <cell r="G472" t="str">
            <v>CB400300000T00</v>
          </cell>
          <cell r="H472">
            <v>0.75</v>
          </cell>
          <cell r="I472" t="str">
            <v>--</v>
          </cell>
          <cell r="J472">
            <v>1</v>
          </cell>
          <cell r="K472">
            <v>1</v>
          </cell>
        </row>
        <row r="473">
          <cell r="A473" t="str">
            <v>M1</v>
          </cell>
          <cell r="B473" t="str">
            <v>A6C</v>
          </cell>
          <cell r="C473" t="str">
            <v>TRIM</v>
          </cell>
          <cell r="D473" t="str">
            <v>H-6501</v>
          </cell>
          <cell r="E473" t="str">
            <v>TEE</v>
          </cell>
          <cell r="F473">
            <v>2</v>
          </cell>
          <cell r="G473" t="str">
            <v>CB400300000T00</v>
          </cell>
          <cell r="H473">
            <v>0.75</v>
          </cell>
          <cell r="I473" t="str">
            <v>--</v>
          </cell>
          <cell r="J473">
            <v>2</v>
          </cell>
          <cell r="K473">
            <v>2</v>
          </cell>
        </row>
        <row r="474">
          <cell r="A474" t="str">
            <v>M1</v>
          </cell>
          <cell r="B474" t="str">
            <v>A6C</v>
          </cell>
          <cell r="C474" t="str">
            <v>HOR</v>
          </cell>
          <cell r="D474" t="str">
            <v>65620</v>
          </cell>
          <cell r="E474" t="str">
            <v>TEE</v>
          </cell>
          <cell r="F474">
            <v>2</v>
          </cell>
          <cell r="G474" t="str">
            <v>CB400300000T00</v>
          </cell>
          <cell r="H474">
            <v>0.75</v>
          </cell>
          <cell r="I474" t="str">
            <v>--</v>
          </cell>
          <cell r="J474">
            <v>1</v>
          </cell>
          <cell r="K474">
            <v>1</v>
          </cell>
        </row>
        <row r="475">
          <cell r="A475" t="str">
            <v>M1</v>
          </cell>
          <cell r="B475" t="str">
            <v>B1C</v>
          </cell>
          <cell r="C475" t="str">
            <v>P</v>
          </cell>
          <cell r="D475" t="str">
            <v>22029</v>
          </cell>
          <cell r="E475" t="str">
            <v>90 ELL</v>
          </cell>
          <cell r="F475">
            <v>2</v>
          </cell>
          <cell r="G475" t="str">
            <v>CB400100001000</v>
          </cell>
          <cell r="H475">
            <v>0.75</v>
          </cell>
          <cell r="I475" t="str">
            <v>--</v>
          </cell>
          <cell r="J475">
            <v>2</v>
          </cell>
          <cell r="K475">
            <v>2</v>
          </cell>
        </row>
        <row r="476">
          <cell r="A476" t="str">
            <v>M1</v>
          </cell>
          <cell r="B476" t="str">
            <v>B1C</v>
          </cell>
          <cell r="C476" t="str">
            <v>P</v>
          </cell>
          <cell r="D476" t="str">
            <v>22027</v>
          </cell>
          <cell r="E476" t="str">
            <v>90 ELL</v>
          </cell>
          <cell r="F476">
            <v>2</v>
          </cell>
          <cell r="G476" t="str">
            <v>CB400100001000</v>
          </cell>
          <cell r="H476">
            <v>0.75</v>
          </cell>
          <cell r="I476" t="str">
            <v>--</v>
          </cell>
          <cell r="J476">
            <v>1</v>
          </cell>
          <cell r="K476">
            <v>1</v>
          </cell>
        </row>
        <row r="477">
          <cell r="A477" t="str">
            <v>M1</v>
          </cell>
          <cell r="B477" t="str">
            <v>B1X</v>
          </cell>
          <cell r="C477" t="str">
            <v>P</v>
          </cell>
          <cell r="D477" t="str">
            <v>22042</v>
          </cell>
          <cell r="E477" t="str">
            <v>90 ELL</v>
          </cell>
          <cell r="F477">
            <v>2</v>
          </cell>
          <cell r="G477" t="str">
            <v>CB400100001000</v>
          </cell>
          <cell r="H477">
            <v>0.75</v>
          </cell>
          <cell r="I477" t="str">
            <v>--</v>
          </cell>
          <cell r="J477">
            <v>2</v>
          </cell>
          <cell r="K477">
            <v>2</v>
          </cell>
        </row>
        <row r="478">
          <cell r="A478" t="str">
            <v>M1</v>
          </cell>
          <cell r="B478" t="str">
            <v>B1C</v>
          </cell>
          <cell r="C478" t="str">
            <v>P</v>
          </cell>
          <cell r="D478" t="str">
            <v>22027</v>
          </cell>
          <cell r="E478" t="str">
            <v>NPL</v>
          </cell>
          <cell r="F478">
            <v>2</v>
          </cell>
          <cell r="G478" t="str">
            <v>CB132308000TVR</v>
          </cell>
          <cell r="H478">
            <v>0.75</v>
          </cell>
          <cell r="I478" t="str">
            <v>75mm</v>
          </cell>
          <cell r="J478">
            <v>1</v>
          </cell>
          <cell r="K478">
            <v>1</v>
          </cell>
        </row>
        <row r="479">
          <cell r="A479" t="str">
            <v>M1</v>
          </cell>
          <cell r="B479" t="str">
            <v>A6C</v>
          </cell>
          <cell r="C479" t="str">
            <v>HOS</v>
          </cell>
          <cell r="D479" t="str">
            <v>65613</v>
          </cell>
          <cell r="E479" t="str">
            <v>90 ELL</v>
          </cell>
          <cell r="F479">
            <v>2</v>
          </cell>
          <cell r="G479" t="str">
            <v>CB400100001000</v>
          </cell>
          <cell r="H479">
            <v>1</v>
          </cell>
          <cell r="I479" t="str">
            <v>--</v>
          </cell>
          <cell r="J479">
            <v>8</v>
          </cell>
          <cell r="K479">
            <v>8</v>
          </cell>
        </row>
        <row r="480">
          <cell r="A480" t="str">
            <v>M1</v>
          </cell>
          <cell r="B480" t="str">
            <v>A5C</v>
          </cell>
          <cell r="C480" t="str">
            <v>P</v>
          </cell>
          <cell r="D480" t="str">
            <v>22103</v>
          </cell>
          <cell r="E480" t="str">
            <v>90 ELL</v>
          </cell>
          <cell r="F480">
            <v>2</v>
          </cell>
          <cell r="G480" t="str">
            <v>CB400100001000</v>
          </cell>
          <cell r="H480">
            <v>1</v>
          </cell>
          <cell r="I480" t="str">
            <v>--</v>
          </cell>
          <cell r="J480">
            <v>6</v>
          </cell>
          <cell r="K480">
            <v>6</v>
          </cell>
        </row>
        <row r="481">
          <cell r="A481" t="str">
            <v>M1</v>
          </cell>
          <cell r="B481" t="str">
            <v>A5C</v>
          </cell>
          <cell r="C481" t="str">
            <v>P</v>
          </cell>
          <cell r="D481" t="str">
            <v>22106</v>
          </cell>
          <cell r="E481" t="str">
            <v>90 ELL</v>
          </cell>
          <cell r="F481">
            <v>2</v>
          </cell>
          <cell r="G481" t="str">
            <v>CB400100000100</v>
          </cell>
          <cell r="H481">
            <v>1</v>
          </cell>
          <cell r="I481" t="str">
            <v>--</v>
          </cell>
          <cell r="J481">
            <v>5</v>
          </cell>
          <cell r="K481">
            <v>5</v>
          </cell>
        </row>
        <row r="482">
          <cell r="A482" t="str">
            <v>M1</v>
          </cell>
          <cell r="B482" t="str">
            <v>A6C</v>
          </cell>
          <cell r="C482" t="str">
            <v>HOR</v>
          </cell>
          <cell r="D482" t="str">
            <v>65612</v>
          </cell>
          <cell r="E482" t="str">
            <v>90 ELL</v>
          </cell>
          <cell r="F482">
            <v>2</v>
          </cell>
          <cell r="G482" t="str">
            <v>CB400100000100</v>
          </cell>
          <cell r="H482">
            <v>1</v>
          </cell>
          <cell r="I482" t="str">
            <v>--</v>
          </cell>
          <cell r="J482">
            <v>5</v>
          </cell>
          <cell r="K482">
            <v>5</v>
          </cell>
        </row>
        <row r="483">
          <cell r="A483" t="str">
            <v>M1</v>
          </cell>
          <cell r="B483" t="str">
            <v>A6C</v>
          </cell>
          <cell r="C483" t="str">
            <v>HOR</v>
          </cell>
          <cell r="D483" t="str">
            <v>65622</v>
          </cell>
          <cell r="E483" t="str">
            <v>90 ELL</v>
          </cell>
          <cell r="F483">
            <v>2</v>
          </cell>
          <cell r="G483" t="str">
            <v>CB400100000100</v>
          </cell>
          <cell r="H483">
            <v>1</v>
          </cell>
          <cell r="I483" t="str">
            <v>--</v>
          </cell>
          <cell r="J483">
            <v>4</v>
          </cell>
          <cell r="K483">
            <v>4</v>
          </cell>
        </row>
        <row r="484">
          <cell r="A484" t="str">
            <v>M1</v>
          </cell>
          <cell r="B484" t="str">
            <v>A5C</v>
          </cell>
          <cell r="C484" t="str">
            <v>P</v>
          </cell>
          <cell r="D484" t="str">
            <v>22106</v>
          </cell>
          <cell r="E484" t="str">
            <v>R TEE</v>
          </cell>
          <cell r="F484">
            <v>2</v>
          </cell>
          <cell r="G484" t="str">
            <v>CB40040000010H</v>
          </cell>
          <cell r="H484">
            <v>1</v>
          </cell>
          <cell r="I484">
            <v>0.5</v>
          </cell>
          <cell r="J484">
            <v>4</v>
          </cell>
          <cell r="K484">
            <v>4</v>
          </cell>
        </row>
        <row r="485">
          <cell r="A485" t="str">
            <v>M1</v>
          </cell>
          <cell r="B485" t="str">
            <v>A6C</v>
          </cell>
          <cell r="C485" t="str">
            <v>HOR</v>
          </cell>
          <cell r="D485" t="str">
            <v>65612</v>
          </cell>
          <cell r="E485" t="str">
            <v>R TEE</v>
          </cell>
          <cell r="F485">
            <v>2</v>
          </cell>
          <cell r="G485" t="str">
            <v>CB40040000010T</v>
          </cell>
          <cell r="H485">
            <v>1</v>
          </cell>
          <cell r="I485">
            <v>0.75</v>
          </cell>
          <cell r="J485">
            <v>4</v>
          </cell>
          <cell r="K485">
            <v>4</v>
          </cell>
        </row>
        <row r="486">
          <cell r="A486" t="str">
            <v>M1</v>
          </cell>
          <cell r="B486" t="str">
            <v>A4C</v>
          </cell>
          <cell r="C486" t="str">
            <v>N</v>
          </cell>
          <cell r="D486" t="str">
            <v>22661</v>
          </cell>
          <cell r="E486" t="str">
            <v>90 ELL</v>
          </cell>
          <cell r="F486">
            <v>2</v>
          </cell>
          <cell r="G486" t="str">
            <v>CB400100000100</v>
          </cell>
          <cell r="H486">
            <v>1</v>
          </cell>
          <cell r="I486" t="str">
            <v>--</v>
          </cell>
          <cell r="J486">
            <v>3</v>
          </cell>
          <cell r="K486">
            <v>3</v>
          </cell>
        </row>
        <row r="487">
          <cell r="A487" t="str">
            <v>M1</v>
          </cell>
          <cell r="B487" t="str">
            <v>A5C</v>
          </cell>
          <cell r="C487" t="str">
            <v>P</v>
          </cell>
          <cell r="D487" t="str">
            <v>22105</v>
          </cell>
          <cell r="E487" t="str">
            <v>90 ELL</v>
          </cell>
          <cell r="F487">
            <v>2</v>
          </cell>
          <cell r="G487" t="str">
            <v>CB400100001000</v>
          </cell>
          <cell r="H487">
            <v>1</v>
          </cell>
          <cell r="I487" t="str">
            <v>--</v>
          </cell>
          <cell r="J487">
            <v>4</v>
          </cell>
          <cell r="K487">
            <v>4</v>
          </cell>
        </row>
        <row r="488">
          <cell r="A488" t="str">
            <v>M1</v>
          </cell>
          <cell r="B488" t="str">
            <v>A5C</v>
          </cell>
          <cell r="C488" t="str">
            <v>P</v>
          </cell>
          <cell r="D488" t="str">
            <v>22157</v>
          </cell>
          <cell r="E488" t="str">
            <v>R TEE</v>
          </cell>
          <cell r="F488">
            <v>2</v>
          </cell>
          <cell r="G488" t="str">
            <v>CB400400001H01</v>
          </cell>
          <cell r="H488">
            <v>1</v>
          </cell>
          <cell r="I488" t="str">
            <v>-</v>
          </cell>
          <cell r="J488">
            <v>5</v>
          </cell>
          <cell r="K488">
            <v>5</v>
          </cell>
        </row>
        <row r="489">
          <cell r="A489" t="str">
            <v>M1</v>
          </cell>
          <cell r="B489" t="str">
            <v>B2C</v>
          </cell>
          <cell r="C489" t="str">
            <v>SH</v>
          </cell>
          <cell r="D489" t="str">
            <v>22614</v>
          </cell>
          <cell r="E489" t="str">
            <v>90 ELL</v>
          </cell>
          <cell r="F489">
            <v>2</v>
          </cell>
          <cell r="G489" t="str">
            <v>CB400100001000</v>
          </cell>
          <cell r="H489">
            <v>1</v>
          </cell>
          <cell r="I489" t="str">
            <v>--</v>
          </cell>
          <cell r="J489">
            <v>2</v>
          </cell>
          <cell r="K489">
            <v>2</v>
          </cell>
        </row>
        <row r="490">
          <cell r="A490" t="str">
            <v>M1</v>
          </cell>
          <cell r="B490" t="str">
            <v>B2C</v>
          </cell>
          <cell r="C490" t="str">
            <v>SH</v>
          </cell>
          <cell r="D490" t="str">
            <v>22611</v>
          </cell>
          <cell r="E490" t="str">
            <v>CPLG</v>
          </cell>
          <cell r="F490">
            <v>2</v>
          </cell>
          <cell r="G490" t="str">
            <v>CB400500000100</v>
          </cell>
          <cell r="H490">
            <v>1</v>
          </cell>
          <cell r="I490" t="str">
            <v>--</v>
          </cell>
          <cell r="J490">
            <v>2</v>
          </cell>
          <cell r="K490">
            <v>2</v>
          </cell>
        </row>
        <row r="491">
          <cell r="A491" t="str">
            <v>M1</v>
          </cell>
          <cell r="B491" t="str">
            <v>B2C</v>
          </cell>
          <cell r="C491" t="str">
            <v>TRIM</v>
          </cell>
          <cell r="D491" t="str">
            <v>E-2204</v>
          </cell>
          <cell r="E491" t="str">
            <v>NPL</v>
          </cell>
          <cell r="F491">
            <v>2</v>
          </cell>
          <cell r="G491" t="str">
            <v>CB1321080001VR</v>
          </cell>
          <cell r="H491">
            <v>1</v>
          </cell>
          <cell r="I491" t="str">
            <v>75mm</v>
          </cell>
          <cell r="J491">
            <v>2</v>
          </cell>
          <cell r="K491">
            <v>2</v>
          </cell>
        </row>
        <row r="492">
          <cell r="A492" t="str">
            <v>M1</v>
          </cell>
          <cell r="B492" t="str">
            <v>A5C</v>
          </cell>
          <cell r="C492" t="str">
            <v>P</v>
          </cell>
          <cell r="D492" t="str">
            <v>22063</v>
          </cell>
          <cell r="E492" t="str">
            <v>90 ELL</v>
          </cell>
          <cell r="F492">
            <v>2</v>
          </cell>
          <cell r="G492" t="str">
            <v>CB400100001000</v>
          </cell>
          <cell r="H492">
            <v>1</v>
          </cell>
          <cell r="I492" t="str">
            <v>--</v>
          </cell>
          <cell r="J492">
            <v>2</v>
          </cell>
          <cell r="K492">
            <v>2</v>
          </cell>
        </row>
        <row r="493">
          <cell r="A493" t="str">
            <v>M1</v>
          </cell>
          <cell r="B493" t="str">
            <v>A5C</v>
          </cell>
          <cell r="C493" t="str">
            <v>P</v>
          </cell>
          <cell r="D493" t="str">
            <v>99002</v>
          </cell>
          <cell r="E493" t="str">
            <v>90 ELL</v>
          </cell>
          <cell r="F493">
            <v>2</v>
          </cell>
          <cell r="G493" t="str">
            <v>CB400100000100</v>
          </cell>
          <cell r="H493">
            <v>1</v>
          </cell>
          <cell r="I493" t="str">
            <v>--</v>
          </cell>
          <cell r="J493">
            <v>2</v>
          </cell>
          <cell r="K493">
            <v>2</v>
          </cell>
        </row>
        <row r="494">
          <cell r="A494" t="str">
            <v>M1</v>
          </cell>
          <cell r="B494" t="str">
            <v>A5C</v>
          </cell>
          <cell r="C494" t="str">
            <v>P</v>
          </cell>
          <cell r="D494" t="str">
            <v>22106</v>
          </cell>
          <cell r="E494" t="str">
            <v>R TEE</v>
          </cell>
          <cell r="F494">
            <v>2</v>
          </cell>
          <cell r="G494" t="str">
            <v>CB40040000010T</v>
          </cell>
          <cell r="H494">
            <v>1</v>
          </cell>
          <cell r="I494">
            <v>0.75</v>
          </cell>
          <cell r="J494">
            <v>2</v>
          </cell>
          <cell r="K494">
            <v>2</v>
          </cell>
        </row>
        <row r="495">
          <cell r="A495" t="str">
            <v>M1</v>
          </cell>
          <cell r="B495" t="str">
            <v>A6C</v>
          </cell>
          <cell r="C495" t="str">
            <v>HOS</v>
          </cell>
          <cell r="D495" t="str">
            <v>65625</v>
          </cell>
          <cell r="E495" t="str">
            <v>NPL</v>
          </cell>
          <cell r="F495">
            <v>2</v>
          </cell>
          <cell r="G495" t="str">
            <v>CB1321080001VR</v>
          </cell>
          <cell r="H495">
            <v>1</v>
          </cell>
          <cell r="I495" t="str">
            <v>75mm</v>
          </cell>
          <cell r="J495">
            <v>2</v>
          </cell>
          <cell r="K495">
            <v>2</v>
          </cell>
        </row>
        <row r="496">
          <cell r="A496" t="str">
            <v>M1</v>
          </cell>
          <cell r="B496" t="str">
            <v>A6C</v>
          </cell>
          <cell r="C496" t="str">
            <v>HOS</v>
          </cell>
          <cell r="D496" t="str">
            <v>65613</v>
          </cell>
          <cell r="E496" t="str">
            <v>NPL</v>
          </cell>
          <cell r="F496">
            <v>2</v>
          </cell>
          <cell r="G496" t="str">
            <v>CB1323080001VR</v>
          </cell>
          <cell r="H496">
            <v>1</v>
          </cell>
          <cell r="I496" t="str">
            <v>75mm</v>
          </cell>
          <cell r="J496">
            <v>2</v>
          </cell>
          <cell r="K496">
            <v>2</v>
          </cell>
        </row>
        <row r="497">
          <cell r="A497" t="str">
            <v>M1</v>
          </cell>
          <cell r="B497" t="str">
            <v>A6C</v>
          </cell>
          <cell r="C497" t="str">
            <v>HOS</v>
          </cell>
          <cell r="D497" t="str">
            <v>65621</v>
          </cell>
          <cell r="E497" t="str">
            <v>TEE</v>
          </cell>
          <cell r="F497">
            <v>2</v>
          </cell>
          <cell r="G497" t="str">
            <v>CB400300000100</v>
          </cell>
          <cell r="H497">
            <v>1</v>
          </cell>
          <cell r="I497" t="str">
            <v>--</v>
          </cell>
          <cell r="J497">
            <v>1</v>
          </cell>
          <cell r="K497">
            <v>1</v>
          </cell>
        </row>
        <row r="498">
          <cell r="A498" t="str">
            <v>M1</v>
          </cell>
          <cell r="B498" t="str">
            <v>A6C</v>
          </cell>
          <cell r="C498" t="str">
            <v>HOR</v>
          </cell>
          <cell r="D498" t="str">
            <v>65612</v>
          </cell>
          <cell r="E498" t="str">
            <v>TEE</v>
          </cell>
          <cell r="F498">
            <v>2</v>
          </cell>
          <cell r="G498" t="str">
            <v>CB400300000100</v>
          </cell>
          <cell r="H498">
            <v>1</v>
          </cell>
          <cell r="I498" t="str">
            <v>--</v>
          </cell>
          <cell r="J498">
            <v>1</v>
          </cell>
          <cell r="K498">
            <v>1</v>
          </cell>
        </row>
        <row r="499">
          <cell r="A499" t="str">
            <v>M1</v>
          </cell>
          <cell r="B499" t="str">
            <v>A6C</v>
          </cell>
          <cell r="C499" t="str">
            <v>HOR</v>
          </cell>
          <cell r="D499" t="str">
            <v>65622</v>
          </cell>
          <cell r="E499" t="str">
            <v>TEE</v>
          </cell>
          <cell r="F499">
            <v>2</v>
          </cell>
          <cell r="G499" t="str">
            <v>CB400300000100</v>
          </cell>
          <cell r="H499">
            <v>1</v>
          </cell>
          <cell r="I499" t="str">
            <v>--</v>
          </cell>
          <cell r="J499">
            <v>1</v>
          </cell>
          <cell r="K499">
            <v>1</v>
          </cell>
        </row>
        <row r="500">
          <cell r="A500" t="str">
            <v>M1</v>
          </cell>
          <cell r="B500" t="str">
            <v>A5C</v>
          </cell>
          <cell r="C500" t="str">
            <v>N</v>
          </cell>
          <cell r="D500" t="str">
            <v>22679</v>
          </cell>
          <cell r="E500" t="str">
            <v>90 ELL</v>
          </cell>
          <cell r="F500">
            <v>2</v>
          </cell>
          <cell r="G500" t="str">
            <v>CB400100001000</v>
          </cell>
          <cell r="H500">
            <v>1</v>
          </cell>
          <cell r="I500" t="str">
            <v>--</v>
          </cell>
          <cell r="J500">
            <v>2</v>
          </cell>
          <cell r="K500">
            <v>2</v>
          </cell>
        </row>
        <row r="501">
          <cell r="A501" t="str">
            <v>M1</v>
          </cell>
          <cell r="B501" t="str">
            <v>A5C</v>
          </cell>
          <cell r="C501" t="str">
            <v>N</v>
          </cell>
          <cell r="D501" t="str">
            <v>25614</v>
          </cell>
          <cell r="E501" t="str">
            <v>90 ELL</v>
          </cell>
          <cell r="F501">
            <v>2</v>
          </cell>
          <cell r="G501" t="str">
            <v>CB400100000100</v>
          </cell>
          <cell r="H501">
            <v>1</v>
          </cell>
          <cell r="I501" t="str">
            <v>--</v>
          </cell>
          <cell r="J501">
            <v>2</v>
          </cell>
          <cell r="K501">
            <v>2</v>
          </cell>
        </row>
        <row r="502">
          <cell r="A502" t="str">
            <v>M1</v>
          </cell>
          <cell r="B502" t="str">
            <v>A5C</v>
          </cell>
          <cell r="C502" t="str">
            <v>N</v>
          </cell>
          <cell r="D502" t="str">
            <v>22670</v>
          </cell>
          <cell r="E502" t="str">
            <v>C SWG</v>
          </cell>
          <cell r="F502">
            <v>2</v>
          </cell>
          <cell r="G502" t="str">
            <v>CB16110808010H</v>
          </cell>
          <cell r="H502">
            <v>1</v>
          </cell>
          <cell r="I502">
            <v>0.5</v>
          </cell>
          <cell r="J502">
            <v>4</v>
          </cell>
          <cell r="K502">
            <v>4</v>
          </cell>
        </row>
        <row r="503">
          <cell r="A503" t="str">
            <v>M1</v>
          </cell>
          <cell r="B503" t="str">
            <v>A5C</v>
          </cell>
          <cell r="C503" t="str">
            <v>P</v>
          </cell>
          <cell r="D503" t="str">
            <v>22066</v>
          </cell>
          <cell r="E503" t="str">
            <v>CPLG</v>
          </cell>
          <cell r="F503">
            <v>2</v>
          </cell>
          <cell r="G503" t="str">
            <v>CB400500000100</v>
          </cell>
          <cell r="H503">
            <v>1</v>
          </cell>
          <cell r="I503" t="str">
            <v>--</v>
          </cell>
          <cell r="J503">
            <v>2</v>
          </cell>
          <cell r="K503">
            <v>2</v>
          </cell>
        </row>
        <row r="504">
          <cell r="A504" t="str">
            <v>M1</v>
          </cell>
          <cell r="B504" t="str">
            <v>A5C</v>
          </cell>
          <cell r="C504" t="str">
            <v>P</v>
          </cell>
          <cell r="D504" t="str">
            <v>99002</v>
          </cell>
          <cell r="E504" t="str">
            <v>CPLG</v>
          </cell>
          <cell r="F504">
            <v>2</v>
          </cell>
          <cell r="G504" t="str">
            <v>CB400500000100</v>
          </cell>
          <cell r="H504">
            <v>1</v>
          </cell>
          <cell r="I504" t="str">
            <v>--</v>
          </cell>
          <cell r="J504">
            <v>2</v>
          </cell>
          <cell r="K504">
            <v>2</v>
          </cell>
        </row>
        <row r="505">
          <cell r="A505" t="str">
            <v>M1</v>
          </cell>
          <cell r="B505" t="str">
            <v>A5C</v>
          </cell>
          <cell r="C505" t="str">
            <v>TRIM</v>
          </cell>
          <cell r="D505" t="str">
            <v>V-2206</v>
          </cell>
          <cell r="E505" t="str">
            <v>NPL</v>
          </cell>
          <cell r="F505">
            <v>2</v>
          </cell>
          <cell r="G505" t="str">
            <v>CB1321080001VR</v>
          </cell>
          <cell r="H505">
            <v>1</v>
          </cell>
          <cell r="I505" t="str">
            <v>75mm</v>
          </cell>
          <cell r="J505">
            <v>2</v>
          </cell>
          <cell r="K505">
            <v>2</v>
          </cell>
        </row>
        <row r="506">
          <cell r="A506" t="str">
            <v>M1</v>
          </cell>
          <cell r="B506" t="str">
            <v>A6C</v>
          </cell>
          <cell r="C506" t="str">
            <v>HOS</v>
          </cell>
          <cell r="D506" t="str">
            <v>65624</v>
          </cell>
          <cell r="E506" t="str">
            <v>NPL</v>
          </cell>
          <cell r="F506">
            <v>2</v>
          </cell>
          <cell r="G506" t="str">
            <v>CB1321080001VR</v>
          </cell>
          <cell r="H506">
            <v>1</v>
          </cell>
          <cell r="I506" t="str">
            <v>75mm</v>
          </cell>
          <cell r="J506">
            <v>2</v>
          </cell>
          <cell r="K506">
            <v>2</v>
          </cell>
        </row>
        <row r="507">
          <cell r="A507" t="str">
            <v>M1</v>
          </cell>
          <cell r="B507" t="str">
            <v>A4C</v>
          </cell>
          <cell r="C507" t="str">
            <v>N</v>
          </cell>
          <cell r="D507" t="str">
            <v>22661</v>
          </cell>
          <cell r="E507" t="str">
            <v>TEE</v>
          </cell>
          <cell r="F507">
            <v>2</v>
          </cell>
          <cell r="G507" t="str">
            <v>CB400300000100</v>
          </cell>
          <cell r="H507">
            <v>1</v>
          </cell>
          <cell r="I507" t="str">
            <v>--</v>
          </cell>
          <cell r="J507">
            <v>1</v>
          </cell>
          <cell r="K507">
            <v>1</v>
          </cell>
        </row>
        <row r="508">
          <cell r="A508" t="str">
            <v>M1</v>
          </cell>
          <cell r="B508" t="str">
            <v>A5C</v>
          </cell>
          <cell r="C508" t="str">
            <v>N</v>
          </cell>
          <cell r="D508" t="str">
            <v>22684</v>
          </cell>
          <cell r="E508" t="str">
            <v>90 ELL</v>
          </cell>
          <cell r="F508">
            <v>2</v>
          </cell>
          <cell r="G508" t="str">
            <v>CB400100001000</v>
          </cell>
          <cell r="H508">
            <v>1</v>
          </cell>
          <cell r="I508" t="str">
            <v>--</v>
          </cell>
          <cell r="J508">
            <v>1</v>
          </cell>
          <cell r="K508">
            <v>1</v>
          </cell>
        </row>
        <row r="509">
          <cell r="A509" t="str">
            <v>M1</v>
          </cell>
          <cell r="B509" t="str">
            <v>A5C</v>
          </cell>
          <cell r="C509" t="str">
            <v>N</v>
          </cell>
          <cell r="D509" t="str">
            <v>25611</v>
          </cell>
          <cell r="E509" t="str">
            <v>90 ELL</v>
          </cell>
          <cell r="F509">
            <v>2</v>
          </cell>
          <cell r="G509" t="str">
            <v>CB400100001000</v>
          </cell>
          <cell r="H509">
            <v>1</v>
          </cell>
          <cell r="I509" t="str">
            <v>--</v>
          </cell>
          <cell r="J509">
            <v>1</v>
          </cell>
          <cell r="K509">
            <v>1</v>
          </cell>
        </row>
        <row r="510">
          <cell r="A510" t="str">
            <v>M1</v>
          </cell>
          <cell r="B510" t="str">
            <v>A5C</v>
          </cell>
          <cell r="C510" t="str">
            <v>N</v>
          </cell>
          <cell r="D510" t="str">
            <v>22682</v>
          </cell>
          <cell r="E510" t="str">
            <v>90 ELL</v>
          </cell>
          <cell r="F510">
            <v>2</v>
          </cell>
          <cell r="G510" t="str">
            <v>CB400100000100</v>
          </cell>
          <cell r="H510">
            <v>1</v>
          </cell>
          <cell r="I510" t="str">
            <v>--</v>
          </cell>
          <cell r="J510">
            <v>1</v>
          </cell>
          <cell r="K510">
            <v>1</v>
          </cell>
        </row>
        <row r="511">
          <cell r="A511" t="str">
            <v>M1</v>
          </cell>
          <cell r="B511" t="str">
            <v>A5C</v>
          </cell>
          <cell r="C511" t="str">
            <v>N</v>
          </cell>
          <cell r="D511" t="str">
            <v>22683</v>
          </cell>
          <cell r="E511" t="str">
            <v>90 ELL</v>
          </cell>
          <cell r="F511">
            <v>2</v>
          </cell>
          <cell r="G511" t="str">
            <v>CB400100000100</v>
          </cell>
          <cell r="H511">
            <v>1</v>
          </cell>
          <cell r="I511" t="str">
            <v>--</v>
          </cell>
          <cell r="J511">
            <v>1</v>
          </cell>
          <cell r="K511">
            <v>1</v>
          </cell>
        </row>
        <row r="512">
          <cell r="A512" t="str">
            <v>M1</v>
          </cell>
          <cell r="B512" t="str">
            <v>A5C</v>
          </cell>
          <cell r="C512" t="str">
            <v>N</v>
          </cell>
          <cell r="D512" t="str">
            <v>22670</v>
          </cell>
          <cell r="E512" t="str">
            <v>CPLG</v>
          </cell>
          <cell r="F512">
            <v>2</v>
          </cell>
          <cell r="G512" t="str">
            <v>CB400500000100</v>
          </cell>
          <cell r="H512">
            <v>1</v>
          </cell>
          <cell r="I512" t="str">
            <v>--</v>
          </cell>
          <cell r="J512">
            <v>1</v>
          </cell>
          <cell r="K512">
            <v>1</v>
          </cell>
        </row>
        <row r="513">
          <cell r="A513" t="str">
            <v>M1</v>
          </cell>
          <cell r="B513" t="str">
            <v>A5C</v>
          </cell>
          <cell r="C513" t="str">
            <v>P</v>
          </cell>
          <cell r="D513" t="str">
            <v>22157</v>
          </cell>
          <cell r="E513" t="str">
            <v>CPLG</v>
          </cell>
          <cell r="F513">
            <v>2</v>
          </cell>
          <cell r="G513" t="str">
            <v>CB400500000100</v>
          </cell>
          <cell r="H513">
            <v>1</v>
          </cell>
          <cell r="I513" t="str">
            <v>--</v>
          </cell>
          <cell r="J513">
            <v>1</v>
          </cell>
          <cell r="K513">
            <v>1</v>
          </cell>
        </row>
        <row r="514">
          <cell r="A514" t="str">
            <v>M1</v>
          </cell>
          <cell r="B514" t="str">
            <v>A5C</v>
          </cell>
          <cell r="C514" t="str">
            <v>TRIM</v>
          </cell>
          <cell r="D514" t="str">
            <v>V-2206</v>
          </cell>
          <cell r="E514" t="str">
            <v>R TEE</v>
          </cell>
          <cell r="F514">
            <v>2</v>
          </cell>
          <cell r="G514" t="str">
            <v>CB40040000010T</v>
          </cell>
          <cell r="H514">
            <v>1</v>
          </cell>
          <cell r="I514">
            <v>0.75</v>
          </cell>
          <cell r="J514">
            <v>1</v>
          </cell>
          <cell r="K514">
            <v>1</v>
          </cell>
        </row>
        <row r="515">
          <cell r="A515" t="str">
            <v>M1</v>
          </cell>
          <cell r="B515" t="str">
            <v>A5C</v>
          </cell>
          <cell r="C515" t="str">
            <v>P</v>
          </cell>
          <cell r="D515" t="str">
            <v>22040</v>
          </cell>
          <cell r="E515" t="str">
            <v>90 ELL</v>
          </cell>
          <cell r="F515">
            <v>2</v>
          </cell>
          <cell r="G515" t="str">
            <v>CB400100001000</v>
          </cell>
          <cell r="H515">
            <v>1</v>
          </cell>
          <cell r="I515" t="str">
            <v>--</v>
          </cell>
          <cell r="J515">
            <v>1</v>
          </cell>
          <cell r="K515">
            <v>1</v>
          </cell>
        </row>
        <row r="516">
          <cell r="A516" t="str">
            <v>M1</v>
          </cell>
          <cell r="B516" t="str">
            <v>A5C</v>
          </cell>
          <cell r="C516" t="str">
            <v>P</v>
          </cell>
          <cell r="D516" t="str">
            <v>22039</v>
          </cell>
          <cell r="E516" t="str">
            <v>CPLG</v>
          </cell>
          <cell r="F516">
            <v>2</v>
          </cell>
          <cell r="G516" t="str">
            <v>CB400500000100</v>
          </cell>
          <cell r="H516">
            <v>1</v>
          </cell>
          <cell r="I516" t="str">
            <v>--</v>
          </cell>
          <cell r="J516">
            <v>1</v>
          </cell>
          <cell r="K516">
            <v>1</v>
          </cell>
        </row>
        <row r="517">
          <cell r="A517" t="str">
            <v>M1</v>
          </cell>
          <cell r="B517" t="str">
            <v>A5C</v>
          </cell>
          <cell r="C517" t="str">
            <v>P</v>
          </cell>
          <cell r="D517" t="str">
            <v>22111</v>
          </cell>
          <cell r="E517" t="str">
            <v>CPLG</v>
          </cell>
          <cell r="F517">
            <v>2</v>
          </cell>
          <cell r="G517" t="str">
            <v>CB400500000100</v>
          </cell>
          <cell r="H517">
            <v>1</v>
          </cell>
          <cell r="I517" t="str">
            <v>--</v>
          </cell>
          <cell r="J517">
            <v>1</v>
          </cell>
          <cell r="K517">
            <v>1</v>
          </cell>
        </row>
        <row r="518">
          <cell r="A518" t="str">
            <v>M1</v>
          </cell>
          <cell r="B518" t="str">
            <v>A5C</v>
          </cell>
          <cell r="C518" t="str">
            <v>TRIM</v>
          </cell>
          <cell r="D518" t="str">
            <v>V-2208</v>
          </cell>
          <cell r="E518" t="str">
            <v>NPL</v>
          </cell>
          <cell r="F518">
            <v>2</v>
          </cell>
          <cell r="G518" t="str">
            <v>CB1321080001VR</v>
          </cell>
          <cell r="H518">
            <v>1</v>
          </cell>
          <cell r="I518" t="str">
            <v>75mm</v>
          </cell>
          <cell r="J518">
            <v>1</v>
          </cell>
          <cell r="K518">
            <v>1</v>
          </cell>
        </row>
        <row r="519">
          <cell r="A519" t="str">
            <v>M1</v>
          </cell>
          <cell r="B519" t="str">
            <v>A5C</v>
          </cell>
          <cell r="C519" t="str">
            <v>TRIM</v>
          </cell>
          <cell r="D519" t="str">
            <v>V-2209</v>
          </cell>
          <cell r="E519" t="str">
            <v>NPL</v>
          </cell>
          <cell r="F519">
            <v>2</v>
          </cell>
          <cell r="G519" t="str">
            <v>CB1321080001VR</v>
          </cell>
          <cell r="H519">
            <v>1</v>
          </cell>
          <cell r="I519" t="str">
            <v>75mm</v>
          </cell>
          <cell r="J519">
            <v>1</v>
          </cell>
          <cell r="K519">
            <v>1</v>
          </cell>
        </row>
        <row r="520">
          <cell r="A520" t="str">
            <v>M1</v>
          </cell>
          <cell r="B520" t="str">
            <v>A6C</v>
          </cell>
          <cell r="C520" t="str">
            <v>HOR</v>
          </cell>
          <cell r="D520" t="str">
            <v>65612</v>
          </cell>
          <cell r="E520" t="str">
            <v>R TEE</v>
          </cell>
          <cell r="F520">
            <v>2</v>
          </cell>
          <cell r="G520" t="str">
            <v>CB400400001H01</v>
          </cell>
          <cell r="H520">
            <v>1</v>
          </cell>
          <cell r="I520" t="str">
            <v>-</v>
          </cell>
          <cell r="J520">
            <v>2</v>
          </cell>
          <cell r="K520">
            <v>2</v>
          </cell>
        </row>
        <row r="521">
          <cell r="A521" t="str">
            <v>M1</v>
          </cell>
          <cell r="B521" t="str">
            <v>B2C</v>
          </cell>
          <cell r="C521" t="str">
            <v>TRIM</v>
          </cell>
          <cell r="D521" t="str">
            <v>E-2204</v>
          </cell>
          <cell r="E521" t="str">
            <v>CAP</v>
          </cell>
          <cell r="F521">
            <v>2</v>
          </cell>
          <cell r="G521" t="str">
            <v>CB520700000100</v>
          </cell>
          <cell r="H521">
            <v>1</v>
          </cell>
          <cell r="I521" t="str">
            <v>--</v>
          </cell>
          <cell r="J521">
            <v>1</v>
          </cell>
          <cell r="K521">
            <v>1</v>
          </cell>
        </row>
        <row r="522">
          <cell r="A522" t="str">
            <v>M1</v>
          </cell>
          <cell r="B522" t="str">
            <v>A5C</v>
          </cell>
          <cell r="C522" t="str">
            <v>P</v>
          </cell>
          <cell r="D522" t="str">
            <v>21004</v>
          </cell>
          <cell r="E522" t="str">
            <v>90 ELL</v>
          </cell>
          <cell r="F522">
            <v>2</v>
          </cell>
          <cell r="G522" t="str">
            <v>CB400100001000</v>
          </cell>
          <cell r="H522">
            <v>1</v>
          </cell>
          <cell r="I522" t="str">
            <v>--</v>
          </cell>
          <cell r="J522">
            <v>2</v>
          </cell>
          <cell r="K522">
            <v>2</v>
          </cell>
        </row>
        <row r="523">
          <cell r="A523" t="str">
            <v>M1</v>
          </cell>
          <cell r="B523" t="str">
            <v>A5C</v>
          </cell>
          <cell r="C523" t="str">
            <v>P</v>
          </cell>
          <cell r="D523" t="str">
            <v>24029</v>
          </cell>
          <cell r="E523" t="str">
            <v>C SWG</v>
          </cell>
          <cell r="F523">
            <v>2</v>
          </cell>
          <cell r="G523" t="str">
            <v>CB16110808010T</v>
          </cell>
          <cell r="H523">
            <v>1</v>
          </cell>
          <cell r="I523">
            <v>0.75</v>
          </cell>
          <cell r="J523">
            <v>1</v>
          </cell>
          <cell r="K523">
            <v>1</v>
          </cell>
        </row>
        <row r="524">
          <cell r="A524" t="str">
            <v>M1</v>
          </cell>
          <cell r="B524" t="str">
            <v>A5C</v>
          </cell>
          <cell r="C524" t="str">
            <v>TRIM</v>
          </cell>
          <cell r="D524" t="str">
            <v>V-2206</v>
          </cell>
          <cell r="E524" t="str">
            <v>C SWG</v>
          </cell>
          <cell r="F524">
            <v>2</v>
          </cell>
          <cell r="G524" t="str">
            <v>CB16110808010T</v>
          </cell>
          <cell r="H524">
            <v>1</v>
          </cell>
          <cell r="I524">
            <v>0.75</v>
          </cell>
          <cell r="J524">
            <v>1</v>
          </cell>
          <cell r="K524">
            <v>1</v>
          </cell>
        </row>
        <row r="525">
          <cell r="A525" t="str">
            <v>M1</v>
          </cell>
          <cell r="B525" t="str">
            <v>A5C</v>
          </cell>
          <cell r="C525" t="str">
            <v>P</v>
          </cell>
          <cell r="D525" t="str">
            <v>22158</v>
          </cell>
          <cell r="E525" t="str">
            <v>CPLG</v>
          </cell>
          <cell r="F525">
            <v>2</v>
          </cell>
          <cell r="G525" t="str">
            <v>CB400500000100</v>
          </cell>
          <cell r="H525">
            <v>1</v>
          </cell>
          <cell r="I525" t="str">
            <v>--</v>
          </cell>
          <cell r="J525">
            <v>1</v>
          </cell>
          <cell r="K525">
            <v>1</v>
          </cell>
        </row>
        <row r="526">
          <cell r="A526" t="str">
            <v>M1</v>
          </cell>
          <cell r="B526" t="str">
            <v>A5C</v>
          </cell>
          <cell r="C526" t="str">
            <v>P</v>
          </cell>
          <cell r="D526" t="str">
            <v>24029</v>
          </cell>
          <cell r="E526" t="str">
            <v>CPLG</v>
          </cell>
          <cell r="F526">
            <v>2</v>
          </cell>
          <cell r="G526" t="str">
            <v>CB400500000100</v>
          </cell>
          <cell r="H526">
            <v>1</v>
          </cell>
          <cell r="I526" t="str">
            <v>--</v>
          </cell>
          <cell r="J526">
            <v>1</v>
          </cell>
          <cell r="K526">
            <v>1</v>
          </cell>
        </row>
        <row r="527">
          <cell r="A527" t="str">
            <v>M1</v>
          </cell>
          <cell r="B527" t="str">
            <v>A5C</v>
          </cell>
          <cell r="C527" t="str">
            <v>TRIM</v>
          </cell>
          <cell r="D527" t="str">
            <v>V-2206</v>
          </cell>
          <cell r="E527" t="str">
            <v>CPLG</v>
          </cell>
          <cell r="F527">
            <v>2</v>
          </cell>
          <cell r="G527" t="str">
            <v>CB400500000100</v>
          </cell>
          <cell r="H527">
            <v>1</v>
          </cell>
          <cell r="I527" t="str">
            <v>--</v>
          </cell>
          <cell r="J527">
            <v>1</v>
          </cell>
          <cell r="K527">
            <v>1</v>
          </cell>
        </row>
        <row r="528">
          <cell r="A528" t="str">
            <v>M1</v>
          </cell>
          <cell r="B528" t="str">
            <v>A5C</v>
          </cell>
          <cell r="C528" t="str">
            <v>P</v>
          </cell>
          <cell r="D528" t="str">
            <v>22103</v>
          </cell>
          <cell r="E528" t="str">
            <v>R TEE</v>
          </cell>
          <cell r="F528">
            <v>2</v>
          </cell>
          <cell r="G528" t="str">
            <v>CB40040000010T</v>
          </cell>
          <cell r="H528">
            <v>1</v>
          </cell>
          <cell r="I528">
            <v>0.75</v>
          </cell>
          <cell r="J528">
            <v>1</v>
          </cell>
          <cell r="K528">
            <v>1</v>
          </cell>
        </row>
        <row r="529">
          <cell r="A529" t="str">
            <v>M1</v>
          </cell>
          <cell r="B529" t="str">
            <v>A6C</v>
          </cell>
          <cell r="C529" t="str">
            <v>HOS</v>
          </cell>
          <cell r="D529" t="str">
            <v>65616</v>
          </cell>
          <cell r="E529" t="str">
            <v>90 ELL</v>
          </cell>
          <cell r="F529">
            <v>2</v>
          </cell>
          <cell r="G529" t="str">
            <v>CB400100001000</v>
          </cell>
          <cell r="H529">
            <v>1</v>
          </cell>
          <cell r="I529" t="str">
            <v>--</v>
          </cell>
          <cell r="J529">
            <v>2</v>
          </cell>
          <cell r="K529">
            <v>2</v>
          </cell>
        </row>
        <row r="530">
          <cell r="A530" t="str">
            <v>M1</v>
          </cell>
          <cell r="B530" t="str">
            <v>A5C</v>
          </cell>
          <cell r="C530" t="str">
            <v>TRIM</v>
          </cell>
          <cell r="D530" t="str">
            <v>V-2208</v>
          </cell>
          <cell r="E530" t="str">
            <v>C SWG</v>
          </cell>
          <cell r="F530">
            <v>2</v>
          </cell>
          <cell r="G530" t="str">
            <v>CB16110808010T</v>
          </cell>
          <cell r="H530">
            <v>1</v>
          </cell>
          <cell r="I530">
            <v>0.75</v>
          </cell>
          <cell r="J530">
            <v>1</v>
          </cell>
          <cell r="K530">
            <v>1</v>
          </cell>
        </row>
        <row r="531">
          <cell r="A531" t="str">
            <v>M1</v>
          </cell>
          <cell r="B531" t="str">
            <v>A6C</v>
          </cell>
          <cell r="C531" t="str">
            <v>HOR</v>
          </cell>
          <cell r="D531" t="str">
            <v>65622</v>
          </cell>
          <cell r="E531" t="str">
            <v>C SWG</v>
          </cell>
          <cell r="F531">
            <v>2</v>
          </cell>
          <cell r="G531" t="str">
            <v>CB16110808010T</v>
          </cell>
          <cell r="H531">
            <v>1</v>
          </cell>
          <cell r="I531">
            <v>0.75</v>
          </cell>
          <cell r="J531">
            <v>4</v>
          </cell>
          <cell r="K531">
            <v>4</v>
          </cell>
        </row>
        <row r="532">
          <cell r="A532" t="str">
            <v>M1</v>
          </cell>
          <cell r="B532" t="str">
            <v>A5C</v>
          </cell>
          <cell r="C532" t="str">
            <v>TRIM</v>
          </cell>
          <cell r="D532" t="str">
            <v>V-2209</v>
          </cell>
          <cell r="E532" t="str">
            <v>C SWG</v>
          </cell>
          <cell r="F532">
            <v>2</v>
          </cell>
          <cell r="G532" t="str">
            <v>CB16110808010T</v>
          </cell>
          <cell r="H532">
            <v>1</v>
          </cell>
          <cell r="I532">
            <v>0.75</v>
          </cell>
          <cell r="J532">
            <v>1</v>
          </cell>
          <cell r="K532">
            <v>1</v>
          </cell>
        </row>
        <row r="533">
          <cell r="A533" t="str">
            <v>M1</v>
          </cell>
          <cell r="B533" t="str">
            <v>A6C</v>
          </cell>
          <cell r="C533" t="str">
            <v>HOS</v>
          </cell>
          <cell r="D533" t="str">
            <v>65625</v>
          </cell>
          <cell r="E533" t="str">
            <v>CAP</v>
          </cell>
          <cell r="F533">
            <v>2</v>
          </cell>
          <cell r="G533" t="str">
            <v>CB520700000100</v>
          </cell>
          <cell r="H533">
            <v>1</v>
          </cell>
          <cell r="I533" t="str">
            <v>--</v>
          </cell>
          <cell r="J533">
            <v>1</v>
          </cell>
          <cell r="K533">
            <v>1</v>
          </cell>
        </row>
        <row r="534">
          <cell r="A534" t="str">
            <v>M1</v>
          </cell>
          <cell r="B534" t="str">
            <v>A5C</v>
          </cell>
          <cell r="C534" t="str">
            <v>TRIM</v>
          </cell>
          <cell r="D534" t="str">
            <v>V-2208</v>
          </cell>
          <cell r="E534" t="str">
            <v>CPLG</v>
          </cell>
          <cell r="F534">
            <v>2</v>
          </cell>
          <cell r="G534" t="str">
            <v>CB400500000100</v>
          </cell>
          <cell r="H534">
            <v>1</v>
          </cell>
          <cell r="I534" t="str">
            <v>--</v>
          </cell>
          <cell r="J534">
            <v>1</v>
          </cell>
          <cell r="K534">
            <v>1</v>
          </cell>
        </row>
        <row r="535">
          <cell r="A535" t="str">
            <v>M1</v>
          </cell>
          <cell r="B535" t="str">
            <v>A5C</v>
          </cell>
          <cell r="C535" t="str">
            <v>P</v>
          </cell>
          <cell r="D535" t="str">
            <v>22102</v>
          </cell>
          <cell r="E535" t="str">
            <v>C SWG</v>
          </cell>
          <cell r="F535">
            <v>2</v>
          </cell>
          <cell r="G535" t="str">
            <v>CB161108081H01</v>
          </cell>
          <cell r="H535">
            <v>1</v>
          </cell>
          <cell r="I535" t="str">
            <v>-</v>
          </cell>
          <cell r="J535">
            <v>1</v>
          </cell>
          <cell r="K535">
            <v>1</v>
          </cell>
        </row>
        <row r="536">
          <cell r="A536" t="str">
            <v>M1</v>
          </cell>
          <cell r="B536" t="str">
            <v>A5C</v>
          </cell>
          <cell r="C536" t="str">
            <v>P</v>
          </cell>
          <cell r="D536" t="str">
            <v>22157</v>
          </cell>
          <cell r="E536" t="str">
            <v>C SWG</v>
          </cell>
          <cell r="F536">
            <v>2</v>
          </cell>
          <cell r="G536" t="str">
            <v>CB161108081H01</v>
          </cell>
          <cell r="H536">
            <v>1</v>
          </cell>
          <cell r="I536" t="str">
            <v>-</v>
          </cell>
          <cell r="J536">
            <v>1</v>
          </cell>
          <cell r="K536">
            <v>1</v>
          </cell>
        </row>
        <row r="537">
          <cell r="A537" t="str">
            <v>M1</v>
          </cell>
          <cell r="B537" t="str">
            <v>A5C</v>
          </cell>
          <cell r="C537" t="str">
            <v>P</v>
          </cell>
          <cell r="D537" t="str">
            <v>22158</v>
          </cell>
          <cell r="E537" t="str">
            <v>C SWG</v>
          </cell>
          <cell r="F537">
            <v>2</v>
          </cell>
          <cell r="G537" t="str">
            <v>CB161108081H01</v>
          </cell>
          <cell r="H537">
            <v>1</v>
          </cell>
          <cell r="I537" t="str">
            <v>-</v>
          </cell>
          <cell r="J537">
            <v>1</v>
          </cell>
          <cell r="K537">
            <v>1</v>
          </cell>
        </row>
        <row r="538">
          <cell r="A538" t="str">
            <v>M1</v>
          </cell>
          <cell r="B538" t="str">
            <v>A5C</v>
          </cell>
          <cell r="C538" t="str">
            <v>P</v>
          </cell>
          <cell r="D538" t="str">
            <v>22109</v>
          </cell>
          <cell r="E538" t="str">
            <v>R TEE</v>
          </cell>
          <cell r="F538">
            <v>2</v>
          </cell>
          <cell r="G538" t="str">
            <v>CB400400001H01</v>
          </cell>
          <cell r="H538">
            <v>1</v>
          </cell>
          <cell r="I538" t="str">
            <v>-</v>
          </cell>
          <cell r="J538">
            <v>1</v>
          </cell>
          <cell r="K538">
            <v>1</v>
          </cell>
        </row>
        <row r="539">
          <cell r="A539" t="str">
            <v>M1</v>
          </cell>
          <cell r="B539" t="str">
            <v>A6C</v>
          </cell>
          <cell r="C539" t="str">
            <v>HOS</v>
          </cell>
          <cell r="D539" t="str">
            <v>65623</v>
          </cell>
          <cell r="E539" t="str">
            <v>E SWG</v>
          </cell>
          <cell r="F539">
            <v>2</v>
          </cell>
          <cell r="G539" t="str">
            <v>CB162108081H01</v>
          </cell>
          <cell r="H539">
            <v>1</v>
          </cell>
          <cell r="I539" t="str">
            <v>-</v>
          </cell>
          <cell r="J539">
            <v>1</v>
          </cell>
          <cell r="K539">
            <v>1</v>
          </cell>
        </row>
        <row r="540">
          <cell r="A540" t="str">
            <v>M1</v>
          </cell>
          <cell r="B540" t="str">
            <v>A5C</v>
          </cell>
          <cell r="C540" t="str">
            <v>TRIM</v>
          </cell>
          <cell r="D540" t="str">
            <v>V-2214</v>
          </cell>
          <cell r="E540" t="str">
            <v>C SWG</v>
          </cell>
          <cell r="F540">
            <v>2</v>
          </cell>
          <cell r="G540" t="str">
            <v>CB161408080201</v>
          </cell>
          <cell r="H540">
            <v>1</v>
          </cell>
          <cell r="I540" t="str">
            <v>-</v>
          </cell>
          <cell r="J540">
            <v>1</v>
          </cell>
          <cell r="K540">
            <v>2</v>
          </cell>
        </row>
        <row r="541">
          <cell r="A541" t="str">
            <v>M1</v>
          </cell>
          <cell r="B541" t="str">
            <v>A6C</v>
          </cell>
          <cell r="C541" t="str">
            <v>HOS</v>
          </cell>
          <cell r="D541" t="str">
            <v>65621</v>
          </cell>
          <cell r="E541" t="str">
            <v>90 ELL</v>
          </cell>
          <cell r="F541">
            <v>2</v>
          </cell>
          <cell r="G541" t="str">
            <v>CB400100001000</v>
          </cell>
          <cell r="H541">
            <v>1</v>
          </cell>
          <cell r="I541" t="str">
            <v>--</v>
          </cell>
          <cell r="J541">
            <v>2</v>
          </cell>
          <cell r="K541">
            <v>2</v>
          </cell>
        </row>
        <row r="542">
          <cell r="A542" t="str">
            <v>M1</v>
          </cell>
          <cell r="B542" t="str">
            <v>A5C</v>
          </cell>
          <cell r="C542" t="str">
            <v>P</v>
          </cell>
          <cell r="D542" t="str">
            <v>22039</v>
          </cell>
          <cell r="E542" t="str">
            <v>90 ELL</v>
          </cell>
          <cell r="F542">
            <v>2</v>
          </cell>
          <cell r="G542" t="str">
            <v>CB400100001000</v>
          </cell>
          <cell r="H542">
            <v>1</v>
          </cell>
          <cell r="I542" t="str">
            <v>--</v>
          </cell>
          <cell r="J542">
            <v>1</v>
          </cell>
          <cell r="K542">
            <v>1</v>
          </cell>
        </row>
        <row r="543">
          <cell r="A543" t="str">
            <v>M1</v>
          </cell>
          <cell r="B543" t="str">
            <v>A5C</v>
          </cell>
          <cell r="C543" t="str">
            <v>P</v>
          </cell>
          <cell r="D543" t="str">
            <v>22001</v>
          </cell>
          <cell r="E543" t="str">
            <v>90 ELL</v>
          </cell>
          <cell r="F543">
            <v>2</v>
          </cell>
          <cell r="G543" t="str">
            <v>CB400100001000</v>
          </cell>
          <cell r="H543">
            <v>1</v>
          </cell>
          <cell r="I543" t="str">
            <v>--</v>
          </cell>
          <cell r="J543">
            <v>1</v>
          </cell>
          <cell r="K543">
            <v>1</v>
          </cell>
        </row>
        <row r="544">
          <cell r="A544" t="str">
            <v>M1</v>
          </cell>
          <cell r="B544" t="str">
            <v>A5C</v>
          </cell>
          <cell r="C544" t="str">
            <v>P</v>
          </cell>
          <cell r="D544" t="str">
            <v>22003</v>
          </cell>
          <cell r="E544" t="str">
            <v>NPL</v>
          </cell>
          <cell r="F544">
            <v>2</v>
          </cell>
          <cell r="G544" t="str">
            <v>CB1321080001VR</v>
          </cell>
          <cell r="H544">
            <v>1</v>
          </cell>
          <cell r="I544" t="str">
            <v>75mm</v>
          </cell>
          <cell r="J544">
            <v>1</v>
          </cell>
          <cell r="K544">
            <v>1</v>
          </cell>
        </row>
        <row r="545">
          <cell r="A545" t="str">
            <v>M1</v>
          </cell>
          <cell r="B545" t="str">
            <v>A6C</v>
          </cell>
          <cell r="C545" t="str">
            <v>HOS</v>
          </cell>
          <cell r="D545" t="str">
            <v>65613</v>
          </cell>
          <cell r="E545" t="str">
            <v>NPL</v>
          </cell>
          <cell r="F545">
            <v>2</v>
          </cell>
          <cell r="G545" t="str">
            <v>CB1321080001VR</v>
          </cell>
          <cell r="H545">
            <v>1</v>
          </cell>
          <cell r="I545" t="str">
            <v>75mm</v>
          </cell>
          <cell r="J545">
            <v>2</v>
          </cell>
          <cell r="K545">
            <v>2</v>
          </cell>
        </row>
        <row r="546">
          <cell r="A546" t="str">
            <v>M1</v>
          </cell>
          <cell r="B546" t="str">
            <v>A6C</v>
          </cell>
          <cell r="C546" t="str">
            <v>HOS</v>
          </cell>
          <cell r="D546" t="str">
            <v>65613</v>
          </cell>
          <cell r="E546" t="str">
            <v>SOL</v>
          </cell>
          <cell r="F546">
            <v>2</v>
          </cell>
          <cell r="G546" t="str">
            <v>CB390200000801</v>
          </cell>
          <cell r="H546">
            <v>1</v>
          </cell>
          <cell r="I546" t="str">
            <v>-</v>
          </cell>
          <cell r="J546">
            <v>6</v>
          </cell>
          <cell r="K546">
            <v>7</v>
          </cell>
        </row>
        <row r="547">
          <cell r="A547" t="str">
            <v>M1</v>
          </cell>
          <cell r="B547" t="str">
            <v>A5C</v>
          </cell>
          <cell r="C547" t="str">
            <v>N</v>
          </cell>
          <cell r="D547" t="str">
            <v>22670</v>
          </cell>
          <cell r="E547" t="str">
            <v>C SWG</v>
          </cell>
          <cell r="F547">
            <v>2</v>
          </cell>
          <cell r="G547" t="str">
            <v>CB16110808010T</v>
          </cell>
          <cell r="H547">
            <v>1</v>
          </cell>
          <cell r="I547">
            <v>0.75</v>
          </cell>
          <cell r="J547">
            <v>1</v>
          </cell>
          <cell r="K547">
            <v>1</v>
          </cell>
        </row>
        <row r="548">
          <cell r="A548" t="str">
            <v>M1</v>
          </cell>
          <cell r="B548" t="str">
            <v>A6C</v>
          </cell>
          <cell r="C548" t="str">
            <v>HOS</v>
          </cell>
          <cell r="D548" t="str">
            <v>65613</v>
          </cell>
          <cell r="E548" t="str">
            <v>CAP</v>
          </cell>
          <cell r="F548">
            <v>2</v>
          </cell>
          <cell r="G548" t="str">
            <v>CB520700000100</v>
          </cell>
          <cell r="H548">
            <v>1</v>
          </cell>
          <cell r="I548" t="str">
            <v>--</v>
          </cell>
          <cell r="J548">
            <v>1</v>
          </cell>
          <cell r="K548">
            <v>1</v>
          </cell>
        </row>
        <row r="549">
          <cell r="A549" t="str">
            <v>M1</v>
          </cell>
          <cell r="B549" t="str">
            <v>A6C</v>
          </cell>
          <cell r="C549" t="str">
            <v>HOS</v>
          </cell>
          <cell r="D549" t="str">
            <v>65624</v>
          </cell>
          <cell r="E549" t="str">
            <v>CAP</v>
          </cell>
          <cell r="F549">
            <v>2</v>
          </cell>
          <cell r="G549" t="str">
            <v>CB520700000100</v>
          </cell>
          <cell r="H549">
            <v>1</v>
          </cell>
          <cell r="I549" t="str">
            <v>--</v>
          </cell>
          <cell r="J549">
            <v>1</v>
          </cell>
          <cell r="K549">
            <v>1</v>
          </cell>
        </row>
        <row r="550">
          <cell r="A550" t="str">
            <v>M1</v>
          </cell>
          <cell r="B550" t="str">
            <v>A5C</v>
          </cell>
          <cell r="C550" t="str">
            <v>P</v>
          </cell>
          <cell r="D550" t="str">
            <v>22104</v>
          </cell>
          <cell r="E550" t="str">
            <v>R TEE</v>
          </cell>
          <cell r="F550">
            <v>2</v>
          </cell>
          <cell r="G550" t="str">
            <v>CB400400001H01</v>
          </cell>
          <cell r="H550">
            <v>1</v>
          </cell>
          <cell r="I550" t="str">
            <v>-</v>
          </cell>
          <cell r="J550">
            <v>1</v>
          </cell>
          <cell r="K550">
            <v>1</v>
          </cell>
        </row>
        <row r="551">
          <cell r="A551" t="str">
            <v>M1</v>
          </cell>
          <cell r="B551" t="str">
            <v>A5C</v>
          </cell>
          <cell r="C551" t="str">
            <v>P</v>
          </cell>
          <cell r="D551" t="str">
            <v>22102</v>
          </cell>
          <cell r="E551" t="str">
            <v>90 ELL</v>
          </cell>
          <cell r="F551">
            <v>2</v>
          </cell>
          <cell r="G551" t="str">
            <v>CB400100001H00</v>
          </cell>
          <cell r="H551">
            <v>1.5</v>
          </cell>
          <cell r="I551" t="str">
            <v>--</v>
          </cell>
          <cell r="J551">
            <v>11</v>
          </cell>
          <cell r="K551">
            <v>11</v>
          </cell>
        </row>
        <row r="552">
          <cell r="A552" t="str">
            <v>M1</v>
          </cell>
          <cell r="B552" t="str">
            <v>A4C</v>
          </cell>
          <cell r="C552" t="str">
            <v>P</v>
          </cell>
          <cell r="D552" t="str">
            <v>22031</v>
          </cell>
          <cell r="E552" t="str">
            <v>TEE</v>
          </cell>
          <cell r="F552">
            <v>2</v>
          </cell>
          <cell r="G552" t="str">
            <v>CB400300001H00</v>
          </cell>
          <cell r="H552">
            <v>1.5</v>
          </cell>
          <cell r="I552" t="str">
            <v>--</v>
          </cell>
          <cell r="J552">
            <v>9</v>
          </cell>
          <cell r="K552">
            <v>9</v>
          </cell>
        </row>
        <row r="553">
          <cell r="A553" t="str">
            <v>M1</v>
          </cell>
          <cell r="B553" t="str">
            <v>A5C</v>
          </cell>
          <cell r="C553" t="str">
            <v>P</v>
          </cell>
          <cell r="D553" t="str">
            <v>22102</v>
          </cell>
          <cell r="E553" t="str">
            <v>90 ELL</v>
          </cell>
          <cell r="F553">
            <v>2</v>
          </cell>
          <cell r="G553" t="str">
            <v>CB400100001H00</v>
          </cell>
          <cell r="H553">
            <v>1.5</v>
          </cell>
          <cell r="I553" t="str">
            <v>--</v>
          </cell>
          <cell r="J553">
            <v>9</v>
          </cell>
          <cell r="K553">
            <v>9</v>
          </cell>
        </row>
        <row r="554">
          <cell r="A554" t="str">
            <v>M1</v>
          </cell>
          <cell r="B554" t="str">
            <v>A5C</v>
          </cell>
          <cell r="C554" t="str">
            <v>P</v>
          </cell>
          <cell r="D554" t="str">
            <v>22111</v>
          </cell>
          <cell r="E554" t="str">
            <v>90 ELL</v>
          </cell>
          <cell r="F554">
            <v>2</v>
          </cell>
          <cell r="G554" t="str">
            <v>CB400100001H00</v>
          </cell>
          <cell r="H554">
            <v>1.5</v>
          </cell>
          <cell r="I554" t="str">
            <v>--</v>
          </cell>
          <cell r="J554">
            <v>9</v>
          </cell>
          <cell r="K554">
            <v>9</v>
          </cell>
        </row>
        <row r="555">
          <cell r="A555" t="str">
            <v>M1</v>
          </cell>
          <cell r="B555" t="str">
            <v>A5C</v>
          </cell>
          <cell r="C555" t="str">
            <v>P</v>
          </cell>
          <cell r="D555" t="str">
            <v>22071</v>
          </cell>
          <cell r="E555" t="str">
            <v>90 ELL</v>
          </cell>
          <cell r="F555">
            <v>2</v>
          </cell>
          <cell r="G555" t="str">
            <v>CB400100001H00</v>
          </cell>
          <cell r="H555">
            <v>1.5</v>
          </cell>
          <cell r="I555" t="str">
            <v>--</v>
          </cell>
          <cell r="J555">
            <v>9</v>
          </cell>
          <cell r="K555">
            <v>9</v>
          </cell>
        </row>
        <row r="556">
          <cell r="A556" t="str">
            <v>M1</v>
          </cell>
          <cell r="B556" t="str">
            <v>A5C</v>
          </cell>
          <cell r="C556" t="str">
            <v>P</v>
          </cell>
          <cell r="D556" t="str">
            <v>22071</v>
          </cell>
          <cell r="E556" t="str">
            <v>90 ELL</v>
          </cell>
          <cell r="F556">
            <v>2</v>
          </cell>
          <cell r="G556" t="str">
            <v>CB400100001H00</v>
          </cell>
          <cell r="H556">
            <v>1.5</v>
          </cell>
          <cell r="I556" t="str">
            <v>--</v>
          </cell>
          <cell r="J556">
            <v>8</v>
          </cell>
          <cell r="K556">
            <v>8</v>
          </cell>
        </row>
        <row r="557">
          <cell r="A557" t="str">
            <v>M1</v>
          </cell>
          <cell r="B557" t="str">
            <v>A5C</v>
          </cell>
          <cell r="C557" t="str">
            <v>P</v>
          </cell>
          <cell r="D557" t="str">
            <v>22070</v>
          </cell>
          <cell r="E557" t="str">
            <v>90 ELL</v>
          </cell>
          <cell r="F557">
            <v>2</v>
          </cell>
          <cell r="G557" t="str">
            <v>CB400100001H00</v>
          </cell>
          <cell r="H557">
            <v>1.5</v>
          </cell>
          <cell r="I557" t="str">
            <v>--</v>
          </cell>
          <cell r="J557">
            <v>9</v>
          </cell>
          <cell r="K557">
            <v>9</v>
          </cell>
        </row>
        <row r="558">
          <cell r="A558" t="str">
            <v>M1</v>
          </cell>
          <cell r="B558" t="str">
            <v>A5C</v>
          </cell>
          <cell r="C558" t="str">
            <v>P</v>
          </cell>
          <cell r="D558" t="str">
            <v>22109</v>
          </cell>
          <cell r="E558" t="str">
            <v>90 ELL</v>
          </cell>
          <cell r="F558">
            <v>2</v>
          </cell>
          <cell r="G558" t="str">
            <v>CB400100001H00</v>
          </cell>
          <cell r="H558">
            <v>1.5</v>
          </cell>
          <cell r="I558" t="str">
            <v>--</v>
          </cell>
          <cell r="J558">
            <v>8</v>
          </cell>
          <cell r="K558">
            <v>8</v>
          </cell>
        </row>
        <row r="559">
          <cell r="A559" t="str">
            <v>M1</v>
          </cell>
          <cell r="B559" t="str">
            <v>A5C</v>
          </cell>
          <cell r="C559" t="str">
            <v>P</v>
          </cell>
          <cell r="D559" t="str">
            <v>22104</v>
          </cell>
          <cell r="E559" t="str">
            <v>90 ELL</v>
          </cell>
          <cell r="F559">
            <v>2</v>
          </cell>
          <cell r="G559" t="str">
            <v>CB400100001H00</v>
          </cell>
          <cell r="H559">
            <v>1.5</v>
          </cell>
          <cell r="I559" t="str">
            <v>--</v>
          </cell>
          <cell r="J559">
            <v>8</v>
          </cell>
          <cell r="K559">
            <v>8</v>
          </cell>
        </row>
        <row r="560">
          <cell r="A560" t="str">
            <v>M1</v>
          </cell>
          <cell r="B560" t="str">
            <v>A6C</v>
          </cell>
          <cell r="C560" t="str">
            <v>HOS</v>
          </cell>
          <cell r="D560" t="str">
            <v>65633</v>
          </cell>
          <cell r="E560" t="str">
            <v>90 ELL</v>
          </cell>
          <cell r="F560">
            <v>2</v>
          </cell>
          <cell r="G560" t="str">
            <v>CB400100001H00</v>
          </cell>
          <cell r="H560">
            <v>1.5</v>
          </cell>
          <cell r="I560" t="str">
            <v>--</v>
          </cell>
          <cell r="J560">
            <v>8</v>
          </cell>
          <cell r="K560">
            <v>8</v>
          </cell>
        </row>
        <row r="561">
          <cell r="A561" t="str">
            <v>M1</v>
          </cell>
          <cell r="B561" t="str">
            <v>A5C</v>
          </cell>
          <cell r="C561" t="str">
            <v>P</v>
          </cell>
          <cell r="D561" t="str">
            <v>22102</v>
          </cell>
          <cell r="E561" t="str">
            <v>TEE</v>
          </cell>
          <cell r="F561">
            <v>2</v>
          </cell>
          <cell r="G561" t="str">
            <v>CB400300001H00</v>
          </cell>
          <cell r="H561">
            <v>1.5</v>
          </cell>
          <cell r="I561" t="str">
            <v>--</v>
          </cell>
          <cell r="J561">
            <v>5</v>
          </cell>
          <cell r="K561">
            <v>5</v>
          </cell>
        </row>
        <row r="562">
          <cell r="A562" t="str">
            <v>M1</v>
          </cell>
          <cell r="B562" t="str">
            <v>A5C</v>
          </cell>
          <cell r="C562" t="str">
            <v>P</v>
          </cell>
          <cell r="D562" t="str">
            <v>22108</v>
          </cell>
          <cell r="E562" t="str">
            <v>90 ELL</v>
          </cell>
          <cell r="F562">
            <v>2</v>
          </cell>
          <cell r="G562" t="str">
            <v>CB400100001H00</v>
          </cell>
          <cell r="H562">
            <v>1.5</v>
          </cell>
          <cell r="I562" t="str">
            <v>--</v>
          </cell>
          <cell r="J562">
            <v>9</v>
          </cell>
          <cell r="K562">
            <v>9</v>
          </cell>
        </row>
        <row r="563">
          <cell r="A563" t="str">
            <v>M1</v>
          </cell>
          <cell r="B563" t="str">
            <v>A6C</v>
          </cell>
          <cell r="C563" t="str">
            <v>HOS</v>
          </cell>
          <cell r="D563" t="str">
            <v>65632</v>
          </cell>
          <cell r="E563" t="str">
            <v>90 ELL</v>
          </cell>
          <cell r="F563">
            <v>2</v>
          </cell>
          <cell r="G563" t="str">
            <v>CB400100001H00</v>
          </cell>
          <cell r="H563">
            <v>1.5</v>
          </cell>
          <cell r="I563" t="str">
            <v>--</v>
          </cell>
          <cell r="J563">
            <v>7</v>
          </cell>
          <cell r="K563">
            <v>7</v>
          </cell>
        </row>
        <row r="564">
          <cell r="A564" t="str">
            <v>M1</v>
          </cell>
          <cell r="B564" t="str">
            <v>A5C</v>
          </cell>
          <cell r="C564" t="str">
            <v>RW</v>
          </cell>
          <cell r="D564" t="str">
            <v>25611</v>
          </cell>
          <cell r="E564" t="str">
            <v>90 ELL</v>
          </cell>
          <cell r="F564">
            <v>2</v>
          </cell>
          <cell r="G564" t="str">
            <v>CB400100001H00</v>
          </cell>
          <cell r="H564">
            <v>1.5</v>
          </cell>
          <cell r="I564" t="str">
            <v>--</v>
          </cell>
          <cell r="J564">
            <v>7</v>
          </cell>
          <cell r="K564">
            <v>7</v>
          </cell>
        </row>
        <row r="565">
          <cell r="A565" t="str">
            <v>M1</v>
          </cell>
          <cell r="B565" t="str">
            <v>A5C</v>
          </cell>
          <cell r="C565" t="str">
            <v>P</v>
          </cell>
          <cell r="D565" t="str">
            <v>22113</v>
          </cell>
          <cell r="E565" t="str">
            <v>90 ELL</v>
          </cell>
          <cell r="F565">
            <v>2</v>
          </cell>
          <cell r="G565" t="str">
            <v>CB400100001H00</v>
          </cell>
          <cell r="H565">
            <v>1.5</v>
          </cell>
          <cell r="I565" t="str">
            <v>--</v>
          </cell>
          <cell r="J565">
            <v>6</v>
          </cell>
          <cell r="K565">
            <v>6</v>
          </cell>
        </row>
        <row r="566">
          <cell r="A566" t="str">
            <v>M1</v>
          </cell>
          <cell r="B566" t="str">
            <v>A5C</v>
          </cell>
          <cell r="C566" t="str">
            <v>P</v>
          </cell>
          <cell r="D566" t="str">
            <v>22111</v>
          </cell>
          <cell r="E566" t="str">
            <v>TEE</v>
          </cell>
          <cell r="F566">
            <v>2</v>
          </cell>
          <cell r="G566" t="str">
            <v>CB400300001H00</v>
          </cell>
          <cell r="H566">
            <v>1.5</v>
          </cell>
          <cell r="I566" t="str">
            <v>--</v>
          </cell>
          <cell r="J566">
            <v>5</v>
          </cell>
          <cell r="K566">
            <v>5</v>
          </cell>
        </row>
        <row r="567">
          <cell r="A567" t="str">
            <v>M1</v>
          </cell>
          <cell r="B567" t="str">
            <v>A5C</v>
          </cell>
          <cell r="C567" t="str">
            <v>P</v>
          </cell>
          <cell r="D567" t="str">
            <v>22087</v>
          </cell>
          <cell r="E567" t="str">
            <v>90 ELL</v>
          </cell>
          <cell r="F567">
            <v>2</v>
          </cell>
          <cell r="G567" t="str">
            <v>CB400100001H00</v>
          </cell>
          <cell r="H567">
            <v>1.5</v>
          </cell>
          <cell r="I567" t="str">
            <v>--</v>
          </cell>
          <cell r="J567">
            <v>6</v>
          </cell>
          <cell r="K567">
            <v>6</v>
          </cell>
        </row>
        <row r="568">
          <cell r="A568" t="str">
            <v>M1</v>
          </cell>
          <cell r="B568" t="str">
            <v>A5C</v>
          </cell>
          <cell r="C568" t="str">
            <v>P</v>
          </cell>
          <cell r="D568" t="str">
            <v>22111</v>
          </cell>
          <cell r="E568" t="str">
            <v>R TEE</v>
          </cell>
          <cell r="F568">
            <v>2</v>
          </cell>
          <cell r="G568" t="str">
            <v>CB400400001H0T</v>
          </cell>
          <cell r="H568">
            <v>1.5</v>
          </cell>
          <cell r="I568">
            <v>0.75</v>
          </cell>
          <cell r="J568">
            <v>6</v>
          </cell>
          <cell r="K568">
            <v>6</v>
          </cell>
        </row>
        <row r="569">
          <cell r="A569" t="str">
            <v>M1</v>
          </cell>
          <cell r="B569" t="str">
            <v>A5C</v>
          </cell>
          <cell r="C569" t="str">
            <v>P</v>
          </cell>
          <cell r="D569" t="str">
            <v>22078</v>
          </cell>
          <cell r="E569" t="str">
            <v>90 ELL</v>
          </cell>
          <cell r="F569">
            <v>2</v>
          </cell>
          <cell r="G569" t="str">
            <v>CB400100001H00</v>
          </cell>
          <cell r="H569">
            <v>1.5</v>
          </cell>
          <cell r="I569" t="str">
            <v>--</v>
          </cell>
          <cell r="J569">
            <v>5</v>
          </cell>
          <cell r="K569">
            <v>5</v>
          </cell>
        </row>
        <row r="570">
          <cell r="A570" t="str">
            <v>M1</v>
          </cell>
          <cell r="B570" t="str">
            <v>A5C</v>
          </cell>
          <cell r="C570" t="str">
            <v>P</v>
          </cell>
          <cell r="D570" t="str">
            <v>22079</v>
          </cell>
          <cell r="E570" t="str">
            <v>90 ELL</v>
          </cell>
          <cell r="F570">
            <v>2</v>
          </cell>
          <cell r="G570" t="str">
            <v>CB400100001H00</v>
          </cell>
          <cell r="H570">
            <v>1.5</v>
          </cell>
          <cell r="I570" t="str">
            <v>--</v>
          </cell>
          <cell r="J570">
            <v>5</v>
          </cell>
          <cell r="K570">
            <v>5</v>
          </cell>
        </row>
        <row r="571">
          <cell r="A571" t="str">
            <v>M1</v>
          </cell>
          <cell r="B571" t="str">
            <v>A6C</v>
          </cell>
          <cell r="C571" t="str">
            <v>HOS</v>
          </cell>
          <cell r="D571" t="str">
            <v>65633</v>
          </cell>
          <cell r="E571" t="str">
            <v>90 ELL</v>
          </cell>
          <cell r="F571">
            <v>2</v>
          </cell>
          <cell r="G571" t="str">
            <v>CB400100001H00</v>
          </cell>
          <cell r="H571">
            <v>1.5</v>
          </cell>
          <cell r="I571" t="str">
            <v>--</v>
          </cell>
          <cell r="J571">
            <v>5</v>
          </cell>
          <cell r="K571">
            <v>5</v>
          </cell>
        </row>
        <row r="572">
          <cell r="A572" t="str">
            <v>M1</v>
          </cell>
          <cell r="B572" t="str">
            <v>A5C</v>
          </cell>
          <cell r="C572" t="str">
            <v>P</v>
          </cell>
          <cell r="D572" t="str">
            <v>22036</v>
          </cell>
          <cell r="E572" t="str">
            <v>90 ELL</v>
          </cell>
          <cell r="F572">
            <v>2</v>
          </cell>
          <cell r="G572" t="str">
            <v>CB400100001H00</v>
          </cell>
          <cell r="H572">
            <v>1.5</v>
          </cell>
          <cell r="I572" t="str">
            <v>--</v>
          </cell>
          <cell r="J572">
            <v>4</v>
          </cell>
          <cell r="K572">
            <v>4</v>
          </cell>
        </row>
        <row r="573">
          <cell r="A573" t="str">
            <v>M1</v>
          </cell>
          <cell r="B573" t="str">
            <v>A5C</v>
          </cell>
          <cell r="C573" t="str">
            <v>P</v>
          </cell>
          <cell r="D573" t="str">
            <v>22045</v>
          </cell>
          <cell r="E573" t="str">
            <v>90 ELL</v>
          </cell>
          <cell r="F573">
            <v>2</v>
          </cell>
          <cell r="G573" t="str">
            <v>CB400100001H00</v>
          </cell>
          <cell r="H573">
            <v>1.5</v>
          </cell>
          <cell r="I573" t="str">
            <v>--</v>
          </cell>
          <cell r="J573">
            <v>4</v>
          </cell>
          <cell r="K573">
            <v>4</v>
          </cell>
        </row>
        <row r="574">
          <cell r="A574" t="str">
            <v>M1</v>
          </cell>
          <cell r="B574" t="str">
            <v>A5C</v>
          </cell>
          <cell r="C574" t="str">
            <v>P</v>
          </cell>
          <cell r="D574" t="str">
            <v>22071</v>
          </cell>
          <cell r="E574" t="str">
            <v>90 ELL</v>
          </cell>
          <cell r="F574">
            <v>2</v>
          </cell>
          <cell r="G574" t="str">
            <v>CB400100001H00</v>
          </cell>
          <cell r="H574">
            <v>1.5</v>
          </cell>
          <cell r="I574" t="str">
            <v>--</v>
          </cell>
          <cell r="J574">
            <v>4</v>
          </cell>
          <cell r="K574">
            <v>4</v>
          </cell>
        </row>
        <row r="575">
          <cell r="A575" t="str">
            <v>M1</v>
          </cell>
          <cell r="B575" t="str">
            <v>A5C</v>
          </cell>
          <cell r="C575" t="str">
            <v>P</v>
          </cell>
          <cell r="D575" t="str">
            <v>22114</v>
          </cell>
          <cell r="E575" t="str">
            <v>90 ELL</v>
          </cell>
          <cell r="F575">
            <v>2</v>
          </cell>
          <cell r="G575" t="str">
            <v>CB400100001H00</v>
          </cell>
          <cell r="H575">
            <v>1.5</v>
          </cell>
          <cell r="I575" t="str">
            <v>--</v>
          </cell>
          <cell r="J575">
            <v>4</v>
          </cell>
          <cell r="K575">
            <v>4</v>
          </cell>
        </row>
        <row r="576">
          <cell r="A576" t="str">
            <v>M1</v>
          </cell>
          <cell r="B576" t="str">
            <v>A5C</v>
          </cell>
          <cell r="C576" t="str">
            <v>P</v>
          </cell>
          <cell r="D576" t="str">
            <v>22002</v>
          </cell>
          <cell r="E576" t="str">
            <v>90 ELL</v>
          </cell>
          <cell r="F576">
            <v>2</v>
          </cell>
          <cell r="G576" t="str">
            <v>CB400100001H00</v>
          </cell>
          <cell r="H576">
            <v>1.5</v>
          </cell>
          <cell r="I576" t="str">
            <v>--</v>
          </cell>
          <cell r="J576">
            <v>4</v>
          </cell>
          <cell r="K576">
            <v>4</v>
          </cell>
        </row>
        <row r="577">
          <cell r="A577" t="str">
            <v>M1</v>
          </cell>
          <cell r="B577" t="str">
            <v>A5C</v>
          </cell>
          <cell r="C577" t="str">
            <v>P</v>
          </cell>
          <cell r="D577" t="str">
            <v>22102</v>
          </cell>
          <cell r="E577" t="str">
            <v>R TEE</v>
          </cell>
          <cell r="F577">
            <v>2</v>
          </cell>
          <cell r="G577" t="str">
            <v>CB400400001H0T</v>
          </cell>
          <cell r="H577">
            <v>1.5</v>
          </cell>
          <cell r="I577">
            <v>0.75</v>
          </cell>
          <cell r="J577">
            <v>5</v>
          </cell>
          <cell r="K577">
            <v>5</v>
          </cell>
        </row>
        <row r="578">
          <cell r="A578" t="str">
            <v>M1</v>
          </cell>
          <cell r="B578" t="str">
            <v>A5C</v>
          </cell>
          <cell r="C578" t="str">
            <v>P</v>
          </cell>
          <cell r="D578" t="str">
            <v>22157</v>
          </cell>
          <cell r="E578" t="str">
            <v>R TEE</v>
          </cell>
          <cell r="F578">
            <v>2</v>
          </cell>
          <cell r="G578" t="str">
            <v>CB400400001H01</v>
          </cell>
          <cell r="H578">
            <v>1.5</v>
          </cell>
          <cell r="I578">
            <v>1</v>
          </cell>
          <cell r="J578">
            <v>5</v>
          </cell>
          <cell r="K578">
            <v>5</v>
          </cell>
        </row>
        <row r="579">
          <cell r="A579" t="str">
            <v>M1</v>
          </cell>
          <cell r="B579" t="str">
            <v>A5C</v>
          </cell>
          <cell r="C579" t="str">
            <v>P</v>
          </cell>
          <cell r="D579" t="str">
            <v>22157</v>
          </cell>
          <cell r="E579" t="str">
            <v>90 ELL</v>
          </cell>
          <cell r="F579">
            <v>2</v>
          </cell>
          <cell r="G579" t="str">
            <v>CB400100001H00</v>
          </cell>
          <cell r="H579">
            <v>1.5</v>
          </cell>
          <cell r="I579" t="str">
            <v>--</v>
          </cell>
          <cell r="J579">
            <v>3</v>
          </cell>
          <cell r="K579">
            <v>3</v>
          </cell>
        </row>
        <row r="580">
          <cell r="A580" t="str">
            <v>M1</v>
          </cell>
          <cell r="B580" t="str">
            <v>A5C</v>
          </cell>
          <cell r="C580" t="str">
            <v>P</v>
          </cell>
          <cell r="D580" t="str">
            <v>22071</v>
          </cell>
          <cell r="E580" t="str">
            <v>TEE</v>
          </cell>
          <cell r="F580">
            <v>2</v>
          </cell>
          <cell r="G580" t="str">
            <v>CB400300001H00</v>
          </cell>
          <cell r="H580">
            <v>1.5</v>
          </cell>
          <cell r="I580" t="str">
            <v>--</v>
          </cell>
          <cell r="J580">
            <v>2</v>
          </cell>
          <cell r="K580">
            <v>2</v>
          </cell>
        </row>
        <row r="581">
          <cell r="A581" t="str">
            <v>M1</v>
          </cell>
          <cell r="B581" t="str">
            <v>A5C</v>
          </cell>
          <cell r="C581" t="str">
            <v>P</v>
          </cell>
          <cell r="D581" t="str">
            <v>22102</v>
          </cell>
          <cell r="E581" t="str">
            <v>TEE</v>
          </cell>
          <cell r="F581">
            <v>2</v>
          </cell>
          <cell r="G581" t="str">
            <v>CB400300001H00</v>
          </cell>
          <cell r="H581">
            <v>1.5</v>
          </cell>
          <cell r="I581" t="str">
            <v>--</v>
          </cell>
          <cell r="J581">
            <v>2</v>
          </cell>
          <cell r="K581">
            <v>2</v>
          </cell>
        </row>
        <row r="582">
          <cell r="A582" t="str">
            <v>M1</v>
          </cell>
          <cell r="B582" t="str">
            <v>A5C</v>
          </cell>
          <cell r="C582" t="str">
            <v>P</v>
          </cell>
          <cell r="D582" t="str">
            <v>22104</v>
          </cell>
          <cell r="E582" t="str">
            <v>TEE</v>
          </cell>
          <cell r="F582">
            <v>2</v>
          </cell>
          <cell r="G582" t="str">
            <v>CB400300001H00</v>
          </cell>
          <cell r="H582">
            <v>1.5</v>
          </cell>
          <cell r="I582" t="str">
            <v>--</v>
          </cell>
          <cell r="J582">
            <v>2</v>
          </cell>
          <cell r="K582">
            <v>2</v>
          </cell>
        </row>
        <row r="583">
          <cell r="A583" t="str">
            <v>M1</v>
          </cell>
          <cell r="B583" t="str">
            <v>A5C</v>
          </cell>
          <cell r="C583" t="str">
            <v>P</v>
          </cell>
          <cell r="D583" t="str">
            <v>22109</v>
          </cell>
          <cell r="E583" t="str">
            <v>TEE</v>
          </cell>
          <cell r="F583">
            <v>2</v>
          </cell>
          <cell r="G583" t="str">
            <v>CB400300001H00</v>
          </cell>
          <cell r="H583">
            <v>1.5</v>
          </cell>
          <cell r="I583" t="str">
            <v>--</v>
          </cell>
          <cell r="J583">
            <v>2</v>
          </cell>
          <cell r="K583">
            <v>2</v>
          </cell>
        </row>
        <row r="584">
          <cell r="A584" t="str">
            <v>M1</v>
          </cell>
          <cell r="B584" t="str">
            <v>A6C</v>
          </cell>
          <cell r="C584" t="str">
            <v>HOS</v>
          </cell>
          <cell r="D584" t="str">
            <v>65623</v>
          </cell>
          <cell r="E584" t="str">
            <v>90 ELL</v>
          </cell>
          <cell r="F584">
            <v>2</v>
          </cell>
          <cell r="G584" t="str">
            <v>CB400100001H00</v>
          </cell>
          <cell r="H584">
            <v>1.5</v>
          </cell>
          <cell r="I584" t="str">
            <v>--</v>
          </cell>
          <cell r="J584">
            <v>3</v>
          </cell>
          <cell r="K584">
            <v>3</v>
          </cell>
        </row>
        <row r="585">
          <cell r="A585" t="str">
            <v>M1</v>
          </cell>
          <cell r="B585" t="str">
            <v>A6C</v>
          </cell>
          <cell r="C585" t="str">
            <v>HOS</v>
          </cell>
          <cell r="D585" t="str">
            <v>65618</v>
          </cell>
          <cell r="E585" t="str">
            <v>90 ELL</v>
          </cell>
          <cell r="F585">
            <v>2</v>
          </cell>
          <cell r="G585" t="str">
            <v>CB400100001H00</v>
          </cell>
          <cell r="H585">
            <v>1.5</v>
          </cell>
          <cell r="I585" t="str">
            <v>--</v>
          </cell>
          <cell r="J585">
            <v>3</v>
          </cell>
          <cell r="K585">
            <v>3</v>
          </cell>
        </row>
        <row r="586">
          <cell r="A586" t="str">
            <v>M1</v>
          </cell>
          <cell r="B586" t="str">
            <v>A6C</v>
          </cell>
          <cell r="C586" t="str">
            <v>HOS</v>
          </cell>
          <cell r="D586" t="str">
            <v>65622</v>
          </cell>
          <cell r="E586" t="str">
            <v>TEE</v>
          </cell>
          <cell r="F586">
            <v>2</v>
          </cell>
          <cell r="G586" t="str">
            <v>CB400300001H00</v>
          </cell>
          <cell r="H586">
            <v>1.5</v>
          </cell>
          <cell r="I586" t="str">
            <v>--</v>
          </cell>
          <cell r="J586">
            <v>2</v>
          </cell>
          <cell r="K586">
            <v>2</v>
          </cell>
        </row>
        <row r="587">
          <cell r="A587" t="str">
            <v>M1</v>
          </cell>
          <cell r="B587" t="str">
            <v>A6C</v>
          </cell>
          <cell r="C587" t="str">
            <v>HOS</v>
          </cell>
          <cell r="D587" t="str">
            <v>65623</v>
          </cell>
          <cell r="E587" t="str">
            <v>TEE</v>
          </cell>
          <cell r="F587">
            <v>2</v>
          </cell>
          <cell r="G587" t="str">
            <v>CB400300001H00</v>
          </cell>
          <cell r="H587">
            <v>1.5</v>
          </cell>
          <cell r="I587" t="str">
            <v>--</v>
          </cell>
          <cell r="J587">
            <v>2</v>
          </cell>
          <cell r="K587">
            <v>2</v>
          </cell>
        </row>
        <row r="588">
          <cell r="A588" t="str">
            <v>M1</v>
          </cell>
          <cell r="B588" t="str">
            <v>A4C</v>
          </cell>
          <cell r="C588" t="str">
            <v>P</v>
          </cell>
          <cell r="D588" t="str">
            <v>22031</v>
          </cell>
          <cell r="E588" t="str">
            <v>90 ELL</v>
          </cell>
          <cell r="F588">
            <v>2</v>
          </cell>
          <cell r="G588" t="str">
            <v>CB400100001H00</v>
          </cell>
          <cell r="H588">
            <v>1.5</v>
          </cell>
          <cell r="I588" t="str">
            <v>--</v>
          </cell>
          <cell r="J588">
            <v>5</v>
          </cell>
          <cell r="K588">
            <v>5</v>
          </cell>
        </row>
        <row r="589">
          <cell r="A589" t="str">
            <v>M1</v>
          </cell>
          <cell r="B589" t="str">
            <v>A6C</v>
          </cell>
          <cell r="C589" t="str">
            <v>HOS</v>
          </cell>
          <cell r="D589" t="str">
            <v>65633</v>
          </cell>
          <cell r="E589" t="str">
            <v>CPLG</v>
          </cell>
          <cell r="F589">
            <v>2</v>
          </cell>
          <cell r="G589" t="str">
            <v>CB400500001H00</v>
          </cell>
          <cell r="H589">
            <v>1.5</v>
          </cell>
          <cell r="I589" t="str">
            <v>--</v>
          </cell>
          <cell r="J589">
            <v>3</v>
          </cell>
          <cell r="K589">
            <v>3</v>
          </cell>
        </row>
        <row r="590">
          <cell r="A590" t="str">
            <v>M1</v>
          </cell>
          <cell r="B590" t="str">
            <v>A6C</v>
          </cell>
          <cell r="C590" t="str">
            <v>HOS</v>
          </cell>
          <cell r="D590" t="str">
            <v>65632</v>
          </cell>
          <cell r="E590" t="str">
            <v>NPL</v>
          </cell>
          <cell r="F590">
            <v>2</v>
          </cell>
          <cell r="G590" t="str">
            <v>CB132108001HVR</v>
          </cell>
          <cell r="H590">
            <v>1.5</v>
          </cell>
          <cell r="I590" t="str">
            <v>75mm</v>
          </cell>
          <cell r="J590">
            <v>3</v>
          </cell>
          <cell r="K590">
            <v>3</v>
          </cell>
        </row>
        <row r="591">
          <cell r="A591" t="str">
            <v>M1</v>
          </cell>
          <cell r="B591" t="str">
            <v>A5C</v>
          </cell>
          <cell r="C591" t="str">
            <v>P</v>
          </cell>
          <cell r="D591" t="str">
            <v>22071</v>
          </cell>
          <cell r="E591" t="str">
            <v>R TEE</v>
          </cell>
          <cell r="F591">
            <v>2</v>
          </cell>
          <cell r="G591" t="str">
            <v>CB400400001H0T</v>
          </cell>
          <cell r="H591">
            <v>1.5</v>
          </cell>
          <cell r="I591">
            <v>0.75</v>
          </cell>
          <cell r="J591">
            <v>4</v>
          </cell>
          <cell r="K591">
            <v>4</v>
          </cell>
        </row>
        <row r="592">
          <cell r="A592" t="str">
            <v>M1</v>
          </cell>
          <cell r="B592" t="str">
            <v>A5C</v>
          </cell>
          <cell r="C592" t="str">
            <v>P</v>
          </cell>
          <cell r="D592" t="str">
            <v>22071</v>
          </cell>
          <cell r="E592" t="str">
            <v>R TEE</v>
          </cell>
          <cell r="F592">
            <v>2</v>
          </cell>
          <cell r="G592" t="str">
            <v>CB400400001H0T</v>
          </cell>
          <cell r="H592">
            <v>1.5</v>
          </cell>
          <cell r="I592">
            <v>0.75</v>
          </cell>
          <cell r="J592">
            <v>4</v>
          </cell>
          <cell r="K592">
            <v>4</v>
          </cell>
        </row>
        <row r="593">
          <cell r="A593" t="str">
            <v>M1</v>
          </cell>
          <cell r="B593" t="str">
            <v>A5C</v>
          </cell>
          <cell r="C593" t="str">
            <v>P</v>
          </cell>
          <cell r="D593" t="str">
            <v>22079</v>
          </cell>
          <cell r="E593" t="str">
            <v>CPLG</v>
          </cell>
          <cell r="F593">
            <v>2</v>
          </cell>
          <cell r="G593" t="str">
            <v>CB400500001H00</v>
          </cell>
          <cell r="H593">
            <v>1.5</v>
          </cell>
          <cell r="I593" t="str">
            <v>--</v>
          </cell>
          <cell r="J593">
            <v>2</v>
          </cell>
          <cell r="K593">
            <v>2</v>
          </cell>
        </row>
        <row r="594">
          <cell r="A594" t="str">
            <v>M1</v>
          </cell>
          <cell r="B594" t="str">
            <v>A6C</v>
          </cell>
          <cell r="C594" t="str">
            <v>HOS</v>
          </cell>
          <cell r="D594" t="str">
            <v>65622</v>
          </cell>
          <cell r="E594" t="str">
            <v>90 ELL</v>
          </cell>
          <cell r="F594">
            <v>2</v>
          </cell>
          <cell r="G594" t="str">
            <v>CB400100001H00</v>
          </cell>
          <cell r="H594">
            <v>1.5</v>
          </cell>
          <cell r="I594" t="str">
            <v>--</v>
          </cell>
          <cell r="J594">
            <v>2</v>
          </cell>
          <cell r="K594">
            <v>2</v>
          </cell>
        </row>
        <row r="595">
          <cell r="A595" t="str">
            <v>M1</v>
          </cell>
          <cell r="B595" t="str">
            <v>A6C</v>
          </cell>
          <cell r="C595" t="str">
            <v>HOR</v>
          </cell>
          <cell r="D595" t="str">
            <v>65618</v>
          </cell>
          <cell r="E595" t="str">
            <v>90 ELL</v>
          </cell>
          <cell r="F595">
            <v>2</v>
          </cell>
          <cell r="G595" t="str">
            <v>CB400100001H00</v>
          </cell>
          <cell r="H595">
            <v>1.5</v>
          </cell>
          <cell r="I595" t="str">
            <v>--</v>
          </cell>
          <cell r="J595">
            <v>2</v>
          </cell>
          <cell r="K595">
            <v>2</v>
          </cell>
        </row>
        <row r="596">
          <cell r="A596" t="str">
            <v>M1</v>
          </cell>
          <cell r="B596" t="str">
            <v>A6C</v>
          </cell>
          <cell r="C596" t="str">
            <v>HOR</v>
          </cell>
          <cell r="D596" t="str">
            <v>65612</v>
          </cell>
          <cell r="E596" t="str">
            <v>CPLG</v>
          </cell>
          <cell r="F596">
            <v>2</v>
          </cell>
          <cell r="G596" t="str">
            <v>CB400500001H00</v>
          </cell>
          <cell r="H596">
            <v>1.5</v>
          </cell>
          <cell r="I596" t="str">
            <v>--</v>
          </cell>
          <cell r="J596">
            <v>2</v>
          </cell>
          <cell r="K596">
            <v>2</v>
          </cell>
        </row>
        <row r="597">
          <cell r="A597" t="str">
            <v>M1</v>
          </cell>
          <cell r="B597" t="str">
            <v>A6C</v>
          </cell>
          <cell r="C597" t="str">
            <v>HOR</v>
          </cell>
          <cell r="D597" t="str">
            <v>65612</v>
          </cell>
          <cell r="E597" t="str">
            <v>R TEE</v>
          </cell>
          <cell r="F597">
            <v>2</v>
          </cell>
          <cell r="G597" t="str">
            <v>CB400400001H0T</v>
          </cell>
          <cell r="H597">
            <v>1.5</v>
          </cell>
          <cell r="I597">
            <v>0.75</v>
          </cell>
          <cell r="J597">
            <v>2</v>
          </cell>
          <cell r="K597">
            <v>2</v>
          </cell>
        </row>
        <row r="598">
          <cell r="A598" t="str">
            <v>M1</v>
          </cell>
          <cell r="B598" t="str">
            <v>A6C</v>
          </cell>
          <cell r="C598" t="str">
            <v>HOR</v>
          </cell>
          <cell r="D598" t="str">
            <v>65612</v>
          </cell>
          <cell r="E598" t="str">
            <v>R TEE</v>
          </cell>
          <cell r="F598">
            <v>2</v>
          </cell>
          <cell r="G598" t="str">
            <v>CB400400001H01</v>
          </cell>
          <cell r="H598">
            <v>1.5</v>
          </cell>
          <cell r="I598">
            <v>1</v>
          </cell>
          <cell r="J598">
            <v>2</v>
          </cell>
          <cell r="K598">
            <v>2</v>
          </cell>
        </row>
        <row r="599">
          <cell r="A599" t="str">
            <v>M1</v>
          </cell>
          <cell r="B599" t="str">
            <v>A5C</v>
          </cell>
          <cell r="C599" t="str">
            <v>P</v>
          </cell>
          <cell r="D599" t="str">
            <v>22064</v>
          </cell>
          <cell r="E599" t="str">
            <v>90 ELL</v>
          </cell>
          <cell r="F599">
            <v>2</v>
          </cell>
          <cell r="G599" t="str">
            <v>CB400100001H00</v>
          </cell>
          <cell r="H599">
            <v>1.5</v>
          </cell>
          <cell r="I599" t="str">
            <v>--</v>
          </cell>
          <cell r="J599">
            <v>2</v>
          </cell>
          <cell r="K599">
            <v>2</v>
          </cell>
        </row>
        <row r="600">
          <cell r="A600" t="str">
            <v>M1</v>
          </cell>
          <cell r="B600" t="str">
            <v>A5C</v>
          </cell>
          <cell r="C600" t="str">
            <v>P</v>
          </cell>
          <cell r="D600" t="str">
            <v>22085</v>
          </cell>
          <cell r="E600" t="str">
            <v>90 ELL</v>
          </cell>
          <cell r="F600">
            <v>2</v>
          </cell>
          <cell r="G600" t="str">
            <v>CB400100001H00</v>
          </cell>
          <cell r="H600">
            <v>1.5</v>
          </cell>
          <cell r="I600" t="str">
            <v>--</v>
          </cell>
          <cell r="J600">
            <v>2</v>
          </cell>
          <cell r="K600">
            <v>2</v>
          </cell>
        </row>
        <row r="601">
          <cell r="A601" t="str">
            <v>M1</v>
          </cell>
          <cell r="B601" t="str">
            <v>A5C</v>
          </cell>
          <cell r="C601" t="str">
            <v>P</v>
          </cell>
          <cell r="D601" t="str">
            <v>22102</v>
          </cell>
          <cell r="E601" t="str">
            <v>CPLG</v>
          </cell>
          <cell r="F601">
            <v>2</v>
          </cell>
          <cell r="G601" t="str">
            <v>CB400500001H00</v>
          </cell>
          <cell r="H601">
            <v>1.5</v>
          </cell>
          <cell r="I601" t="str">
            <v>--</v>
          </cell>
          <cell r="J601">
            <v>3</v>
          </cell>
          <cell r="K601">
            <v>3</v>
          </cell>
        </row>
        <row r="602">
          <cell r="A602" t="str">
            <v>M1</v>
          </cell>
          <cell r="B602" t="str">
            <v>A6C</v>
          </cell>
          <cell r="C602" t="str">
            <v>HOS</v>
          </cell>
          <cell r="D602" t="str">
            <v>65633</v>
          </cell>
          <cell r="E602" t="str">
            <v>TEE</v>
          </cell>
          <cell r="F602">
            <v>2</v>
          </cell>
          <cell r="G602" t="str">
            <v>CB400300001H00</v>
          </cell>
          <cell r="H602">
            <v>1.5</v>
          </cell>
          <cell r="I602" t="str">
            <v>--</v>
          </cell>
          <cell r="J602">
            <v>2</v>
          </cell>
          <cell r="K602">
            <v>2</v>
          </cell>
        </row>
        <row r="603">
          <cell r="A603" t="str">
            <v>M1</v>
          </cell>
          <cell r="B603" t="str">
            <v>A5C</v>
          </cell>
          <cell r="C603" t="str">
            <v>P</v>
          </cell>
          <cell r="D603" t="str">
            <v>22071</v>
          </cell>
          <cell r="E603" t="str">
            <v>TEE</v>
          </cell>
          <cell r="F603">
            <v>2</v>
          </cell>
          <cell r="G603" t="str">
            <v>CB400300001H00</v>
          </cell>
          <cell r="H603">
            <v>1.5</v>
          </cell>
          <cell r="I603" t="str">
            <v>--</v>
          </cell>
          <cell r="J603">
            <v>1</v>
          </cell>
          <cell r="K603">
            <v>1</v>
          </cell>
        </row>
        <row r="604">
          <cell r="A604" t="str">
            <v>M1</v>
          </cell>
          <cell r="B604" t="str">
            <v>A5C</v>
          </cell>
          <cell r="C604" t="str">
            <v>P</v>
          </cell>
          <cell r="D604" t="str">
            <v>22113</v>
          </cell>
          <cell r="E604" t="str">
            <v>TEE</v>
          </cell>
          <cell r="F604">
            <v>2</v>
          </cell>
          <cell r="G604" t="str">
            <v>CB400300001H00</v>
          </cell>
          <cell r="H604">
            <v>1.5</v>
          </cell>
          <cell r="I604" t="str">
            <v>--</v>
          </cell>
          <cell r="J604">
            <v>1</v>
          </cell>
          <cell r="K604">
            <v>1</v>
          </cell>
        </row>
        <row r="605">
          <cell r="A605" t="str">
            <v>M1</v>
          </cell>
          <cell r="B605" t="str">
            <v>A5C</v>
          </cell>
          <cell r="C605" t="str">
            <v>P</v>
          </cell>
          <cell r="D605" t="str">
            <v>22157</v>
          </cell>
          <cell r="E605" t="str">
            <v>TEE</v>
          </cell>
          <cell r="F605">
            <v>2</v>
          </cell>
          <cell r="G605" t="str">
            <v>CB400300001H00</v>
          </cell>
          <cell r="H605">
            <v>1.5</v>
          </cell>
          <cell r="I605" t="str">
            <v>--</v>
          </cell>
          <cell r="J605">
            <v>1</v>
          </cell>
          <cell r="K605">
            <v>1</v>
          </cell>
        </row>
        <row r="606">
          <cell r="A606" t="str">
            <v>M1</v>
          </cell>
          <cell r="B606" t="str">
            <v>A5C</v>
          </cell>
          <cell r="C606" t="str">
            <v>P</v>
          </cell>
          <cell r="D606" t="str">
            <v>22158</v>
          </cell>
          <cell r="E606" t="str">
            <v>TEE</v>
          </cell>
          <cell r="F606">
            <v>2</v>
          </cell>
          <cell r="G606" t="str">
            <v>CB400300001H00</v>
          </cell>
          <cell r="H606">
            <v>1.5</v>
          </cell>
          <cell r="I606" t="str">
            <v>--</v>
          </cell>
          <cell r="J606">
            <v>1</v>
          </cell>
          <cell r="K606">
            <v>1</v>
          </cell>
        </row>
        <row r="607">
          <cell r="A607" t="str">
            <v>M1</v>
          </cell>
          <cell r="B607" t="str">
            <v>A5C</v>
          </cell>
          <cell r="C607" t="str">
            <v>P</v>
          </cell>
          <cell r="D607" t="str">
            <v>22039</v>
          </cell>
          <cell r="E607" t="str">
            <v>TEE</v>
          </cell>
          <cell r="F607">
            <v>2</v>
          </cell>
          <cell r="G607" t="str">
            <v>CB400300001H00</v>
          </cell>
          <cell r="H607">
            <v>1.5</v>
          </cell>
          <cell r="I607" t="str">
            <v>--</v>
          </cell>
          <cell r="J607">
            <v>1</v>
          </cell>
          <cell r="K607">
            <v>1</v>
          </cell>
        </row>
        <row r="608">
          <cell r="A608" t="str">
            <v>M1</v>
          </cell>
          <cell r="B608" t="str">
            <v>A5C</v>
          </cell>
          <cell r="C608" t="str">
            <v>P</v>
          </cell>
          <cell r="D608" t="str">
            <v>22040</v>
          </cell>
          <cell r="E608" t="str">
            <v>TEE</v>
          </cell>
          <cell r="F608">
            <v>2</v>
          </cell>
          <cell r="G608" t="str">
            <v>CB400300001H00</v>
          </cell>
          <cell r="H608">
            <v>1.5</v>
          </cell>
          <cell r="I608" t="str">
            <v>--</v>
          </cell>
          <cell r="J608">
            <v>1</v>
          </cell>
          <cell r="K608">
            <v>1</v>
          </cell>
        </row>
        <row r="609">
          <cell r="A609" t="str">
            <v>M1</v>
          </cell>
          <cell r="B609" t="str">
            <v>A5C</v>
          </cell>
          <cell r="C609" t="str">
            <v>P</v>
          </cell>
          <cell r="D609" t="str">
            <v>22041</v>
          </cell>
          <cell r="E609" t="str">
            <v>TEE</v>
          </cell>
          <cell r="F609">
            <v>2</v>
          </cell>
          <cell r="G609" t="str">
            <v>CB400300001H00</v>
          </cell>
          <cell r="H609">
            <v>1.5</v>
          </cell>
          <cell r="I609" t="str">
            <v>--</v>
          </cell>
          <cell r="J609">
            <v>1</v>
          </cell>
          <cell r="K609">
            <v>1</v>
          </cell>
        </row>
        <row r="610">
          <cell r="A610" t="str">
            <v>M1</v>
          </cell>
          <cell r="B610" t="str">
            <v>A5C</v>
          </cell>
          <cell r="C610" t="str">
            <v>P</v>
          </cell>
          <cell r="D610" t="str">
            <v>22045</v>
          </cell>
          <cell r="E610" t="str">
            <v>CPLG</v>
          </cell>
          <cell r="F610">
            <v>2</v>
          </cell>
          <cell r="G610" t="str">
            <v>CB400500001H00</v>
          </cell>
          <cell r="H610">
            <v>1.5</v>
          </cell>
          <cell r="I610" t="str">
            <v>--</v>
          </cell>
          <cell r="J610">
            <v>2</v>
          </cell>
          <cell r="K610">
            <v>2</v>
          </cell>
        </row>
        <row r="611">
          <cell r="A611" t="str">
            <v>M1</v>
          </cell>
          <cell r="B611" t="str">
            <v>A5C</v>
          </cell>
          <cell r="C611" t="str">
            <v>P</v>
          </cell>
          <cell r="D611" t="str">
            <v>22109</v>
          </cell>
          <cell r="E611" t="str">
            <v>CPLG</v>
          </cell>
          <cell r="F611">
            <v>2</v>
          </cell>
          <cell r="G611" t="str">
            <v>CB400500001H00</v>
          </cell>
          <cell r="H611">
            <v>1.5</v>
          </cell>
          <cell r="I611" t="str">
            <v>--</v>
          </cell>
          <cell r="J611">
            <v>2</v>
          </cell>
          <cell r="K611">
            <v>2</v>
          </cell>
        </row>
        <row r="612">
          <cell r="A612" t="str">
            <v>M1</v>
          </cell>
          <cell r="B612" t="str">
            <v>A6C</v>
          </cell>
          <cell r="C612" t="str">
            <v>HOS</v>
          </cell>
          <cell r="D612" t="str">
            <v>65611</v>
          </cell>
          <cell r="E612" t="str">
            <v>90 ELL</v>
          </cell>
          <cell r="F612">
            <v>2</v>
          </cell>
          <cell r="G612" t="str">
            <v>CB400100001H00</v>
          </cell>
          <cell r="H612">
            <v>1.5</v>
          </cell>
          <cell r="I612" t="str">
            <v>--</v>
          </cell>
          <cell r="J612">
            <v>2</v>
          </cell>
          <cell r="K612">
            <v>2</v>
          </cell>
        </row>
        <row r="613">
          <cell r="A613" t="str">
            <v>M1</v>
          </cell>
          <cell r="B613" t="str">
            <v>A5C</v>
          </cell>
          <cell r="C613" t="str">
            <v>RW</v>
          </cell>
          <cell r="D613" t="str">
            <v>25611</v>
          </cell>
          <cell r="E613" t="str">
            <v>TEE</v>
          </cell>
          <cell r="F613">
            <v>2</v>
          </cell>
          <cell r="G613" t="str">
            <v>CB400300001H00</v>
          </cell>
          <cell r="H613">
            <v>1.5</v>
          </cell>
          <cell r="I613" t="str">
            <v>--</v>
          </cell>
          <cell r="J613">
            <v>2</v>
          </cell>
          <cell r="K613">
            <v>2</v>
          </cell>
        </row>
        <row r="614">
          <cell r="A614" t="str">
            <v>M1</v>
          </cell>
          <cell r="B614" t="str">
            <v>A4C</v>
          </cell>
          <cell r="C614" t="str">
            <v>P</v>
          </cell>
          <cell r="D614" t="str">
            <v>22031</v>
          </cell>
          <cell r="E614" t="str">
            <v>C SWG</v>
          </cell>
          <cell r="F614">
            <v>2</v>
          </cell>
          <cell r="G614" t="str">
            <v>CB161108081H0H</v>
          </cell>
          <cell r="H614">
            <v>1.5</v>
          </cell>
          <cell r="I614">
            <v>0.5</v>
          </cell>
          <cell r="J614">
            <v>6</v>
          </cell>
          <cell r="K614">
            <v>6</v>
          </cell>
        </row>
        <row r="615">
          <cell r="A615" t="str">
            <v>M1</v>
          </cell>
          <cell r="B615" t="str">
            <v>A5C</v>
          </cell>
          <cell r="C615" t="str">
            <v>P</v>
          </cell>
          <cell r="D615" t="str">
            <v>22002</v>
          </cell>
          <cell r="E615" t="str">
            <v>R TEE</v>
          </cell>
          <cell r="F615">
            <v>2</v>
          </cell>
          <cell r="G615" t="str">
            <v>CB400400001H0T</v>
          </cell>
          <cell r="H615">
            <v>1.5</v>
          </cell>
          <cell r="I615">
            <v>0.75</v>
          </cell>
          <cell r="J615">
            <v>2</v>
          </cell>
          <cell r="K615">
            <v>2</v>
          </cell>
        </row>
        <row r="616">
          <cell r="A616" t="str">
            <v>M1</v>
          </cell>
          <cell r="B616" t="str">
            <v>A5C</v>
          </cell>
          <cell r="C616" t="str">
            <v>P</v>
          </cell>
          <cell r="D616" t="str">
            <v>22071</v>
          </cell>
          <cell r="E616" t="str">
            <v>CPLG</v>
          </cell>
          <cell r="F616">
            <v>2</v>
          </cell>
          <cell r="G616" t="str">
            <v>CB400500001H00</v>
          </cell>
          <cell r="H616">
            <v>1.5</v>
          </cell>
          <cell r="I616" t="str">
            <v>--</v>
          </cell>
          <cell r="J616">
            <v>1</v>
          </cell>
          <cell r="K616">
            <v>1</v>
          </cell>
        </row>
        <row r="617">
          <cell r="A617" t="str">
            <v>M1</v>
          </cell>
          <cell r="B617" t="str">
            <v>A5C</v>
          </cell>
          <cell r="C617" t="str">
            <v>P</v>
          </cell>
          <cell r="D617" t="str">
            <v>22099</v>
          </cell>
          <cell r="E617" t="str">
            <v>90 ELL</v>
          </cell>
          <cell r="F617">
            <v>2</v>
          </cell>
          <cell r="G617" t="str">
            <v>CB400100001H00</v>
          </cell>
          <cell r="H617">
            <v>1.5</v>
          </cell>
          <cell r="I617" t="str">
            <v>--</v>
          </cell>
          <cell r="J617">
            <v>1</v>
          </cell>
          <cell r="K617">
            <v>1</v>
          </cell>
        </row>
        <row r="618">
          <cell r="A618" t="str">
            <v>M1</v>
          </cell>
          <cell r="B618" t="str">
            <v>A5C</v>
          </cell>
          <cell r="C618" t="str">
            <v>P</v>
          </cell>
          <cell r="D618" t="str">
            <v>22099</v>
          </cell>
          <cell r="E618" t="str">
            <v>NPL</v>
          </cell>
          <cell r="F618">
            <v>2</v>
          </cell>
          <cell r="G618" t="str">
            <v>CB132108001HVR</v>
          </cell>
          <cell r="H618">
            <v>1.5</v>
          </cell>
          <cell r="I618" t="str">
            <v>75mm</v>
          </cell>
          <cell r="J618">
            <v>1</v>
          </cell>
          <cell r="K618">
            <v>1</v>
          </cell>
        </row>
        <row r="619">
          <cell r="A619" t="str">
            <v>M1</v>
          </cell>
          <cell r="B619" t="str">
            <v>A5C</v>
          </cell>
          <cell r="C619" t="str">
            <v>P</v>
          </cell>
          <cell r="D619" t="str">
            <v>22039</v>
          </cell>
          <cell r="E619" t="str">
            <v>CPLG</v>
          </cell>
          <cell r="F619">
            <v>2</v>
          </cell>
          <cell r="G619" t="str">
            <v>CB400500001H00</v>
          </cell>
          <cell r="H619">
            <v>1.5</v>
          </cell>
          <cell r="I619" t="str">
            <v>--</v>
          </cell>
          <cell r="J619">
            <v>1</v>
          </cell>
          <cell r="K619">
            <v>1</v>
          </cell>
        </row>
        <row r="620">
          <cell r="A620" t="str">
            <v>M1</v>
          </cell>
          <cell r="B620" t="str">
            <v>A5C</v>
          </cell>
          <cell r="C620" t="str">
            <v>P</v>
          </cell>
          <cell r="D620" t="str">
            <v>22041</v>
          </cell>
          <cell r="E620" t="str">
            <v>CPLG</v>
          </cell>
          <cell r="F620">
            <v>2</v>
          </cell>
          <cell r="G620" t="str">
            <v>CB400500001H00</v>
          </cell>
          <cell r="H620">
            <v>1.5</v>
          </cell>
          <cell r="I620" t="str">
            <v>--</v>
          </cell>
          <cell r="J620">
            <v>1</v>
          </cell>
          <cell r="K620">
            <v>1</v>
          </cell>
        </row>
        <row r="621">
          <cell r="A621" t="str">
            <v>M1</v>
          </cell>
          <cell r="B621" t="str">
            <v>A5C</v>
          </cell>
          <cell r="C621" t="str">
            <v>P</v>
          </cell>
          <cell r="D621" t="str">
            <v>22040</v>
          </cell>
          <cell r="E621" t="str">
            <v>CPLG</v>
          </cell>
          <cell r="F621">
            <v>2</v>
          </cell>
          <cell r="G621" t="str">
            <v>CB400500001H00</v>
          </cell>
          <cell r="H621">
            <v>1.5</v>
          </cell>
          <cell r="I621" t="str">
            <v>--</v>
          </cell>
          <cell r="J621">
            <v>1</v>
          </cell>
          <cell r="K621">
            <v>1</v>
          </cell>
        </row>
        <row r="622">
          <cell r="A622" t="str">
            <v>M1</v>
          </cell>
          <cell r="B622" t="str">
            <v>A5C</v>
          </cell>
          <cell r="C622" t="str">
            <v>P</v>
          </cell>
          <cell r="D622" t="str">
            <v>22040</v>
          </cell>
          <cell r="E622" t="str">
            <v>NPL</v>
          </cell>
          <cell r="F622">
            <v>2</v>
          </cell>
          <cell r="G622" t="str">
            <v>CB132308001HVR</v>
          </cell>
          <cell r="H622">
            <v>1.5</v>
          </cell>
          <cell r="I622" t="str">
            <v>75mm</v>
          </cell>
          <cell r="J622">
            <v>1</v>
          </cell>
          <cell r="K622">
            <v>1</v>
          </cell>
        </row>
        <row r="623">
          <cell r="A623" t="str">
            <v>M1</v>
          </cell>
          <cell r="B623" t="str">
            <v>A5C</v>
          </cell>
          <cell r="C623" t="str">
            <v>P</v>
          </cell>
          <cell r="D623" t="str">
            <v>22041</v>
          </cell>
          <cell r="E623" t="str">
            <v>NPL</v>
          </cell>
          <cell r="F623">
            <v>2</v>
          </cell>
          <cell r="G623" t="str">
            <v>CB132308001HVR</v>
          </cell>
          <cell r="H623">
            <v>1.5</v>
          </cell>
          <cell r="I623" t="str">
            <v>75mm</v>
          </cell>
          <cell r="J623">
            <v>1</v>
          </cell>
          <cell r="K623">
            <v>1</v>
          </cell>
        </row>
        <row r="624">
          <cell r="A624" t="str">
            <v>M1</v>
          </cell>
          <cell r="B624" t="str">
            <v>A5C</v>
          </cell>
          <cell r="C624" t="str">
            <v>P</v>
          </cell>
          <cell r="D624" t="str">
            <v>22039</v>
          </cell>
          <cell r="E624" t="str">
            <v>NPL</v>
          </cell>
          <cell r="F624">
            <v>2</v>
          </cell>
          <cell r="G624" t="str">
            <v>CB132308001HVR</v>
          </cell>
          <cell r="H624">
            <v>1.5</v>
          </cell>
          <cell r="I624" t="str">
            <v>75mm</v>
          </cell>
          <cell r="J624">
            <v>1</v>
          </cell>
          <cell r="K624">
            <v>1</v>
          </cell>
        </row>
        <row r="625">
          <cell r="A625" t="str">
            <v>M1</v>
          </cell>
          <cell r="B625" t="str">
            <v>A5C</v>
          </cell>
          <cell r="C625" t="str">
            <v>P</v>
          </cell>
          <cell r="D625" t="str">
            <v>22039</v>
          </cell>
          <cell r="E625" t="str">
            <v>R TEE</v>
          </cell>
          <cell r="F625">
            <v>2</v>
          </cell>
          <cell r="G625" t="str">
            <v>CB400400001H0H</v>
          </cell>
          <cell r="H625">
            <v>1.5</v>
          </cell>
          <cell r="I625">
            <v>0.5</v>
          </cell>
          <cell r="J625">
            <v>1</v>
          </cell>
          <cell r="K625">
            <v>1</v>
          </cell>
        </row>
        <row r="626">
          <cell r="A626" t="str">
            <v>M1</v>
          </cell>
          <cell r="B626" t="str">
            <v>A5C</v>
          </cell>
          <cell r="C626" t="str">
            <v>P</v>
          </cell>
          <cell r="D626" t="str">
            <v>22041</v>
          </cell>
          <cell r="E626" t="str">
            <v>R TEE</v>
          </cell>
          <cell r="F626">
            <v>2</v>
          </cell>
          <cell r="G626" t="str">
            <v>CB400400001H0H</v>
          </cell>
          <cell r="H626">
            <v>1.5</v>
          </cell>
          <cell r="I626">
            <v>0.5</v>
          </cell>
          <cell r="J626">
            <v>1</v>
          </cell>
          <cell r="K626">
            <v>1</v>
          </cell>
        </row>
        <row r="627">
          <cell r="A627" t="str">
            <v>M1</v>
          </cell>
          <cell r="B627" t="str">
            <v>A5C</v>
          </cell>
          <cell r="C627" t="str">
            <v>P</v>
          </cell>
          <cell r="D627" t="str">
            <v>22040</v>
          </cell>
          <cell r="E627" t="str">
            <v>R TEE</v>
          </cell>
          <cell r="F627">
            <v>2</v>
          </cell>
          <cell r="G627" t="str">
            <v>CB400400001H0H</v>
          </cell>
          <cell r="H627">
            <v>1.5</v>
          </cell>
          <cell r="I627">
            <v>0.5</v>
          </cell>
          <cell r="J627">
            <v>1</v>
          </cell>
          <cell r="K627">
            <v>1</v>
          </cell>
        </row>
        <row r="628">
          <cell r="A628" t="str">
            <v>M1</v>
          </cell>
          <cell r="B628" t="str">
            <v>A5C</v>
          </cell>
          <cell r="C628" t="str">
            <v>P</v>
          </cell>
          <cell r="D628" t="str">
            <v>22102</v>
          </cell>
          <cell r="E628" t="str">
            <v>C SWG</v>
          </cell>
          <cell r="F628">
            <v>2</v>
          </cell>
          <cell r="G628" t="str">
            <v>CB161108081H01</v>
          </cell>
          <cell r="H628">
            <v>1.5</v>
          </cell>
          <cell r="I628">
            <v>1</v>
          </cell>
          <cell r="J628">
            <v>1</v>
          </cell>
          <cell r="K628">
            <v>1</v>
          </cell>
        </row>
        <row r="629">
          <cell r="A629" t="str">
            <v>M1</v>
          </cell>
          <cell r="B629" t="str">
            <v>A5C</v>
          </cell>
          <cell r="C629" t="str">
            <v>P</v>
          </cell>
          <cell r="D629" t="str">
            <v>22157</v>
          </cell>
          <cell r="E629" t="str">
            <v>C SWG</v>
          </cell>
          <cell r="F629">
            <v>2</v>
          </cell>
          <cell r="G629" t="str">
            <v>CB161108081H01</v>
          </cell>
          <cell r="H629">
            <v>1.5</v>
          </cell>
          <cell r="I629">
            <v>1</v>
          </cell>
          <cell r="J629">
            <v>1</v>
          </cell>
          <cell r="K629">
            <v>1</v>
          </cell>
        </row>
        <row r="630">
          <cell r="A630" t="str">
            <v>M1</v>
          </cell>
          <cell r="B630" t="str">
            <v>A5C</v>
          </cell>
          <cell r="C630" t="str">
            <v>P</v>
          </cell>
          <cell r="D630" t="str">
            <v>22157</v>
          </cell>
          <cell r="E630" t="str">
            <v>CAP</v>
          </cell>
          <cell r="F630">
            <v>2</v>
          </cell>
          <cell r="G630" t="str">
            <v>CB520700001H00</v>
          </cell>
          <cell r="H630">
            <v>1.5</v>
          </cell>
          <cell r="I630" t="str">
            <v>--</v>
          </cell>
          <cell r="J630">
            <v>1</v>
          </cell>
          <cell r="K630">
            <v>1</v>
          </cell>
        </row>
        <row r="631">
          <cell r="A631" t="str">
            <v>M1</v>
          </cell>
          <cell r="B631" t="str">
            <v>A5C</v>
          </cell>
          <cell r="C631" t="str">
            <v>P</v>
          </cell>
          <cell r="D631" t="str">
            <v>22158</v>
          </cell>
          <cell r="E631" t="str">
            <v>CAP</v>
          </cell>
          <cell r="F631">
            <v>2</v>
          </cell>
          <cell r="G631" t="str">
            <v>CB520700001H00</v>
          </cell>
          <cell r="H631">
            <v>1.5</v>
          </cell>
          <cell r="I631" t="str">
            <v>--</v>
          </cell>
          <cell r="J631">
            <v>1</v>
          </cell>
          <cell r="K631">
            <v>1</v>
          </cell>
        </row>
        <row r="632">
          <cell r="A632" t="str">
            <v>M1</v>
          </cell>
          <cell r="B632" t="str">
            <v>A5C</v>
          </cell>
          <cell r="C632" t="str">
            <v>P</v>
          </cell>
          <cell r="D632" t="str">
            <v>22036</v>
          </cell>
          <cell r="E632" t="str">
            <v>CPLG</v>
          </cell>
          <cell r="F632">
            <v>2</v>
          </cell>
          <cell r="G632" t="str">
            <v>CB400500001H00</v>
          </cell>
          <cell r="H632">
            <v>1.5</v>
          </cell>
          <cell r="I632" t="str">
            <v>--</v>
          </cell>
          <cell r="J632">
            <v>1</v>
          </cell>
          <cell r="K632">
            <v>1</v>
          </cell>
        </row>
        <row r="633">
          <cell r="A633" t="str">
            <v>M1</v>
          </cell>
          <cell r="B633" t="str">
            <v>A5C</v>
          </cell>
          <cell r="C633" t="str">
            <v>P</v>
          </cell>
          <cell r="D633" t="str">
            <v>22101</v>
          </cell>
          <cell r="E633" t="str">
            <v>CPLG</v>
          </cell>
          <cell r="F633">
            <v>2</v>
          </cell>
          <cell r="G633" t="str">
            <v>CB400500001H00</v>
          </cell>
          <cell r="H633">
            <v>1.5</v>
          </cell>
          <cell r="I633" t="str">
            <v>--</v>
          </cell>
          <cell r="J633">
            <v>1</v>
          </cell>
          <cell r="K633">
            <v>1</v>
          </cell>
        </row>
        <row r="634">
          <cell r="A634" t="str">
            <v>M1</v>
          </cell>
          <cell r="B634" t="str">
            <v>A5C</v>
          </cell>
          <cell r="C634" t="str">
            <v>P</v>
          </cell>
          <cell r="D634" t="str">
            <v>22102</v>
          </cell>
          <cell r="E634" t="str">
            <v>CPLG</v>
          </cell>
          <cell r="F634">
            <v>2</v>
          </cell>
          <cell r="G634" t="str">
            <v>CB400500001H00</v>
          </cell>
          <cell r="H634">
            <v>1.5</v>
          </cell>
          <cell r="I634" t="str">
            <v>--</v>
          </cell>
          <cell r="J634">
            <v>1</v>
          </cell>
          <cell r="K634">
            <v>1</v>
          </cell>
        </row>
        <row r="635">
          <cell r="A635" t="str">
            <v>M1</v>
          </cell>
          <cell r="B635" t="str">
            <v>A5C</v>
          </cell>
          <cell r="C635" t="str">
            <v>P</v>
          </cell>
          <cell r="D635" t="str">
            <v>22108</v>
          </cell>
          <cell r="E635" t="str">
            <v>CPLG</v>
          </cell>
          <cell r="F635">
            <v>2</v>
          </cell>
          <cell r="G635" t="str">
            <v>CB400500001H00</v>
          </cell>
          <cell r="H635">
            <v>1.5</v>
          </cell>
          <cell r="I635" t="str">
            <v>--</v>
          </cell>
          <cell r="J635">
            <v>1</v>
          </cell>
          <cell r="K635">
            <v>1</v>
          </cell>
        </row>
        <row r="636">
          <cell r="A636" t="str">
            <v>M1</v>
          </cell>
          <cell r="B636" t="str">
            <v>A5C</v>
          </cell>
          <cell r="C636" t="str">
            <v>P</v>
          </cell>
          <cell r="D636" t="str">
            <v>22099</v>
          </cell>
          <cell r="E636" t="str">
            <v>CAP</v>
          </cell>
          <cell r="F636">
            <v>2</v>
          </cell>
          <cell r="G636" t="str">
            <v>CB520700001H00</v>
          </cell>
          <cell r="H636">
            <v>1.5</v>
          </cell>
          <cell r="I636" t="str">
            <v>--</v>
          </cell>
          <cell r="J636">
            <v>1</v>
          </cell>
          <cell r="K636">
            <v>1</v>
          </cell>
        </row>
        <row r="637">
          <cell r="A637" t="str">
            <v>M1</v>
          </cell>
          <cell r="B637" t="str">
            <v>A5C</v>
          </cell>
          <cell r="C637" t="str">
            <v>P</v>
          </cell>
          <cell r="D637" t="str">
            <v>22040</v>
          </cell>
          <cell r="E637" t="str">
            <v>C SWG</v>
          </cell>
          <cell r="F637">
            <v>2</v>
          </cell>
          <cell r="G637" t="str">
            <v>CB161108081H01</v>
          </cell>
          <cell r="H637">
            <v>1.5</v>
          </cell>
          <cell r="I637">
            <v>1</v>
          </cell>
          <cell r="J637">
            <v>1</v>
          </cell>
          <cell r="K637">
            <v>1</v>
          </cell>
        </row>
        <row r="638">
          <cell r="A638" t="str">
            <v>M1</v>
          </cell>
          <cell r="B638" t="str">
            <v>A5C</v>
          </cell>
          <cell r="C638" t="str">
            <v>P</v>
          </cell>
          <cell r="D638" t="str">
            <v>22041</v>
          </cell>
          <cell r="E638" t="str">
            <v>C SWG</v>
          </cell>
          <cell r="F638">
            <v>2</v>
          </cell>
          <cell r="G638" t="str">
            <v>CB161108081H01</v>
          </cell>
          <cell r="H638">
            <v>1.5</v>
          </cell>
          <cell r="I638">
            <v>1</v>
          </cell>
          <cell r="J638">
            <v>1</v>
          </cell>
          <cell r="K638">
            <v>1</v>
          </cell>
        </row>
        <row r="639">
          <cell r="A639" t="str">
            <v>M1</v>
          </cell>
          <cell r="B639" t="str">
            <v>A5C</v>
          </cell>
          <cell r="C639" t="str">
            <v>P</v>
          </cell>
          <cell r="D639" t="str">
            <v>22039</v>
          </cell>
          <cell r="E639" t="str">
            <v>C SWG</v>
          </cell>
          <cell r="F639">
            <v>2</v>
          </cell>
          <cell r="G639" t="str">
            <v>CB161108081H01</v>
          </cell>
          <cell r="H639">
            <v>1.5</v>
          </cell>
          <cell r="I639">
            <v>1</v>
          </cell>
          <cell r="J639">
            <v>1</v>
          </cell>
          <cell r="K639">
            <v>1</v>
          </cell>
        </row>
        <row r="640">
          <cell r="A640" t="str">
            <v>M1</v>
          </cell>
          <cell r="B640" t="str">
            <v>A5C</v>
          </cell>
          <cell r="C640" t="str">
            <v>P</v>
          </cell>
          <cell r="D640" t="str">
            <v>22039</v>
          </cell>
          <cell r="E640" t="str">
            <v>CAP</v>
          </cell>
          <cell r="F640">
            <v>2</v>
          </cell>
          <cell r="G640" t="str">
            <v>CB520700001H00</v>
          </cell>
          <cell r="H640">
            <v>1.5</v>
          </cell>
          <cell r="I640" t="str">
            <v>--</v>
          </cell>
          <cell r="J640">
            <v>1</v>
          </cell>
          <cell r="K640">
            <v>1</v>
          </cell>
        </row>
        <row r="641">
          <cell r="A641" t="str">
            <v>M1</v>
          </cell>
          <cell r="B641" t="str">
            <v>A5C</v>
          </cell>
          <cell r="C641" t="str">
            <v>P</v>
          </cell>
          <cell r="D641" t="str">
            <v>22040</v>
          </cell>
          <cell r="E641" t="str">
            <v>CAP</v>
          </cell>
          <cell r="F641">
            <v>2</v>
          </cell>
          <cell r="G641" t="str">
            <v>CB520700001H00</v>
          </cell>
          <cell r="H641">
            <v>1.5</v>
          </cell>
          <cell r="I641" t="str">
            <v>--</v>
          </cell>
          <cell r="J641">
            <v>1</v>
          </cell>
          <cell r="K641">
            <v>1</v>
          </cell>
        </row>
        <row r="642">
          <cell r="A642" t="str">
            <v>M1</v>
          </cell>
          <cell r="B642" t="str">
            <v>A5C</v>
          </cell>
          <cell r="C642" t="str">
            <v>P</v>
          </cell>
          <cell r="D642" t="str">
            <v>22041</v>
          </cell>
          <cell r="E642" t="str">
            <v>CAP</v>
          </cell>
          <cell r="F642">
            <v>2</v>
          </cell>
          <cell r="G642" t="str">
            <v>CB520700001H00</v>
          </cell>
          <cell r="H642">
            <v>1.5</v>
          </cell>
          <cell r="I642" t="str">
            <v>--</v>
          </cell>
          <cell r="J642">
            <v>1</v>
          </cell>
          <cell r="K642">
            <v>1</v>
          </cell>
        </row>
        <row r="643">
          <cell r="A643" t="str">
            <v>M1</v>
          </cell>
          <cell r="B643" t="str">
            <v>A6C</v>
          </cell>
          <cell r="C643" t="str">
            <v>HOS</v>
          </cell>
          <cell r="D643" t="str">
            <v>65623</v>
          </cell>
          <cell r="E643" t="str">
            <v>E SWG</v>
          </cell>
          <cell r="F643">
            <v>2</v>
          </cell>
          <cell r="G643" t="str">
            <v>CB162108081H01</v>
          </cell>
          <cell r="H643">
            <v>1.5</v>
          </cell>
          <cell r="I643">
            <v>1</v>
          </cell>
          <cell r="J643">
            <v>1</v>
          </cell>
          <cell r="K643">
            <v>1</v>
          </cell>
        </row>
        <row r="644">
          <cell r="A644" t="str">
            <v>M1</v>
          </cell>
          <cell r="B644" t="str">
            <v>A6C</v>
          </cell>
          <cell r="C644" t="str">
            <v>HOS</v>
          </cell>
          <cell r="D644" t="str">
            <v>65633</v>
          </cell>
          <cell r="E644" t="str">
            <v>CPLG</v>
          </cell>
          <cell r="F644">
            <v>2</v>
          </cell>
          <cell r="G644" t="str">
            <v>CB400500001H00</v>
          </cell>
          <cell r="H644">
            <v>1.5</v>
          </cell>
          <cell r="I644" t="str">
            <v>--</v>
          </cell>
          <cell r="J644">
            <v>1</v>
          </cell>
          <cell r="K644">
            <v>1</v>
          </cell>
        </row>
        <row r="645">
          <cell r="A645" t="str">
            <v>M1</v>
          </cell>
          <cell r="B645" t="str">
            <v>A5C</v>
          </cell>
          <cell r="C645" t="str">
            <v>P</v>
          </cell>
          <cell r="D645" t="str">
            <v>22111</v>
          </cell>
          <cell r="E645" t="str">
            <v>CPLG</v>
          </cell>
          <cell r="F645">
            <v>2</v>
          </cell>
          <cell r="G645" t="str">
            <v>CB400500001H00</v>
          </cell>
          <cell r="H645">
            <v>1.5</v>
          </cell>
          <cell r="I645" t="str">
            <v>--</v>
          </cell>
          <cell r="J645">
            <v>1</v>
          </cell>
          <cell r="K645">
            <v>1</v>
          </cell>
        </row>
        <row r="646">
          <cell r="A646" t="str">
            <v>M1</v>
          </cell>
          <cell r="B646" t="str">
            <v>A5C</v>
          </cell>
          <cell r="C646" t="str">
            <v>P</v>
          </cell>
          <cell r="D646" t="str">
            <v>22045</v>
          </cell>
          <cell r="E646" t="str">
            <v>TEE</v>
          </cell>
          <cell r="F646">
            <v>2</v>
          </cell>
          <cell r="G646" t="str">
            <v>CB400300001H00</v>
          </cell>
          <cell r="H646">
            <v>1.5</v>
          </cell>
          <cell r="I646" t="str">
            <v>--</v>
          </cell>
          <cell r="J646">
            <v>2</v>
          </cell>
          <cell r="K646">
            <v>2</v>
          </cell>
        </row>
        <row r="647">
          <cell r="A647" t="str">
            <v>M1</v>
          </cell>
          <cell r="B647" t="str">
            <v>A5C</v>
          </cell>
          <cell r="C647" t="str">
            <v>P</v>
          </cell>
          <cell r="D647" t="str">
            <v>22117</v>
          </cell>
          <cell r="E647" t="str">
            <v>CPLG</v>
          </cell>
          <cell r="F647">
            <v>2</v>
          </cell>
          <cell r="G647" t="str">
            <v>CB400500001H00</v>
          </cell>
          <cell r="H647">
            <v>1.5</v>
          </cell>
          <cell r="I647" t="str">
            <v>--</v>
          </cell>
          <cell r="J647">
            <v>1</v>
          </cell>
          <cell r="K647">
            <v>1</v>
          </cell>
        </row>
        <row r="648">
          <cell r="A648" t="str">
            <v>M1</v>
          </cell>
          <cell r="B648" t="str">
            <v>A5C</v>
          </cell>
          <cell r="C648" t="str">
            <v>P</v>
          </cell>
          <cell r="D648" t="str">
            <v>22102</v>
          </cell>
          <cell r="E648" t="str">
            <v>R TEE</v>
          </cell>
          <cell r="F648">
            <v>2</v>
          </cell>
          <cell r="G648" t="str">
            <v>CB400400001H0T</v>
          </cell>
          <cell r="H648">
            <v>1.5</v>
          </cell>
          <cell r="I648">
            <v>0.75</v>
          </cell>
          <cell r="J648">
            <v>2</v>
          </cell>
          <cell r="K648">
            <v>2</v>
          </cell>
        </row>
        <row r="649">
          <cell r="A649" t="str">
            <v>M1</v>
          </cell>
          <cell r="B649" t="str">
            <v>A6C</v>
          </cell>
          <cell r="C649" t="str">
            <v>HOS</v>
          </cell>
          <cell r="D649" t="str">
            <v>65632</v>
          </cell>
          <cell r="E649" t="str">
            <v>NPL</v>
          </cell>
          <cell r="F649">
            <v>2</v>
          </cell>
          <cell r="G649" t="str">
            <v>CB132308001HVR</v>
          </cell>
          <cell r="H649">
            <v>1.5</v>
          </cell>
          <cell r="I649" t="str">
            <v>75mm</v>
          </cell>
          <cell r="J649">
            <v>1</v>
          </cell>
          <cell r="K649">
            <v>1</v>
          </cell>
        </row>
        <row r="650">
          <cell r="A650" t="str">
            <v>M1</v>
          </cell>
          <cell r="B650" t="str">
            <v>A6C</v>
          </cell>
          <cell r="C650" t="str">
            <v>HOS</v>
          </cell>
          <cell r="D650" t="str">
            <v>65633</v>
          </cell>
          <cell r="E650" t="str">
            <v>R TEE</v>
          </cell>
          <cell r="F650">
            <v>2</v>
          </cell>
          <cell r="G650" t="str">
            <v>CB400400001H0T</v>
          </cell>
          <cell r="H650">
            <v>1.5</v>
          </cell>
          <cell r="I650">
            <v>0.75</v>
          </cell>
          <cell r="J650">
            <v>1</v>
          </cell>
          <cell r="K650">
            <v>1</v>
          </cell>
        </row>
        <row r="651">
          <cell r="A651" t="str">
            <v>M1</v>
          </cell>
          <cell r="B651" t="str">
            <v>A6C</v>
          </cell>
          <cell r="C651" t="str">
            <v>HOS</v>
          </cell>
          <cell r="D651" t="str">
            <v>65632</v>
          </cell>
          <cell r="E651" t="str">
            <v>TEE</v>
          </cell>
          <cell r="F651">
            <v>2</v>
          </cell>
          <cell r="G651" t="str">
            <v>CB400300001H00</v>
          </cell>
          <cell r="H651">
            <v>1.5</v>
          </cell>
          <cell r="I651" t="str">
            <v>--</v>
          </cell>
          <cell r="J651">
            <v>1</v>
          </cell>
          <cell r="K651">
            <v>1</v>
          </cell>
        </row>
        <row r="652">
          <cell r="A652" t="str">
            <v>M1</v>
          </cell>
          <cell r="B652" t="str">
            <v>A5C</v>
          </cell>
          <cell r="C652" t="str">
            <v>P</v>
          </cell>
          <cell r="D652" t="str">
            <v>22002</v>
          </cell>
          <cell r="E652" t="str">
            <v>TEE</v>
          </cell>
          <cell r="F652">
            <v>2</v>
          </cell>
          <cell r="G652" t="str">
            <v>CB400300001H00</v>
          </cell>
          <cell r="H652">
            <v>1.5</v>
          </cell>
          <cell r="I652" t="str">
            <v>--</v>
          </cell>
          <cell r="J652">
            <v>1</v>
          </cell>
          <cell r="K652">
            <v>1</v>
          </cell>
        </row>
        <row r="653">
          <cell r="A653" t="str">
            <v>M1</v>
          </cell>
          <cell r="B653" t="str">
            <v>A5C</v>
          </cell>
          <cell r="C653" t="str">
            <v>P</v>
          </cell>
          <cell r="D653" t="str">
            <v>22158</v>
          </cell>
          <cell r="E653" t="str">
            <v>C SWG</v>
          </cell>
          <cell r="F653">
            <v>2</v>
          </cell>
          <cell r="G653" t="str">
            <v>CB161108081H01</v>
          </cell>
          <cell r="H653">
            <v>1.5</v>
          </cell>
          <cell r="I653">
            <v>1</v>
          </cell>
          <cell r="J653">
            <v>1</v>
          </cell>
          <cell r="K653">
            <v>1</v>
          </cell>
        </row>
        <row r="654">
          <cell r="A654" t="str">
            <v>M1</v>
          </cell>
          <cell r="B654" t="str">
            <v>A6C</v>
          </cell>
          <cell r="C654" t="str">
            <v>HOS</v>
          </cell>
          <cell r="D654" t="str">
            <v>65633</v>
          </cell>
          <cell r="E654" t="str">
            <v>C SWG</v>
          </cell>
          <cell r="F654">
            <v>2</v>
          </cell>
          <cell r="G654" t="str">
            <v>CB161108081H0T</v>
          </cell>
          <cell r="H654">
            <v>1.5</v>
          </cell>
          <cell r="I654">
            <v>0.75</v>
          </cell>
          <cell r="J654">
            <v>1</v>
          </cell>
          <cell r="K654">
            <v>1</v>
          </cell>
        </row>
        <row r="655">
          <cell r="A655" t="str">
            <v>M1</v>
          </cell>
          <cell r="B655" t="str">
            <v>A5C</v>
          </cell>
          <cell r="C655" t="str">
            <v>P</v>
          </cell>
          <cell r="D655" t="str">
            <v>22111</v>
          </cell>
          <cell r="E655" t="str">
            <v>C SWG</v>
          </cell>
          <cell r="F655">
            <v>2</v>
          </cell>
          <cell r="G655" t="str">
            <v>CB161108081H01</v>
          </cell>
          <cell r="H655">
            <v>1.5</v>
          </cell>
          <cell r="I655">
            <v>1</v>
          </cell>
          <cell r="J655">
            <v>1</v>
          </cell>
          <cell r="K655">
            <v>1</v>
          </cell>
        </row>
        <row r="656">
          <cell r="A656" t="str">
            <v>M1</v>
          </cell>
          <cell r="B656" t="str">
            <v>A5C</v>
          </cell>
          <cell r="C656" t="str">
            <v>P</v>
          </cell>
          <cell r="D656" t="str">
            <v>22085</v>
          </cell>
          <cell r="E656" t="str">
            <v>TEE</v>
          </cell>
          <cell r="F656">
            <v>2</v>
          </cell>
          <cell r="G656" t="str">
            <v>CB400300001H00</v>
          </cell>
          <cell r="H656">
            <v>1.5</v>
          </cell>
          <cell r="I656" t="str">
            <v>--</v>
          </cell>
          <cell r="J656">
            <v>1</v>
          </cell>
          <cell r="K656">
            <v>1</v>
          </cell>
        </row>
        <row r="657">
          <cell r="A657" t="str">
            <v>M1</v>
          </cell>
          <cell r="B657" t="str">
            <v>A5C</v>
          </cell>
          <cell r="C657" t="str">
            <v>P</v>
          </cell>
          <cell r="D657" t="str">
            <v>22157</v>
          </cell>
          <cell r="E657" t="str">
            <v>CPLG</v>
          </cell>
          <cell r="F657">
            <v>2</v>
          </cell>
          <cell r="G657" t="str">
            <v>CB400500001H00</v>
          </cell>
          <cell r="H657">
            <v>1.5</v>
          </cell>
          <cell r="I657" t="str">
            <v>--</v>
          </cell>
          <cell r="J657">
            <v>1</v>
          </cell>
          <cell r="K657">
            <v>1</v>
          </cell>
        </row>
        <row r="658">
          <cell r="A658" t="str">
            <v>M1</v>
          </cell>
          <cell r="B658" t="str">
            <v>A5C</v>
          </cell>
          <cell r="C658" t="str">
            <v>P</v>
          </cell>
          <cell r="D658" t="str">
            <v>22158</v>
          </cell>
          <cell r="E658" t="str">
            <v>CPLG</v>
          </cell>
          <cell r="F658">
            <v>2</v>
          </cell>
          <cell r="G658" t="str">
            <v>CB400500001H00</v>
          </cell>
          <cell r="H658">
            <v>1.5</v>
          </cell>
          <cell r="I658" t="str">
            <v>--</v>
          </cell>
          <cell r="J658">
            <v>1</v>
          </cell>
          <cell r="K658">
            <v>1</v>
          </cell>
        </row>
        <row r="659">
          <cell r="A659" t="str">
            <v>M1</v>
          </cell>
          <cell r="B659" t="str">
            <v>A5C</v>
          </cell>
          <cell r="C659" t="str">
            <v>P</v>
          </cell>
          <cell r="D659" t="str">
            <v>22157</v>
          </cell>
          <cell r="E659" t="str">
            <v>NPL</v>
          </cell>
          <cell r="F659">
            <v>2</v>
          </cell>
          <cell r="G659" t="str">
            <v>CB132308001HVR</v>
          </cell>
          <cell r="H659">
            <v>1.5</v>
          </cell>
          <cell r="I659" t="str">
            <v>75mm</v>
          </cell>
          <cell r="J659">
            <v>1</v>
          </cell>
          <cell r="K659">
            <v>1</v>
          </cell>
        </row>
        <row r="660">
          <cell r="A660" t="str">
            <v>M1</v>
          </cell>
          <cell r="B660" t="str">
            <v>A5C</v>
          </cell>
          <cell r="C660" t="str">
            <v>P</v>
          </cell>
          <cell r="D660" t="str">
            <v>22071</v>
          </cell>
          <cell r="E660" t="str">
            <v>R TEE</v>
          </cell>
          <cell r="F660">
            <v>2</v>
          </cell>
          <cell r="G660" t="str">
            <v>CB400400001H0T</v>
          </cell>
          <cell r="H660">
            <v>1.5</v>
          </cell>
          <cell r="I660">
            <v>0.75</v>
          </cell>
          <cell r="J660">
            <v>1</v>
          </cell>
          <cell r="K660">
            <v>1</v>
          </cell>
        </row>
        <row r="661">
          <cell r="A661" t="str">
            <v>M1</v>
          </cell>
          <cell r="B661" t="str">
            <v>A5C</v>
          </cell>
          <cell r="C661" t="str">
            <v>P</v>
          </cell>
          <cell r="D661" t="str">
            <v>22071</v>
          </cell>
          <cell r="E661" t="str">
            <v>R TEE</v>
          </cell>
          <cell r="F661">
            <v>2</v>
          </cell>
          <cell r="G661" t="str">
            <v>CB400400001H01</v>
          </cell>
          <cell r="H661">
            <v>1.5</v>
          </cell>
          <cell r="I661">
            <v>1</v>
          </cell>
          <cell r="J661">
            <v>1</v>
          </cell>
          <cell r="K661">
            <v>1</v>
          </cell>
        </row>
        <row r="662">
          <cell r="A662" t="str">
            <v>M1</v>
          </cell>
          <cell r="B662" t="str">
            <v>A5C</v>
          </cell>
          <cell r="C662" t="str">
            <v>P</v>
          </cell>
          <cell r="D662" t="str">
            <v>22109</v>
          </cell>
          <cell r="E662" t="str">
            <v>R TEE</v>
          </cell>
          <cell r="F662">
            <v>2</v>
          </cell>
          <cell r="G662" t="str">
            <v>CB400400001H01</v>
          </cell>
          <cell r="H662">
            <v>1.5</v>
          </cell>
          <cell r="I662">
            <v>1</v>
          </cell>
          <cell r="J662">
            <v>1</v>
          </cell>
          <cell r="K662">
            <v>1</v>
          </cell>
        </row>
        <row r="663">
          <cell r="A663" t="str">
            <v>M1</v>
          </cell>
          <cell r="B663" t="str">
            <v>A5C</v>
          </cell>
          <cell r="C663" t="str">
            <v>P</v>
          </cell>
          <cell r="D663" t="str">
            <v>22104</v>
          </cell>
          <cell r="E663" t="str">
            <v>R TEE</v>
          </cell>
          <cell r="F663">
            <v>2</v>
          </cell>
          <cell r="G663" t="str">
            <v>CB400400001H0T</v>
          </cell>
          <cell r="H663">
            <v>1.5</v>
          </cell>
          <cell r="I663">
            <v>0.75</v>
          </cell>
          <cell r="J663">
            <v>1</v>
          </cell>
          <cell r="K663">
            <v>1</v>
          </cell>
        </row>
        <row r="664">
          <cell r="A664" t="str">
            <v>M1</v>
          </cell>
          <cell r="B664" t="str">
            <v>A5C</v>
          </cell>
          <cell r="C664" t="str">
            <v>P</v>
          </cell>
          <cell r="D664" t="str">
            <v>22104</v>
          </cell>
          <cell r="E664" t="str">
            <v>R TEE</v>
          </cell>
          <cell r="F664">
            <v>2</v>
          </cell>
          <cell r="G664" t="str">
            <v>CB400400001H01</v>
          </cell>
          <cell r="H664">
            <v>1.5</v>
          </cell>
          <cell r="I664">
            <v>1</v>
          </cell>
          <cell r="J664">
            <v>1</v>
          </cell>
          <cell r="K664">
            <v>1</v>
          </cell>
        </row>
        <row r="665">
          <cell r="A665" t="str">
            <v>M1</v>
          </cell>
          <cell r="B665" t="str">
            <v>A5C</v>
          </cell>
          <cell r="C665" t="str">
            <v>P</v>
          </cell>
          <cell r="D665" t="str">
            <v>22157</v>
          </cell>
          <cell r="E665" t="str">
            <v>R TEE</v>
          </cell>
          <cell r="F665">
            <v>2</v>
          </cell>
          <cell r="G665" t="str">
            <v>CB400400001H0H</v>
          </cell>
          <cell r="H665">
            <v>1.5</v>
          </cell>
          <cell r="I665">
            <v>0.5</v>
          </cell>
          <cell r="J665">
            <v>1</v>
          </cell>
          <cell r="K665">
            <v>1</v>
          </cell>
        </row>
        <row r="666">
          <cell r="A666" t="str">
            <v>M1</v>
          </cell>
          <cell r="B666" t="str">
            <v>A5C</v>
          </cell>
          <cell r="C666" t="str">
            <v>TRIM</v>
          </cell>
          <cell r="D666" t="str">
            <v>X-2207</v>
          </cell>
          <cell r="E666" t="str">
            <v>NPL</v>
          </cell>
          <cell r="F666">
            <v>2</v>
          </cell>
          <cell r="G666" t="str">
            <v>CB132108001HVR</v>
          </cell>
          <cell r="H666">
            <v>1.5</v>
          </cell>
          <cell r="I666" t="str">
            <v>75mm</v>
          </cell>
          <cell r="J666">
            <v>2</v>
          </cell>
          <cell r="K666">
            <v>2</v>
          </cell>
        </row>
        <row r="667">
          <cell r="A667" t="str">
            <v>M1</v>
          </cell>
          <cell r="B667" t="str">
            <v>A5C</v>
          </cell>
          <cell r="C667" t="str">
            <v>P</v>
          </cell>
          <cell r="D667" t="str">
            <v>22158</v>
          </cell>
          <cell r="E667" t="str">
            <v>R TEE</v>
          </cell>
          <cell r="F667">
            <v>2</v>
          </cell>
          <cell r="G667" t="str">
            <v>CB400400001H0H</v>
          </cell>
          <cell r="H667">
            <v>1.5</v>
          </cell>
          <cell r="I667">
            <v>0.5</v>
          </cell>
          <cell r="J667">
            <v>1</v>
          </cell>
          <cell r="K667">
            <v>1</v>
          </cell>
        </row>
        <row r="668">
          <cell r="A668" t="str">
            <v>M1</v>
          </cell>
          <cell r="B668" t="str">
            <v>A5C</v>
          </cell>
          <cell r="C668" t="str">
            <v>P</v>
          </cell>
          <cell r="D668" t="str">
            <v>22078</v>
          </cell>
          <cell r="E668" t="str">
            <v>R TEE</v>
          </cell>
          <cell r="F668">
            <v>2</v>
          </cell>
          <cell r="G668" t="str">
            <v>CB400400001H0T</v>
          </cell>
          <cell r="H668">
            <v>1.5</v>
          </cell>
          <cell r="I668">
            <v>0.75</v>
          </cell>
          <cell r="J668">
            <v>1</v>
          </cell>
          <cell r="K668">
            <v>1</v>
          </cell>
        </row>
        <row r="669">
          <cell r="A669" t="str">
            <v>M1</v>
          </cell>
          <cell r="B669" t="str">
            <v>A5C</v>
          </cell>
          <cell r="C669" t="str">
            <v>P</v>
          </cell>
          <cell r="D669" t="str">
            <v>22087</v>
          </cell>
          <cell r="E669" t="str">
            <v>R TEE</v>
          </cell>
          <cell r="F669">
            <v>2</v>
          </cell>
          <cell r="G669" t="str">
            <v>CB400400001H0T</v>
          </cell>
          <cell r="H669">
            <v>1.5</v>
          </cell>
          <cell r="I669">
            <v>0.75</v>
          </cell>
          <cell r="J669">
            <v>1</v>
          </cell>
          <cell r="K669">
            <v>1</v>
          </cell>
        </row>
        <row r="670">
          <cell r="A670" t="str">
            <v>M1</v>
          </cell>
          <cell r="B670" t="str">
            <v>A5C</v>
          </cell>
          <cell r="C670" t="str">
            <v>P</v>
          </cell>
          <cell r="D670" t="str">
            <v>22087</v>
          </cell>
          <cell r="E670" t="str">
            <v>R TEE</v>
          </cell>
          <cell r="F670">
            <v>2</v>
          </cell>
          <cell r="G670" t="str">
            <v>CB400400001H01</v>
          </cell>
          <cell r="H670">
            <v>1.5</v>
          </cell>
          <cell r="I670">
            <v>1</v>
          </cell>
          <cell r="J670">
            <v>1</v>
          </cell>
          <cell r="K670">
            <v>1</v>
          </cell>
        </row>
        <row r="671">
          <cell r="A671" t="str">
            <v>M1</v>
          </cell>
          <cell r="B671" t="str">
            <v>A5C</v>
          </cell>
          <cell r="C671" t="str">
            <v>P</v>
          </cell>
          <cell r="D671" t="str">
            <v>22102</v>
          </cell>
          <cell r="E671" t="str">
            <v>R TEE</v>
          </cell>
          <cell r="F671">
            <v>2</v>
          </cell>
          <cell r="G671" t="str">
            <v>CB400400001H01</v>
          </cell>
          <cell r="H671">
            <v>1.5</v>
          </cell>
          <cell r="I671">
            <v>1</v>
          </cell>
          <cell r="J671">
            <v>1</v>
          </cell>
          <cell r="K671">
            <v>1</v>
          </cell>
        </row>
        <row r="672">
          <cell r="A672" t="str">
            <v>M1</v>
          </cell>
          <cell r="B672" t="str">
            <v>A5C</v>
          </cell>
          <cell r="C672" t="str">
            <v>P</v>
          </cell>
          <cell r="D672" t="str">
            <v>22113</v>
          </cell>
          <cell r="E672" t="str">
            <v>R TEE</v>
          </cell>
          <cell r="F672">
            <v>2</v>
          </cell>
          <cell r="G672" t="str">
            <v>CB400400001H0T</v>
          </cell>
          <cell r="H672">
            <v>1.5</v>
          </cell>
          <cell r="I672">
            <v>0.75</v>
          </cell>
          <cell r="J672">
            <v>1</v>
          </cell>
          <cell r="K672">
            <v>1</v>
          </cell>
        </row>
        <row r="673">
          <cell r="A673" t="str">
            <v>M1</v>
          </cell>
          <cell r="B673" t="str">
            <v>A5C</v>
          </cell>
          <cell r="C673" t="str">
            <v>P</v>
          </cell>
          <cell r="D673" t="str">
            <v>22114</v>
          </cell>
          <cell r="E673" t="str">
            <v>R TEE</v>
          </cell>
          <cell r="F673">
            <v>2</v>
          </cell>
          <cell r="G673" t="str">
            <v>CB400400001H0T</v>
          </cell>
          <cell r="H673">
            <v>1.5</v>
          </cell>
          <cell r="I673">
            <v>0.75</v>
          </cell>
          <cell r="J673">
            <v>1</v>
          </cell>
          <cell r="K673">
            <v>1</v>
          </cell>
        </row>
        <row r="674">
          <cell r="A674" t="str">
            <v>M1</v>
          </cell>
          <cell r="B674" t="str">
            <v>A4C</v>
          </cell>
          <cell r="C674" t="str">
            <v>P</v>
          </cell>
          <cell r="D674" t="str">
            <v>22031</v>
          </cell>
          <cell r="E674" t="str">
            <v>90 ELL</v>
          </cell>
          <cell r="F674">
            <v>2</v>
          </cell>
          <cell r="G674" t="str">
            <v>CB400100001H00</v>
          </cell>
          <cell r="H674">
            <v>1.5</v>
          </cell>
          <cell r="I674" t="str">
            <v>--</v>
          </cell>
          <cell r="J674">
            <v>1</v>
          </cell>
          <cell r="K674">
            <v>1</v>
          </cell>
        </row>
        <row r="675">
          <cell r="A675" t="str">
            <v>M1</v>
          </cell>
          <cell r="B675" t="str">
            <v>A5C</v>
          </cell>
          <cell r="C675" t="str">
            <v>TRIM</v>
          </cell>
          <cell r="D675" t="str">
            <v>V-2201</v>
          </cell>
          <cell r="E675" t="str">
            <v>NPL</v>
          </cell>
          <cell r="F675">
            <v>2</v>
          </cell>
          <cell r="G675" t="str">
            <v>CB132308001HVR</v>
          </cell>
          <cell r="H675">
            <v>1.5</v>
          </cell>
          <cell r="I675" t="str">
            <v>75mm</v>
          </cell>
          <cell r="J675">
            <v>1</v>
          </cell>
          <cell r="K675">
            <v>1</v>
          </cell>
        </row>
        <row r="676">
          <cell r="A676" t="str">
            <v>M1</v>
          </cell>
          <cell r="B676" t="str">
            <v>A5C</v>
          </cell>
          <cell r="C676" t="str">
            <v>TRIM</v>
          </cell>
          <cell r="D676" t="str">
            <v>V-2201</v>
          </cell>
          <cell r="E676" t="str">
            <v>CAP</v>
          </cell>
          <cell r="F676">
            <v>2</v>
          </cell>
          <cell r="G676" t="str">
            <v>CB520700001H00</v>
          </cell>
          <cell r="H676">
            <v>1.5</v>
          </cell>
          <cell r="I676" t="str">
            <v>--</v>
          </cell>
          <cell r="J676">
            <v>1</v>
          </cell>
          <cell r="K676">
            <v>1</v>
          </cell>
        </row>
        <row r="677">
          <cell r="A677" t="str">
            <v>M1</v>
          </cell>
          <cell r="B677" t="str">
            <v>A5C</v>
          </cell>
          <cell r="C677" t="str">
            <v>TRIM</v>
          </cell>
          <cell r="D677" t="str">
            <v>V-2201</v>
          </cell>
          <cell r="E677" t="str">
            <v>NPL</v>
          </cell>
          <cell r="F677">
            <v>2</v>
          </cell>
          <cell r="G677" t="str">
            <v>CB132108001HVR</v>
          </cell>
          <cell r="H677">
            <v>1.5</v>
          </cell>
          <cell r="I677" t="str">
            <v>75mm</v>
          </cell>
          <cell r="J677">
            <v>1</v>
          </cell>
          <cell r="K677">
            <v>1</v>
          </cell>
        </row>
        <row r="678">
          <cell r="A678" t="str">
            <v>M1</v>
          </cell>
          <cell r="B678" t="str">
            <v>A5C</v>
          </cell>
          <cell r="C678" t="str">
            <v>P</v>
          </cell>
          <cell r="D678" t="str">
            <v>22078</v>
          </cell>
          <cell r="E678" t="str">
            <v>TEE</v>
          </cell>
          <cell r="F678">
            <v>2</v>
          </cell>
          <cell r="G678" t="str">
            <v>CB400300001H00</v>
          </cell>
          <cell r="H678">
            <v>1.5</v>
          </cell>
          <cell r="I678" t="str">
            <v>--</v>
          </cell>
          <cell r="J678">
            <v>2</v>
          </cell>
          <cell r="K678">
            <v>2</v>
          </cell>
        </row>
        <row r="679">
          <cell r="A679" t="str">
            <v>M1</v>
          </cell>
          <cell r="B679" t="str">
            <v>A4C</v>
          </cell>
          <cell r="C679" t="str">
            <v>P</v>
          </cell>
          <cell r="D679" t="str">
            <v>22031</v>
          </cell>
          <cell r="E679" t="str">
            <v>R TEE</v>
          </cell>
          <cell r="F679">
            <v>2</v>
          </cell>
          <cell r="G679" t="str">
            <v>CB400400001H0T</v>
          </cell>
          <cell r="H679">
            <v>1.5</v>
          </cell>
          <cell r="I679">
            <v>0.75</v>
          </cell>
          <cell r="J679">
            <v>1</v>
          </cell>
          <cell r="K679">
            <v>1</v>
          </cell>
        </row>
        <row r="680">
          <cell r="A680" t="str">
            <v>M1</v>
          </cell>
          <cell r="B680" t="str">
            <v>A4C</v>
          </cell>
          <cell r="C680" t="str">
            <v>P</v>
          </cell>
          <cell r="D680" t="str">
            <v>22031</v>
          </cell>
          <cell r="E680" t="str">
            <v>TEE</v>
          </cell>
          <cell r="F680">
            <v>2</v>
          </cell>
          <cell r="G680" t="str">
            <v>CB400300001H00</v>
          </cell>
          <cell r="H680">
            <v>1.5</v>
          </cell>
          <cell r="I680" t="str">
            <v>--</v>
          </cell>
          <cell r="J680">
            <v>1</v>
          </cell>
          <cell r="K680">
            <v>1</v>
          </cell>
        </row>
        <row r="681">
          <cell r="A681" t="str">
            <v>M1</v>
          </cell>
          <cell r="B681" t="str">
            <v>A5C</v>
          </cell>
          <cell r="C681" t="str">
            <v>P</v>
          </cell>
          <cell r="D681" t="str">
            <v>22071</v>
          </cell>
          <cell r="E681" t="str">
            <v>TEE</v>
          </cell>
          <cell r="F681">
            <v>2</v>
          </cell>
          <cell r="G681" t="str">
            <v>CB400300001H00</v>
          </cell>
          <cell r="H681">
            <v>1.5</v>
          </cell>
          <cell r="I681" t="str">
            <v>--</v>
          </cell>
          <cell r="J681">
            <v>2</v>
          </cell>
          <cell r="K681">
            <v>2</v>
          </cell>
        </row>
        <row r="682">
          <cell r="A682" t="str">
            <v>M1</v>
          </cell>
          <cell r="B682" t="str">
            <v>B2C</v>
          </cell>
          <cell r="C682" t="str">
            <v>CWR</v>
          </cell>
          <cell r="D682" t="str">
            <v>22619</v>
          </cell>
          <cell r="E682" t="str">
            <v>90 ELL</v>
          </cell>
          <cell r="F682">
            <v>2</v>
          </cell>
          <cell r="G682" t="str">
            <v>CB300108000200</v>
          </cell>
          <cell r="H682">
            <v>2</v>
          </cell>
          <cell r="I682" t="str">
            <v>--</v>
          </cell>
          <cell r="J682">
            <v>1</v>
          </cell>
          <cell r="K682">
            <v>2</v>
          </cell>
        </row>
        <row r="683">
          <cell r="A683" t="str">
            <v>M1</v>
          </cell>
          <cell r="B683" t="str">
            <v>B2C</v>
          </cell>
          <cell r="C683" t="str">
            <v>CWR</v>
          </cell>
          <cell r="D683" t="str">
            <v>22620</v>
          </cell>
          <cell r="E683" t="str">
            <v>90 ELL</v>
          </cell>
          <cell r="F683">
            <v>2</v>
          </cell>
          <cell r="G683" t="str">
            <v>CB300108000200</v>
          </cell>
          <cell r="H683">
            <v>2</v>
          </cell>
          <cell r="I683" t="str">
            <v>--</v>
          </cell>
          <cell r="J683">
            <v>1</v>
          </cell>
          <cell r="K683">
            <v>2</v>
          </cell>
        </row>
        <row r="684">
          <cell r="A684" t="str">
            <v>M1</v>
          </cell>
          <cell r="B684" t="str">
            <v>B2C</v>
          </cell>
          <cell r="C684" t="str">
            <v>SH</v>
          </cell>
          <cell r="D684" t="str">
            <v>22611</v>
          </cell>
          <cell r="E684" t="str">
            <v>45 ELL</v>
          </cell>
          <cell r="F684">
            <v>2</v>
          </cell>
          <cell r="G684" t="str">
            <v>CB300208000200</v>
          </cell>
          <cell r="H684">
            <v>2</v>
          </cell>
          <cell r="I684" t="str">
            <v>--</v>
          </cell>
          <cell r="J684">
            <v>1</v>
          </cell>
          <cell r="K684">
            <v>2</v>
          </cell>
        </row>
        <row r="685">
          <cell r="A685" t="str">
            <v>M1</v>
          </cell>
          <cell r="B685" t="str">
            <v>B2C</v>
          </cell>
          <cell r="C685" t="str">
            <v>SH</v>
          </cell>
          <cell r="D685" t="str">
            <v>22611</v>
          </cell>
          <cell r="E685" t="str">
            <v>90 ELL</v>
          </cell>
          <cell r="F685">
            <v>2</v>
          </cell>
          <cell r="G685" t="str">
            <v>CB300108000200</v>
          </cell>
          <cell r="H685">
            <v>2</v>
          </cell>
          <cell r="I685" t="str">
            <v>--</v>
          </cell>
          <cell r="J685">
            <v>4</v>
          </cell>
          <cell r="K685">
            <v>5</v>
          </cell>
        </row>
        <row r="686">
          <cell r="A686" t="str">
            <v>M1</v>
          </cell>
          <cell r="B686" t="str">
            <v>B2C</v>
          </cell>
          <cell r="C686" t="str">
            <v>SH</v>
          </cell>
          <cell r="D686" t="str">
            <v>22611</v>
          </cell>
          <cell r="E686" t="str">
            <v>90 ELL</v>
          </cell>
          <cell r="F686">
            <v>2</v>
          </cell>
          <cell r="G686" t="str">
            <v>CB300108000200</v>
          </cell>
          <cell r="H686">
            <v>2</v>
          </cell>
          <cell r="I686" t="str">
            <v>--</v>
          </cell>
          <cell r="J686">
            <v>2</v>
          </cell>
          <cell r="K686">
            <v>3</v>
          </cell>
        </row>
        <row r="687">
          <cell r="A687" t="str">
            <v>M1</v>
          </cell>
          <cell r="B687" t="str">
            <v>B2C</v>
          </cell>
          <cell r="C687" t="str">
            <v>SH</v>
          </cell>
          <cell r="D687" t="str">
            <v>22612</v>
          </cell>
          <cell r="E687" t="str">
            <v>90 ELL</v>
          </cell>
          <cell r="F687">
            <v>2</v>
          </cell>
          <cell r="G687" t="str">
            <v>CB300108000200</v>
          </cell>
          <cell r="H687">
            <v>2</v>
          </cell>
          <cell r="I687" t="str">
            <v>--</v>
          </cell>
          <cell r="J687">
            <v>13</v>
          </cell>
          <cell r="K687">
            <v>15</v>
          </cell>
        </row>
        <row r="688">
          <cell r="A688" t="str">
            <v>M1</v>
          </cell>
          <cell r="B688" t="str">
            <v>B2C</v>
          </cell>
          <cell r="C688" t="str">
            <v>SH</v>
          </cell>
          <cell r="D688" t="str">
            <v>22613</v>
          </cell>
          <cell r="E688" t="str">
            <v>90 ELL</v>
          </cell>
          <cell r="F688">
            <v>2</v>
          </cell>
          <cell r="G688" t="str">
            <v>CB300108000200</v>
          </cell>
          <cell r="H688">
            <v>2</v>
          </cell>
          <cell r="I688" t="str">
            <v>--</v>
          </cell>
          <cell r="J688">
            <v>13</v>
          </cell>
          <cell r="K688">
            <v>15</v>
          </cell>
        </row>
        <row r="689">
          <cell r="A689" t="str">
            <v>M1</v>
          </cell>
          <cell r="B689" t="str">
            <v>B2C</v>
          </cell>
          <cell r="C689" t="str">
            <v>SH</v>
          </cell>
          <cell r="D689" t="str">
            <v>22614</v>
          </cell>
          <cell r="E689" t="str">
            <v>90 ELL</v>
          </cell>
          <cell r="F689">
            <v>2</v>
          </cell>
          <cell r="G689" t="str">
            <v>CB300108000200</v>
          </cell>
          <cell r="H689">
            <v>2</v>
          </cell>
          <cell r="I689" t="str">
            <v>--</v>
          </cell>
          <cell r="J689">
            <v>8</v>
          </cell>
          <cell r="K689">
            <v>9</v>
          </cell>
        </row>
        <row r="690">
          <cell r="A690" t="str">
            <v>M1</v>
          </cell>
          <cell r="B690" t="str">
            <v>B2C</v>
          </cell>
          <cell r="C690" t="str">
            <v>SH</v>
          </cell>
          <cell r="D690" t="str">
            <v>22614</v>
          </cell>
          <cell r="E690" t="str">
            <v>E SWG</v>
          </cell>
          <cell r="F690">
            <v>2</v>
          </cell>
          <cell r="G690" t="str">
            <v>CB1624080802IH</v>
          </cell>
          <cell r="H690">
            <v>2</v>
          </cell>
          <cell r="I690">
            <v>1.5</v>
          </cell>
          <cell r="J690">
            <v>2</v>
          </cell>
          <cell r="K690">
            <v>3</v>
          </cell>
        </row>
        <row r="691">
          <cell r="A691" t="str">
            <v>M1</v>
          </cell>
          <cell r="B691" t="str">
            <v>B2C</v>
          </cell>
          <cell r="C691" t="str">
            <v>SH</v>
          </cell>
          <cell r="D691" t="str">
            <v>22611</v>
          </cell>
          <cell r="E691" t="str">
            <v>E SWG</v>
          </cell>
          <cell r="F691">
            <v>2</v>
          </cell>
          <cell r="G691" t="str">
            <v>CB162408080201</v>
          </cell>
          <cell r="H691">
            <v>2</v>
          </cell>
          <cell r="I691">
            <v>1</v>
          </cell>
          <cell r="J691">
            <v>2</v>
          </cell>
          <cell r="K691">
            <v>3</v>
          </cell>
        </row>
        <row r="692">
          <cell r="A692" t="str">
            <v>M1</v>
          </cell>
          <cell r="B692" t="str">
            <v>B2C</v>
          </cell>
          <cell r="C692" t="str">
            <v>SH</v>
          </cell>
          <cell r="D692" t="str">
            <v>22613</v>
          </cell>
          <cell r="E692" t="str">
            <v>E SWG</v>
          </cell>
          <cell r="F692">
            <v>2</v>
          </cell>
          <cell r="G692" t="str">
            <v>CB1624080802IH</v>
          </cell>
          <cell r="H692">
            <v>2</v>
          </cell>
          <cell r="I692">
            <v>1.5</v>
          </cell>
          <cell r="J692">
            <v>2</v>
          </cell>
          <cell r="K692">
            <v>3</v>
          </cell>
        </row>
        <row r="693">
          <cell r="A693" t="str">
            <v>M1</v>
          </cell>
          <cell r="B693" t="str">
            <v>B2C</v>
          </cell>
          <cell r="C693" t="str">
            <v>SH</v>
          </cell>
          <cell r="D693" t="str">
            <v>22612</v>
          </cell>
          <cell r="E693" t="str">
            <v>SOL</v>
          </cell>
          <cell r="F693">
            <v>2</v>
          </cell>
          <cell r="G693" t="str">
            <v>CB39020000020T</v>
          </cell>
          <cell r="H693">
            <v>2</v>
          </cell>
          <cell r="I693">
            <v>0.75</v>
          </cell>
          <cell r="J693">
            <v>2</v>
          </cell>
          <cell r="K693">
            <v>3</v>
          </cell>
        </row>
        <row r="694">
          <cell r="A694" t="str">
            <v>M1</v>
          </cell>
          <cell r="B694" t="str">
            <v>B2C</v>
          </cell>
          <cell r="C694" t="str">
            <v>SH</v>
          </cell>
          <cell r="D694" t="str">
            <v>22611</v>
          </cell>
          <cell r="E694" t="str">
            <v>SOL</v>
          </cell>
          <cell r="F694">
            <v>2</v>
          </cell>
          <cell r="G694" t="str">
            <v>CB39020000020T</v>
          </cell>
          <cell r="H694">
            <v>2</v>
          </cell>
          <cell r="I694">
            <v>0.75</v>
          </cell>
          <cell r="J694">
            <v>1</v>
          </cell>
          <cell r="K694">
            <v>2</v>
          </cell>
        </row>
        <row r="695">
          <cell r="A695" t="str">
            <v>M1</v>
          </cell>
          <cell r="B695" t="str">
            <v>B2C</v>
          </cell>
          <cell r="C695" t="str">
            <v>SH</v>
          </cell>
          <cell r="D695" t="str">
            <v>22614</v>
          </cell>
          <cell r="E695" t="str">
            <v>SOL</v>
          </cell>
          <cell r="F695">
            <v>2</v>
          </cell>
          <cell r="G695" t="str">
            <v>CB39020000020T</v>
          </cell>
          <cell r="H695">
            <v>2</v>
          </cell>
          <cell r="I695">
            <v>0.75</v>
          </cell>
          <cell r="J695">
            <v>2</v>
          </cell>
          <cell r="K695">
            <v>3</v>
          </cell>
        </row>
        <row r="696">
          <cell r="A696" t="str">
            <v>M1</v>
          </cell>
          <cell r="B696" t="str">
            <v>B2C</v>
          </cell>
          <cell r="C696" t="str">
            <v>SH</v>
          </cell>
          <cell r="D696" t="str">
            <v>22614</v>
          </cell>
          <cell r="E696" t="str">
            <v>SOL</v>
          </cell>
          <cell r="F696">
            <v>2</v>
          </cell>
          <cell r="G696" t="str">
            <v>CB390200000201</v>
          </cell>
          <cell r="H696">
            <v>2</v>
          </cell>
          <cell r="I696">
            <v>1</v>
          </cell>
          <cell r="J696">
            <v>1</v>
          </cell>
          <cell r="K696">
            <v>2</v>
          </cell>
        </row>
        <row r="697">
          <cell r="A697" t="str">
            <v>M1</v>
          </cell>
          <cell r="B697" t="str">
            <v>B2C</v>
          </cell>
          <cell r="C697" t="str">
            <v>SH</v>
          </cell>
          <cell r="D697" t="str">
            <v>22613</v>
          </cell>
          <cell r="E697" t="str">
            <v>SOL</v>
          </cell>
          <cell r="F697">
            <v>2</v>
          </cell>
          <cell r="G697" t="str">
            <v>CB39020000020T</v>
          </cell>
          <cell r="H697">
            <v>2</v>
          </cell>
          <cell r="I697">
            <v>0.75</v>
          </cell>
          <cell r="J697">
            <v>2</v>
          </cell>
          <cell r="K697">
            <v>3</v>
          </cell>
        </row>
        <row r="698">
          <cell r="A698" t="str">
            <v>M1</v>
          </cell>
          <cell r="B698" t="str">
            <v>B2C</v>
          </cell>
          <cell r="C698" t="str">
            <v>SH</v>
          </cell>
          <cell r="D698" t="str">
            <v>22614</v>
          </cell>
          <cell r="E698" t="str">
            <v>TEE</v>
          </cell>
          <cell r="F698">
            <v>2</v>
          </cell>
          <cell r="G698" t="str">
            <v>CB300308000200</v>
          </cell>
          <cell r="H698">
            <v>2</v>
          </cell>
          <cell r="I698" t="str">
            <v>--</v>
          </cell>
          <cell r="J698">
            <v>2</v>
          </cell>
          <cell r="K698">
            <v>3</v>
          </cell>
        </row>
        <row r="699">
          <cell r="A699" t="str">
            <v>M1</v>
          </cell>
          <cell r="B699" t="str">
            <v>B2C</v>
          </cell>
          <cell r="C699" t="str">
            <v>SH</v>
          </cell>
          <cell r="D699" t="str">
            <v>22611</v>
          </cell>
          <cell r="E699" t="str">
            <v>TEE</v>
          </cell>
          <cell r="F699">
            <v>2</v>
          </cell>
          <cell r="G699" t="str">
            <v>CB300308000200</v>
          </cell>
          <cell r="H699">
            <v>2</v>
          </cell>
          <cell r="I699" t="str">
            <v>--</v>
          </cell>
          <cell r="J699">
            <v>2</v>
          </cell>
          <cell r="K699">
            <v>3</v>
          </cell>
        </row>
        <row r="700">
          <cell r="A700" t="str">
            <v>M1</v>
          </cell>
          <cell r="B700" t="str">
            <v>B2C</v>
          </cell>
          <cell r="C700" t="str">
            <v>SH</v>
          </cell>
          <cell r="D700" t="str">
            <v>22613</v>
          </cell>
          <cell r="E700" t="str">
            <v>TEE</v>
          </cell>
          <cell r="F700">
            <v>2</v>
          </cell>
          <cell r="G700" t="str">
            <v>CB300308000200</v>
          </cell>
          <cell r="H700">
            <v>2</v>
          </cell>
          <cell r="I700" t="str">
            <v>--</v>
          </cell>
          <cell r="J700">
            <v>6</v>
          </cell>
          <cell r="K700">
            <v>7</v>
          </cell>
        </row>
        <row r="701">
          <cell r="A701" t="str">
            <v>M1</v>
          </cell>
          <cell r="B701" t="str">
            <v>B2C</v>
          </cell>
          <cell r="C701" t="str">
            <v>SH</v>
          </cell>
          <cell r="D701" t="str">
            <v>22612</v>
          </cell>
          <cell r="E701" t="str">
            <v>TEE</v>
          </cell>
          <cell r="F701">
            <v>2</v>
          </cell>
          <cell r="G701" t="str">
            <v>CB300308000200</v>
          </cell>
          <cell r="H701">
            <v>2</v>
          </cell>
          <cell r="I701" t="str">
            <v>--</v>
          </cell>
          <cell r="J701">
            <v>8</v>
          </cell>
          <cell r="K701">
            <v>9</v>
          </cell>
        </row>
        <row r="702">
          <cell r="A702" t="str">
            <v>M1</v>
          </cell>
          <cell r="B702" t="str">
            <v>A5C</v>
          </cell>
          <cell r="C702" t="str">
            <v>P</v>
          </cell>
          <cell r="D702" t="str">
            <v>21006</v>
          </cell>
          <cell r="E702" t="str">
            <v>45 ELL</v>
          </cell>
          <cell r="F702">
            <v>2</v>
          </cell>
          <cell r="G702" t="str">
            <v>CB300208000200</v>
          </cell>
          <cell r="H702">
            <v>2</v>
          </cell>
          <cell r="I702" t="str">
            <v>--</v>
          </cell>
          <cell r="J702">
            <v>1</v>
          </cell>
          <cell r="K702">
            <v>2</v>
          </cell>
        </row>
        <row r="703">
          <cell r="A703" t="str">
            <v>M1</v>
          </cell>
          <cell r="B703" t="str">
            <v>CA304</v>
          </cell>
          <cell r="C703" t="str">
            <v>MC</v>
          </cell>
          <cell r="D703" t="str">
            <v>12014</v>
          </cell>
          <cell r="E703" t="str">
            <v>90 ELL</v>
          </cell>
          <cell r="F703">
            <v>2</v>
          </cell>
          <cell r="G703" t="str">
            <v>CB300105000200</v>
          </cell>
          <cell r="H703">
            <v>2</v>
          </cell>
          <cell r="I703" t="str">
            <v>--</v>
          </cell>
          <cell r="J703">
            <v>3</v>
          </cell>
          <cell r="K703">
            <v>4</v>
          </cell>
        </row>
        <row r="704">
          <cell r="A704" t="str">
            <v>M1</v>
          </cell>
          <cell r="B704" t="str">
            <v>A5C</v>
          </cell>
          <cell r="C704" t="str">
            <v>COMP</v>
          </cell>
          <cell r="D704" t="str">
            <v>005</v>
          </cell>
          <cell r="E704" t="str">
            <v>90 ELL</v>
          </cell>
          <cell r="F704">
            <v>2</v>
          </cell>
          <cell r="G704" t="str">
            <v>CB300108000200</v>
          </cell>
          <cell r="H704">
            <v>2</v>
          </cell>
          <cell r="I704" t="str">
            <v>--</v>
          </cell>
          <cell r="J704">
            <v>1</v>
          </cell>
          <cell r="K704">
            <v>2</v>
          </cell>
        </row>
        <row r="705">
          <cell r="A705" t="str">
            <v>M1</v>
          </cell>
          <cell r="B705" t="str">
            <v>A5C</v>
          </cell>
          <cell r="C705" t="str">
            <v>N</v>
          </cell>
          <cell r="D705" t="str">
            <v>25611</v>
          </cell>
          <cell r="E705" t="str">
            <v>90 ELL</v>
          </cell>
          <cell r="F705">
            <v>2</v>
          </cell>
          <cell r="G705" t="str">
            <v>CB300108000200</v>
          </cell>
          <cell r="H705">
            <v>2</v>
          </cell>
          <cell r="I705" t="str">
            <v>--</v>
          </cell>
          <cell r="J705">
            <v>3</v>
          </cell>
          <cell r="K705">
            <v>4</v>
          </cell>
        </row>
        <row r="706">
          <cell r="A706" t="str">
            <v>M1</v>
          </cell>
          <cell r="B706" t="str">
            <v>A5C</v>
          </cell>
          <cell r="C706" t="str">
            <v>P</v>
          </cell>
          <cell r="D706" t="str">
            <v>21006</v>
          </cell>
          <cell r="E706" t="str">
            <v>90 ELL</v>
          </cell>
          <cell r="F706">
            <v>2</v>
          </cell>
          <cell r="G706" t="str">
            <v>CB300108000200</v>
          </cell>
          <cell r="H706">
            <v>2</v>
          </cell>
          <cell r="I706" t="str">
            <v>--</v>
          </cell>
          <cell r="J706">
            <v>1</v>
          </cell>
          <cell r="K706">
            <v>2</v>
          </cell>
        </row>
        <row r="707">
          <cell r="A707" t="str">
            <v>M1</v>
          </cell>
          <cell r="B707" t="str">
            <v>A5C</v>
          </cell>
          <cell r="C707" t="str">
            <v>P</v>
          </cell>
          <cell r="D707" t="str">
            <v>22068</v>
          </cell>
          <cell r="E707" t="str">
            <v>90 ELL</v>
          </cell>
          <cell r="F707">
            <v>2</v>
          </cell>
          <cell r="G707" t="str">
            <v>CB300108000200</v>
          </cell>
          <cell r="H707">
            <v>2</v>
          </cell>
          <cell r="I707" t="str">
            <v>--</v>
          </cell>
          <cell r="J707">
            <v>2</v>
          </cell>
          <cell r="K707">
            <v>3</v>
          </cell>
        </row>
        <row r="708">
          <cell r="A708" t="str">
            <v>M1</v>
          </cell>
          <cell r="B708" t="str">
            <v>A5C</v>
          </cell>
          <cell r="C708" t="str">
            <v>P</v>
          </cell>
          <cell r="D708" t="str">
            <v>22069</v>
          </cell>
          <cell r="E708" t="str">
            <v>90 ELL</v>
          </cell>
          <cell r="F708">
            <v>2</v>
          </cell>
          <cell r="G708" t="str">
            <v>CB300108000200</v>
          </cell>
          <cell r="H708">
            <v>2</v>
          </cell>
          <cell r="I708" t="str">
            <v>--</v>
          </cell>
          <cell r="J708">
            <v>1</v>
          </cell>
          <cell r="K708">
            <v>2</v>
          </cell>
        </row>
        <row r="709">
          <cell r="A709" t="str">
            <v>M1</v>
          </cell>
          <cell r="B709" t="str">
            <v>A5C</v>
          </cell>
          <cell r="C709" t="str">
            <v>P</v>
          </cell>
          <cell r="D709" t="str">
            <v>22101</v>
          </cell>
          <cell r="E709" t="str">
            <v>90 ELL</v>
          </cell>
          <cell r="F709">
            <v>2</v>
          </cell>
          <cell r="G709" t="str">
            <v>CB300108000200</v>
          </cell>
          <cell r="H709">
            <v>2</v>
          </cell>
          <cell r="I709" t="str">
            <v>--</v>
          </cell>
          <cell r="J709">
            <v>2</v>
          </cell>
          <cell r="K709">
            <v>3</v>
          </cell>
        </row>
        <row r="710">
          <cell r="A710" t="str">
            <v>M1</v>
          </cell>
          <cell r="B710" t="str">
            <v>A5C</v>
          </cell>
          <cell r="C710" t="str">
            <v>P</v>
          </cell>
          <cell r="D710" t="str">
            <v>22110</v>
          </cell>
          <cell r="E710" t="str">
            <v>90 ELL</v>
          </cell>
          <cell r="F710">
            <v>2</v>
          </cell>
          <cell r="G710" t="str">
            <v>CB300108000200</v>
          </cell>
          <cell r="H710">
            <v>2</v>
          </cell>
          <cell r="I710" t="str">
            <v>--</v>
          </cell>
          <cell r="J710">
            <v>5</v>
          </cell>
          <cell r="K710">
            <v>6</v>
          </cell>
        </row>
        <row r="711">
          <cell r="A711" t="str">
            <v>M1</v>
          </cell>
          <cell r="B711" t="str">
            <v>A5C</v>
          </cell>
          <cell r="C711" t="str">
            <v>P</v>
          </cell>
          <cell r="D711" t="str">
            <v>22117</v>
          </cell>
          <cell r="E711" t="str">
            <v>90 ELL</v>
          </cell>
          <cell r="F711">
            <v>2</v>
          </cell>
          <cell r="G711" t="str">
            <v>CB300108000200</v>
          </cell>
          <cell r="H711">
            <v>2</v>
          </cell>
          <cell r="I711" t="str">
            <v>--</v>
          </cell>
          <cell r="J711">
            <v>3</v>
          </cell>
          <cell r="K711">
            <v>4</v>
          </cell>
        </row>
        <row r="712">
          <cell r="A712" t="str">
            <v>M1</v>
          </cell>
          <cell r="B712" t="str">
            <v>A5C</v>
          </cell>
          <cell r="C712" t="str">
            <v>P</v>
          </cell>
          <cell r="D712" t="str">
            <v>22130</v>
          </cell>
          <cell r="E712" t="str">
            <v>90 ELL</v>
          </cell>
          <cell r="F712">
            <v>2</v>
          </cell>
          <cell r="G712" t="str">
            <v>CB300108000200</v>
          </cell>
          <cell r="H712">
            <v>2</v>
          </cell>
          <cell r="I712" t="str">
            <v>--</v>
          </cell>
          <cell r="J712">
            <v>4</v>
          </cell>
          <cell r="K712">
            <v>5</v>
          </cell>
        </row>
        <row r="713">
          <cell r="A713" t="str">
            <v>M1</v>
          </cell>
          <cell r="B713" t="str">
            <v>A5C</v>
          </cell>
          <cell r="C713" t="str">
            <v>P</v>
          </cell>
          <cell r="D713" t="str">
            <v>22140</v>
          </cell>
          <cell r="E713" t="str">
            <v>90 ELL</v>
          </cell>
          <cell r="F713">
            <v>2</v>
          </cell>
          <cell r="G713" t="str">
            <v>CB300108000200</v>
          </cell>
          <cell r="H713">
            <v>2</v>
          </cell>
          <cell r="I713" t="str">
            <v>--</v>
          </cell>
          <cell r="J713">
            <v>4</v>
          </cell>
          <cell r="K713">
            <v>5</v>
          </cell>
        </row>
        <row r="714">
          <cell r="A714" t="str">
            <v>M1</v>
          </cell>
          <cell r="B714" t="str">
            <v>A5C</v>
          </cell>
          <cell r="C714" t="str">
            <v>N</v>
          </cell>
          <cell r="D714" t="str">
            <v>25617</v>
          </cell>
          <cell r="E714" t="str">
            <v>90 ELL</v>
          </cell>
          <cell r="F714">
            <v>2</v>
          </cell>
          <cell r="G714" t="str">
            <v>CB300108000200</v>
          </cell>
          <cell r="H714">
            <v>2</v>
          </cell>
          <cell r="I714" t="str">
            <v>--</v>
          </cell>
          <cell r="J714">
            <v>4</v>
          </cell>
          <cell r="K714">
            <v>5</v>
          </cell>
        </row>
        <row r="715">
          <cell r="A715" t="str">
            <v>M1</v>
          </cell>
          <cell r="B715" t="str">
            <v>A5C</v>
          </cell>
          <cell r="C715" t="str">
            <v>P</v>
          </cell>
          <cell r="D715" t="str">
            <v>22066</v>
          </cell>
          <cell r="E715" t="str">
            <v>90 ELL</v>
          </cell>
          <cell r="F715">
            <v>2</v>
          </cell>
          <cell r="G715" t="str">
            <v>CB300108000200</v>
          </cell>
          <cell r="H715">
            <v>2</v>
          </cell>
          <cell r="I715" t="str">
            <v>--</v>
          </cell>
          <cell r="J715">
            <v>3</v>
          </cell>
          <cell r="K715">
            <v>4</v>
          </cell>
        </row>
        <row r="716">
          <cell r="A716" t="str">
            <v>M1</v>
          </cell>
          <cell r="B716" t="str">
            <v>A5C</v>
          </cell>
          <cell r="C716" t="str">
            <v>P</v>
          </cell>
          <cell r="D716" t="str">
            <v>22117</v>
          </cell>
          <cell r="E716" t="str">
            <v>C SWG</v>
          </cell>
          <cell r="F716">
            <v>2</v>
          </cell>
          <cell r="G716" t="str">
            <v>CB1614080802IH</v>
          </cell>
          <cell r="H716">
            <v>2</v>
          </cell>
          <cell r="I716">
            <v>1.5</v>
          </cell>
          <cell r="J716">
            <v>1</v>
          </cell>
          <cell r="K716">
            <v>2</v>
          </cell>
        </row>
        <row r="717">
          <cell r="A717" t="str">
            <v>M1</v>
          </cell>
          <cell r="B717" t="str">
            <v>A5C</v>
          </cell>
          <cell r="C717" t="str">
            <v>P</v>
          </cell>
          <cell r="D717" t="str">
            <v>22130</v>
          </cell>
          <cell r="E717" t="str">
            <v>C SWG</v>
          </cell>
          <cell r="F717">
            <v>2</v>
          </cell>
          <cell r="G717" t="str">
            <v>CB161408080201</v>
          </cell>
          <cell r="H717">
            <v>2</v>
          </cell>
          <cell r="I717">
            <v>1</v>
          </cell>
          <cell r="J717">
            <v>2</v>
          </cell>
          <cell r="K717">
            <v>3</v>
          </cell>
        </row>
        <row r="718">
          <cell r="A718" t="str">
            <v>M1</v>
          </cell>
          <cell r="B718" t="str">
            <v>A5C</v>
          </cell>
          <cell r="C718" t="str">
            <v>P</v>
          </cell>
          <cell r="D718" t="str">
            <v>22140</v>
          </cell>
          <cell r="E718" t="str">
            <v>C SWG</v>
          </cell>
          <cell r="F718">
            <v>2</v>
          </cell>
          <cell r="G718" t="str">
            <v>CB161408080201</v>
          </cell>
          <cell r="H718">
            <v>2</v>
          </cell>
          <cell r="I718">
            <v>1</v>
          </cell>
          <cell r="J718">
            <v>2</v>
          </cell>
          <cell r="K718">
            <v>3</v>
          </cell>
        </row>
        <row r="719">
          <cell r="A719" t="str">
            <v>M1</v>
          </cell>
          <cell r="B719" t="str">
            <v>A5C</v>
          </cell>
          <cell r="C719" t="str">
            <v>P</v>
          </cell>
          <cell r="D719" t="str">
            <v>22066</v>
          </cell>
          <cell r="E719" t="str">
            <v>E SWG</v>
          </cell>
          <cell r="F719">
            <v>2</v>
          </cell>
          <cell r="G719" t="str">
            <v>CB162408080201</v>
          </cell>
          <cell r="H719">
            <v>2</v>
          </cell>
          <cell r="I719">
            <v>1</v>
          </cell>
          <cell r="J719">
            <v>2</v>
          </cell>
          <cell r="K719">
            <v>3</v>
          </cell>
        </row>
        <row r="720">
          <cell r="A720" t="str">
            <v>M1</v>
          </cell>
          <cell r="B720" t="str">
            <v>A5C</v>
          </cell>
          <cell r="C720" t="str">
            <v>P</v>
          </cell>
          <cell r="D720" t="str">
            <v>22101</v>
          </cell>
          <cell r="E720" t="str">
            <v>E SWG</v>
          </cell>
          <cell r="F720">
            <v>2</v>
          </cell>
          <cell r="G720" t="str">
            <v>CB1624080802IH</v>
          </cell>
          <cell r="H720">
            <v>2</v>
          </cell>
          <cell r="I720">
            <v>1.5</v>
          </cell>
          <cell r="J720">
            <v>1</v>
          </cell>
          <cell r="K720">
            <v>2</v>
          </cell>
        </row>
        <row r="721">
          <cell r="A721" t="str">
            <v>M1</v>
          </cell>
          <cell r="B721" t="str">
            <v>A5C</v>
          </cell>
          <cell r="C721" t="str">
            <v>P</v>
          </cell>
          <cell r="D721" t="str">
            <v>22109</v>
          </cell>
          <cell r="E721" t="str">
            <v>E SWG</v>
          </cell>
          <cell r="F721">
            <v>2</v>
          </cell>
          <cell r="G721" t="str">
            <v>CB1624080802IH</v>
          </cell>
          <cell r="H721">
            <v>2</v>
          </cell>
          <cell r="I721">
            <v>1.5</v>
          </cell>
          <cell r="J721">
            <v>2</v>
          </cell>
          <cell r="K721">
            <v>3</v>
          </cell>
        </row>
        <row r="722">
          <cell r="A722" t="str">
            <v>M1</v>
          </cell>
          <cell r="B722" t="str">
            <v>A5C</v>
          </cell>
          <cell r="C722" t="str">
            <v>N</v>
          </cell>
          <cell r="D722" t="str">
            <v>25611</v>
          </cell>
          <cell r="E722" t="str">
            <v>SOL</v>
          </cell>
          <cell r="F722">
            <v>2</v>
          </cell>
          <cell r="G722" t="str">
            <v>CB390200000201</v>
          </cell>
          <cell r="H722">
            <v>2</v>
          </cell>
          <cell r="I722">
            <v>1</v>
          </cell>
          <cell r="J722">
            <v>1</v>
          </cell>
          <cell r="K722">
            <v>2</v>
          </cell>
        </row>
        <row r="723">
          <cell r="A723" t="str">
            <v>M1</v>
          </cell>
          <cell r="B723" t="str">
            <v>A5C</v>
          </cell>
          <cell r="C723" t="str">
            <v>N</v>
          </cell>
          <cell r="D723" t="str">
            <v>25611</v>
          </cell>
          <cell r="E723" t="str">
            <v>SOL</v>
          </cell>
          <cell r="F723">
            <v>2</v>
          </cell>
          <cell r="G723" t="str">
            <v>CB39020000020T</v>
          </cell>
          <cell r="H723">
            <v>2</v>
          </cell>
          <cell r="I723">
            <v>0.75</v>
          </cell>
          <cell r="J723">
            <v>2</v>
          </cell>
          <cell r="K723">
            <v>3</v>
          </cell>
        </row>
        <row r="724">
          <cell r="A724" t="str">
            <v>M1</v>
          </cell>
          <cell r="B724" t="str">
            <v>A5C</v>
          </cell>
          <cell r="C724" t="str">
            <v>P</v>
          </cell>
          <cell r="D724" t="str">
            <v>22068</v>
          </cell>
          <cell r="E724" t="str">
            <v>SOL</v>
          </cell>
          <cell r="F724">
            <v>2</v>
          </cell>
          <cell r="G724" t="str">
            <v>CB39020000020T</v>
          </cell>
          <cell r="H724">
            <v>2</v>
          </cell>
          <cell r="I724">
            <v>0.75</v>
          </cell>
          <cell r="J724">
            <v>2</v>
          </cell>
          <cell r="K724">
            <v>3</v>
          </cell>
        </row>
        <row r="725">
          <cell r="A725" t="str">
            <v>M1</v>
          </cell>
          <cell r="B725" t="str">
            <v>A5C</v>
          </cell>
          <cell r="C725" t="str">
            <v>P</v>
          </cell>
          <cell r="D725" t="str">
            <v>22140</v>
          </cell>
          <cell r="E725" t="str">
            <v>SOL</v>
          </cell>
          <cell r="F725">
            <v>2</v>
          </cell>
          <cell r="G725" t="str">
            <v>CB39020000020T</v>
          </cell>
          <cell r="H725">
            <v>2</v>
          </cell>
          <cell r="I725">
            <v>0.75</v>
          </cell>
          <cell r="J725">
            <v>2</v>
          </cell>
          <cell r="K725">
            <v>3</v>
          </cell>
        </row>
        <row r="726">
          <cell r="A726" t="str">
            <v>M1</v>
          </cell>
          <cell r="B726" t="str">
            <v>A5C</v>
          </cell>
          <cell r="C726" t="str">
            <v>P</v>
          </cell>
          <cell r="D726" t="str">
            <v>22130</v>
          </cell>
          <cell r="E726" t="str">
            <v>SOL</v>
          </cell>
          <cell r="F726">
            <v>2</v>
          </cell>
          <cell r="G726" t="str">
            <v>CB39020000020T</v>
          </cell>
          <cell r="H726">
            <v>2</v>
          </cell>
          <cell r="I726">
            <v>0.75</v>
          </cell>
          <cell r="J726">
            <v>2</v>
          </cell>
          <cell r="K726">
            <v>3</v>
          </cell>
        </row>
        <row r="727">
          <cell r="A727" t="str">
            <v>M1</v>
          </cell>
          <cell r="B727" t="str">
            <v>A5C</v>
          </cell>
          <cell r="C727" t="str">
            <v>P</v>
          </cell>
          <cell r="D727" t="str">
            <v>22101</v>
          </cell>
          <cell r="E727" t="str">
            <v>TEE</v>
          </cell>
          <cell r="F727">
            <v>2</v>
          </cell>
          <cell r="G727" t="str">
            <v>CB300308000200</v>
          </cell>
          <cell r="H727">
            <v>2</v>
          </cell>
          <cell r="I727" t="str">
            <v>--</v>
          </cell>
          <cell r="J727">
            <v>2</v>
          </cell>
          <cell r="K727">
            <v>3</v>
          </cell>
        </row>
        <row r="728">
          <cell r="A728" t="str">
            <v>M1</v>
          </cell>
          <cell r="B728" t="str">
            <v>A5C</v>
          </cell>
          <cell r="C728" t="str">
            <v>P</v>
          </cell>
          <cell r="D728" t="str">
            <v>22130</v>
          </cell>
          <cell r="E728" t="str">
            <v>TEE</v>
          </cell>
          <cell r="F728">
            <v>2</v>
          </cell>
          <cell r="G728" t="str">
            <v>CB300308000200</v>
          </cell>
          <cell r="H728">
            <v>2</v>
          </cell>
          <cell r="I728" t="str">
            <v>--</v>
          </cell>
          <cell r="J728">
            <v>1</v>
          </cell>
          <cell r="K728">
            <v>2</v>
          </cell>
        </row>
        <row r="729">
          <cell r="A729" t="str">
            <v>M1</v>
          </cell>
          <cell r="B729" t="str">
            <v>A5C</v>
          </cell>
          <cell r="C729" t="str">
            <v>P</v>
          </cell>
          <cell r="D729" t="str">
            <v>22140</v>
          </cell>
          <cell r="E729" t="str">
            <v>TEE</v>
          </cell>
          <cell r="F729">
            <v>2</v>
          </cell>
          <cell r="G729" t="str">
            <v>CB300308000200</v>
          </cell>
          <cell r="H729">
            <v>2</v>
          </cell>
          <cell r="I729" t="str">
            <v>--</v>
          </cell>
          <cell r="J729">
            <v>1</v>
          </cell>
          <cell r="K729">
            <v>2</v>
          </cell>
        </row>
        <row r="730">
          <cell r="A730" t="str">
            <v>M1</v>
          </cell>
          <cell r="B730" t="str">
            <v>A5C</v>
          </cell>
          <cell r="C730" t="str">
            <v>P</v>
          </cell>
          <cell r="D730" t="str">
            <v>22100</v>
          </cell>
          <cell r="E730" t="str">
            <v>90 ELL</v>
          </cell>
          <cell r="F730">
            <v>2</v>
          </cell>
          <cell r="G730" t="str">
            <v>CB300108000200</v>
          </cell>
          <cell r="H730">
            <v>2</v>
          </cell>
          <cell r="I730" t="str">
            <v>--</v>
          </cell>
          <cell r="J730">
            <v>4</v>
          </cell>
          <cell r="K730">
            <v>5</v>
          </cell>
        </row>
        <row r="731">
          <cell r="A731" t="str">
            <v>M1</v>
          </cell>
          <cell r="B731" t="str">
            <v>A5C</v>
          </cell>
          <cell r="C731" t="str">
            <v>P</v>
          </cell>
          <cell r="D731" t="str">
            <v>22115</v>
          </cell>
          <cell r="E731" t="str">
            <v>90 ELL</v>
          </cell>
          <cell r="F731">
            <v>2</v>
          </cell>
          <cell r="G731" t="str">
            <v>CB300108000200</v>
          </cell>
          <cell r="H731">
            <v>2</v>
          </cell>
          <cell r="I731" t="str">
            <v>--</v>
          </cell>
          <cell r="J731">
            <v>2</v>
          </cell>
          <cell r="K731">
            <v>3</v>
          </cell>
        </row>
        <row r="732">
          <cell r="A732" t="str">
            <v>M1</v>
          </cell>
          <cell r="B732" t="str">
            <v>A5C</v>
          </cell>
          <cell r="C732" t="str">
            <v>P</v>
          </cell>
          <cell r="D732" t="str">
            <v>22100</v>
          </cell>
          <cell r="E732" t="str">
            <v>C SWG</v>
          </cell>
          <cell r="F732">
            <v>2</v>
          </cell>
          <cell r="G732" t="str">
            <v>CB1614080802IH</v>
          </cell>
          <cell r="H732">
            <v>2</v>
          </cell>
          <cell r="I732">
            <v>1.5</v>
          </cell>
          <cell r="J732">
            <v>2</v>
          </cell>
          <cell r="K732">
            <v>3</v>
          </cell>
        </row>
        <row r="733">
          <cell r="A733" t="str">
            <v>M1</v>
          </cell>
          <cell r="B733" t="str">
            <v>A5C</v>
          </cell>
          <cell r="C733" t="str">
            <v>P</v>
          </cell>
          <cell r="D733" t="str">
            <v>22100</v>
          </cell>
          <cell r="E733" t="str">
            <v>SOL</v>
          </cell>
          <cell r="F733">
            <v>2</v>
          </cell>
          <cell r="G733" t="str">
            <v>CB39020000020T</v>
          </cell>
          <cell r="H733">
            <v>2</v>
          </cell>
          <cell r="I733">
            <v>0.75</v>
          </cell>
          <cell r="J733">
            <v>2</v>
          </cell>
          <cell r="K733">
            <v>3</v>
          </cell>
        </row>
        <row r="734">
          <cell r="A734" t="str">
            <v>M1</v>
          </cell>
          <cell r="B734" t="str">
            <v>A5C</v>
          </cell>
          <cell r="C734" t="str">
            <v>P</v>
          </cell>
          <cell r="D734" t="str">
            <v>22100</v>
          </cell>
          <cell r="E734" t="str">
            <v>TEE</v>
          </cell>
          <cell r="F734">
            <v>2</v>
          </cell>
          <cell r="G734" t="str">
            <v>CB300308000200</v>
          </cell>
          <cell r="H734">
            <v>2</v>
          </cell>
          <cell r="I734" t="str">
            <v>--</v>
          </cell>
          <cell r="J734">
            <v>1</v>
          </cell>
          <cell r="K734">
            <v>2</v>
          </cell>
        </row>
        <row r="735">
          <cell r="A735" t="str">
            <v>M1</v>
          </cell>
          <cell r="B735" t="str">
            <v>A6C</v>
          </cell>
          <cell r="C735" t="str">
            <v>HOS</v>
          </cell>
          <cell r="D735" t="str">
            <v>65620</v>
          </cell>
          <cell r="E735" t="str">
            <v>90 ELL</v>
          </cell>
          <cell r="F735">
            <v>2</v>
          </cell>
          <cell r="G735" t="str">
            <v>CB300108000200</v>
          </cell>
          <cell r="H735">
            <v>2</v>
          </cell>
          <cell r="I735" t="str">
            <v>--</v>
          </cell>
          <cell r="J735">
            <v>6</v>
          </cell>
          <cell r="K735">
            <v>7</v>
          </cell>
        </row>
        <row r="736">
          <cell r="A736" t="str">
            <v>M1</v>
          </cell>
          <cell r="B736" t="str">
            <v>A6C</v>
          </cell>
          <cell r="C736" t="str">
            <v>HOS</v>
          </cell>
          <cell r="D736" t="str">
            <v>65620</v>
          </cell>
          <cell r="E736" t="str">
            <v>TEE</v>
          </cell>
          <cell r="F736">
            <v>2</v>
          </cell>
          <cell r="G736" t="str">
            <v>CB300308000200</v>
          </cell>
          <cell r="H736">
            <v>2</v>
          </cell>
          <cell r="I736" t="str">
            <v>--</v>
          </cell>
          <cell r="J736">
            <v>1</v>
          </cell>
          <cell r="K736">
            <v>2</v>
          </cell>
        </row>
        <row r="737">
          <cell r="A737" t="str">
            <v>M1</v>
          </cell>
          <cell r="B737" t="str">
            <v>A6C</v>
          </cell>
          <cell r="C737" t="str">
            <v>HOS</v>
          </cell>
          <cell r="D737" t="str">
            <v>65620</v>
          </cell>
          <cell r="E737" t="str">
            <v>TOL</v>
          </cell>
          <cell r="F737">
            <v>2</v>
          </cell>
          <cell r="G737" t="str">
            <v>CB39030000020T</v>
          </cell>
          <cell r="H737">
            <v>2</v>
          </cell>
          <cell r="I737">
            <v>0.75</v>
          </cell>
          <cell r="J737">
            <v>1</v>
          </cell>
          <cell r="K737">
            <v>2</v>
          </cell>
        </row>
        <row r="738">
          <cell r="A738" t="str">
            <v>M1</v>
          </cell>
          <cell r="B738" t="str">
            <v>A5C</v>
          </cell>
          <cell r="C738" t="str">
            <v>P</v>
          </cell>
          <cell r="D738" t="str">
            <v>22004</v>
          </cell>
          <cell r="E738" t="str">
            <v>90 ELL</v>
          </cell>
          <cell r="F738">
            <v>2</v>
          </cell>
          <cell r="G738" t="str">
            <v>CB300108000200</v>
          </cell>
          <cell r="H738">
            <v>2</v>
          </cell>
          <cell r="I738" t="str">
            <v>--</v>
          </cell>
          <cell r="J738">
            <v>5</v>
          </cell>
          <cell r="K738">
            <v>6</v>
          </cell>
        </row>
        <row r="739">
          <cell r="A739" t="str">
            <v>M1</v>
          </cell>
          <cell r="B739" t="str">
            <v>A5C</v>
          </cell>
          <cell r="C739" t="str">
            <v>P</v>
          </cell>
          <cell r="D739" t="str">
            <v>22004</v>
          </cell>
          <cell r="E739" t="str">
            <v>90 ELL</v>
          </cell>
          <cell r="F739">
            <v>2</v>
          </cell>
          <cell r="G739" t="str">
            <v>CB300108000200</v>
          </cell>
          <cell r="H739">
            <v>2</v>
          </cell>
          <cell r="I739" t="str">
            <v>--</v>
          </cell>
          <cell r="J739">
            <v>3</v>
          </cell>
          <cell r="K739">
            <v>4</v>
          </cell>
        </row>
        <row r="740">
          <cell r="A740" t="str">
            <v>M1</v>
          </cell>
          <cell r="B740" t="str">
            <v>A5C</v>
          </cell>
          <cell r="C740" t="str">
            <v>P</v>
          </cell>
          <cell r="D740" t="str">
            <v>22004</v>
          </cell>
          <cell r="E740" t="str">
            <v>90 ELL</v>
          </cell>
          <cell r="F740">
            <v>2</v>
          </cell>
          <cell r="G740" t="str">
            <v>CB300108000200</v>
          </cell>
          <cell r="H740">
            <v>2</v>
          </cell>
          <cell r="I740" t="str">
            <v>--</v>
          </cell>
          <cell r="J740">
            <v>2</v>
          </cell>
          <cell r="K740">
            <v>3</v>
          </cell>
        </row>
        <row r="741">
          <cell r="A741" t="str">
            <v>M1</v>
          </cell>
          <cell r="B741" t="str">
            <v>A5C</v>
          </cell>
          <cell r="C741" t="str">
            <v>TRIM</v>
          </cell>
          <cell r="D741" t="str">
            <v>V-2214</v>
          </cell>
          <cell r="E741" t="str">
            <v>C SWG</v>
          </cell>
          <cell r="F741">
            <v>2</v>
          </cell>
          <cell r="G741" t="str">
            <v>CB161408080201</v>
          </cell>
          <cell r="H741">
            <v>2</v>
          </cell>
          <cell r="I741">
            <v>1</v>
          </cell>
          <cell r="J741">
            <v>1</v>
          </cell>
          <cell r="K741">
            <v>2</v>
          </cell>
        </row>
        <row r="742">
          <cell r="A742" t="str">
            <v>M1</v>
          </cell>
          <cell r="B742" t="str">
            <v>A5C</v>
          </cell>
          <cell r="C742" t="str">
            <v>P</v>
          </cell>
          <cell r="D742" t="str">
            <v>22004</v>
          </cell>
          <cell r="E742" t="str">
            <v>SOL</v>
          </cell>
          <cell r="F742">
            <v>2</v>
          </cell>
          <cell r="G742" t="str">
            <v>CB39020000020T</v>
          </cell>
          <cell r="H742">
            <v>2</v>
          </cell>
          <cell r="I742">
            <v>0.75</v>
          </cell>
          <cell r="J742">
            <v>1</v>
          </cell>
          <cell r="K742">
            <v>2</v>
          </cell>
        </row>
        <row r="743">
          <cell r="A743" t="str">
            <v>M1</v>
          </cell>
          <cell r="B743" t="str">
            <v>A5C</v>
          </cell>
          <cell r="C743" t="str">
            <v>P</v>
          </cell>
          <cell r="D743" t="str">
            <v>22004</v>
          </cell>
          <cell r="E743" t="str">
            <v>SOL</v>
          </cell>
          <cell r="F743">
            <v>2</v>
          </cell>
          <cell r="G743" t="str">
            <v>CB39020000020T</v>
          </cell>
          <cell r="H743">
            <v>2</v>
          </cell>
          <cell r="I743">
            <v>0.75</v>
          </cell>
          <cell r="J743">
            <v>1</v>
          </cell>
          <cell r="K743">
            <v>2</v>
          </cell>
        </row>
        <row r="744">
          <cell r="A744" t="str">
            <v>M1</v>
          </cell>
          <cell r="B744" t="str">
            <v>A5C</v>
          </cell>
          <cell r="C744" t="str">
            <v>P</v>
          </cell>
          <cell r="D744" t="str">
            <v>22004</v>
          </cell>
          <cell r="E744" t="str">
            <v>TEE</v>
          </cell>
          <cell r="F744">
            <v>2</v>
          </cell>
          <cell r="G744" t="str">
            <v>CB300308000200</v>
          </cell>
          <cell r="H744">
            <v>2</v>
          </cell>
          <cell r="I744" t="str">
            <v>--</v>
          </cell>
          <cell r="J744">
            <v>1</v>
          </cell>
          <cell r="K744">
            <v>2</v>
          </cell>
        </row>
        <row r="745">
          <cell r="A745" t="str">
            <v>M1</v>
          </cell>
          <cell r="B745" t="str">
            <v>A5C</v>
          </cell>
          <cell r="C745" t="str">
            <v>P</v>
          </cell>
          <cell r="D745" t="str">
            <v>22004</v>
          </cell>
          <cell r="E745" t="str">
            <v>TEE</v>
          </cell>
          <cell r="F745">
            <v>2</v>
          </cell>
          <cell r="G745" t="str">
            <v>CB300308000200</v>
          </cell>
          <cell r="H745">
            <v>2</v>
          </cell>
          <cell r="I745" t="str">
            <v>--</v>
          </cell>
          <cell r="J745">
            <v>2</v>
          </cell>
          <cell r="K745">
            <v>3</v>
          </cell>
        </row>
        <row r="746">
          <cell r="A746" t="str">
            <v>M1</v>
          </cell>
          <cell r="B746" t="str">
            <v>A6C</v>
          </cell>
          <cell r="C746" t="str">
            <v>HOS</v>
          </cell>
          <cell r="D746" t="str">
            <v>65624</v>
          </cell>
          <cell r="E746" t="str">
            <v>90 ELL</v>
          </cell>
          <cell r="F746">
            <v>2</v>
          </cell>
          <cell r="G746" t="str">
            <v>CB300108000200</v>
          </cell>
          <cell r="H746">
            <v>2</v>
          </cell>
          <cell r="I746" t="str">
            <v>--</v>
          </cell>
          <cell r="J746">
            <v>7</v>
          </cell>
          <cell r="K746">
            <v>8</v>
          </cell>
        </row>
        <row r="747">
          <cell r="A747" t="str">
            <v>M1</v>
          </cell>
          <cell r="B747" t="str">
            <v>A5C</v>
          </cell>
          <cell r="C747" t="str">
            <v>P</v>
          </cell>
          <cell r="D747" t="str">
            <v>22096</v>
          </cell>
          <cell r="E747" t="str">
            <v>90 ELL</v>
          </cell>
          <cell r="F747">
            <v>2</v>
          </cell>
          <cell r="G747" t="str">
            <v>CB300108000200</v>
          </cell>
          <cell r="H747">
            <v>2</v>
          </cell>
          <cell r="I747" t="str">
            <v>--</v>
          </cell>
          <cell r="J747">
            <v>1</v>
          </cell>
          <cell r="K747">
            <v>2</v>
          </cell>
        </row>
        <row r="748">
          <cell r="A748" t="str">
            <v>M1</v>
          </cell>
          <cell r="B748" t="str">
            <v>A6C</v>
          </cell>
          <cell r="C748" t="str">
            <v>HOR</v>
          </cell>
          <cell r="D748" t="str">
            <v>65611</v>
          </cell>
          <cell r="E748" t="str">
            <v>90 ELL</v>
          </cell>
          <cell r="F748">
            <v>2</v>
          </cell>
          <cell r="G748" t="str">
            <v>CB300108000200</v>
          </cell>
          <cell r="H748">
            <v>2</v>
          </cell>
          <cell r="I748" t="str">
            <v>--</v>
          </cell>
          <cell r="J748">
            <v>7</v>
          </cell>
          <cell r="K748">
            <v>8</v>
          </cell>
        </row>
        <row r="749">
          <cell r="A749" t="str">
            <v>M1</v>
          </cell>
          <cell r="B749" t="str">
            <v>A6C</v>
          </cell>
          <cell r="C749" t="str">
            <v>HOR</v>
          </cell>
          <cell r="D749" t="str">
            <v>65611</v>
          </cell>
          <cell r="E749" t="str">
            <v>90 ELL</v>
          </cell>
          <cell r="F749">
            <v>2</v>
          </cell>
          <cell r="G749" t="str">
            <v>CB300108000200</v>
          </cell>
          <cell r="H749">
            <v>2</v>
          </cell>
          <cell r="I749" t="str">
            <v>--</v>
          </cell>
          <cell r="J749">
            <v>7</v>
          </cell>
          <cell r="K749">
            <v>8</v>
          </cell>
        </row>
        <row r="750">
          <cell r="A750" t="str">
            <v>M1</v>
          </cell>
          <cell r="B750" t="str">
            <v>A6C</v>
          </cell>
          <cell r="C750" t="str">
            <v>HOS</v>
          </cell>
          <cell r="D750" t="str">
            <v>65624</v>
          </cell>
          <cell r="E750" t="str">
            <v>90 ELL</v>
          </cell>
          <cell r="F750">
            <v>2</v>
          </cell>
          <cell r="G750" t="str">
            <v>CB300108000200</v>
          </cell>
          <cell r="H750">
            <v>2</v>
          </cell>
          <cell r="I750" t="str">
            <v>--</v>
          </cell>
          <cell r="J750">
            <v>7</v>
          </cell>
          <cell r="K750">
            <v>8</v>
          </cell>
        </row>
        <row r="751">
          <cell r="A751" t="str">
            <v>M1</v>
          </cell>
          <cell r="B751" t="str">
            <v>A5C</v>
          </cell>
          <cell r="C751" t="str">
            <v>P</v>
          </cell>
          <cell r="D751" t="str">
            <v>22097</v>
          </cell>
          <cell r="E751" t="str">
            <v>90 ELL</v>
          </cell>
          <cell r="F751">
            <v>2</v>
          </cell>
          <cell r="G751" t="str">
            <v>CB300108000200</v>
          </cell>
          <cell r="H751">
            <v>2</v>
          </cell>
          <cell r="I751" t="str">
            <v>--</v>
          </cell>
          <cell r="J751">
            <v>3</v>
          </cell>
          <cell r="K751">
            <v>4</v>
          </cell>
        </row>
        <row r="752">
          <cell r="A752" t="str">
            <v>M1</v>
          </cell>
          <cell r="B752" t="str">
            <v>A6C</v>
          </cell>
          <cell r="C752" t="str">
            <v>TRIM</v>
          </cell>
          <cell r="D752" t="str">
            <v>V-6501</v>
          </cell>
          <cell r="E752" t="str">
            <v>90 ELL</v>
          </cell>
          <cell r="F752">
            <v>2</v>
          </cell>
          <cell r="G752" t="str">
            <v>CB300108000200</v>
          </cell>
          <cell r="H752">
            <v>2</v>
          </cell>
          <cell r="I752" t="str">
            <v>--</v>
          </cell>
          <cell r="J752">
            <v>2</v>
          </cell>
          <cell r="K752">
            <v>3</v>
          </cell>
        </row>
        <row r="753">
          <cell r="A753" t="str">
            <v>M1</v>
          </cell>
          <cell r="B753" t="str">
            <v>A4C</v>
          </cell>
          <cell r="C753" t="str">
            <v>P</v>
          </cell>
          <cell r="D753" t="str">
            <v>22031</v>
          </cell>
          <cell r="E753" t="str">
            <v>C SWG</v>
          </cell>
          <cell r="F753">
            <v>2</v>
          </cell>
          <cell r="G753" t="str">
            <v>CB1614080802IH</v>
          </cell>
          <cell r="H753">
            <v>2</v>
          </cell>
          <cell r="I753">
            <v>1.5</v>
          </cell>
          <cell r="J753">
            <v>1</v>
          </cell>
          <cell r="K753">
            <v>2</v>
          </cell>
        </row>
        <row r="754">
          <cell r="A754" t="str">
            <v>M1</v>
          </cell>
          <cell r="B754" t="str">
            <v>A4C</v>
          </cell>
          <cell r="C754" t="str">
            <v>P</v>
          </cell>
          <cell r="D754" t="str">
            <v>22031</v>
          </cell>
          <cell r="E754" t="str">
            <v>C SWG</v>
          </cell>
          <cell r="F754">
            <v>2</v>
          </cell>
          <cell r="G754" t="str">
            <v>CB1614080802IH</v>
          </cell>
          <cell r="H754">
            <v>2</v>
          </cell>
          <cell r="I754">
            <v>1.5</v>
          </cell>
          <cell r="J754">
            <v>5</v>
          </cell>
          <cell r="K754">
            <v>6</v>
          </cell>
        </row>
        <row r="755">
          <cell r="A755" t="str">
            <v>M1</v>
          </cell>
          <cell r="B755" t="str">
            <v>A5C</v>
          </cell>
          <cell r="C755" t="str">
            <v>P</v>
          </cell>
          <cell r="D755" t="str">
            <v>22096</v>
          </cell>
          <cell r="E755" t="str">
            <v>SOL</v>
          </cell>
          <cell r="F755">
            <v>2</v>
          </cell>
          <cell r="G755" t="str">
            <v>CB390200000201</v>
          </cell>
          <cell r="H755">
            <v>2</v>
          </cell>
          <cell r="I755">
            <v>1</v>
          </cell>
          <cell r="J755">
            <v>1</v>
          </cell>
          <cell r="K755">
            <v>2</v>
          </cell>
        </row>
        <row r="756">
          <cell r="A756" t="str">
            <v>M1</v>
          </cell>
          <cell r="B756" t="str">
            <v>A5C</v>
          </cell>
          <cell r="C756" t="str">
            <v>P</v>
          </cell>
          <cell r="D756" t="str">
            <v>22096</v>
          </cell>
          <cell r="E756" t="str">
            <v>TEE</v>
          </cell>
          <cell r="F756">
            <v>2</v>
          </cell>
          <cell r="G756" t="str">
            <v>CB300308000200</v>
          </cell>
          <cell r="H756">
            <v>2</v>
          </cell>
          <cell r="I756" t="str">
            <v>--</v>
          </cell>
          <cell r="J756">
            <v>2</v>
          </cell>
          <cell r="K756">
            <v>3</v>
          </cell>
        </row>
        <row r="757">
          <cell r="A757" t="str">
            <v>M1</v>
          </cell>
          <cell r="B757" t="str">
            <v>B2C</v>
          </cell>
          <cell r="C757" t="str">
            <v>SH</v>
          </cell>
          <cell r="D757" t="str">
            <v>22601</v>
          </cell>
          <cell r="E757" t="str">
            <v>90 ELL</v>
          </cell>
          <cell r="F757">
            <v>2</v>
          </cell>
          <cell r="G757" t="str">
            <v>CB300104000300</v>
          </cell>
          <cell r="H757">
            <v>3</v>
          </cell>
          <cell r="I757" t="str">
            <v>--</v>
          </cell>
          <cell r="J757">
            <v>6</v>
          </cell>
          <cell r="K757">
            <v>7</v>
          </cell>
        </row>
        <row r="758">
          <cell r="A758" t="str">
            <v>M1</v>
          </cell>
          <cell r="B758" t="str">
            <v>B2C</v>
          </cell>
          <cell r="C758" t="str">
            <v>TRIM</v>
          </cell>
          <cell r="D758" t="str">
            <v>V-2218</v>
          </cell>
          <cell r="E758" t="str">
            <v>90 ELL</v>
          </cell>
          <cell r="F758">
            <v>2</v>
          </cell>
          <cell r="G758" t="str">
            <v>CB300104000300</v>
          </cell>
          <cell r="H758">
            <v>3</v>
          </cell>
          <cell r="I758" t="str">
            <v>--</v>
          </cell>
          <cell r="J758">
            <v>1</v>
          </cell>
          <cell r="K758">
            <v>2</v>
          </cell>
        </row>
        <row r="759">
          <cell r="A759" t="str">
            <v>M1</v>
          </cell>
          <cell r="B759" t="str">
            <v>B2C</v>
          </cell>
          <cell r="C759" t="str">
            <v>SH</v>
          </cell>
          <cell r="D759" t="str">
            <v>22625</v>
          </cell>
          <cell r="E759" t="str">
            <v>90 ELL</v>
          </cell>
          <cell r="F759">
            <v>2</v>
          </cell>
          <cell r="G759" t="str">
            <v>CB300104000300</v>
          </cell>
          <cell r="H759">
            <v>3</v>
          </cell>
          <cell r="I759" t="str">
            <v>--</v>
          </cell>
          <cell r="J759">
            <v>3</v>
          </cell>
          <cell r="K759">
            <v>4</v>
          </cell>
        </row>
        <row r="760">
          <cell r="A760" t="str">
            <v>M1</v>
          </cell>
          <cell r="B760" t="str">
            <v>B2C</v>
          </cell>
          <cell r="C760" t="str">
            <v>SH</v>
          </cell>
          <cell r="D760" t="str">
            <v>22601</v>
          </cell>
          <cell r="E760" t="str">
            <v>CAP</v>
          </cell>
          <cell r="F760">
            <v>2</v>
          </cell>
          <cell r="G760" t="str">
            <v>CB300704000300</v>
          </cell>
          <cell r="H760">
            <v>3</v>
          </cell>
          <cell r="I760" t="str">
            <v>--</v>
          </cell>
          <cell r="J760">
            <v>1</v>
          </cell>
          <cell r="K760">
            <v>2</v>
          </cell>
        </row>
        <row r="761">
          <cell r="A761" t="str">
            <v>M1</v>
          </cell>
          <cell r="B761" t="str">
            <v>B2C</v>
          </cell>
          <cell r="C761" t="str">
            <v>TRIM</v>
          </cell>
          <cell r="D761" t="str">
            <v>V-2218</v>
          </cell>
          <cell r="E761" t="str">
            <v>CAP</v>
          </cell>
          <cell r="F761">
            <v>2</v>
          </cell>
          <cell r="G761" t="str">
            <v>CB300704000300</v>
          </cell>
          <cell r="H761">
            <v>3</v>
          </cell>
          <cell r="I761" t="str">
            <v>--</v>
          </cell>
          <cell r="J761">
            <v>2</v>
          </cell>
          <cell r="K761">
            <v>3</v>
          </cell>
        </row>
        <row r="762">
          <cell r="A762" t="str">
            <v>M1</v>
          </cell>
          <cell r="B762" t="str">
            <v>B2C</v>
          </cell>
          <cell r="C762" t="str">
            <v>SH</v>
          </cell>
          <cell r="D762" t="str">
            <v>22612</v>
          </cell>
          <cell r="E762" t="str">
            <v>E RED</v>
          </cell>
          <cell r="F762">
            <v>2</v>
          </cell>
          <cell r="G762" t="str">
            <v>CB300604080302</v>
          </cell>
          <cell r="H762">
            <v>3</v>
          </cell>
          <cell r="I762">
            <v>2</v>
          </cell>
          <cell r="J762">
            <v>1</v>
          </cell>
          <cell r="K762">
            <v>2</v>
          </cell>
        </row>
        <row r="763">
          <cell r="A763" t="str">
            <v>M1</v>
          </cell>
          <cell r="B763" t="str">
            <v>B2C</v>
          </cell>
          <cell r="C763" t="str">
            <v>SH</v>
          </cell>
          <cell r="D763" t="str">
            <v>22625</v>
          </cell>
          <cell r="E763" t="str">
            <v>E RED</v>
          </cell>
          <cell r="F763">
            <v>2</v>
          </cell>
          <cell r="G763" t="str">
            <v>CB300604080302</v>
          </cell>
          <cell r="H763">
            <v>3</v>
          </cell>
          <cell r="I763">
            <v>2</v>
          </cell>
          <cell r="J763">
            <v>1</v>
          </cell>
          <cell r="K763">
            <v>2</v>
          </cell>
        </row>
        <row r="764">
          <cell r="A764" t="str">
            <v>M1</v>
          </cell>
          <cell r="B764" t="str">
            <v>B2C</v>
          </cell>
          <cell r="C764" t="str">
            <v>SH</v>
          </cell>
          <cell r="D764" t="str">
            <v>22601</v>
          </cell>
          <cell r="E764" t="str">
            <v>SOL</v>
          </cell>
          <cell r="F764">
            <v>2</v>
          </cell>
          <cell r="G764" t="str">
            <v>CB39020000030T</v>
          </cell>
          <cell r="H764">
            <v>3</v>
          </cell>
          <cell r="I764">
            <v>0.75</v>
          </cell>
          <cell r="J764">
            <v>2</v>
          </cell>
          <cell r="K764">
            <v>3</v>
          </cell>
        </row>
        <row r="765">
          <cell r="A765" t="str">
            <v>M1</v>
          </cell>
          <cell r="B765" t="str">
            <v>B2C</v>
          </cell>
          <cell r="C765" t="str">
            <v>TRIM</v>
          </cell>
          <cell r="D765" t="str">
            <v>V-2218</v>
          </cell>
          <cell r="E765" t="str">
            <v>SOL</v>
          </cell>
          <cell r="F765">
            <v>2</v>
          </cell>
          <cell r="G765" t="str">
            <v>CB39020000030T</v>
          </cell>
          <cell r="H765">
            <v>3</v>
          </cell>
          <cell r="I765">
            <v>0.75</v>
          </cell>
          <cell r="J765">
            <v>6</v>
          </cell>
          <cell r="K765">
            <v>7</v>
          </cell>
        </row>
        <row r="766">
          <cell r="A766" t="str">
            <v>M1</v>
          </cell>
          <cell r="B766" t="str">
            <v>B2C</v>
          </cell>
          <cell r="C766" t="str">
            <v>SH</v>
          </cell>
          <cell r="D766" t="str">
            <v>22601</v>
          </cell>
          <cell r="E766" t="str">
            <v>TEE</v>
          </cell>
          <cell r="F766">
            <v>2</v>
          </cell>
          <cell r="G766" t="str">
            <v>CB300304000300</v>
          </cell>
          <cell r="H766">
            <v>3</v>
          </cell>
          <cell r="I766" t="str">
            <v>--</v>
          </cell>
          <cell r="J766">
            <v>1</v>
          </cell>
          <cell r="K766">
            <v>2</v>
          </cell>
        </row>
        <row r="767">
          <cell r="A767" t="str">
            <v>M1</v>
          </cell>
          <cell r="B767" t="str">
            <v>B2C</v>
          </cell>
          <cell r="C767" t="str">
            <v>SH</v>
          </cell>
          <cell r="D767" t="str">
            <v>22601</v>
          </cell>
          <cell r="E767" t="str">
            <v>TOL</v>
          </cell>
          <cell r="F767">
            <v>2</v>
          </cell>
          <cell r="G767" t="str">
            <v>CB39030000030T</v>
          </cell>
          <cell r="H767">
            <v>3</v>
          </cell>
          <cell r="I767">
            <v>0.75</v>
          </cell>
          <cell r="J767">
            <v>1</v>
          </cell>
          <cell r="K767">
            <v>2</v>
          </cell>
        </row>
        <row r="768">
          <cell r="A768" t="str">
            <v>M1</v>
          </cell>
          <cell r="B768" t="str">
            <v>B2C</v>
          </cell>
          <cell r="C768" t="str">
            <v>SH</v>
          </cell>
          <cell r="D768" t="str">
            <v>22625</v>
          </cell>
          <cell r="E768" t="str">
            <v>TOL</v>
          </cell>
          <cell r="F768">
            <v>2</v>
          </cell>
          <cell r="G768" t="str">
            <v>CB39030000030T</v>
          </cell>
          <cell r="H768">
            <v>3</v>
          </cell>
          <cell r="I768">
            <v>0.75</v>
          </cell>
          <cell r="J768">
            <v>1</v>
          </cell>
          <cell r="K768">
            <v>2</v>
          </cell>
        </row>
        <row r="769">
          <cell r="A769" t="str">
            <v>M1</v>
          </cell>
          <cell r="B769" t="str">
            <v>A5C</v>
          </cell>
          <cell r="C769" t="str">
            <v>P</v>
          </cell>
          <cell r="D769" t="str">
            <v>22025</v>
          </cell>
          <cell r="E769" t="str">
            <v>45 ELL</v>
          </cell>
          <cell r="F769">
            <v>2</v>
          </cell>
          <cell r="G769" t="str">
            <v>CB300204000300</v>
          </cell>
          <cell r="H769">
            <v>3</v>
          </cell>
          <cell r="I769" t="str">
            <v>--</v>
          </cell>
          <cell r="J769">
            <v>2</v>
          </cell>
          <cell r="K769">
            <v>3</v>
          </cell>
        </row>
        <row r="770">
          <cell r="A770" t="str">
            <v>M1</v>
          </cell>
          <cell r="B770" t="str">
            <v>A5C</v>
          </cell>
          <cell r="C770" t="str">
            <v>P</v>
          </cell>
          <cell r="D770" t="str">
            <v>22134</v>
          </cell>
          <cell r="E770" t="str">
            <v>45 ELL</v>
          </cell>
          <cell r="F770">
            <v>2</v>
          </cell>
          <cell r="G770" t="str">
            <v>CB300204000300</v>
          </cell>
          <cell r="H770">
            <v>3</v>
          </cell>
          <cell r="I770" t="str">
            <v>--</v>
          </cell>
          <cell r="J770">
            <v>1</v>
          </cell>
          <cell r="K770">
            <v>2</v>
          </cell>
        </row>
        <row r="771">
          <cell r="A771" t="str">
            <v>M1</v>
          </cell>
          <cell r="B771" t="str">
            <v>A5C</v>
          </cell>
          <cell r="C771" t="str">
            <v>P</v>
          </cell>
          <cell r="D771" t="str">
            <v>22081</v>
          </cell>
          <cell r="E771" t="str">
            <v>90 ELL</v>
          </cell>
          <cell r="F771">
            <v>2</v>
          </cell>
          <cell r="G771" t="str">
            <v>CB300104000300</v>
          </cell>
          <cell r="H771">
            <v>3</v>
          </cell>
          <cell r="I771" t="str">
            <v>--</v>
          </cell>
          <cell r="J771">
            <v>9</v>
          </cell>
          <cell r="K771">
            <v>10</v>
          </cell>
        </row>
        <row r="772">
          <cell r="A772" t="str">
            <v>M1</v>
          </cell>
          <cell r="B772" t="str">
            <v>A5C</v>
          </cell>
          <cell r="C772" t="str">
            <v>P</v>
          </cell>
          <cell r="D772" t="str">
            <v>22130</v>
          </cell>
          <cell r="E772" t="str">
            <v>90 ELL</v>
          </cell>
          <cell r="F772">
            <v>2</v>
          </cell>
          <cell r="G772" t="str">
            <v>CB300104000300</v>
          </cell>
          <cell r="H772">
            <v>3</v>
          </cell>
          <cell r="I772" t="str">
            <v>--</v>
          </cell>
          <cell r="J772">
            <v>2</v>
          </cell>
          <cell r="K772">
            <v>3</v>
          </cell>
        </row>
        <row r="773">
          <cell r="A773" t="str">
            <v>M1</v>
          </cell>
          <cell r="B773" t="str">
            <v>A5C</v>
          </cell>
          <cell r="C773" t="str">
            <v>P</v>
          </cell>
          <cell r="D773" t="str">
            <v>22140</v>
          </cell>
          <cell r="E773" t="str">
            <v>90 ELL</v>
          </cell>
          <cell r="F773">
            <v>2</v>
          </cell>
          <cell r="G773" t="str">
            <v>CB300104000300</v>
          </cell>
          <cell r="H773">
            <v>3</v>
          </cell>
          <cell r="I773" t="str">
            <v>--</v>
          </cell>
          <cell r="J773">
            <v>2</v>
          </cell>
          <cell r="K773">
            <v>3</v>
          </cell>
        </row>
        <row r="774">
          <cell r="A774" t="str">
            <v>M1</v>
          </cell>
          <cell r="B774" t="str">
            <v>A5C</v>
          </cell>
          <cell r="C774" t="str">
            <v>P</v>
          </cell>
          <cell r="D774" t="str">
            <v>22133</v>
          </cell>
          <cell r="E774" t="str">
            <v>90 ELL</v>
          </cell>
          <cell r="F774">
            <v>2</v>
          </cell>
          <cell r="G774" t="str">
            <v>CB300104000300</v>
          </cell>
          <cell r="H774">
            <v>3</v>
          </cell>
          <cell r="I774" t="str">
            <v>--</v>
          </cell>
          <cell r="J774">
            <v>1</v>
          </cell>
          <cell r="K774">
            <v>2</v>
          </cell>
        </row>
        <row r="775">
          <cell r="A775" t="str">
            <v>M1</v>
          </cell>
          <cell r="B775" t="str">
            <v>A5C</v>
          </cell>
          <cell r="C775" t="str">
            <v>P</v>
          </cell>
          <cell r="D775" t="str">
            <v>22134</v>
          </cell>
          <cell r="E775" t="str">
            <v>90 ELL</v>
          </cell>
          <cell r="F775">
            <v>2</v>
          </cell>
          <cell r="G775" t="str">
            <v>CB300104000300</v>
          </cell>
          <cell r="H775">
            <v>3</v>
          </cell>
          <cell r="I775" t="str">
            <v>--</v>
          </cell>
          <cell r="J775">
            <v>1</v>
          </cell>
          <cell r="K775">
            <v>2</v>
          </cell>
        </row>
        <row r="776">
          <cell r="A776" t="str">
            <v>M1</v>
          </cell>
          <cell r="B776" t="str">
            <v>A5C</v>
          </cell>
          <cell r="C776" t="str">
            <v>TRIM</v>
          </cell>
          <cell r="D776" t="str">
            <v>V-2211</v>
          </cell>
          <cell r="E776" t="str">
            <v>90 ELL</v>
          </cell>
          <cell r="F776">
            <v>2</v>
          </cell>
          <cell r="G776" t="str">
            <v>CB300104000300</v>
          </cell>
          <cell r="H776">
            <v>3</v>
          </cell>
          <cell r="I776" t="str">
            <v>--</v>
          </cell>
          <cell r="J776">
            <v>2</v>
          </cell>
          <cell r="K776">
            <v>3</v>
          </cell>
        </row>
        <row r="777">
          <cell r="A777" t="str">
            <v>M1</v>
          </cell>
          <cell r="B777" t="str">
            <v>A5C</v>
          </cell>
          <cell r="C777" t="str">
            <v>P</v>
          </cell>
          <cell r="D777" t="str">
            <v>22153</v>
          </cell>
          <cell r="E777" t="str">
            <v>CAP</v>
          </cell>
          <cell r="F777">
            <v>2</v>
          </cell>
          <cell r="G777" t="str">
            <v>CB300704000300</v>
          </cell>
          <cell r="H777">
            <v>3</v>
          </cell>
          <cell r="I777" t="str">
            <v>--</v>
          </cell>
          <cell r="J777">
            <v>2</v>
          </cell>
          <cell r="K777">
            <v>3</v>
          </cell>
        </row>
        <row r="778">
          <cell r="A778" t="str">
            <v>M1</v>
          </cell>
          <cell r="B778" t="str">
            <v>A5C</v>
          </cell>
          <cell r="C778" t="str">
            <v>P</v>
          </cell>
          <cell r="D778" t="str">
            <v>22066</v>
          </cell>
          <cell r="E778" t="str">
            <v>E RED</v>
          </cell>
          <cell r="F778">
            <v>2</v>
          </cell>
          <cell r="G778" t="str">
            <v>CB300604080302</v>
          </cell>
          <cell r="H778">
            <v>3</v>
          </cell>
          <cell r="I778">
            <v>2</v>
          </cell>
          <cell r="J778">
            <v>1</v>
          </cell>
          <cell r="K778">
            <v>2</v>
          </cell>
        </row>
        <row r="779">
          <cell r="A779" t="str">
            <v>M1</v>
          </cell>
          <cell r="B779" t="str">
            <v>A5C</v>
          </cell>
          <cell r="C779" t="str">
            <v>P</v>
          </cell>
          <cell r="D779" t="str">
            <v>22130</v>
          </cell>
          <cell r="E779" t="str">
            <v>E RED</v>
          </cell>
          <cell r="F779">
            <v>2</v>
          </cell>
          <cell r="G779" t="str">
            <v>CB300604080302</v>
          </cell>
          <cell r="H779">
            <v>3</v>
          </cell>
          <cell r="I779">
            <v>2</v>
          </cell>
          <cell r="J779">
            <v>2</v>
          </cell>
          <cell r="K779">
            <v>3</v>
          </cell>
        </row>
        <row r="780">
          <cell r="A780" t="str">
            <v>M1</v>
          </cell>
          <cell r="B780" t="str">
            <v>A5C</v>
          </cell>
          <cell r="C780" t="str">
            <v>P</v>
          </cell>
          <cell r="D780" t="str">
            <v>22140</v>
          </cell>
          <cell r="E780" t="str">
            <v>E RED</v>
          </cell>
          <cell r="F780">
            <v>2</v>
          </cell>
          <cell r="G780" t="str">
            <v>CB300604080302</v>
          </cell>
          <cell r="H780">
            <v>3</v>
          </cell>
          <cell r="I780">
            <v>2</v>
          </cell>
          <cell r="J780">
            <v>2</v>
          </cell>
          <cell r="K780">
            <v>3</v>
          </cell>
        </row>
        <row r="781">
          <cell r="A781" t="str">
            <v>M1</v>
          </cell>
          <cell r="B781" t="str">
            <v>A5C</v>
          </cell>
          <cell r="C781" t="str">
            <v>P</v>
          </cell>
          <cell r="D781" t="str">
            <v>22081</v>
          </cell>
          <cell r="E781" t="str">
            <v>E RED</v>
          </cell>
          <cell r="F781">
            <v>2</v>
          </cell>
          <cell r="G781" t="str">
            <v>CB300604080302</v>
          </cell>
          <cell r="H781">
            <v>3</v>
          </cell>
          <cell r="I781">
            <v>2</v>
          </cell>
          <cell r="J781">
            <v>2</v>
          </cell>
          <cell r="K781">
            <v>3</v>
          </cell>
        </row>
        <row r="782">
          <cell r="A782" t="str">
            <v>M1</v>
          </cell>
          <cell r="B782" t="str">
            <v>A5C</v>
          </cell>
          <cell r="C782" t="str">
            <v>P</v>
          </cell>
          <cell r="D782" t="str">
            <v>22153</v>
          </cell>
          <cell r="E782" t="str">
            <v>SOL</v>
          </cell>
          <cell r="F782">
            <v>2</v>
          </cell>
          <cell r="G782" t="str">
            <v>CB39020000030T</v>
          </cell>
          <cell r="H782">
            <v>3</v>
          </cell>
          <cell r="I782">
            <v>0.75</v>
          </cell>
          <cell r="J782">
            <v>4</v>
          </cell>
          <cell r="K782">
            <v>5</v>
          </cell>
        </row>
        <row r="783">
          <cell r="A783" t="str">
            <v>M1</v>
          </cell>
          <cell r="B783" t="str">
            <v>A5C</v>
          </cell>
          <cell r="C783" t="str">
            <v>TRIM</v>
          </cell>
          <cell r="D783" t="str">
            <v>V-2211</v>
          </cell>
          <cell r="E783" t="str">
            <v>SOL</v>
          </cell>
          <cell r="F783">
            <v>2</v>
          </cell>
          <cell r="G783" t="str">
            <v>CB39020000030T</v>
          </cell>
          <cell r="H783">
            <v>3</v>
          </cell>
          <cell r="I783">
            <v>0.75</v>
          </cell>
          <cell r="J783">
            <v>5</v>
          </cell>
          <cell r="K783">
            <v>6</v>
          </cell>
        </row>
        <row r="784">
          <cell r="A784" t="str">
            <v>M1</v>
          </cell>
          <cell r="B784" t="str">
            <v>A5C</v>
          </cell>
          <cell r="C784" t="str">
            <v>P</v>
          </cell>
          <cell r="D784" t="str">
            <v>22081</v>
          </cell>
          <cell r="E784" t="str">
            <v>SOL</v>
          </cell>
          <cell r="F784">
            <v>2</v>
          </cell>
          <cell r="G784" t="str">
            <v>CB39020000030T</v>
          </cell>
          <cell r="H784">
            <v>3</v>
          </cell>
          <cell r="I784">
            <v>0.75</v>
          </cell>
          <cell r="J784">
            <v>3</v>
          </cell>
          <cell r="K784">
            <v>4</v>
          </cell>
        </row>
        <row r="785">
          <cell r="A785" t="str">
            <v>M1</v>
          </cell>
          <cell r="B785" t="str">
            <v>A5C</v>
          </cell>
          <cell r="C785" t="str">
            <v>P</v>
          </cell>
          <cell r="D785" t="str">
            <v>22153</v>
          </cell>
          <cell r="E785" t="str">
            <v>TEE</v>
          </cell>
          <cell r="F785">
            <v>2</v>
          </cell>
          <cell r="G785" t="str">
            <v>CB300304000300</v>
          </cell>
          <cell r="H785">
            <v>3</v>
          </cell>
          <cell r="I785" t="str">
            <v>--</v>
          </cell>
          <cell r="J785">
            <v>2</v>
          </cell>
          <cell r="K785">
            <v>3</v>
          </cell>
        </row>
        <row r="786">
          <cell r="A786" t="str">
            <v>M1</v>
          </cell>
          <cell r="B786" t="str">
            <v>A5C</v>
          </cell>
          <cell r="C786" t="str">
            <v>P</v>
          </cell>
          <cell r="D786" t="str">
            <v>22134</v>
          </cell>
          <cell r="E786" t="str">
            <v>TEE</v>
          </cell>
          <cell r="F786">
            <v>2</v>
          </cell>
          <cell r="G786" t="str">
            <v>CB300304000300</v>
          </cell>
          <cell r="H786">
            <v>3</v>
          </cell>
          <cell r="I786" t="str">
            <v>--</v>
          </cell>
          <cell r="J786">
            <v>1</v>
          </cell>
          <cell r="K786">
            <v>2</v>
          </cell>
        </row>
        <row r="787">
          <cell r="A787" t="str">
            <v>M1</v>
          </cell>
          <cell r="B787" t="str">
            <v>A5C</v>
          </cell>
          <cell r="C787" t="str">
            <v>P</v>
          </cell>
          <cell r="D787" t="str">
            <v>22100</v>
          </cell>
          <cell r="E787" t="str">
            <v>45 ELL</v>
          </cell>
          <cell r="F787">
            <v>2</v>
          </cell>
          <cell r="G787" t="str">
            <v>CB300204000300</v>
          </cell>
          <cell r="H787">
            <v>3</v>
          </cell>
          <cell r="I787" t="str">
            <v>--</v>
          </cell>
          <cell r="J787">
            <v>1</v>
          </cell>
          <cell r="K787">
            <v>2</v>
          </cell>
        </row>
        <row r="788">
          <cell r="A788" t="str">
            <v>M1</v>
          </cell>
          <cell r="B788" t="str">
            <v>A5C</v>
          </cell>
          <cell r="C788" t="str">
            <v>P</v>
          </cell>
          <cell r="D788" t="str">
            <v>22090</v>
          </cell>
          <cell r="E788" t="str">
            <v>90 ELL</v>
          </cell>
          <cell r="F788">
            <v>2</v>
          </cell>
          <cell r="G788" t="str">
            <v>CB300104000300</v>
          </cell>
          <cell r="H788">
            <v>3</v>
          </cell>
          <cell r="I788" t="str">
            <v>--</v>
          </cell>
          <cell r="J788">
            <v>1</v>
          </cell>
          <cell r="K788">
            <v>2</v>
          </cell>
        </row>
        <row r="789">
          <cell r="A789" t="str">
            <v>M1</v>
          </cell>
          <cell r="B789" t="str">
            <v>A5C</v>
          </cell>
          <cell r="C789" t="str">
            <v>P</v>
          </cell>
          <cell r="D789" t="str">
            <v>22091</v>
          </cell>
          <cell r="E789" t="str">
            <v>90 ELL</v>
          </cell>
          <cell r="F789">
            <v>2</v>
          </cell>
          <cell r="G789" t="str">
            <v>CB300104000300</v>
          </cell>
          <cell r="H789">
            <v>3</v>
          </cell>
          <cell r="I789" t="str">
            <v>--</v>
          </cell>
          <cell r="J789">
            <v>3</v>
          </cell>
          <cell r="K789">
            <v>4</v>
          </cell>
        </row>
        <row r="790">
          <cell r="A790" t="str">
            <v>M1</v>
          </cell>
          <cell r="B790" t="str">
            <v>A5C</v>
          </cell>
          <cell r="C790" t="str">
            <v>P</v>
          </cell>
          <cell r="D790" t="str">
            <v>22094</v>
          </cell>
          <cell r="E790" t="str">
            <v>90 ELL</v>
          </cell>
          <cell r="F790">
            <v>2</v>
          </cell>
          <cell r="G790" t="str">
            <v>CB300104000300</v>
          </cell>
          <cell r="H790">
            <v>3</v>
          </cell>
          <cell r="I790" t="str">
            <v>--</v>
          </cell>
          <cell r="J790">
            <v>4</v>
          </cell>
          <cell r="K790">
            <v>5</v>
          </cell>
        </row>
        <row r="791">
          <cell r="A791" t="str">
            <v>M1</v>
          </cell>
          <cell r="B791" t="str">
            <v>A5C</v>
          </cell>
          <cell r="C791" t="str">
            <v>P</v>
          </cell>
          <cell r="D791" t="str">
            <v>22100</v>
          </cell>
          <cell r="E791" t="str">
            <v>90 ELL</v>
          </cell>
          <cell r="F791">
            <v>2</v>
          </cell>
          <cell r="G791" t="str">
            <v>CB300104000300</v>
          </cell>
          <cell r="H791">
            <v>3</v>
          </cell>
          <cell r="I791" t="str">
            <v>--</v>
          </cell>
          <cell r="J791">
            <v>6</v>
          </cell>
          <cell r="K791">
            <v>7</v>
          </cell>
        </row>
        <row r="792">
          <cell r="A792" t="str">
            <v>M1</v>
          </cell>
          <cell r="B792" t="str">
            <v>A5C</v>
          </cell>
          <cell r="C792" t="str">
            <v>P</v>
          </cell>
          <cell r="D792" t="str">
            <v>22090</v>
          </cell>
          <cell r="E792" t="str">
            <v>90 ELL</v>
          </cell>
          <cell r="F792">
            <v>2</v>
          </cell>
          <cell r="G792" t="str">
            <v>CB300104000300</v>
          </cell>
          <cell r="H792">
            <v>3</v>
          </cell>
          <cell r="I792" t="str">
            <v>--</v>
          </cell>
          <cell r="J792">
            <v>5</v>
          </cell>
          <cell r="K792">
            <v>6</v>
          </cell>
        </row>
        <row r="793">
          <cell r="A793" t="str">
            <v>M1</v>
          </cell>
          <cell r="B793" t="str">
            <v>A5C</v>
          </cell>
          <cell r="C793" t="str">
            <v>P</v>
          </cell>
          <cell r="D793" t="str">
            <v>22095</v>
          </cell>
          <cell r="E793" t="str">
            <v>90 ELL</v>
          </cell>
          <cell r="F793">
            <v>2</v>
          </cell>
          <cell r="G793" t="str">
            <v>CB300104000300</v>
          </cell>
          <cell r="H793">
            <v>3</v>
          </cell>
          <cell r="I793" t="str">
            <v>--</v>
          </cell>
          <cell r="J793">
            <v>4</v>
          </cell>
          <cell r="K793">
            <v>5</v>
          </cell>
        </row>
        <row r="794">
          <cell r="A794" t="str">
            <v>M1</v>
          </cell>
          <cell r="B794" t="str">
            <v>A5C</v>
          </cell>
          <cell r="C794" t="str">
            <v>P</v>
          </cell>
          <cell r="D794" t="str">
            <v>22092</v>
          </cell>
          <cell r="E794" t="str">
            <v>90 ELL</v>
          </cell>
          <cell r="F794">
            <v>2</v>
          </cell>
          <cell r="G794" t="str">
            <v>CB300104000300</v>
          </cell>
          <cell r="H794">
            <v>3</v>
          </cell>
          <cell r="I794" t="str">
            <v>--</v>
          </cell>
          <cell r="J794">
            <v>1</v>
          </cell>
          <cell r="K794">
            <v>2</v>
          </cell>
        </row>
        <row r="795">
          <cell r="A795" t="str">
            <v>M1</v>
          </cell>
          <cell r="B795" t="str">
            <v>A5C</v>
          </cell>
          <cell r="C795" t="str">
            <v>P</v>
          </cell>
          <cell r="D795" t="str">
            <v>22093</v>
          </cell>
          <cell r="E795" t="str">
            <v>90 ELL</v>
          </cell>
          <cell r="F795">
            <v>2</v>
          </cell>
          <cell r="G795" t="str">
            <v>CB300104000300</v>
          </cell>
          <cell r="H795">
            <v>3</v>
          </cell>
          <cell r="I795" t="str">
            <v>--</v>
          </cell>
          <cell r="J795">
            <v>2</v>
          </cell>
          <cell r="K795">
            <v>3</v>
          </cell>
        </row>
        <row r="796">
          <cell r="A796" t="str">
            <v>M1</v>
          </cell>
          <cell r="B796" t="str">
            <v>A5C</v>
          </cell>
          <cell r="C796" t="str">
            <v>P</v>
          </cell>
          <cell r="D796" t="str">
            <v>22094</v>
          </cell>
          <cell r="E796" t="str">
            <v>C SWG</v>
          </cell>
          <cell r="F796">
            <v>2</v>
          </cell>
          <cell r="G796" t="str">
            <v>CB1614040803IH</v>
          </cell>
          <cell r="H796">
            <v>3</v>
          </cell>
          <cell r="I796">
            <v>1.5</v>
          </cell>
          <cell r="J796">
            <v>2</v>
          </cell>
          <cell r="K796">
            <v>3</v>
          </cell>
        </row>
        <row r="797">
          <cell r="A797" t="str">
            <v>M1</v>
          </cell>
          <cell r="B797" t="str">
            <v>A5C</v>
          </cell>
          <cell r="C797" t="str">
            <v>P</v>
          </cell>
          <cell r="D797" t="str">
            <v>22095</v>
          </cell>
          <cell r="E797" t="str">
            <v>C SWG</v>
          </cell>
          <cell r="F797">
            <v>2</v>
          </cell>
          <cell r="G797" t="str">
            <v>CB1614040803IH</v>
          </cell>
          <cell r="H797">
            <v>3</v>
          </cell>
          <cell r="I797">
            <v>1.5</v>
          </cell>
          <cell r="J797">
            <v>2</v>
          </cell>
          <cell r="K797">
            <v>3</v>
          </cell>
        </row>
        <row r="798">
          <cell r="A798" t="str">
            <v>M1</v>
          </cell>
          <cell r="B798" t="str">
            <v>A5C</v>
          </cell>
          <cell r="C798" t="str">
            <v>P</v>
          </cell>
          <cell r="D798" t="str">
            <v>22090</v>
          </cell>
          <cell r="E798" t="str">
            <v>SOL</v>
          </cell>
          <cell r="F798">
            <v>2</v>
          </cell>
          <cell r="G798" t="str">
            <v>CB390200000301</v>
          </cell>
          <cell r="H798">
            <v>3</v>
          </cell>
          <cell r="I798">
            <v>1</v>
          </cell>
          <cell r="J798">
            <v>1</v>
          </cell>
          <cell r="K798">
            <v>2</v>
          </cell>
        </row>
        <row r="799">
          <cell r="A799" t="str">
            <v>M1</v>
          </cell>
          <cell r="B799" t="str">
            <v>A5C</v>
          </cell>
          <cell r="C799" t="str">
            <v>P</v>
          </cell>
          <cell r="D799" t="str">
            <v>22091</v>
          </cell>
          <cell r="E799" t="str">
            <v>SOL</v>
          </cell>
          <cell r="F799">
            <v>2</v>
          </cell>
          <cell r="G799" t="str">
            <v>CB390200000301</v>
          </cell>
          <cell r="H799">
            <v>3</v>
          </cell>
          <cell r="I799">
            <v>1</v>
          </cell>
          <cell r="J799">
            <v>1</v>
          </cell>
          <cell r="K799">
            <v>2</v>
          </cell>
        </row>
        <row r="800">
          <cell r="A800" t="str">
            <v>M1</v>
          </cell>
          <cell r="B800" t="str">
            <v>A5C</v>
          </cell>
          <cell r="C800" t="str">
            <v>P</v>
          </cell>
          <cell r="D800" t="str">
            <v>22092</v>
          </cell>
          <cell r="E800" t="str">
            <v>SOL</v>
          </cell>
          <cell r="F800">
            <v>2</v>
          </cell>
          <cell r="G800" t="str">
            <v>CB390200000301</v>
          </cell>
          <cell r="H800">
            <v>3</v>
          </cell>
          <cell r="I800">
            <v>1</v>
          </cell>
          <cell r="J800">
            <v>1</v>
          </cell>
          <cell r="K800">
            <v>2</v>
          </cell>
        </row>
        <row r="801">
          <cell r="A801" t="str">
            <v>M1</v>
          </cell>
          <cell r="B801" t="str">
            <v>A5C</v>
          </cell>
          <cell r="C801" t="str">
            <v>P</v>
          </cell>
          <cell r="D801" t="str">
            <v>22092</v>
          </cell>
          <cell r="E801" t="str">
            <v>SOL</v>
          </cell>
          <cell r="F801">
            <v>2</v>
          </cell>
          <cell r="G801" t="str">
            <v>CB39020000030T</v>
          </cell>
          <cell r="H801">
            <v>3</v>
          </cell>
          <cell r="I801">
            <v>0.75</v>
          </cell>
          <cell r="J801">
            <v>1</v>
          </cell>
          <cell r="K801">
            <v>2</v>
          </cell>
        </row>
        <row r="802">
          <cell r="A802" t="str">
            <v>M1</v>
          </cell>
          <cell r="B802" t="str">
            <v>A5C</v>
          </cell>
          <cell r="C802" t="str">
            <v>P</v>
          </cell>
          <cell r="D802" t="str">
            <v>22095</v>
          </cell>
          <cell r="E802" t="str">
            <v>SOL</v>
          </cell>
          <cell r="F802">
            <v>2</v>
          </cell>
          <cell r="G802" t="str">
            <v>CB39020000030T</v>
          </cell>
          <cell r="H802">
            <v>3</v>
          </cell>
          <cell r="I802">
            <v>0.75</v>
          </cell>
          <cell r="J802">
            <v>5</v>
          </cell>
          <cell r="K802">
            <v>6</v>
          </cell>
        </row>
        <row r="803">
          <cell r="A803" t="str">
            <v>M1</v>
          </cell>
          <cell r="B803" t="str">
            <v>A5C</v>
          </cell>
          <cell r="C803" t="str">
            <v>P</v>
          </cell>
          <cell r="D803" t="str">
            <v>22090</v>
          </cell>
          <cell r="E803" t="str">
            <v>SOL</v>
          </cell>
          <cell r="F803">
            <v>2</v>
          </cell>
          <cell r="G803" t="str">
            <v>CB39020000030T</v>
          </cell>
          <cell r="H803">
            <v>3</v>
          </cell>
          <cell r="I803">
            <v>0.75</v>
          </cell>
          <cell r="J803">
            <v>1</v>
          </cell>
          <cell r="K803">
            <v>2</v>
          </cell>
        </row>
        <row r="804">
          <cell r="A804" t="str">
            <v>M1</v>
          </cell>
          <cell r="B804" t="str">
            <v>A5C</v>
          </cell>
          <cell r="C804" t="str">
            <v>P</v>
          </cell>
          <cell r="D804" t="str">
            <v>22093</v>
          </cell>
          <cell r="E804" t="str">
            <v>SOL</v>
          </cell>
          <cell r="F804">
            <v>2</v>
          </cell>
          <cell r="G804" t="str">
            <v>CB39020000030T</v>
          </cell>
          <cell r="H804">
            <v>3</v>
          </cell>
          <cell r="I804">
            <v>0.75</v>
          </cell>
          <cell r="J804">
            <v>1</v>
          </cell>
          <cell r="K804">
            <v>2</v>
          </cell>
        </row>
        <row r="805">
          <cell r="A805" t="str">
            <v>M1</v>
          </cell>
          <cell r="B805" t="str">
            <v>A5C</v>
          </cell>
          <cell r="C805" t="str">
            <v>P</v>
          </cell>
          <cell r="D805" t="str">
            <v>22093</v>
          </cell>
          <cell r="E805" t="str">
            <v>SOL</v>
          </cell>
          <cell r="F805">
            <v>2</v>
          </cell>
          <cell r="G805" t="str">
            <v>CB390200000301</v>
          </cell>
          <cell r="H805">
            <v>3</v>
          </cell>
          <cell r="I805">
            <v>1</v>
          </cell>
          <cell r="J805">
            <v>1</v>
          </cell>
          <cell r="K805">
            <v>2</v>
          </cell>
        </row>
        <row r="806">
          <cell r="A806" t="str">
            <v>M1</v>
          </cell>
          <cell r="B806" t="str">
            <v>A5C</v>
          </cell>
          <cell r="C806" t="str">
            <v>P</v>
          </cell>
          <cell r="D806" t="str">
            <v>22094</v>
          </cell>
          <cell r="E806" t="str">
            <v>SOL</v>
          </cell>
          <cell r="F806">
            <v>2</v>
          </cell>
          <cell r="G806" t="str">
            <v>CB39020000030T</v>
          </cell>
          <cell r="H806">
            <v>3</v>
          </cell>
          <cell r="I806">
            <v>0.75</v>
          </cell>
          <cell r="J806">
            <v>5</v>
          </cell>
          <cell r="K806">
            <v>6</v>
          </cell>
        </row>
        <row r="807">
          <cell r="A807" t="str">
            <v>M1</v>
          </cell>
          <cell r="B807" t="str">
            <v>A5C</v>
          </cell>
          <cell r="C807" t="str">
            <v>P</v>
          </cell>
          <cell r="D807" t="str">
            <v>22090</v>
          </cell>
          <cell r="E807" t="str">
            <v>TEE</v>
          </cell>
          <cell r="F807">
            <v>2</v>
          </cell>
          <cell r="G807" t="str">
            <v>CB300304000300</v>
          </cell>
          <cell r="H807">
            <v>3</v>
          </cell>
          <cell r="I807" t="str">
            <v>--</v>
          </cell>
          <cell r="J807">
            <v>1</v>
          </cell>
          <cell r="K807">
            <v>2</v>
          </cell>
        </row>
        <row r="808">
          <cell r="A808" t="str">
            <v>M1</v>
          </cell>
          <cell r="B808" t="str">
            <v>A5C</v>
          </cell>
          <cell r="C808" t="str">
            <v>P</v>
          </cell>
          <cell r="D808" t="str">
            <v>22092</v>
          </cell>
          <cell r="E808" t="str">
            <v>TEE</v>
          </cell>
          <cell r="F808">
            <v>2</v>
          </cell>
          <cell r="G808" t="str">
            <v>CB300304000300</v>
          </cell>
          <cell r="H808">
            <v>3</v>
          </cell>
          <cell r="I808" t="str">
            <v>--</v>
          </cell>
          <cell r="J808">
            <v>1</v>
          </cell>
          <cell r="K808">
            <v>2</v>
          </cell>
        </row>
        <row r="809">
          <cell r="A809" t="str">
            <v>M1</v>
          </cell>
          <cell r="B809" t="str">
            <v>A5C</v>
          </cell>
          <cell r="C809" t="str">
            <v>P</v>
          </cell>
          <cell r="D809" t="str">
            <v>22095</v>
          </cell>
          <cell r="E809" t="str">
            <v>TEE</v>
          </cell>
          <cell r="F809">
            <v>2</v>
          </cell>
          <cell r="G809" t="str">
            <v>CB300304000300</v>
          </cell>
          <cell r="H809">
            <v>3</v>
          </cell>
          <cell r="I809" t="str">
            <v>--</v>
          </cell>
          <cell r="J809">
            <v>1</v>
          </cell>
          <cell r="K809">
            <v>2</v>
          </cell>
        </row>
        <row r="810">
          <cell r="A810" t="str">
            <v>M1</v>
          </cell>
          <cell r="B810" t="str">
            <v>A5C</v>
          </cell>
          <cell r="C810" t="str">
            <v>P</v>
          </cell>
          <cell r="D810" t="str">
            <v>22100</v>
          </cell>
          <cell r="E810" t="str">
            <v>TEE</v>
          </cell>
          <cell r="F810">
            <v>2</v>
          </cell>
          <cell r="G810" t="str">
            <v>CB300304000300</v>
          </cell>
          <cell r="H810">
            <v>3</v>
          </cell>
          <cell r="I810" t="str">
            <v>--</v>
          </cell>
          <cell r="J810">
            <v>1</v>
          </cell>
          <cell r="K810">
            <v>2</v>
          </cell>
        </row>
        <row r="811">
          <cell r="A811" t="str">
            <v>M1</v>
          </cell>
          <cell r="B811" t="str">
            <v>A5C</v>
          </cell>
          <cell r="C811" t="str">
            <v>P</v>
          </cell>
          <cell r="D811" t="str">
            <v>22090</v>
          </cell>
          <cell r="E811" t="str">
            <v>TEE</v>
          </cell>
          <cell r="F811">
            <v>2</v>
          </cell>
          <cell r="G811" t="str">
            <v>CB300304000300</v>
          </cell>
          <cell r="H811">
            <v>3</v>
          </cell>
          <cell r="I811" t="str">
            <v>--</v>
          </cell>
          <cell r="J811">
            <v>1</v>
          </cell>
          <cell r="K811">
            <v>2</v>
          </cell>
        </row>
        <row r="812">
          <cell r="A812" t="str">
            <v>M1</v>
          </cell>
          <cell r="B812" t="str">
            <v>A5C</v>
          </cell>
          <cell r="C812" t="str">
            <v>P</v>
          </cell>
          <cell r="D812" t="str">
            <v>22094</v>
          </cell>
          <cell r="E812" t="str">
            <v>TEE</v>
          </cell>
          <cell r="F812">
            <v>2</v>
          </cell>
          <cell r="G812" t="str">
            <v>CB300304000300</v>
          </cell>
          <cell r="H812">
            <v>3</v>
          </cell>
          <cell r="I812" t="str">
            <v>--</v>
          </cell>
          <cell r="J812">
            <v>1</v>
          </cell>
          <cell r="K812">
            <v>2</v>
          </cell>
        </row>
        <row r="813">
          <cell r="A813" t="str">
            <v>M1</v>
          </cell>
          <cell r="B813" t="str">
            <v>A5C</v>
          </cell>
          <cell r="C813" t="str">
            <v>P</v>
          </cell>
          <cell r="D813" t="str">
            <v>22004</v>
          </cell>
          <cell r="E813" t="str">
            <v>45 ELL</v>
          </cell>
          <cell r="F813">
            <v>2</v>
          </cell>
          <cell r="G813" t="str">
            <v>CB300204000300</v>
          </cell>
          <cell r="H813">
            <v>3</v>
          </cell>
          <cell r="I813" t="str">
            <v>--</v>
          </cell>
          <cell r="J813">
            <v>2</v>
          </cell>
          <cell r="K813">
            <v>3</v>
          </cell>
        </row>
        <row r="814">
          <cell r="A814" t="str">
            <v>M1</v>
          </cell>
          <cell r="B814" t="str">
            <v>A5C</v>
          </cell>
          <cell r="C814" t="str">
            <v>P</v>
          </cell>
          <cell r="D814" t="str">
            <v>22061</v>
          </cell>
          <cell r="E814" t="str">
            <v>45 ELL</v>
          </cell>
          <cell r="F814">
            <v>2</v>
          </cell>
          <cell r="G814" t="str">
            <v>CB300204000300</v>
          </cell>
          <cell r="H814">
            <v>3</v>
          </cell>
          <cell r="I814" t="str">
            <v>--</v>
          </cell>
          <cell r="J814">
            <v>2</v>
          </cell>
          <cell r="K814">
            <v>3</v>
          </cell>
        </row>
        <row r="815">
          <cell r="A815" t="str">
            <v>M1</v>
          </cell>
          <cell r="B815" t="str">
            <v>A5C</v>
          </cell>
          <cell r="C815" t="str">
            <v>P</v>
          </cell>
          <cell r="D815" t="str">
            <v>22026</v>
          </cell>
          <cell r="E815" t="str">
            <v>45 ELL</v>
          </cell>
          <cell r="F815">
            <v>2</v>
          </cell>
          <cell r="G815" t="str">
            <v>CB300204000300</v>
          </cell>
          <cell r="H815">
            <v>3</v>
          </cell>
          <cell r="I815" t="str">
            <v>--</v>
          </cell>
          <cell r="J815">
            <v>1</v>
          </cell>
          <cell r="K815">
            <v>2</v>
          </cell>
        </row>
        <row r="816">
          <cell r="A816" t="str">
            <v>M1</v>
          </cell>
          <cell r="B816" t="str">
            <v>A5C</v>
          </cell>
          <cell r="C816" t="str">
            <v>P</v>
          </cell>
          <cell r="D816" t="str">
            <v>22003</v>
          </cell>
          <cell r="E816" t="str">
            <v>90 ELL</v>
          </cell>
          <cell r="F816">
            <v>2</v>
          </cell>
          <cell r="G816" t="str">
            <v>CB300104000300</v>
          </cell>
          <cell r="H816">
            <v>3</v>
          </cell>
          <cell r="I816" t="str">
            <v>--</v>
          </cell>
          <cell r="J816">
            <v>5</v>
          </cell>
          <cell r="K816">
            <v>6</v>
          </cell>
        </row>
        <row r="817">
          <cell r="A817" t="str">
            <v>M1</v>
          </cell>
          <cell r="B817" t="str">
            <v>A4C</v>
          </cell>
          <cell r="C817" t="str">
            <v>P</v>
          </cell>
          <cell r="D817" t="str">
            <v>22003</v>
          </cell>
          <cell r="E817" t="str">
            <v>90 ELL</v>
          </cell>
          <cell r="F817">
            <v>2</v>
          </cell>
          <cell r="G817" t="str">
            <v>CB300104000300</v>
          </cell>
          <cell r="H817">
            <v>3</v>
          </cell>
          <cell r="I817" t="str">
            <v>--</v>
          </cell>
          <cell r="J817">
            <v>6</v>
          </cell>
          <cell r="K817">
            <v>7</v>
          </cell>
        </row>
        <row r="818">
          <cell r="A818" t="str">
            <v>M1</v>
          </cell>
          <cell r="B818" t="str">
            <v>A5C</v>
          </cell>
          <cell r="C818" t="str">
            <v>P</v>
          </cell>
          <cell r="D818" t="str">
            <v>22004</v>
          </cell>
          <cell r="E818" t="str">
            <v>90 ELL</v>
          </cell>
          <cell r="F818">
            <v>2</v>
          </cell>
          <cell r="G818" t="str">
            <v>CB300104000300</v>
          </cell>
          <cell r="H818">
            <v>3</v>
          </cell>
          <cell r="I818" t="str">
            <v>--</v>
          </cell>
          <cell r="J818">
            <v>3</v>
          </cell>
          <cell r="K818">
            <v>4</v>
          </cell>
        </row>
        <row r="819">
          <cell r="A819" t="str">
            <v>M1</v>
          </cell>
          <cell r="B819" t="str">
            <v>A5C</v>
          </cell>
          <cell r="C819" t="str">
            <v>P</v>
          </cell>
          <cell r="D819" t="str">
            <v>22004</v>
          </cell>
          <cell r="E819" t="str">
            <v>90 ELL</v>
          </cell>
          <cell r="F819">
            <v>2</v>
          </cell>
          <cell r="G819" t="str">
            <v>CB300104000300</v>
          </cell>
          <cell r="H819">
            <v>3</v>
          </cell>
          <cell r="I819" t="str">
            <v>--</v>
          </cell>
          <cell r="J819">
            <v>2</v>
          </cell>
          <cell r="K819">
            <v>3</v>
          </cell>
        </row>
        <row r="820">
          <cell r="A820" t="str">
            <v>M1</v>
          </cell>
          <cell r="B820" t="str">
            <v>A5C</v>
          </cell>
          <cell r="C820" t="str">
            <v>P</v>
          </cell>
          <cell r="D820" t="str">
            <v>22005</v>
          </cell>
          <cell r="E820" t="str">
            <v>90 ELL</v>
          </cell>
          <cell r="F820">
            <v>2</v>
          </cell>
          <cell r="G820" t="str">
            <v>CB300104000300</v>
          </cell>
          <cell r="H820">
            <v>3</v>
          </cell>
          <cell r="I820" t="str">
            <v>--</v>
          </cell>
          <cell r="J820">
            <v>4</v>
          </cell>
          <cell r="K820">
            <v>5</v>
          </cell>
        </row>
        <row r="821">
          <cell r="A821" t="str">
            <v>M1</v>
          </cell>
          <cell r="B821" t="str">
            <v>A5C</v>
          </cell>
          <cell r="C821" t="str">
            <v>P</v>
          </cell>
          <cell r="D821" t="str">
            <v>22001</v>
          </cell>
          <cell r="E821" t="str">
            <v>90 ELL</v>
          </cell>
          <cell r="F821">
            <v>2</v>
          </cell>
          <cell r="G821" t="str">
            <v>CB300104000300</v>
          </cell>
          <cell r="H821">
            <v>3</v>
          </cell>
          <cell r="I821" t="str">
            <v>--</v>
          </cell>
          <cell r="J821">
            <v>14</v>
          </cell>
          <cell r="K821">
            <v>16</v>
          </cell>
        </row>
        <row r="822">
          <cell r="A822" t="str">
            <v>M1</v>
          </cell>
          <cell r="B822" t="str">
            <v>A5C</v>
          </cell>
          <cell r="C822" t="str">
            <v>P</v>
          </cell>
          <cell r="D822" t="str">
            <v>22026</v>
          </cell>
          <cell r="E822" t="str">
            <v>90 ELL</v>
          </cell>
          <cell r="F822">
            <v>2</v>
          </cell>
          <cell r="G822" t="str">
            <v>CB300104000300</v>
          </cell>
          <cell r="H822">
            <v>3</v>
          </cell>
          <cell r="I822" t="str">
            <v>--</v>
          </cell>
          <cell r="J822">
            <v>3</v>
          </cell>
          <cell r="K822">
            <v>4</v>
          </cell>
        </row>
        <row r="823">
          <cell r="A823" t="str">
            <v>M1</v>
          </cell>
          <cell r="B823" t="str">
            <v>A5C</v>
          </cell>
          <cell r="C823" t="str">
            <v>P</v>
          </cell>
          <cell r="D823" t="str">
            <v>22004</v>
          </cell>
          <cell r="E823" t="str">
            <v>C RED</v>
          </cell>
          <cell r="F823">
            <v>2</v>
          </cell>
          <cell r="G823" t="str">
            <v>CB300504080302</v>
          </cell>
          <cell r="H823">
            <v>3</v>
          </cell>
          <cell r="I823">
            <v>2</v>
          </cell>
          <cell r="J823">
            <v>1</v>
          </cell>
          <cell r="K823">
            <v>2</v>
          </cell>
        </row>
        <row r="824">
          <cell r="A824" t="str">
            <v>M1</v>
          </cell>
          <cell r="B824" t="str">
            <v>A5C</v>
          </cell>
          <cell r="C824" t="str">
            <v>P</v>
          </cell>
          <cell r="D824" t="str">
            <v>22004</v>
          </cell>
          <cell r="E824" t="str">
            <v>C RED</v>
          </cell>
          <cell r="F824">
            <v>2</v>
          </cell>
          <cell r="G824" t="str">
            <v>CB300504080302</v>
          </cell>
          <cell r="H824">
            <v>3</v>
          </cell>
          <cell r="I824">
            <v>2</v>
          </cell>
          <cell r="J824">
            <v>1</v>
          </cell>
          <cell r="K824">
            <v>2</v>
          </cell>
        </row>
        <row r="825">
          <cell r="A825" t="str">
            <v>M1</v>
          </cell>
          <cell r="B825" t="str">
            <v>A5C</v>
          </cell>
          <cell r="C825" t="str">
            <v>P</v>
          </cell>
          <cell r="D825" t="str">
            <v>22003</v>
          </cell>
          <cell r="E825" t="str">
            <v>SOL</v>
          </cell>
          <cell r="F825">
            <v>2</v>
          </cell>
          <cell r="G825" t="str">
            <v>CB39020000030T</v>
          </cell>
          <cell r="H825">
            <v>3</v>
          </cell>
          <cell r="I825">
            <v>0.75</v>
          </cell>
          <cell r="J825">
            <v>2</v>
          </cell>
          <cell r="K825">
            <v>3</v>
          </cell>
        </row>
        <row r="826">
          <cell r="A826" t="str">
            <v>M1</v>
          </cell>
          <cell r="B826" t="str">
            <v>A5C</v>
          </cell>
          <cell r="C826" t="str">
            <v>P</v>
          </cell>
          <cell r="D826" t="str">
            <v>22003</v>
          </cell>
          <cell r="E826" t="str">
            <v>SOL</v>
          </cell>
          <cell r="F826">
            <v>2</v>
          </cell>
          <cell r="G826" t="str">
            <v>CB390200000301</v>
          </cell>
          <cell r="H826">
            <v>3</v>
          </cell>
          <cell r="I826">
            <v>1</v>
          </cell>
          <cell r="J826">
            <v>1</v>
          </cell>
          <cell r="K826">
            <v>2</v>
          </cell>
        </row>
        <row r="827">
          <cell r="A827" t="str">
            <v>M1</v>
          </cell>
          <cell r="B827" t="str">
            <v>A5C</v>
          </cell>
          <cell r="C827" t="str">
            <v>P</v>
          </cell>
          <cell r="D827" t="str">
            <v>22004</v>
          </cell>
          <cell r="E827" t="str">
            <v>SOL</v>
          </cell>
          <cell r="F827">
            <v>2</v>
          </cell>
          <cell r="G827" t="str">
            <v>CB39020000030T</v>
          </cell>
          <cell r="H827">
            <v>3</v>
          </cell>
          <cell r="I827">
            <v>0.75</v>
          </cell>
          <cell r="J827">
            <v>1</v>
          </cell>
          <cell r="K827">
            <v>2</v>
          </cell>
        </row>
        <row r="828">
          <cell r="A828" t="str">
            <v>M1</v>
          </cell>
          <cell r="B828" t="str">
            <v>A5C</v>
          </cell>
          <cell r="C828" t="str">
            <v>P</v>
          </cell>
          <cell r="D828" t="str">
            <v>22004</v>
          </cell>
          <cell r="E828" t="str">
            <v>SOL</v>
          </cell>
          <cell r="F828">
            <v>2</v>
          </cell>
          <cell r="G828" t="str">
            <v>CB3902000003IH</v>
          </cell>
          <cell r="H828">
            <v>3</v>
          </cell>
          <cell r="I828">
            <v>1.5</v>
          </cell>
          <cell r="J828">
            <v>1</v>
          </cell>
          <cell r="K828">
            <v>2</v>
          </cell>
        </row>
        <row r="829">
          <cell r="A829" t="str">
            <v>M1</v>
          </cell>
          <cell r="B829" t="str">
            <v>A5C</v>
          </cell>
          <cell r="C829" t="str">
            <v>P</v>
          </cell>
          <cell r="D829" t="str">
            <v>22005</v>
          </cell>
          <cell r="E829" t="str">
            <v>SOL</v>
          </cell>
          <cell r="F829">
            <v>2</v>
          </cell>
          <cell r="G829" t="str">
            <v>CB39020000030T</v>
          </cell>
          <cell r="H829">
            <v>3</v>
          </cell>
          <cell r="I829">
            <v>0.75</v>
          </cell>
          <cell r="J829">
            <v>1</v>
          </cell>
          <cell r="K829">
            <v>2</v>
          </cell>
        </row>
        <row r="830">
          <cell r="A830" t="str">
            <v>M1</v>
          </cell>
          <cell r="B830" t="str">
            <v>A5C</v>
          </cell>
          <cell r="C830" t="str">
            <v>P</v>
          </cell>
          <cell r="D830" t="str">
            <v>22001</v>
          </cell>
          <cell r="E830" t="str">
            <v>SOL</v>
          </cell>
          <cell r="F830">
            <v>2</v>
          </cell>
          <cell r="G830" t="str">
            <v>CB39020000030T</v>
          </cell>
          <cell r="H830">
            <v>3</v>
          </cell>
          <cell r="I830">
            <v>0.75</v>
          </cell>
          <cell r="J830">
            <v>3</v>
          </cell>
          <cell r="K830">
            <v>4</v>
          </cell>
        </row>
        <row r="831">
          <cell r="A831" t="str">
            <v>M1</v>
          </cell>
          <cell r="B831" t="str">
            <v>A5C</v>
          </cell>
          <cell r="C831" t="str">
            <v>P</v>
          </cell>
          <cell r="D831" t="str">
            <v>22001</v>
          </cell>
          <cell r="E831" t="str">
            <v>SOL</v>
          </cell>
          <cell r="F831">
            <v>2</v>
          </cell>
          <cell r="G831" t="str">
            <v>CB390200000301</v>
          </cell>
          <cell r="H831">
            <v>3</v>
          </cell>
          <cell r="I831">
            <v>1</v>
          </cell>
          <cell r="J831">
            <v>1</v>
          </cell>
          <cell r="K831">
            <v>2</v>
          </cell>
        </row>
        <row r="832">
          <cell r="A832" t="str">
            <v>M1</v>
          </cell>
          <cell r="B832" t="str">
            <v>A5C</v>
          </cell>
          <cell r="C832" t="str">
            <v>P</v>
          </cell>
          <cell r="D832" t="str">
            <v>22001</v>
          </cell>
          <cell r="E832" t="str">
            <v>SOL</v>
          </cell>
          <cell r="F832">
            <v>2</v>
          </cell>
          <cell r="G832" t="str">
            <v>CB3902000003IH</v>
          </cell>
          <cell r="H832">
            <v>3</v>
          </cell>
          <cell r="I832">
            <v>1.5</v>
          </cell>
          <cell r="J832">
            <v>1</v>
          </cell>
          <cell r="K832">
            <v>2</v>
          </cell>
        </row>
        <row r="833">
          <cell r="A833" t="str">
            <v>M1</v>
          </cell>
          <cell r="B833" t="str">
            <v>A5C</v>
          </cell>
          <cell r="C833" t="str">
            <v>TRIM</v>
          </cell>
          <cell r="D833" t="str">
            <v>V-2213</v>
          </cell>
          <cell r="E833" t="str">
            <v>SOL</v>
          </cell>
          <cell r="F833">
            <v>2</v>
          </cell>
          <cell r="G833" t="str">
            <v>CB39020000030T</v>
          </cell>
          <cell r="H833">
            <v>3</v>
          </cell>
          <cell r="I833">
            <v>0.75</v>
          </cell>
          <cell r="J833">
            <v>1</v>
          </cell>
          <cell r="K833">
            <v>2</v>
          </cell>
        </row>
        <row r="834">
          <cell r="A834" t="str">
            <v>M1</v>
          </cell>
          <cell r="B834" t="str">
            <v>A5C</v>
          </cell>
          <cell r="C834" t="str">
            <v>P</v>
          </cell>
          <cell r="D834" t="str">
            <v>22003</v>
          </cell>
          <cell r="E834" t="str">
            <v>TEE</v>
          </cell>
          <cell r="F834">
            <v>2</v>
          </cell>
          <cell r="G834" t="str">
            <v>CB300304000300</v>
          </cell>
          <cell r="H834">
            <v>3</v>
          </cell>
          <cell r="I834" t="str">
            <v>--</v>
          </cell>
          <cell r="J834">
            <v>2</v>
          </cell>
          <cell r="K834">
            <v>3</v>
          </cell>
        </row>
        <row r="835">
          <cell r="A835" t="str">
            <v>M1</v>
          </cell>
          <cell r="B835" t="str">
            <v>A5C</v>
          </cell>
          <cell r="C835" t="str">
            <v>P</v>
          </cell>
          <cell r="D835" t="str">
            <v>22004</v>
          </cell>
          <cell r="E835" t="str">
            <v>TEE</v>
          </cell>
          <cell r="F835">
            <v>2</v>
          </cell>
          <cell r="G835" t="str">
            <v>CB300304000300</v>
          </cell>
          <cell r="H835">
            <v>3</v>
          </cell>
          <cell r="I835" t="str">
            <v>--</v>
          </cell>
          <cell r="J835">
            <v>2</v>
          </cell>
          <cell r="K835">
            <v>3</v>
          </cell>
        </row>
        <row r="836">
          <cell r="A836" t="str">
            <v>M1</v>
          </cell>
          <cell r="B836" t="str">
            <v>A5C</v>
          </cell>
          <cell r="C836" t="str">
            <v>P</v>
          </cell>
          <cell r="D836" t="str">
            <v>22026</v>
          </cell>
          <cell r="E836" t="str">
            <v>TEE</v>
          </cell>
          <cell r="F836">
            <v>2</v>
          </cell>
          <cell r="G836" t="str">
            <v>CB300304000300</v>
          </cell>
          <cell r="H836">
            <v>3</v>
          </cell>
          <cell r="I836" t="str">
            <v>--</v>
          </cell>
          <cell r="J836">
            <v>2</v>
          </cell>
          <cell r="K836">
            <v>3</v>
          </cell>
        </row>
        <row r="837">
          <cell r="A837" t="str">
            <v>M1</v>
          </cell>
          <cell r="B837" t="str">
            <v>A4C</v>
          </cell>
          <cell r="C837" t="str">
            <v>P</v>
          </cell>
          <cell r="D837" t="str">
            <v>22003</v>
          </cell>
          <cell r="E837" t="str">
            <v>TOL</v>
          </cell>
          <cell r="F837">
            <v>2</v>
          </cell>
          <cell r="G837" t="str">
            <v>CB39030000030T</v>
          </cell>
          <cell r="H837">
            <v>3</v>
          </cell>
          <cell r="I837">
            <v>0.75</v>
          </cell>
          <cell r="J837">
            <v>1</v>
          </cell>
          <cell r="K837">
            <v>2</v>
          </cell>
        </row>
        <row r="838">
          <cell r="A838" t="str">
            <v>M1</v>
          </cell>
          <cell r="B838" t="str">
            <v>A6C</v>
          </cell>
          <cell r="C838" t="str">
            <v>HOR</v>
          </cell>
          <cell r="D838" t="str">
            <v>65621</v>
          </cell>
          <cell r="E838" t="str">
            <v>90 ELL</v>
          </cell>
          <cell r="F838">
            <v>2</v>
          </cell>
          <cell r="G838" t="str">
            <v>CB300104000300</v>
          </cell>
          <cell r="H838">
            <v>3</v>
          </cell>
          <cell r="I838" t="str">
            <v>--</v>
          </cell>
          <cell r="J838">
            <v>3</v>
          </cell>
          <cell r="K838">
            <v>4</v>
          </cell>
        </row>
        <row r="839">
          <cell r="A839" t="str">
            <v>M1</v>
          </cell>
          <cell r="B839" t="str">
            <v>A6C</v>
          </cell>
          <cell r="C839" t="str">
            <v>HOR</v>
          </cell>
          <cell r="D839" t="str">
            <v>65813</v>
          </cell>
          <cell r="E839" t="str">
            <v>90 ELL</v>
          </cell>
          <cell r="F839">
            <v>2</v>
          </cell>
          <cell r="G839" t="str">
            <v>CB300104000300</v>
          </cell>
          <cell r="H839">
            <v>3</v>
          </cell>
          <cell r="I839" t="str">
            <v>--</v>
          </cell>
          <cell r="J839">
            <v>1</v>
          </cell>
          <cell r="K839">
            <v>2</v>
          </cell>
        </row>
        <row r="840">
          <cell r="A840" t="str">
            <v>M1</v>
          </cell>
          <cell r="B840" t="str">
            <v>A6C</v>
          </cell>
          <cell r="C840" t="str">
            <v>HOS</v>
          </cell>
          <cell r="D840" t="str">
            <v>65612</v>
          </cell>
          <cell r="E840" t="str">
            <v>90 ELL</v>
          </cell>
          <cell r="F840">
            <v>2</v>
          </cell>
          <cell r="G840" t="str">
            <v>CB300104000300</v>
          </cell>
          <cell r="H840">
            <v>3</v>
          </cell>
          <cell r="I840" t="str">
            <v>--</v>
          </cell>
          <cell r="J840">
            <v>5</v>
          </cell>
          <cell r="K840">
            <v>6</v>
          </cell>
        </row>
        <row r="841">
          <cell r="A841" t="str">
            <v>M1</v>
          </cell>
          <cell r="B841" t="str">
            <v>A6C</v>
          </cell>
          <cell r="C841" t="str">
            <v>HOS</v>
          </cell>
          <cell r="D841" t="str">
            <v>65634</v>
          </cell>
          <cell r="E841" t="str">
            <v>90 ELL</v>
          </cell>
          <cell r="F841">
            <v>2</v>
          </cell>
          <cell r="G841" t="str">
            <v>CB300104000300</v>
          </cell>
          <cell r="H841">
            <v>3</v>
          </cell>
          <cell r="I841" t="str">
            <v>--</v>
          </cell>
          <cell r="J841">
            <v>4</v>
          </cell>
          <cell r="K841">
            <v>5</v>
          </cell>
        </row>
        <row r="842">
          <cell r="A842" t="str">
            <v>M1</v>
          </cell>
          <cell r="B842" t="str">
            <v>A5C</v>
          </cell>
          <cell r="C842" t="str">
            <v>P</v>
          </cell>
          <cell r="D842" t="str">
            <v>22088</v>
          </cell>
          <cell r="E842" t="str">
            <v>90 ELL</v>
          </cell>
          <cell r="F842">
            <v>2</v>
          </cell>
          <cell r="G842" t="str">
            <v>CB300104000300</v>
          </cell>
          <cell r="H842">
            <v>3</v>
          </cell>
          <cell r="I842" t="str">
            <v>--</v>
          </cell>
          <cell r="J842">
            <v>11</v>
          </cell>
          <cell r="K842">
            <v>13</v>
          </cell>
        </row>
        <row r="843">
          <cell r="A843" t="str">
            <v>M1</v>
          </cell>
          <cell r="B843" t="str">
            <v>A5C</v>
          </cell>
          <cell r="C843" t="str">
            <v>P</v>
          </cell>
          <cell r="D843" t="str">
            <v>22089</v>
          </cell>
          <cell r="E843" t="str">
            <v>90 ELL</v>
          </cell>
          <cell r="F843">
            <v>2</v>
          </cell>
          <cell r="G843" t="str">
            <v>CB300104000300</v>
          </cell>
          <cell r="H843">
            <v>3</v>
          </cell>
          <cell r="I843" t="str">
            <v>--</v>
          </cell>
          <cell r="J843">
            <v>5</v>
          </cell>
          <cell r="K843">
            <v>6</v>
          </cell>
        </row>
        <row r="844">
          <cell r="A844" t="str">
            <v>M1</v>
          </cell>
          <cell r="B844" t="str">
            <v>A5C</v>
          </cell>
          <cell r="C844" t="str">
            <v>P</v>
          </cell>
          <cell r="D844" t="str">
            <v>22096</v>
          </cell>
          <cell r="E844" t="str">
            <v>90 ELL</v>
          </cell>
          <cell r="F844">
            <v>2</v>
          </cell>
          <cell r="G844" t="str">
            <v>CB300104000300</v>
          </cell>
          <cell r="H844">
            <v>3</v>
          </cell>
          <cell r="I844" t="str">
            <v>--</v>
          </cell>
          <cell r="J844">
            <v>2</v>
          </cell>
          <cell r="K844">
            <v>3</v>
          </cell>
        </row>
        <row r="845">
          <cell r="A845" t="str">
            <v>M1</v>
          </cell>
          <cell r="B845" t="str">
            <v>A5C</v>
          </cell>
          <cell r="C845" t="str">
            <v>TRIM</v>
          </cell>
          <cell r="D845" t="str">
            <v>V-2216A</v>
          </cell>
          <cell r="E845" t="str">
            <v>90 ELL</v>
          </cell>
          <cell r="F845">
            <v>2</v>
          </cell>
          <cell r="G845" t="str">
            <v>CB300104000300</v>
          </cell>
          <cell r="H845">
            <v>3</v>
          </cell>
          <cell r="I845" t="str">
            <v>--</v>
          </cell>
          <cell r="J845">
            <v>1</v>
          </cell>
          <cell r="K845">
            <v>2</v>
          </cell>
        </row>
        <row r="846">
          <cell r="A846" t="str">
            <v>M1</v>
          </cell>
          <cell r="B846" t="str">
            <v>A5C</v>
          </cell>
          <cell r="C846" t="str">
            <v>TRIM</v>
          </cell>
          <cell r="D846" t="str">
            <v>V-2216B</v>
          </cell>
          <cell r="E846" t="str">
            <v>90 ELL</v>
          </cell>
          <cell r="F846">
            <v>2</v>
          </cell>
          <cell r="G846" t="str">
            <v>CB300104000300</v>
          </cell>
          <cell r="H846">
            <v>3</v>
          </cell>
          <cell r="I846" t="str">
            <v>--</v>
          </cell>
          <cell r="J846">
            <v>1</v>
          </cell>
          <cell r="K846">
            <v>2</v>
          </cell>
        </row>
        <row r="847">
          <cell r="A847" t="str">
            <v>M1</v>
          </cell>
          <cell r="B847" t="str">
            <v>A4C</v>
          </cell>
          <cell r="C847" t="str">
            <v>P</v>
          </cell>
          <cell r="D847" t="str">
            <v>22031</v>
          </cell>
          <cell r="E847" t="str">
            <v>C RED</v>
          </cell>
          <cell r="F847">
            <v>2</v>
          </cell>
          <cell r="G847" t="str">
            <v>CB300504080302</v>
          </cell>
          <cell r="H847">
            <v>3</v>
          </cell>
          <cell r="I847">
            <v>2</v>
          </cell>
          <cell r="J847">
            <v>5</v>
          </cell>
          <cell r="K847">
            <v>6</v>
          </cell>
        </row>
        <row r="848">
          <cell r="A848" t="str">
            <v>M1</v>
          </cell>
          <cell r="B848" t="str">
            <v>A4C</v>
          </cell>
          <cell r="C848" t="str">
            <v>P</v>
          </cell>
          <cell r="D848" t="str">
            <v>22031</v>
          </cell>
          <cell r="E848" t="str">
            <v>C RED</v>
          </cell>
          <cell r="F848">
            <v>2</v>
          </cell>
          <cell r="G848" t="str">
            <v>CB300504080302</v>
          </cell>
          <cell r="H848">
            <v>3</v>
          </cell>
          <cell r="I848">
            <v>2</v>
          </cell>
          <cell r="J848">
            <v>1</v>
          </cell>
          <cell r="K848">
            <v>2</v>
          </cell>
        </row>
        <row r="849">
          <cell r="A849" t="str">
            <v>M1</v>
          </cell>
          <cell r="B849" t="str">
            <v>A5C</v>
          </cell>
          <cell r="C849" t="str">
            <v>TRIM</v>
          </cell>
          <cell r="D849" t="str">
            <v>C-2201</v>
          </cell>
          <cell r="E849" t="str">
            <v>CAP</v>
          </cell>
          <cell r="F849">
            <v>2</v>
          </cell>
          <cell r="G849" t="str">
            <v>CB300704000300</v>
          </cell>
          <cell r="H849">
            <v>3</v>
          </cell>
          <cell r="I849" t="str">
            <v>--</v>
          </cell>
          <cell r="J849">
            <v>2</v>
          </cell>
          <cell r="K849">
            <v>3</v>
          </cell>
        </row>
        <row r="850">
          <cell r="A850" t="str">
            <v>M1</v>
          </cell>
          <cell r="B850" t="str">
            <v>A6C</v>
          </cell>
          <cell r="C850" t="str">
            <v>TRIM</v>
          </cell>
          <cell r="D850" t="str">
            <v>V-6501</v>
          </cell>
          <cell r="E850" t="str">
            <v>CAP</v>
          </cell>
          <cell r="F850">
            <v>2</v>
          </cell>
          <cell r="G850" t="str">
            <v>CB300704000300</v>
          </cell>
          <cell r="H850">
            <v>3</v>
          </cell>
          <cell r="I850" t="str">
            <v>--</v>
          </cell>
          <cell r="J850">
            <v>2</v>
          </cell>
          <cell r="K850">
            <v>3</v>
          </cell>
        </row>
        <row r="851">
          <cell r="A851" t="str">
            <v>M1</v>
          </cell>
          <cell r="B851" t="str">
            <v>A5C</v>
          </cell>
          <cell r="C851" t="str">
            <v>P</v>
          </cell>
          <cell r="D851" t="str">
            <v>22096</v>
          </cell>
          <cell r="E851" t="str">
            <v>E RED</v>
          </cell>
          <cell r="F851">
            <v>2</v>
          </cell>
          <cell r="G851" t="str">
            <v>CB300604080302</v>
          </cell>
          <cell r="H851">
            <v>3</v>
          </cell>
          <cell r="I851">
            <v>2</v>
          </cell>
          <cell r="J851">
            <v>1</v>
          </cell>
          <cell r="K851">
            <v>2</v>
          </cell>
        </row>
        <row r="852">
          <cell r="A852" t="str">
            <v>M1</v>
          </cell>
          <cell r="B852" t="str">
            <v>A5C</v>
          </cell>
          <cell r="C852" t="str">
            <v>TRIM</v>
          </cell>
          <cell r="D852" t="str">
            <v>C-2201</v>
          </cell>
          <cell r="E852" t="str">
            <v>SOL</v>
          </cell>
          <cell r="F852">
            <v>2</v>
          </cell>
          <cell r="G852" t="str">
            <v>CB39020000030T</v>
          </cell>
          <cell r="H852">
            <v>3</v>
          </cell>
          <cell r="I852">
            <v>0.75</v>
          </cell>
          <cell r="J852">
            <v>4</v>
          </cell>
          <cell r="K852">
            <v>5</v>
          </cell>
        </row>
        <row r="853">
          <cell r="A853" t="str">
            <v>M1</v>
          </cell>
          <cell r="B853" t="str">
            <v>A6C</v>
          </cell>
          <cell r="C853" t="str">
            <v>TRIM</v>
          </cell>
          <cell r="D853" t="str">
            <v>V-6501</v>
          </cell>
          <cell r="E853" t="str">
            <v>SOL</v>
          </cell>
          <cell r="F853">
            <v>2</v>
          </cell>
          <cell r="G853" t="str">
            <v>CB39020000030T</v>
          </cell>
          <cell r="H853">
            <v>3</v>
          </cell>
          <cell r="I853">
            <v>0.75</v>
          </cell>
          <cell r="J853">
            <v>6</v>
          </cell>
          <cell r="K853">
            <v>7</v>
          </cell>
        </row>
        <row r="854">
          <cell r="A854" t="str">
            <v>M1</v>
          </cell>
          <cell r="B854" t="str">
            <v>A5C</v>
          </cell>
          <cell r="C854" t="str">
            <v>P</v>
          </cell>
          <cell r="D854" t="str">
            <v>22088</v>
          </cell>
          <cell r="E854" t="str">
            <v>SOL</v>
          </cell>
          <cell r="F854">
            <v>2</v>
          </cell>
          <cell r="G854" t="str">
            <v>CB39020000030T</v>
          </cell>
          <cell r="H854">
            <v>3</v>
          </cell>
          <cell r="I854">
            <v>0.75</v>
          </cell>
          <cell r="J854">
            <v>3</v>
          </cell>
          <cell r="K854">
            <v>4</v>
          </cell>
        </row>
        <row r="855">
          <cell r="A855" t="str">
            <v>M1</v>
          </cell>
          <cell r="B855" t="str">
            <v>A5C</v>
          </cell>
          <cell r="C855" t="str">
            <v>P</v>
          </cell>
          <cell r="D855" t="str">
            <v>22089</v>
          </cell>
          <cell r="E855" t="str">
            <v>SOL</v>
          </cell>
          <cell r="F855">
            <v>2</v>
          </cell>
          <cell r="G855" t="str">
            <v>CB39020000030T</v>
          </cell>
          <cell r="H855">
            <v>3</v>
          </cell>
          <cell r="I855">
            <v>0.75</v>
          </cell>
          <cell r="J855">
            <v>1</v>
          </cell>
          <cell r="K855">
            <v>2</v>
          </cell>
        </row>
        <row r="856">
          <cell r="A856" t="str">
            <v>M1</v>
          </cell>
          <cell r="B856" t="str">
            <v>A5C</v>
          </cell>
          <cell r="C856" t="str">
            <v>TRIM</v>
          </cell>
          <cell r="D856" t="str">
            <v>C-2201</v>
          </cell>
          <cell r="E856" t="str">
            <v>TEE</v>
          </cell>
          <cell r="F856">
            <v>2</v>
          </cell>
          <cell r="G856" t="str">
            <v>CB300304000300</v>
          </cell>
          <cell r="H856">
            <v>3</v>
          </cell>
          <cell r="I856" t="str">
            <v>--</v>
          </cell>
          <cell r="J856">
            <v>2</v>
          </cell>
          <cell r="K856">
            <v>3</v>
          </cell>
        </row>
        <row r="857">
          <cell r="A857" t="str">
            <v>M1</v>
          </cell>
          <cell r="B857" t="str">
            <v>A5C</v>
          </cell>
          <cell r="C857" t="str">
            <v>P</v>
          </cell>
          <cell r="D857" t="str">
            <v>22088</v>
          </cell>
          <cell r="E857" t="str">
            <v>TEE</v>
          </cell>
          <cell r="F857">
            <v>2</v>
          </cell>
          <cell r="G857" t="str">
            <v>CB300304000300</v>
          </cell>
          <cell r="H857">
            <v>3</v>
          </cell>
          <cell r="I857" t="str">
            <v>--</v>
          </cell>
          <cell r="J857">
            <v>2</v>
          </cell>
          <cell r="K857">
            <v>3</v>
          </cell>
        </row>
        <row r="858">
          <cell r="A858" t="str">
            <v>M1</v>
          </cell>
          <cell r="B858" t="str">
            <v>A5C</v>
          </cell>
          <cell r="C858" t="str">
            <v>P</v>
          </cell>
          <cell r="D858" t="str">
            <v>21005</v>
          </cell>
          <cell r="E858" t="str">
            <v>12D 90 BEND</v>
          </cell>
          <cell r="F858">
            <v>2</v>
          </cell>
          <cell r="G858" t="str">
            <v>CB309004000400</v>
          </cell>
          <cell r="H858">
            <v>4</v>
          </cell>
          <cell r="I858" t="str">
            <v>--</v>
          </cell>
          <cell r="J858">
            <v>5</v>
          </cell>
          <cell r="K858">
            <v>6</v>
          </cell>
        </row>
        <row r="859">
          <cell r="A859" t="str">
            <v>M1</v>
          </cell>
          <cell r="B859" t="str">
            <v>A5C</v>
          </cell>
          <cell r="C859" t="str">
            <v>P</v>
          </cell>
          <cell r="D859" t="str">
            <v>22057</v>
          </cell>
          <cell r="E859" t="str">
            <v>45 ELL</v>
          </cell>
          <cell r="F859">
            <v>2</v>
          </cell>
          <cell r="G859" t="str">
            <v>CB300204000400</v>
          </cell>
          <cell r="H859">
            <v>4</v>
          </cell>
          <cell r="I859" t="str">
            <v>--</v>
          </cell>
          <cell r="J859">
            <v>2</v>
          </cell>
          <cell r="K859">
            <v>3</v>
          </cell>
        </row>
        <row r="860">
          <cell r="A860" t="str">
            <v>M1</v>
          </cell>
          <cell r="B860" t="str">
            <v>A5C</v>
          </cell>
          <cell r="C860" t="str">
            <v>P</v>
          </cell>
          <cell r="D860" t="str">
            <v>22021</v>
          </cell>
          <cell r="E860" t="str">
            <v>45 ELL</v>
          </cell>
          <cell r="F860">
            <v>2</v>
          </cell>
          <cell r="G860" t="str">
            <v>CB300204000400</v>
          </cell>
          <cell r="H860">
            <v>4</v>
          </cell>
          <cell r="I860" t="str">
            <v>--</v>
          </cell>
          <cell r="J860">
            <v>2</v>
          </cell>
          <cell r="K860">
            <v>3</v>
          </cell>
        </row>
        <row r="861">
          <cell r="A861" t="str">
            <v>M1</v>
          </cell>
          <cell r="B861" t="str">
            <v>A5C</v>
          </cell>
          <cell r="C861" t="str">
            <v>P</v>
          </cell>
          <cell r="D861" t="str">
            <v>22069</v>
          </cell>
          <cell r="E861" t="str">
            <v>45 ELL</v>
          </cell>
          <cell r="F861">
            <v>2</v>
          </cell>
          <cell r="G861" t="str">
            <v>CB300204000400</v>
          </cell>
          <cell r="H861">
            <v>4</v>
          </cell>
          <cell r="I861" t="str">
            <v>--</v>
          </cell>
          <cell r="J861">
            <v>1</v>
          </cell>
          <cell r="K861">
            <v>2</v>
          </cell>
        </row>
        <row r="862">
          <cell r="A862" t="str">
            <v>M1</v>
          </cell>
          <cell r="B862" t="str">
            <v>A4C</v>
          </cell>
          <cell r="C862" t="str">
            <v>N</v>
          </cell>
          <cell r="D862" t="str">
            <v>22611</v>
          </cell>
          <cell r="E862" t="str">
            <v>90 ELL</v>
          </cell>
          <cell r="F862">
            <v>2</v>
          </cell>
          <cell r="G862" t="str">
            <v>CB300104000400</v>
          </cell>
          <cell r="H862">
            <v>4</v>
          </cell>
          <cell r="I862" t="str">
            <v>--</v>
          </cell>
          <cell r="J862">
            <v>2</v>
          </cell>
          <cell r="K862">
            <v>3</v>
          </cell>
        </row>
        <row r="863">
          <cell r="A863" t="str">
            <v>M1</v>
          </cell>
          <cell r="B863" t="str">
            <v>A5C</v>
          </cell>
          <cell r="C863" t="str">
            <v>COMP</v>
          </cell>
          <cell r="D863" t="str">
            <v>005</v>
          </cell>
          <cell r="E863" t="str">
            <v>90 ELL</v>
          </cell>
          <cell r="F863">
            <v>2</v>
          </cell>
          <cell r="G863" t="str">
            <v>CB300104000400</v>
          </cell>
          <cell r="H863">
            <v>4</v>
          </cell>
          <cell r="I863" t="str">
            <v>--</v>
          </cell>
          <cell r="J863">
            <v>3</v>
          </cell>
          <cell r="K863">
            <v>4</v>
          </cell>
        </row>
        <row r="864">
          <cell r="A864" t="str">
            <v>M1</v>
          </cell>
          <cell r="B864" t="str">
            <v>A5C</v>
          </cell>
          <cell r="C864" t="str">
            <v>P</v>
          </cell>
          <cell r="D864" t="str">
            <v>22069</v>
          </cell>
          <cell r="E864" t="str">
            <v>90 ELL</v>
          </cell>
          <cell r="F864">
            <v>2</v>
          </cell>
          <cell r="G864" t="str">
            <v>CB300104000400</v>
          </cell>
          <cell r="H864">
            <v>4</v>
          </cell>
          <cell r="I864" t="str">
            <v>--</v>
          </cell>
          <cell r="J864">
            <v>4</v>
          </cell>
          <cell r="K864">
            <v>5</v>
          </cell>
        </row>
        <row r="865">
          <cell r="A865" t="str">
            <v>M1</v>
          </cell>
          <cell r="B865" t="str">
            <v>A5C</v>
          </cell>
          <cell r="C865" t="str">
            <v>P</v>
          </cell>
          <cell r="D865" t="str">
            <v>22069</v>
          </cell>
          <cell r="E865" t="str">
            <v>90 ELL</v>
          </cell>
          <cell r="F865">
            <v>2</v>
          </cell>
          <cell r="G865" t="str">
            <v>CB300104000400</v>
          </cell>
          <cell r="H865">
            <v>4</v>
          </cell>
          <cell r="I865" t="str">
            <v>--</v>
          </cell>
          <cell r="J865">
            <v>8</v>
          </cell>
          <cell r="K865">
            <v>10</v>
          </cell>
        </row>
        <row r="866">
          <cell r="A866" t="str">
            <v>M1</v>
          </cell>
          <cell r="B866" t="str">
            <v>A5C</v>
          </cell>
          <cell r="C866" t="str">
            <v>P</v>
          </cell>
          <cell r="D866" t="str">
            <v>22139</v>
          </cell>
          <cell r="E866" t="str">
            <v>90 ELL</v>
          </cell>
          <cell r="F866">
            <v>2</v>
          </cell>
          <cell r="G866" t="str">
            <v>CB300104000400</v>
          </cell>
          <cell r="H866">
            <v>4</v>
          </cell>
          <cell r="I866" t="str">
            <v>--</v>
          </cell>
          <cell r="J866">
            <v>2</v>
          </cell>
          <cell r="K866">
            <v>3</v>
          </cell>
        </row>
        <row r="867">
          <cell r="A867" t="str">
            <v>M1</v>
          </cell>
          <cell r="B867" t="str">
            <v>A5C</v>
          </cell>
          <cell r="C867" t="str">
            <v>TRIM</v>
          </cell>
          <cell r="D867" t="str">
            <v>V-2211</v>
          </cell>
          <cell r="E867" t="str">
            <v>90 ELL</v>
          </cell>
          <cell r="F867">
            <v>2</v>
          </cell>
          <cell r="G867" t="str">
            <v>CB300104000400</v>
          </cell>
          <cell r="H867">
            <v>4</v>
          </cell>
          <cell r="I867" t="str">
            <v>--</v>
          </cell>
          <cell r="J867">
            <v>1</v>
          </cell>
          <cell r="K867">
            <v>2</v>
          </cell>
        </row>
        <row r="868">
          <cell r="A868" t="str">
            <v>M1</v>
          </cell>
          <cell r="B868" t="str">
            <v>A5C</v>
          </cell>
          <cell r="C868" t="str">
            <v>TRIM</v>
          </cell>
          <cell r="D868" t="str">
            <v>X-2220</v>
          </cell>
          <cell r="E868" t="str">
            <v>90 ELL</v>
          </cell>
          <cell r="F868">
            <v>2</v>
          </cell>
          <cell r="G868" t="str">
            <v>CB300104000400</v>
          </cell>
          <cell r="H868">
            <v>4</v>
          </cell>
          <cell r="I868" t="str">
            <v>--</v>
          </cell>
          <cell r="J868">
            <v>1</v>
          </cell>
          <cell r="K868">
            <v>2</v>
          </cell>
        </row>
        <row r="869">
          <cell r="A869" t="str">
            <v>M1</v>
          </cell>
          <cell r="B869" t="str">
            <v>A5C</v>
          </cell>
          <cell r="C869" t="str">
            <v>P</v>
          </cell>
          <cell r="D869" t="str">
            <v>22082</v>
          </cell>
          <cell r="E869" t="str">
            <v>90 ELL</v>
          </cell>
          <cell r="F869">
            <v>2</v>
          </cell>
          <cell r="G869" t="str">
            <v>CB300104000400</v>
          </cell>
          <cell r="H869">
            <v>4</v>
          </cell>
          <cell r="I869" t="str">
            <v>--</v>
          </cell>
          <cell r="J869">
            <v>7</v>
          </cell>
          <cell r="K869">
            <v>9</v>
          </cell>
        </row>
        <row r="870">
          <cell r="A870" t="str">
            <v>M1</v>
          </cell>
          <cell r="B870" t="str">
            <v>A5C</v>
          </cell>
          <cell r="C870" t="str">
            <v>P</v>
          </cell>
          <cell r="D870" t="str">
            <v>22069</v>
          </cell>
          <cell r="E870" t="str">
            <v>C RED</v>
          </cell>
          <cell r="F870">
            <v>2</v>
          </cell>
          <cell r="G870" t="str">
            <v>CB300504080402</v>
          </cell>
          <cell r="H870">
            <v>4</v>
          </cell>
          <cell r="I870">
            <v>2</v>
          </cell>
          <cell r="J870">
            <v>1</v>
          </cell>
          <cell r="K870">
            <v>2</v>
          </cell>
        </row>
        <row r="871">
          <cell r="A871" t="str">
            <v>M1</v>
          </cell>
          <cell r="B871" t="str">
            <v>A5C</v>
          </cell>
          <cell r="C871" t="str">
            <v>P</v>
          </cell>
          <cell r="D871" t="str">
            <v>22118</v>
          </cell>
          <cell r="E871" t="str">
            <v>C RED</v>
          </cell>
          <cell r="F871">
            <v>2</v>
          </cell>
          <cell r="G871" t="str">
            <v>CB300504040403</v>
          </cell>
          <cell r="H871">
            <v>4</v>
          </cell>
          <cell r="I871">
            <v>3</v>
          </cell>
          <cell r="J871">
            <v>1</v>
          </cell>
          <cell r="K871">
            <v>2</v>
          </cell>
        </row>
        <row r="872">
          <cell r="A872" t="str">
            <v>M1</v>
          </cell>
          <cell r="B872" t="str">
            <v>A5C</v>
          </cell>
          <cell r="C872" t="str">
            <v>TRIM</v>
          </cell>
          <cell r="D872" t="str">
            <v>V-2211</v>
          </cell>
          <cell r="E872" t="str">
            <v>C RED</v>
          </cell>
          <cell r="F872">
            <v>2</v>
          </cell>
          <cell r="G872" t="str">
            <v>CB300504040403</v>
          </cell>
          <cell r="H872">
            <v>4</v>
          </cell>
          <cell r="I872">
            <v>3</v>
          </cell>
          <cell r="J872">
            <v>1</v>
          </cell>
          <cell r="K872">
            <v>2</v>
          </cell>
        </row>
        <row r="873">
          <cell r="A873" t="str">
            <v>M1</v>
          </cell>
          <cell r="B873" t="str">
            <v>A5C</v>
          </cell>
          <cell r="C873" t="str">
            <v>P</v>
          </cell>
          <cell r="D873" t="str">
            <v>22102</v>
          </cell>
          <cell r="E873" t="str">
            <v>CAP</v>
          </cell>
          <cell r="F873">
            <v>2</v>
          </cell>
          <cell r="G873" t="str">
            <v>CB300704000400</v>
          </cell>
          <cell r="H873">
            <v>4</v>
          </cell>
          <cell r="I873" t="str">
            <v>--</v>
          </cell>
          <cell r="J873">
            <v>2</v>
          </cell>
          <cell r="K873">
            <v>3</v>
          </cell>
        </row>
        <row r="874">
          <cell r="A874" t="str">
            <v>M1</v>
          </cell>
          <cell r="B874" t="str">
            <v>A5C</v>
          </cell>
          <cell r="C874" t="str">
            <v>COMP</v>
          </cell>
          <cell r="D874" t="str">
            <v>005</v>
          </cell>
          <cell r="E874" t="str">
            <v>E RED</v>
          </cell>
          <cell r="F874">
            <v>2</v>
          </cell>
          <cell r="G874" t="str">
            <v>CB300604080402</v>
          </cell>
          <cell r="H874">
            <v>4</v>
          </cell>
          <cell r="I874">
            <v>2</v>
          </cell>
          <cell r="J874">
            <v>1</v>
          </cell>
          <cell r="K874">
            <v>2</v>
          </cell>
        </row>
        <row r="875">
          <cell r="A875" t="str">
            <v>M1</v>
          </cell>
          <cell r="B875" t="str">
            <v>A5C</v>
          </cell>
          <cell r="C875" t="str">
            <v>P</v>
          </cell>
          <cell r="D875" t="str">
            <v>22109</v>
          </cell>
          <cell r="E875" t="str">
            <v>E RED</v>
          </cell>
          <cell r="F875">
            <v>2</v>
          </cell>
          <cell r="G875" t="str">
            <v>CB300604080402</v>
          </cell>
          <cell r="H875">
            <v>4</v>
          </cell>
          <cell r="I875">
            <v>2</v>
          </cell>
          <cell r="J875">
            <v>2</v>
          </cell>
          <cell r="K875">
            <v>3</v>
          </cell>
        </row>
        <row r="876">
          <cell r="A876" t="str">
            <v>M1</v>
          </cell>
          <cell r="B876" t="str">
            <v>A5C</v>
          </cell>
          <cell r="C876" t="str">
            <v>P</v>
          </cell>
          <cell r="D876" t="str">
            <v>22021</v>
          </cell>
          <cell r="E876" t="str">
            <v>SOL</v>
          </cell>
          <cell r="F876">
            <v>2</v>
          </cell>
          <cell r="G876" t="str">
            <v>CB39020000040T</v>
          </cell>
          <cell r="H876">
            <v>4</v>
          </cell>
          <cell r="I876">
            <v>0.75</v>
          </cell>
          <cell r="J876">
            <v>1</v>
          </cell>
          <cell r="K876">
            <v>2</v>
          </cell>
        </row>
        <row r="877">
          <cell r="A877" t="str">
            <v>M1</v>
          </cell>
          <cell r="B877" t="str">
            <v>A5C</v>
          </cell>
          <cell r="C877" t="str">
            <v>P</v>
          </cell>
          <cell r="D877" t="str">
            <v>22024</v>
          </cell>
          <cell r="E877" t="str">
            <v>SOL</v>
          </cell>
          <cell r="F877">
            <v>2</v>
          </cell>
          <cell r="G877" t="str">
            <v>CB39020000040T</v>
          </cell>
          <cell r="H877">
            <v>4</v>
          </cell>
          <cell r="I877">
            <v>0.75</v>
          </cell>
          <cell r="J877">
            <v>1</v>
          </cell>
          <cell r="K877">
            <v>2</v>
          </cell>
        </row>
        <row r="878">
          <cell r="A878" t="str">
            <v>M1</v>
          </cell>
          <cell r="B878" t="str">
            <v>A5C</v>
          </cell>
          <cell r="C878" t="str">
            <v>P</v>
          </cell>
          <cell r="D878" t="str">
            <v>22069</v>
          </cell>
          <cell r="E878" t="str">
            <v>SOL</v>
          </cell>
          <cell r="F878">
            <v>2</v>
          </cell>
          <cell r="G878" t="str">
            <v>CB39020000040T</v>
          </cell>
          <cell r="H878">
            <v>4</v>
          </cell>
          <cell r="I878">
            <v>0.75</v>
          </cell>
          <cell r="J878">
            <v>4</v>
          </cell>
          <cell r="K878">
            <v>5</v>
          </cell>
        </row>
        <row r="879">
          <cell r="A879" t="str">
            <v>M1</v>
          </cell>
          <cell r="B879" t="str">
            <v>A5C</v>
          </cell>
          <cell r="C879" t="str">
            <v>P</v>
          </cell>
          <cell r="D879" t="str">
            <v>22069</v>
          </cell>
          <cell r="E879" t="str">
            <v>SOL</v>
          </cell>
          <cell r="F879">
            <v>2</v>
          </cell>
          <cell r="G879" t="str">
            <v>CB3902000004IH</v>
          </cell>
          <cell r="H879">
            <v>4</v>
          </cell>
          <cell r="I879">
            <v>1.5</v>
          </cell>
          <cell r="J879">
            <v>1</v>
          </cell>
          <cell r="K879">
            <v>2</v>
          </cell>
        </row>
        <row r="880">
          <cell r="A880" t="str">
            <v>M1</v>
          </cell>
          <cell r="B880" t="str">
            <v>A5C</v>
          </cell>
          <cell r="C880" t="str">
            <v>P</v>
          </cell>
          <cell r="D880" t="str">
            <v>22069</v>
          </cell>
          <cell r="E880" t="str">
            <v>SOL</v>
          </cell>
          <cell r="F880">
            <v>2</v>
          </cell>
          <cell r="G880" t="str">
            <v>CB390200000401</v>
          </cell>
          <cell r="H880">
            <v>4</v>
          </cell>
          <cell r="I880">
            <v>1</v>
          </cell>
          <cell r="J880">
            <v>1</v>
          </cell>
          <cell r="K880">
            <v>2</v>
          </cell>
        </row>
        <row r="881">
          <cell r="A881" t="str">
            <v>M1</v>
          </cell>
          <cell r="B881" t="str">
            <v>A5C</v>
          </cell>
          <cell r="C881" t="str">
            <v>P</v>
          </cell>
          <cell r="D881" t="str">
            <v>22069</v>
          </cell>
          <cell r="E881" t="str">
            <v>SOL</v>
          </cell>
          <cell r="F881">
            <v>2</v>
          </cell>
          <cell r="G881" t="str">
            <v>CB39020000040T</v>
          </cell>
          <cell r="H881">
            <v>4</v>
          </cell>
          <cell r="I881">
            <v>0.75</v>
          </cell>
          <cell r="J881">
            <v>1</v>
          </cell>
          <cell r="K881">
            <v>2</v>
          </cell>
        </row>
        <row r="882">
          <cell r="A882" t="str">
            <v>M1</v>
          </cell>
          <cell r="B882" t="str">
            <v>A5C</v>
          </cell>
          <cell r="C882" t="str">
            <v>P</v>
          </cell>
          <cell r="D882" t="str">
            <v>22082</v>
          </cell>
          <cell r="E882" t="str">
            <v>SOL</v>
          </cell>
          <cell r="F882">
            <v>2</v>
          </cell>
          <cell r="G882" t="str">
            <v>CB39020000040T</v>
          </cell>
          <cell r="H882">
            <v>4</v>
          </cell>
          <cell r="I882">
            <v>0.75</v>
          </cell>
          <cell r="J882">
            <v>2</v>
          </cell>
          <cell r="K882">
            <v>3</v>
          </cell>
        </row>
        <row r="883">
          <cell r="A883" t="str">
            <v>M1</v>
          </cell>
          <cell r="B883" t="str">
            <v>A5C</v>
          </cell>
          <cell r="C883" t="str">
            <v>P</v>
          </cell>
          <cell r="D883" t="str">
            <v>22139</v>
          </cell>
          <cell r="E883" t="str">
            <v>SOL</v>
          </cell>
          <cell r="F883">
            <v>2</v>
          </cell>
          <cell r="G883" t="str">
            <v>CB39020000040T</v>
          </cell>
          <cell r="H883">
            <v>4</v>
          </cell>
          <cell r="I883">
            <v>0.75</v>
          </cell>
          <cell r="J883">
            <v>2</v>
          </cell>
          <cell r="K883">
            <v>3</v>
          </cell>
        </row>
        <row r="884">
          <cell r="A884" t="str">
            <v>M1</v>
          </cell>
          <cell r="B884" t="str">
            <v>A5C</v>
          </cell>
          <cell r="C884" t="str">
            <v>TRIM</v>
          </cell>
          <cell r="D884" t="str">
            <v>V-2211</v>
          </cell>
          <cell r="E884" t="str">
            <v>SOL</v>
          </cell>
          <cell r="F884">
            <v>2</v>
          </cell>
          <cell r="G884" t="str">
            <v>CB39020000040T</v>
          </cell>
          <cell r="H884">
            <v>4</v>
          </cell>
          <cell r="I884">
            <v>0.75</v>
          </cell>
          <cell r="J884">
            <v>1</v>
          </cell>
          <cell r="K884">
            <v>2</v>
          </cell>
        </row>
        <row r="885">
          <cell r="A885" t="str">
            <v>M1</v>
          </cell>
          <cell r="B885" t="str">
            <v>A5C</v>
          </cell>
          <cell r="C885" t="str">
            <v>P</v>
          </cell>
          <cell r="D885" t="str">
            <v>22102</v>
          </cell>
          <cell r="E885" t="str">
            <v>SOL</v>
          </cell>
          <cell r="F885">
            <v>2</v>
          </cell>
          <cell r="G885" t="str">
            <v>CB3902000004IH</v>
          </cell>
          <cell r="H885">
            <v>4</v>
          </cell>
          <cell r="I885">
            <v>1.5</v>
          </cell>
          <cell r="J885">
            <v>2</v>
          </cell>
          <cell r="K885">
            <v>3</v>
          </cell>
        </row>
        <row r="886">
          <cell r="A886" t="str">
            <v>M1</v>
          </cell>
          <cell r="B886" t="str">
            <v>A5C</v>
          </cell>
          <cell r="C886" t="str">
            <v>P</v>
          </cell>
          <cell r="D886" t="str">
            <v>22069</v>
          </cell>
          <cell r="E886" t="str">
            <v>TEE</v>
          </cell>
          <cell r="F886">
            <v>2</v>
          </cell>
          <cell r="G886" t="str">
            <v>CB300304000400</v>
          </cell>
          <cell r="H886">
            <v>4</v>
          </cell>
          <cell r="I886" t="str">
            <v>--</v>
          </cell>
          <cell r="J886">
            <v>1</v>
          </cell>
          <cell r="K886">
            <v>2</v>
          </cell>
        </row>
        <row r="887">
          <cell r="A887" t="str">
            <v>M1</v>
          </cell>
          <cell r="B887" t="str">
            <v>A5C</v>
          </cell>
          <cell r="C887" t="str">
            <v>P</v>
          </cell>
          <cell r="D887" t="str">
            <v>22069</v>
          </cell>
          <cell r="E887" t="str">
            <v>TEE</v>
          </cell>
          <cell r="F887">
            <v>2</v>
          </cell>
          <cell r="G887" t="str">
            <v>CB300304000400</v>
          </cell>
          <cell r="H887">
            <v>4</v>
          </cell>
          <cell r="I887" t="str">
            <v>--</v>
          </cell>
          <cell r="J887">
            <v>3</v>
          </cell>
          <cell r="K887">
            <v>4</v>
          </cell>
        </row>
        <row r="888">
          <cell r="A888" t="str">
            <v>M1</v>
          </cell>
          <cell r="B888" t="str">
            <v>A5C</v>
          </cell>
          <cell r="C888" t="str">
            <v>P</v>
          </cell>
          <cell r="D888" t="str">
            <v>22139</v>
          </cell>
          <cell r="E888" t="str">
            <v>TEE</v>
          </cell>
          <cell r="F888">
            <v>2</v>
          </cell>
          <cell r="G888" t="str">
            <v>CB300304000400</v>
          </cell>
          <cell r="H888">
            <v>4</v>
          </cell>
          <cell r="I888" t="str">
            <v>--</v>
          </cell>
          <cell r="J888">
            <v>1</v>
          </cell>
          <cell r="K888">
            <v>2</v>
          </cell>
        </row>
        <row r="889">
          <cell r="A889" t="str">
            <v>M1</v>
          </cell>
          <cell r="B889" t="str">
            <v>A5C</v>
          </cell>
          <cell r="C889" t="str">
            <v>P</v>
          </cell>
          <cell r="D889" t="str">
            <v>22094</v>
          </cell>
          <cell r="E889" t="str">
            <v>90 ELL</v>
          </cell>
          <cell r="F889">
            <v>2</v>
          </cell>
          <cell r="G889" t="str">
            <v>CB300104000400</v>
          </cell>
          <cell r="H889">
            <v>4</v>
          </cell>
          <cell r="I889" t="str">
            <v>--</v>
          </cell>
          <cell r="J889">
            <v>8</v>
          </cell>
          <cell r="K889">
            <v>10</v>
          </cell>
        </row>
        <row r="890">
          <cell r="A890" t="str">
            <v>M1</v>
          </cell>
          <cell r="B890" t="str">
            <v>A5C</v>
          </cell>
          <cell r="C890" t="str">
            <v>P</v>
          </cell>
          <cell r="D890" t="str">
            <v>22099</v>
          </cell>
          <cell r="E890" t="str">
            <v>90 ELL</v>
          </cell>
          <cell r="F890">
            <v>2</v>
          </cell>
          <cell r="G890" t="str">
            <v>CB300104000400</v>
          </cell>
          <cell r="H890">
            <v>4</v>
          </cell>
          <cell r="I890" t="str">
            <v>--</v>
          </cell>
          <cell r="J890">
            <v>5</v>
          </cell>
          <cell r="K890">
            <v>6</v>
          </cell>
        </row>
        <row r="891">
          <cell r="A891" t="str">
            <v>M1</v>
          </cell>
          <cell r="B891" t="str">
            <v>A5C</v>
          </cell>
          <cell r="C891" t="str">
            <v>P</v>
          </cell>
          <cell r="D891" t="str">
            <v>22095</v>
          </cell>
          <cell r="E891" t="str">
            <v>90 ELL</v>
          </cell>
          <cell r="F891">
            <v>2</v>
          </cell>
          <cell r="G891" t="str">
            <v>CB300104000400</v>
          </cell>
          <cell r="H891">
            <v>4</v>
          </cell>
          <cell r="I891" t="str">
            <v>--</v>
          </cell>
          <cell r="J891">
            <v>8</v>
          </cell>
          <cell r="K891">
            <v>10</v>
          </cell>
        </row>
        <row r="892">
          <cell r="A892" t="str">
            <v>M1</v>
          </cell>
          <cell r="B892" t="str">
            <v>A5C</v>
          </cell>
          <cell r="C892" t="str">
            <v>P</v>
          </cell>
          <cell r="D892" t="str">
            <v>22094</v>
          </cell>
          <cell r="E892" t="str">
            <v>E RED</v>
          </cell>
          <cell r="F892">
            <v>2</v>
          </cell>
          <cell r="G892" t="str">
            <v>CB300604040403</v>
          </cell>
          <cell r="H892">
            <v>4</v>
          </cell>
          <cell r="I892">
            <v>3</v>
          </cell>
          <cell r="J892">
            <v>2</v>
          </cell>
          <cell r="K892">
            <v>3</v>
          </cell>
        </row>
        <row r="893">
          <cell r="A893" t="str">
            <v>M1</v>
          </cell>
          <cell r="B893" t="str">
            <v>A5C</v>
          </cell>
          <cell r="C893" t="str">
            <v>P</v>
          </cell>
          <cell r="D893" t="str">
            <v>22095</v>
          </cell>
          <cell r="E893" t="str">
            <v>E RED</v>
          </cell>
          <cell r="F893">
            <v>2</v>
          </cell>
          <cell r="G893" t="str">
            <v>CB300604040403</v>
          </cell>
          <cell r="H893">
            <v>4</v>
          </cell>
          <cell r="I893">
            <v>3</v>
          </cell>
          <cell r="J893">
            <v>2</v>
          </cell>
          <cell r="K893">
            <v>3</v>
          </cell>
        </row>
        <row r="894">
          <cell r="A894" t="str">
            <v>M1</v>
          </cell>
          <cell r="B894" t="str">
            <v>A5C</v>
          </cell>
          <cell r="C894" t="str">
            <v>P</v>
          </cell>
          <cell r="D894" t="str">
            <v>22099</v>
          </cell>
          <cell r="E894" t="str">
            <v>SOL</v>
          </cell>
          <cell r="F894">
            <v>2</v>
          </cell>
          <cell r="G894" t="str">
            <v>CB39020000040T</v>
          </cell>
          <cell r="H894">
            <v>4</v>
          </cell>
          <cell r="I894">
            <v>0.75</v>
          </cell>
          <cell r="J894">
            <v>2</v>
          </cell>
          <cell r="K894">
            <v>3</v>
          </cell>
        </row>
        <row r="895">
          <cell r="A895" t="str">
            <v>M1</v>
          </cell>
          <cell r="B895" t="str">
            <v>A5C</v>
          </cell>
          <cell r="C895" t="str">
            <v>P</v>
          </cell>
          <cell r="D895" t="str">
            <v>22099</v>
          </cell>
          <cell r="E895" t="str">
            <v>SOL</v>
          </cell>
          <cell r="F895">
            <v>2</v>
          </cell>
          <cell r="G895" t="str">
            <v>CB3902000004IH</v>
          </cell>
          <cell r="H895">
            <v>4</v>
          </cell>
          <cell r="I895">
            <v>1.5</v>
          </cell>
          <cell r="J895">
            <v>1</v>
          </cell>
          <cell r="K895">
            <v>2</v>
          </cell>
        </row>
        <row r="896">
          <cell r="A896" t="str">
            <v>M1</v>
          </cell>
          <cell r="B896" t="str">
            <v>A5C</v>
          </cell>
          <cell r="C896" t="str">
            <v>P</v>
          </cell>
          <cell r="D896" t="str">
            <v>22059</v>
          </cell>
          <cell r="E896" t="str">
            <v>45 ELL</v>
          </cell>
          <cell r="F896">
            <v>2</v>
          </cell>
          <cell r="G896" t="str">
            <v>CB300204000400</v>
          </cell>
          <cell r="H896">
            <v>4</v>
          </cell>
          <cell r="I896" t="str">
            <v>--</v>
          </cell>
          <cell r="J896">
            <v>2</v>
          </cell>
          <cell r="K896">
            <v>3</v>
          </cell>
        </row>
        <row r="897">
          <cell r="A897" t="str">
            <v>M1</v>
          </cell>
          <cell r="B897" t="str">
            <v>A5C</v>
          </cell>
          <cell r="C897" t="str">
            <v>P</v>
          </cell>
          <cell r="D897" t="str">
            <v>22003</v>
          </cell>
          <cell r="E897" t="str">
            <v>E RED</v>
          </cell>
          <cell r="F897">
            <v>2</v>
          </cell>
          <cell r="G897" t="str">
            <v>CB300604040403</v>
          </cell>
          <cell r="H897">
            <v>4</v>
          </cell>
          <cell r="I897">
            <v>3</v>
          </cell>
          <cell r="J897">
            <v>2</v>
          </cell>
          <cell r="K897">
            <v>3</v>
          </cell>
        </row>
        <row r="898">
          <cell r="A898" t="str">
            <v>M1</v>
          </cell>
          <cell r="B898" t="str">
            <v>A5C</v>
          </cell>
          <cell r="C898" t="str">
            <v>WW</v>
          </cell>
          <cell r="D898" t="str">
            <v>22601</v>
          </cell>
          <cell r="E898" t="str">
            <v>90 ELL</v>
          </cell>
          <cell r="F898">
            <v>2</v>
          </cell>
          <cell r="G898" t="str">
            <v>CB300104000400</v>
          </cell>
          <cell r="H898">
            <v>4</v>
          </cell>
          <cell r="I898" t="str">
            <v>--</v>
          </cell>
          <cell r="J898">
            <v>2</v>
          </cell>
          <cell r="K898">
            <v>3</v>
          </cell>
        </row>
        <row r="899">
          <cell r="A899" t="str">
            <v>M1</v>
          </cell>
          <cell r="B899" t="str">
            <v>A5C</v>
          </cell>
          <cell r="C899" t="str">
            <v>WW</v>
          </cell>
          <cell r="D899" t="str">
            <v>22613</v>
          </cell>
          <cell r="E899" t="str">
            <v>90 ELL</v>
          </cell>
          <cell r="F899">
            <v>2</v>
          </cell>
          <cell r="G899" t="str">
            <v>CB300104000400</v>
          </cell>
          <cell r="H899">
            <v>4</v>
          </cell>
          <cell r="I899" t="str">
            <v>--</v>
          </cell>
          <cell r="J899">
            <v>4</v>
          </cell>
          <cell r="K899">
            <v>5</v>
          </cell>
        </row>
        <row r="900">
          <cell r="A900" t="str">
            <v>M1</v>
          </cell>
          <cell r="B900" t="str">
            <v>A5C</v>
          </cell>
          <cell r="C900" t="str">
            <v>WW</v>
          </cell>
          <cell r="D900" t="str">
            <v>22601</v>
          </cell>
          <cell r="E900" t="str">
            <v>E RED</v>
          </cell>
          <cell r="F900">
            <v>2</v>
          </cell>
          <cell r="G900" t="str">
            <v>CB300604040403</v>
          </cell>
          <cell r="H900">
            <v>4</v>
          </cell>
          <cell r="I900">
            <v>3</v>
          </cell>
          <cell r="J900">
            <v>2</v>
          </cell>
          <cell r="K900">
            <v>3</v>
          </cell>
        </row>
        <row r="901">
          <cell r="A901" t="str">
            <v>M1</v>
          </cell>
          <cell r="B901" t="str">
            <v>A5C</v>
          </cell>
          <cell r="C901" t="str">
            <v>WW</v>
          </cell>
          <cell r="D901" t="str">
            <v>22601</v>
          </cell>
          <cell r="E901" t="str">
            <v>SOL</v>
          </cell>
          <cell r="F901">
            <v>2</v>
          </cell>
          <cell r="G901" t="str">
            <v>CB39020000040T</v>
          </cell>
          <cell r="H901">
            <v>4</v>
          </cell>
          <cell r="I901">
            <v>0.75</v>
          </cell>
          <cell r="J901">
            <v>4</v>
          </cell>
          <cell r="K901">
            <v>5</v>
          </cell>
        </row>
        <row r="902">
          <cell r="A902" t="str">
            <v>M1</v>
          </cell>
          <cell r="B902" t="str">
            <v>A5C</v>
          </cell>
          <cell r="C902" t="str">
            <v>WW</v>
          </cell>
          <cell r="D902" t="str">
            <v>22613</v>
          </cell>
          <cell r="E902" t="str">
            <v>TEE</v>
          </cell>
          <cell r="F902">
            <v>2</v>
          </cell>
          <cell r="G902" t="str">
            <v>CB300304000400</v>
          </cell>
          <cell r="H902">
            <v>4</v>
          </cell>
          <cell r="I902" t="str">
            <v>--</v>
          </cell>
          <cell r="J902">
            <v>1</v>
          </cell>
          <cell r="K902">
            <v>2</v>
          </cell>
        </row>
        <row r="903">
          <cell r="A903" t="str">
            <v>M1</v>
          </cell>
          <cell r="B903" t="str">
            <v>A6C</v>
          </cell>
          <cell r="C903" t="str">
            <v>HOS</v>
          </cell>
          <cell r="D903" t="str">
            <v>65628</v>
          </cell>
          <cell r="E903" t="str">
            <v>90 ELL</v>
          </cell>
          <cell r="F903">
            <v>2</v>
          </cell>
          <cell r="G903" t="str">
            <v>CB300104000400</v>
          </cell>
          <cell r="H903">
            <v>4</v>
          </cell>
          <cell r="I903" t="str">
            <v>--</v>
          </cell>
          <cell r="J903">
            <v>10</v>
          </cell>
          <cell r="K903">
            <v>12</v>
          </cell>
        </row>
        <row r="904">
          <cell r="A904" t="str">
            <v>M1</v>
          </cell>
          <cell r="B904" t="str">
            <v>A4C</v>
          </cell>
          <cell r="C904" t="str">
            <v>P</v>
          </cell>
          <cell r="D904" t="str">
            <v>22009</v>
          </cell>
          <cell r="E904" t="str">
            <v>90 ELL</v>
          </cell>
          <cell r="F904">
            <v>2</v>
          </cell>
          <cell r="G904" t="str">
            <v>CB300104000400</v>
          </cell>
          <cell r="H904">
            <v>4</v>
          </cell>
          <cell r="I904" t="str">
            <v>--</v>
          </cell>
          <cell r="J904">
            <v>6</v>
          </cell>
          <cell r="K904">
            <v>7</v>
          </cell>
        </row>
        <row r="905">
          <cell r="A905" t="str">
            <v>M1</v>
          </cell>
          <cell r="B905" t="str">
            <v>A6C</v>
          </cell>
          <cell r="C905" t="str">
            <v>HOS</v>
          </cell>
          <cell r="D905" t="str">
            <v>65614</v>
          </cell>
          <cell r="E905" t="str">
            <v>90 ELL</v>
          </cell>
          <cell r="F905">
            <v>2</v>
          </cell>
          <cell r="G905" t="str">
            <v>CB300104000400</v>
          </cell>
          <cell r="H905">
            <v>4</v>
          </cell>
          <cell r="I905" t="str">
            <v>--</v>
          </cell>
          <cell r="J905">
            <v>7</v>
          </cell>
          <cell r="K905">
            <v>9</v>
          </cell>
        </row>
        <row r="906">
          <cell r="A906" t="str">
            <v>M1</v>
          </cell>
          <cell r="B906" t="str">
            <v>A6C</v>
          </cell>
          <cell r="C906" t="str">
            <v>HOS</v>
          </cell>
          <cell r="D906" t="str">
            <v>65634</v>
          </cell>
          <cell r="E906" t="str">
            <v>90 ELL</v>
          </cell>
          <cell r="F906">
            <v>2</v>
          </cell>
          <cell r="G906" t="str">
            <v>CB300104000400</v>
          </cell>
          <cell r="H906">
            <v>4</v>
          </cell>
          <cell r="I906" t="str">
            <v>--</v>
          </cell>
          <cell r="J906">
            <v>1</v>
          </cell>
          <cell r="K906">
            <v>2</v>
          </cell>
        </row>
        <row r="907">
          <cell r="A907" t="str">
            <v>M1</v>
          </cell>
          <cell r="B907" t="str">
            <v>A5C</v>
          </cell>
          <cell r="C907" t="str">
            <v>P</v>
          </cell>
          <cell r="D907" t="str">
            <v>22098</v>
          </cell>
          <cell r="E907" t="str">
            <v>90 ELL</v>
          </cell>
          <cell r="F907">
            <v>2</v>
          </cell>
          <cell r="G907" t="str">
            <v>CB300104000400</v>
          </cell>
          <cell r="H907">
            <v>4</v>
          </cell>
          <cell r="I907" t="str">
            <v>--</v>
          </cell>
          <cell r="J907">
            <v>3</v>
          </cell>
          <cell r="K907">
            <v>4</v>
          </cell>
        </row>
        <row r="908">
          <cell r="A908" t="str">
            <v>M1</v>
          </cell>
          <cell r="B908" t="str">
            <v>A5C</v>
          </cell>
          <cell r="C908" t="str">
            <v>TRIM</v>
          </cell>
          <cell r="D908" t="str">
            <v>V-2216A</v>
          </cell>
          <cell r="E908" t="str">
            <v>C RED</v>
          </cell>
          <cell r="F908">
            <v>2</v>
          </cell>
          <cell r="G908" t="str">
            <v>CB300504040403</v>
          </cell>
          <cell r="H908">
            <v>4</v>
          </cell>
          <cell r="I908">
            <v>3</v>
          </cell>
          <cell r="J908">
            <v>1</v>
          </cell>
          <cell r="K908">
            <v>2</v>
          </cell>
        </row>
        <row r="909">
          <cell r="A909" t="str">
            <v>M1</v>
          </cell>
          <cell r="B909" t="str">
            <v>A5C</v>
          </cell>
          <cell r="C909" t="str">
            <v>TRIM</v>
          </cell>
          <cell r="D909" t="str">
            <v>V-2216B</v>
          </cell>
          <cell r="E909" t="str">
            <v>C RED</v>
          </cell>
          <cell r="F909">
            <v>2</v>
          </cell>
          <cell r="G909" t="str">
            <v>CB300504040403</v>
          </cell>
          <cell r="H909">
            <v>4</v>
          </cell>
          <cell r="I909">
            <v>3</v>
          </cell>
          <cell r="J909">
            <v>1</v>
          </cell>
          <cell r="K909">
            <v>2</v>
          </cell>
        </row>
        <row r="910">
          <cell r="A910" t="str">
            <v>M1</v>
          </cell>
          <cell r="B910" t="str">
            <v>A6C</v>
          </cell>
          <cell r="C910" t="str">
            <v>HOR</v>
          </cell>
          <cell r="D910" t="str">
            <v>65619</v>
          </cell>
          <cell r="E910" t="str">
            <v>E RED</v>
          </cell>
          <cell r="F910">
            <v>2</v>
          </cell>
          <cell r="G910" t="str">
            <v>CB300604040403</v>
          </cell>
          <cell r="H910">
            <v>4</v>
          </cell>
          <cell r="I910">
            <v>3</v>
          </cell>
          <cell r="J910">
            <v>1</v>
          </cell>
          <cell r="K910">
            <v>2</v>
          </cell>
        </row>
        <row r="911">
          <cell r="A911" t="str">
            <v>M1</v>
          </cell>
          <cell r="B911" t="str">
            <v>A6C</v>
          </cell>
          <cell r="C911" t="str">
            <v>HOS</v>
          </cell>
          <cell r="D911" t="str">
            <v>65634</v>
          </cell>
          <cell r="E911" t="str">
            <v>SOL</v>
          </cell>
          <cell r="F911">
            <v>2</v>
          </cell>
          <cell r="G911" t="str">
            <v>CB39020000040T</v>
          </cell>
          <cell r="H911">
            <v>4</v>
          </cell>
          <cell r="I911">
            <v>0.75</v>
          </cell>
          <cell r="J911">
            <v>1</v>
          </cell>
          <cell r="K911">
            <v>2</v>
          </cell>
        </row>
        <row r="912">
          <cell r="A912" t="str">
            <v>M1</v>
          </cell>
          <cell r="B912" t="str">
            <v>A4C</v>
          </cell>
          <cell r="C912" t="str">
            <v>P</v>
          </cell>
          <cell r="D912" t="str">
            <v>22009</v>
          </cell>
          <cell r="E912" t="str">
            <v>SOL</v>
          </cell>
          <cell r="F912">
            <v>2</v>
          </cell>
          <cell r="G912" t="str">
            <v>CB39020000040T</v>
          </cell>
          <cell r="H912">
            <v>4</v>
          </cell>
          <cell r="I912">
            <v>0.75</v>
          </cell>
          <cell r="J912">
            <v>2</v>
          </cell>
          <cell r="K912">
            <v>3</v>
          </cell>
        </row>
        <row r="913">
          <cell r="A913" t="str">
            <v>M1</v>
          </cell>
          <cell r="B913" t="str">
            <v>A5C</v>
          </cell>
          <cell r="C913" t="str">
            <v>P</v>
          </cell>
          <cell r="D913" t="str">
            <v>22098</v>
          </cell>
          <cell r="E913" t="str">
            <v>SOL</v>
          </cell>
          <cell r="F913">
            <v>2</v>
          </cell>
          <cell r="G913" t="str">
            <v>CB39020000040T</v>
          </cell>
          <cell r="H913">
            <v>4</v>
          </cell>
          <cell r="I913">
            <v>0.75</v>
          </cell>
          <cell r="J913">
            <v>1</v>
          </cell>
          <cell r="K913">
            <v>2</v>
          </cell>
        </row>
        <row r="914">
          <cell r="A914" t="str">
            <v>M1</v>
          </cell>
          <cell r="B914" t="str">
            <v>A6C</v>
          </cell>
          <cell r="C914" t="str">
            <v>HOR</v>
          </cell>
          <cell r="D914" t="str">
            <v>65813</v>
          </cell>
          <cell r="E914" t="str">
            <v>SOL</v>
          </cell>
          <cell r="F914">
            <v>2</v>
          </cell>
          <cell r="G914" t="str">
            <v>CB39020000040T</v>
          </cell>
          <cell r="H914">
            <v>4</v>
          </cell>
          <cell r="I914">
            <v>0.75</v>
          </cell>
          <cell r="J914">
            <v>1</v>
          </cell>
          <cell r="K914">
            <v>2</v>
          </cell>
        </row>
        <row r="915">
          <cell r="A915" t="str">
            <v>M1</v>
          </cell>
          <cell r="B915" t="str">
            <v>A6C</v>
          </cell>
          <cell r="C915" t="str">
            <v>HOS</v>
          </cell>
          <cell r="D915" t="str">
            <v>65628</v>
          </cell>
          <cell r="E915" t="str">
            <v>SOL</v>
          </cell>
          <cell r="F915">
            <v>2</v>
          </cell>
          <cell r="G915" t="str">
            <v>CB39020000040T</v>
          </cell>
          <cell r="H915">
            <v>4</v>
          </cell>
          <cell r="I915">
            <v>0.75</v>
          </cell>
          <cell r="J915">
            <v>1</v>
          </cell>
          <cell r="K915">
            <v>2</v>
          </cell>
        </row>
        <row r="916">
          <cell r="A916" t="str">
            <v>M1</v>
          </cell>
          <cell r="B916" t="str">
            <v>A6C</v>
          </cell>
          <cell r="C916" t="str">
            <v>HOS</v>
          </cell>
          <cell r="D916" t="str">
            <v>65628</v>
          </cell>
          <cell r="E916" t="str">
            <v>TEE</v>
          </cell>
          <cell r="F916">
            <v>2</v>
          </cell>
          <cell r="G916" t="str">
            <v>CB300304000400</v>
          </cell>
          <cell r="H916">
            <v>4</v>
          </cell>
          <cell r="I916" t="str">
            <v>--</v>
          </cell>
          <cell r="J916">
            <v>2</v>
          </cell>
          <cell r="K916">
            <v>3</v>
          </cell>
        </row>
        <row r="917">
          <cell r="A917" t="str">
            <v>M1</v>
          </cell>
          <cell r="B917" t="str">
            <v>A6C</v>
          </cell>
          <cell r="C917" t="str">
            <v>HOS</v>
          </cell>
          <cell r="D917" t="str">
            <v>65634</v>
          </cell>
          <cell r="E917" t="str">
            <v>TEE</v>
          </cell>
          <cell r="F917">
            <v>2</v>
          </cell>
          <cell r="G917" t="str">
            <v>CB300304000400</v>
          </cell>
          <cell r="H917">
            <v>4</v>
          </cell>
          <cell r="I917" t="str">
            <v>--</v>
          </cell>
          <cell r="J917">
            <v>1</v>
          </cell>
          <cell r="K917">
            <v>2</v>
          </cell>
        </row>
        <row r="918">
          <cell r="A918" t="str">
            <v>M1</v>
          </cell>
          <cell r="B918" t="str">
            <v>A4C</v>
          </cell>
          <cell r="C918" t="str">
            <v>P</v>
          </cell>
          <cell r="D918" t="str">
            <v>22009</v>
          </cell>
          <cell r="E918" t="str">
            <v>TEE</v>
          </cell>
          <cell r="F918">
            <v>2</v>
          </cell>
          <cell r="G918" t="str">
            <v>CB300304000400</v>
          </cell>
          <cell r="H918">
            <v>4</v>
          </cell>
          <cell r="I918" t="str">
            <v>--</v>
          </cell>
          <cell r="J918">
            <v>1</v>
          </cell>
          <cell r="K918">
            <v>2</v>
          </cell>
        </row>
        <row r="919">
          <cell r="A919" t="str">
            <v>M1</v>
          </cell>
          <cell r="B919" t="str">
            <v>A6C</v>
          </cell>
          <cell r="C919" t="str">
            <v>HOS</v>
          </cell>
          <cell r="D919" t="str">
            <v>65614</v>
          </cell>
          <cell r="E919" t="str">
            <v>TEE</v>
          </cell>
          <cell r="F919">
            <v>2</v>
          </cell>
          <cell r="G919" t="str">
            <v>CB300304000400</v>
          </cell>
          <cell r="H919">
            <v>4</v>
          </cell>
          <cell r="I919" t="str">
            <v>--</v>
          </cell>
          <cell r="J919">
            <v>1</v>
          </cell>
          <cell r="K919">
            <v>2</v>
          </cell>
        </row>
        <row r="920">
          <cell r="A920" t="str">
            <v>M1</v>
          </cell>
          <cell r="B920" t="str">
            <v>A6C</v>
          </cell>
          <cell r="C920" t="str">
            <v>HOR</v>
          </cell>
          <cell r="D920" t="str">
            <v>65813</v>
          </cell>
          <cell r="E920" t="str">
            <v>TEE</v>
          </cell>
          <cell r="F920">
            <v>2</v>
          </cell>
          <cell r="G920" t="str">
            <v>CB300304000400</v>
          </cell>
          <cell r="H920">
            <v>4</v>
          </cell>
          <cell r="I920" t="str">
            <v>--</v>
          </cell>
          <cell r="J920">
            <v>1</v>
          </cell>
          <cell r="K920">
            <v>2</v>
          </cell>
        </row>
        <row r="921">
          <cell r="A921" t="str">
            <v>M1</v>
          </cell>
          <cell r="B921" t="str">
            <v>A6C</v>
          </cell>
          <cell r="C921" t="str">
            <v>HOS</v>
          </cell>
          <cell r="D921" t="str">
            <v>65614</v>
          </cell>
          <cell r="E921" t="str">
            <v>TOL</v>
          </cell>
          <cell r="F921">
            <v>2</v>
          </cell>
          <cell r="G921" t="str">
            <v>CB39030000040T</v>
          </cell>
          <cell r="H921">
            <v>4</v>
          </cell>
          <cell r="I921">
            <v>0.75</v>
          </cell>
          <cell r="J921">
            <v>1</v>
          </cell>
          <cell r="K921">
            <v>2</v>
          </cell>
        </row>
        <row r="922">
          <cell r="A922" t="str">
            <v>M1</v>
          </cell>
          <cell r="B922" t="str">
            <v>A6C</v>
          </cell>
          <cell r="C922" t="str">
            <v>HOS</v>
          </cell>
          <cell r="D922" t="str">
            <v>65628</v>
          </cell>
          <cell r="E922" t="str">
            <v>TOL</v>
          </cell>
          <cell r="F922">
            <v>2</v>
          </cell>
          <cell r="G922" t="str">
            <v>CB39030000040T</v>
          </cell>
          <cell r="H922">
            <v>4</v>
          </cell>
          <cell r="I922">
            <v>0.75</v>
          </cell>
          <cell r="J922">
            <v>1</v>
          </cell>
          <cell r="K922">
            <v>2</v>
          </cell>
        </row>
        <row r="923">
          <cell r="A923" t="str">
            <v>M1</v>
          </cell>
          <cell r="B923" t="str">
            <v>B1C</v>
          </cell>
          <cell r="C923" t="str">
            <v>P</v>
          </cell>
          <cell r="D923" t="str">
            <v>22029</v>
          </cell>
          <cell r="E923" t="str">
            <v>90 ELL</v>
          </cell>
          <cell r="F923">
            <v>2</v>
          </cell>
          <cell r="G923" t="str">
            <v>CB300104000400</v>
          </cell>
          <cell r="H923">
            <v>4</v>
          </cell>
          <cell r="I923" t="str">
            <v>--</v>
          </cell>
          <cell r="J923">
            <v>4</v>
          </cell>
          <cell r="K923">
            <v>5</v>
          </cell>
        </row>
        <row r="924">
          <cell r="A924" t="str">
            <v>M1</v>
          </cell>
          <cell r="B924" t="str">
            <v>B1C</v>
          </cell>
          <cell r="C924" t="str">
            <v>P</v>
          </cell>
          <cell r="D924" t="str">
            <v>22029</v>
          </cell>
          <cell r="E924" t="str">
            <v>SOL</v>
          </cell>
          <cell r="F924">
            <v>2</v>
          </cell>
          <cell r="G924" t="str">
            <v>CB39020000040T</v>
          </cell>
          <cell r="H924">
            <v>4</v>
          </cell>
          <cell r="I924">
            <v>0.75</v>
          </cell>
          <cell r="J924">
            <v>5</v>
          </cell>
          <cell r="K924">
            <v>6</v>
          </cell>
        </row>
        <row r="925">
          <cell r="A925" t="str">
            <v>M1</v>
          </cell>
          <cell r="B925" t="str">
            <v>B1C</v>
          </cell>
          <cell r="C925" t="str">
            <v>P</v>
          </cell>
          <cell r="D925" t="str">
            <v>22029</v>
          </cell>
          <cell r="E925" t="str">
            <v>TEE</v>
          </cell>
          <cell r="F925">
            <v>2</v>
          </cell>
          <cell r="G925" t="str">
            <v>CB300304000400</v>
          </cell>
          <cell r="H925">
            <v>4</v>
          </cell>
          <cell r="I925" t="str">
            <v>--</v>
          </cell>
          <cell r="J925">
            <v>2</v>
          </cell>
          <cell r="K925">
            <v>3</v>
          </cell>
        </row>
        <row r="926">
          <cell r="A926" t="str">
            <v>M1</v>
          </cell>
          <cell r="B926" t="str">
            <v>A5C</v>
          </cell>
          <cell r="C926" t="str">
            <v>P</v>
          </cell>
          <cell r="D926" t="str">
            <v>22020</v>
          </cell>
          <cell r="E926" t="str">
            <v>12D 45 BEND</v>
          </cell>
          <cell r="F926">
            <v>2</v>
          </cell>
          <cell r="G926" t="str">
            <v>CB309104000600</v>
          </cell>
          <cell r="H926">
            <v>6</v>
          </cell>
          <cell r="I926" t="str">
            <v>--</v>
          </cell>
          <cell r="J926">
            <v>1</v>
          </cell>
          <cell r="K926">
            <v>2</v>
          </cell>
        </row>
        <row r="927">
          <cell r="A927" t="str">
            <v>M1</v>
          </cell>
          <cell r="B927" t="str">
            <v>A5C</v>
          </cell>
          <cell r="C927" t="str">
            <v>P</v>
          </cell>
          <cell r="D927" t="str">
            <v>22048</v>
          </cell>
          <cell r="E927" t="str">
            <v>12D 45 BEND</v>
          </cell>
          <cell r="F927">
            <v>2</v>
          </cell>
          <cell r="G927" t="str">
            <v>CB309104000600</v>
          </cell>
          <cell r="H927">
            <v>6</v>
          </cell>
          <cell r="I927" t="str">
            <v>--</v>
          </cell>
          <cell r="J927">
            <v>1</v>
          </cell>
          <cell r="K927">
            <v>2</v>
          </cell>
        </row>
        <row r="928">
          <cell r="A928" t="str">
            <v>M1</v>
          </cell>
          <cell r="B928" t="str">
            <v>A5C</v>
          </cell>
          <cell r="C928" t="str">
            <v>P</v>
          </cell>
          <cell r="D928" t="str">
            <v>22019</v>
          </cell>
          <cell r="E928" t="str">
            <v>12D 90 BEND</v>
          </cell>
          <cell r="F928">
            <v>2</v>
          </cell>
          <cell r="G928" t="str">
            <v>CB309004000600</v>
          </cell>
          <cell r="H928">
            <v>6</v>
          </cell>
          <cell r="I928" t="str">
            <v>--</v>
          </cell>
          <cell r="J928">
            <v>3</v>
          </cell>
          <cell r="K928">
            <v>4</v>
          </cell>
        </row>
        <row r="929">
          <cell r="A929" t="str">
            <v>M1</v>
          </cell>
          <cell r="B929" t="str">
            <v>A5C</v>
          </cell>
          <cell r="C929" t="str">
            <v>P</v>
          </cell>
          <cell r="D929" t="str">
            <v>22048</v>
          </cell>
          <cell r="E929" t="str">
            <v>12D 90 BEND</v>
          </cell>
          <cell r="F929">
            <v>2</v>
          </cell>
          <cell r="G929" t="str">
            <v>CB309004000600</v>
          </cell>
          <cell r="H929">
            <v>6</v>
          </cell>
          <cell r="I929" t="str">
            <v>--</v>
          </cell>
          <cell r="J929">
            <v>3</v>
          </cell>
          <cell r="K929">
            <v>4</v>
          </cell>
        </row>
        <row r="930">
          <cell r="A930" t="str">
            <v>M1</v>
          </cell>
          <cell r="B930" t="str">
            <v>A5C</v>
          </cell>
          <cell r="C930" t="str">
            <v>P</v>
          </cell>
          <cell r="D930" t="str">
            <v>22020</v>
          </cell>
          <cell r="E930" t="str">
            <v>12D 90 BEND</v>
          </cell>
          <cell r="F930">
            <v>2</v>
          </cell>
          <cell r="G930" t="str">
            <v>CB309004000600</v>
          </cell>
          <cell r="H930">
            <v>6</v>
          </cell>
          <cell r="I930" t="str">
            <v>--</v>
          </cell>
          <cell r="J930">
            <v>7</v>
          </cell>
          <cell r="K930">
            <v>9</v>
          </cell>
        </row>
        <row r="931">
          <cell r="A931" t="str">
            <v>M1</v>
          </cell>
          <cell r="B931" t="str">
            <v>A5C</v>
          </cell>
          <cell r="C931" t="str">
            <v>P</v>
          </cell>
          <cell r="D931" t="str">
            <v>22048</v>
          </cell>
          <cell r="E931" t="str">
            <v>12D 90 BEND</v>
          </cell>
          <cell r="F931">
            <v>2</v>
          </cell>
          <cell r="G931" t="str">
            <v>CB309004000600</v>
          </cell>
          <cell r="H931">
            <v>6</v>
          </cell>
          <cell r="I931" t="str">
            <v>--</v>
          </cell>
          <cell r="J931">
            <v>3</v>
          </cell>
          <cell r="K931">
            <v>4</v>
          </cell>
        </row>
        <row r="932">
          <cell r="A932" t="str">
            <v>M1</v>
          </cell>
          <cell r="B932" t="str">
            <v>A5C</v>
          </cell>
          <cell r="C932" t="str">
            <v>P</v>
          </cell>
          <cell r="D932" t="str">
            <v>22055</v>
          </cell>
          <cell r="E932" t="str">
            <v>45 ELL</v>
          </cell>
          <cell r="F932">
            <v>2</v>
          </cell>
          <cell r="G932" t="str">
            <v>CB300204000600</v>
          </cell>
          <cell r="H932">
            <v>6</v>
          </cell>
          <cell r="I932" t="str">
            <v>--</v>
          </cell>
          <cell r="J932">
            <v>2</v>
          </cell>
          <cell r="K932">
            <v>3</v>
          </cell>
        </row>
        <row r="933">
          <cell r="A933" t="str">
            <v>M1</v>
          </cell>
          <cell r="B933" t="str">
            <v>A5C</v>
          </cell>
          <cell r="C933" t="str">
            <v>P</v>
          </cell>
          <cell r="D933" t="str">
            <v>22139</v>
          </cell>
          <cell r="E933" t="str">
            <v>45 ELL</v>
          </cell>
          <cell r="F933">
            <v>2</v>
          </cell>
          <cell r="G933" t="str">
            <v>CB300204000600</v>
          </cell>
          <cell r="H933">
            <v>6</v>
          </cell>
          <cell r="I933" t="str">
            <v>--</v>
          </cell>
          <cell r="J933">
            <v>1</v>
          </cell>
          <cell r="K933">
            <v>2</v>
          </cell>
        </row>
        <row r="934">
          <cell r="A934" t="str">
            <v>M1</v>
          </cell>
          <cell r="B934" t="str">
            <v>A5C</v>
          </cell>
          <cell r="C934" t="str">
            <v>COMP</v>
          </cell>
          <cell r="D934" t="str">
            <v>003</v>
          </cell>
          <cell r="E934" t="str">
            <v>90 ELL</v>
          </cell>
          <cell r="F934">
            <v>2</v>
          </cell>
          <cell r="G934" t="str">
            <v>CB300104000600</v>
          </cell>
          <cell r="H934">
            <v>6</v>
          </cell>
          <cell r="I934" t="str">
            <v>--</v>
          </cell>
          <cell r="J934">
            <v>2</v>
          </cell>
          <cell r="K934">
            <v>3</v>
          </cell>
        </row>
        <row r="935">
          <cell r="A935" t="str">
            <v>M1</v>
          </cell>
          <cell r="B935" t="str">
            <v>A5C</v>
          </cell>
          <cell r="C935" t="str">
            <v>P</v>
          </cell>
          <cell r="D935" t="str">
            <v>22023</v>
          </cell>
          <cell r="E935" t="str">
            <v>90 ELL</v>
          </cell>
          <cell r="F935">
            <v>2</v>
          </cell>
          <cell r="G935" t="str">
            <v>CB300104000600</v>
          </cell>
          <cell r="H935">
            <v>6</v>
          </cell>
          <cell r="I935" t="str">
            <v>--</v>
          </cell>
          <cell r="J935">
            <v>6</v>
          </cell>
          <cell r="K935">
            <v>7</v>
          </cell>
        </row>
        <row r="936">
          <cell r="A936" t="str">
            <v>M1</v>
          </cell>
          <cell r="B936" t="str">
            <v>A5C</v>
          </cell>
          <cell r="C936" t="str">
            <v>P</v>
          </cell>
          <cell r="D936" t="str">
            <v>22028</v>
          </cell>
          <cell r="E936" t="str">
            <v>90 ELL</v>
          </cell>
          <cell r="F936">
            <v>2</v>
          </cell>
          <cell r="G936" t="str">
            <v>CB300104000600</v>
          </cell>
          <cell r="H936">
            <v>6</v>
          </cell>
          <cell r="I936" t="str">
            <v>--</v>
          </cell>
          <cell r="J936">
            <v>4</v>
          </cell>
          <cell r="K936">
            <v>5</v>
          </cell>
        </row>
        <row r="937">
          <cell r="A937" t="str">
            <v>M1</v>
          </cell>
          <cell r="B937" t="str">
            <v>A5C</v>
          </cell>
          <cell r="C937" t="str">
            <v>P</v>
          </cell>
          <cell r="D937" t="str">
            <v>22065</v>
          </cell>
          <cell r="E937" t="str">
            <v>90 ELL</v>
          </cell>
          <cell r="F937">
            <v>2</v>
          </cell>
          <cell r="G937" t="str">
            <v>CB300104000600</v>
          </cell>
          <cell r="H937">
            <v>6</v>
          </cell>
          <cell r="I937" t="str">
            <v>--</v>
          </cell>
          <cell r="J937">
            <v>6</v>
          </cell>
          <cell r="K937">
            <v>7</v>
          </cell>
        </row>
        <row r="938">
          <cell r="A938" t="str">
            <v>M1</v>
          </cell>
          <cell r="B938" t="str">
            <v>A5C</v>
          </cell>
          <cell r="C938" t="str">
            <v>P</v>
          </cell>
          <cell r="D938" t="str">
            <v>22139</v>
          </cell>
          <cell r="E938" t="str">
            <v>90 ELL</v>
          </cell>
          <cell r="F938">
            <v>2</v>
          </cell>
          <cell r="G938" t="str">
            <v>CB300104000600</v>
          </cell>
          <cell r="H938">
            <v>6</v>
          </cell>
          <cell r="I938" t="str">
            <v>--</v>
          </cell>
          <cell r="J938">
            <v>4</v>
          </cell>
          <cell r="K938">
            <v>5</v>
          </cell>
        </row>
        <row r="939">
          <cell r="A939" t="str">
            <v>M1</v>
          </cell>
          <cell r="B939" t="str">
            <v>A5C</v>
          </cell>
          <cell r="C939" t="str">
            <v>P</v>
          </cell>
          <cell r="D939" t="str">
            <v>22065</v>
          </cell>
          <cell r="E939" t="str">
            <v>E RED</v>
          </cell>
          <cell r="F939">
            <v>2</v>
          </cell>
          <cell r="G939" t="str">
            <v>CB300604040604</v>
          </cell>
          <cell r="H939">
            <v>6</v>
          </cell>
          <cell r="I939">
            <v>4</v>
          </cell>
          <cell r="J939">
            <v>2</v>
          </cell>
          <cell r="K939">
            <v>3</v>
          </cell>
        </row>
        <row r="940">
          <cell r="A940" t="str">
            <v>M1</v>
          </cell>
          <cell r="B940" t="str">
            <v>A5C</v>
          </cell>
          <cell r="C940" t="str">
            <v>P</v>
          </cell>
          <cell r="D940" t="str">
            <v>22066</v>
          </cell>
          <cell r="E940" t="str">
            <v>E RED</v>
          </cell>
          <cell r="F940">
            <v>2</v>
          </cell>
          <cell r="G940" t="str">
            <v>CB300604040603</v>
          </cell>
          <cell r="H940">
            <v>6</v>
          </cell>
          <cell r="I940">
            <v>3</v>
          </cell>
          <cell r="J940">
            <v>1</v>
          </cell>
          <cell r="K940">
            <v>2</v>
          </cell>
        </row>
        <row r="941">
          <cell r="A941" t="str">
            <v>M1</v>
          </cell>
          <cell r="B941" t="str">
            <v>A5C</v>
          </cell>
          <cell r="C941" t="str">
            <v>P</v>
          </cell>
          <cell r="D941" t="str">
            <v>22028</v>
          </cell>
          <cell r="E941" t="str">
            <v>SOL</v>
          </cell>
          <cell r="F941">
            <v>2</v>
          </cell>
          <cell r="G941" t="str">
            <v>CB39020000060T</v>
          </cell>
          <cell r="H941">
            <v>6</v>
          </cell>
          <cell r="I941">
            <v>0.75</v>
          </cell>
          <cell r="J941">
            <v>1</v>
          </cell>
          <cell r="K941">
            <v>2</v>
          </cell>
        </row>
        <row r="942">
          <cell r="A942" t="str">
            <v>M1</v>
          </cell>
          <cell r="B942" t="str">
            <v>A5C</v>
          </cell>
          <cell r="C942" t="str">
            <v>P</v>
          </cell>
          <cell r="D942" t="str">
            <v>22022</v>
          </cell>
          <cell r="E942" t="str">
            <v>SOL</v>
          </cell>
          <cell r="F942">
            <v>2</v>
          </cell>
          <cell r="G942" t="str">
            <v>CB39020000060H</v>
          </cell>
          <cell r="H942">
            <v>6</v>
          </cell>
          <cell r="I942">
            <v>0.5</v>
          </cell>
          <cell r="J942">
            <v>1</v>
          </cell>
          <cell r="K942">
            <v>2</v>
          </cell>
        </row>
        <row r="943">
          <cell r="A943" t="str">
            <v>M1</v>
          </cell>
          <cell r="B943" t="str">
            <v>A5C</v>
          </cell>
          <cell r="C943" t="str">
            <v>P</v>
          </cell>
          <cell r="D943" t="str">
            <v>22065</v>
          </cell>
          <cell r="E943" t="str">
            <v>SOL</v>
          </cell>
          <cell r="F943">
            <v>2</v>
          </cell>
          <cell r="G943" t="str">
            <v>CB39020000060T</v>
          </cell>
          <cell r="H943">
            <v>6</v>
          </cell>
          <cell r="I943">
            <v>0.75</v>
          </cell>
          <cell r="J943">
            <v>1</v>
          </cell>
          <cell r="K943">
            <v>2</v>
          </cell>
        </row>
        <row r="944">
          <cell r="A944" t="str">
            <v>M1</v>
          </cell>
          <cell r="B944" t="str">
            <v>A5C</v>
          </cell>
          <cell r="C944" t="str">
            <v>P</v>
          </cell>
          <cell r="D944" t="str">
            <v>22065</v>
          </cell>
          <cell r="E944" t="str">
            <v>TEE</v>
          </cell>
          <cell r="F944">
            <v>2</v>
          </cell>
          <cell r="G944" t="str">
            <v>CB300304000600</v>
          </cell>
          <cell r="H944">
            <v>6</v>
          </cell>
          <cell r="I944" t="str">
            <v>--</v>
          </cell>
          <cell r="J944">
            <v>1</v>
          </cell>
          <cell r="K944">
            <v>2</v>
          </cell>
        </row>
        <row r="945">
          <cell r="A945" t="str">
            <v>M1</v>
          </cell>
          <cell r="B945" t="str">
            <v>A5C</v>
          </cell>
          <cell r="C945" t="str">
            <v>P</v>
          </cell>
          <cell r="D945" t="str">
            <v>22139</v>
          </cell>
          <cell r="E945" t="str">
            <v>TEE</v>
          </cell>
          <cell r="F945">
            <v>2</v>
          </cell>
          <cell r="G945" t="str">
            <v>CB300304000600</v>
          </cell>
          <cell r="H945">
            <v>6</v>
          </cell>
          <cell r="I945" t="str">
            <v>--</v>
          </cell>
          <cell r="J945">
            <v>1</v>
          </cell>
          <cell r="K945">
            <v>2</v>
          </cell>
        </row>
        <row r="946">
          <cell r="A946" t="str">
            <v>M1</v>
          </cell>
          <cell r="B946" t="str">
            <v>A5C</v>
          </cell>
          <cell r="C946" t="str">
            <v>P</v>
          </cell>
          <cell r="D946" t="str">
            <v>22028</v>
          </cell>
          <cell r="E946" t="str">
            <v>TOL</v>
          </cell>
          <cell r="F946">
            <v>2</v>
          </cell>
          <cell r="G946" t="str">
            <v>CB39030000060T</v>
          </cell>
          <cell r="H946">
            <v>6</v>
          </cell>
          <cell r="I946">
            <v>0.75</v>
          </cell>
          <cell r="J946">
            <v>1</v>
          </cell>
          <cell r="K946">
            <v>2</v>
          </cell>
        </row>
        <row r="947">
          <cell r="A947" t="str">
            <v>M1</v>
          </cell>
          <cell r="B947" t="str">
            <v>A5C</v>
          </cell>
          <cell r="C947" t="str">
            <v>P</v>
          </cell>
          <cell r="D947" t="str">
            <v>22048</v>
          </cell>
          <cell r="E947" t="str">
            <v>TOL</v>
          </cell>
          <cell r="F947">
            <v>2</v>
          </cell>
          <cell r="G947" t="str">
            <v>CB39030000060T060T</v>
          </cell>
          <cell r="H947">
            <v>6</v>
          </cell>
          <cell r="I947">
            <v>0.75</v>
          </cell>
          <cell r="J947">
            <v>1</v>
          </cell>
          <cell r="K947">
            <v>2</v>
          </cell>
        </row>
        <row r="948">
          <cell r="A948" t="str">
            <v>M1</v>
          </cell>
          <cell r="B948" t="str">
            <v>A5C</v>
          </cell>
          <cell r="C948" t="str">
            <v>P</v>
          </cell>
          <cell r="D948" t="str">
            <v>22019</v>
          </cell>
          <cell r="E948" t="str">
            <v>TOL</v>
          </cell>
          <cell r="F948">
            <v>2</v>
          </cell>
          <cell r="G948" t="str">
            <v>CB39030000060T060T</v>
          </cell>
          <cell r="H948">
            <v>6</v>
          </cell>
          <cell r="I948">
            <v>0.75</v>
          </cell>
          <cell r="J948">
            <v>1</v>
          </cell>
          <cell r="K948">
            <v>2</v>
          </cell>
        </row>
        <row r="949">
          <cell r="A949" t="str">
            <v>M1</v>
          </cell>
          <cell r="B949" t="str">
            <v>A5C</v>
          </cell>
          <cell r="C949" t="str">
            <v>P</v>
          </cell>
          <cell r="D949" t="str">
            <v>22035</v>
          </cell>
          <cell r="E949" t="str">
            <v>90 ELL</v>
          </cell>
          <cell r="F949">
            <v>2</v>
          </cell>
          <cell r="G949" t="str">
            <v>CB300104000600</v>
          </cell>
          <cell r="H949">
            <v>6</v>
          </cell>
          <cell r="I949" t="str">
            <v>--</v>
          </cell>
          <cell r="J949">
            <v>2</v>
          </cell>
          <cell r="K949">
            <v>3</v>
          </cell>
        </row>
        <row r="950">
          <cell r="A950" t="str">
            <v>M1</v>
          </cell>
          <cell r="B950" t="str">
            <v>A5C</v>
          </cell>
          <cell r="C950" t="str">
            <v>P</v>
          </cell>
          <cell r="D950" t="str">
            <v>22034</v>
          </cell>
          <cell r="E950" t="str">
            <v>SOL</v>
          </cell>
          <cell r="F950">
            <v>2</v>
          </cell>
          <cell r="G950" t="str">
            <v>CB3902000006010601</v>
          </cell>
          <cell r="H950">
            <v>6</v>
          </cell>
          <cell r="I950">
            <v>1</v>
          </cell>
          <cell r="J950">
            <v>2</v>
          </cell>
          <cell r="K950">
            <v>3</v>
          </cell>
        </row>
        <row r="951">
          <cell r="A951" t="str">
            <v>M1</v>
          </cell>
          <cell r="B951" t="str">
            <v>A5C</v>
          </cell>
          <cell r="C951" t="str">
            <v>P</v>
          </cell>
          <cell r="D951" t="str">
            <v>22034</v>
          </cell>
          <cell r="E951" t="str">
            <v>TEE</v>
          </cell>
          <cell r="F951">
            <v>2</v>
          </cell>
          <cell r="G951" t="str">
            <v>CB3003040006000600</v>
          </cell>
          <cell r="H951">
            <v>6</v>
          </cell>
          <cell r="I951" t="str">
            <v>--</v>
          </cell>
          <cell r="J951">
            <v>1</v>
          </cell>
          <cell r="K951">
            <v>2</v>
          </cell>
        </row>
        <row r="952">
          <cell r="A952" t="str">
            <v>M1</v>
          </cell>
          <cell r="B952" t="str">
            <v>A5C</v>
          </cell>
          <cell r="C952" t="str">
            <v>WW</v>
          </cell>
          <cell r="D952" t="str">
            <v>22601</v>
          </cell>
          <cell r="E952" t="str">
            <v>90 ELL</v>
          </cell>
          <cell r="F952">
            <v>2</v>
          </cell>
          <cell r="G952" t="str">
            <v>CB300104000600</v>
          </cell>
          <cell r="H952">
            <v>6</v>
          </cell>
          <cell r="I952" t="str">
            <v>--</v>
          </cell>
          <cell r="J952">
            <v>2</v>
          </cell>
          <cell r="K952">
            <v>3</v>
          </cell>
        </row>
        <row r="953">
          <cell r="A953" t="str">
            <v>M1</v>
          </cell>
          <cell r="B953" t="str">
            <v>A5C</v>
          </cell>
          <cell r="C953" t="str">
            <v>WW</v>
          </cell>
          <cell r="D953" t="str">
            <v>22601</v>
          </cell>
          <cell r="E953" t="str">
            <v>90 ELL</v>
          </cell>
          <cell r="F953">
            <v>2</v>
          </cell>
          <cell r="G953" t="str">
            <v>CB300104000600</v>
          </cell>
          <cell r="H953">
            <v>6</v>
          </cell>
          <cell r="I953" t="str">
            <v>--</v>
          </cell>
          <cell r="J953">
            <v>3</v>
          </cell>
          <cell r="K953">
            <v>4</v>
          </cell>
        </row>
        <row r="954">
          <cell r="A954" t="str">
            <v>M1</v>
          </cell>
          <cell r="B954" t="str">
            <v>A5C</v>
          </cell>
          <cell r="C954" t="str">
            <v>WW</v>
          </cell>
          <cell r="D954" t="str">
            <v>22601</v>
          </cell>
          <cell r="E954" t="str">
            <v>E RED</v>
          </cell>
          <cell r="F954">
            <v>2</v>
          </cell>
          <cell r="G954" t="str">
            <v>CB300604040604</v>
          </cell>
          <cell r="H954">
            <v>6</v>
          </cell>
          <cell r="I954">
            <v>4</v>
          </cell>
          <cell r="J954">
            <v>2</v>
          </cell>
          <cell r="K954">
            <v>3</v>
          </cell>
        </row>
        <row r="955">
          <cell r="A955" t="str">
            <v>M1</v>
          </cell>
          <cell r="B955" t="str">
            <v>A5C</v>
          </cell>
          <cell r="C955" t="str">
            <v>WW</v>
          </cell>
          <cell r="D955" t="str">
            <v>22601</v>
          </cell>
          <cell r="E955" t="str">
            <v>TEE</v>
          </cell>
          <cell r="F955">
            <v>2</v>
          </cell>
          <cell r="G955" t="str">
            <v>CB300304000600</v>
          </cell>
          <cell r="H955">
            <v>6</v>
          </cell>
          <cell r="I955" t="str">
            <v>--</v>
          </cell>
          <cell r="J955">
            <v>1</v>
          </cell>
          <cell r="K955">
            <v>2</v>
          </cell>
        </row>
        <row r="956">
          <cell r="A956" t="str">
            <v>M1</v>
          </cell>
          <cell r="B956" t="str">
            <v>A6C</v>
          </cell>
          <cell r="C956" t="str">
            <v>HOS</v>
          </cell>
          <cell r="D956" t="str">
            <v>65624</v>
          </cell>
          <cell r="E956" t="str">
            <v>45 ELL</v>
          </cell>
          <cell r="F956">
            <v>2</v>
          </cell>
          <cell r="G956" t="str">
            <v>CB300204000600</v>
          </cell>
          <cell r="H956">
            <v>6</v>
          </cell>
          <cell r="I956" t="str">
            <v>--</v>
          </cell>
          <cell r="J956">
            <v>4</v>
          </cell>
          <cell r="K956">
            <v>5</v>
          </cell>
        </row>
        <row r="957">
          <cell r="A957" t="str">
            <v>M1</v>
          </cell>
          <cell r="B957" t="str">
            <v>A6C</v>
          </cell>
          <cell r="C957" t="str">
            <v>HOS</v>
          </cell>
          <cell r="D957" t="str">
            <v>65624</v>
          </cell>
          <cell r="E957" t="str">
            <v>45 ELL</v>
          </cell>
          <cell r="F957">
            <v>2</v>
          </cell>
          <cell r="G957" t="str">
            <v>CB300204000600</v>
          </cell>
          <cell r="H957">
            <v>6</v>
          </cell>
          <cell r="I957" t="str">
            <v>--</v>
          </cell>
          <cell r="J957">
            <v>4</v>
          </cell>
          <cell r="K957">
            <v>5</v>
          </cell>
        </row>
        <row r="958">
          <cell r="A958" t="str">
            <v>M1</v>
          </cell>
          <cell r="B958" t="str">
            <v>A6C</v>
          </cell>
          <cell r="C958" t="str">
            <v>HOR</v>
          </cell>
          <cell r="D958" t="str">
            <v>65611</v>
          </cell>
          <cell r="E958" t="str">
            <v>45 ELL</v>
          </cell>
          <cell r="F958">
            <v>2</v>
          </cell>
          <cell r="G958" t="str">
            <v>CB300204000600</v>
          </cell>
          <cell r="H958">
            <v>6</v>
          </cell>
          <cell r="I958" t="str">
            <v>--</v>
          </cell>
          <cell r="J958">
            <v>4</v>
          </cell>
          <cell r="K958">
            <v>5</v>
          </cell>
        </row>
        <row r="959">
          <cell r="A959" t="str">
            <v>M1</v>
          </cell>
          <cell r="B959" t="str">
            <v>A6C</v>
          </cell>
          <cell r="C959" t="str">
            <v>HOR</v>
          </cell>
          <cell r="D959" t="str">
            <v>65611</v>
          </cell>
          <cell r="E959" t="str">
            <v>45 ELL</v>
          </cell>
          <cell r="F959">
            <v>2</v>
          </cell>
          <cell r="G959" t="str">
            <v>CB300204000600</v>
          </cell>
          <cell r="H959">
            <v>6</v>
          </cell>
          <cell r="I959" t="str">
            <v>--</v>
          </cell>
          <cell r="J959">
            <v>4</v>
          </cell>
          <cell r="K959">
            <v>5</v>
          </cell>
        </row>
        <row r="960">
          <cell r="A960" t="str">
            <v>M1</v>
          </cell>
          <cell r="B960" t="str">
            <v>A6C</v>
          </cell>
          <cell r="C960" t="str">
            <v>HOS</v>
          </cell>
          <cell r="D960" t="str">
            <v>65624</v>
          </cell>
          <cell r="E960" t="str">
            <v>SOL</v>
          </cell>
          <cell r="F960">
            <v>2</v>
          </cell>
          <cell r="G960" t="str">
            <v>CB39020000060T</v>
          </cell>
          <cell r="H960">
            <v>6</v>
          </cell>
          <cell r="I960">
            <v>0.75</v>
          </cell>
          <cell r="J960">
            <v>1</v>
          </cell>
          <cell r="K960">
            <v>2</v>
          </cell>
        </row>
        <row r="961">
          <cell r="A961" t="str">
            <v>M1</v>
          </cell>
          <cell r="B961" t="str">
            <v>A6C</v>
          </cell>
          <cell r="C961" t="str">
            <v>HOS</v>
          </cell>
          <cell r="D961" t="str">
            <v>65624</v>
          </cell>
          <cell r="E961" t="str">
            <v>SOL</v>
          </cell>
          <cell r="F961">
            <v>2</v>
          </cell>
          <cell r="G961" t="str">
            <v>CB39020000060T</v>
          </cell>
          <cell r="H961">
            <v>6</v>
          </cell>
          <cell r="I961">
            <v>0.75</v>
          </cell>
          <cell r="J961">
            <v>1</v>
          </cell>
          <cell r="K961">
            <v>2</v>
          </cell>
        </row>
        <row r="962">
          <cell r="A962" t="str">
            <v>M1</v>
          </cell>
          <cell r="B962" t="str">
            <v>A6C</v>
          </cell>
          <cell r="C962" t="str">
            <v>HOR</v>
          </cell>
          <cell r="D962" t="str">
            <v>65611</v>
          </cell>
          <cell r="E962" t="str">
            <v>SOL</v>
          </cell>
          <cell r="F962">
            <v>2</v>
          </cell>
          <cell r="G962" t="str">
            <v>CB39020000060T</v>
          </cell>
          <cell r="H962">
            <v>6</v>
          </cell>
          <cell r="I962">
            <v>0.75</v>
          </cell>
          <cell r="J962">
            <v>1</v>
          </cell>
          <cell r="K962">
            <v>2</v>
          </cell>
        </row>
        <row r="963">
          <cell r="A963" t="str">
            <v>M1</v>
          </cell>
          <cell r="B963" t="str">
            <v>A6C</v>
          </cell>
          <cell r="C963" t="str">
            <v>HOR</v>
          </cell>
          <cell r="D963" t="str">
            <v>65611</v>
          </cell>
          <cell r="E963" t="str">
            <v>SOL</v>
          </cell>
          <cell r="F963">
            <v>2</v>
          </cell>
          <cell r="G963" t="str">
            <v>CB39020000060T</v>
          </cell>
          <cell r="H963">
            <v>6</v>
          </cell>
          <cell r="I963">
            <v>0.75</v>
          </cell>
          <cell r="J963">
            <v>1</v>
          </cell>
          <cell r="K963">
            <v>2</v>
          </cell>
        </row>
        <row r="964">
          <cell r="A964" t="str">
            <v>M1</v>
          </cell>
          <cell r="B964" t="str">
            <v>A6C</v>
          </cell>
          <cell r="C964" t="str">
            <v>HOS</v>
          </cell>
          <cell r="D964" t="str">
            <v>65624</v>
          </cell>
          <cell r="E964" t="str">
            <v>TEE</v>
          </cell>
          <cell r="F964">
            <v>2</v>
          </cell>
          <cell r="G964" t="str">
            <v>CB300304000600</v>
          </cell>
          <cell r="H964">
            <v>6</v>
          </cell>
          <cell r="I964" t="str">
            <v>--</v>
          </cell>
          <cell r="J964">
            <v>1</v>
          </cell>
          <cell r="K964">
            <v>2</v>
          </cell>
        </row>
        <row r="965">
          <cell r="A965" t="str">
            <v>M1</v>
          </cell>
          <cell r="B965" t="str">
            <v>A6C</v>
          </cell>
          <cell r="C965" t="str">
            <v>HOS</v>
          </cell>
          <cell r="D965" t="str">
            <v>65624</v>
          </cell>
          <cell r="E965" t="str">
            <v>TEE</v>
          </cell>
          <cell r="F965">
            <v>2</v>
          </cell>
          <cell r="G965" t="str">
            <v>CB300304000600</v>
          </cell>
          <cell r="H965">
            <v>6</v>
          </cell>
          <cell r="I965" t="str">
            <v>--</v>
          </cell>
          <cell r="J965">
            <v>1</v>
          </cell>
          <cell r="K965">
            <v>2</v>
          </cell>
        </row>
        <row r="966">
          <cell r="A966" t="str">
            <v>M1</v>
          </cell>
          <cell r="B966" t="str">
            <v>A6C</v>
          </cell>
          <cell r="C966" t="str">
            <v>HOR</v>
          </cell>
          <cell r="D966" t="str">
            <v>65611</v>
          </cell>
          <cell r="E966" t="str">
            <v>TEE</v>
          </cell>
          <cell r="F966">
            <v>2</v>
          </cell>
          <cell r="G966" t="str">
            <v>CB300304000600</v>
          </cell>
          <cell r="H966">
            <v>6</v>
          </cell>
          <cell r="I966" t="str">
            <v>--</v>
          </cell>
          <cell r="J966">
            <v>1</v>
          </cell>
          <cell r="K966">
            <v>2</v>
          </cell>
        </row>
        <row r="967">
          <cell r="A967" t="str">
            <v>M1</v>
          </cell>
          <cell r="B967" t="str">
            <v>A6C</v>
          </cell>
          <cell r="C967" t="str">
            <v>HOR</v>
          </cell>
          <cell r="D967" t="str">
            <v>65611</v>
          </cell>
          <cell r="E967" t="str">
            <v>TEE</v>
          </cell>
          <cell r="F967">
            <v>2</v>
          </cell>
          <cell r="G967" t="str">
            <v>CB300304000600</v>
          </cell>
          <cell r="H967">
            <v>6</v>
          </cell>
          <cell r="I967" t="str">
            <v>--</v>
          </cell>
          <cell r="J967">
            <v>1</v>
          </cell>
          <cell r="K967">
            <v>2</v>
          </cell>
        </row>
        <row r="968">
          <cell r="A968" t="str">
            <v>M1</v>
          </cell>
          <cell r="B968" t="str">
            <v>B1C</v>
          </cell>
          <cell r="C968" t="str">
            <v>P</v>
          </cell>
          <cell r="D968" t="str">
            <v>22029</v>
          </cell>
          <cell r="E968" t="str">
            <v>45 ELL</v>
          </cell>
          <cell r="F968">
            <v>2</v>
          </cell>
          <cell r="G968" t="str">
            <v>CB300204000600</v>
          </cell>
          <cell r="H968">
            <v>6</v>
          </cell>
          <cell r="I968" t="str">
            <v>--</v>
          </cell>
          <cell r="J968">
            <v>1</v>
          </cell>
          <cell r="K968">
            <v>2</v>
          </cell>
        </row>
        <row r="969">
          <cell r="A969" t="str">
            <v>M1</v>
          </cell>
          <cell r="B969" t="str">
            <v>B1C</v>
          </cell>
          <cell r="C969" t="str">
            <v>P</v>
          </cell>
          <cell r="D969" t="str">
            <v>22029</v>
          </cell>
          <cell r="E969" t="str">
            <v>90 ELL</v>
          </cell>
          <cell r="F969">
            <v>2</v>
          </cell>
          <cell r="G969" t="str">
            <v>CB300104000600</v>
          </cell>
          <cell r="H969">
            <v>6</v>
          </cell>
          <cell r="I969" t="str">
            <v>--</v>
          </cell>
          <cell r="J969">
            <v>4</v>
          </cell>
          <cell r="K969">
            <v>5</v>
          </cell>
        </row>
        <row r="970">
          <cell r="A970" t="str">
            <v>M1</v>
          </cell>
          <cell r="B970" t="str">
            <v>B1C</v>
          </cell>
          <cell r="C970" t="str">
            <v>P</v>
          </cell>
          <cell r="D970" t="str">
            <v>22029</v>
          </cell>
          <cell r="E970" t="str">
            <v>TEE</v>
          </cell>
          <cell r="F970">
            <v>2</v>
          </cell>
          <cell r="G970" t="str">
            <v>CB300304000600</v>
          </cell>
          <cell r="H970">
            <v>6</v>
          </cell>
          <cell r="I970" t="str">
            <v>--</v>
          </cell>
          <cell r="J970">
            <v>1</v>
          </cell>
          <cell r="K970">
            <v>2</v>
          </cell>
        </row>
        <row r="971">
          <cell r="A971" t="str">
            <v>M1</v>
          </cell>
          <cell r="B971" t="str">
            <v>A5C</v>
          </cell>
          <cell r="C971" t="str">
            <v>P</v>
          </cell>
          <cell r="D971" t="str">
            <v>22011</v>
          </cell>
          <cell r="E971" t="str">
            <v>45 ELL</v>
          </cell>
          <cell r="F971">
            <v>2</v>
          </cell>
          <cell r="G971" t="str">
            <v>CB300204000800</v>
          </cell>
          <cell r="H971">
            <v>8</v>
          </cell>
          <cell r="I971" t="str">
            <v>--</v>
          </cell>
          <cell r="J971">
            <v>1</v>
          </cell>
          <cell r="K971">
            <v>2</v>
          </cell>
        </row>
        <row r="972">
          <cell r="A972" t="str">
            <v>M1</v>
          </cell>
          <cell r="B972" t="str">
            <v>A5C</v>
          </cell>
          <cell r="C972" t="str">
            <v>COMP</v>
          </cell>
          <cell r="D972" t="str">
            <v>004</v>
          </cell>
          <cell r="E972" t="str">
            <v>90 ELL</v>
          </cell>
          <cell r="F972">
            <v>2</v>
          </cell>
          <cell r="G972" t="str">
            <v>CB300104000800</v>
          </cell>
          <cell r="H972">
            <v>8</v>
          </cell>
          <cell r="I972" t="str">
            <v>--</v>
          </cell>
          <cell r="J972">
            <v>2</v>
          </cell>
          <cell r="K972">
            <v>3</v>
          </cell>
        </row>
        <row r="973">
          <cell r="A973" t="str">
            <v>M1</v>
          </cell>
          <cell r="B973" t="str">
            <v>A5C</v>
          </cell>
          <cell r="C973" t="str">
            <v>P</v>
          </cell>
          <cell r="D973" t="str">
            <v>22011</v>
          </cell>
          <cell r="E973" t="str">
            <v>90 ELL</v>
          </cell>
          <cell r="F973">
            <v>2</v>
          </cell>
          <cell r="G973" t="str">
            <v>CB300104000800</v>
          </cell>
          <cell r="H973">
            <v>8</v>
          </cell>
          <cell r="I973" t="str">
            <v>--</v>
          </cell>
          <cell r="J973">
            <v>5</v>
          </cell>
          <cell r="K973">
            <v>6</v>
          </cell>
        </row>
        <row r="974">
          <cell r="A974" t="str">
            <v>M1</v>
          </cell>
          <cell r="B974" t="str">
            <v>A5C</v>
          </cell>
          <cell r="C974" t="str">
            <v>P</v>
          </cell>
          <cell r="D974" t="str">
            <v>22118</v>
          </cell>
          <cell r="E974" t="str">
            <v>C RED</v>
          </cell>
          <cell r="F974">
            <v>2</v>
          </cell>
          <cell r="G974" t="str">
            <v>CB300504040804</v>
          </cell>
          <cell r="H974">
            <v>8</v>
          </cell>
          <cell r="I974">
            <v>4</v>
          </cell>
          <cell r="J974">
            <v>1</v>
          </cell>
          <cell r="K974">
            <v>2</v>
          </cell>
        </row>
        <row r="975">
          <cell r="A975" t="str">
            <v>M1</v>
          </cell>
          <cell r="B975" t="str">
            <v>A5C</v>
          </cell>
          <cell r="C975" t="str">
            <v>P</v>
          </cell>
          <cell r="D975" t="str">
            <v>22011</v>
          </cell>
          <cell r="E975" t="str">
            <v>SOL</v>
          </cell>
          <cell r="F975">
            <v>2</v>
          </cell>
          <cell r="G975" t="str">
            <v>CB39020000080T</v>
          </cell>
          <cell r="H975">
            <v>8</v>
          </cell>
          <cell r="I975">
            <v>0.75</v>
          </cell>
          <cell r="J975">
            <v>1</v>
          </cell>
          <cell r="K975">
            <v>2</v>
          </cell>
        </row>
        <row r="976">
          <cell r="A976" t="str">
            <v>M1</v>
          </cell>
          <cell r="B976" t="str">
            <v>A5C</v>
          </cell>
          <cell r="C976" t="str">
            <v>COMP</v>
          </cell>
          <cell r="D976" t="str">
            <v>004</v>
          </cell>
          <cell r="E976" t="str">
            <v>TEE</v>
          </cell>
          <cell r="F976">
            <v>2</v>
          </cell>
          <cell r="G976" t="str">
            <v>CB300304000800</v>
          </cell>
          <cell r="H976">
            <v>8</v>
          </cell>
          <cell r="I976" t="str">
            <v>--</v>
          </cell>
          <cell r="J976">
            <v>1</v>
          </cell>
          <cell r="K976">
            <v>2</v>
          </cell>
        </row>
        <row r="977">
          <cell r="A977" t="str">
            <v>M1</v>
          </cell>
          <cell r="B977" t="str">
            <v>A6C</v>
          </cell>
          <cell r="C977" t="str">
            <v>HOS</v>
          </cell>
          <cell r="D977" t="str">
            <v>65617</v>
          </cell>
          <cell r="E977" t="str">
            <v>90 ELL</v>
          </cell>
          <cell r="F977">
            <v>2</v>
          </cell>
          <cell r="G977" t="str">
            <v>CB300104000800</v>
          </cell>
          <cell r="H977">
            <v>8</v>
          </cell>
          <cell r="I977" t="str">
            <v>--</v>
          </cell>
          <cell r="J977">
            <v>4</v>
          </cell>
          <cell r="K977">
            <v>5</v>
          </cell>
        </row>
        <row r="978">
          <cell r="A978" t="str">
            <v>M1</v>
          </cell>
          <cell r="B978" t="str">
            <v>A5C</v>
          </cell>
          <cell r="C978" t="str">
            <v>P</v>
          </cell>
          <cell r="D978" t="str">
            <v>22074</v>
          </cell>
          <cell r="E978" t="str">
            <v>SOL</v>
          </cell>
          <cell r="F978">
            <v>2</v>
          </cell>
          <cell r="G978" t="str">
            <v>CB39020000080T</v>
          </cell>
          <cell r="H978">
            <v>8</v>
          </cell>
          <cell r="I978">
            <v>0.75</v>
          </cell>
          <cell r="J978">
            <v>3</v>
          </cell>
          <cell r="K978">
            <v>4</v>
          </cell>
        </row>
        <row r="979">
          <cell r="A979" t="str">
            <v>M1</v>
          </cell>
          <cell r="B979" t="str">
            <v>A6C</v>
          </cell>
          <cell r="C979" t="str">
            <v>HOS</v>
          </cell>
          <cell r="D979" t="str">
            <v>65624</v>
          </cell>
          <cell r="E979" t="str">
            <v>45 ELL</v>
          </cell>
          <cell r="F979">
            <v>2</v>
          </cell>
          <cell r="G979" t="str">
            <v>CB300204000800</v>
          </cell>
          <cell r="H979">
            <v>8</v>
          </cell>
          <cell r="I979" t="str">
            <v>--</v>
          </cell>
          <cell r="J979">
            <v>1</v>
          </cell>
          <cell r="K979">
            <v>2</v>
          </cell>
        </row>
        <row r="980">
          <cell r="A980" t="str">
            <v>M1</v>
          </cell>
          <cell r="B980" t="str">
            <v>A6C</v>
          </cell>
          <cell r="C980" t="str">
            <v>HOR</v>
          </cell>
          <cell r="D980" t="str">
            <v>65611</v>
          </cell>
          <cell r="E980" t="str">
            <v>45 ELL</v>
          </cell>
          <cell r="F980">
            <v>2</v>
          </cell>
          <cell r="G980" t="str">
            <v>CB300204000800</v>
          </cell>
          <cell r="H980">
            <v>8</v>
          </cell>
          <cell r="I980" t="str">
            <v>--</v>
          </cell>
          <cell r="J980">
            <v>2</v>
          </cell>
          <cell r="K980">
            <v>3</v>
          </cell>
        </row>
        <row r="981">
          <cell r="A981" t="str">
            <v>M1</v>
          </cell>
          <cell r="B981" t="str">
            <v>A6C</v>
          </cell>
          <cell r="C981" t="str">
            <v>HOR</v>
          </cell>
          <cell r="D981" t="str">
            <v>65611</v>
          </cell>
          <cell r="E981" t="str">
            <v>45 ELL</v>
          </cell>
          <cell r="F981">
            <v>2</v>
          </cell>
          <cell r="G981" t="str">
            <v>CB300204000800</v>
          </cell>
          <cell r="H981">
            <v>8</v>
          </cell>
          <cell r="I981" t="str">
            <v>--</v>
          </cell>
          <cell r="J981">
            <v>1</v>
          </cell>
          <cell r="K981">
            <v>2</v>
          </cell>
        </row>
        <row r="982">
          <cell r="A982" t="str">
            <v>M1</v>
          </cell>
          <cell r="B982" t="str">
            <v>A6C</v>
          </cell>
          <cell r="C982" t="str">
            <v>HOR</v>
          </cell>
          <cell r="D982" t="str">
            <v>65615</v>
          </cell>
          <cell r="E982" t="str">
            <v>45 ELL</v>
          </cell>
          <cell r="F982">
            <v>2</v>
          </cell>
          <cell r="G982" t="str">
            <v>CB300204000800</v>
          </cell>
          <cell r="H982">
            <v>8</v>
          </cell>
          <cell r="I982" t="str">
            <v>--</v>
          </cell>
          <cell r="J982">
            <v>1</v>
          </cell>
          <cell r="K982">
            <v>2</v>
          </cell>
        </row>
        <row r="983">
          <cell r="A983" t="str">
            <v>M1</v>
          </cell>
          <cell r="B983" t="str">
            <v>A6C</v>
          </cell>
          <cell r="C983" t="str">
            <v>HOR</v>
          </cell>
          <cell r="D983" t="str">
            <v>65619</v>
          </cell>
          <cell r="E983" t="str">
            <v>45 ELL</v>
          </cell>
          <cell r="F983">
            <v>2</v>
          </cell>
          <cell r="G983" t="str">
            <v>CB300204000800</v>
          </cell>
          <cell r="H983">
            <v>8</v>
          </cell>
          <cell r="I983" t="str">
            <v>--</v>
          </cell>
          <cell r="J983">
            <v>1</v>
          </cell>
          <cell r="K983">
            <v>2</v>
          </cell>
        </row>
        <row r="984">
          <cell r="A984" t="str">
            <v>M1</v>
          </cell>
          <cell r="B984" t="str">
            <v>A6C</v>
          </cell>
          <cell r="C984" t="str">
            <v>HOS</v>
          </cell>
          <cell r="D984" t="str">
            <v>65619</v>
          </cell>
          <cell r="E984" t="str">
            <v>90 ELL</v>
          </cell>
          <cell r="F984">
            <v>2</v>
          </cell>
          <cell r="G984" t="str">
            <v>CB300104000800</v>
          </cell>
          <cell r="H984">
            <v>8</v>
          </cell>
          <cell r="I984" t="str">
            <v>--</v>
          </cell>
          <cell r="J984">
            <v>6</v>
          </cell>
          <cell r="K984">
            <v>7</v>
          </cell>
        </row>
        <row r="985">
          <cell r="A985" t="str">
            <v>M1</v>
          </cell>
          <cell r="B985" t="str">
            <v>A6C</v>
          </cell>
          <cell r="C985" t="str">
            <v>HOR</v>
          </cell>
          <cell r="D985" t="str">
            <v>65621</v>
          </cell>
          <cell r="E985" t="str">
            <v>90 ELL</v>
          </cell>
          <cell r="F985">
            <v>2</v>
          </cell>
          <cell r="G985" t="str">
            <v>CB300104000800</v>
          </cell>
          <cell r="H985">
            <v>8</v>
          </cell>
          <cell r="I985" t="str">
            <v>--</v>
          </cell>
          <cell r="J985">
            <v>3</v>
          </cell>
          <cell r="K985">
            <v>4</v>
          </cell>
        </row>
        <row r="986">
          <cell r="A986" t="str">
            <v>M1</v>
          </cell>
          <cell r="B986" t="str">
            <v>A6C</v>
          </cell>
          <cell r="C986" t="str">
            <v>HOS</v>
          </cell>
          <cell r="D986" t="str">
            <v>65624</v>
          </cell>
          <cell r="E986" t="str">
            <v>90 ELL</v>
          </cell>
          <cell r="F986">
            <v>2</v>
          </cell>
          <cell r="G986" t="str">
            <v>CB300104000800</v>
          </cell>
          <cell r="H986">
            <v>8</v>
          </cell>
          <cell r="I986" t="str">
            <v>--</v>
          </cell>
          <cell r="J986">
            <v>5</v>
          </cell>
          <cell r="K986">
            <v>6</v>
          </cell>
        </row>
        <row r="987">
          <cell r="A987" t="str">
            <v>M1</v>
          </cell>
          <cell r="B987" t="str">
            <v>A6C</v>
          </cell>
          <cell r="C987" t="str">
            <v>HOS</v>
          </cell>
          <cell r="D987" t="str">
            <v>65613</v>
          </cell>
          <cell r="E987" t="str">
            <v>90 ELL</v>
          </cell>
          <cell r="F987">
            <v>2</v>
          </cell>
          <cell r="G987" t="str">
            <v>CB300104000800</v>
          </cell>
          <cell r="H987">
            <v>8</v>
          </cell>
          <cell r="I987" t="str">
            <v>--</v>
          </cell>
          <cell r="J987">
            <v>11</v>
          </cell>
          <cell r="K987">
            <v>13</v>
          </cell>
        </row>
        <row r="988">
          <cell r="A988" t="str">
            <v>M1</v>
          </cell>
          <cell r="B988" t="str">
            <v>A6C</v>
          </cell>
          <cell r="C988" t="str">
            <v>HOS</v>
          </cell>
          <cell r="D988" t="str">
            <v>65627</v>
          </cell>
          <cell r="E988" t="str">
            <v>90 ELL</v>
          </cell>
          <cell r="F988">
            <v>2</v>
          </cell>
          <cell r="G988" t="str">
            <v>CB300104000800</v>
          </cell>
          <cell r="H988">
            <v>8</v>
          </cell>
          <cell r="I988" t="str">
            <v>--</v>
          </cell>
          <cell r="J988">
            <v>6</v>
          </cell>
          <cell r="K988">
            <v>7</v>
          </cell>
        </row>
        <row r="989">
          <cell r="A989" t="str">
            <v>M1</v>
          </cell>
          <cell r="B989" t="str">
            <v>A6C</v>
          </cell>
          <cell r="C989" t="str">
            <v>HOS</v>
          </cell>
          <cell r="D989" t="str">
            <v>65631</v>
          </cell>
          <cell r="E989" t="str">
            <v>90 ELL</v>
          </cell>
          <cell r="F989">
            <v>2</v>
          </cell>
          <cell r="G989" t="str">
            <v>CB300104000800</v>
          </cell>
          <cell r="H989">
            <v>8</v>
          </cell>
          <cell r="I989" t="str">
            <v>--</v>
          </cell>
          <cell r="J989">
            <v>4</v>
          </cell>
          <cell r="K989">
            <v>5</v>
          </cell>
        </row>
        <row r="990">
          <cell r="A990" t="str">
            <v>M1</v>
          </cell>
          <cell r="B990" t="str">
            <v>A6C</v>
          </cell>
          <cell r="C990" t="str">
            <v>HOS</v>
          </cell>
          <cell r="D990" t="str">
            <v>65624</v>
          </cell>
          <cell r="E990" t="str">
            <v>90 ELL</v>
          </cell>
          <cell r="F990">
            <v>2</v>
          </cell>
          <cell r="G990" t="str">
            <v>CB300104000800</v>
          </cell>
          <cell r="H990">
            <v>8</v>
          </cell>
          <cell r="I990" t="str">
            <v>--</v>
          </cell>
          <cell r="J990">
            <v>9</v>
          </cell>
          <cell r="K990">
            <v>11</v>
          </cell>
        </row>
        <row r="991">
          <cell r="A991" t="str">
            <v>M1</v>
          </cell>
          <cell r="B991" t="str">
            <v>A6C</v>
          </cell>
          <cell r="C991" t="str">
            <v>HOS</v>
          </cell>
          <cell r="D991" t="str">
            <v>65624</v>
          </cell>
          <cell r="E991" t="str">
            <v>90 ELL</v>
          </cell>
          <cell r="F991">
            <v>2</v>
          </cell>
          <cell r="G991" t="str">
            <v>CB300104000800</v>
          </cell>
          <cell r="H991">
            <v>8</v>
          </cell>
          <cell r="I991" t="str">
            <v>--</v>
          </cell>
          <cell r="J991">
            <v>1</v>
          </cell>
          <cell r="K991">
            <v>2</v>
          </cell>
        </row>
        <row r="992">
          <cell r="A992" t="str">
            <v>M1</v>
          </cell>
          <cell r="B992" t="str">
            <v>A6C</v>
          </cell>
          <cell r="C992" t="str">
            <v>HOS</v>
          </cell>
          <cell r="D992" t="str">
            <v>65624</v>
          </cell>
          <cell r="E992" t="str">
            <v>90 ELL</v>
          </cell>
          <cell r="F992">
            <v>2</v>
          </cell>
          <cell r="G992" t="str">
            <v>CB300104000800</v>
          </cell>
          <cell r="H992">
            <v>8</v>
          </cell>
          <cell r="I992" t="str">
            <v>--</v>
          </cell>
          <cell r="J992">
            <v>2</v>
          </cell>
          <cell r="K992">
            <v>3</v>
          </cell>
        </row>
        <row r="993">
          <cell r="A993" t="str">
            <v>M1</v>
          </cell>
          <cell r="B993" t="str">
            <v>A6C</v>
          </cell>
          <cell r="C993" t="str">
            <v>HOS</v>
          </cell>
          <cell r="D993" t="str">
            <v>65625</v>
          </cell>
          <cell r="E993" t="str">
            <v>90 ELL</v>
          </cell>
          <cell r="F993">
            <v>2</v>
          </cell>
          <cell r="G993" t="str">
            <v>CB300104000800</v>
          </cell>
          <cell r="H993">
            <v>8</v>
          </cell>
          <cell r="I993" t="str">
            <v>--</v>
          </cell>
          <cell r="J993">
            <v>6</v>
          </cell>
          <cell r="K993">
            <v>7</v>
          </cell>
        </row>
        <row r="994">
          <cell r="A994" t="str">
            <v>M1</v>
          </cell>
          <cell r="B994" t="str">
            <v>A6C</v>
          </cell>
          <cell r="C994" t="str">
            <v>HOR</v>
          </cell>
          <cell r="D994" t="str">
            <v>65611</v>
          </cell>
          <cell r="E994" t="str">
            <v>90 ELL</v>
          </cell>
          <cell r="F994">
            <v>2</v>
          </cell>
          <cell r="G994" t="str">
            <v>CB300104000800</v>
          </cell>
          <cell r="H994">
            <v>8</v>
          </cell>
          <cell r="I994" t="str">
            <v>--</v>
          </cell>
          <cell r="J994">
            <v>4</v>
          </cell>
          <cell r="K994">
            <v>5</v>
          </cell>
        </row>
        <row r="995">
          <cell r="A995" t="str">
            <v>M1</v>
          </cell>
          <cell r="B995" t="str">
            <v>A6C</v>
          </cell>
          <cell r="C995" t="str">
            <v>HOR</v>
          </cell>
          <cell r="D995" t="str">
            <v>65621</v>
          </cell>
          <cell r="E995" t="str">
            <v>90 ELL</v>
          </cell>
          <cell r="F995">
            <v>2</v>
          </cell>
          <cell r="G995" t="str">
            <v>CB300104000800</v>
          </cell>
          <cell r="H995">
            <v>8</v>
          </cell>
          <cell r="I995" t="str">
            <v>--</v>
          </cell>
          <cell r="J995">
            <v>7</v>
          </cell>
          <cell r="K995">
            <v>9</v>
          </cell>
        </row>
        <row r="996">
          <cell r="A996" t="str">
            <v>M1</v>
          </cell>
          <cell r="B996" t="str">
            <v>A6C</v>
          </cell>
          <cell r="C996" t="str">
            <v>HOR</v>
          </cell>
          <cell r="D996" t="str">
            <v>65611</v>
          </cell>
          <cell r="E996" t="str">
            <v>90 ELL</v>
          </cell>
          <cell r="F996">
            <v>2</v>
          </cell>
          <cell r="G996" t="str">
            <v>CB300104000800</v>
          </cell>
          <cell r="H996">
            <v>8</v>
          </cell>
          <cell r="I996" t="str">
            <v>--</v>
          </cell>
          <cell r="J996">
            <v>3</v>
          </cell>
          <cell r="K996">
            <v>4</v>
          </cell>
        </row>
        <row r="997">
          <cell r="A997" t="str">
            <v>M1</v>
          </cell>
          <cell r="B997" t="str">
            <v>A6C</v>
          </cell>
          <cell r="C997" t="str">
            <v>HOS</v>
          </cell>
          <cell r="D997" t="str">
            <v>65613</v>
          </cell>
          <cell r="E997" t="str">
            <v>90 ELL</v>
          </cell>
          <cell r="F997">
            <v>2</v>
          </cell>
          <cell r="G997" t="str">
            <v>CB300104000800</v>
          </cell>
          <cell r="H997">
            <v>8</v>
          </cell>
          <cell r="I997" t="str">
            <v>--</v>
          </cell>
          <cell r="J997">
            <v>2</v>
          </cell>
          <cell r="K997">
            <v>3</v>
          </cell>
        </row>
        <row r="998">
          <cell r="A998" t="str">
            <v>M1</v>
          </cell>
          <cell r="B998" t="str">
            <v>A6C</v>
          </cell>
          <cell r="C998" t="str">
            <v>HOR</v>
          </cell>
          <cell r="D998" t="str">
            <v>65615</v>
          </cell>
          <cell r="E998" t="str">
            <v>90 ELL</v>
          </cell>
          <cell r="F998">
            <v>2</v>
          </cell>
          <cell r="G998" t="str">
            <v>CB300104000800</v>
          </cell>
          <cell r="H998">
            <v>8</v>
          </cell>
          <cell r="I998" t="str">
            <v>--</v>
          </cell>
          <cell r="J998">
            <v>6</v>
          </cell>
          <cell r="K998">
            <v>7</v>
          </cell>
        </row>
        <row r="999">
          <cell r="A999" t="str">
            <v>M1</v>
          </cell>
          <cell r="B999" t="str">
            <v>A6C</v>
          </cell>
          <cell r="C999" t="str">
            <v>HOS</v>
          </cell>
          <cell r="D999" t="str">
            <v>65613</v>
          </cell>
          <cell r="E999" t="str">
            <v>90 ELL</v>
          </cell>
          <cell r="F999">
            <v>2</v>
          </cell>
          <cell r="G999" t="str">
            <v>CB300104000800</v>
          </cell>
          <cell r="H999">
            <v>8</v>
          </cell>
          <cell r="I999" t="str">
            <v>--</v>
          </cell>
          <cell r="J999">
            <v>7</v>
          </cell>
          <cell r="K999">
            <v>9</v>
          </cell>
        </row>
        <row r="1000">
          <cell r="A1000" t="str">
            <v>M1</v>
          </cell>
          <cell r="B1000" t="str">
            <v>A6C</v>
          </cell>
          <cell r="C1000" t="str">
            <v>HOS</v>
          </cell>
          <cell r="D1000" t="str">
            <v>65615</v>
          </cell>
          <cell r="E1000" t="str">
            <v>90 ELL</v>
          </cell>
          <cell r="F1000">
            <v>2</v>
          </cell>
          <cell r="G1000" t="str">
            <v>CB300104000800</v>
          </cell>
          <cell r="H1000">
            <v>8</v>
          </cell>
          <cell r="I1000" t="str">
            <v>--</v>
          </cell>
          <cell r="J1000">
            <v>6</v>
          </cell>
          <cell r="K1000">
            <v>7</v>
          </cell>
        </row>
        <row r="1001">
          <cell r="A1001" t="str">
            <v>M1</v>
          </cell>
          <cell r="B1001" t="str">
            <v>A6C</v>
          </cell>
          <cell r="C1001" t="str">
            <v>HOR</v>
          </cell>
          <cell r="D1001" t="str">
            <v>65619</v>
          </cell>
          <cell r="E1001" t="str">
            <v>90 ELL</v>
          </cell>
          <cell r="F1001">
            <v>2</v>
          </cell>
          <cell r="G1001" t="str">
            <v>CB300104000800</v>
          </cell>
          <cell r="H1001">
            <v>8</v>
          </cell>
          <cell r="I1001" t="str">
            <v>--</v>
          </cell>
          <cell r="J1001">
            <v>7</v>
          </cell>
          <cell r="K1001">
            <v>9</v>
          </cell>
        </row>
        <row r="1002">
          <cell r="A1002" t="str">
            <v>M1</v>
          </cell>
          <cell r="B1002" t="str">
            <v>A6C</v>
          </cell>
          <cell r="C1002" t="str">
            <v>HOR</v>
          </cell>
          <cell r="D1002" t="str">
            <v>65611</v>
          </cell>
          <cell r="E1002" t="str">
            <v>90 ELL</v>
          </cell>
          <cell r="F1002">
            <v>2</v>
          </cell>
          <cell r="G1002" t="str">
            <v>CB300104000800</v>
          </cell>
          <cell r="H1002">
            <v>8</v>
          </cell>
          <cell r="I1002" t="str">
            <v>--</v>
          </cell>
          <cell r="J1002">
            <v>3</v>
          </cell>
          <cell r="K1002">
            <v>4</v>
          </cell>
        </row>
        <row r="1003">
          <cell r="A1003" t="str">
            <v>M1</v>
          </cell>
          <cell r="B1003" t="str">
            <v>A6C</v>
          </cell>
          <cell r="C1003" t="str">
            <v>HOR</v>
          </cell>
          <cell r="D1003" t="str">
            <v>65615</v>
          </cell>
          <cell r="E1003" t="str">
            <v>90 ELL</v>
          </cell>
          <cell r="F1003">
            <v>2</v>
          </cell>
          <cell r="G1003" t="str">
            <v>CB300104000800</v>
          </cell>
          <cell r="H1003">
            <v>8</v>
          </cell>
          <cell r="I1003" t="str">
            <v>--</v>
          </cell>
          <cell r="J1003">
            <v>3</v>
          </cell>
          <cell r="K1003">
            <v>4</v>
          </cell>
        </row>
        <row r="1004">
          <cell r="A1004" t="str">
            <v>M1</v>
          </cell>
          <cell r="B1004" t="str">
            <v>A6C</v>
          </cell>
          <cell r="C1004" t="str">
            <v>HOR</v>
          </cell>
          <cell r="D1004" t="str">
            <v>65619</v>
          </cell>
          <cell r="E1004" t="str">
            <v>90 ELL</v>
          </cell>
          <cell r="F1004">
            <v>2</v>
          </cell>
          <cell r="G1004" t="str">
            <v>CB300104000800</v>
          </cell>
          <cell r="H1004">
            <v>8</v>
          </cell>
          <cell r="I1004" t="str">
            <v>--</v>
          </cell>
          <cell r="J1004">
            <v>4</v>
          </cell>
          <cell r="K1004">
            <v>5</v>
          </cell>
        </row>
        <row r="1005">
          <cell r="A1005" t="str">
            <v>M1</v>
          </cell>
          <cell r="B1005" t="str">
            <v>A6C</v>
          </cell>
          <cell r="C1005" t="str">
            <v>HOS</v>
          </cell>
          <cell r="D1005" t="str">
            <v>65613</v>
          </cell>
          <cell r="E1005" t="str">
            <v>C RED</v>
          </cell>
          <cell r="F1005">
            <v>2</v>
          </cell>
          <cell r="G1005" t="str">
            <v>CB300504040806</v>
          </cell>
          <cell r="H1005">
            <v>8</v>
          </cell>
          <cell r="I1005">
            <v>6</v>
          </cell>
          <cell r="J1005">
            <v>2</v>
          </cell>
          <cell r="K1005">
            <v>3</v>
          </cell>
        </row>
        <row r="1006">
          <cell r="A1006" t="str">
            <v>M1</v>
          </cell>
          <cell r="B1006" t="str">
            <v>A6C</v>
          </cell>
          <cell r="C1006" t="str">
            <v>HOS</v>
          </cell>
          <cell r="D1006" t="str">
            <v>65624</v>
          </cell>
          <cell r="E1006" t="str">
            <v>C RED</v>
          </cell>
          <cell r="F1006">
            <v>2</v>
          </cell>
          <cell r="G1006" t="str">
            <v>CB300504040804</v>
          </cell>
          <cell r="H1006">
            <v>8</v>
          </cell>
          <cell r="I1006">
            <v>4</v>
          </cell>
          <cell r="J1006">
            <v>1</v>
          </cell>
          <cell r="K1006">
            <v>2</v>
          </cell>
        </row>
        <row r="1007">
          <cell r="A1007" t="str">
            <v>M1</v>
          </cell>
          <cell r="B1007" t="str">
            <v>A6C</v>
          </cell>
          <cell r="C1007" t="str">
            <v>HOS</v>
          </cell>
          <cell r="D1007" t="str">
            <v>65624</v>
          </cell>
          <cell r="E1007" t="str">
            <v>C RED</v>
          </cell>
          <cell r="F1007">
            <v>2</v>
          </cell>
          <cell r="G1007" t="str">
            <v>CB300504040806</v>
          </cell>
          <cell r="H1007">
            <v>8</v>
          </cell>
          <cell r="I1007">
            <v>6</v>
          </cell>
          <cell r="J1007">
            <v>1</v>
          </cell>
          <cell r="K1007">
            <v>2</v>
          </cell>
        </row>
        <row r="1008">
          <cell r="A1008" t="str">
            <v>M1</v>
          </cell>
          <cell r="B1008" t="str">
            <v>A6C</v>
          </cell>
          <cell r="C1008" t="str">
            <v>HOS</v>
          </cell>
          <cell r="D1008" t="str">
            <v>65624</v>
          </cell>
          <cell r="E1008" t="str">
            <v>C RED</v>
          </cell>
          <cell r="F1008">
            <v>2</v>
          </cell>
          <cell r="G1008" t="str">
            <v>CB300504040806</v>
          </cell>
          <cell r="H1008">
            <v>8</v>
          </cell>
          <cell r="I1008">
            <v>6</v>
          </cell>
          <cell r="J1008">
            <v>1</v>
          </cell>
          <cell r="K1008">
            <v>2</v>
          </cell>
        </row>
        <row r="1009">
          <cell r="A1009" t="str">
            <v>M1</v>
          </cell>
          <cell r="B1009" t="str">
            <v>A6C</v>
          </cell>
          <cell r="C1009" t="str">
            <v>HOR</v>
          </cell>
          <cell r="D1009" t="str">
            <v>65611</v>
          </cell>
          <cell r="E1009" t="str">
            <v>C RED</v>
          </cell>
          <cell r="F1009">
            <v>2</v>
          </cell>
          <cell r="G1009" t="str">
            <v>CB300504040806</v>
          </cell>
          <cell r="H1009">
            <v>8</v>
          </cell>
          <cell r="I1009">
            <v>6</v>
          </cell>
          <cell r="J1009">
            <v>1</v>
          </cell>
          <cell r="K1009">
            <v>2</v>
          </cell>
        </row>
        <row r="1010">
          <cell r="A1010" t="str">
            <v>M1</v>
          </cell>
          <cell r="B1010" t="str">
            <v>A6C</v>
          </cell>
          <cell r="C1010" t="str">
            <v>HOR</v>
          </cell>
          <cell r="D1010" t="str">
            <v>65611</v>
          </cell>
          <cell r="E1010" t="str">
            <v>C RED</v>
          </cell>
          <cell r="F1010">
            <v>2</v>
          </cell>
          <cell r="G1010" t="str">
            <v>CB300504040806</v>
          </cell>
          <cell r="H1010">
            <v>8</v>
          </cell>
          <cell r="I1010">
            <v>6</v>
          </cell>
          <cell r="J1010">
            <v>1</v>
          </cell>
          <cell r="K1010">
            <v>2</v>
          </cell>
        </row>
        <row r="1011">
          <cell r="A1011" t="str">
            <v>M1</v>
          </cell>
          <cell r="B1011" t="str">
            <v>A6C</v>
          </cell>
          <cell r="C1011" t="str">
            <v>HOR</v>
          </cell>
          <cell r="D1011" t="str">
            <v>65619</v>
          </cell>
          <cell r="E1011" t="str">
            <v>E RED</v>
          </cell>
          <cell r="F1011">
            <v>2</v>
          </cell>
          <cell r="G1011" t="str">
            <v>CB300604040806</v>
          </cell>
          <cell r="H1011">
            <v>8</v>
          </cell>
          <cell r="I1011">
            <v>6</v>
          </cell>
          <cell r="J1011">
            <v>2</v>
          </cell>
          <cell r="K1011">
            <v>3</v>
          </cell>
        </row>
        <row r="1012">
          <cell r="A1012" t="str">
            <v>M1</v>
          </cell>
          <cell r="B1012" t="str">
            <v>A6C</v>
          </cell>
          <cell r="C1012" t="str">
            <v>HOR</v>
          </cell>
          <cell r="D1012" t="str">
            <v>65619</v>
          </cell>
          <cell r="E1012" t="str">
            <v>E RED</v>
          </cell>
          <cell r="F1012">
            <v>2</v>
          </cell>
          <cell r="G1012" t="str">
            <v>CB300604040804</v>
          </cell>
          <cell r="H1012">
            <v>8</v>
          </cell>
          <cell r="I1012">
            <v>4</v>
          </cell>
          <cell r="J1012">
            <v>1</v>
          </cell>
          <cell r="K1012">
            <v>2</v>
          </cell>
        </row>
        <row r="1013">
          <cell r="A1013" t="str">
            <v>M1</v>
          </cell>
          <cell r="B1013" t="str">
            <v>A6C</v>
          </cell>
          <cell r="C1013" t="str">
            <v>HOS</v>
          </cell>
          <cell r="D1013" t="str">
            <v>65613</v>
          </cell>
          <cell r="E1013" t="str">
            <v>SOL</v>
          </cell>
          <cell r="F1013">
            <v>2</v>
          </cell>
          <cell r="G1013" t="str">
            <v>CB39020000080T</v>
          </cell>
          <cell r="H1013">
            <v>8</v>
          </cell>
          <cell r="I1013">
            <v>0.75</v>
          </cell>
          <cell r="J1013">
            <v>3</v>
          </cell>
          <cell r="K1013">
            <v>4</v>
          </cell>
        </row>
        <row r="1014">
          <cell r="A1014" t="str">
            <v>M1</v>
          </cell>
          <cell r="B1014" t="str">
            <v>A6C</v>
          </cell>
          <cell r="C1014" t="str">
            <v>HOS</v>
          </cell>
          <cell r="D1014" t="str">
            <v>65613</v>
          </cell>
          <cell r="E1014" t="str">
            <v>SOL</v>
          </cell>
          <cell r="F1014">
            <v>2</v>
          </cell>
          <cell r="G1014" t="str">
            <v>CB3902000008IH</v>
          </cell>
          <cell r="H1014">
            <v>8</v>
          </cell>
          <cell r="I1014">
            <v>1.5</v>
          </cell>
          <cell r="J1014">
            <v>1</v>
          </cell>
          <cell r="K1014">
            <v>2</v>
          </cell>
        </row>
        <row r="1015">
          <cell r="A1015" t="str">
            <v>M1</v>
          </cell>
          <cell r="B1015" t="str">
            <v>A6C</v>
          </cell>
          <cell r="C1015" t="str">
            <v>HOS</v>
          </cell>
          <cell r="D1015" t="str">
            <v>65619</v>
          </cell>
          <cell r="E1015" t="str">
            <v>SOL</v>
          </cell>
          <cell r="F1015">
            <v>2</v>
          </cell>
          <cell r="G1015" t="str">
            <v>CB39020000080T</v>
          </cell>
          <cell r="H1015">
            <v>8</v>
          </cell>
          <cell r="I1015">
            <v>0.75</v>
          </cell>
          <cell r="J1015">
            <v>1</v>
          </cell>
          <cell r="K1015">
            <v>2</v>
          </cell>
        </row>
        <row r="1016">
          <cell r="A1016" t="str">
            <v>M1</v>
          </cell>
          <cell r="B1016" t="str">
            <v>A6C</v>
          </cell>
          <cell r="C1016" t="str">
            <v>HOS</v>
          </cell>
          <cell r="D1016" t="str">
            <v>65627</v>
          </cell>
          <cell r="E1016" t="str">
            <v>SOL</v>
          </cell>
          <cell r="F1016">
            <v>2</v>
          </cell>
          <cell r="G1016" t="str">
            <v>CB39020000080T</v>
          </cell>
          <cell r="H1016">
            <v>8</v>
          </cell>
          <cell r="I1016">
            <v>0.75</v>
          </cell>
          <cell r="J1016">
            <v>1</v>
          </cell>
          <cell r="K1016">
            <v>2</v>
          </cell>
        </row>
        <row r="1017">
          <cell r="A1017" t="str">
            <v>M1</v>
          </cell>
          <cell r="B1017" t="str">
            <v>A6C</v>
          </cell>
          <cell r="C1017" t="str">
            <v>HOS</v>
          </cell>
          <cell r="D1017" t="str">
            <v>65624</v>
          </cell>
          <cell r="E1017" t="str">
            <v>SOL</v>
          </cell>
          <cell r="F1017">
            <v>2</v>
          </cell>
          <cell r="G1017" t="str">
            <v>CB390200000801</v>
          </cell>
          <cell r="H1017">
            <v>8</v>
          </cell>
          <cell r="I1017">
            <v>1</v>
          </cell>
          <cell r="J1017">
            <v>1</v>
          </cell>
          <cell r="K1017">
            <v>2</v>
          </cell>
        </row>
        <row r="1018">
          <cell r="A1018" t="str">
            <v>M1</v>
          </cell>
          <cell r="B1018" t="str">
            <v>A6C</v>
          </cell>
          <cell r="C1018" t="str">
            <v>HOS</v>
          </cell>
          <cell r="D1018" t="str">
            <v>65624</v>
          </cell>
          <cell r="E1018" t="str">
            <v>SOL</v>
          </cell>
          <cell r="F1018">
            <v>2</v>
          </cell>
          <cell r="G1018" t="str">
            <v>CB39020000080T</v>
          </cell>
          <cell r="H1018">
            <v>8</v>
          </cell>
          <cell r="I1018">
            <v>0.75</v>
          </cell>
          <cell r="J1018">
            <v>4</v>
          </cell>
          <cell r="K1018">
            <v>5</v>
          </cell>
        </row>
        <row r="1019">
          <cell r="A1019" t="str">
            <v>M1</v>
          </cell>
          <cell r="B1019" t="str">
            <v>A6C</v>
          </cell>
          <cell r="C1019" t="str">
            <v>HOS</v>
          </cell>
          <cell r="D1019" t="str">
            <v>65625</v>
          </cell>
          <cell r="E1019" t="str">
            <v>SOL</v>
          </cell>
          <cell r="F1019">
            <v>2</v>
          </cell>
          <cell r="G1019" t="str">
            <v>CB390200000801</v>
          </cell>
          <cell r="H1019">
            <v>8</v>
          </cell>
          <cell r="I1019">
            <v>1</v>
          </cell>
          <cell r="J1019">
            <v>1</v>
          </cell>
          <cell r="K1019">
            <v>2</v>
          </cell>
        </row>
        <row r="1020">
          <cell r="A1020" t="str">
            <v>M1</v>
          </cell>
          <cell r="B1020" t="str">
            <v>A6C</v>
          </cell>
          <cell r="C1020" t="str">
            <v>HOR</v>
          </cell>
          <cell r="D1020" t="str">
            <v>65611</v>
          </cell>
          <cell r="E1020" t="str">
            <v>SOL</v>
          </cell>
          <cell r="F1020">
            <v>2</v>
          </cell>
          <cell r="G1020" t="str">
            <v>CB39020000080T</v>
          </cell>
          <cell r="H1020">
            <v>8</v>
          </cell>
          <cell r="I1020">
            <v>0.75</v>
          </cell>
          <cell r="J1020">
            <v>1</v>
          </cell>
          <cell r="K1020">
            <v>2</v>
          </cell>
        </row>
        <row r="1021">
          <cell r="A1021" t="str">
            <v>M1</v>
          </cell>
          <cell r="B1021" t="str">
            <v>A6C</v>
          </cell>
          <cell r="C1021" t="str">
            <v>HOS</v>
          </cell>
          <cell r="D1021" t="str">
            <v>65613</v>
          </cell>
          <cell r="E1021" t="str">
            <v>SOL</v>
          </cell>
          <cell r="F1021">
            <v>2</v>
          </cell>
          <cell r="G1021" t="str">
            <v>CB390200000801</v>
          </cell>
          <cell r="H1021">
            <v>8</v>
          </cell>
          <cell r="I1021">
            <v>1</v>
          </cell>
          <cell r="J1021">
            <v>1</v>
          </cell>
          <cell r="K1021">
            <v>2</v>
          </cell>
        </row>
        <row r="1022">
          <cell r="A1022" t="str">
            <v>M1</v>
          </cell>
          <cell r="B1022" t="str">
            <v>A6C</v>
          </cell>
          <cell r="C1022" t="str">
            <v>HOS</v>
          </cell>
          <cell r="D1022" t="str">
            <v>65613</v>
          </cell>
          <cell r="E1022" t="str">
            <v>SOL</v>
          </cell>
          <cell r="F1022">
            <v>2</v>
          </cell>
          <cell r="G1022" t="str">
            <v>CB3902000008IH</v>
          </cell>
          <cell r="H1022">
            <v>8</v>
          </cell>
          <cell r="I1022">
            <v>1.5</v>
          </cell>
          <cell r="J1022">
            <v>1</v>
          </cell>
          <cell r="K1022">
            <v>2</v>
          </cell>
        </row>
        <row r="1023">
          <cell r="A1023" t="str">
            <v>M1</v>
          </cell>
          <cell r="B1023" t="str">
            <v>A6C</v>
          </cell>
          <cell r="C1023" t="str">
            <v>HOS</v>
          </cell>
          <cell r="D1023" t="str">
            <v>65613</v>
          </cell>
          <cell r="E1023" t="str">
            <v>SOL</v>
          </cell>
          <cell r="F1023">
            <v>2</v>
          </cell>
          <cell r="G1023" t="str">
            <v>CB390200000801</v>
          </cell>
          <cell r="H1023">
            <v>8</v>
          </cell>
          <cell r="I1023">
            <v>1</v>
          </cell>
          <cell r="J1023">
            <v>1</v>
          </cell>
          <cell r="K1023">
            <v>2</v>
          </cell>
        </row>
        <row r="1024">
          <cell r="A1024" t="str">
            <v>M1</v>
          </cell>
          <cell r="B1024" t="str">
            <v>A6C</v>
          </cell>
          <cell r="C1024" t="str">
            <v>HOR</v>
          </cell>
          <cell r="D1024" t="str">
            <v>65619</v>
          </cell>
          <cell r="E1024" t="str">
            <v>SOL</v>
          </cell>
          <cell r="F1024">
            <v>2</v>
          </cell>
          <cell r="G1024" t="str">
            <v>CB39020000080T</v>
          </cell>
          <cell r="H1024">
            <v>8</v>
          </cell>
          <cell r="I1024">
            <v>0.75</v>
          </cell>
          <cell r="J1024">
            <v>1</v>
          </cell>
          <cell r="K1024">
            <v>2</v>
          </cell>
        </row>
        <row r="1025">
          <cell r="A1025" t="str">
            <v>M1</v>
          </cell>
          <cell r="B1025" t="str">
            <v>A6C</v>
          </cell>
          <cell r="C1025" t="str">
            <v>HOR</v>
          </cell>
          <cell r="D1025" t="str">
            <v>65619</v>
          </cell>
          <cell r="E1025" t="str">
            <v>SOL</v>
          </cell>
          <cell r="F1025">
            <v>2</v>
          </cell>
          <cell r="G1025" t="str">
            <v>CB39020000080T</v>
          </cell>
          <cell r="H1025">
            <v>8</v>
          </cell>
          <cell r="I1025">
            <v>0.75</v>
          </cell>
          <cell r="J1025">
            <v>2</v>
          </cell>
          <cell r="K1025">
            <v>3</v>
          </cell>
        </row>
        <row r="1026">
          <cell r="A1026" t="str">
            <v>M1</v>
          </cell>
          <cell r="B1026" t="str">
            <v>A6C</v>
          </cell>
          <cell r="C1026" t="str">
            <v>HOS</v>
          </cell>
          <cell r="D1026" t="str">
            <v>65613</v>
          </cell>
          <cell r="E1026" t="str">
            <v>SOL</v>
          </cell>
          <cell r="F1026">
            <v>2</v>
          </cell>
          <cell r="G1026" t="str">
            <v>CB390200000801</v>
          </cell>
          <cell r="H1026">
            <v>8</v>
          </cell>
          <cell r="I1026">
            <v>1</v>
          </cell>
          <cell r="J1026">
            <v>6</v>
          </cell>
          <cell r="K1026">
            <v>7</v>
          </cell>
        </row>
        <row r="1027">
          <cell r="A1027" t="str">
            <v>M1</v>
          </cell>
          <cell r="B1027" t="str">
            <v>A6C</v>
          </cell>
          <cell r="C1027" t="str">
            <v>HOR</v>
          </cell>
          <cell r="D1027" t="str">
            <v>65619</v>
          </cell>
          <cell r="E1027" t="str">
            <v>TEE</v>
          </cell>
          <cell r="F1027">
            <v>2</v>
          </cell>
          <cell r="G1027" t="str">
            <v>CB300304000800</v>
          </cell>
          <cell r="H1027">
            <v>8</v>
          </cell>
          <cell r="I1027" t="str">
            <v>--</v>
          </cell>
          <cell r="J1027">
            <v>2</v>
          </cell>
          <cell r="K1027">
            <v>3</v>
          </cell>
        </row>
        <row r="1028">
          <cell r="A1028" t="str">
            <v>M1</v>
          </cell>
          <cell r="B1028" t="str">
            <v>A6C</v>
          </cell>
          <cell r="C1028" t="str">
            <v>HOS</v>
          </cell>
          <cell r="D1028" t="str">
            <v>65613</v>
          </cell>
          <cell r="E1028" t="str">
            <v>TEE</v>
          </cell>
          <cell r="F1028">
            <v>2</v>
          </cell>
          <cell r="G1028" t="str">
            <v>CB300304000800</v>
          </cell>
          <cell r="H1028">
            <v>8</v>
          </cell>
          <cell r="I1028" t="str">
            <v>--</v>
          </cell>
          <cell r="J1028">
            <v>1</v>
          </cell>
          <cell r="K1028">
            <v>2</v>
          </cell>
        </row>
        <row r="1029">
          <cell r="A1029" t="str">
            <v>M1</v>
          </cell>
          <cell r="B1029" t="str">
            <v>A6C</v>
          </cell>
          <cell r="C1029" t="str">
            <v>HOS</v>
          </cell>
          <cell r="D1029" t="str">
            <v>65625</v>
          </cell>
          <cell r="E1029" t="str">
            <v>TEE</v>
          </cell>
          <cell r="F1029">
            <v>2</v>
          </cell>
          <cell r="G1029" t="str">
            <v>CB300304000800</v>
          </cell>
          <cell r="H1029">
            <v>8</v>
          </cell>
          <cell r="I1029" t="str">
            <v>--</v>
          </cell>
          <cell r="J1029">
            <v>1</v>
          </cell>
          <cell r="K1029">
            <v>2</v>
          </cell>
        </row>
        <row r="1030">
          <cell r="A1030" t="str">
            <v>M1</v>
          </cell>
          <cell r="B1030" t="str">
            <v>A6C</v>
          </cell>
          <cell r="C1030" t="str">
            <v>HOS</v>
          </cell>
          <cell r="D1030" t="str">
            <v>65613</v>
          </cell>
          <cell r="E1030" t="str">
            <v>TEE</v>
          </cell>
          <cell r="F1030">
            <v>2</v>
          </cell>
          <cell r="G1030" t="str">
            <v>CB300304000800</v>
          </cell>
          <cell r="H1030">
            <v>8</v>
          </cell>
          <cell r="I1030" t="str">
            <v>--</v>
          </cell>
          <cell r="J1030">
            <v>3</v>
          </cell>
          <cell r="K1030">
            <v>4</v>
          </cell>
        </row>
        <row r="1031">
          <cell r="A1031" t="str">
            <v>M1</v>
          </cell>
          <cell r="B1031" t="str">
            <v>A6C</v>
          </cell>
          <cell r="C1031" t="str">
            <v>HOS</v>
          </cell>
          <cell r="D1031" t="str">
            <v>65624</v>
          </cell>
          <cell r="E1031" t="str">
            <v>TEE</v>
          </cell>
          <cell r="F1031">
            <v>2</v>
          </cell>
          <cell r="G1031" t="str">
            <v>CB300304000800</v>
          </cell>
          <cell r="H1031">
            <v>8</v>
          </cell>
          <cell r="I1031" t="str">
            <v>--</v>
          </cell>
          <cell r="J1031">
            <v>1</v>
          </cell>
          <cell r="K1031">
            <v>2</v>
          </cell>
        </row>
        <row r="1032">
          <cell r="A1032" t="str">
            <v>M1</v>
          </cell>
          <cell r="B1032" t="str">
            <v>A6C</v>
          </cell>
          <cell r="C1032" t="str">
            <v>HOS</v>
          </cell>
          <cell r="D1032" t="str">
            <v>65627</v>
          </cell>
          <cell r="E1032" t="str">
            <v>TEE</v>
          </cell>
          <cell r="F1032">
            <v>2</v>
          </cell>
          <cell r="G1032" t="str">
            <v>CB300304000800</v>
          </cell>
          <cell r="H1032">
            <v>8</v>
          </cell>
          <cell r="I1032" t="str">
            <v>--</v>
          </cell>
          <cell r="J1032">
            <v>4</v>
          </cell>
          <cell r="K1032">
            <v>5</v>
          </cell>
        </row>
        <row r="1033">
          <cell r="A1033" t="str">
            <v>M1</v>
          </cell>
          <cell r="B1033" t="str">
            <v>A6C</v>
          </cell>
          <cell r="C1033" t="str">
            <v>HOS</v>
          </cell>
          <cell r="D1033" t="str">
            <v>65624</v>
          </cell>
          <cell r="E1033" t="str">
            <v>TEE</v>
          </cell>
          <cell r="F1033">
            <v>2</v>
          </cell>
          <cell r="G1033" t="str">
            <v>CB300304000800</v>
          </cell>
          <cell r="H1033">
            <v>8</v>
          </cell>
          <cell r="I1033" t="str">
            <v>--</v>
          </cell>
          <cell r="J1033">
            <v>1</v>
          </cell>
          <cell r="K1033">
            <v>2</v>
          </cell>
        </row>
        <row r="1034">
          <cell r="A1034" t="str">
            <v>M1</v>
          </cell>
          <cell r="B1034" t="str">
            <v>A6C</v>
          </cell>
          <cell r="C1034" t="str">
            <v>HOS</v>
          </cell>
          <cell r="D1034" t="str">
            <v>65624</v>
          </cell>
          <cell r="E1034" t="str">
            <v>TEE</v>
          </cell>
          <cell r="F1034">
            <v>2</v>
          </cell>
          <cell r="G1034" t="str">
            <v>CB300304000800</v>
          </cell>
          <cell r="H1034">
            <v>8</v>
          </cell>
          <cell r="I1034" t="str">
            <v>--</v>
          </cell>
          <cell r="J1034">
            <v>4</v>
          </cell>
          <cell r="K1034">
            <v>5</v>
          </cell>
        </row>
        <row r="1035">
          <cell r="A1035" t="str">
            <v>M1</v>
          </cell>
          <cell r="B1035" t="str">
            <v>A6C</v>
          </cell>
          <cell r="C1035" t="str">
            <v>HOR</v>
          </cell>
          <cell r="D1035" t="str">
            <v>65619</v>
          </cell>
          <cell r="E1035" t="str">
            <v>TEE</v>
          </cell>
          <cell r="F1035">
            <v>2</v>
          </cell>
          <cell r="G1035" t="str">
            <v>CB300304000800</v>
          </cell>
          <cell r="H1035">
            <v>8</v>
          </cell>
          <cell r="I1035" t="str">
            <v>--</v>
          </cell>
          <cell r="J1035">
            <v>2</v>
          </cell>
          <cell r="K1035">
            <v>3</v>
          </cell>
        </row>
        <row r="1036">
          <cell r="A1036" t="str">
            <v>M1</v>
          </cell>
          <cell r="B1036" t="str">
            <v>A6C</v>
          </cell>
          <cell r="C1036" t="str">
            <v>HOS</v>
          </cell>
          <cell r="D1036" t="str">
            <v>65613</v>
          </cell>
          <cell r="E1036" t="str">
            <v>TOL</v>
          </cell>
          <cell r="F1036">
            <v>2</v>
          </cell>
          <cell r="G1036" t="str">
            <v>CB39030000080T</v>
          </cell>
          <cell r="H1036">
            <v>8</v>
          </cell>
          <cell r="I1036">
            <v>0.75</v>
          </cell>
          <cell r="J1036">
            <v>2</v>
          </cell>
          <cell r="K1036">
            <v>3</v>
          </cell>
        </row>
        <row r="1037">
          <cell r="A1037" t="str">
            <v>M1</v>
          </cell>
          <cell r="B1037" t="str">
            <v>A6C</v>
          </cell>
          <cell r="C1037" t="str">
            <v>HOS</v>
          </cell>
          <cell r="D1037" t="str">
            <v>65625</v>
          </cell>
          <cell r="E1037" t="str">
            <v>TOL</v>
          </cell>
          <cell r="F1037">
            <v>2</v>
          </cell>
          <cell r="G1037" t="str">
            <v>CB39030000080T</v>
          </cell>
          <cell r="H1037">
            <v>8</v>
          </cell>
          <cell r="I1037">
            <v>0.75</v>
          </cell>
          <cell r="J1037">
            <v>2</v>
          </cell>
          <cell r="K1037">
            <v>3</v>
          </cell>
        </row>
        <row r="1038">
          <cell r="A1038" t="str">
            <v>M1</v>
          </cell>
          <cell r="B1038" t="str">
            <v>A6C</v>
          </cell>
          <cell r="C1038" t="str">
            <v>HOS</v>
          </cell>
          <cell r="D1038" t="str">
            <v>65615</v>
          </cell>
          <cell r="E1038" t="str">
            <v>TOL</v>
          </cell>
          <cell r="F1038">
            <v>2</v>
          </cell>
          <cell r="G1038" t="str">
            <v>CB39030000080T</v>
          </cell>
          <cell r="H1038">
            <v>8</v>
          </cell>
          <cell r="I1038">
            <v>0.75</v>
          </cell>
          <cell r="J1038">
            <v>1</v>
          </cell>
          <cell r="K1038">
            <v>2</v>
          </cell>
        </row>
        <row r="1039">
          <cell r="A1039" t="str">
            <v>M1</v>
          </cell>
          <cell r="B1039" t="str">
            <v>A6C</v>
          </cell>
          <cell r="C1039" t="str">
            <v>HOS</v>
          </cell>
          <cell r="D1039" t="str">
            <v>65619</v>
          </cell>
          <cell r="E1039" t="str">
            <v>TOL</v>
          </cell>
          <cell r="F1039">
            <v>2</v>
          </cell>
          <cell r="G1039" t="str">
            <v>CB39030000080T</v>
          </cell>
          <cell r="H1039">
            <v>8</v>
          </cell>
          <cell r="I1039">
            <v>0.75</v>
          </cell>
          <cell r="J1039">
            <v>1</v>
          </cell>
          <cell r="K1039">
            <v>2</v>
          </cell>
        </row>
        <row r="1040">
          <cell r="A1040" t="str">
            <v>M1</v>
          </cell>
          <cell r="B1040" t="str">
            <v>A5C</v>
          </cell>
          <cell r="C1040" t="str">
            <v>P</v>
          </cell>
          <cell r="D1040" t="str">
            <v>22078</v>
          </cell>
          <cell r="E1040" t="str">
            <v>SOL</v>
          </cell>
          <cell r="F1040">
            <v>2</v>
          </cell>
          <cell r="G1040" t="str">
            <v>CB3902000010IH</v>
          </cell>
          <cell r="H1040">
            <v>10</v>
          </cell>
          <cell r="I1040">
            <v>1.5</v>
          </cell>
          <cell r="J1040">
            <v>1</v>
          </cell>
          <cell r="K1040">
            <v>2</v>
          </cell>
        </row>
        <row r="1041">
          <cell r="A1041" t="str">
            <v>M1</v>
          </cell>
          <cell r="B1041" t="str">
            <v>A5C</v>
          </cell>
          <cell r="C1041" t="str">
            <v>P</v>
          </cell>
          <cell r="D1041" t="str">
            <v>22062</v>
          </cell>
          <cell r="E1041" t="str">
            <v>90 ELL</v>
          </cell>
          <cell r="F1041">
            <v>2</v>
          </cell>
          <cell r="G1041" t="str">
            <v>CB300104001000</v>
          </cell>
          <cell r="H1041">
            <v>10</v>
          </cell>
          <cell r="I1041" t="str">
            <v>--</v>
          </cell>
          <cell r="J1041">
            <v>5</v>
          </cell>
          <cell r="K1041">
            <v>6</v>
          </cell>
        </row>
        <row r="1042">
          <cell r="A1042" t="str">
            <v>M1</v>
          </cell>
          <cell r="B1042" t="str">
            <v>A5C</v>
          </cell>
          <cell r="C1042" t="str">
            <v>P</v>
          </cell>
          <cell r="D1042" t="str">
            <v>22060</v>
          </cell>
          <cell r="E1042" t="str">
            <v>90 ELL</v>
          </cell>
          <cell r="F1042">
            <v>2</v>
          </cell>
          <cell r="G1042" t="str">
            <v>CB300104001000</v>
          </cell>
          <cell r="H1042">
            <v>10</v>
          </cell>
          <cell r="I1042" t="str">
            <v>--</v>
          </cell>
          <cell r="J1042">
            <v>5</v>
          </cell>
          <cell r="K1042">
            <v>6</v>
          </cell>
        </row>
        <row r="1043">
          <cell r="A1043" t="str">
            <v>M1</v>
          </cell>
          <cell r="B1043" t="str">
            <v>A5C</v>
          </cell>
          <cell r="C1043" t="str">
            <v>P</v>
          </cell>
          <cell r="D1043" t="str">
            <v>22074</v>
          </cell>
          <cell r="E1043" t="str">
            <v>90 ELL</v>
          </cell>
          <cell r="F1043">
            <v>2</v>
          </cell>
          <cell r="G1043" t="str">
            <v>CB300104001000</v>
          </cell>
          <cell r="H1043">
            <v>10</v>
          </cell>
          <cell r="I1043" t="str">
            <v>--</v>
          </cell>
          <cell r="J1043">
            <v>3</v>
          </cell>
          <cell r="K1043">
            <v>4</v>
          </cell>
        </row>
        <row r="1044">
          <cell r="A1044" t="str">
            <v>M1</v>
          </cell>
          <cell r="B1044" t="str">
            <v>A5C</v>
          </cell>
          <cell r="C1044" t="str">
            <v>P</v>
          </cell>
          <cell r="D1044" t="str">
            <v>22077</v>
          </cell>
          <cell r="E1044" t="str">
            <v>90 ELL</v>
          </cell>
          <cell r="F1044">
            <v>2</v>
          </cell>
          <cell r="G1044" t="str">
            <v>CB300104001000</v>
          </cell>
          <cell r="H1044">
            <v>10</v>
          </cell>
          <cell r="I1044" t="str">
            <v>--</v>
          </cell>
          <cell r="J1044">
            <v>5</v>
          </cell>
          <cell r="K1044">
            <v>6</v>
          </cell>
        </row>
        <row r="1045">
          <cell r="A1045" t="str">
            <v>M1</v>
          </cell>
          <cell r="B1045" t="str">
            <v>A5C</v>
          </cell>
          <cell r="C1045" t="str">
            <v>P</v>
          </cell>
          <cell r="D1045" t="str">
            <v>22077</v>
          </cell>
          <cell r="E1045" t="str">
            <v>90 ELL</v>
          </cell>
          <cell r="F1045">
            <v>2</v>
          </cell>
          <cell r="G1045" t="str">
            <v>CB300104001000</v>
          </cell>
          <cell r="H1045">
            <v>10</v>
          </cell>
          <cell r="I1045" t="str">
            <v>--</v>
          </cell>
          <cell r="J1045">
            <v>6</v>
          </cell>
          <cell r="K1045">
            <v>7</v>
          </cell>
        </row>
        <row r="1046">
          <cell r="A1046" t="str">
            <v>M1</v>
          </cell>
          <cell r="B1046" t="str">
            <v>A5C</v>
          </cell>
          <cell r="C1046" t="str">
            <v>P</v>
          </cell>
          <cell r="D1046" t="str">
            <v>22062</v>
          </cell>
          <cell r="E1046" t="str">
            <v>90 ELL</v>
          </cell>
          <cell r="F1046">
            <v>2</v>
          </cell>
          <cell r="G1046" t="str">
            <v>CB300104001000</v>
          </cell>
          <cell r="H1046">
            <v>10</v>
          </cell>
          <cell r="I1046" t="str">
            <v>--</v>
          </cell>
          <cell r="J1046">
            <v>8</v>
          </cell>
          <cell r="K1046">
            <v>9</v>
          </cell>
        </row>
        <row r="1047">
          <cell r="A1047" t="str">
            <v>M1</v>
          </cell>
          <cell r="B1047" t="str">
            <v>A5C</v>
          </cell>
          <cell r="C1047" t="str">
            <v>P</v>
          </cell>
          <cell r="D1047" t="str">
            <v>22073</v>
          </cell>
          <cell r="E1047" t="str">
            <v>90 ELL</v>
          </cell>
          <cell r="F1047">
            <v>2</v>
          </cell>
          <cell r="G1047" t="str">
            <v>CB300104001000</v>
          </cell>
          <cell r="H1047">
            <v>10</v>
          </cell>
          <cell r="I1047" t="str">
            <v>--</v>
          </cell>
          <cell r="J1047">
            <v>7</v>
          </cell>
          <cell r="K1047">
            <v>8</v>
          </cell>
        </row>
        <row r="1048">
          <cell r="A1048" t="str">
            <v>M1</v>
          </cell>
          <cell r="B1048" t="str">
            <v>A5C</v>
          </cell>
          <cell r="C1048" t="str">
            <v>P</v>
          </cell>
          <cell r="D1048" t="str">
            <v>22062</v>
          </cell>
          <cell r="E1048" t="str">
            <v>C RED</v>
          </cell>
          <cell r="F1048">
            <v>2</v>
          </cell>
          <cell r="G1048" t="str">
            <v>CB300504041004</v>
          </cell>
          <cell r="H1048">
            <v>10</v>
          </cell>
          <cell r="I1048">
            <v>4</v>
          </cell>
          <cell r="J1048">
            <v>1</v>
          </cell>
          <cell r="K1048">
            <v>2</v>
          </cell>
        </row>
        <row r="1049">
          <cell r="A1049" t="str">
            <v>M1</v>
          </cell>
          <cell r="B1049" t="str">
            <v>A5C</v>
          </cell>
          <cell r="C1049" t="str">
            <v>P</v>
          </cell>
          <cell r="D1049" t="str">
            <v>22077</v>
          </cell>
          <cell r="E1049" t="str">
            <v>E RED</v>
          </cell>
          <cell r="F1049">
            <v>2</v>
          </cell>
          <cell r="G1049" t="str">
            <v>CB300604041008</v>
          </cell>
          <cell r="H1049">
            <v>10</v>
          </cell>
          <cell r="I1049">
            <v>8</v>
          </cell>
          <cell r="J1049">
            <v>2</v>
          </cell>
          <cell r="K1049">
            <v>3</v>
          </cell>
        </row>
        <row r="1050">
          <cell r="A1050" t="str">
            <v>M1</v>
          </cell>
          <cell r="B1050" t="str">
            <v>A5C</v>
          </cell>
          <cell r="C1050" t="str">
            <v>P</v>
          </cell>
          <cell r="D1050" t="str">
            <v>22060</v>
          </cell>
          <cell r="E1050" t="str">
            <v>SOL</v>
          </cell>
          <cell r="F1050">
            <v>2</v>
          </cell>
          <cell r="G1050" t="str">
            <v>CB39020000100T</v>
          </cell>
          <cell r="H1050">
            <v>10</v>
          </cell>
          <cell r="I1050">
            <v>0.75</v>
          </cell>
          <cell r="J1050">
            <v>1</v>
          </cell>
          <cell r="K1050">
            <v>2</v>
          </cell>
        </row>
        <row r="1051">
          <cell r="A1051" t="str">
            <v>M1</v>
          </cell>
          <cell r="B1051" t="str">
            <v>A5C</v>
          </cell>
          <cell r="C1051" t="str">
            <v>P</v>
          </cell>
          <cell r="D1051" t="str">
            <v>22062</v>
          </cell>
          <cell r="E1051" t="str">
            <v>SOL</v>
          </cell>
          <cell r="F1051">
            <v>2</v>
          </cell>
          <cell r="G1051" t="str">
            <v>CB39020000100T</v>
          </cell>
          <cell r="H1051">
            <v>10</v>
          </cell>
          <cell r="I1051">
            <v>0.75</v>
          </cell>
          <cell r="J1051">
            <v>2</v>
          </cell>
          <cell r="K1051">
            <v>3</v>
          </cell>
        </row>
        <row r="1052">
          <cell r="A1052" t="str">
            <v>M1</v>
          </cell>
          <cell r="B1052" t="str">
            <v>A5C</v>
          </cell>
          <cell r="C1052" t="str">
            <v>P</v>
          </cell>
          <cell r="D1052" t="str">
            <v>22062</v>
          </cell>
          <cell r="E1052" t="str">
            <v>SOL</v>
          </cell>
          <cell r="F1052">
            <v>2</v>
          </cell>
          <cell r="G1052" t="str">
            <v>CB390200001001</v>
          </cell>
          <cell r="H1052">
            <v>10</v>
          </cell>
          <cell r="I1052">
            <v>1</v>
          </cell>
          <cell r="J1052">
            <v>2</v>
          </cell>
          <cell r="K1052">
            <v>3</v>
          </cell>
        </row>
        <row r="1053">
          <cell r="A1053" t="str">
            <v>M1</v>
          </cell>
          <cell r="B1053" t="str">
            <v>A5C</v>
          </cell>
          <cell r="C1053" t="str">
            <v>P</v>
          </cell>
          <cell r="D1053" t="str">
            <v>22062</v>
          </cell>
          <cell r="E1053" t="str">
            <v>SOL</v>
          </cell>
          <cell r="F1053">
            <v>2</v>
          </cell>
          <cell r="G1053" t="str">
            <v>CB39020000100T</v>
          </cell>
          <cell r="H1053">
            <v>10</v>
          </cell>
          <cell r="I1053">
            <v>0.75</v>
          </cell>
          <cell r="J1053">
            <v>1</v>
          </cell>
          <cell r="K1053">
            <v>2</v>
          </cell>
        </row>
        <row r="1054">
          <cell r="A1054" t="str">
            <v>M1</v>
          </cell>
          <cell r="B1054" t="str">
            <v>A5C</v>
          </cell>
          <cell r="C1054" t="str">
            <v>P</v>
          </cell>
          <cell r="D1054" t="str">
            <v>22077</v>
          </cell>
          <cell r="E1054" t="str">
            <v>SOL</v>
          </cell>
          <cell r="F1054">
            <v>2</v>
          </cell>
          <cell r="G1054" t="str">
            <v>CB39020000100T</v>
          </cell>
          <cell r="H1054">
            <v>10</v>
          </cell>
          <cell r="I1054">
            <v>0.75</v>
          </cell>
          <cell r="J1054">
            <v>1</v>
          </cell>
          <cell r="K1054">
            <v>2</v>
          </cell>
        </row>
        <row r="1055">
          <cell r="A1055" t="str">
            <v>M1</v>
          </cell>
          <cell r="B1055" t="str">
            <v>A5C</v>
          </cell>
          <cell r="C1055" t="str">
            <v>P</v>
          </cell>
          <cell r="D1055" t="str">
            <v>22073</v>
          </cell>
          <cell r="E1055" t="str">
            <v>SOL</v>
          </cell>
          <cell r="F1055">
            <v>2</v>
          </cell>
          <cell r="G1055" t="str">
            <v>CB390200001001</v>
          </cell>
          <cell r="H1055">
            <v>10</v>
          </cell>
          <cell r="I1055">
            <v>1</v>
          </cell>
          <cell r="J1055">
            <v>2</v>
          </cell>
          <cell r="K1055">
            <v>3</v>
          </cell>
        </row>
        <row r="1056">
          <cell r="A1056" t="str">
            <v>M1</v>
          </cell>
          <cell r="B1056" t="str">
            <v>A5C</v>
          </cell>
          <cell r="C1056" t="str">
            <v>P</v>
          </cell>
          <cell r="D1056" t="str">
            <v>22077</v>
          </cell>
          <cell r="E1056" t="str">
            <v>SOL</v>
          </cell>
          <cell r="F1056">
            <v>2</v>
          </cell>
          <cell r="G1056" t="str">
            <v>CB39020000100T</v>
          </cell>
          <cell r="H1056">
            <v>10</v>
          </cell>
          <cell r="I1056">
            <v>0.75</v>
          </cell>
          <cell r="J1056">
            <v>1</v>
          </cell>
          <cell r="K1056">
            <v>2</v>
          </cell>
        </row>
        <row r="1057">
          <cell r="A1057" t="str">
            <v>M1</v>
          </cell>
          <cell r="B1057" t="str">
            <v>A5C</v>
          </cell>
          <cell r="C1057" t="str">
            <v>P</v>
          </cell>
          <cell r="D1057" t="str">
            <v>22077</v>
          </cell>
          <cell r="E1057" t="str">
            <v>SOL</v>
          </cell>
          <cell r="F1057">
            <v>2</v>
          </cell>
          <cell r="G1057" t="str">
            <v>CB3902000010IH</v>
          </cell>
          <cell r="H1057">
            <v>10</v>
          </cell>
          <cell r="I1057">
            <v>1.5</v>
          </cell>
          <cell r="J1057">
            <v>1</v>
          </cell>
          <cell r="K1057">
            <v>2</v>
          </cell>
        </row>
        <row r="1058">
          <cell r="A1058" t="str">
            <v>M1</v>
          </cell>
          <cell r="B1058" t="str">
            <v>A5C</v>
          </cell>
          <cell r="C1058" t="str">
            <v>P</v>
          </cell>
          <cell r="D1058" t="str">
            <v>22073</v>
          </cell>
          <cell r="E1058" t="str">
            <v>SOL</v>
          </cell>
          <cell r="F1058">
            <v>2</v>
          </cell>
          <cell r="G1058" t="str">
            <v>CB39020000100T</v>
          </cell>
          <cell r="H1058">
            <v>10</v>
          </cell>
          <cell r="I1058">
            <v>0.75</v>
          </cell>
          <cell r="J1058">
            <v>2</v>
          </cell>
          <cell r="K1058">
            <v>3</v>
          </cell>
        </row>
        <row r="1059">
          <cell r="A1059" t="str">
            <v>M1</v>
          </cell>
          <cell r="B1059" t="str">
            <v>A5C</v>
          </cell>
          <cell r="C1059" t="str">
            <v>P</v>
          </cell>
          <cell r="D1059" t="str">
            <v>22062</v>
          </cell>
          <cell r="E1059" t="str">
            <v>TEE</v>
          </cell>
          <cell r="F1059">
            <v>2</v>
          </cell>
          <cell r="G1059" t="str">
            <v>CB300304001000</v>
          </cell>
          <cell r="H1059">
            <v>10</v>
          </cell>
          <cell r="I1059" t="str">
            <v>--</v>
          </cell>
          <cell r="J1059">
            <v>1</v>
          </cell>
          <cell r="K1059">
            <v>2</v>
          </cell>
        </row>
        <row r="1060">
          <cell r="A1060" t="str">
            <v>M1</v>
          </cell>
          <cell r="B1060" t="str">
            <v>A5C</v>
          </cell>
          <cell r="C1060" t="str">
            <v>P</v>
          </cell>
          <cell r="D1060" t="str">
            <v>22062</v>
          </cell>
          <cell r="E1060" t="str">
            <v>TEE</v>
          </cell>
          <cell r="F1060">
            <v>2</v>
          </cell>
          <cell r="G1060" t="str">
            <v>CB300304001000</v>
          </cell>
          <cell r="H1060">
            <v>10</v>
          </cell>
          <cell r="I1060" t="str">
            <v>--</v>
          </cell>
          <cell r="J1060">
            <v>1</v>
          </cell>
          <cell r="K1060">
            <v>2</v>
          </cell>
        </row>
        <row r="1061">
          <cell r="A1061" t="str">
            <v>M1</v>
          </cell>
          <cell r="B1061" t="str">
            <v>A5C</v>
          </cell>
          <cell r="C1061" t="str">
            <v>P</v>
          </cell>
          <cell r="D1061" t="str">
            <v>22073</v>
          </cell>
          <cell r="E1061" t="str">
            <v>TEE</v>
          </cell>
          <cell r="F1061">
            <v>2</v>
          </cell>
          <cell r="G1061" t="str">
            <v>CB300304001000</v>
          </cell>
          <cell r="H1061">
            <v>10</v>
          </cell>
          <cell r="I1061" t="str">
            <v>--</v>
          </cell>
          <cell r="J1061">
            <v>1</v>
          </cell>
          <cell r="K1061">
            <v>2</v>
          </cell>
        </row>
        <row r="1062">
          <cell r="A1062" t="str">
            <v>M1</v>
          </cell>
          <cell r="B1062" t="str">
            <v>A5C</v>
          </cell>
          <cell r="C1062" t="str">
            <v>P</v>
          </cell>
          <cell r="D1062" t="str">
            <v>22073</v>
          </cell>
          <cell r="E1062" t="str">
            <v>TOL</v>
          </cell>
          <cell r="F1062">
            <v>2</v>
          </cell>
          <cell r="G1062" t="str">
            <v>CB39030000100T</v>
          </cell>
          <cell r="H1062">
            <v>10</v>
          </cell>
          <cell r="I1062">
            <v>0.75</v>
          </cell>
          <cell r="J1062">
            <v>2</v>
          </cell>
          <cell r="K1062">
            <v>3</v>
          </cell>
        </row>
        <row r="1063">
          <cell r="A1063" t="str">
            <v>M1</v>
          </cell>
          <cell r="B1063" t="str">
            <v>A5C</v>
          </cell>
          <cell r="C1063" t="str">
            <v>P</v>
          </cell>
          <cell r="D1063" t="str">
            <v>22074</v>
          </cell>
          <cell r="E1063" t="str">
            <v>TOL</v>
          </cell>
          <cell r="F1063">
            <v>2</v>
          </cell>
          <cell r="G1063" t="str">
            <v>CB39030000100T</v>
          </cell>
          <cell r="H1063">
            <v>10</v>
          </cell>
          <cell r="I1063">
            <v>0.75</v>
          </cell>
          <cell r="J1063">
            <v>1</v>
          </cell>
          <cell r="K1063">
            <v>2</v>
          </cell>
        </row>
        <row r="1064">
          <cell r="A1064" t="str">
            <v>M1</v>
          </cell>
          <cell r="B1064" t="str">
            <v>A5C</v>
          </cell>
          <cell r="C1064" t="str">
            <v>P</v>
          </cell>
          <cell r="D1064" t="str">
            <v>22062</v>
          </cell>
          <cell r="E1064" t="str">
            <v>TOL</v>
          </cell>
          <cell r="F1064">
            <v>2</v>
          </cell>
          <cell r="G1064" t="str">
            <v>CB39030000100T</v>
          </cell>
          <cell r="H1064">
            <v>10</v>
          </cell>
          <cell r="I1064">
            <v>0.75</v>
          </cell>
          <cell r="J1064">
            <v>1</v>
          </cell>
          <cell r="K1064">
            <v>2</v>
          </cell>
        </row>
        <row r="1065">
          <cell r="A1065" t="str">
            <v>M1</v>
          </cell>
          <cell r="B1065" t="str">
            <v>A5C</v>
          </cell>
          <cell r="C1065" t="str">
            <v>P</v>
          </cell>
          <cell r="D1065" t="str">
            <v>22077</v>
          </cell>
          <cell r="E1065" t="str">
            <v>TOL</v>
          </cell>
          <cell r="F1065">
            <v>2</v>
          </cell>
          <cell r="G1065" t="str">
            <v>CB39030000100T</v>
          </cell>
          <cell r="H1065">
            <v>10</v>
          </cell>
          <cell r="I1065">
            <v>0.75</v>
          </cell>
          <cell r="J1065">
            <v>1</v>
          </cell>
          <cell r="K1065">
            <v>2</v>
          </cell>
        </row>
        <row r="1066">
          <cell r="A1066" t="str">
            <v>M1</v>
          </cell>
          <cell r="B1066" t="str">
            <v>A4C</v>
          </cell>
          <cell r="C1066" t="str">
            <v>P</v>
          </cell>
          <cell r="D1066" t="str">
            <v>22008</v>
          </cell>
          <cell r="E1066" t="str">
            <v>45 ELL</v>
          </cell>
          <cell r="F1066">
            <v>2</v>
          </cell>
          <cell r="G1066" t="str">
            <v>CB300204001000</v>
          </cell>
          <cell r="H1066">
            <v>10</v>
          </cell>
          <cell r="I1066" t="str">
            <v>--</v>
          </cell>
          <cell r="J1066">
            <v>1</v>
          </cell>
          <cell r="K1066">
            <v>2</v>
          </cell>
        </row>
        <row r="1067">
          <cell r="A1067" t="str">
            <v>M1</v>
          </cell>
          <cell r="B1067" t="str">
            <v>A4C</v>
          </cell>
          <cell r="C1067" t="str">
            <v>P</v>
          </cell>
          <cell r="D1067" t="str">
            <v>22008</v>
          </cell>
          <cell r="E1067" t="str">
            <v>90 ELL</v>
          </cell>
          <cell r="F1067">
            <v>2</v>
          </cell>
          <cell r="G1067" t="str">
            <v>CB300104001000</v>
          </cell>
          <cell r="H1067">
            <v>10</v>
          </cell>
          <cell r="I1067" t="str">
            <v>--</v>
          </cell>
          <cell r="J1067">
            <v>1</v>
          </cell>
          <cell r="K1067">
            <v>2</v>
          </cell>
        </row>
        <row r="1068">
          <cell r="A1068" t="str">
            <v>M1</v>
          </cell>
          <cell r="B1068" t="str">
            <v>A4C</v>
          </cell>
          <cell r="C1068" t="str">
            <v>P</v>
          </cell>
          <cell r="D1068" t="str">
            <v>22008</v>
          </cell>
          <cell r="E1068" t="str">
            <v>90 ELL</v>
          </cell>
          <cell r="F1068">
            <v>2</v>
          </cell>
          <cell r="G1068" t="str">
            <v>CB300104001000</v>
          </cell>
          <cell r="H1068">
            <v>10</v>
          </cell>
          <cell r="I1068" t="str">
            <v>--</v>
          </cell>
          <cell r="J1068">
            <v>6</v>
          </cell>
          <cell r="K1068">
            <v>7</v>
          </cell>
        </row>
        <row r="1069">
          <cell r="A1069" t="str">
            <v>M1</v>
          </cell>
          <cell r="B1069" t="str">
            <v>A4C</v>
          </cell>
          <cell r="C1069" t="str">
            <v>P</v>
          </cell>
          <cell r="D1069" t="str">
            <v>22008</v>
          </cell>
          <cell r="E1069" t="str">
            <v>90 ELL</v>
          </cell>
          <cell r="F1069">
            <v>2</v>
          </cell>
          <cell r="G1069" t="str">
            <v>CB300104001000</v>
          </cell>
          <cell r="H1069">
            <v>10</v>
          </cell>
          <cell r="I1069" t="str">
            <v>--</v>
          </cell>
          <cell r="J1069">
            <v>8</v>
          </cell>
          <cell r="K1069">
            <v>9</v>
          </cell>
        </row>
        <row r="1070">
          <cell r="A1070" t="str">
            <v>M1</v>
          </cell>
          <cell r="B1070" t="str">
            <v>A5C</v>
          </cell>
          <cell r="C1070" t="str">
            <v>P</v>
          </cell>
          <cell r="D1070" t="str">
            <v>22075</v>
          </cell>
          <cell r="E1070" t="str">
            <v>90 ELL</v>
          </cell>
          <cell r="F1070">
            <v>2</v>
          </cell>
          <cell r="G1070" t="str">
            <v>CB300104001000</v>
          </cell>
          <cell r="H1070">
            <v>10</v>
          </cell>
          <cell r="I1070" t="str">
            <v>--</v>
          </cell>
          <cell r="J1070">
            <v>7</v>
          </cell>
          <cell r="K1070">
            <v>8</v>
          </cell>
        </row>
        <row r="1071">
          <cell r="A1071" t="str">
            <v>M1</v>
          </cell>
          <cell r="B1071" t="str">
            <v>A4C</v>
          </cell>
          <cell r="C1071" t="str">
            <v>P</v>
          </cell>
          <cell r="D1071" t="str">
            <v>22080</v>
          </cell>
          <cell r="E1071" t="str">
            <v>90 ELL</v>
          </cell>
          <cell r="F1071">
            <v>2</v>
          </cell>
          <cell r="G1071" t="str">
            <v>CB300104001000</v>
          </cell>
          <cell r="H1071">
            <v>10</v>
          </cell>
          <cell r="I1071" t="str">
            <v>--</v>
          </cell>
          <cell r="J1071">
            <v>5</v>
          </cell>
          <cell r="K1071">
            <v>6</v>
          </cell>
        </row>
        <row r="1072">
          <cell r="A1072" t="str">
            <v>M1</v>
          </cell>
          <cell r="B1072" t="str">
            <v>A4C</v>
          </cell>
          <cell r="C1072" t="str">
            <v>P</v>
          </cell>
          <cell r="D1072" t="str">
            <v>22008</v>
          </cell>
          <cell r="E1072" t="str">
            <v>SOL</v>
          </cell>
          <cell r="F1072">
            <v>2</v>
          </cell>
          <cell r="G1072" t="str">
            <v>CB39020000100T</v>
          </cell>
          <cell r="H1072">
            <v>10</v>
          </cell>
          <cell r="I1072">
            <v>0.75</v>
          </cell>
          <cell r="J1072">
            <v>1</v>
          </cell>
          <cell r="K1072">
            <v>2</v>
          </cell>
        </row>
        <row r="1073">
          <cell r="A1073" t="str">
            <v>M1</v>
          </cell>
          <cell r="B1073" t="str">
            <v>A4C</v>
          </cell>
          <cell r="C1073" t="str">
            <v>P</v>
          </cell>
          <cell r="D1073" t="str">
            <v>22008</v>
          </cell>
          <cell r="E1073" t="str">
            <v>SOL</v>
          </cell>
          <cell r="F1073">
            <v>2</v>
          </cell>
          <cell r="G1073" t="str">
            <v>CB390200001001</v>
          </cell>
          <cell r="H1073">
            <v>10</v>
          </cell>
          <cell r="I1073">
            <v>1</v>
          </cell>
          <cell r="J1073">
            <v>2</v>
          </cell>
          <cell r="K1073">
            <v>3</v>
          </cell>
        </row>
        <row r="1074">
          <cell r="A1074" t="str">
            <v>M1</v>
          </cell>
          <cell r="B1074" t="str">
            <v>A4C</v>
          </cell>
          <cell r="C1074" t="str">
            <v>P</v>
          </cell>
          <cell r="D1074" t="str">
            <v>22008</v>
          </cell>
          <cell r="E1074" t="str">
            <v>SOL</v>
          </cell>
          <cell r="F1074">
            <v>2</v>
          </cell>
          <cell r="G1074" t="str">
            <v>CB39020000100T</v>
          </cell>
          <cell r="H1074">
            <v>10</v>
          </cell>
          <cell r="I1074">
            <v>0.75</v>
          </cell>
          <cell r="J1074">
            <v>1</v>
          </cell>
          <cell r="K1074">
            <v>2</v>
          </cell>
        </row>
        <row r="1075">
          <cell r="A1075" t="str">
            <v>M1</v>
          </cell>
          <cell r="B1075" t="str">
            <v>A4C</v>
          </cell>
          <cell r="C1075" t="str">
            <v>P</v>
          </cell>
          <cell r="D1075" t="str">
            <v>22008</v>
          </cell>
          <cell r="E1075" t="str">
            <v>SOL</v>
          </cell>
          <cell r="F1075">
            <v>2</v>
          </cell>
          <cell r="G1075" t="str">
            <v>CB3902000010IH</v>
          </cell>
          <cell r="H1075">
            <v>10</v>
          </cell>
          <cell r="I1075">
            <v>1.5</v>
          </cell>
          <cell r="J1075">
            <v>2</v>
          </cell>
          <cell r="K1075">
            <v>3</v>
          </cell>
        </row>
        <row r="1076">
          <cell r="A1076" t="str">
            <v>M1</v>
          </cell>
          <cell r="B1076" t="str">
            <v>A4C</v>
          </cell>
          <cell r="C1076" t="str">
            <v>P</v>
          </cell>
          <cell r="D1076" t="str">
            <v>22008</v>
          </cell>
          <cell r="E1076" t="str">
            <v>SOL</v>
          </cell>
          <cell r="F1076">
            <v>2</v>
          </cell>
          <cell r="G1076" t="str">
            <v>CB39020000100T</v>
          </cell>
          <cell r="H1076">
            <v>10</v>
          </cell>
          <cell r="I1076">
            <v>0.75</v>
          </cell>
          <cell r="J1076">
            <v>2</v>
          </cell>
          <cell r="K1076">
            <v>3</v>
          </cell>
        </row>
        <row r="1077">
          <cell r="A1077" t="str">
            <v>M1</v>
          </cell>
          <cell r="B1077" t="str">
            <v>A4C</v>
          </cell>
          <cell r="C1077" t="str">
            <v>P</v>
          </cell>
          <cell r="D1077" t="str">
            <v>22008</v>
          </cell>
          <cell r="E1077" t="str">
            <v>SOL</v>
          </cell>
          <cell r="F1077">
            <v>2</v>
          </cell>
          <cell r="G1077" t="str">
            <v>CB390200001001</v>
          </cell>
          <cell r="H1077">
            <v>10</v>
          </cell>
          <cell r="I1077">
            <v>1</v>
          </cell>
          <cell r="J1077">
            <v>2</v>
          </cell>
          <cell r="K1077">
            <v>3</v>
          </cell>
        </row>
        <row r="1078">
          <cell r="A1078" t="str">
            <v>M1</v>
          </cell>
          <cell r="B1078" t="str">
            <v>A4C</v>
          </cell>
          <cell r="C1078" t="str">
            <v>P</v>
          </cell>
          <cell r="D1078" t="str">
            <v>22008</v>
          </cell>
          <cell r="E1078" t="str">
            <v>TEE</v>
          </cell>
          <cell r="F1078">
            <v>2</v>
          </cell>
          <cell r="G1078" t="str">
            <v>CB300304001000</v>
          </cell>
          <cell r="H1078">
            <v>10</v>
          </cell>
          <cell r="I1078" t="str">
            <v>--</v>
          </cell>
          <cell r="J1078">
            <v>1</v>
          </cell>
          <cell r="K1078">
            <v>2</v>
          </cell>
        </row>
        <row r="1079">
          <cell r="A1079" t="str">
            <v>M1</v>
          </cell>
          <cell r="B1079" t="str">
            <v>A4C</v>
          </cell>
          <cell r="C1079" t="str">
            <v>P</v>
          </cell>
          <cell r="D1079" t="str">
            <v>22008</v>
          </cell>
          <cell r="E1079" t="str">
            <v>TEE</v>
          </cell>
          <cell r="F1079">
            <v>2</v>
          </cell>
          <cell r="G1079" t="str">
            <v>CB300304001000</v>
          </cell>
          <cell r="H1079">
            <v>10</v>
          </cell>
          <cell r="I1079" t="str">
            <v>--</v>
          </cell>
          <cell r="J1079">
            <v>1</v>
          </cell>
          <cell r="K1079">
            <v>2</v>
          </cell>
        </row>
        <row r="1080">
          <cell r="A1080" t="str">
            <v>M1</v>
          </cell>
          <cell r="B1080" t="str">
            <v>A5C</v>
          </cell>
          <cell r="C1080" t="str">
            <v>P</v>
          </cell>
          <cell r="D1080" t="str">
            <v>22075</v>
          </cell>
          <cell r="E1080" t="str">
            <v>TOL</v>
          </cell>
          <cell r="F1080">
            <v>2</v>
          </cell>
          <cell r="G1080" t="str">
            <v>CB39030000100T</v>
          </cell>
          <cell r="H1080">
            <v>10</v>
          </cell>
          <cell r="I1080">
            <v>0.75</v>
          </cell>
          <cell r="J1080">
            <v>1</v>
          </cell>
          <cell r="K1080">
            <v>2</v>
          </cell>
        </row>
        <row r="1081">
          <cell r="A1081" t="str">
            <v>M1</v>
          </cell>
          <cell r="B1081" t="str">
            <v>A4C</v>
          </cell>
          <cell r="C1081" t="str">
            <v>P</v>
          </cell>
          <cell r="D1081" t="str">
            <v>22080</v>
          </cell>
          <cell r="E1081" t="str">
            <v>TOL</v>
          </cell>
          <cell r="F1081">
            <v>2</v>
          </cell>
          <cell r="G1081" t="str">
            <v>CB39030000100T</v>
          </cell>
          <cell r="H1081">
            <v>10</v>
          </cell>
          <cell r="I1081">
            <v>0.75</v>
          </cell>
          <cell r="J1081">
            <v>1</v>
          </cell>
          <cell r="K1081">
            <v>2</v>
          </cell>
        </row>
        <row r="1082">
          <cell r="A1082" t="str">
            <v>M1</v>
          </cell>
          <cell r="B1082" t="str">
            <v>A5C</v>
          </cell>
          <cell r="C1082" t="str">
            <v>COMP</v>
          </cell>
          <cell r="D1082" t="str">
            <v>001</v>
          </cell>
          <cell r="E1082" t="str">
            <v>90 ELL</v>
          </cell>
          <cell r="F1082">
            <v>2</v>
          </cell>
          <cell r="G1082" t="str">
            <v>CB300104001200</v>
          </cell>
          <cell r="H1082">
            <v>12</v>
          </cell>
          <cell r="I1082" t="str">
            <v>--</v>
          </cell>
          <cell r="J1082">
            <v>2</v>
          </cell>
          <cell r="K1082">
            <v>3</v>
          </cell>
        </row>
        <row r="1083">
          <cell r="A1083" t="str">
            <v>M1</v>
          </cell>
          <cell r="B1083" t="str">
            <v>A5C</v>
          </cell>
          <cell r="C1083" t="str">
            <v>COMP</v>
          </cell>
          <cell r="D1083" t="str">
            <v>002</v>
          </cell>
          <cell r="E1083" t="str">
            <v>90 ELL</v>
          </cell>
          <cell r="F1083">
            <v>2</v>
          </cell>
          <cell r="G1083" t="str">
            <v>CB300104001200</v>
          </cell>
          <cell r="H1083">
            <v>12</v>
          </cell>
          <cell r="I1083" t="str">
            <v>--</v>
          </cell>
          <cell r="J1083">
            <v>2</v>
          </cell>
          <cell r="K1083">
            <v>3</v>
          </cell>
        </row>
        <row r="1084">
          <cell r="A1084" t="str">
            <v>M1</v>
          </cell>
          <cell r="B1084" t="str">
            <v>B1X</v>
          </cell>
          <cell r="C1084" t="str">
            <v>P</v>
          </cell>
          <cell r="D1084" t="str">
            <v>22042</v>
          </cell>
          <cell r="E1084" t="str">
            <v>90 ELL</v>
          </cell>
          <cell r="F1084">
            <v>2</v>
          </cell>
          <cell r="G1084" t="str">
            <v>LN300100001200</v>
          </cell>
          <cell r="H1084">
            <v>12</v>
          </cell>
          <cell r="I1084" t="str">
            <v>--</v>
          </cell>
          <cell r="J1084">
            <v>2</v>
          </cell>
          <cell r="K1084">
            <v>3</v>
          </cell>
        </row>
        <row r="1085">
          <cell r="A1085" t="str">
            <v>M1</v>
          </cell>
          <cell r="B1085" t="str">
            <v>B1X</v>
          </cell>
          <cell r="C1085" t="str">
            <v>P</v>
          </cell>
          <cell r="D1085" t="str">
            <v>22042</v>
          </cell>
          <cell r="E1085" t="str">
            <v>SOL</v>
          </cell>
          <cell r="F1085">
            <v>2</v>
          </cell>
          <cell r="G1085" t="str">
            <v>CB39020000120T</v>
          </cell>
          <cell r="H1085">
            <v>12</v>
          </cell>
          <cell r="I1085">
            <v>0.75</v>
          </cell>
          <cell r="J1085">
            <v>2</v>
          </cell>
          <cell r="K1085">
            <v>3</v>
          </cell>
        </row>
        <row r="1086">
          <cell r="A1086" t="str">
            <v>M1</v>
          </cell>
          <cell r="B1086" t="str">
            <v>B1X</v>
          </cell>
          <cell r="C1086" t="str">
            <v>P</v>
          </cell>
          <cell r="D1086" t="str">
            <v>22042</v>
          </cell>
          <cell r="E1086" t="str">
            <v>TOL</v>
          </cell>
          <cell r="F1086">
            <v>2</v>
          </cell>
          <cell r="G1086" t="str">
            <v>CB39030000120T</v>
          </cell>
          <cell r="H1086">
            <v>12</v>
          </cell>
          <cell r="I1086">
            <v>0.75</v>
          </cell>
          <cell r="J1086">
            <v>1</v>
          </cell>
          <cell r="K1086">
            <v>2</v>
          </cell>
        </row>
        <row r="1087">
          <cell r="A1087" t="str">
            <v>M1</v>
          </cell>
          <cell r="B1087" t="str">
            <v>A5C</v>
          </cell>
          <cell r="C1087" t="str">
            <v>P</v>
          </cell>
          <cell r="D1087" t="str">
            <v>22054</v>
          </cell>
          <cell r="E1087" t="str">
            <v>90 ELL</v>
          </cell>
          <cell r="F1087">
            <v>2</v>
          </cell>
          <cell r="G1087" t="str">
            <v>CB300104001400</v>
          </cell>
          <cell r="H1087">
            <v>14</v>
          </cell>
          <cell r="I1087" t="str">
            <v>--</v>
          </cell>
          <cell r="J1087">
            <v>2</v>
          </cell>
          <cell r="K1087">
            <v>2</v>
          </cell>
        </row>
        <row r="1088">
          <cell r="A1088" t="str">
            <v>M1</v>
          </cell>
          <cell r="B1088" t="str">
            <v>A5C</v>
          </cell>
          <cell r="C1088" t="str">
            <v>P</v>
          </cell>
          <cell r="D1088" t="str">
            <v>22056</v>
          </cell>
          <cell r="E1088" t="str">
            <v>90 ELL</v>
          </cell>
          <cell r="F1088">
            <v>2</v>
          </cell>
          <cell r="G1088" t="str">
            <v>CB300104001400</v>
          </cell>
          <cell r="H1088">
            <v>14</v>
          </cell>
          <cell r="I1088" t="str">
            <v>--</v>
          </cell>
          <cell r="J1088">
            <v>2</v>
          </cell>
          <cell r="K1088">
            <v>2</v>
          </cell>
        </row>
        <row r="1089">
          <cell r="A1089" t="str">
            <v>M1</v>
          </cell>
          <cell r="B1089" t="str">
            <v>A5C</v>
          </cell>
          <cell r="C1089" t="str">
            <v>P</v>
          </cell>
          <cell r="D1089" t="str">
            <v>22054</v>
          </cell>
          <cell r="E1089" t="str">
            <v>TOL</v>
          </cell>
          <cell r="F1089">
            <v>2</v>
          </cell>
          <cell r="G1089" t="str">
            <v>CB39030000140T</v>
          </cell>
          <cell r="H1089">
            <v>14</v>
          </cell>
          <cell r="I1089">
            <v>0.75</v>
          </cell>
          <cell r="J1089">
            <v>1</v>
          </cell>
          <cell r="K1089">
            <v>1</v>
          </cell>
        </row>
        <row r="1090">
          <cell r="A1090" t="str">
            <v>M1</v>
          </cell>
          <cell r="B1090" t="str">
            <v>A5C</v>
          </cell>
          <cell r="C1090" t="str">
            <v>P</v>
          </cell>
          <cell r="D1090" t="str">
            <v>22058</v>
          </cell>
          <cell r="E1090" t="str">
            <v>90 ELL</v>
          </cell>
          <cell r="F1090">
            <v>2</v>
          </cell>
          <cell r="G1090" t="str">
            <v>CB300104001400</v>
          </cell>
          <cell r="H1090">
            <v>14</v>
          </cell>
          <cell r="I1090" t="str">
            <v>--</v>
          </cell>
          <cell r="J1090">
            <v>2</v>
          </cell>
          <cell r="K1090">
            <v>2</v>
          </cell>
        </row>
        <row r="1091">
          <cell r="A1091" t="str">
            <v>M1</v>
          </cell>
          <cell r="B1091" t="str">
            <v>A5C</v>
          </cell>
          <cell r="C1091" t="str">
            <v>P</v>
          </cell>
          <cell r="D1091" t="str">
            <v>22058</v>
          </cell>
          <cell r="E1091" t="str">
            <v>SOL</v>
          </cell>
          <cell r="F1091">
            <v>2</v>
          </cell>
          <cell r="G1091" t="str">
            <v>CB39020000140T</v>
          </cell>
          <cell r="H1091">
            <v>14</v>
          </cell>
          <cell r="I1091">
            <v>0.75</v>
          </cell>
          <cell r="J1091">
            <v>1</v>
          </cell>
          <cell r="K1091">
            <v>1</v>
          </cell>
        </row>
        <row r="1092">
          <cell r="A1092" t="str">
            <v>M1</v>
          </cell>
          <cell r="B1092" t="str">
            <v>B1C</v>
          </cell>
          <cell r="C1092" t="str">
            <v>P</v>
          </cell>
          <cell r="D1092" t="str">
            <v>22027</v>
          </cell>
          <cell r="E1092" t="str">
            <v>5D 90 BEND</v>
          </cell>
          <cell r="F1092">
            <v>2</v>
          </cell>
          <cell r="G1092" t="str">
            <v>CB308804001400</v>
          </cell>
          <cell r="H1092">
            <v>14</v>
          </cell>
          <cell r="I1092" t="str">
            <v>--</v>
          </cell>
          <cell r="J1092">
            <v>3</v>
          </cell>
          <cell r="K1092">
            <v>3</v>
          </cell>
        </row>
        <row r="1093">
          <cell r="A1093" t="str">
            <v>M1</v>
          </cell>
          <cell r="B1093" t="str">
            <v>B1C</v>
          </cell>
          <cell r="C1093" t="str">
            <v>P</v>
          </cell>
          <cell r="D1093" t="str">
            <v>22027</v>
          </cell>
          <cell r="E1093" t="str">
            <v>SOL</v>
          </cell>
          <cell r="F1093">
            <v>2</v>
          </cell>
          <cell r="G1093" t="str">
            <v>CB39020000140T</v>
          </cell>
          <cell r="H1093">
            <v>14</v>
          </cell>
          <cell r="I1093">
            <v>0.75</v>
          </cell>
          <cell r="J1093">
            <v>1</v>
          </cell>
          <cell r="K1093">
            <v>1</v>
          </cell>
        </row>
        <row r="1094">
          <cell r="A1094" t="str">
            <v>M1</v>
          </cell>
          <cell r="B1094" t="str">
            <v>B1C</v>
          </cell>
          <cell r="C1094" t="str">
            <v>P</v>
          </cell>
          <cell r="D1094" t="str">
            <v>22027</v>
          </cell>
          <cell r="E1094" t="str">
            <v>TOL</v>
          </cell>
          <cell r="F1094">
            <v>2</v>
          </cell>
          <cell r="G1094" t="str">
            <v>CB39030000140T</v>
          </cell>
          <cell r="H1094">
            <v>14</v>
          </cell>
          <cell r="I1094">
            <v>0.75</v>
          </cell>
          <cell r="J1094">
            <v>1</v>
          </cell>
          <cell r="K1094">
            <v>1</v>
          </cell>
        </row>
        <row r="1095">
          <cell r="A1095" t="str">
            <v>M1</v>
          </cell>
          <cell r="B1095" t="str">
            <v>A5C</v>
          </cell>
          <cell r="C1095" t="str">
            <v>P</v>
          </cell>
          <cell r="D1095" t="str">
            <v>22074</v>
          </cell>
          <cell r="E1095" t="str">
            <v>CAP</v>
          </cell>
          <cell r="F1095">
            <v>2</v>
          </cell>
          <cell r="G1095" t="str">
            <v>CB300704001600</v>
          </cell>
          <cell r="H1095">
            <v>16</v>
          </cell>
          <cell r="I1095" t="str">
            <v>--</v>
          </cell>
          <cell r="J1095">
            <v>2</v>
          </cell>
          <cell r="K1095">
            <v>2</v>
          </cell>
        </row>
        <row r="1096">
          <cell r="A1096" t="str">
            <v>M1</v>
          </cell>
          <cell r="B1096" t="str">
            <v>A5C</v>
          </cell>
          <cell r="C1096" t="str">
            <v>COMP</v>
          </cell>
          <cell r="D1096" t="str">
            <v>006</v>
          </cell>
          <cell r="E1096" t="str">
            <v>SW FLG</v>
          </cell>
          <cell r="F1096">
            <v>3</v>
          </cell>
          <cell r="G1096" t="str">
            <v>CB240108000H00</v>
          </cell>
          <cell r="H1096">
            <v>0.5</v>
          </cell>
          <cell r="I1096" t="str">
            <v>--</v>
          </cell>
          <cell r="J1096">
            <v>10</v>
          </cell>
          <cell r="K1096">
            <v>10</v>
          </cell>
        </row>
        <row r="1097">
          <cell r="A1097" t="str">
            <v>M1</v>
          </cell>
          <cell r="B1097" t="str">
            <v>A5C</v>
          </cell>
          <cell r="C1097" t="str">
            <v>P</v>
          </cell>
          <cell r="D1097" t="str">
            <v>22107</v>
          </cell>
          <cell r="E1097" t="str">
            <v>SW FLG</v>
          </cell>
          <cell r="F1097">
            <v>3</v>
          </cell>
          <cell r="G1097" t="str">
            <v>CB240108000H00</v>
          </cell>
          <cell r="H1097">
            <v>0.5</v>
          </cell>
          <cell r="I1097" t="str">
            <v>--</v>
          </cell>
          <cell r="J1097">
            <v>20</v>
          </cell>
          <cell r="K1097">
            <v>20</v>
          </cell>
        </row>
        <row r="1098">
          <cell r="A1098" t="str">
            <v>M1</v>
          </cell>
          <cell r="B1098" t="str">
            <v>A5C</v>
          </cell>
          <cell r="C1098" t="str">
            <v>P</v>
          </cell>
          <cell r="D1098" t="str">
            <v>22157</v>
          </cell>
          <cell r="E1098" t="str">
            <v>SW FLG</v>
          </cell>
          <cell r="F1098">
            <v>3</v>
          </cell>
          <cell r="G1098" t="str">
            <v>CB240108000H00</v>
          </cell>
          <cell r="H1098">
            <v>0.5</v>
          </cell>
          <cell r="I1098" t="str">
            <v>--</v>
          </cell>
          <cell r="J1098">
            <v>2</v>
          </cell>
          <cell r="K1098">
            <v>2</v>
          </cell>
        </row>
        <row r="1099">
          <cell r="A1099" t="str">
            <v>M1</v>
          </cell>
          <cell r="B1099" t="str">
            <v>A5C</v>
          </cell>
          <cell r="C1099" t="str">
            <v>P</v>
          </cell>
          <cell r="D1099" t="str">
            <v>22158</v>
          </cell>
          <cell r="E1099" t="str">
            <v>SW FLG</v>
          </cell>
          <cell r="F1099">
            <v>3</v>
          </cell>
          <cell r="G1099" t="str">
            <v>CB240108000H00</v>
          </cell>
          <cell r="H1099">
            <v>0.5</v>
          </cell>
          <cell r="I1099" t="str">
            <v>--</v>
          </cell>
          <cell r="J1099">
            <v>2</v>
          </cell>
          <cell r="K1099">
            <v>2</v>
          </cell>
        </row>
        <row r="1100">
          <cell r="A1100" t="str">
            <v>M1</v>
          </cell>
          <cell r="B1100" t="str">
            <v>A5C</v>
          </cell>
          <cell r="C1100" t="str">
            <v>SCC</v>
          </cell>
          <cell r="D1100" t="str">
            <v>HOLD1</v>
          </cell>
          <cell r="E1100" t="str">
            <v>SW FLG</v>
          </cell>
          <cell r="F1100">
            <v>3</v>
          </cell>
          <cell r="G1100" t="str">
            <v>CB240108000H00</v>
          </cell>
          <cell r="H1100">
            <v>0.5</v>
          </cell>
          <cell r="I1100" t="str">
            <v>--</v>
          </cell>
          <cell r="J1100">
            <v>6</v>
          </cell>
          <cell r="K1100">
            <v>6</v>
          </cell>
        </row>
        <row r="1101">
          <cell r="A1101" t="str">
            <v>M1</v>
          </cell>
          <cell r="B1101" t="str">
            <v>A5C</v>
          </cell>
          <cell r="C1101" t="str">
            <v>SCD</v>
          </cell>
          <cell r="D1101" t="str">
            <v>HOLD1</v>
          </cell>
          <cell r="E1101" t="str">
            <v>SW FLG</v>
          </cell>
          <cell r="F1101">
            <v>3</v>
          </cell>
          <cell r="G1101" t="str">
            <v>CB240108000H00</v>
          </cell>
          <cell r="H1101">
            <v>0.5</v>
          </cell>
          <cell r="I1101" t="str">
            <v>--</v>
          </cell>
          <cell r="J1101">
            <v>4</v>
          </cell>
          <cell r="K1101">
            <v>4</v>
          </cell>
        </row>
        <row r="1102">
          <cell r="A1102" t="str">
            <v>M1</v>
          </cell>
          <cell r="B1102" t="str">
            <v>A5C</v>
          </cell>
          <cell r="C1102" t="str">
            <v>P</v>
          </cell>
          <cell r="D1102" t="str">
            <v>22039</v>
          </cell>
          <cell r="E1102" t="str">
            <v>SW FLG</v>
          </cell>
          <cell r="F1102">
            <v>3</v>
          </cell>
          <cell r="G1102" t="str">
            <v>CB240108000H00</v>
          </cell>
          <cell r="H1102">
            <v>0.5</v>
          </cell>
          <cell r="I1102" t="str">
            <v>--</v>
          </cell>
          <cell r="J1102">
            <v>2</v>
          </cell>
          <cell r="K1102">
            <v>2</v>
          </cell>
        </row>
        <row r="1103">
          <cell r="A1103" t="str">
            <v>M1</v>
          </cell>
          <cell r="B1103" t="str">
            <v>A5C</v>
          </cell>
          <cell r="C1103" t="str">
            <v>P</v>
          </cell>
          <cell r="D1103" t="str">
            <v>22041</v>
          </cell>
          <cell r="E1103" t="str">
            <v>SW FLG</v>
          </cell>
          <cell r="F1103">
            <v>3</v>
          </cell>
          <cell r="G1103" t="str">
            <v>CB240108000H00</v>
          </cell>
          <cell r="H1103">
            <v>0.5</v>
          </cell>
          <cell r="I1103" t="str">
            <v>--</v>
          </cell>
          <cell r="J1103">
            <v>2</v>
          </cell>
          <cell r="K1103">
            <v>2</v>
          </cell>
        </row>
        <row r="1104">
          <cell r="A1104" t="str">
            <v>M1</v>
          </cell>
          <cell r="B1104" t="str">
            <v>A5C</v>
          </cell>
          <cell r="C1104" t="str">
            <v>P</v>
          </cell>
          <cell r="D1104" t="str">
            <v>22040</v>
          </cell>
          <cell r="E1104" t="str">
            <v>SW FLG</v>
          </cell>
          <cell r="F1104">
            <v>3</v>
          </cell>
          <cell r="G1104" t="str">
            <v>CB240108000H00</v>
          </cell>
          <cell r="H1104">
            <v>0.5</v>
          </cell>
          <cell r="I1104" t="str">
            <v>--</v>
          </cell>
          <cell r="J1104">
            <v>2</v>
          </cell>
          <cell r="K1104">
            <v>2</v>
          </cell>
        </row>
        <row r="1105">
          <cell r="A1105" t="str">
            <v>M1</v>
          </cell>
          <cell r="B1105" t="str">
            <v>A4C</v>
          </cell>
          <cell r="C1105" t="str">
            <v>P</v>
          </cell>
          <cell r="D1105" t="str">
            <v>22031</v>
          </cell>
          <cell r="E1105" t="str">
            <v>SW FLG</v>
          </cell>
          <cell r="F1105">
            <v>3</v>
          </cell>
          <cell r="G1105" t="str">
            <v>CB240108000H00</v>
          </cell>
          <cell r="H1105">
            <v>0.5</v>
          </cell>
          <cell r="I1105" t="str">
            <v>--</v>
          </cell>
          <cell r="J1105">
            <v>6</v>
          </cell>
          <cell r="K1105">
            <v>6</v>
          </cell>
        </row>
        <row r="1106">
          <cell r="A1106" t="str">
            <v>M1</v>
          </cell>
          <cell r="B1106" t="str">
            <v>A5C</v>
          </cell>
          <cell r="C1106" t="str">
            <v>N</v>
          </cell>
          <cell r="D1106" t="str">
            <v>25613</v>
          </cell>
          <cell r="E1106" t="str">
            <v>SW FLG</v>
          </cell>
          <cell r="F1106">
            <v>3</v>
          </cell>
          <cell r="G1106" t="str">
            <v>CB240108000T00</v>
          </cell>
          <cell r="H1106">
            <v>0.75</v>
          </cell>
          <cell r="I1106" t="str">
            <v>--</v>
          </cell>
          <cell r="J1106">
            <v>1</v>
          </cell>
          <cell r="K1106">
            <v>1</v>
          </cell>
        </row>
        <row r="1107">
          <cell r="A1107" t="str">
            <v>M1</v>
          </cell>
          <cell r="B1107" t="str">
            <v>A5C</v>
          </cell>
          <cell r="C1107" t="str">
            <v>N</v>
          </cell>
          <cell r="D1107" t="str">
            <v>25618</v>
          </cell>
          <cell r="E1107" t="str">
            <v>SW FLG</v>
          </cell>
          <cell r="F1107">
            <v>3</v>
          </cell>
          <cell r="G1107" t="str">
            <v>CB240108000T00</v>
          </cell>
          <cell r="H1107">
            <v>0.75</v>
          </cell>
          <cell r="I1107" t="str">
            <v>--</v>
          </cell>
          <cell r="J1107">
            <v>1</v>
          </cell>
          <cell r="K1107">
            <v>1</v>
          </cell>
        </row>
        <row r="1108">
          <cell r="A1108" t="str">
            <v>M1</v>
          </cell>
          <cell r="B1108" t="str">
            <v>A5C</v>
          </cell>
          <cell r="C1108" t="str">
            <v>P</v>
          </cell>
          <cell r="D1108" t="str">
            <v>22101</v>
          </cell>
          <cell r="E1108" t="str">
            <v>SW FLG</v>
          </cell>
          <cell r="F1108">
            <v>3</v>
          </cell>
          <cell r="G1108" t="str">
            <v>CB240108000T00</v>
          </cell>
          <cell r="H1108">
            <v>0.75</v>
          </cell>
          <cell r="I1108" t="str">
            <v>--</v>
          </cell>
          <cell r="J1108">
            <v>2</v>
          </cell>
          <cell r="K1108">
            <v>2</v>
          </cell>
        </row>
        <row r="1109">
          <cell r="A1109" t="str">
            <v>M1</v>
          </cell>
          <cell r="B1109" t="str">
            <v>A5C</v>
          </cell>
          <cell r="C1109" t="str">
            <v>IA</v>
          </cell>
          <cell r="D1109" t="str">
            <v>22611</v>
          </cell>
          <cell r="E1109" t="str">
            <v>SW FLG</v>
          </cell>
          <cell r="F1109">
            <v>3</v>
          </cell>
          <cell r="G1109" t="str">
            <v>CB240108000T00</v>
          </cell>
          <cell r="H1109">
            <v>0.75</v>
          </cell>
          <cell r="I1109" t="str">
            <v>--</v>
          </cell>
          <cell r="J1109">
            <v>2</v>
          </cell>
          <cell r="K1109">
            <v>2</v>
          </cell>
        </row>
        <row r="1110">
          <cell r="A1110" t="str">
            <v>M1</v>
          </cell>
          <cell r="B1110" t="str">
            <v>A5C</v>
          </cell>
          <cell r="C1110" t="str">
            <v>N</v>
          </cell>
          <cell r="D1110" t="str">
            <v>22617</v>
          </cell>
          <cell r="E1110" t="str">
            <v>SW FLG</v>
          </cell>
          <cell r="F1110">
            <v>3</v>
          </cell>
          <cell r="G1110" t="str">
            <v>CB240108000T00</v>
          </cell>
          <cell r="H1110">
            <v>0.75</v>
          </cell>
          <cell r="I1110" t="str">
            <v>--</v>
          </cell>
          <cell r="J1110">
            <v>3</v>
          </cell>
          <cell r="K1110">
            <v>3</v>
          </cell>
        </row>
        <row r="1111">
          <cell r="A1111" t="str">
            <v>M1</v>
          </cell>
          <cell r="B1111" t="str">
            <v>A5C</v>
          </cell>
          <cell r="C1111" t="str">
            <v>P</v>
          </cell>
          <cell r="D1111" t="str">
            <v>22102</v>
          </cell>
          <cell r="E1111" t="str">
            <v>SW FLG</v>
          </cell>
          <cell r="F1111">
            <v>3</v>
          </cell>
          <cell r="G1111" t="str">
            <v>CB240108000T00</v>
          </cell>
          <cell r="H1111">
            <v>0.75</v>
          </cell>
          <cell r="I1111" t="str">
            <v>--</v>
          </cell>
          <cell r="J1111">
            <v>2</v>
          </cell>
          <cell r="K1111">
            <v>2</v>
          </cell>
        </row>
        <row r="1112">
          <cell r="A1112" t="str">
            <v>M1</v>
          </cell>
          <cell r="B1112" t="str">
            <v>A5C</v>
          </cell>
          <cell r="C1112" t="str">
            <v>SCD</v>
          </cell>
          <cell r="D1112" t="str">
            <v>HOLD1</v>
          </cell>
          <cell r="E1112" t="str">
            <v>SW FLG</v>
          </cell>
          <cell r="F1112">
            <v>3</v>
          </cell>
          <cell r="G1112" t="str">
            <v>CB240108000T00</v>
          </cell>
          <cell r="H1112">
            <v>0.75</v>
          </cell>
          <cell r="I1112" t="str">
            <v>--</v>
          </cell>
          <cell r="J1112">
            <v>6</v>
          </cell>
          <cell r="K1112">
            <v>6</v>
          </cell>
        </row>
        <row r="1113">
          <cell r="A1113" t="str">
            <v>M1</v>
          </cell>
          <cell r="B1113" t="str">
            <v>A5C</v>
          </cell>
          <cell r="C1113" t="str">
            <v>TRIM</v>
          </cell>
          <cell r="D1113" t="str">
            <v>V-2214</v>
          </cell>
          <cell r="E1113" t="str">
            <v>SW FLG</v>
          </cell>
          <cell r="F1113">
            <v>3</v>
          </cell>
          <cell r="G1113" t="str">
            <v>CB240108000T00</v>
          </cell>
          <cell r="H1113">
            <v>0.75</v>
          </cell>
          <cell r="I1113" t="str">
            <v>--</v>
          </cell>
          <cell r="J1113">
            <v>4</v>
          </cell>
          <cell r="K1113">
            <v>4</v>
          </cell>
        </row>
        <row r="1114">
          <cell r="A1114" t="str">
            <v>M1</v>
          </cell>
          <cell r="B1114" t="str">
            <v>A5C</v>
          </cell>
          <cell r="C1114" t="str">
            <v>TRIM</v>
          </cell>
          <cell r="D1114" t="str">
            <v>V-2213</v>
          </cell>
          <cell r="E1114" t="str">
            <v>SW FLG</v>
          </cell>
          <cell r="F1114">
            <v>3</v>
          </cell>
          <cell r="G1114" t="str">
            <v>CB240108000T00</v>
          </cell>
          <cell r="H1114">
            <v>0.75</v>
          </cell>
          <cell r="I1114" t="str">
            <v>--</v>
          </cell>
          <cell r="J1114">
            <v>2</v>
          </cell>
          <cell r="K1114">
            <v>2</v>
          </cell>
        </row>
        <row r="1115">
          <cell r="A1115" t="str">
            <v>M1</v>
          </cell>
          <cell r="B1115" t="str">
            <v>A6C</v>
          </cell>
          <cell r="C1115" t="str">
            <v>HOS</v>
          </cell>
          <cell r="D1115" t="str">
            <v>65634</v>
          </cell>
          <cell r="E1115" t="str">
            <v>SW FLG</v>
          </cell>
          <cell r="F1115">
            <v>3</v>
          </cell>
          <cell r="G1115" t="str">
            <v>CB240108000T00</v>
          </cell>
          <cell r="H1115">
            <v>0.75</v>
          </cell>
          <cell r="I1115" t="str">
            <v>--</v>
          </cell>
          <cell r="J1115">
            <v>1</v>
          </cell>
          <cell r="K1115">
            <v>1</v>
          </cell>
        </row>
        <row r="1116">
          <cell r="A1116" t="str">
            <v>M1</v>
          </cell>
          <cell r="B1116" t="str">
            <v>A6C</v>
          </cell>
          <cell r="C1116" t="str">
            <v>TRIM</v>
          </cell>
          <cell r="D1116" t="str">
            <v>H-6501</v>
          </cell>
          <cell r="E1116" t="str">
            <v>SW FLG</v>
          </cell>
          <cell r="F1116">
            <v>3</v>
          </cell>
          <cell r="G1116" t="str">
            <v>CB240108000T00</v>
          </cell>
          <cell r="H1116">
            <v>0.75</v>
          </cell>
          <cell r="I1116" t="str">
            <v>--</v>
          </cell>
          <cell r="J1116">
            <v>1</v>
          </cell>
          <cell r="K1116">
            <v>1</v>
          </cell>
        </row>
        <row r="1117">
          <cell r="A1117" t="str">
            <v>M1</v>
          </cell>
          <cell r="B1117" t="str">
            <v>A6C</v>
          </cell>
          <cell r="C1117" t="str">
            <v>TRIM</v>
          </cell>
          <cell r="D1117" t="str">
            <v>V-6502</v>
          </cell>
          <cell r="E1117" t="str">
            <v>SW FLG</v>
          </cell>
          <cell r="F1117">
            <v>3</v>
          </cell>
          <cell r="G1117" t="str">
            <v>CB240108000T00</v>
          </cell>
          <cell r="H1117">
            <v>0.75</v>
          </cell>
          <cell r="I1117" t="str">
            <v>--</v>
          </cell>
          <cell r="J1117">
            <v>2</v>
          </cell>
          <cell r="K1117">
            <v>2</v>
          </cell>
        </row>
        <row r="1118">
          <cell r="A1118" t="str">
            <v>M1</v>
          </cell>
          <cell r="B1118" t="str">
            <v>A6C</v>
          </cell>
          <cell r="C1118" t="str">
            <v>HOR</v>
          </cell>
          <cell r="D1118" t="str">
            <v>65620</v>
          </cell>
          <cell r="E1118" t="str">
            <v>SW FLG</v>
          </cell>
          <cell r="F1118">
            <v>3</v>
          </cell>
          <cell r="G1118" t="str">
            <v>CB240108000T00</v>
          </cell>
          <cell r="H1118">
            <v>0.75</v>
          </cell>
          <cell r="I1118" t="str">
            <v>--</v>
          </cell>
          <cell r="J1118">
            <v>1</v>
          </cell>
          <cell r="K1118">
            <v>1</v>
          </cell>
        </row>
        <row r="1119">
          <cell r="A1119" t="str">
            <v>M1</v>
          </cell>
          <cell r="B1119" t="str">
            <v>A6C</v>
          </cell>
          <cell r="C1119" t="str">
            <v>HOR</v>
          </cell>
          <cell r="D1119" t="str">
            <v>65622</v>
          </cell>
          <cell r="E1119" t="str">
            <v>SW FLG</v>
          </cell>
          <cell r="F1119">
            <v>3</v>
          </cell>
          <cell r="G1119" t="str">
            <v>CB240108000T00</v>
          </cell>
          <cell r="H1119">
            <v>0.75</v>
          </cell>
          <cell r="I1119" t="str">
            <v>--</v>
          </cell>
          <cell r="J1119">
            <v>4</v>
          </cell>
          <cell r="K1119">
            <v>4</v>
          </cell>
        </row>
        <row r="1120">
          <cell r="A1120" t="str">
            <v>M1</v>
          </cell>
          <cell r="B1120" t="str">
            <v>B1X</v>
          </cell>
          <cell r="C1120" t="str">
            <v>P</v>
          </cell>
          <cell r="D1120" t="str">
            <v>22042</v>
          </cell>
          <cell r="E1120" t="str">
            <v>WN FLG</v>
          </cell>
          <cell r="F1120">
            <v>3</v>
          </cell>
          <cell r="G1120" t="str">
            <v>CB200208000T00</v>
          </cell>
          <cell r="H1120">
            <v>0.75</v>
          </cell>
          <cell r="I1120" t="str">
            <v>--</v>
          </cell>
          <cell r="J1120">
            <v>2</v>
          </cell>
          <cell r="K1120">
            <v>2</v>
          </cell>
        </row>
        <row r="1121">
          <cell r="A1121" t="str">
            <v>M1</v>
          </cell>
          <cell r="B1121" t="str">
            <v>B2C</v>
          </cell>
          <cell r="C1121" t="str">
            <v>SH</v>
          </cell>
          <cell r="D1121" t="str">
            <v>22614</v>
          </cell>
          <cell r="E1121" t="str">
            <v>SW FLG</v>
          </cell>
          <cell r="F1121">
            <v>3</v>
          </cell>
          <cell r="G1121" t="str">
            <v>CB240208000100</v>
          </cell>
          <cell r="H1121">
            <v>1</v>
          </cell>
          <cell r="I1121" t="str">
            <v>--</v>
          </cell>
          <cell r="J1121">
            <v>1</v>
          </cell>
          <cell r="K1121">
            <v>1</v>
          </cell>
        </row>
        <row r="1122">
          <cell r="A1122" t="str">
            <v>M1</v>
          </cell>
          <cell r="B1122" t="str">
            <v>B2C</v>
          </cell>
          <cell r="C1122" t="str">
            <v>SH</v>
          </cell>
          <cell r="D1122" t="str">
            <v>22611</v>
          </cell>
          <cell r="E1122" t="str">
            <v>SW FLG</v>
          </cell>
          <cell r="F1122">
            <v>3</v>
          </cell>
          <cell r="G1122" t="str">
            <v>CB240208000100</v>
          </cell>
          <cell r="H1122">
            <v>1</v>
          </cell>
          <cell r="I1122" t="str">
            <v>--</v>
          </cell>
          <cell r="J1122">
            <v>2</v>
          </cell>
          <cell r="K1122">
            <v>2</v>
          </cell>
        </row>
        <row r="1123">
          <cell r="A1123" t="str">
            <v>M1</v>
          </cell>
          <cell r="B1123" t="str">
            <v>B2C</v>
          </cell>
          <cell r="C1123" t="str">
            <v>TRIM</v>
          </cell>
          <cell r="D1123" t="str">
            <v>E-2204</v>
          </cell>
          <cell r="E1123" t="str">
            <v>SW FLG</v>
          </cell>
          <cell r="F1123">
            <v>3</v>
          </cell>
          <cell r="G1123" t="str">
            <v>CB240208000100</v>
          </cell>
          <cell r="H1123">
            <v>1</v>
          </cell>
          <cell r="I1123" t="str">
            <v>--</v>
          </cell>
          <cell r="J1123">
            <v>1</v>
          </cell>
          <cell r="K1123">
            <v>1</v>
          </cell>
        </row>
        <row r="1124">
          <cell r="A1124" t="str">
            <v>M1</v>
          </cell>
          <cell r="B1124" t="str">
            <v>A5C</v>
          </cell>
          <cell r="C1124" t="str">
            <v>P</v>
          </cell>
          <cell r="D1124" t="str">
            <v>22109</v>
          </cell>
          <cell r="E1124" t="str">
            <v>LWN FLG</v>
          </cell>
          <cell r="F1124">
            <v>3</v>
          </cell>
          <cell r="G1124" t="str">
            <v>CB2901000001WL</v>
          </cell>
          <cell r="H1124">
            <v>1</v>
          </cell>
          <cell r="I1124" t="str">
            <v>150mm</v>
          </cell>
          <cell r="J1124">
            <v>1</v>
          </cell>
          <cell r="K1124">
            <v>1</v>
          </cell>
        </row>
        <row r="1125">
          <cell r="A1125" t="str">
            <v>M1</v>
          </cell>
          <cell r="B1125" t="str">
            <v>A5C</v>
          </cell>
          <cell r="C1125" t="str">
            <v>P</v>
          </cell>
          <cell r="D1125" t="str">
            <v>22102</v>
          </cell>
          <cell r="E1125" t="str">
            <v>LWN FLG</v>
          </cell>
          <cell r="F1125">
            <v>3</v>
          </cell>
          <cell r="G1125" t="str">
            <v>CB2901000001WL</v>
          </cell>
          <cell r="H1125">
            <v>1</v>
          </cell>
          <cell r="I1125" t="str">
            <v>150mm</v>
          </cell>
          <cell r="J1125">
            <v>1</v>
          </cell>
          <cell r="K1125">
            <v>1</v>
          </cell>
        </row>
        <row r="1126">
          <cell r="A1126" t="str">
            <v>M1</v>
          </cell>
          <cell r="B1126" t="str">
            <v>A5C</v>
          </cell>
          <cell r="C1126" t="str">
            <v>P</v>
          </cell>
          <cell r="D1126" t="str">
            <v>22054</v>
          </cell>
          <cell r="E1126" t="str">
            <v>LWN FLG</v>
          </cell>
          <cell r="F1126">
            <v>3</v>
          </cell>
          <cell r="G1126" t="str">
            <v>CB2901000001WL</v>
          </cell>
          <cell r="H1126">
            <v>1</v>
          </cell>
          <cell r="I1126" t="str">
            <v>150mm</v>
          </cell>
          <cell r="J1126">
            <v>1</v>
          </cell>
          <cell r="K1126">
            <v>1</v>
          </cell>
        </row>
        <row r="1127">
          <cell r="A1127" t="str">
            <v>M1</v>
          </cell>
          <cell r="B1127" t="str">
            <v>A5C</v>
          </cell>
          <cell r="C1127" t="str">
            <v>P</v>
          </cell>
          <cell r="D1127" t="str">
            <v>22056</v>
          </cell>
          <cell r="E1127" t="str">
            <v>LWN FLG</v>
          </cell>
          <cell r="F1127">
            <v>3</v>
          </cell>
          <cell r="G1127" t="str">
            <v>CB2901000001WL</v>
          </cell>
          <cell r="H1127">
            <v>1</v>
          </cell>
          <cell r="I1127" t="str">
            <v>150mm</v>
          </cell>
          <cell r="J1127">
            <v>1</v>
          </cell>
          <cell r="K1127">
            <v>1</v>
          </cell>
        </row>
        <row r="1128">
          <cell r="A1128" t="str">
            <v>M1</v>
          </cell>
          <cell r="B1128" t="str">
            <v>A5C</v>
          </cell>
          <cell r="C1128" t="str">
            <v>N</v>
          </cell>
          <cell r="D1128" t="str">
            <v>22630</v>
          </cell>
          <cell r="E1128" t="str">
            <v>SW FLG</v>
          </cell>
          <cell r="F1128">
            <v>3</v>
          </cell>
          <cell r="G1128" t="str">
            <v>CB240108000100</v>
          </cell>
          <cell r="H1128">
            <v>1</v>
          </cell>
          <cell r="I1128" t="str">
            <v>--</v>
          </cell>
          <cell r="J1128">
            <v>1</v>
          </cell>
          <cell r="K1128">
            <v>1</v>
          </cell>
        </row>
        <row r="1129">
          <cell r="A1129" t="str">
            <v>M1</v>
          </cell>
          <cell r="B1129" t="str">
            <v>A5C</v>
          </cell>
          <cell r="C1129" t="str">
            <v>N</v>
          </cell>
          <cell r="D1129" t="str">
            <v>22670</v>
          </cell>
          <cell r="E1129" t="str">
            <v>SW FLG</v>
          </cell>
          <cell r="F1129">
            <v>3</v>
          </cell>
          <cell r="G1129" t="str">
            <v>CB240108000100</v>
          </cell>
          <cell r="H1129">
            <v>1</v>
          </cell>
          <cell r="I1129" t="str">
            <v>--</v>
          </cell>
          <cell r="J1129">
            <v>4</v>
          </cell>
          <cell r="K1129">
            <v>4</v>
          </cell>
        </row>
        <row r="1130">
          <cell r="A1130" t="str">
            <v>M1</v>
          </cell>
          <cell r="B1130" t="str">
            <v>A5C</v>
          </cell>
          <cell r="C1130" t="str">
            <v>N</v>
          </cell>
          <cell r="D1130" t="str">
            <v>22682</v>
          </cell>
          <cell r="E1130" t="str">
            <v>SW FLG</v>
          </cell>
          <cell r="F1130">
            <v>3</v>
          </cell>
          <cell r="G1130" t="str">
            <v>CB240208000100</v>
          </cell>
          <cell r="H1130">
            <v>1</v>
          </cell>
          <cell r="I1130" t="str">
            <v>--</v>
          </cell>
          <cell r="J1130">
            <v>2</v>
          </cell>
          <cell r="K1130">
            <v>2</v>
          </cell>
        </row>
        <row r="1131">
          <cell r="A1131" t="str">
            <v>M1</v>
          </cell>
          <cell r="B1131" t="str">
            <v>A5C</v>
          </cell>
          <cell r="C1131" t="str">
            <v>N</v>
          </cell>
          <cell r="D1131" t="str">
            <v>22681</v>
          </cell>
          <cell r="E1131" t="str">
            <v>SW FLG</v>
          </cell>
          <cell r="F1131">
            <v>3</v>
          </cell>
          <cell r="G1131" t="str">
            <v>CB240208000100</v>
          </cell>
          <cell r="H1131">
            <v>1</v>
          </cell>
          <cell r="I1131" t="str">
            <v>--</v>
          </cell>
          <cell r="J1131">
            <v>2</v>
          </cell>
          <cell r="K1131">
            <v>2</v>
          </cell>
        </row>
        <row r="1132">
          <cell r="A1132" t="str">
            <v>M1</v>
          </cell>
          <cell r="B1132" t="str">
            <v>A5C</v>
          </cell>
          <cell r="C1132" t="str">
            <v>N</v>
          </cell>
          <cell r="D1132" t="str">
            <v>25611</v>
          </cell>
          <cell r="E1132" t="str">
            <v>SW FLG</v>
          </cell>
          <cell r="F1132">
            <v>3</v>
          </cell>
          <cell r="G1132" t="str">
            <v>CB240108000100</v>
          </cell>
          <cell r="H1132">
            <v>1</v>
          </cell>
          <cell r="I1132" t="str">
            <v>--</v>
          </cell>
          <cell r="J1132">
            <v>1</v>
          </cell>
          <cell r="K1132">
            <v>1</v>
          </cell>
        </row>
        <row r="1133">
          <cell r="A1133" t="str">
            <v>M1</v>
          </cell>
          <cell r="B1133" t="str">
            <v>A5C</v>
          </cell>
          <cell r="C1133" t="str">
            <v>N</v>
          </cell>
          <cell r="D1133" t="str">
            <v>25614</v>
          </cell>
          <cell r="E1133" t="str">
            <v>SW FLG</v>
          </cell>
          <cell r="F1133">
            <v>3</v>
          </cell>
          <cell r="G1133" t="str">
            <v>CB240108000100</v>
          </cell>
          <cell r="H1133">
            <v>1</v>
          </cell>
          <cell r="I1133" t="str">
            <v>--</v>
          </cell>
          <cell r="J1133">
            <v>1</v>
          </cell>
          <cell r="K1133">
            <v>1</v>
          </cell>
        </row>
        <row r="1134">
          <cell r="A1134" t="str">
            <v>M1</v>
          </cell>
          <cell r="B1134" t="str">
            <v>A5C</v>
          </cell>
          <cell r="C1134" t="str">
            <v>P</v>
          </cell>
          <cell r="D1134" t="str">
            <v>21004</v>
          </cell>
          <cell r="E1134" t="str">
            <v>SW FLG</v>
          </cell>
          <cell r="F1134">
            <v>3</v>
          </cell>
          <cell r="G1134" t="str">
            <v>CB240108000100</v>
          </cell>
          <cell r="H1134">
            <v>1</v>
          </cell>
          <cell r="I1134" t="str">
            <v>--</v>
          </cell>
          <cell r="J1134">
            <v>1</v>
          </cell>
          <cell r="K1134">
            <v>1</v>
          </cell>
        </row>
        <row r="1135">
          <cell r="A1135" t="str">
            <v>M1</v>
          </cell>
          <cell r="B1135" t="str">
            <v>A5C</v>
          </cell>
          <cell r="C1135" t="str">
            <v>P</v>
          </cell>
          <cell r="D1135" t="str">
            <v>22011</v>
          </cell>
          <cell r="E1135" t="str">
            <v>SW FLG</v>
          </cell>
          <cell r="F1135">
            <v>3</v>
          </cell>
          <cell r="G1135" t="str">
            <v>CB240108000100</v>
          </cell>
          <cell r="H1135">
            <v>1</v>
          </cell>
          <cell r="I1135" t="str">
            <v>--</v>
          </cell>
          <cell r="J1135">
            <v>1</v>
          </cell>
          <cell r="K1135">
            <v>1</v>
          </cell>
        </row>
        <row r="1136">
          <cell r="A1136" t="str">
            <v>M1</v>
          </cell>
          <cell r="B1136" t="str">
            <v>A5C</v>
          </cell>
          <cell r="C1136" t="str">
            <v>P</v>
          </cell>
          <cell r="D1136" t="str">
            <v>22066</v>
          </cell>
          <cell r="E1136" t="str">
            <v>SW FLG</v>
          </cell>
          <cell r="F1136">
            <v>3</v>
          </cell>
          <cell r="G1136" t="str">
            <v>CB240108000100</v>
          </cell>
          <cell r="H1136">
            <v>1</v>
          </cell>
          <cell r="I1136" t="str">
            <v>--</v>
          </cell>
          <cell r="J1136">
            <v>2</v>
          </cell>
          <cell r="K1136">
            <v>2</v>
          </cell>
        </row>
        <row r="1137">
          <cell r="A1137" t="str">
            <v>M1</v>
          </cell>
          <cell r="B1137" t="str">
            <v>A5C</v>
          </cell>
          <cell r="C1137" t="str">
            <v>P</v>
          </cell>
          <cell r="D1137" t="str">
            <v>22103</v>
          </cell>
          <cell r="E1137" t="str">
            <v>SW FLG</v>
          </cell>
          <cell r="F1137">
            <v>3</v>
          </cell>
          <cell r="G1137" t="str">
            <v>CB240208000100</v>
          </cell>
          <cell r="H1137">
            <v>1</v>
          </cell>
          <cell r="I1137" t="str">
            <v>--</v>
          </cell>
          <cell r="J1137">
            <v>2</v>
          </cell>
          <cell r="K1137">
            <v>2</v>
          </cell>
        </row>
        <row r="1138">
          <cell r="A1138" t="str">
            <v>M1</v>
          </cell>
          <cell r="B1138" t="str">
            <v>A5C</v>
          </cell>
          <cell r="C1138" t="str">
            <v>P</v>
          </cell>
          <cell r="D1138" t="str">
            <v>22106</v>
          </cell>
          <cell r="E1138" t="str">
            <v>SW FLG</v>
          </cell>
          <cell r="F1138">
            <v>3</v>
          </cell>
          <cell r="G1138" t="str">
            <v>CB240108000100</v>
          </cell>
          <cell r="H1138">
            <v>1</v>
          </cell>
          <cell r="I1138" t="str">
            <v>--</v>
          </cell>
          <cell r="J1138">
            <v>1</v>
          </cell>
          <cell r="K1138">
            <v>1</v>
          </cell>
        </row>
        <row r="1139">
          <cell r="A1139" t="str">
            <v>M1</v>
          </cell>
          <cell r="B1139" t="str">
            <v>A5C</v>
          </cell>
          <cell r="C1139" t="str">
            <v>P</v>
          </cell>
          <cell r="D1139" t="str">
            <v>22140</v>
          </cell>
          <cell r="E1139" t="str">
            <v>SW FLG</v>
          </cell>
          <cell r="F1139">
            <v>3</v>
          </cell>
          <cell r="G1139" t="str">
            <v>CB240108000100</v>
          </cell>
          <cell r="H1139">
            <v>1</v>
          </cell>
          <cell r="I1139" t="str">
            <v>--</v>
          </cell>
          <cell r="J1139">
            <v>2</v>
          </cell>
          <cell r="K1139">
            <v>2</v>
          </cell>
        </row>
        <row r="1140">
          <cell r="A1140" t="str">
            <v>M1</v>
          </cell>
          <cell r="B1140" t="str">
            <v>A5C</v>
          </cell>
          <cell r="C1140" t="str">
            <v>P</v>
          </cell>
          <cell r="D1140" t="str">
            <v>99002</v>
          </cell>
          <cell r="E1140" t="str">
            <v>SW FLG</v>
          </cell>
          <cell r="F1140">
            <v>3</v>
          </cell>
          <cell r="G1140" t="str">
            <v>CB240108000100</v>
          </cell>
          <cell r="H1140">
            <v>1</v>
          </cell>
          <cell r="I1140" t="str">
            <v>--</v>
          </cell>
          <cell r="J1140">
            <v>3</v>
          </cell>
          <cell r="K1140">
            <v>3</v>
          </cell>
        </row>
        <row r="1141">
          <cell r="A1141" t="str">
            <v>M1</v>
          </cell>
          <cell r="B1141" t="str">
            <v>A5C</v>
          </cell>
          <cell r="C1141" t="str">
            <v>N</v>
          </cell>
          <cell r="D1141" t="str">
            <v>22670</v>
          </cell>
          <cell r="E1141" t="str">
            <v>SW FLG</v>
          </cell>
          <cell r="F1141">
            <v>3</v>
          </cell>
          <cell r="G1141" t="str">
            <v>CB240108000100</v>
          </cell>
          <cell r="H1141">
            <v>1</v>
          </cell>
          <cell r="I1141" t="str">
            <v>--</v>
          </cell>
          <cell r="J1141">
            <v>2</v>
          </cell>
          <cell r="K1141">
            <v>2</v>
          </cell>
        </row>
        <row r="1142">
          <cell r="A1142" t="str">
            <v>M1</v>
          </cell>
          <cell r="B1142" t="str">
            <v>A5C</v>
          </cell>
          <cell r="C1142" t="str">
            <v>N</v>
          </cell>
          <cell r="D1142" t="str">
            <v>25614</v>
          </cell>
          <cell r="E1142" t="str">
            <v>SW FLG</v>
          </cell>
          <cell r="F1142">
            <v>3</v>
          </cell>
          <cell r="G1142" t="str">
            <v>CB240208000100</v>
          </cell>
          <cell r="H1142">
            <v>1</v>
          </cell>
          <cell r="I1142" t="str">
            <v>--</v>
          </cell>
          <cell r="J1142">
            <v>2</v>
          </cell>
          <cell r="K1142">
            <v>2</v>
          </cell>
        </row>
        <row r="1143">
          <cell r="A1143" t="str">
            <v>M1</v>
          </cell>
          <cell r="B1143" t="str">
            <v>A5C</v>
          </cell>
          <cell r="C1143" t="str">
            <v>P</v>
          </cell>
          <cell r="D1143" t="str">
            <v>22102</v>
          </cell>
          <cell r="E1143" t="str">
            <v>SW FLG</v>
          </cell>
          <cell r="F1143">
            <v>3</v>
          </cell>
          <cell r="G1143" t="str">
            <v>CB240108000100</v>
          </cell>
          <cell r="H1143">
            <v>1</v>
          </cell>
          <cell r="I1143" t="str">
            <v>--</v>
          </cell>
          <cell r="J1143">
            <v>1</v>
          </cell>
          <cell r="K1143">
            <v>1</v>
          </cell>
        </row>
        <row r="1144">
          <cell r="A1144" t="str">
            <v>M1</v>
          </cell>
          <cell r="B1144" t="str">
            <v>A5C</v>
          </cell>
          <cell r="C1144" t="str">
            <v>P</v>
          </cell>
          <cell r="D1144" t="str">
            <v>22130</v>
          </cell>
          <cell r="E1144" t="str">
            <v>SW FLG</v>
          </cell>
          <cell r="F1144">
            <v>3</v>
          </cell>
          <cell r="G1144" t="str">
            <v>CB240108000100</v>
          </cell>
          <cell r="H1144">
            <v>1</v>
          </cell>
          <cell r="I1144" t="str">
            <v>--</v>
          </cell>
          <cell r="J1144">
            <v>2</v>
          </cell>
          <cell r="K1144">
            <v>2</v>
          </cell>
        </row>
        <row r="1145">
          <cell r="A1145" t="str">
            <v>M1</v>
          </cell>
          <cell r="B1145" t="str">
            <v>A5C</v>
          </cell>
          <cell r="C1145" t="str">
            <v>TRIM</v>
          </cell>
          <cell r="D1145" t="str">
            <v>V-2202</v>
          </cell>
          <cell r="E1145" t="str">
            <v>SW FLG</v>
          </cell>
          <cell r="F1145">
            <v>3</v>
          </cell>
          <cell r="G1145" t="str">
            <v>CB240108000100</v>
          </cell>
          <cell r="H1145">
            <v>1</v>
          </cell>
          <cell r="I1145" t="str">
            <v>--</v>
          </cell>
          <cell r="J1145">
            <v>3</v>
          </cell>
          <cell r="K1145">
            <v>3</v>
          </cell>
        </row>
        <row r="1146">
          <cell r="A1146" t="str">
            <v>M1</v>
          </cell>
          <cell r="B1146" t="str">
            <v>A5C</v>
          </cell>
          <cell r="C1146" t="str">
            <v>TRIM</v>
          </cell>
          <cell r="D1146" t="str">
            <v>V-2206</v>
          </cell>
          <cell r="E1146" t="str">
            <v>SW FLG</v>
          </cell>
          <cell r="F1146">
            <v>3</v>
          </cell>
          <cell r="G1146" t="str">
            <v>CB240108000100</v>
          </cell>
          <cell r="H1146">
            <v>1</v>
          </cell>
          <cell r="I1146" t="str">
            <v>--</v>
          </cell>
          <cell r="J1146">
            <v>1</v>
          </cell>
          <cell r="K1146">
            <v>1</v>
          </cell>
        </row>
        <row r="1147">
          <cell r="A1147" t="str">
            <v>M1</v>
          </cell>
          <cell r="B1147" t="str">
            <v>A5C</v>
          </cell>
          <cell r="C1147" t="str">
            <v>P</v>
          </cell>
          <cell r="D1147" t="str">
            <v>22099</v>
          </cell>
          <cell r="E1147" t="str">
            <v>LWN FLG</v>
          </cell>
          <cell r="F1147">
            <v>3</v>
          </cell>
          <cell r="G1147" t="str">
            <v>CB2901000001WL</v>
          </cell>
          <cell r="H1147">
            <v>1</v>
          </cell>
          <cell r="I1147" t="str">
            <v>150mm</v>
          </cell>
          <cell r="J1147">
            <v>1</v>
          </cell>
          <cell r="K1147">
            <v>1</v>
          </cell>
        </row>
        <row r="1148">
          <cell r="A1148" t="str">
            <v>M1</v>
          </cell>
          <cell r="B1148" t="str">
            <v>A6C</v>
          </cell>
          <cell r="C1148" t="str">
            <v>HOS</v>
          </cell>
          <cell r="D1148" t="str">
            <v>65621</v>
          </cell>
          <cell r="E1148" t="str">
            <v>SW FLG</v>
          </cell>
          <cell r="F1148">
            <v>3</v>
          </cell>
          <cell r="G1148" t="str">
            <v>CB240108000100</v>
          </cell>
          <cell r="H1148">
            <v>1</v>
          </cell>
          <cell r="I1148" t="str">
            <v>--</v>
          </cell>
          <cell r="J1148">
            <v>3</v>
          </cell>
          <cell r="K1148">
            <v>3</v>
          </cell>
        </row>
        <row r="1149">
          <cell r="A1149" t="str">
            <v>M1</v>
          </cell>
          <cell r="B1149" t="str">
            <v>A6C</v>
          </cell>
          <cell r="C1149" t="str">
            <v>HOR</v>
          </cell>
          <cell r="D1149" t="str">
            <v>65612</v>
          </cell>
          <cell r="E1149" t="str">
            <v>SW FLG</v>
          </cell>
          <cell r="F1149">
            <v>3</v>
          </cell>
          <cell r="G1149" t="str">
            <v>CB240108000100</v>
          </cell>
          <cell r="H1149">
            <v>1</v>
          </cell>
          <cell r="I1149" t="str">
            <v>--</v>
          </cell>
          <cell r="J1149">
            <v>2</v>
          </cell>
          <cell r="K1149">
            <v>2</v>
          </cell>
        </row>
        <row r="1150">
          <cell r="A1150" t="str">
            <v>M1</v>
          </cell>
          <cell r="B1150" t="str">
            <v>A5C</v>
          </cell>
          <cell r="C1150" t="str">
            <v>P</v>
          </cell>
          <cell r="D1150" t="str">
            <v>22003</v>
          </cell>
          <cell r="E1150" t="str">
            <v>LWN FLG</v>
          </cell>
          <cell r="F1150">
            <v>3</v>
          </cell>
          <cell r="G1150" t="str">
            <v>CB2901000001WL</v>
          </cell>
          <cell r="H1150">
            <v>1</v>
          </cell>
          <cell r="I1150" t="str">
            <v>150mm</v>
          </cell>
          <cell r="J1150">
            <v>1</v>
          </cell>
          <cell r="K1150">
            <v>1</v>
          </cell>
        </row>
        <row r="1151">
          <cell r="A1151" t="str">
            <v>M1</v>
          </cell>
          <cell r="B1151" t="str">
            <v>A5C</v>
          </cell>
          <cell r="C1151" t="str">
            <v>P</v>
          </cell>
          <cell r="D1151" t="str">
            <v>22058</v>
          </cell>
          <cell r="E1151" t="str">
            <v>LWN FLG</v>
          </cell>
          <cell r="F1151">
            <v>3</v>
          </cell>
          <cell r="G1151" t="str">
            <v>CB2901000001WL</v>
          </cell>
          <cell r="H1151">
            <v>1</v>
          </cell>
          <cell r="I1151" t="str">
            <v>150mm</v>
          </cell>
          <cell r="J1151">
            <v>1</v>
          </cell>
          <cell r="K1151">
            <v>1</v>
          </cell>
        </row>
        <row r="1152">
          <cell r="A1152" t="str">
            <v>M1</v>
          </cell>
          <cell r="B1152" t="str">
            <v>A5C</v>
          </cell>
          <cell r="C1152" t="str">
            <v>P</v>
          </cell>
          <cell r="D1152" t="str">
            <v>22060</v>
          </cell>
          <cell r="E1152" t="str">
            <v>LWN FLG</v>
          </cell>
          <cell r="F1152">
            <v>3</v>
          </cell>
          <cell r="G1152" t="str">
            <v>CB2901000001WL</v>
          </cell>
          <cell r="H1152">
            <v>1</v>
          </cell>
          <cell r="I1152" t="str">
            <v>150mm</v>
          </cell>
          <cell r="J1152">
            <v>1</v>
          </cell>
          <cell r="K1152">
            <v>1</v>
          </cell>
        </row>
        <row r="1153">
          <cell r="A1153" t="str">
            <v>M1</v>
          </cell>
          <cell r="B1153" t="str">
            <v>A6C</v>
          </cell>
          <cell r="C1153" t="str">
            <v>HOS</v>
          </cell>
          <cell r="D1153" t="str">
            <v>65624</v>
          </cell>
          <cell r="E1153" t="str">
            <v>LWN FLG</v>
          </cell>
          <cell r="F1153">
            <v>3</v>
          </cell>
          <cell r="G1153" t="str">
            <v>CB2901000001WL</v>
          </cell>
          <cell r="H1153">
            <v>1</v>
          </cell>
          <cell r="I1153" t="str">
            <v>150mm</v>
          </cell>
          <cell r="J1153">
            <v>1</v>
          </cell>
          <cell r="K1153">
            <v>1</v>
          </cell>
        </row>
        <row r="1154">
          <cell r="A1154" t="str">
            <v>M1</v>
          </cell>
          <cell r="B1154" t="str">
            <v>A6C</v>
          </cell>
          <cell r="C1154" t="str">
            <v>HOS</v>
          </cell>
          <cell r="D1154" t="str">
            <v>65613</v>
          </cell>
          <cell r="E1154" t="str">
            <v>LWN FLG</v>
          </cell>
          <cell r="F1154">
            <v>3</v>
          </cell>
          <cell r="G1154" t="str">
            <v>CB2901000001WL</v>
          </cell>
          <cell r="H1154">
            <v>1</v>
          </cell>
          <cell r="I1154" t="str">
            <v>150mm</v>
          </cell>
          <cell r="J1154">
            <v>1</v>
          </cell>
          <cell r="K1154">
            <v>1</v>
          </cell>
        </row>
        <row r="1155">
          <cell r="A1155" t="str">
            <v>M1</v>
          </cell>
          <cell r="B1155" t="str">
            <v>A6C</v>
          </cell>
          <cell r="C1155" t="str">
            <v>HOS</v>
          </cell>
          <cell r="D1155" t="str">
            <v>65631</v>
          </cell>
          <cell r="E1155" t="str">
            <v>LWN FLG</v>
          </cell>
          <cell r="F1155">
            <v>3</v>
          </cell>
          <cell r="G1155" t="str">
            <v>CB2901000001WL</v>
          </cell>
          <cell r="H1155">
            <v>1</v>
          </cell>
          <cell r="I1155" t="str">
            <v>150mm</v>
          </cell>
          <cell r="J1155">
            <v>1</v>
          </cell>
          <cell r="K1155">
            <v>1</v>
          </cell>
        </row>
        <row r="1156">
          <cell r="A1156" t="str">
            <v>M1</v>
          </cell>
          <cell r="B1156" t="str">
            <v>A5C</v>
          </cell>
          <cell r="C1156" t="str">
            <v>P</v>
          </cell>
          <cell r="D1156" t="str">
            <v>22096</v>
          </cell>
          <cell r="E1156" t="str">
            <v>LWN FLG</v>
          </cell>
          <cell r="F1156">
            <v>3</v>
          </cell>
          <cell r="G1156" t="str">
            <v>CB2901000001WL</v>
          </cell>
          <cell r="H1156">
            <v>1</v>
          </cell>
          <cell r="I1156" t="str">
            <v>150mm</v>
          </cell>
          <cell r="J1156">
            <v>1</v>
          </cell>
          <cell r="K1156">
            <v>1</v>
          </cell>
        </row>
        <row r="1157">
          <cell r="A1157" t="str">
            <v>M1</v>
          </cell>
          <cell r="B1157" t="str">
            <v>A6C</v>
          </cell>
          <cell r="C1157" t="str">
            <v>HOR</v>
          </cell>
          <cell r="D1157" t="str">
            <v>65813</v>
          </cell>
          <cell r="E1157" t="str">
            <v>LWN FLG</v>
          </cell>
          <cell r="F1157">
            <v>3</v>
          </cell>
          <cell r="G1157" t="str">
            <v>CB2901000001WL</v>
          </cell>
          <cell r="H1157">
            <v>1</v>
          </cell>
          <cell r="I1157" t="str">
            <v>150mm</v>
          </cell>
          <cell r="J1157">
            <v>1</v>
          </cell>
          <cell r="K1157">
            <v>1</v>
          </cell>
        </row>
        <row r="1158">
          <cell r="A1158" t="str">
            <v>M1</v>
          </cell>
          <cell r="B1158" t="str">
            <v>A6C</v>
          </cell>
          <cell r="C1158" t="str">
            <v>HOR</v>
          </cell>
          <cell r="D1158" t="str">
            <v>65611</v>
          </cell>
          <cell r="E1158" t="str">
            <v>LWN FLG</v>
          </cell>
          <cell r="F1158">
            <v>3</v>
          </cell>
          <cell r="G1158" t="str">
            <v>CB2901000001WL</v>
          </cell>
          <cell r="H1158">
            <v>1</v>
          </cell>
          <cell r="I1158" t="str">
            <v>150mm</v>
          </cell>
          <cell r="J1158">
            <v>1</v>
          </cell>
          <cell r="K1158">
            <v>1</v>
          </cell>
        </row>
        <row r="1159">
          <cell r="A1159" t="str">
            <v>M1</v>
          </cell>
          <cell r="B1159" t="str">
            <v>A6C</v>
          </cell>
          <cell r="C1159" t="str">
            <v>HOR</v>
          </cell>
          <cell r="D1159" t="str">
            <v>65619</v>
          </cell>
          <cell r="E1159" t="str">
            <v>LWN FLG</v>
          </cell>
          <cell r="F1159">
            <v>3</v>
          </cell>
          <cell r="G1159" t="str">
            <v>CB2901000001WL</v>
          </cell>
          <cell r="H1159">
            <v>1</v>
          </cell>
          <cell r="I1159" t="str">
            <v>150mm</v>
          </cell>
          <cell r="J1159">
            <v>1</v>
          </cell>
          <cell r="K1159">
            <v>1</v>
          </cell>
        </row>
        <row r="1160">
          <cell r="A1160" t="str">
            <v>M1</v>
          </cell>
          <cell r="B1160" t="str">
            <v>A6C</v>
          </cell>
          <cell r="C1160" t="str">
            <v>HOS</v>
          </cell>
          <cell r="D1160" t="str">
            <v>65624</v>
          </cell>
          <cell r="E1160" t="str">
            <v>LWN FLG</v>
          </cell>
          <cell r="F1160">
            <v>3</v>
          </cell>
          <cell r="G1160" t="str">
            <v>CB2901000001WL</v>
          </cell>
          <cell r="H1160">
            <v>1</v>
          </cell>
          <cell r="I1160" t="str">
            <v>150mm</v>
          </cell>
          <cell r="J1160">
            <v>1</v>
          </cell>
          <cell r="K1160">
            <v>1</v>
          </cell>
        </row>
        <row r="1161">
          <cell r="A1161" t="str">
            <v>M1</v>
          </cell>
          <cell r="B1161" t="str">
            <v>A4C</v>
          </cell>
          <cell r="C1161" t="str">
            <v>P</v>
          </cell>
          <cell r="D1161" t="str">
            <v>22008</v>
          </cell>
          <cell r="E1161" t="str">
            <v>LWN FLG</v>
          </cell>
          <cell r="F1161">
            <v>3</v>
          </cell>
          <cell r="G1161" t="str">
            <v>CB2901000001WL</v>
          </cell>
          <cell r="H1161">
            <v>1</v>
          </cell>
          <cell r="I1161" t="str">
            <v>150mm</v>
          </cell>
          <cell r="J1161">
            <v>1</v>
          </cell>
          <cell r="K1161">
            <v>1</v>
          </cell>
        </row>
        <row r="1162">
          <cell r="A1162" t="str">
            <v>M1</v>
          </cell>
          <cell r="B1162" t="str">
            <v>A4C</v>
          </cell>
          <cell r="C1162" t="str">
            <v>P</v>
          </cell>
          <cell r="D1162" t="str">
            <v>22008</v>
          </cell>
          <cell r="E1162" t="str">
            <v>LWN FLG</v>
          </cell>
          <cell r="F1162">
            <v>3</v>
          </cell>
          <cell r="G1162" t="str">
            <v>CB2901000001WL</v>
          </cell>
          <cell r="H1162">
            <v>1</v>
          </cell>
          <cell r="I1162" t="str">
            <v>150mm</v>
          </cell>
          <cell r="J1162">
            <v>1</v>
          </cell>
          <cell r="K1162">
            <v>1</v>
          </cell>
        </row>
        <row r="1163">
          <cell r="A1163" t="str">
            <v>M1</v>
          </cell>
          <cell r="B1163" t="str">
            <v>A4C</v>
          </cell>
          <cell r="C1163" t="str">
            <v>P</v>
          </cell>
          <cell r="D1163" t="str">
            <v>22080</v>
          </cell>
          <cell r="E1163" t="str">
            <v>LWN FLG</v>
          </cell>
          <cell r="F1163">
            <v>3</v>
          </cell>
          <cell r="G1163" t="str">
            <v>CB2901000001WL</v>
          </cell>
          <cell r="H1163">
            <v>1</v>
          </cell>
          <cell r="I1163" t="str">
            <v>150mm</v>
          </cell>
          <cell r="J1163">
            <v>2</v>
          </cell>
          <cell r="K1163">
            <v>2</v>
          </cell>
        </row>
        <row r="1164">
          <cell r="A1164" t="str">
            <v>M1</v>
          </cell>
          <cell r="B1164" t="str">
            <v>A6C</v>
          </cell>
          <cell r="C1164" t="str">
            <v>HOS</v>
          </cell>
          <cell r="D1164" t="str">
            <v>65613</v>
          </cell>
          <cell r="E1164" t="str">
            <v>SW FLG</v>
          </cell>
          <cell r="F1164">
            <v>3</v>
          </cell>
          <cell r="G1164" t="str">
            <v>CB240108000100</v>
          </cell>
          <cell r="H1164">
            <v>1</v>
          </cell>
          <cell r="I1164" t="str">
            <v>--</v>
          </cell>
          <cell r="J1164">
            <v>4</v>
          </cell>
          <cell r="K1164">
            <v>4</v>
          </cell>
        </row>
        <row r="1165">
          <cell r="A1165" t="str">
            <v>M1</v>
          </cell>
          <cell r="B1165" t="str">
            <v>A5C</v>
          </cell>
          <cell r="C1165" t="str">
            <v>TRIM</v>
          </cell>
          <cell r="D1165" t="str">
            <v>C-2201</v>
          </cell>
          <cell r="E1165" t="str">
            <v>SW FLG</v>
          </cell>
          <cell r="F1165">
            <v>3</v>
          </cell>
          <cell r="G1165" t="str">
            <v>CB240108000100</v>
          </cell>
          <cell r="H1165">
            <v>1</v>
          </cell>
          <cell r="I1165" t="str">
            <v>--</v>
          </cell>
          <cell r="J1165">
            <v>2</v>
          </cell>
          <cell r="K1165">
            <v>2</v>
          </cell>
        </row>
        <row r="1166">
          <cell r="A1166" t="str">
            <v>M1</v>
          </cell>
          <cell r="B1166" t="str">
            <v>A5C</v>
          </cell>
          <cell r="C1166" t="str">
            <v>TRIM</v>
          </cell>
          <cell r="D1166" t="str">
            <v>V-2209</v>
          </cell>
          <cell r="E1166" t="str">
            <v>SW FLG</v>
          </cell>
          <cell r="F1166">
            <v>3</v>
          </cell>
          <cell r="G1166" t="str">
            <v>CB240108000100</v>
          </cell>
          <cell r="H1166">
            <v>1</v>
          </cell>
          <cell r="I1166" t="str">
            <v>--</v>
          </cell>
          <cell r="J1166">
            <v>1</v>
          </cell>
          <cell r="K1166">
            <v>1</v>
          </cell>
        </row>
        <row r="1167">
          <cell r="A1167" t="str">
            <v>M1</v>
          </cell>
          <cell r="B1167" t="str">
            <v>A6C</v>
          </cell>
          <cell r="C1167" t="str">
            <v>HOR</v>
          </cell>
          <cell r="D1167" t="str">
            <v>65622</v>
          </cell>
          <cell r="E1167" t="str">
            <v>SW FLG</v>
          </cell>
          <cell r="F1167">
            <v>3</v>
          </cell>
          <cell r="G1167" t="str">
            <v>CB240108000100</v>
          </cell>
          <cell r="H1167">
            <v>1</v>
          </cell>
          <cell r="I1167" t="str">
            <v>--</v>
          </cell>
          <cell r="J1167">
            <v>1</v>
          </cell>
          <cell r="K1167">
            <v>1</v>
          </cell>
        </row>
        <row r="1168">
          <cell r="A1168" t="str">
            <v>M1</v>
          </cell>
          <cell r="B1168" t="str">
            <v>A5C</v>
          </cell>
          <cell r="C1168" t="str">
            <v>TRIM</v>
          </cell>
          <cell r="D1168" t="str">
            <v>V-2208</v>
          </cell>
          <cell r="E1168" t="str">
            <v>SW FLG</v>
          </cell>
          <cell r="F1168">
            <v>3</v>
          </cell>
          <cell r="G1168" t="str">
            <v>CB240108000100</v>
          </cell>
          <cell r="H1168">
            <v>1</v>
          </cell>
          <cell r="I1168" t="str">
            <v>--</v>
          </cell>
          <cell r="J1168">
            <v>1</v>
          </cell>
          <cell r="K1168">
            <v>1</v>
          </cell>
        </row>
        <row r="1169">
          <cell r="A1169" t="str">
            <v>M1</v>
          </cell>
          <cell r="B1169" t="str">
            <v>B2C</v>
          </cell>
          <cell r="C1169" t="str">
            <v>SH</v>
          </cell>
          <cell r="D1169" t="str">
            <v>22614</v>
          </cell>
          <cell r="E1169" t="str">
            <v>SW FLG</v>
          </cell>
          <cell r="F1169">
            <v>3</v>
          </cell>
          <cell r="G1169" t="str">
            <v>CB240208001H00</v>
          </cell>
          <cell r="H1169">
            <v>1.5</v>
          </cell>
          <cell r="I1169" t="str">
            <v>--</v>
          </cell>
          <cell r="J1169">
            <v>2</v>
          </cell>
          <cell r="K1169">
            <v>2</v>
          </cell>
        </row>
        <row r="1170">
          <cell r="A1170" t="str">
            <v>M1</v>
          </cell>
          <cell r="B1170" t="str">
            <v>B2C</v>
          </cell>
          <cell r="C1170" t="str">
            <v>SH</v>
          </cell>
          <cell r="D1170" t="str">
            <v>22613</v>
          </cell>
          <cell r="E1170" t="str">
            <v>SW FLG</v>
          </cell>
          <cell r="F1170">
            <v>3</v>
          </cell>
          <cell r="G1170" t="str">
            <v>CB240208001H00</v>
          </cell>
          <cell r="H1170">
            <v>1.5</v>
          </cell>
          <cell r="I1170" t="str">
            <v>--</v>
          </cell>
          <cell r="J1170">
            <v>2</v>
          </cell>
          <cell r="K1170">
            <v>2</v>
          </cell>
        </row>
        <row r="1171">
          <cell r="A1171" t="str">
            <v>M1</v>
          </cell>
          <cell r="B1171" t="str">
            <v>A5C</v>
          </cell>
          <cell r="C1171" t="str">
            <v>P</v>
          </cell>
          <cell r="D1171" t="str">
            <v>22036</v>
          </cell>
          <cell r="E1171" t="str">
            <v>SW FLG</v>
          </cell>
          <cell r="F1171">
            <v>3</v>
          </cell>
          <cell r="G1171" t="str">
            <v>CB240108001H00</v>
          </cell>
          <cell r="H1171">
            <v>1.5</v>
          </cell>
          <cell r="I1171" t="str">
            <v>--</v>
          </cell>
          <cell r="J1171">
            <v>1</v>
          </cell>
          <cell r="K1171">
            <v>1</v>
          </cell>
        </row>
        <row r="1172">
          <cell r="A1172" t="str">
            <v>M1</v>
          </cell>
          <cell r="B1172" t="str">
            <v>A5C</v>
          </cell>
          <cell r="C1172" t="str">
            <v>P</v>
          </cell>
          <cell r="D1172" t="str">
            <v>22045</v>
          </cell>
          <cell r="E1172" t="str">
            <v>SW FLG</v>
          </cell>
          <cell r="F1172">
            <v>3</v>
          </cell>
          <cell r="G1172" t="str">
            <v>CB240108001H00</v>
          </cell>
          <cell r="H1172">
            <v>1.5</v>
          </cell>
          <cell r="I1172" t="str">
            <v>--</v>
          </cell>
          <cell r="J1172">
            <v>5</v>
          </cell>
          <cell r="K1172">
            <v>5</v>
          </cell>
        </row>
        <row r="1173">
          <cell r="A1173" t="str">
            <v>M1</v>
          </cell>
          <cell r="B1173" t="str">
            <v>A5C</v>
          </cell>
          <cell r="C1173" t="str">
            <v>P</v>
          </cell>
          <cell r="D1173" t="str">
            <v>22078</v>
          </cell>
          <cell r="E1173" t="str">
            <v>SW FLG</v>
          </cell>
          <cell r="F1173">
            <v>3</v>
          </cell>
          <cell r="G1173" t="str">
            <v>CB240108001H00</v>
          </cell>
          <cell r="H1173">
            <v>1.5</v>
          </cell>
          <cell r="I1173" t="str">
            <v>--</v>
          </cell>
          <cell r="J1173">
            <v>1</v>
          </cell>
          <cell r="K1173">
            <v>1</v>
          </cell>
        </row>
        <row r="1174">
          <cell r="A1174" t="str">
            <v>M1</v>
          </cell>
          <cell r="B1174" t="str">
            <v>A5C</v>
          </cell>
          <cell r="C1174" t="str">
            <v>P</v>
          </cell>
          <cell r="D1174" t="str">
            <v>22078</v>
          </cell>
          <cell r="E1174" t="str">
            <v>SW FLG</v>
          </cell>
          <cell r="F1174">
            <v>3</v>
          </cell>
          <cell r="G1174" t="str">
            <v>CB240208001H00</v>
          </cell>
          <cell r="H1174">
            <v>1.5</v>
          </cell>
          <cell r="I1174" t="str">
            <v>--</v>
          </cell>
          <cell r="J1174">
            <v>2</v>
          </cell>
          <cell r="K1174">
            <v>2</v>
          </cell>
        </row>
        <row r="1175">
          <cell r="A1175" t="str">
            <v>M1</v>
          </cell>
          <cell r="B1175" t="str">
            <v>A5C</v>
          </cell>
          <cell r="C1175" t="str">
            <v>P</v>
          </cell>
          <cell r="D1175" t="str">
            <v>22071</v>
          </cell>
          <cell r="E1175" t="str">
            <v>SW FLG</v>
          </cell>
          <cell r="F1175">
            <v>3</v>
          </cell>
          <cell r="G1175" t="str">
            <v>CB240208001H00</v>
          </cell>
          <cell r="H1175">
            <v>1.5</v>
          </cell>
          <cell r="I1175" t="str">
            <v>--</v>
          </cell>
          <cell r="J1175">
            <v>2</v>
          </cell>
          <cell r="K1175">
            <v>2</v>
          </cell>
        </row>
        <row r="1176">
          <cell r="A1176" t="str">
            <v>M1</v>
          </cell>
          <cell r="B1176" t="str">
            <v>A5C</v>
          </cell>
          <cell r="C1176" t="str">
            <v>P</v>
          </cell>
          <cell r="D1176" t="str">
            <v>22071</v>
          </cell>
          <cell r="E1176" t="str">
            <v>SW FLG</v>
          </cell>
          <cell r="F1176">
            <v>3</v>
          </cell>
          <cell r="G1176" t="str">
            <v>CB240108001H00</v>
          </cell>
          <cell r="H1176">
            <v>1.5</v>
          </cell>
          <cell r="I1176" t="str">
            <v>--</v>
          </cell>
          <cell r="J1176">
            <v>4</v>
          </cell>
          <cell r="K1176">
            <v>4</v>
          </cell>
        </row>
        <row r="1177">
          <cell r="A1177" t="str">
            <v>M1</v>
          </cell>
          <cell r="B1177" t="str">
            <v>A5C</v>
          </cell>
          <cell r="C1177" t="str">
            <v>P</v>
          </cell>
          <cell r="D1177" t="str">
            <v>22079</v>
          </cell>
          <cell r="E1177" t="str">
            <v>SW FLG</v>
          </cell>
          <cell r="F1177">
            <v>3</v>
          </cell>
          <cell r="G1177" t="str">
            <v>CB240108001H00</v>
          </cell>
          <cell r="H1177">
            <v>1.5</v>
          </cell>
          <cell r="I1177" t="str">
            <v>--</v>
          </cell>
          <cell r="J1177">
            <v>1</v>
          </cell>
          <cell r="K1177">
            <v>1</v>
          </cell>
        </row>
        <row r="1178">
          <cell r="A1178" t="str">
            <v>M1</v>
          </cell>
          <cell r="B1178" t="str">
            <v>A5C</v>
          </cell>
          <cell r="C1178" t="str">
            <v>P</v>
          </cell>
          <cell r="D1178" t="str">
            <v>22101</v>
          </cell>
          <cell r="E1178" t="str">
            <v>SW FLG</v>
          </cell>
          <cell r="F1178">
            <v>3</v>
          </cell>
          <cell r="G1178" t="str">
            <v>CB240108001H00</v>
          </cell>
          <cell r="H1178">
            <v>1.5</v>
          </cell>
          <cell r="I1178" t="str">
            <v>--</v>
          </cell>
          <cell r="J1178">
            <v>1</v>
          </cell>
          <cell r="K1178">
            <v>1</v>
          </cell>
        </row>
        <row r="1179">
          <cell r="A1179" t="str">
            <v>M1</v>
          </cell>
          <cell r="B1179" t="str">
            <v>A5C</v>
          </cell>
          <cell r="C1179" t="str">
            <v>P</v>
          </cell>
          <cell r="D1179" t="str">
            <v>22102</v>
          </cell>
          <cell r="E1179" t="str">
            <v>SW FLG</v>
          </cell>
          <cell r="F1179">
            <v>3</v>
          </cell>
          <cell r="G1179" t="str">
            <v>CB240108001H00</v>
          </cell>
          <cell r="H1179">
            <v>1.5</v>
          </cell>
          <cell r="I1179" t="str">
            <v>--</v>
          </cell>
          <cell r="J1179">
            <v>2</v>
          </cell>
          <cell r="K1179">
            <v>2</v>
          </cell>
        </row>
        <row r="1180">
          <cell r="A1180" t="str">
            <v>M1</v>
          </cell>
          <cell r="B1180" t="str">
            <v>A5C</v>
          </cell>
          <cell r="C1180" t="str">
            <v>P</v>
          </cell>
          <cell r="D1180" t="str">
            <v>22109</v>
          </cell>
          <cell r="E1180" t="str">
            <v>SW FLG</v>
          </cell>
          <cell r="F1180">
            <v>3</v>
          </cell>
          <cell r="G1180" t="str">
            <v>CB240108001H00</v>
          </cell>
          <cell r="H1180">
            <v>1.5</v>
          </cell>
          <cell r="I1180" t="str">
            <v>--</v>
          </cell>
          <cell r="J1180">
            <v>6</v>
          </cell>
          <cell r="K1180">
            <v>6</v>
          </cell>
        </row>
        <row r="1181">
          <cell r="A1181" t="str">
            <v>M1</v>
          </cell>
          <cell r="B1181" t="str">
            <v>A5C</v>
          </cell>
          <cell r="C1181" t="str">
            <v>P</v>
          </cell>
          <cell r="D1181" t="str">
            <v>22102</v>
          </cell>
          <cell r="E1181" t="str">
            <v>SW FLG</v>
          </cell>
          <cell r="F1181">
            <v>3</v>
          </cell>
          <cell r="G1181" t="str">
            <v>CB240208001H00</v>
          </cell>
          <cell r="H1181">
            <v>1.5</v>
          </cell>
          <cell r="I1181" t="str">
            <v>--</v>
          </cell>
          <cell r="J1181">
            <v>2</v>
          </cell>
          <cell r="K1181">
            <v>2</v>
          </cell>
        </row>
        <row r="1182">
          <cell r="A1182" t="str">
            <v>M1</v>
          </cell>
          <cell r="B1182" t="str">
            <v>A5C</v>
          </cell>
          <cell r="C1182" t="str">
            <v>P</v>
          </cell>
          <cell r="D1182" t="str">
            <v>22102</v>
          </cell>
          <cell r="E1182" t="str">
            <v>SW FLG</v>
          </cell>
          <cell r="F1182">
            <v>3</v>
          </cell>
          <cell r="G1182" t="str">
            <v>CB240108001H00</v>
          </cell>
          <cell r="H1182">
            <v>1.5</v>
          </cell>
          <cell r="I1182" t="str">
            <v>--</v>
          </cell>
          <cell r="J1182">
            <v>8</v>
          </cell>
          <cell r="K1182">
            <v>8</v>
          </cell>
        </row>
        <row r="1183">
          <cell r="A1183" t="str">
            <v>M1</v>
          </cell>
          <cell r="B1183" t="str">
            <v>A5C</v>
          </cell>
          <cell r="C1183" t="str">
            <v>P</v>
          </cell>
          <cell r="D1183" t="str">
            <v>22104</v>
          </cell>
          <cell r="E1183" t="str">
            <v>SW FLG</v>
          </cell>
          <cell r="F1183">
            <v>3</v>
          </cell>
          <cell r="G1183" t="str">
            <v>CB240208001H00</v>
          </cell>
          <cell r="H1183">
            <v>1.5</v>
          </cell>
          <cell r="I1183" t="str">
            <v>--</v>
          </cell>
          <cell r="J1183">
            <v>2</v>
          </cell>
          <cell r="K1183">
            <v>2</v>
          </cell>
        </row>
        <row r="1184">
          <cell r="A1184" t="str">
            <v>M1</v>
          </cell>
          <cell r="B1184" t="str">
            <v>A5C</v>
          </cell>
          <cell r="C1184" t="str">
            <v>P</v>
          </cell>
          <cell r="D1184" t="str">
            <v>22104</v>
          </cell>
          <cell r="E1184" t="str">
            <v>SW FLG</v>
          </cell>
          <cell r="F1184">
            <v>3</v>
          </cell>
          <cell r="G1184" t="str">
            <v>CB240108001H00</v>
          </cell>
          <cell r="H1184">
            <v>1.5</v>
          </cell>
          <cell r="I1184" t="str">
            <v>--</v>
          </cell>
          <cell r="J1184">
            <v>1</v>
          </cell>
          <cell r="K1184">
            <v>1</v>
          </cell>
        </row>
        <row r="1185">
          <cell r="A1185" t="str">
            <v>M1</v>
          </cell>
          <cell r="B1185" t="str">
            <v>A5C</v>
          </cell>
          <cell r="C1185" t="str">
            <v>P</v>
          </cell>
          <cell r="D1185" t="str">
            <v>22113</v>
          </cell>
          <cell r="E1185" t="str">
            <v>SW FLG</v>
          </cell>
          <cell r="F1185">
            <v>3</v>
          </cell>
          <cell r="G1185" t="str">
            <v>CB240108001H00</v>
          </cell>
          <cell r="H1185">
            <v>1.5</v>
          </cell>
          <cell r="I1185" t="str">
            <v>--</v>
          </cell>
          <cell r="J1185">
            <v>3</v>
          </cell>
          <cell r="K1185">
            <v>3</v>
          </cell>
        </row>
        <row r="1186">
          <cell r="A1186" t="str">
            <v>M1</v>
          </cell>
          <cell r="B1186" t="str">
            <v>A5C</v>
          </cell>
          <cell r="C1186" t="str">
            <v>P</v>
          </cell>
          <cell r="D1186" t="str">
            <v>22157</v>
          </cell>
          <cell r="E1186" t="str">
            <v>SW FLG</v>
          </cell>
          <cell r="F1186">
            <v>3</v>
          </cell>
          <cell r="G1186" t="str">
            <v>CB240108001H00</v>
          </cell>
          <cell r="H1186">
            <v>1.5</v>
          </cell>
          <cell r="I1186" t="str">
            <v>--</v>
          </cell>
          <cell r="J1186">
            <v>5</v>
          </cell>
          <cell r="K1186">
            <v>5</v>
          </cell>
        </row>
        <row r="1187">
          <cell r="A1187" t="str">
            <v>M1</v>
          </cell>
          <cell r="B1187" t="str">
            <v>A5C</v>
          </cell>
          <cell r="C1187" t="str">
            <v>P</v>
          </cell>
          <cell r="D1187" t="str">
            <v>22158</v>
          </cell>
          <cell r="E1187" t="str">
            <v>SW FLG</v>
          </cell>
          <cell r="F1187">
            <v>3</v>
          </cell>
          <cell r="G1187" t="str">
            <v>CB240108001H00</v>
          </cell>
          <cell r="H1187">
            <v>1.5</v>
          </cell>
          <cell r="I1187" t="str">
            <v>--</v>
          </cell>
          <cell r="J1187">
            <v>5</v>
          </cell>
          <cell r="K1187">
            <v>5</v>
          </cell>
        </row>
        <row r="1188">
          <cell r="A1188" t="str">
            <v>M1</v>
          </cell>
          <cell r="B1188" t="str">
            <v>A5C</v>
          </cell>
          <cell r="C1188" t="str">
            <v>P</v>
          </cell>
          <cell r="D1188" t="str">
            <v>22087</v>
          </cell>
          <cell r="E1188" t="str">
            <v>SW FLG</v>
          </cell>
          <cell r="F1188">
            <v>3</v>
          </cell>
          <cell r="G1188" t="str">
            <v>CB240108001H00</v>
          </cell>
          <cell r="H1188">
            <v>1.5</v>
          </cell>
          <cell r="I1188" t="str">
            <v>--</v>
          </cell>
          <cell r="J1188">
            <v>1</v>
          </cell>
          <cell r="K1188">
            <v>1</v>
          </cell>
        </row>
        <row r="1189">
          <cell r="A1189" t="str">
            <v>M1</v>
          </cell>
          <cell r="B1189" t="str">
            <v>A5C</v>
          </cell>
          <cell r="C1189" t="str">
            <v>P</v>
          </cell>
          <cell r="D1189" t="str">
            <v>22087</v>
          </cell>
          <cell r="E1189" t="str">
            <v>SW FLG</v>
          </cell>
          <cell r="F1189">
            <v>3</v>
          </cell>
          <cell r="G1189" t="str">
            <v>CB240208001H00</v>
          </cell>
          <cell r="H1189">
            <v>1.5</v>
          </cell>
          <cell r="I1189" t="str">
            <v>--</v>
          </cell>
          <cell r="J1189">
            <v>2</v>
          </cell>
          <cell r="K1189">
            <v>2</v>
          </cell>
        </row>
        <row r="1190">
          <cell r="A1190" t="str">
            <v>M1</v>
          </cell>
          <cell r="B1190" t="str">
            <v>A5C</v>
          </cell>
          <cell r="C1190" t="str">
            <v>P</v>
          </cell>
          <cell r="D1190" t="str">
            <v>22102</v>
          </cell>
          <cell r="E1190" t="str">
            <v>SW FLG</v>
          </cell>
          <cell r="F1190">
            <v>3</v>
          </cell>
          <cell r="G1190" t="str">
            <v>CB240108001H00</v>
          </cell>
          <cell r="H1190">
            <v>1.5</v>
          </cell>
          <cell r="I1190" t="str">
            <v>--</v>
          </cell>
          <cell r="J1190">
            <v>2</v>
          </cell>
          <cell r="K1190">
            <v>2</v>
          </cell>
        </row>
        <row r="1191">
          <cell r="A1191" t="str">
            <v>M1</v>
          </cell>
          <cell r="B1191" t="str">
            <v>A5C</v>
          </cell>
          <cell r="C1191" t="str">
            <v>P</v>
          </cell>
          <cell r="D1191" t="str">
            <v>22114</v>
          </cell>
          <cell r="E1191" t="str">
            <v>SW FLG</v>
          </cell>
          <cell r="F1191">
            <v>3</v>
          </cell>
          <cell r="G1191" t="str">
            <v>CB240108001H00</v>
          </cell>
          <cell r="H1191">
            <v>1.5</v>
          </cell>
          <cell r="I1191" t="str">
            <v>--</v>
          </cell>
          <cell r="J1191">
            <v>1</v>
          </cell>
          <cell r="K1191">
            <v>1</v>
          </cell>
        </row>
        <row r="1192">
          <cell r="A1192" t="str">
            <v>M1</v>
          </cell>
          <cell r="B1192" t="str">
            <v>A5C</v>
          </cell>
          <cell r="C1192" t="str">
            <v>P</v>
          </cell>
          <cell r="D1192" t="str">
            <v>22094</v>
          </cell>
          <cell r="E1192" t="str">
            <v>SW FLG</v>
          </cell>
          <cell r="F1192">
            <v>3</v>
          </cell>
          <cell r="G1192" t="str">
            <v>CB240208001H00</v>
          </cell>
          <cell r="H1192">
            <v>1.5</v>
          </cell>
          <cell r="I1192" t="str">
            <v>--</v>
          </cell>
          <cell r="J1192">
            <v>2</v>
          </cell>
          <cell r="K1192">
            <v>2</v>
          </cell>
        </row>
        <row r="1193">
          <cell r="A1193" t="str">
            <v>M1</v>
          </cell>
          <cell r="B1193" t="str">
            <v>A5C</v>
          </cell>
          <cell r="C1193" t="str">
            <v>P</v>
          </cell>
          <cell r="D1193" t="str">
            <v>22095</v>
          </cell>
          <cell r="E1193" t="str">
            <v>SW FLG</v>
          </cell>
          <cell r="F1193">
            <v>3</v>
          </cell>
          <cell r="G1193" t="str">
            <v>CB240208001H00</v>
          </cell>
          <cell r="H1193">
            <v>1.5</v>
          </cell>
          <cell r="I1193" t="str">
            <v>--</v>
          </cell>
          <cell r="J1193">
            <v>2</v>
          </cell>
          <cell r="K1193">
            <v>2</v>
          </cell>
        </row>
        <row r="1194">
          <cell r="A1194" t="str">
            <v>M1</v>
          </cell>
          <cell r="B1194" t="str">
            <v>A5C</v>
          </cell>
          <cell r="C1194" t="str">
            <v>P</v>
          </cell>
          <cell r="D1194" t="str">
            <v>22099</v>
          </cell>
          <cell r="E1194" t="str">
            <v>SW FLG</v>
          </cell>
          <cell r="F1194">
            <v>3</v>
          </cell>
          <cell r="G1194" t="str">
            <v>CB240108001H00</v>
          </cell>
          <cell r="H1194">
            <v>1.5</v>
          </cell>
          <cell r="I1194" t="str">
            <v>--</v>
          </cell>
          <cell r="J1194">
            <v>1</v>
          </cell>
          <cell r="K1194">
            <v>1</v>
          </cell>
        </row>
        <row r="1195">
          <cell r="A1195" t="str">
            <v>M1</v>
          </cell>
          <cell r="B1195" t="str">
            <v>A5C</v>
          </cell>
          <cell r="C1195" t="str">
            <v>P</v>
          </cell>
          <cell r="D1195" t="str">
            <v>22100</v>
          </cell>
          <cell r="E1195" t="str">
            <v>SW FLG</v>
          </cell>
          <cell r="F1195">
            <v>3</v>
          </cell>
          <cell r="G1195" t="str">
            <v>CB240208001H00</v>
          </cell>
          <cell r="H1195">
            <v>1.5</v>
          </cell>
          <cell r="I1195" t="str">
            <v>--</v>
          </cell>
          <cell r="J1195">
            <v>2</v>
          </cell>
          <cell r="K1195">
            <v>2</v>
          </cell>
        </row>
        <row r="1196">
          <cell r="A1196" t="str">
            <v>M1</v>
          </cell>
          <cell r="B1196" t="str">
            <v>A6C</v>
          </cell>
          <cell r="C1196" t="str">
            <v>HOS</v>
          </cell>
          <cell r="D1196" t="str">
            <v>65622</v>
          </cell>
          <cell r="E1196" t="str">
            <v>SW FLG</v>
          </cell>
          <cell r="F1196">
            <v>3</v>
          </cell>
          <cell r="G1196" t="str">
            <v>CB240108001H00</v>
          </cell>
          <cell r="H1196">
            <v>1.5</v>
          </cell>
          <cell r="I1196" t="str">
            <v>--</v>
          </cell>
          <cell r="J1196">
            <v>2</v>
          </cell>
          <cell r="K1196">
            <v>2</v>
          </cell>
        </row>
        <row r="1197">
          <cell r="A1197" t="str">
            <v>M1</v>
          </cell>
          <cell r="B1197" t="str">
            <v>A6C</v>
          </cell>
          <cell r="C1197" t="str">
            <v>HOS</v>
          </cell>
          <cell r="D1197" t="str">
            <v>65623</v>
          </cell>
          <cell r="E1197" t="str">
            <v>SW FLG</v>
          </cell>
          <cell r="F1197">
            <v>3</v>
          </cell>
          <cell r="G1197" t="str">
            <v>CB240108001H00</v>
          </cell>
          <cell r="H1197">
            <v>1.5</v>
          </cell>
          <cell r="I1197" t="str">
            <v>--</v>
          </cell>
          <cell r="J1197">
            <v>2</v>
          </cell>
          <cell r="K1197">
            <v>2</v>
          </cell>
        </row>
        <row r="1198">
          <cell r="A1198" t="str">
            <v>M1</v>
          </cell>
          <cell r="B1198" t="str">
            <v>A5C</v>
          </cell>
          <cell r="C1198" t="str">
            <v>P</v>
          </cell>
          <cell r="D1198" t="str">
            <v>22039</v>
          </cell>
          <cell r="E1198" t="str">
            <v>SW FLG</v>
          </cell>
          <cell r="F1198">
            <v>3</v>
          </cell>
          <cell r="G1198" t="str">
            <v>CB240108001H00</v>
          </cell>
          <cell r="H1198">
            <v>1.5</v>
          </cell>
          <cell r="I1198" t="str">
            <v>--</v>
          </cell>
          <cell r="J1198">
            <v>5</v>
          </cell>
          <cell r="K1198">
            <v>5</v>
          </cell>
        </row>
        <row r="1199">
          <cell r="A1199" t="str">
            <v>M1</v>
          </cell>
          <cell r="B1199" t="str">
            <v>A5C</v>
          </cell>
          <cell r="C1199" t="str">
            <v>P</v>
          </cell>
          <cell r="D1199" t="str">
            <v>22041</v>
          </cell>
          <cell r="E1199" t="str">
            <v>SW FLG</v>
          </cell>
          <cell r="F1199">
            <v>3</v>
          </cell>
          <cell r="G1199" t="str">
            <v>CB240108001H00</v>
          </cell>
          <cell r="H1199">
            <v>1.5</v>
          </cell>
          <cell r="I1199" t="str">
            <v>--</v>
          </cell>
          <cell r="J1199">
            <v>5</v>
          </cell>
          <cell r="K1199">
            <v>5</v>
          </cell>
        </row>
        <row r="1200">
          <cell r="A1200" t="str">
            <v>M1</v>
          </cell>
          <cell r="B1200" t="str">
            <v>A6C</v>
          </cell>
          <cell r="C1200" t="str">
            <v>HOR</v>
          </cell>
          <cell r="D1200" t="str">
            <v>65618</v>
          </cell>
          <cell r="E1200" t="str">
            <v>SW FLG</v>
          </cell>
          <cell r="F1200">
            <v>3</v>
          </cell>
          <cell r="G1200" t="str">
            <v>CB240108001H00</v>
          </cell>
          <cell r="H1200">
            <v>1.5</v>
          </cell>
          <cell r="I1200" t="str">
            <v>--</v>
          </cell>
          <cell r="J1200">
            <v>3</v>
          </cell>
          <cell r="K1200">
            <v>3</v>
          </cell>
        </row>
        <row r="1201">
          <cell r="A1201" t="str">
            <v>M1</v>
          </cell>
          <cell r="B1201" t="str">
            <v>A6C</v>
          </cell>
          <cell r="C1201" t="str">
            <v>HOR</v>
          </cell>
          <cell r="D1201" t="str">
            <v>65612</v>
          </cell>
          <cell r="E1201" t="str">
            <v>SW FLG</v>
          </cell>
          <cell r="F1201">
            <v>3</v>
          </cell>
          <cell r="G1201" t="str">
            <v>CB240108001H00</v>
          </cell>
          <cell r="H1201">
            <v>1.5</v>
          </cell>
          <cell r="I1201" t="str">
            <v>--</v>
          </cell>
          <cell r="J1201">
            <v>1</v>
          </cell>
          <cell r="K1201">
            <v>1</v>
          </cell>
        </row>
        <row r="1202">
          <cell r="A1202" t="str">
            <v>M1</v>
          </cell>
          <cell r="B1202" t="str">
            <v>A5C</v>
          </cell>
          <cell r="C1202" t="str">
            <v>P</v>
          </cell>
          <cell r="D1202" t="str">
            <v>22040</v>
          </cell>
          <cell r="E1202" t="str">
            <v>SW FLG</v>
          </cell>
          <cell r="F1202">
            <v>3</v>
          </cell>
          <cell r="G1202" t="str">
            <v>CB240108001H00</v>
          </cell>
          <cell r="H1202">
            <v>1.5</v>
          </cell>
          <cell r="I1202" t="str">
            <v>--</v>
          </cell>
          <cell r="J1202">
            <v>5</v>
          </cell>
          <cell r="K1202">
            <v>5</v>
          </cell>
        </row>
        <row r="1203">
          <cell r="A1203" t="str">
            <v>M1</v>
          </cell>
          <cell r="B1203" t="str">
            <v>A6C</v>
          </cell>
          <cell r="C1203" t="str">
            <v>HOS</v>
          </cell>
          <cell r="D1203" t="str">
            <v>65632</v>
          </cell>
          <cell r="E1203" t="str">
            <v>SW FLG</v>
          </cell>
          <cell r="F1203">
            <v>3</v>
          </cell>
          <cell r="G1203" t="str">
            <v>CB240108001H00</v>
          </cell>
          <cell r="H1203">
            <v>1.5</v>
          </cell>
          <cell r="I1203" t="str">
            <v>--</v>
          </cell>
          <cell r="J1203">
            <v>4</v>
          </cell>
          <cell r="K1203">
            <v>4</v>
          </cell>
        </row>
        <row r="1204">
          <cell r="A1204" t="str">
            <v>M1</v>
          </cell>
          <cell r="B1204" t="str">
            <v>A6C</v>
          </cell>
          <cell r="C1204" t="str">
            <v>HOS</v>
          </cell>
          <cell r="D1204" t="str">
            <v>65633</v>
          </cell>
          <cell r="E1204" t="str">
            <v>SW FLG</v>
          </cell>
          <cell r="F1204">
            <v>3</v>
          </cell>
          <cell r="G1204" t="str">
            <v>CB240108001H00</v>
          </cell>
          <cell r="H1204">
            <v>1.5</v>
          </cell>
          <cell r="I1204" t="str">
            <v>--</v>
          </cell>
          <cell r="J1204">
            <v>1</v>
          </cell>
          <cell r="K1204">
            <v>1</v>
          </cell>
        </row>
        <row r="1205">
          <cell r="A1205" t="str">
            <v>M1</v>
          </cell>
          <cell r="B1205" t="str">
            <v>A6C</v>
          </cell>
          <cell r="C1205" t="str">
            <v>HOS</v>
          </cell>
          <cell r="D1205" t="str">
            <v>65633</v>
          </cell>
          <cell r="E1205" t="str">
            <v>SW FLG</v>
          </cell>
          <cell r="F1205">
            <v>3</v>
          </cell>
          <cell r="G1205" t="str">
            <v>CB240108001H00</v>
          </cell>
          <cell r="H1205">
            <v>1.5</v>
          </cell>
          <cell r="I1205" t="str">
            <v>--</v>
          </cell>
          <cell r="J1205">
            <v>1</v>
          </cell>
          <cell r="K1205">
            <v>1</v>
          </cell>
        </row>
        <row r="1206">
          <cell r="A1206" t="str">
            <v>M1</v>
          </cell>
          <cell r="B1206" t="str">
            <v>A5C</v>
          </cell>
          <cell r="C1206" t="str">
            <v>P</v>
          </cell>
          <cell r="D1206" t="str">
            <v>22002</v>
          </cell>
          <cell r="E1206" t="str">
            <v>SW FLG</v>
          </cell>
          <cell r="F1206">
            <v>3</v>
          </cell>
          <cell r="G1206" t="str">
            <v>CB240108001H00</v>
          </cell>
          <cell r="H1206">
            <v>1.5</v>
          </cell>
          <cell r="I1206" t="str">
            <v>--</v>
          </cell>
          <cell r="J1206">
            <v>4</v>
          </cell>
          <cell r="K1206">
            <v>4</v>
          </cell>
        </row>
        <row r="1207">
          <cell r="A1207" t="str">
            <v>M1</v>
          </cell>
          <cell r="B1207" t="str">
            <v>A5C</v>
          </cell>
          <cell r="C1207" t="str">
            <v>P</v>
          </cell>
          <cell r="D1207" t="str">
            <v>22002</v>
          </cell>
          <cell r="E1207" t="str">
            <v>SW FLG</v>
          </cell>
          <cell r="F1207">
            <v>3</v>
          </cell>
          <cell r="G1207" t="str">
            <v>CB240208001H00</v>
          </cell>
          <cell r="H1207">
            <v>1.5</v>
          </cell>
          <cell r="I1207" t="str">
            <v>--</v>
          </cell>
          <cell r="J1207">
            <v>2</v>
          </cell>
          <cell r="K1207">
            <v>2</v>
          </cell>
        </row>
        <row r="1208">
          <cell r="A1208" t="str">
            <v>M1</v>
          </cell>
          <cell r="B1208" t="str">
            <v>A5C</v>
          </cell>
          <cell r="C1208" t="str">
            <v>P</v>
          </cell>
          <cell r="D1208" t="str">
            <v>22064</v>
          </cell>
          <cell r="E1208" t="str">
            <v>SW FLG</v>
          </cell>
          <cell r="F1208">
            <v>3</v>
          </cell>
          <cell r="G1208" t="str">
            <v>CB240108001H00</v>
          </cell>
          <cell r="H1208">
            <v>1.5</v>
          </cell>
          <cell r="I1208" t="str">
            <v>--</v>
          </cell>
          <cell r="J1208">
            <v>2</v>
          </cell>
          <cell r="K1208">
            <v>2</v>
          </cell>
        </row>
        <row r="1209">
          <cell r="A1209" t="str">
            <v>M1</v>
          </cell>
          <cell r="B1209" t="str">
            <v>A5C</v>
          </cell>
          <cell r="C1209" t="str">
            <v>P</v>
          </cell>
          <cell r="D1209" t="str">
            <v>22111</v>
          </cell>
          <cell r="E1209" t="str">
            <v>SW FLG</v>
          </cell>
          <cell r="F1209">
            <v>3</v>
          </cell>
          <cell r="G1209" t="str">
            <v>CB240208001H00</v>
          </cell>
          <cell r="H1209">
            <v>1.5</v>
          </cell>
          <cell r="I1209" t="str">
            <v>--</v>
          </cell>
          <cell r="J1209">
            <v>6</v>
          </cell>
          <cell r="K1209">
            <v>6</v>
          </cell>
        </row>
        <row r="1210">
          <cell r="A1210" t="str">
            <v>M1</v>
          </cell>
          <cell r="B1210" t="str">
            <v>A5C</v>
          </cell>
          <cell r="C1210" t="str">
            <v>P</v>
          </cell>
          <cell r="D1210" t="str">
            <v>22111</v>
          </cell>
          <cell r="E1210" t="str">
            <v>SW FLG</v>
          </cell>
          <cell r="F1210">
            <v>3</v>
          </cell>
          <cell r="G1210" t="str">
            <v>CB240108001H00</v>
          </cell>
          <cell r="H1210">
            <v>1.5</v>
          </cell>
          <cell r="I1210" t="str">
            <v>--</v>
          </cell>
          <cell r="J1210">
            <v>3</v>
          </cell>
          <cell r="K1210">
            <v>3</v>
          </cell>
        </row>
        <row r="1211">
          <cell r="A1211" t="str">
            <v>M1</v>
          </cell>
          <cell r="B1211" t="str">
            <v>A6C</v>
          </cell>
          <cell r="C1211" t="str">
            <v>HOS</v>
          </cell>
          <cell r="D1211" t="str">
            <v>65611</v>
          </cell>
          <cell r="E1211" t="str">
            <v>SW FLG</v>
          </cell>
          <cell r="F1211">
            <v>3</v>
          </cell>
          <cell r="G1211" t="str">
            <v>CB240108001H00</v>
          </cell>
          <cell r="H1211">
            <v>1.5</v>
          </cell>
          <cell r="I1211" t="str">
            <v>--</v>
          </cell>
          <cell r="J1211">
            <v>1</v>
          </cell>
          <cell r="K1211">
            <v>1</v>
          </cell>
        </row>
        <row r="1212">
          <cell r="A1212" t="str">
            <v>M1</v>
          </cell>
          <cell r="B1212" t="str">
            <v>A5C</v>
          </cell>
          <cell r="C1212" t="str">
            <v>RW</v>
          </cell>
          <cell r="D1212" t="str">
            <v>25611</v>
          </cell>
          <cell r="E1212" t="str">
            <v>SW FLG</v>
          </cell>
          <cell r="F1212">
            <v>3</v>
          </cell>
          <cell r="G1212" t="str">
            <v>CB240108001H00</v>
          </cell>
          <cell r="H1212">
            <v>1.5</v>
          </cell>
          <cell r="I1212" t="str">
            <v>--</v>
          </cell>
          <cell r="J1212">
            <v>3</v>
          </cell>
          <cell r="K1212">
            <v>3</v>
          </cell>
        </row>
        <row r="1213">
          <cell r="A1213" t="str">
            <v>M1</v>
          </cell>
          <cell r="B1213" t="str">
            <v>A4C</v>
          </cell>
          <cell r="C1213" t="str">
            <v>P</v>
          </cell>
          <cell r="D1213" t="str">
            <v>22031</v>
          </cell>
          <cell r="E1213" t="str">
            <v>SW FLG</v>
          </cell>
          <cell r="F1213">
            <v>3</v>
          </cell>
          <cell r="G1213" t="str">
            <v>CB240108001H00</v>
          </cell>
          <cell r="H1213">
            <v>1.5</v>
          </cell>
          <cell r="I1213" t="str">
            <v>--</v>
          </cell>
          <cell r="J1213">
            <v>6</v>
          </cell>
          <cell r="K1213">
            <v>6</v>
          </cell>
        </row>
        <row r="1214">
          <cell r="A1214" t="str">
            <v>M1</v>
          </cell>
          <cell r="B1214" t="str">
            <v>A5C</v>
          </cell>
          <cell r="C1214" t="str">
            <v>TRIM</v>
          </cell>
          <cell r="D1214" t="str">
            <v>X-2207</v>
          </cell>
          <cell r="E1214" t="str">
            <v>SW FLG</v>
          </cell>
          <cell r="F1214">
            <v>3</v>
          </cell>
          <cell r="G1214" t="str">
            <v>CB240108001H00</v>
          </cell>
          <cell r="H1214">
            <v>1.5</v>
          </cell>
          <cell r="I1214" t="str">
            <v>--</v>
          </cell>
          <cell r="J1214">
            <v>2</v>
          </cell>
          <cell r="K1214">
            <v>2</v>
          </cell>
        </row>
        <row r="1215">
          <cell r="A1215" t="str">
            <v>M1</v>
          </cell>
          <cell r="B1215" t="str">
            <v>A5C</v>
          </cell>
          <cell r="C1215" t="str">
            <v>TRIM</v>
          </cell>
          <cell r="D1215" t="str">
            <v>V-2201</v>
          </cell>
          <cell r="E1215" t="str">
            <v>SW FLG</v>
          </cell>
          <cell r="F1215">
            <v>3</v>
          </cell>
          <cell r="G1215" t="str">
            <v>CB240108001H00</v>
          </cell>
          <cell r="H1215">
            <v>1.5</v>
          </cell>
          <cell r="I1215" t="str">
            <v>--</v>
          </cell>
          <cell r="J1215">
            <v>1</v>
          </cell>
          <cell r="K1215">
            <v>1</v>
          </cell>
        </row>
        <row r="1216">
          <cell r="A1216" t="str">
            <v>M1</v>
          </cell>
          <cell r="B1216" t="str">
            <v>B2C</v>
          </cell>
          <cell r="C1216" t="str">
            <v>CWR</v>
          </cell>
          <cell r="D1216" t="str">
            <v>22620</v>
          </cell>
          <cell r="E1216" t="str">
            <v>WN FLG</v>
          </cell>
          <cell r="F1216">
            <v>3</v>
          </cell>
          <cell r="G1216" t="str">
            <v>CB200208000200</v>
          </cell>
          <cell r="H1216">
            <v>2</v>
          </cell>
          <cell r="I1216" t="str">
            <v>--</v>
          </cell>
          <cell r="J1216">
            <v>2</v>
          </cell>
          <cell r="K1216">
            <v>3</v>
          </cell>
        </row>
        <row r="1217">
          <cell r="A1217" t="str">
            <v>M1</v>
          </cell>
          <cell r="B1217" t="str">
            <v>B2C</v>
          </cell>
          <cell r="C1217" t="str">
            <v>CWR</v>
          </cell>
          <cell r="D1217" t="str">
            <v>22619</v>
          </cell>
          <cell r="E1217" t="str">
            <v>WN FLG</v>
          </cell>
          <cell r="F1217">
            <v>3</v>
          </cell>
          <cell r="G1217" t="str">
            <v>CB200208000200</v>
          </cell>
          <cell r="H1217">
            <v>2</v>
          </cell>
          <cell r="I1217" t="str">
            <v>--</v>
          </cell>
          <cell r="J1217">
            <v>2</v>
          </cell>
          <cell r="K1217">
            <v>3</v>
          </cell>
        </row>
        <row r="1218">
          <cell r="A1218" t="str">
            <v>M1</v>
          </cell>
          <cell r="B1218" t="str">
            <v>B2C</v>
          </cell>
          <cell r="C1218" t="str">
            <v>SH</v>
          </cell>
          <cell r="D1218" t="str">
            <v>22612</v>
          </cell>
          <cell r="E1218" t="str">
            <v>WN FLG</v>
          </cell>
          <cell r="F1218">
            <v>3</v>
          </cell>
          <cell r="G1218" t="str">
            <v>CB200208000200</v>
          </cell>
          <cell r="H1218">
            <v>2</v>
          </cell>
          <cell r="I1218" t="str">
            <v>--</v>
          </cell>
          <cell r="J1218">
            <v>15</v>
          </cell>
          <cell r="K1218">
            <v>17</v>
          </cell>
        </row>
        <row r="1219">
          <cell r="A1219" t="str">
            <v>M1</v>
          </cell>
          <cell r="B1219" t="str">
            <v>B2C</v>
          </cell>
          <cell r="C1219" t="str">
            <v>SH</v>
          </cell>
          <cell r="D1219" t="str">
            <v>22613</v>
          </cell>
          <cell r="E1219" t="str">
            <v>WN FLG</v>
          </cell>
          <cell r="F1219">
            <v>3</v>
          </cell>
          <cell r="G1219" t="str">
            <v>CB200208000200</v>
          </cell>
          <cell r="H1219">
            <v>2</v>
          </cell>
          <cell r="I1219" t="str">
            <v>--</v>
          </cell>
          <cell r="J1219">
            <v>15</v>
          </cell>
          <cell r="K1219">
            <v>17</v>
          </cell>
        </row>
        <row r="1220">
          <cell r="A1220" t="str">
            <v>M1</v>
          </cell>
          <cell r="B1220" t="str">
            <v>B2C</v>
          </cell>
          <cell r="C1220" t="str">
            <v>SH</v>
          </cell>
          <cell r="D1220" t="str">
            <v>22614</v>
          </cell>
          <cell r="E1220" t="str">
            <v>WN FLG</v>
          </cell>
          <cell r="F1220">
            <v>3</v>
          </cell>
          <cell r="G1220" t="str">
            <v>CB200208000200</v>
          </cell>
          <cell r="H1220">
            <v>2</v>
          </cell>
          <cell r="I1220" t="str">
            <v>--</v>
          </cell>
          <cell r="J1220">
            <v>9</v>
          </cell>
          <cell r="K1220">
            <v>10</v>
          </cell>
        </row>
        <row r="1221">
          <cell r="A1221" t="str">
            <v>M1</v>
          </cell>
          <cell r="B1221" t="str">
            <v>B2C</v>
          </cell>
          <cell r="C1221" t="str">
            <v>SH</v>
          </cell>
          <cell r="D1221" t="str">
            <v>22611</v>
          </cell>
          <cell r="E1221" t="str">
            <v>WN FLG</v>
          </cell>
          <cell r="F1221">
            <v>3</v>
          </cell>
          <cell r="G1221" t="str">
            <v>CB200208000200</v>
          </cell>
          <cell r="H1221">
            <v>2</v>
          </cell>
          <cell r="I1221" t="str">
            <v>--</v>
          </cell>
          <cell r="J1221">
            <v>7</v>
          </cell>
          <cell r="K1221">
            <v>8</v>
          </cell>
        </row>
        <row r="1222">
          <cell r="A1222" t="str">
            <v>M1</v>
          </cell>
          <cell r="B1222" t="str">
            <v>B2C</v>
          </cell>
          <cell r="C1222" t="str">
            <v>SH</v>
          </cell>
          <cell r="D1222" t="str">
            <v>22611</v>
          </cell>
          <cell r="E1222" t="str">
            <v>WN FLG</v>
          </cell>
          <cell r="F1222">
            <v>3</v>
          </cell>
          <cell r="G1222" t="str">
            <v>CB200208000200</v>
          </cell>
          <cell r="H1222">
            <v>2</v>
          </cell>
          <cell r="I1222" t="str">
            <v>--</v>
          </cell>
          <cell r="J1222">
            <v>2</v>
          </cell>
          <cell r="K1222">
            <v>3</v>
          </cell>
        </row>
        <row r="1223">
          <cell r="A1223" t="str">
            <v>M1</v>
          </cell>
          <cell r="B1223" t="str">
            <v>B2C</v>
          </cell>
          <cell r="C1223" t="str">
            <v>SH</v>
          </cell>
          <cell r="D1223" t="str">
            <v>22612</v>
          </cell>
          <cell r="E1223" t="str">
            <v>WN FLG</v>
          </cell>
          <cell r="F1223">
            <v>3</v>
          </cell>
          <cell r="G1223" t="str">
            <v>CB200208000200</v>
          </cell>
          <cell r="H1223">
            <v>2</v>
          </cell>
          <cell r="I1223" t="str">
            <v>--</v>
          </cell>
          <cell r="J1223">
            <v>2</v>
          </cell>
          <cell r="K1223">
            <v>3</v>
          </cell>
        </row>
        <row r="1224">
          <cell r="A1224" t="str">
            <v>M1</v>
          </cell>
          <cell r="B1224" t="str">
            <v>B2C</v>
          </cell>
          <cell r="C1224" t="str">
            <v>TRIM</v>
          </cell>
          <cell r="D1224" t="str">
            <v>V-2218</v>
          </cell>
          <cell r="E1224" t="str">
            <v>WN FLG</v>
          </cell>
          <cell r="F1224">
            <v>3</v>
          </cell>
          <cell r="G1224" t="str">
            <v>CB200208000200</v>
          </cell>
          <cell r="H1224">
            <v>2</v>
          </cell>
          <cell r="I1224" t="str">
            <v>--</v>
          </cell>
          <cell r="J1224">
            <v>2</v>
          </cell>
          <cell r="K1224">
            <v>3</v>
          </cell>
        </row>
        <row r="1225">
          <cell r="A1225" t="str">
            <v>M1</v>
          </cell>
          <cell r="B1225" t="str">
            <v>A5C</v>
          </cell>
          <cell r="C1225" t="str">
            <v>COMP</v>
          </cell>
          <cell r="D1225" t="str">
            <v>005</v>
          </cell>
          <cell r="E1225" t="str">
            <v>WN FLG</v>
          </cell>
          <cell r="F1225">
            <v>3</v>
          </cell>
          <cell r="G1225" t="str">
            <v>CB200108000200</v>
          </cell>
          <cell r="H1225">
            <v>2</v>
          </cell>
          <cell r="I1225" t="str">
            <v>--</v>
          </cell>
          <cell r="J1225">
            <v>2</v>
          </cell>
          <cell r="K1225">
            <v>3</v>
          </cell>
        </row>
        <row r="1226">
          <cell r="A1226" t="str">
            <v>M1</v>
          </cell>
          <cell r="B1226" t="str">
            <v>A5C</v>
          </cell>
          <cell r="C1226" t="str">
            <v>N</v>
          </cell>
          <cell r="D1226" t="str">
            <v>25611</v>
          </cell>
          <cell r="E1226" t="str">
            <v>WN FLG</v>
          </cell>
          <cell r="F1226">
            <v>3</v>
          </cell>
          <cell r="G1226" t="str">
            <v>CB200108000200</v>
          </cell>
          <cell r="H1226">
            <v>2</v>
          </cell>
          <cell r="I1226" t="str">
            <v>--</v>
          </cell>
          <cell r="J1226">
            <v>3</v>
          </cell>
          <cell r="K1226">
            <v>4</v>
          </cell>
        </row>
        <row r="1227">
          <cell r="A1227" t="str">
            <v>M1</v>
          </cell>
          <cell r="B1227" t="str">
            <v>A5C</v>
          </cell>
          <cell r="C1227" t="str">
            <v>N</v>
          </cell>
          <cell r="D1227" t="str">
            <v>25611</v>
          </cell>
          <cell r="E1227" t="str">
            <v>WN FLG</v>
          </cell>
          <cell r="F1227">
            <v>3</v>
          </cell>
          <cell r="G1227" t="str">
            <v>CB200208000200</v>
          </cell>
          <cell r="H1227">
            <v>2</v>
          </cell>
          <cell r="I1227" t="str">
            <v>--</v>
          </cell>
          <cell r="J1227">
            <v>1</v>
          </cell>
          <cell r="K1227">
            <v>2</v>
          </cell>
        </row>
        <row r="1228">
          <cell r="A1228" t="str">
            <v>M1</v>
          </cell>
          <cell r="B1228" t="str">
            <v>A5C</v>
          </cell>
          <cell r="C1228" t="str">
            <v>N</v>
          </cell>
          <cell r="D1228" t="str">
            <v>25617</v>
          </cell>
          <cell r="E1228" t="str">
            <v>WN FLG</v>
          </cell>
          <cell r="F1228">
            <v>3</v>
          </cell>
          <cell r="G1228" t="str">
            <v>CB200108000200</v>
          </cell>
          <cell r="H1228">
            <v>2</v>
          </cell>
          <cell r="I1228" t="str">
            <v>--</v>
          </cell>
          <cell r="J1228">
            <v>2</v>
          </cell>
          <cell r="K1228">
            <v>3</v>
          </cell>
        </row>
        <row r="1229">
          <cell r="A1229" t="str">
            <v>M1</v>
          </cell>
          <cell r="B1229" t="str">
            <v>A5C</v>
          </cell>
          <cell r="C1229" t="str">
            <v>N</v>
          </cell>
          <cell r="D1229" t="str">
            <v>25617</v>
          </cell>
          <cell r="E1229" t="str">
            <v>WN FLG</v>
          </cell>
          <cell r="F1229">
            <v>3</v>
          </cell>
          <cell r="G1229" t="str">
            <v>CB200208000200</v>
          </cell>
          <cell r="H1229">
            <v>2</v>
          </cell>
          <cell r="I1229" t="str">
            <v>--</v>
          </cell>
          <cell r="J1229">
            <v>2</v>
          </cell>
          <cell r="K1229">
            <v>3</v>
          </cell>
        </row>
        <row r="1230">
          <cell r="A1230" t="str">
            <v>M1</v>
          </cell>
          <cell r="B1230" t="str">
            <v>A5C</v>
          </cell>
          <cell r="C1230" t="str">
            <v>P</v>
          </cell>
          <cell r="D1230" t="str">
            <v>21006</v>
          </cell>
          <cell r="E1230" t="str">
            <v>WN FLG</v>
          </cell>
          <cell r="F1230">
            <v>3</v>
          </cell>
          <cell r="G1230" t="str">
            <v>CB200108000200</v>
          </cell>
          <cell r="H1230">
            <v>2</v>
          </cell>
          <cell r="I1230" t="str">
            <v>--</v>
          </cell>
          <cell r="J1230">
            <v>2</v>
          </cell>
          <cell r="K1230">
            <v>3</v>
          </cell>
        </row>
        <row r="1231">
          <cell r="A1231" t="str">
            <v>M1</v>
          </cell>
          <cell r="B1231" t="str">
            <v>A5C</v>
          </cell>
          <cell r="C1231" t="str">
            <v>P</v>
          </cell>
          <cell r="D1231" t="str">
            <v>22066</v>
          </cell>
          <cell r="E1231" t="str">
            <v>WN FLG</v>
          </cell>
          <cell r="F1231">
            <v>3</v>
          </cell>
          <cell r="G1231" t="str">
            <v>CB200108000200</v>
          </cell>
          <cell r="H1231">
            <v>2</v>
          </cell>
          <cell r="I1231" t="str">
            <v>--</v>
          </cell>
          <cell r="J1231">
            <v>8</v>
          </cell>
          <cell r="K1231">
            <v>9</v>
          </cell>
        </row>
        <row r="1232">
          <cell r="A1232" t="str">
            <v>M1</v>
          </cell>
          <cell r="B1232" t="str">
            <v>A5C</v>
          </cell>
          <cell r="C1232" t="str">
            <v>P</v>
          </cell>
          <cell r="D1232" t="str">
            <v>22069</v>
          </cell>
          <cell r="E1232" t="str">
            <v>WN FLG</v>
          </cell>
          <cell r="F1232">
            <v>3</v>
          </cell>
          <cell r="G1232" t="str">
            <v>CB200108000200</v>
          </cell>
          <cell r="H1232">
            <v>2</v>
          </cell>
          <cell r="I1232" t="str">
            <v>--</v>
          </cell>
          <cell r="J1232">
            <v>1</v>
          </cell>
          <cell r="K1232">
            <v>2</v>
          </cell>
        </row>
        <row r="1233">
          <cell r="A1233" t="str">
            <v>M1</v>
          </cell>
          <cell r="B1233" t="str">
            <v>A5C</v>
          </cell>
          <cell r="C1233" t="str">
            <v>P</v>
          </cell>
          <cell r="D1233" t="str">
            <v>22068</v>
          </cell>
          <cell r="E1233" t="str">
            <v>WN FLG</v>
          </cell>
          <cell r="F1233">
            <v>3</v>
          </cell>
          <cell r="G1233" t="str">
            <v>CB200108000200</v>
          </cell>
          <cell r="H1233">
            <v>2</v>
          </cell>
          <cell r="I1233" t="str">
            <v>--</v>
          </cell>
          <cell r="J1233">
            <v>3</v>
          </cell>
          <cell r="K1233">
            <v>4</v>
          </cell>
        </row>
        <row r="1234">
          <cell r="A1234" t="str">
            <v>M1</v>
          </cell>
          <cell r="B1234" t="str">
            <v>A5C</v>
          </cell>
          <cell r="C1234" t="str">
            <v>P</v>
          </cell>
          <cell r="D1234" t="str">
            <v>22081</v>
          </cell>
          <cell r="E1234" t="str">
            <v>WN FLG</v>
          </cell>
          <cell r="F1234">
            <v>3</v>
          </cell>
          <cell r="G1234" t="str">
            <v>CB200208000200</v>
          </cell>
          <cell r="H1234">
            <v>2</v>
          </cell>
          <cell r="I1234" t="str">
            <v>--</v>
          </cell>
          <cell r="J1234">
            <v>2</v>
          </cell>
          <cell r="K1234">
            <v>3</v>
          </cell>
        </row>
        <row r="1235">
          <cell r="A1235" t="str">
            <v>M1</v>
          </cell>
          <cell r="B1235" t="str">
            <v>A5C</v>
          </cell>
          <cell r="C1235" t="str">
            <v>P</v>
          </cell>
          <cell r="D1235" t="str">
            <v>22101</v>
          </cell>
          <cell r="E1235" t="str">
            <v>WN FLG</v>
          </cell>
          <cell r="F1235">
            <v>3</v>
          </cell>
          <cell r="G1235" t="str">
            <v>CB200108000200</v>
          </cell>
          <cell r="H1235">
            <v>2</v>
          </cell>
          <cell r="I1235" t="str">
            <v>--</v>
          </cell>
          <cell r="J1235">
            <v>3</v>
          </cell>
          <cell r="K1235">
            <v>4</v>
          </cell>
        </row>
        <row r="1236">
          <cell r="A1236" t="str">
            <v>M1</v>
          </cell>
          <cell r="B1236" t="str">
            <v>A5C</v>
          </cell>
          <cell r="C1236" t="str">
            <v>P</v>
          </cell>
          <cell r="D1236" t="str">
            <v>22110</v>
          </cell>
          <cell r="E1236" t="str">
            <v>WN FLG</v>
          </cell>
          <cell r="F1236">
            <v>3</v>
          </cell>
          <cell r="G1236" t="str">
            <v>CB200108000200</v>
          </cell>
          <cell r="H1236">
            <v>2</v>
          </cell>
          <cell r="I1236" t="str">
            <v>--</v>
          </cell>
          <cell r="J1236">
            <v>2</v>
          </cell>
          <cell r="K1236">
            <v>3</v>
          </cell>
        </row>
        <row r="1237">
          <cell r="A1237" t="str">
            <v>M1</v>
          </cell>
          <cell r="B1237" t="str">
            <v>A5C</v>
          </cell>
          <cell r="C1237" t="str">
            <v>P</v>
          </cell>
          <cell r="D1237" t="str">
            <v>22117</v>
          </cell>
          <cell r="E1237" t="str">
            <v>WN FLG</v>
          </cell>
          <cell r="F1237">
            <v>3</v>
          </cell>
          <cell r="G1237" t="str">
            <v>CB200108000200</v>
          </cell>
          <cell r="H1237">
            <v>2</v>
          </cell>
          <cell r="I1237" t="str">
            <v>--</v>
          </cell>
          <cell r="J1237">
            <v>2</v>
          </cell>
          <cell r="K1237">
            <v>3</v>
          </cell>
        </row>
        <row r="1238">
          <cell r="A1238" t="str">
            <v>M1</v>
          </cell>
          <cell r="B1238" t="str">
            <v>A5C</v>
          </cell>
          <cell r="C1238" t="str">
            <v>P</v>
          </cell>
          <cell r="D1238" t="str">
            <v>22153</v>
          </cell>
          <cell r="E1238" t="str">
            <v>WN FLG</v>
          </cell>
          <cell r="F1238">
            <v>3</v>
          </cell>
          <cell r="G1238" t="str">
            <v>CB200108000200</v>
          </cell>
          <cell r="H1238">
            <v>2</v>
          </cell>
          <cell r="I1238" t="str">
            <v>--</v>
          </cell>
          <cell r="J1238">
            <v>2</v>
          </cell>
          <cell r="K1238">
            <v>3</v>
          </cell>
        </row>
        <row r="1239">
          <cell r="A1239" t="str">
            <v>M1</v>
          </cell>
          <cell r="B1239" t="str">
            <v>A5C</v>
          </cell>
          <cell r="C1239" t="str">
            <v>P</v>
          </cell>
          <cell r="D1239" t="str">
            <v>22130</v>
          </cell>
          <cell r="E1239" t="str">
            <v>WN FLG</v>
          </cell>
          <cell r="F1239">
            <v>3</v>
          </cell>
          <cell r="G1239" t="str">
            <v>CB200108000200</v>
          </cell>
          <cell r="H1239">
            <v>2</v>
          </cell>
          <cell r="I1239" t="str">
            <v>--</v>
          </cell>
          <cell r="J1239">
            <v>11</v>
          </cell>
          <cell r="K1239">
            <v>13</v>
          </cell>
        </row>
        <row r="1240">
          <cell r="A1240" t="str">
            <v>M1</v>
          </cell>
          <cell r="B1240" t="str">
            <v>A5C</v>
          </cell>
          <cell r="C1240" t="str">
            <v>P</v>
          </cell>
          <cell r="D1240" t="str">
            <v>22140</v>
          </cell>
          <cell r="E1240" t="str">
            <v>WN FLG</v>
          </cell>
          <cell r="F1240">
            <v>3</v>
          </cell>
          <cell r="G1240" t="str">
            <v>CB200108000200</v>
          </cell>
          <cell r="H1240">
            <v>2</v>
          </cell>
          <cell r="I1240" t="str">
            <v>--</v>
          </cell>
          <cell r="J1240">
            <v>11</v>
          </cell>
          <cell r="K1240">
            <v>13</v>
          </cell>
        </row>
        <row r="1241">
          <cell r="A1241" t="str">
            <v>M1</v>
          </cell>
          <cell r="B1241" t="str">
            <v>A5C</v>
          </cell>
          <cell r="C1241" t="str">
            <v>P</v>
          </cell>
          <cell r="D1241" t="str">
            <v>22091</v>
          </cell>
          <cell r="E1241" t="str">
            <v>WN FLG</v>
          </cell>
          <cell r="F1241">
            <v>3</v>
          </cell>
          <cell r="G1241" t="str">
            <v>CB200108000200</v>
          </cell>
          <cell r="H1241">
            <v>2</v>
          </cell>
          <cell r="I1241" t="str">
            <v>--</v>
          </cell>
          <cell r="J1241">
            <v>1</v>
          </cell>
          <cell r="K1241">
            <v>2</v>
          </cell>
        </row>
        <row r="1242">
          <cell r="A1242" t="str">
            <v>M1</v>
          </cell>
          <cell r="B1242" t="str">
            <v>A5C</v>
          </cell>
          <cell r="C1242" t="str">
            <v>P</v>
          </cell>
          <cell r="D1242" t="str">
            <v>22090</v>
          </cell>
          <cell r="E1242" t="str">
            <v>WN FLG</v>
          </cell>
          <cell r="F1242">
            <v>3</v>
          </cell>
          <cell r="G1242" t="str">
            <v>CB200108000200</v>
          </cell>
          <cell r="H1242">
            <v>2</v>
          </cell>
          <cell r="I1242" t="str">
            <v>--</v>
          </cell>
          <cell r="J1242">
            <v>1</v>
          </cell>
          <cell r="K1242">
            <v>2</v>
          </cell>
        </row>
        <row r="1243">
          <cell r="A1243" t="str">
            <v>M1</v>
          </cell>
          <cell r="B1243" t="str">
            <v>A5C</v>
          </cell>
          <cell r="C1243" t="str">
            <v>P</v>
          </cell>
          <cell r="D1243" t="str">
            <v>22100</v>
          </cell>
          <cell r="E1243" t="str">
            <v>WN FLG</v>
          </cell>
          <cell r="F1243">
            <v>3</v>
          </cell>
          <cell r="G1243" t="str">
            <v>CB200108000200</v>
          </cell>
          <cell r="H1243">
            <v>2</v>
          </cell>
          <cell r="I1243" t="str">
            <v>--</v>
          </cell>
          <cell r="J1243">
            <v>11</v>
          </cell>
          <cell r="K1243">
            <v>13</v>
          </cell>
        </row>
        <row r="1244">
          <cell r="A1244" t="str">
            <v>M1</v>
          </cell>
          <cell r="B1244" t="str">
            <v>A5C</v>
          </cell>
          <cell r="C1244" t="str">
            <v>P</v>
          </cell>
          <cell r="D1244" t="str">
            <v>22115</v>
          </cell>
          <cell r="E1244" t="str">
            <v>WN FLG</v>
          </cell>
          <cell r="F1244">
            <v>3</v>
          </cell>
          <cell r="G1244" t="str">
            <v>CB200108000200</v>
          </cell>
          <cell r="H1244">
            <v>2</v>
          </cell>
          <cell r="I1244" t="str">
            <v>--</v>
          </cell>
          <cell r="J1244">
            <v>2</v>
          </cell>
          <cell r="K1244">
            <v>3</v>
          </cell>
        </row>
        <row r="1245">
          <cell r="A1245" t="str">
            <v>M1</v>
          </cell>
          <cell r="B1245" t="str">
            <v>A6C</v>
          </cell>
          <cell r="C1245" t="str">
            <v>HOS</v>
          </cell>
          <cell r="D1245" t="str">
            <v>65620</v>
          </cell>
          <cell r="E1245" t="str">
            <v>WN FLG</v>
          </cell>
          <cell r="F1245">
            <v>3</v>
          </cell>
          <cell r="G1245" t="str">
            <v>CB200108000200</v>
          </cell>
          <cell r="H1245">
            <v>2</v>
          </cell>
          <cell r="I1245" t="str">
            <v>--</v>
          </cell>
          <cell r="J1245">
            <v>3</v>
          </cell>
          <cell r="K1245">
            <v>4</v>
          </cell>
        </row>
        <row r="1246">
          <cell r="A1246" t="str">
            <v>M1</v>
          </cell>
          <cell r="B1246" t="str">
            <v>A5C</v>
          </cell>
          <cell r="C1246" t="str">
            <v>P</v>
          </cell>
          <cell r="D1246" t="str">
            <v>22004</v>
          </cell>
          <cell r="E1246" t="str">
            <v>WN FLG</v>
          </cell>
          <cell r="F1246">
            <v>3</v>
          </cell>
          <cell r="G1246" t="str">
            <v>CB200108000200</v>
          </cell>
          <cell r="H1246">
            <v>2</v>
          </cell>
          <cell r="I1246" t="str">
            <v>--</v>
          </cell>
          <cell r="J1246">
            <v>4</v>
          </cell>
          <cell r="K1246">
            <v>5</v>
          </cell>
        </row>
        <row r="1247">
          <cell r="A1247" t="str">
            <v>M1</v>
          </cell>
          <cell r="B1247" t="str">
            <v>A5C</v>
          </cell>
          <cell r="C1247" t="str">
            <v>P</v>
          </cell>
          <cell r="D1247" t="str">
            <v>22004</v>
          </cell>
          <cell r="E1247" t="str">
            <v>WN FLG</v>
          </cell>
          <cell r="F1247">
            <v>3</v>
          </cell>
          <cell r="G1247" t="str">
            <v>CB200108000200</v>
          </cell>
          <cell r="H1247">
            <v>2</v>
          </cell>
          <cell r="I1247" t="str">
            <v>--</v>
          </cell>
          <cell r="J1247">
            <v>6</v>
          </cell>
          <cell r="K1247">
            <v>7</v>
          </cell>
        </row>
        <row r="1248">
          <cell r="A1248" t="str">
            <v>M1</v>
          </cell>
          <cell r="B1248" t="str">
            <v>A5C</v>
          </cell>
          <cell r="C1248" t="str">
            <v>P</v>
          </cell>
          <cell r="D1248" t="str">
            <v>22004</v>
          </cell>
          <cell r="E1248" t="str">
            <v>WN FLG</v>
          </cell>
          <cell r="F1248">
            <v>3</v>
          </cell>
          <cell r="G1248" t="str">
            <v>CB200208000200</v>
          </cell>
          <cell r="H1248">
            <v>2</v>
          </cell>
          <cell r="I1248" t="str">
            <v>--</v>
          </cell>
          <cell r="J1248">
            <v>4</v>
          </cell>
          <cell r="K1248">
            <v>5</v>
          </cell>
        </row>
        <row r="1249">
          <cell r="A1249" t="str">
            <v>M1</v>
          </cell>
          <cell r="B1249" t="str">
            <v>A5C</v>
          </cell>
          <cell r="C1249" t="str">
            <v>P</v>
          </cell>
          <cell r="D1249" t="str">
            <v>22004</v>
          </cell>
          <cell r="E1249" t="str">
            <v>WN FLG</v>
          </cell>
          <cell r="F1249">
            <v>3</v>
          </cell>
          <cell r="G1249" t="str">
            <v>CB200208000200</v>
          </cell>
          <cell r="H1249">
            <v>2</v>
          </cell>
          <cell r="I1249" t="str">
            <v>--</v>
          </cell>
          <cell r="J1249">
            <v>2</v>
          </cell>
          <cell r="K1249">
            <v>3</v>
          </cell>
        </row>
        <row r="1250">
          <cell r="A1250" t="str">
            <v>M1</v>
          </cell>
          <cell r="B1250" t="str">
            <v>A5C</v>
          </cell>
          <cell r="C1250" t="str">
            <v>TRIM</v>
          </cell>
          <cell r="D1250" t="str">
            <v>V-2214</v>
          </cell>
          <cell r="E1250" t="str">
            <v>WN FLG</v>
          </cell>
          <cell r="F1250">
            <v>3</v>
          </cell>
          <cell r="G1250" t="str">
            <v>CB200108000200</v>
          </cell>
          <cell r="H1250">
            <v>2</v>
          </cell>
          <cell r="I1250" t="str">
            <v>--</v>
          </cell>
          <cell r="J1250">
            <v>1</v>
          </cell>
          <cell r="K1250">
            <v>2</v>
          </cell>
        </row>
        <row r="1251">
          <cell r="A1251" t="str">
            <v>M1</v>
          </cell>
          <cell r="B1251" t="str">
            <v>A6C</v>
          </cell>
          <cell r="C1251" t="str">
            <v>HOS</v>
          </cell>
          <cell r="D1251" t="str">
            <v>65624</v>
          </cell>
          <cell r="E1251" t="str">
            <v>WN FLG</v>
          </cell>
          <cell r="F1251">
            <v>3</v>
          </cell>
          <cell r="G1251" t="str">
            <v>CB200108000200</v>
          </cell>
          <cell r="H1251">
            <v>2</v>
          </cell>
          <cell r="I1251" t="str">
            <v>--</v>
          </cell>
          <cell r="J1251">
            <v>21</v>
          </cell>
          <cell r="K1251">
            <v>24</v>
          </cell>
        </row>
        <row r="1252">
          <cell r="A1252" t="str">
            <v>M1</v>
          </cell>
          <cell r="B1252" t="str">
            <v>A6C</v>
          </cell>
          <cell r="C1252" t="str">
            <v>HOS</v>
          </cell>
          <cell r="D1252" t="str">
            <v>65624</v>
          </cell>
          <cell r="E1252" t="str">
            <v>WN FLG</v>
          </cell>
          <cell r="F1252">
            <v>3</v>
          </cell>
          <cell r="G1252" t="str">
            <v>CB200108000200</v>
          </cell>
          <cell r="H1252">
            <v>2</v>
          </cell>
          <cell r="I1252" t="str">
            <v>--</v>
          </cell>
          <cell r="J1252">
            <v>21</v>
          </cell>
          <cell r="K1252">
            <v>24</v>
          </cell>
        </row>
        <row r="1253">
          <cell r="A1253" t="str">
            <v>M1</v>
          </cell>
          <cell r="B1253" t="str">
            <v>A5C</v>
          </cell>
          <cell r="C1253" t="str">
            <v>P</v>
          </cell>
          <cell r="D1253" t="str">
            <v>22097</v>
          </cell>
          <cell r="E1253" t="str">
            <v>WN FLG</v>
          </cell>
          <cell r="F1253">
            <v>3</v>
          </cell>
          <cell r="G1253" t="str">
            <v>CB200108000200</v>
          </cell>
          <cell r="H1253">
            <v>2</v>
          </cell>
          <cell r="I1253" t="str">
            <v>--</v>
          </cell>
          <cell r="J1253">
            <v>1</v>
          </cell>
          <cell r="K1253">
            <v>2</v>
          </cell>
        </row>
        <row r="1254">
          <cell r="A1254" t="str">
            <v>M1</v>
          </cell>
          <cell r="B1254" t="str">
            <v>A5C</v>
          </cell>
          <cell r="C1254" t="str">
            <v>TRIM</v>
          </cell>
          <cell r="D1254" t="str">
            <v>C-2201</v>
          </cell>
          <cell r="E1254" t="str">
            <v>WN FLG</v>
          </cell>
          <cell r="F1254">
            <v>3</v>
          </cell>
          <cell r="G1254" t="str">
            <v>CB200108000200</v>
          </cell>
          <cell r="H1254">
            <v>2</v>
          </cell>
          <cell r="I1254" t="str">
            <v>--</v>
          </cell>
          <cell r="J1254">
            <v>2</v>
          </cell>
          <cell r="K1254">
            <v>3</v>
          </cell>
        </row>
        <row r="1255">
          <cell r="A1255" t="str">
            <v>M1</v>
          </cell>
          <cell r="B1255" t="str">
            <v>A6C</v>
          </cell>
          <cell r="C1255" t="str">
            <v>TRIM</v>
          </cell>
          <cell r="D1255" t="str">
            <v>V-6501</v>
          </cell>
          <cell r="E1255" t="str">
            <v>WN FLG</v>
          </cell>
          <cell r="F1255">
            <v>3</v>
          </cell>
          <cell r="G1255" t="str">
            <v>CB200108000200</v>
          </cell>
          <cell r="H1255">
            <v>2</v>
          </cell>
          <cell r="I1255" t="str">
            <v>--</v>
          </cell>
          <cell r="J1255">
            <v>6</v>
          </cell>
          <cell r="K1255">
            <v>7</v>
          </cell>
        </row>
        <row r="1256">
          <cell r="A1256" t="str">
            <v>M1</v>
          </cell>
          <cell r="B1256" t="str">
            <v>A6C</v>
          </cell>
          <cell r="C1256" t="str">
            <v>HOR</v>
          </cell>
          <cell r="D1256" t="str">
            <v>65611</v>
          </cell>
          <cell r="E1256" t="str">
            <v>WN FLG</v>
          </cell>
          <cell r="F1256">
            <v>3</v>
          </cell>
          <cell r="G1256" t="str">
            <v>CB200108000200</v>
          </cell>
          <cell r="H1256">
            <v>2</v>
          </cell>
          <cell r="I1256" t="str">
            <v>--</v>
          </cell>
          <cell r="J1256">
            <v>7</v>
          </cell>
          <cell r="K1256">
            <v>8</v>
          </cell>
        </row>
        <row r="1257">
          <cell r="A1257" t="str">
            <v>M1</v>
          </cell>
          <cell r="B1257" t="str">
            <v>A6C</v>
          </cell>
          <cell r="C1257" t="str">
            <v>HOR</v>
          </cell>
          <cell r="D1257" t="str">
            <v>65611</v>
          </cell>
          <cell r="E1257" t="str">
            <v>WN FLG</v>
          </cell>
          <cell r="F1257">
            <v>3</v>
          </cell>
          <cell r="G1257" t="str">
            <v>CB200108000200</v>
          </cell>
          <cell r="H1257">
            <v>2</v>
          </cell>
          <cell r="I1257" t="str">
            <v>--</v>
          </cell>
          <cell r="J1257">
            <v>7</v>
          </cell>
          <cell r="K1257">
            <v>8</v>
          </cell>
        </row>
        <row r="1258">
          <cell r="A1258" t="str">
            <v>M1</v>
          </cell>
          <cell r="B1258" t="str">
            <v>A5C</v>
          </cell>
          <cell r="C1258" t="str">
            <v>P</v>
          </cell>
          <cell r="D1258" t="str">
            <v>22096</v>
          </cell>
          <cell r="E1258" t="str">
            <v>WN FLG</v>
          </cell>
          <cell r="F1258">
            <v>3</v>
          </cell>
          <cell r="G1258" t="str">
            <v>CB200108000200</v>
          </cell>
          <cell r="H1258">
            <v>2</v>
          </cell>
          <cell r="I1258" t="str">
            <v>--</v>
          </cell>
          <cell r="J1258">
            <v>6</v>
          </cell>
          <cell r="K1258">
            <v>7</v>
          </cell>
        </row>
        <row r="1259">
          <cell r="A1259" t="str">
            <v>M1</v>
          </cell>
          <cell r="B1259" t="str">
            <v>B2C</v>
          </cell>
          <cell r="C1259" t="str">
            <v>SH</v>
          </cell>
          <cell r="D1259" t="str">
            <v>22601</v>
          </cell>
          <cell r="E1259" t="str">
            <v>WN FLG</v>
          </cell>
          <cell r="F1259">
            <v>3</v>
          </cell>
          <cell r="G1259" t="str">
            <v>CB200204000300</v>
          </cell>
          <cell r="H1259">
            <v>3</v>
          </cell>
          <cell r="I1259" t="str">
            <v>--</v>
          </cell>
          <cell r="J1259">
            <v>3</v>
          </cell>
          <cell r="K1259">
            <v>4</v>
          </cell>
        </row>
        <row r="1260">
          <cell r="A1260" t="str">
            <v>M1</v>
          </cell>
          <cell r="B1260" t="str">
            <v>B2C</v>
          </cell>
          <cell r="C1260" t="str">
            <v>SH</v>
          </cell>
          <cell r="D1260" t="str">
            <v>22625</v>
          </cell>
          <cell r="E1260" t="str">
            <v>WN FLG</v>
          </cell>
          <cell r="F1260">
            <v>3</v>
          </cell>
          <cell r="G1260" t="str">
            <v>CB200204000300</v>
          </cell>
          <cell r="H1260">
            <v>3</v>
          </cell>
          <cell r="I1260" t="str">
            <v>--</v>
          </cell>
          <cell r="J1260">
            <v>2</v>
          </cell>
          <cell r="K1260">
            <v>3</v>
          </cell>
        </row>
        <row r="1261">
          <cell r="A1261" t="str">
            <v>M1</v>
          </cell>
          <cell r="B1261" t="str">
            <v>B2C</v>
          </cell>
          <cell r="C1261" t="str">
            <v>TRIM</v>
          </cell>
          <cell r="D1261" t="str">
            <v>V-2218</v>
          </cell>
          <cell r="E1261" t="str">
            <v>WN FLG</v>
          </cell>
          <cell r="F1261">
            <v>3</v>
          </cell>
          <cell r="G1261" t="str">
            <v>CB200204000300</v>
          </cell>
          <cell r="H1261">
            <v>3</v>
          </cell>
          <cell r="I1261" t="str">
            <v>--</v>
          </cell>
          <cell r="J1261">
            <v>3</v>
          </cell>
          <cell r="K1261">
            <v>4</v>
          </cell>
        </row>
        <row r="1262">
          <cell r="A1262" t="str">
            <v>M1</v>
          </cell>
          <cell r="B1262" t="str">
            <v>A5C</v>
          </cell>
          <cell r="C1262" t="str">
            <v>P</v>
          </cell>
          <cell r="D1262" t="str">
            <v>22025</v>
          </cell>
          <cell r="E1262" t="str">
            <v>WN FLG</v>
          </cell>
          <cell r="F1262">
            <v>3</v>
          </cell>
          <cell r="G1262" t="str">
            <v>CB200104000300</v>
          </cell>
          <cell r="H1262">
            <v>3</v>
          </cell>
          <cell r="I1262" t="str">
            <v>--</v>
          </cell>
          <cell r="J1262">
            <v>2</v>
          </cell>
          <cell r="K1262">
            <v>3</v>
          </cell>
        </row>
        <row r="1263">
          <cell r="A1263" t="str">
            <v>M1</v>
          </cell>
          <cell r="B1263" t="str">
            <v>A5C</v>
          </cell>
          <cell r="C1263" t="str">
            <v>P</v>
          </cell>
          <cell r="D1263" t="str">
            <v>22025</v>
          </cell>
          <cell r="E1263" t="str">
            <v>WN FLG</v>
          </cell>
          <cell r="F1263">
            <v>3</v>
          </cell>
          <cell r="G1263" t="str">
            <v>CB200204000300</v>
          </cell>
          <cell r="H1263">
            <v>3</v>
          </cell>
          <cell r="I1263" t="str">
            <v>--</v>
          </cell>
          <cell r="J1263">
            <v>2</v>
          </cell>
          <cell r="K1263">
            <v>3</v>
          </cell>
        </row>
        <row r="1264">
          <cell r="A1264" t="str">
            <v>M1</v>
          </cell>
          <cell r="B1264" t="str">
            <v>A5C</v>
          </cell>
          <cell r="C1264" t="str">
            <v>P</v>
          </cell>
          <cell r="D1264" t="str">
            <v>22081</v>
          </cell>
          <cell r="E1264" t="str">
            <v>WN FLG</v>
          </cell>
          <cell r="F1264">
            <v>3</v>
          </cell>
          <cell r="G1264" t="str">
            <v>CB200104000300</v>
          </cell>
          <cell r="H1264">
            <v>3</v>
          </cell>
          <cell r="I1264" t="str">
            <v>--</v>
          </cell>
          <cell r="J1264">
            <v>8</v>
          </cell>
          <cell r="K1264">
            <v>9</v>
          </cell>
        </row>
        <row r="1265">
          <cell r="A1265" t="str">
            <v>M1</v>
          </cell>
          <cell r="B1265" t="str">
            <v>A5C</v>
          </cell>
          <cell r="C1265" t="str">
            <v>P</v>
          </cell>
          <cell r="D1265" t="str">
            <v>22133</v>
          </cell>
          <cell r="E1265" t="str">
            <v>WN FLG</v>
          </cell>
          <cell r="F1265">
            <v>3</v>
          </cell>
          <cell r="G1265" t="str">
            <v>CB200104000300</v>
          </cell>
          <cell r="H1265">
            <v>3</v>
          </cell>
          <cell r="I1265" t="str">
            <v>--</v>
          </cell>
          <cell r="J1265">
            <v>1</v>
          </cell>
          <cell r="K1265">
            <v>2</v>
          </cell>
        </row>
        <row r="1266">
          <cell r="A1266" t="str">
            <v>M1</v>
          </cell>
          <cell r="B1266" t="str">
            <v>A5C</v>
          </cell>
          <cell r="C1266" t="str">
            <v>P</v>
          </cell>
          <cell r="D1266" t="str">
            <v>22118</v>
          </cell>
          <cell r="E1266" t="str">
            <v>WN FLG</v>
          </cell>
          <cell r="F1266">
            <v>3</v>
          </cell>
          <cell r="G1266" t="str">
            <v>CB200104000300</v>
          </cell>
          <cell r="H1266">
            <v>3</v>
          </cell>
          <cell r="I1266" t="str">
            <v>--</v>
          </cell>
          <cell r="J1266">
            <v>1</v>
          </cell>
          <cell r="K1266">
            <v>2</v>
          </cell>
        </row>
        <row r="1267">
          <cell r="A1267" t="str">
            <v>M1</v>
          </cell>
          <cell r="B1267" t="str">
            <v>A5C</v>
          </cell>
          <cell r="C1267" t="str">
            <v>P</v>
          </cell>
          <cell r="D1267" t="str">
            <v>22118</v>
          </cell>
          <cell r="E1267" t="str">
            <v>WN FLG</v>
          </cell>
          <cell r="F1267">
            <v>3</v>
          </cell>
          <cell r="G1267" t="str">
            <v>CB200204000300</v>
          </cell>
          <cell r="H1267">
            <v>3</v>
          </cell>
          <cell r="I1267" t="str">
            <v>--</v>
          </cell>
          <cell r="J1267">
            <v>2</v>
          </cell>
          <cell r="K1267">
            <v>3</v>
          </cell>
        </row>
        <row r="1268">
          <cell r="A1268" t="str">
            <v>M1</v>
          </cell>
          <cell r="B1268" t="str">
            <v>A5C</v>
          </cell>
          <cell r="C1268" t="str">
            <v>P</v>
          </cell>
          <cell r="D1268" t="str">
            <v>22134</v>
          </cell>
          <cell r="E1268" t="str">
            <v>WN FLG</v>
          </cell>
          <cell r="F1268">
            <v>3</v>
          </cell>
          <cell r="G1268" t="str">
            <v>CB200104000300</v>
          </cell>
          <cell r="H1268">
            <v>3</v>
          </cell>
          <cell r="I1268" t="str">
            <v>--</v>
          </cell>
          <cell r="J1268">
            <v>1</v>
          </cell>
          <cell r="K1268">
            <v>2</v>
          </cell>
        </row>
        <row r="1269">
          <cell r="A1269" t="str">
            <v>M1</v>
          </cell>
          <cell r="B1269" t="str">
            <v>A5C</v>
          </cell>
          <cell r="C1269" t="str">
            <v>P</v>
          </cell>
          <cell r="D1269" t="str">
            <v>25002</v>
          </cell>
          <cell r="E1269" t="str">
            <v>WN FLG</v>
          </cell>
          <cell r="F1269">
            <v>3</v>
          </cell>
          <cell r="G1269" t="str">
            <v>CB200204000300</v>
          </cell>
          <cell r="H1269">
            <v>3</v>
          </cell>
          <cell r="I1269" t="str">
            <v>--</v>
          </cell>
          <cell r="J1269">
            <v>2</v>
          </cell>
          <cell r="K1269">
            <v>3</v>
          </cell>
        </row>
        <row r="1270">
          <cell r="A1270" t="str">
            <v>M1</v>
          </cell>
          <cell r="B1270" t="str">
            <v>A5C</v>
          </cell>
          <cell r="C1270" t="str">
            <v>TRIM</v>
          </cell>
          <cell r="D1270" t="str">
            <v>V-2211</v>
          </cell>
          <cell r="E1270" t="str">
            <v>WN FLG</v>
          </cell>
          <cell r="F1270">
            <v>3</v>
          </cell>
          <cell r="G1270" t="str">
            <v>CB200104000300</v>
          </cell>
          <cell r="H1270">
            <v>3</v>
          </cell>
          <cell r="I1270" t="str">
            <v>--</v>
          </cell>
          <cell r="J1270">
            <v>3</v>
          </cell>
          <cell r="K1270">
            <v>4</v>
          </cell>
        </row>
        <row r="1271">
          <cell r="A1271" t="str">
            <v>M1</v>
          </cell>
          <cell r="B1271" t="str">
            <v>A5C</v>
          </cell>
          <cell r="C1271" t="str">
            <v>P</v>
          </cell>
          <cell r="D1271" t="str">
            <v>22153</v>
          </cell>
          <cell r="E1271" t="str">
            <v>WN FLG</v>
          </cell>
          <cell r="F1271">
            <v>3</v>
          </cell>
          <cell r="G1271" t="str">
            <v>CB200104000300</v>
          </cell>
          <cell r="H1271">
            <v>3</v>
          </cell>
          <cell r="I1271" t="str">
            <v>--</v>
          </cell>
          <cell r="J1271">
            <v>2</v>
          </cell>
          <cell r="K1271">
            <v>3</v>
          </cell>
        </row>
        <row r="1272">
          <cell r="A1272" t="str">
            <v>M1</v>
          </cell>
          <cell r="B1272" t="str">
            <v>A5C</v>
          </cell>
          <cell r="C1272" t="str">
            <v>P</v>
          </cell>
          <cell r="D1272" t="str">
            <v>22090</v>
          </cell>
          <cell r="E1272" t="str">
            <v>WN FLG</v>
          </cell>
          <cell r="F1272">
            <v>3</v>
          </cell>
          <cell r="G1272" t="str">
            <v>CB200104000300</v>
          </cell>
          <cell r="H1272">
            <v>3</v>
          </cell>
          <cell r="I1272" t="str">
            <v>--</v>
          </cell>
          <cell r="J1272">
            <v>5</v>
          </cell>
          <cell r="K1272">
            <v>6</v>
          </cell>
        </row>
        <row r="1273">
          <cell r="A1273" t="str">
            <v>M1</v>
          </cell>
          <cell r="B1273" t="str">
            <v>A5C</v>
          </cell>
          <cell r="C1273" t="str">
            <v>P</v>
          </cell>
          <cell r="D1273" t="str">
            <v>22090</v>
          </cell>
          <cell r="E1273" t="str">
            <v>WN FLG</v>
          </cell>
          <cell r="F1273">
            <v>3</v>
          </cell>
          <cell r="G1273" t="str">
            <v>CB200104000300</v>
          </cell>
          <cell r="H1273">
            <v>3</v>
          </cell>
          <cell r="I1273" t="str">
            <v>--</v>
          </cell>
          <cell r="J1273">
            <v>6</v>
          </cell>
          <cell r="K1273">
            <v>7</v>
          </cell>
        </row>
        <row r="1274">
          <cell r="A1274" t="str">
            <v>M1</v>
          </cell>
          <cell r="B1274" t="str">
            <v>A5C</v>
          </cell>
          <cell r="C1274" t="str">
            <v>P</v>
          </cell>
          <cell r="D1274" t="str">
            <v>22091</v>
          </cell>
          <cell r="E1274" t="str">
            <v>WN FLG</v>
          </cell>
          <cell r="F1274">
            <v>3</v>
          </cell>
          <cell r="G1274" t="str">
            <v>CB200104000300</v>
          </cell>
          <cell r="H1274">
            <v>3</v>
          </cell>
          <cell r="I1274" t="str">
            <v>--</v>
          </cell>
          <cell r="J1274">
            <v>1</v>
          </cell>
          <cell r="K1274">
            <v>2</v>
          </cell>
        </row>
        <row r="1275">
          <cell r="A1275" t="str">
            <v>M1</v>
          </cell>
          <cell r="B1275" t="str">
            <v>A5C</v>
          </cell>
          <cell r="C1275" t="str">
            <v>P</v>
          </cell>
          <cell r="D1275" t="str">
            <v>22092</v>
          </cell>
          <cell r="E1275" t="str">
            <v>WN FLG</v>
          </cell>
          <cell r="F1275">
            <v>3</v>
          </cell>
          <cell r="G1275" t="str">
            <v>CB200104000300</v>
          </cell>
          <cell r="H1275">
            <v>3</v>
          </cell>
          <cell r="I1275" t="str">
            <v>--</v>
          </cell>
          <cell r="J1275">
            <v>3</v>
          </cell>
          <cell r="K1275">
            <v>4</v>
          </cell>
        </row>
        <row r="1276">
          <cell r="A1276" t="str">
            <v>M1</v>
          </cell>
          <cell r="B1276" t="str">
            <v>A5C</v>
          </cell>
          <cell r="C1276" t="str">
            <v>P</v>
          </cell>
          <cell r="D1276" t="str">
            <v>22094</v>
          </cell>
          <cell r="E1276" t="str">
            <v>WN FLG</v>
          </cell>
          <cell r="F1276">
            <v>3</v>
          </cell>
          <cell r="G1276" t="str">
            <v>CB200104000300</v>
          </cell>
          <cell r="H1276">
            <v>3</v>
          </cell>
          <cell r="I1276" t="str">
            <v>--</v>
          </cell>
          <cell r="J1276">
            <v>11</v>
          </cell>
          <cell r="K1276">
            <v>13</v>
          </cell>
        </row>
        <row r="1277">
          <cell r="A1277" t="str">
            <v>M1</v>
          </cell>
          <cell r="B1277" t="str">
            <v>A5C</v>
          </cell>
          <cell r="C1277" t="str">
            <v>P</v>
          </cell>
          <cell r="D1277" t="str">
            <v>22095</v>
          </cell>
          <cell r="E1277" t="str">
            <v>WN FLG</v>
          </cell>
          <cell r="F1277">
            <v>3</v>
          </cell>
          <cell r="G1277" t="str">
            <v>CB200104000300</v>
          </cell>
          <cell r="H1277">
            <v>3</v>
          </cell>
          <cell r="I1277" t="str">
            <v>--</v>
          </cell>
          <cell r="J1277">
            <v>11</v>
          </cell>
          <cell r="K1277">
            <v>13</v>
          </cell>
        </row>
        <row r="1278">
          <cell r="A1278" t="str">
            <v>M1</v>
          </cell>
          <cell r="B1278" t="str">
            <v>A5C</v>
          </cell>
          <cell r="C1278" t="str">
            <v>P</v>
          </cell>
          <cell r="D1278" t="str">
            <v>22100</v>
          </cell>
          <cell r="E1278" t="str">
            <v>WN FLG</v>
          </cell>
          <cell r="F1278">
            <v>3</v>
          </cell>
          <cell r="G1278" t="str">
            <v>CB200104000300</v>
          </cell>
          <cell r="H1278">
            <v>3</v>
          </cell>
          <cell r="I1278" t="str">
            <v>--</v>
          </cell>
          <cell r="J1278">
            <v>2</v>
          </cell>
          <cell r="K1278">
            <v>3</v>
          </cell>
        </row>
        <row r="1279">
          <cell r="A1279" t="str">
            <v>M1</v>
          </cell>
          <cell r="B1279" t="str">
            <v>A5C</v>
          </cell>
          <cell r="C1279" t="str">
            <v>P</v>
          </cell>
          <cell r="D1279" t="str">
            <v>22090</v>
          </cell>
          <cell r="E1279" t="str">
            <v>WN FLG</v>
          </cell>
          <cell r="F1279">
            <v>3</v>
          </cell>
          <cell r="G1279" t="str">
            <v>CB200204000300</v>
          </cell>
          <cell r="H1279">
            <v>3</v>
          </cell>
          <cell r="I1279" t="str">
            <v>--</v>
          </cell>
          <cell r="J1279">
            <v>2</v>
          </cell>
          <cell r="K1279">
            <v>3</v>
          </cell>
        </row>
        <row r="1280">
          <cell r="A1280" t="str">
            <v>M1</v>
          </cell>
          <cell r="B1280" t="str">
            <v>A5C</v>
          </cell>
          <cell r="C1280" t="str">
            <v>P</v>
          </cell>
          <cell r="D1280" t="str">
            <v>22093</v>
          </cell>
          <cell r="E1280" t="str">
            <v>WN FLG</v>
          </cell>
          <cell r="F1280">
            <v>3</v>
          </cell>
          <cell r="G1280" t="str">
            <v>CB200104000300</v>
          </cell>
          <cell r="H1280">
            <v>3</v>
          </cell>
          <cell r="I1280" t="str">
            <v>--</v>
          </cell>
          <cell r="J1280">
            <v>3</v>
          </cell>
          <cell r="K1280">
            <v>4</v>
          </cell>
        </row>
        <row r="1281">
          <cell r="A1281" t="str">
            <v>M1</v>
          </cell>
          <cell r="B1281" t="str">
            <v>A5C</v>
          </cell>
          <cell r="C1281" t="str">
            <v>WW</v>
          </cell>
          <cell r="D1281" t="str">
            <v>22601</v>
          </cell>
          <cell r="E1281" t="str">
            <v>WN FLG</v>
          </cell>
          <cell r="F1281">
            <v>3</v>
          </cell>
          <cell r="G1281" t="str">
            <v>CB200104000300</v>
          </cell>
          <cell r="H1281">
            <v>3</v>
          </cell>
          <cell r="I1281" t="str">
            <v>--</v>
          </cell>
          <cell r="J1281">
            <v>2</v>
          </cell>
          <cell r="K1281">
            <v>3</v>
          </cell>
        </row>
        <row r="1282">
          <cell r="A1282" t="str">
            <v>M1</v>
          </cell>
          <cell r="B1282" t="str">
            <v>A5C</v>
          </cell>
          <cell r="C1282" t="str">
            <v>P</v>
          </cell>
          <cell r="D1282" t="str">
            <v>22003</v>
          </cell>
          <cell r="E1282" t="str">
            <v>WN FLG</v>
          </cell>
          <cell r="F1282">
            <v>3</v>
          </cell>
          <cell r="G1282" t="str">
            <v>CB200204000300</v>
          </cell>
          <cell r="H1282">
            <v>3</v>
          </cell>
          <cell r="I1282" t="str">
            <v>--</v>
          </cell>
          <cell r="J1282">
            <v>2</v>
          </cell>
          <cell r="K1282">
            <v>3</v>
          </cell>
        </row>
        <row r="1283">
          <cell r="A1283" t="str">
            <v>M1</v>
          </cell>
          <cell r="B1283" t="str">
            <v>A5C</v>
          </cell>
          <cell r="C1283" t="str">
            <v>P</v>
          </cell>
          <cell r="D1283" t="str">
            <v>22003</v>
          </cell>
          <cell r="E1283" t="str">
            <v>WN FLG</v>
          </cell>
          <cell r="F1283">
            <v>3</v>
          </cell>
          <cell r="G1283" t="str">
            <v>CB200104000300</v>
          </cell>
          <cell r="H1283">
            <v>3</v>
          </cell>
          <cell r="I1283" t="str">
            <v>--</v>
          </cell>
          <cell r="J1283">
            <v>11</v>
          </cell>
          <cell r="K1283">
            <v>13</v>
          </cell>
        </row>
        <row r="1284">
          <cell r="A1284" t="str">
            <v>M1</v>
          </cell>
          <cell r="B1284" t="str">
            <v>A5C</v>
          </cell>
          <cell r="C1284" t="str">
            <v>P</v>
          </cell>
          <cell r="D1284" t="str">
            <v>22004</v>
          </cell>
          <cell r="E1284" t="str">
            <v>WN FLG</v>
          </cell>
          <cell r="F1284">
            <v>3</v>
          </cell>
          <cell r="G1284" t="str">
            <v>CB200204000300</v>
          </cell>
          <cell r="H1284">
            <v>3</v>
          </cell>
          <cell r="I1284" t="str">
            <v>--</v>
          </cell>
          <cell r="J1284">
            <v>2</v>
          </cell>
          <cell r="K1284">
            <v>3</v>
          </cell>
        </row>
        <row r="1285">
          <cell r="A1285" t="str">
            <v>M1</v>
          </cell>
          <cell r="B1285" t="str">
            <v>A5C</v>
          </cell>
          <cell r="C1285" t="str">
            <v>P</v>
          </cell>
          <cell r="D1285" t="str">
            <v>22005</v>
          </cell>
          <cell r="E1285" t="str">
            <v>WN FLG</v>
          </cell>
          <cell r="F1285">
            <v>3</v>
          </cell>
          <cell r="G1285" t="str">
            <v>CB200204000300</v>
          </cell>
          <cell r="H1285">
            <v>3</v>
          </cell>
          <cell r="I1285" t="str">
            <v>--</v>
          </cell>
          <cell r="J1285">
            <v>2</v>
          </cell>
          <cell r="K1285">
            <v>3</v>
          </cell>
        </row>
        <row r="1286">
          <cell r="A1286" t="str">
            <v>M1</v>
          </cell>
          <cell r="B1286" t="str">
            <v>A5C</v>
          </cell>
          <cell r="C1286" t="str">
            <v>P</v>
          </cell>
          <cell r="D1286" t="str">
            <v>22005</v>
          </cell>
          <cell r="E1286" t="str">
            <v>WN FLG</v>
          </cell>
          <cell r="F1286">
            <v>3</v>
          </cell>
          <cell r="G1286" t="str">
            <v>CB200104000300</v>
          </cell>
          <cell r="H1286">
            <v>3</v>
          </cell>
          <cell r="I1286" t="str">
            <v>--</v>
          </cell>
          <cell r="J1286">
            <v>2</v>
          </cell>
          <cell r="K1286">
            <v>3</v>
          </cell>
        </row>
        <row r="1287">
          <cell r="A1287" t="str">
            <v>M1</v>
          </cell>
          <cell r="B1287" t="str">
            <v>A5C</v>
          </cell>
          <cell r="C1287" t="str">
            <v>P</v>
          </cell>
          <cell r="D1287" t="str">
            <v>22026</v>
          </cell>
          <cell r="E1287" t="str">
            <v>WN FLG</v>
          </cell>
          <cell r="F1287">
            <v>3</v>
          </cell>
          <cell r="G1287" t="str">
            <v>CB200204000300</v>
          </cell>
          <cell r="H1287">
            <v>3</v>
          </cell>
          <cell r="I1287" t="str">
            <v>--</v>
          </cell>
          <cell r="J1287">
            <v>2</v>
          </cell>
          <cell r="K1287">
            <v>3</v>
          </cell>
        </row>
        <row r="1288">
          <cell r="A1288" t="str">
            <v>M1</v>
          </cell>
          <cell r="B1288" t="str">
            <v>A5C</v>
          </cell>
          <cell r="C1288" t="str">
            <v>P</v>
          </cell>
          <cell r="D1288" t="str">
            <v>22026</v>
          </cell>
          <cell r="E1288" t="str">
            <v>WN FLG</v>
          </cell>
          <cell r="F1288">
            <v>3</v>
          </cell>
          <cell r="G1288" t="str">
            <v>CB200104000300</v>
          </cell>
          <cell r="H1288">
            <v>3</v>
          </cell>
          <cell r="I1288" t="str">
            <v>--</v>
          </cell>
          <cell r="J1288">
            <v>8</v>
          </cell>
          <cell r="K1288">
            <v>9</v>
          </cell>
        </row>
        <row r="1289">
          <cell r="A1289" t="str">
            <v>M1</v>
          </cell>
          <cell r="B1289" t="str">
            <v>A5C</v>
          </cell>
          <cell r="C1289" t="str">
            <v>P</v>
          </cell>
          <cell r="D1289" t="str">
            <v>22073</v>
          </cell>
          <cell r="E1289" t="str">
            <v>WN FLG</v>
          </cell>
          <cell r="F1289">
            <v>3</v>
          </cell>
          <cell r="G1289" t="str">
            <v>CB200104000300</v>
          </cell>
          <cell r="H1289">
            <v>3</v>
          </cell>
          <cell r="I1289" t="str">
            <v>--</v>
          </cell>
          <cell r="J1289">
            <v>1</v>
          </cell>
          <cell r="K1289">
            <v>2</v>
          </cell>
        </row>
        <row r="1290">
          <cell r="A1290" t="str">
            <v>M1</v>
          </cell>
          <cell r="B1290" t="str">
            <v>A5C</v>
          </cell>
          <cell r="C1290" t="str">
            <v>P</v>
          </cell>
          <cell r="D1290" t="str">
            <v>22061</v>
          </cell>
          <cell r="E1290" t="str">
            <v>WN FLG</v>
          </cell>
          <cell r="F1290">
            <v>3</v>
          </cell>
          <cell r="G1290" t="str">
            <v>CB200104000300</v>
          </cell>
          <cell r="H1290">
            <v>3</v>
          </cell>
          <cell r="I1290" t="str">
            <v>--</v>
          </cell>
          <cell r="J1290">
            <v>2</v>
          </cell>
          <cell r="K1290">
            <v>3</v>
          </cell>
        </row>
        <row r="1291">
          <cell r="A1291" t="str">
            <v>M1</v>
          </cell>
          <cell r="B1291" t="str">
            <v>A5C</v>
          </cell>
          <cell r="C1291" t="str">
            <v>P</v>
          </cell>
          <cell r="D1291" t="str">
            <v>22062</v>
          </cell>
          <cell r="E1291" t="str">
            <v>WN FLG</v>
          </cell>
          <cell r="F1291">
            <v>3</v>
          </cell>
          <cell r="G1291" t="str">
            <v>CB200104000300</v>
          </cell>
          <cell r="H1291">
            <v>3</v>
          </cell>
          <cell r="I1291" t="str">
            <v>--</v>
          </cell>
          <cell r="J1291">
            <v>1</v>
          </cell>
          <cell r="K1291">
            <v>2</v>
          </cell>
        </row>
        <row r="1292">
          <cell r="A1292" t="str">
            <v>M1</v>
          </cell>
          <cell r="B1292" t="str">
            <v>A5C</v>
          </cell>
          <cell r="C1292" t="str">
            <v>TRIM</v>
          </cell>
          <cell r="D1292" t="str">
            <v>V-2213</v>
          </cell>
          <cell r="E1292" t="str">
            <v>WN FLG</v>
          </cell>
          <cell r="F1292">
            <v>3</v>
          </cell>
          <cell r="G1292" t="str">
            <v>CB200104000300</v>
          </cell>
          <cell r="H1292">
            <v>3</v>
          </cell>
          <cell r="I1292" t="str">
            <v>--</v>
          </cell>
          <cell r="J1292">
            <v>1</v>
          </cell>
          <cell r="K1292">
            <v>2</v>
          </cell>
        </row>
        <row r="1293">
          <cell r="A1293" t="str">
            <v>M1</v>
          </cell>
          <cell r="B1293" t="str">
            <v>A5C</v>
          </cell>
          <cell r="C1293" t="str">
            <v>P</v>
          </cell>
          <cell r="D1293" t="str">
            <v>22001</v>
          </cell>
          <cell r="E1293" t="str">
            <v>WN FLG</v>
          </cell>
          <cell r="F1293">
            <v>3</v>
          </cell>
          <cell r="G1293" t="str">
            <v>CB200104000300</v>
          </cell>
          <cell r="H1293">
            <v>3</v>
          </cell>
          <cell r="I1293" t="str">
            <v>--</v>
          </cell>
          <cell r="J1293">
            <v>2</v>
          </cell>
          <cell r="K1293">
            <v>3</v>
          </cell>
        </row>
        <row r="1294">
          <cell r="A1294" t="str">
            <v>M1</v>
          </cell>
          <cell r="B1294" t="str">
            <v>A6C</v>
          </cell>
          <cell r="C1294" t="str">
            <v>HOS</v>
          </cell>
          <cell r="D1294" t="str">
            <v>65634</v>
          </cell>
          <cell r="E1294" t="str">
            <v>WN FLG</v>
          </cell>
          <cell r="F1294">
            <v>3</v>
          </cell>
          <cell r="G1294" t="str">
            <v>CB200104000300</v>
          </cell>
          <cell r="H1294">
            <v>3</v>
          </cell>
          <cell r="I1294" t="str">
            <v>--</v>
          </cell>
          <cell r="J1294">
            <v>4</v>
          </cell>
          <cell r="K1294">
            <v>5</v>
          </cell>
        </row>
        <row r="1295">
          <cell r="A1295" t="str">
            <v>M1</v>
          </cell>
          <cell r="B1295" t="str">
            <v>A4C</v>
          </cell>
          <cell r="C1295" t="str">
            <v>P</v>
          </cell>
          <cell r="D1295" t="str">
            <v>22031</v>
          </cell>
          <cell r="E1295" t="str">
            <v>WN FLG</v>
          </cell>
          <cell r="F1295">
            <v>3</v>
          </cell>
          <cell r="G1295" t="str">
            <v>CB200104000300</v>
          </cell>
          <cell r="H1295">
            <v>3</v>
          </cell>
          <cell r="I1295" t="str">
            <v>--</v>
          </cell>
          <cell r="J1295">
            <v>5</v>
          </cell>
          <cell r="K1295">
            <v>6</v>
          </cell>
        </row>
        <row r="1296">
          <cell r="A1296" t="str">
            <v>M1</v>
          </cell>
          <cell r="B1296" t="str">
            <v>A4C</v>
          </cell>
          <cell r="C1296" t="str">
            <v>P</v>
          </cell>
          <cell r="D1296" t="str">
            <v>22031</v>
          </cell>
          <cell r="E1296" t="str">
            <v>WN FLG</v>
          </cell>
          <cell r="F1296">
            <v>3</v>
          </cell>
          <cell r="G1296" t="str">
            <v>CB200104000300</v>
          </cell>
          <cell r="H1296">
            <v>3</v>
          </cell>
          <cell r="I1296" t="str">
            <v>--</v>
          </cell>
          <cell r="J1296">
            <v>1</v>
          </cell>
          <cell r="K1296">
            <v>2</v>
          </cell>
        </row>
        <row r="1297">
          <cell r="A1297" t="str">
            <v>M1</v>
          </cell>
          <cell r="B1297" t="str">
            <v>A5C</v>
          </cell>
          <cell r="C1297" t="str">
            <v>P</v>
          </cell>
          <cell r="D1297" t="str">
            <v>22088</v>
          </cell>
          <cell r="E1297" t="str">
            <v>WN FLG</v>
          </cell>
          <cell r="F1297">
            <v>3</v>
          </cell>
          <cell r="G1297" t="str">
            <v>CB200104000300</v>
          </cell>
          <cell r="H1297">
            <v>3</v>
          </cell>
          <cell r="I1297" t="str">
            <v>--</v>
          </cell>
          <cell r="J1297">
            <v>4</v>
          </cell>
          <cell r="K1297">
            <v>5</v>
          </cell>
        </row>
        <row r="1298">
          <cell r="A1298" t="str">
            <v>M1</v>
          </cell>
          <cell r="B1298" t="str">
            <v>A5C</v>
          </cell>
          <cell r="C1298" t="str">
            <v>P</v>
          </cell>
          <cell r="D1298" t="str">
            <v>22088</v>
          </cell>
          <cell r="E1298" t="str">
            <v>WN FLG</v>
          </cell>
          <cell r="F1298">
            <v>3</v>
          </cell>
          <cell r="G1298" t="str">
            <v>CB200204000300</v>
          </cell>
          <cell r="H1298">
            <v>3</v>
          </cell>
          <cell r="I1298" t="str">
            <v>--</v>
          </cell>
          <cell r="J1298">
            <v>2</v>
          </cell>
          <cell r="K1298">
            <v>3</v>
          </cell>
        </row>
        <row r="1299">
          <cell r="A1299" t="str">
            <v>M1</v>
          </cell>
          <cell r="B1299" t="str">
            <v>A5C</v>
          </cell>
          <cell r="C1299" t="str">
            <v>P</v>
          </cell>
          <cell r="D1299" t="str">
            <v>22089</v>
          </cell>
          <cell r="E1299" t="str">
            <v>WN FLG</v>
          </cell>
          <cell r="F1299">
            <v>3</v>
          </cell>
          <cell r="G1299" t="str">
            <v>CB200104000300</v>
          </cell>
          <cell r="H1299">
            <v>3</v>
          </cell>
          <cell r="I1299" t="str">
            <v>--</v>
          </cell>
          <cell r="J1299">
            <v>1</v>
          </cell>
          <cell r="K1299">
            <v>2</v>
          </cell>
        </row>
        <row r="1300">
          <cell r="A1300" t="str">
            <v>M1</v>
          </cell>
          <cell r="B1300" t="str">
            <v>A5C</v>
          </cell>
          <cell r="C1300" t="str">
            <v>TRIM</v>
          </cell>
          <cell r="D1300" t="str">
            <v>C-2201</v>
          </cell>
          <cell r="E1300" t="str">
            <v>WN FLG</v>
          </cell>
          <cell r="F1300">
            <v>3</v>
          </cell>
          <cell r="G1300" t="str">
            <v>CB200104000300</v>
          </cell>
          <cell r="H1300">
            <v>3</v>
          </cell>
          <cell r="I1300" t="str">
            <v>--</v>
          </cell>
          <cell r="J1300">
            <v>2</v>
          </cell>
          <cell r="K1300">
            <v>3</v>
          </cell>
        </row>
        <row r="1301">
          <cell r="A1301" t="str">
            <v>M1</v>
          </cell>
          <cell r="B1301" t="str">
            <v>A5C</v>
          </cell>
          <cell r="C1301" t="str">
            <v>TRIM</v>
          </cell>
          <cell r="D1301" t="str">
            <v>V-2216A</v>
          </cell>
          <cell r="E1301" t="str">
            <v>WN FLG</v>
          </cell>
          <cell r="F1301">
            <v>3</v>
          </cell>
          <cell r="G1301" t="str">
            <v>CB200104000300</v>
          </cell>
          <cell r="H1301">
            <v>3</v>
          </cell>
          <cell r="I1301" t="str">
            <v>--</v>
          </cell>
          <cell r="J1301">
            <v>3</v>
          </cell>
          <cell r="K1301">
            <v>4</v>
          </cell>
        </row>
        <row r="1302">
          <cell r="A1302" t="str">
            <v>M1</v>
          </cell>
          <cell r="B1302" t="str">
            <v>A5C</v>
          </cell>
          <cell r="C1302" t="str">
            <v>TRIM</v>
          </cell>
          <cell r="D1302" t="str">
            <v>V-2216B</v>
          </cell>
          <cell r="E1302" t="str">
            <v>WN FLG</v>
          </cell>
          <cell r="F1302">
            <v>3</v>
          </cell>
          <cell r="G1302" t="str">
            <v>CB200104000300</v>
          </cell>
          <cell r="H1302">
            <v>3</v>
          </cell>
          <cell r="I1302" t="str">
            <v>--</v>
          </cell>
          <cell r="J1302">
            <v>3</v>
          </cell>
          <cell r="K1302">
            <v>4</v>
          </cell>
        </row>
        <row r="1303">
          <cell r="A1303" t="str">
            <v>M1</v>
          </cell>
          <cell r="B1303" t="str">
            <v>A6C</v>
          </cell>
          <cell r="C1303" t="str">
            <v>HOR</v>
          </cell>
          <cell r="D1303" t="str">
            <v>65621</v>
          </cell>
          <cell r="E1303" t="str">
            <v>WN FLG</v>
          </cell>
          <cell r="F1303">
            <v>3</v>
          </cell>
          <cell r="G1303" t="str">
            <v>CB200104000300</v>
          </cell>
          <cell r="H1303">
            <v>3</v>
          </cell>
          <cell r="I1303" t="str">
            <v>--</v>
          </cell>
          <cell r="J1303">
            <v>2</v>
          </cell>
          <cell r="K1303">
            <v>3</v>
          </cell>
        </row>
        <row r="1304">
          <cell r="A1304" t="str">
            <v>M1</v>
          </cell>
          <cell r="B1304" t="str">
            <v>A6C</v>
          </cell>
          <cell r="C1304" t="str">
            <v>HOR</v>
          </cell>
          <cell r="D1304" t="str">
            <v>65813</v>
          </cell>
          <cell r="E1304" t="str">
            <v>WN FLG</v>
          </cell>
          <cell r="F1304">
            <v>3</v>
          </cell>
          <cell r="G1304" t="str">
            <v>CB200104000300</v>
          </cell>
          <cell r="H1304">
            <v>3</v>
          </cell>
          <cell r="I1304" t="str">
            <v>--</v>
          </cell>
          <cell r="J1304">
            <v>1</v>
          </cell>
          <cell r="K1304">
            <v>2</v>
          </cell>
        </row>
        <row r="1305">
          <cell r="A1305" t="str">
            <v>M1</v>
          </cell>
          <cell r="B1305" t="str">
            <v>A6C</v>
          </cell>
          <cell r="C1305" t="str">
            <v>HOS</v>
          </cell>
          <cell r="D1305" t="str">
            <v>65612</v>
          </cell>
          <cell r="E1305" t="str">
            <v>WN FLG</v>
          </cell>
          <cell r="F1305">
            <v>3</v>
          </cell>
          <cell r="G1305" t="str">
            <v>CB200104000300</v>
          </cell>
          <cell r="H1305">
            <v>3</v>
          </cell>
          <cell r="I1305" t="str">
            <v>--</v>
          </cell>
          <cell r="J1305">
            <v>1</v>
          </cell>
          <cell r="K1305">
            <v>2</v>
          </cell>
        </row>
        <row r="1306">
          <cell r="A1306" t="str">
            <v>M1</v>
          </cell>
          <cell r="B1306" t="str">
            <v>A5C</v>
          </cell>
          <cell r="C1306" t="str">
            <v>P</v>
          </cell>
          <cell r="D1306" t="str">
            <v>22089</v>
          </cell>
          <cell r="E1306" t="str">
            <v>WN FLG</v>
          </cell>
          <cell r="F1306">
            <v>3</v>
          </cell>
          <cell r="G1306" t="str">
            <v>CB200204000300</v>
          </cell>
          <cell r="H1306">
            <v>3</v>
          </cell>
          <cell r="I1306" t="str">
            <v>--</v>
          </cell>
          <cell r="J1306">
            <v>2</v>
          </cell>
          <cell r="K1306">
            <v>3</v>
          </cell>
        </row>
        <row r="1307">
          <cell r="A1307" t="str">
            <v>M1</v>
          </cell>
          <cell r="B1307" t="str">
            <v>A5C</v>
          </cell>
          <cell r="C1307" t="str">
            <v>P</v>
          </cell>
          <cell r="D1307" t="str">
            <v>22096</v>
          </cell>
          <cell r="E1307" t="str">
            <v>WN FLG</v>
          </cell>
          <cell r="F1307">
            <v>3</v>
          </cell>
          <cell r="G1307" t="str">
            <v>CB200104000300</v>
          </cell>
          <cell r="H1307">
            <v>3</v>
          </cell>
          <cell r="I1307" t="str">
            <v>--</v>
          </cell>
          <cell r="J1307">
            <v>1</v>
          </cell>
          <cell r="K1307">
            <v>2</v>
          </cell>
        </row>
        <row r="1308">
          <cell r="A1308" t="str">
            <v>M1</v>
          </cell>
          <cell r="B1308" t="str">
            <v>A5C</v>
          </cell>
          <cell r="C1308" t="str">
            <v>TRIM</v>
          </cell>
          <cell r="D1308" t="str">
            <v>X-2207</v>
          </cell>
          <cell r="E1308" t="str">
            <v>WN FLG</v>
          </cell>
          <cell r="F1308">
            <v>3</v>
          </cell>
          <cell r="G1308" t="str">
            <v>CB200104000300</v>
          </cell>
          <cell r="H1308">
            <v>3</v>
          </cell>
          <cell r="I1308" t="str">
            <v>--</v>
          </cell>
          <cell r="J1308">
            <v>2</v>
          </cell>
          <cell r="K1308">
            <v>3</v>
          </cell>
        </row>
        <row r="1309">
          <cell r="A1309" t="str">
            <v>M1</v>
          </cell>
          <cell r="B1309" t="str">
            <v>A4C</v>
          </cell>
          <cell r="C1309" t="str">
            <v>N</v>
          </cell>
          <cell r="D1309" t="str">
            <v>22611</v>
          </cell>
          <cell r="E1309" t="str">
            <v>WN FLG</v>
          </cell>
          <cell r="F1309">
            <v>3</v>
          </cell>
          <cell r="G1309" t="str">
            <v>CB200104000400</v>
          </cell>
          <cell r="H1309">
            <v>4</v>
          </cell>
          <cell r="I1309" t="str">
            <v>--</v>
          </cell>
          <cell r="J1309">
            <v>2</v>
          </cell>
          <cell r="K1309">
            <v>3</v>
          </cell>
        </row>
        <row r="1310">
          <cell r="A1310" t="str">
            <v>M1</v>
          </cell>
          <cell r="B1310" t="str">
            <v>A5C</v>
          </cell>
          <cell r="C1310" t="str">
            <v>COMP</v>
          </cell>
          <cell r="D1310" t="str">
            <v>005</v>
          </cell>
          <cell r="E1310" t="str">
            <v>WN FLG</v>
          </cell>
          <cell r="F1310">
            <v>3</v>
          </cell>
          <cell r="G1310" t="str">
            <v>CB200104000400</v>
          </cell>
          <cell r="H1310">
            <v>4</v>
          </cell>
          <cell r="I1310" t="str">
            <v>--</v>
          </cell>
          <cell r="J1310">
            <v>1</v>
          </cell>
          <cell r="K1310">
            <v>2</v>
          </cell>
        </row>
        <row r="1311">
          <cell r="A1311" t="str">
            <v>M1</v>
          </cell>
          <cell r="B1311" t="str">
            <v>A5C</v>
          </cell>
          <cell r="C1311" t="str">
            <v>P</v>
          </cell>
          <cell r="D1311" t="str">
            <v>22024</v>
          </cell>
          <cell r="E1311" t="str">
            <v>WN FLG</v>
          </cell>
          <cell r="F1311">
            <v>3</v>
          </cell>
          <cell r="G1311" t="str">
            <v>CB200104000400</v>
          </cell>
          <cell r="H1311">
            <v>4</v>
          </cell>
          <cell r="I1311" t="str">
            <v>--</v>
          </cell>
          <cell r="J1311">
            <v>2</v>
          </cell>
          <cell r="K1311">
            <v>3</v>
          </cell>
        </row>
        <row r="1312">
          <cell r="A1312" t="str">
            <v>M1</v>
          </cell>
          <cell r="B1312" t="str">
            <v>A5C</v>
          </cell>
          <cell r="C1312" t="str">
            <v>P</v>
          </cell>
          <cell r="D1312" t="str">
            <v>22057</v>
          </cell>
          <cell r="E1312" t="str">
            <v>WN FLG</v>
          </cell>
          <cell r="F1312">
            <v>3</v>
          </cell>
          <cell r="G1312" t="str">
            <v>CB200104000400</v>
          </cell>
          <cell r="H1312">
            <v>4</v>
          </cell>
          <cell r="I1312" t="str">
            <v>--</v>
          </cell>
          <cell r="J1312">
            <v>2</v>
          </cell>
          <cell r="K1312">
            <v>3</v>
          </cell>
        </row>
        <row r="1313">
          <cell r="A1313" t="str">
            <v>M1</v>
          </cell>
          <cell r="B1313" t="str">
            <v>A5C</v>
          </cell>
          <cell r="C1313" t="str">
            <v>P</v>
          </cell>
          <cell r="D1313" t="str">
            <v>22069</v>
          </cell>
          <cell r="E1313" t="str">
            <v>WN FLG</v>
          </cell>
          <cell r="F1313">
            <v>3</v>
          </cell>
          <cell r="G1313" t="str">
            <v>CB200104000400</v>
          </cell>
          <cell r="H1313">
            <v>4</v>
          </cell>
          <cell r="I1313" t="str">
            <v>--</v>
          </cell>
          <cell r="J1313">
            <v>10</v>
          </cell>
          <cell r="K1313">
            <v>12</v>
          </cell>
        </row>
        <row r="1314">
          <cell r="A1314" t="str">
            <v>M1</v>
          </cell>
          <cell r="B1314" t="str">
            <v>A5C</v>
          </cell>
          <cell r="C1314" t="str">
            <v>P</v>
          </cell>
          <cell r="D1314" t="str">
            <v>22069</v>
          </cell>
          <cell r="E1314" t="str">
            <v>WN FLG</v>
          </cell>
          <cell r="F1314">
            <v>3</v>
          </cell>
          <cell r="G1314" t="str">
            <v>CB200104000400</v>
          </cell>
          <cell r="H1314">
            <v>4</v>
          </cell>
          <cell r="I1314" t="str">
            <v>--</v>
          </cell>
          <cell r="J1314">
            <v>7</v>
          </cell>
          <cell r="K1314">
            <v>9</v>
          </cell>
        </row>
        <row r="1315">
          <cell r="A1315" t="str">
            <v>M1</v>
          </cell>
          <cell r="B1315" t="str">
            <v>A5C</v>
          </cell>
          <cell r="C1315" t="str">
            <v>P</v>
          </cell>
          <cell r="D1315" t="str">
            <v>22082</v>
          </cell>
          <cell r="E1315" t="str">
            <v>WN FLG</v>
          </cell>
          <cell r="F1315">
            <v>3</v>
          </cell>
          <cell r="G1315" t="str">
            <v>CB200104000400</v>
          </cell>
          <cell r="H1315">
            <v>4</v>
          </cell>
          <cell r="I1315" t="str">
            <v>--</v>
          </cell>
          <cell r="J1315">
            <v>2</v>
          </cell>
          <cell r="K1315">
            <v>3</v>
          </cell>
        </row>
        <row r="1316">
          <cell r="A1316" t="str">
            <v>M1</v>
          </cell>
          <cell r="B1316" t="str">
            <v>A5C</v>
          </cell>
          <cell r="C1316" t="str">
            <v>P</v>
          </cell>
          <cell r="D1316" t="str">
            <v>22139</v>
          </cell>
          <cell r="E1316" t="str">
            <v>WN FLG</v>
          </cell>
          <cell r="F1316">
            <v>3</v>
          </cell>
          <cell r="G1316" t="str">
            <v>CB200104000400</v>
          </cell>
          <cell r="H1316">
            <v>4</v>
          </cell>
          <cell r="I1316" t="str">
            <v>--</v>
          </cell>
          <cell r="J1316">
            <v>10</v>
          </cell>
          <cell r="K1316">
            <v>12</v>
          </cell>
        </row>
        <row r="1317">
          <cell r="A1317" t="str">
            <v>M1</v>
          </cell>
          <cell r="B1317" t="str">
            <v>A5C</v>
          </cell>
          <cell r="C1317" t="str">
            <v>VENT</v>
          </cell>
          <cell r="D1317" t="str">
            <v>X2220</v>
          </cell>
          <cell r="E1317" t="str">
            <v>WN FLG</v>
          </cell>
          <cell r="F1317">
            <v>3</v>
          </cell>
          <cell r="G1317" t="str">
            <v>CB200104000400</v>
          </cell>
          <cell r="H1317">
            <v>4</v>
          </cell>
          <cell r="I1317" t="str">
            <v>--</v>
          </cell>
          <cell r="J1317">
            <v>1</v>
          </cell>
          <cell r="K1317">
            <v>2</v>
          </cell>
        </row>
        <row r="1318">
          <cell r="A1318" t="str">
            <v>M1</v>
          </cell>
          <cell r="B1318" t="str">
            <v>A5C</v>
          </cell>
          <cell r="C1318" t="str">
            <v>TRIM</v>
          </cell>
          <cell r="D1318" t="str">
            <v>V-2211</v>
          </cell>
          <cell r="E1318" t="str">
            <v>WN FLG</v>
          </cell>
          <cell r="F1318">
            <v>3</v>
          </cell>
          <cell r="G1318" t="str">
            <v>CB200104000400</v>
          </cell>
          <cell r="H1318">
            <v>4</v>
          </cell>
          <cell r="I1318" t="str">
            <v>--</v>
          </cell>
          <cell r="J1318">
            <v>3</v>
          </cell>
          <cell r="K1318">
            <v>4</v>
          </cell>
        </row>
        <row r="1319">
          <cell r="A1319" t="str">
            <v>M1</v>
          </cell>
          <cell r="B1319" t="str">
            <v>A5C</v>
          </cell>
          <cell r="C1319" t="str">
            <v>P</v>
          </cell>
          <cell r="D1319" t="str">
            <v>22021</v>
          </cell>
          <cell r="E1319" t="str">
            <v>WN FLG</v>
          </cell>
          <cell r="F1319">
            <v>3</v>
          </cell>
          <cell r="G1319" t="str">
            <v>CB200104000400</v>
          </cell>
          <cell r="H1319">
            <v>4</v>
          </cell>
          <cell r="I1319" t="str">
            <v>--</v>
          </cell>
          <cell r="J1319">
            <v>2</v>
          </cell>
          <cell r="K1319">
            <v>3</v>
          </cell>
        </row>
        <row r="1320">
          <cell r="A1320" t="str">
            <v>M1</v>
          </cell>
          <cell r="B1320" t="str">
            <v>A5C</v>
          </cell>
          <cell r="C1320" t="str">
            <v>P</v>
          </cell>
          <cell r="D1320" t="str">
            <v>22065</v>
          </cell>
          <cell r="E1320" t="str">
            <v>WN FLG</v>
          </cell>
          <cell r="F1320">
            <v>3</v>
          </cell>
          <cell r="G1320" t="str">
            <v>CB200104000400</v>
          </cell>
          <cell r="H1320">
            <v>4</v>
          </cell>
          <cell r="I1320" t="str">
            <v>--</v>
          </cell>
          <cell r="J1320">
            <v>2</v>
          </cell>
          <cell r="K1320">
            <v>3</v>
          </cell>
        </row>
        <row r="1321">
          <cell r="A1321" t="str">
            <v>M1</v>
          </cell>
          <cell r="B1321" t="str">
            <v>A5C</v>
          </cell>
          <cell r="C1321" t="str">
            <v>P</v>
          </cell>
          <cell r="D1321" t="str">
            <v>22069</v>
          </cell>
          <cell r="E1321" t="str">
            <v>WN FLG</v>
          </cell>
          <cell r="F1321">
            <v>3</v>
          </cell>
          <cell r="G1321" t="str">
            <v>CB200204000400</v>
          </cell>
          <cell r="H1321">
            <v>4</v>
          </cell>
          <cell r="I1321" t="str">
            <v>--</v>
          </cell>
          <cell r="J1321">
            <v>2</v>
          </cell>
          <cell r="K1321">
            <v>3</v>
          </cell>
        </row>
        <row r="1322">
          <cell r="A1322" t="str">
            <v>M1</v>
          </cell>
          <cell r="B1322" t="str">
            <v>A5C</v>
          </cell>
          <cell r="C1322" t="str">
            <v>P</v>
          </cell>
          <cell r="D1322" t="str">
            <v>21005</v>
          </cell>
          <cell r="E1322" t="str">
            <v>WN FLG</v>
          </cell>
          <cell r="F1322">
            <v>3</v>
          </cell>
          <cell r="G1322" t="str">
            <v>CB2001040004000400</v>
          </cell>
          <cell r="H1322">
            <v>4</v>
          </cell>
          <cell r="I1322" t="str">
            <v>--</v>
          </cell>
          <cell r="J1322">
            <v>26</v>
          </cell>
          <cell r="K1322">
            <v>30</v>
          </cell>
        </row>
        <row r="1323">
          <cell r="A1323" t="str">
            <v>M1</v>
          </cell>
          <cell r="B1323" t="str">
            <v>A5C</v>
          </cell>
          <cell r="C1323" t="str">
            <v>P</v>
          </cell>
          <cell r="D1323" t="str">
            <v>21005</v>
          </cell>
          <cell r="E1323" t="str">
            <v>WN FLG</v>
          </cell>
          <cell r="F1323">
            <v>3</v>
          </cell>
          <cell r="G1323" t="str">
            <v>CB2002040004000400</v>
          </cell>
          <cell r="H1323">
            <v>4</v>
          </cell>
          <cell r="I1323" t="str">
            <v>--</v>
          </cell>
          <cell r="J1323">
            <v>2</v>
          </cell>
          <cell r="K1323">
            <v>3</v>
          </cell>
        </row>
        <row r="1324">
          <cell r="A1324" t="str">
            <v>M1</v>
          </cell>
          <cell r="B1324" t="str">
            <v>A5C</v>
          </cell>
          <cell r="C1324" t="str">
            <v>P</v>
          </cell>
          <cell r="D1324" t="str">
            <v>22099</v>
          </cell>
          <cell r="E1324" t="str">
            <v>WN FLG</v>
          </cell>
          <cell r="F1324">
            <v>3</v>
          </cell>
          <cell r="G1324" t="str">
            <v>CB200104000400</v>
          </cell>
          <cell r="H1324">
            <v>4</v>
          </cell>
          <cell r="I1324" t="str">
            <v>--</v>
          </cell>
          <cell r="J1324">
            <v>2</v>
          </cell>
          <cell r="K1324">
            <v>3</v>
          </cell>
        </row>
        <row r="1325">
          <cell r="A1325" t="str">
            <v>M1</v>
          </cell>
          <cell r="B1325" t="str">
            <v>A5C</v>
          </cell>
          <cell r="C1325" t="str">
            <v>P</v>
          </cell>
          <cell r="D1325" t="str">
            <v>22094</v>
          </cell>
          <cell r="E1325" t="str">
            <v>WN FLG</v>
          </cell>
          <cell r="F1325">
            <v>3</v>
          </cell>
          <cell r="G1325" t="str">
            <v>CB200104000400</v>
          </cell>
          <cell r="H1325">
            <v>4</v>
          </cell>
          <cell r="I1325" t="str">
            <v>--</v>
          </cell>
          <cell r="J1325">
            <v>4</v>
          </cell>
          <cell r="K1325">
            <v>5</v>
          </cell>
        </row>
        <row r="1326">
          <cell r="A1326" t="str">
            <v>M1</v>
          </cell>
          <cell r="B1326" t="str">
            <v>A5C</v>
          </cell>
          <cell r="C1326" t="str">
            <v>P</v>
          </cell>
          <cell r="D1326" t="str">
            <v>22095</v>
          </cell>
          <cell r="E1326" t="str">
            <v>WN FLG</v>
          </cell>
          <cell r="F1326">
            <v>3</v>
          </cell>
          <cell r="G1326" t="str">
            <v>CB200104000400</v>
          </cell>
          <cell r="H1326">
            <v>4</v>
          </cell>
          <cell r="I1326" t="str">
            <v>--</v>
          </cell>
          <cell r="J1326">
            <v>4</v>
          </cell>
          <cell r="K1326">
            <v>5</v>
          </cell>
        </row>
        <row r="1327">
          <cell r="A1327" t="str">
            <v>M1</v>
          </cell>
          <cell r="B1327" t="str">
            <v>A5C</v>
          </cell>
          <cell r="C1327" t="str">
            <v>P</v>
          </cell>
          <cell r="D1327" t="str">
            <v>22059</v>
          </cell>
          <cell r="E1327" t="str">
            <v>WN FLG</v>
          </cell>
          <cell r="F1327">
            <v>3</v>
          </cell>
          <cell r="G1327" t="str">
            <v>CB200104000400</v>
          </cell>
          <cell r="H1327">
            <v>4</v>
          </cell>
          <cell r="I1327" t="str">
            <v>--</v>
          </cell>
          <cell r="J1327">
            <v>2</v>
          </cell>
          <cell r="K1327">
            <v>3</v>
          </cell>
        </row>
        <row r="1328">
          <cell r="A1328" t="str">
            <v>M1</v>
          </cell>
          <cell r="B1328" t="str">
            <v>A5C</v>
          </cell>
          <cell r="C1328" t="str">
            <v>WW</v>
          </cell>
          <cell r="D1328" t="str">
            <v>22613</v>
          </cell>
          <cell r="E1328" t="str">
            <v>WN FLG</v>
          </cell>
          <cell r="F1328">
            <v>3</v>
          </cell>
          <cell r="G1328" t="str">
            <v>CB200104000400</v>
          </cell>
          <cell r="H1328">
            <v>4</v>
          </cell>
          <cell r="I1328" t="str">
            <v>--</v>
          </cell>
          <cell r="J1328">
            <v>4</v>
          </cell>
          <cell r="K1328">
            <v>5</v>
          </cell>
        </row>
        <row r="1329">
          <cell r="A1329" t="str">
            <v>M1</v>
          </cell>
          <cell r="B1329" t="str">
            <v>A5C</v>
          </cell>
          <cell r="C1329" t="str">
            <v>WW</v>
          </cell>
          <cell r="D1329" t="str">
            <v>22601</v>
          </cell>
          <cell r="E1329" t="str">
            <v>WN FLG</v>
          </cell>
          <cell r="F1329">
            <v>3</v>
          </cell>
          <cell r="G1329" t="str">
            <v>CB200104000400</v>
          </cell>
          <cell r="H1329">
            <v>4</v>
          </cell>
          <cell r="I1329" t="str">
            <v>--</v>
          </cell>
          <cell r="J1329">
            <v>8</v>
          </cell>
          <cell r="K1329">
            <v>10</v>
          </cell>
        </row>
        <row r="1330">
          <cell r="A1330" t="str">
            <v>M1</v>
          </cell>
          <cell r="B1330" t="str">
            <v>A6C</v>
          </cell>
          <cell r="C1330" t="str">
            <v>HOS</v>
          </cell>
          <cell r="D1330" t="str">
            <v>65628</v>
          </cell>
          <cell r="E1330" t="str">
            <v>WN FLG</v>
          </cell>
          <cell r="F1330">
            <v>3</v>
          </cell>
          <cell r="G1330" t="str">
            <v>CB200204000400</v>
          </cell>
          <cell r="H1330">
            <v>4</v>
          </cell>
          <cell r="I1330" t="str">
            <v>--</v>
          </cell>
          <cell r="J1330">
            <v>2</v>
          </cell>
          <cell r="K1330">
            <v>3</v>
          </cell>
        </row>
        <row r="1331">
          <cell r="A1331" t="str">
            <v>M1</v>
          </cell>
          <cell r="B1331" t="str">
            <v>A6C</v>
          </cell>
          <cell r="C1331" t="str">
            <v>HOS</v>
          </cell>
          <cell r="D1331" t="str">
            <v>65628</v>
          </cell>
          <cell r="E1331" t="str">
            <v>WN FLG</v>
          </cell>
          <cell r="F1331">
            <v>3</v>
          </cell>
          <cell r="G1331" t="str">
            <v>CB200104000400</v>
          </cell>
          <cell r="H1331">
            <v>4</v>
          </cell>
          <cell r="I1331" t="str">
            <v>--</v>
          </cell>
          <cell r="J1331">
            <v>7</v>
          </cell>
          <cell r="K1331">
            <v>9</v>
          </cell>
        </row>
        <row r="1332">
          <cell r="A1332" t="str">
            <v>M1</v>
          </cell>
          <cell r="B1332" t="str">
            <v>A6C</v>
          </cell>
          <cell r="C1332" t="str">
            <v>HOS</v>
          </cell>
          <cell r="D1332" t="str">
            <v>65634</v>
          </cell>
          <cell r="E1332" t="str">
            <v>WN FLG</v>
          </cell>
          <cell r="F1332">
            <v>3</v>
          </cell>
          <cell r="G1332" t="str">
            <v>CB200104000400</v>
          </cell>
          <cell r="H1332">
            <v>4</v>
          </cell>
          <cell r="I1332" t="str">
            <v>--</v>
          </cell>
          <cell r="J1332">
            <v>3</v>
          </cell>
          <cell r="K1332">
            <v>4</v>
          </cell>
        </row>
        <row r="1333">
          <cell r="A1333" t="str">
            <v>M1</v>
          </cell>
          <cell r="B1333" t="str">
            <v>A4C</v>
          </cell>
          <cell r="C1333" t="str">
            <v>P</v>
          </cell>
          <cell r="D1333" t="str">
            <v>22009</v>
          </cell>
          <cell r="E1333" t="str">
            <v>WN FLG</v>
          </cell>
          <cell r="F1333">
            <v>3</v>
          </cell>
          <cell r="G1333" t="str">
            <v>CB200204000400</v>
          </cell>
          <cell r="H1333">
            <v>4</v>
          </cell>
          <cell r="I1333" t="str">
            <v>--</v>
          </cell>
          <cell r="J1333">
            <v>2</v>
          </cell>
          <cell r="K1333">
            <v>3</v>
          </cell>
        </row>
        <row r="1334">
          <cell r="A1334" t="str">
            <v>M1</v>
          </cell>
          <cell r="B1334" t="str">
            <v>A5C</v>
          </cell>
          <cell r="C1334" t="str">
            <v>P</v>
          </cell>
          <cell r="D1334" t="str">
            <v>22098</v>
          </cell>
          <cell r="E1334" t="str">
            <v>WN FLG</v>
          </cell>
          <cell r="F1334">
            <v>3</v>
          </cell>
          <cell r="G1334" t="str">
            <v>CB200104000400</v>
          </cell>
          <cell r="H1334">
            <v>4</v>
          </cell>
          <cell r="I1334" t="str">
            <v>--</v>
          </cell>
          <cell r="J1334">
            <v>2</v>
          </cell>
          <cell r="K1334">
            <v>3</v>
          </cell>
        </row>
        <row r="1335">
          <cell r="A1335" t="str">
            <v>M1</v>
          </cell>
          <cell r="B1335" t="str">
            <v>A5C</v>
          </cell>
          <cell r="C1335" t="str">
            <v>TRIM</v>
          </cell>
          <cell r="D1335" t="str">
            <v>V-2216B</v>
          </cell>
          <cell r="E1335" t="str">
            <v>WN FLG</v>
          </cell>
          <cell r="F1335">
            <v>3</v>
          </cell>
          <cell r="G1335" t="str">
            <v>CB200104000400</v>
          </cell>
          <cell r="H1335">
            <v>4</v>
          </cell>
          <cell r="I1335" t="str">
            <v>--</v>
          </cell>
          <cell r="J1335">
            <v>1</v>
          </cell>
          <cell r="K1335">
            <v>2</v>
          </cell>
        </row>
        <row r="1336">
          <cell r="A1336" t="str">
            <v>M1</v>
          </cell>
          <cell r="B1336" t="str">
            <v>A5C</v>
          </cell>
          <cell r="C1336" t="str">
            <v>TRIM</v>
          </cell>
          <cell r="D1336" t="str">
            <v>V-2216A</v>
          </cell>
          <cell r="E1336" t="str">
            <v>WN FLG</v>
          </cell>
          <cell r="F1336">
            <v>3</v>
          </cell>
          <cell r="G1336" t="str">
            <v>CB200104000400</v>
          </cell>
          <cell r="H1336">
            <v>4</v>
          </cell>
          <cell r="I1336" t="str">
            <v>--</v>
          </cell>
          <cell r="J1336">
            <v>1</v>
          </cell>
          <cell r="K1336">
            <v>2</v>
          </cell>
        </row>
        <row r="1337">
          <cell r="A1337" t="str">
            <v>M1</v>
          </cell>
          <cell r="B1337" t="str">
            <v>A6C</v>
          </cell>
          <cell r="C1337" t="str">
            <v>HOR</v>
          </cell>
          <cell r="D1337" t="str">
            <v>65813</v>
          </cell>
          <cell r="E1337" t="str">
            <v>WN FLG</v>
          </cell>
          <cell r="F1337">
            <v>3</v>
          </cell>
          <cell r="G1337" t="str">
            <v>CB200104000400</v>
          </cell>
          <cell r="H1337">
            <v>4</v>
          </cell>
          <cell r="I1337" t="str">
            <v>--</v>
          </cell>
          <cell r="J1337">
            <v>2</v>
          </cell>
          <cell r="K1337">
            <v>3</v>
          </cell>
        </row>
        <row r="1338">
          <cell r="A1338" t="str">
            <v>M1</v>
          </cell>
          <cell r="B1338" t="str">
            <v>A6C</v>
          </cell>
          <cell r="C1338" t="str">
            <v>HOS</v>
          </cell>
          <cell r="D1338" t="str">
            <v>65614</v>
          </cell>
          <cell r="E1338" t="str">
            <v>WN FLG</v>
          </cell>
          <cell r="F1338">
            <v>3</v>
          </cell>
          <cell r="G1338" t="str">
            <v>CB200104000400</v>
          </cell>
          <cell r="H1338">
            <v>4</v>
          </cell>
          <cell r="I1338" t="str">
            <v>--</v>
          </cell>
          <cell r="J1338">
            <v>5</v>
          </cell>
          <cell r="K1338">
            <v>6</v>
          </cell>
        </row>
        <row r="1339">
          <cell r="A1339" t="str">
            <v>M1</v>
          </cell>
          <cell r="B1339" t="str">
            <v>A4C</v>
          </cell>
          <cell r="C1339" t="str">
            <v>P</v>
          </cell>
          <cell r="D1339" t="str">
            <v>22009</v>
          </cell>
          <cell r="E1339" t="str">
            <v>WN FLG</v>
          </cell>
          <cell r="F1339">
            <v>3</v>
          </cell>
          <cell r="G1339" t="str">
            <v>CB200104000400</v>
          </cell>
          <cell r="H1339">
            <v>4</v>
          </cell>
          <cell r="I1339" t="str">
            <v>--</v>
          </cell>
          <cell r="J1339">
            <v>8</v>
          </cell>
          <cell r="K1339">
            <v>10</v>
          </cell>
        </row>
        <row r="1340">
          <cell r="A1340" t="str">
            <v>M1</v>
          </cell>
          <cell r="B1340" t="str">
            <v>B1C</v>
          </cell>
          <cell r="C1340" t="str">
            <v>P</v>
          </cell>
          <cell r="D1340" t="str">
            <v>22029</v>
          </cell>
          <cell r="E1340" t="str">
            <v>WN FLG</v>
          </cell>
          <cell r="F1340">
            <v>3</v>
          </cell>
          <cell r="G1340" t="str">
            <v>CB200204000400</v>
          </cell>
          <cell r="H1340">
            <v>4</v>
          </cell>
          <cell r="I1340" t="str">
            <v>--</v>
          </cell>
          <cell r="J1340">
            <v>10</v>
          </cell>
          <cell r="K1340">
            <v>12</v>
          </cell>
        </row>
        <row r="1341">
          <cell r="A1341" t="str">
            <v>M1</v>
          </cell>
          <cell r="B1341" t="str">
            <v>A5C</v>
          </cell>
          <cell r="C1341" t="str">
            <v>P</v>
          </cell>
          <cell r="D1341" t="str">
            <v>25002</v>
          </cell>
          <cell r="E1341" t="str">
            <v>RWN FLG</v>
          </cell>
          <cell r="F1341">
            <v>3</v>
          </cell>
          <cell r="G1341" t="str">
            <v>CB190104040603</v>
          </cell>
          <cell r="H1341">
            <v>6</v>
          </cell>
          <cell r="I1341">
            <v>3</v>
          </cell>
          <cell r="J1341">
            <v>1</v>
          </cell>
          <cell r="K1341">
            <v>2</v>
          </cell>
        </row>
        <row r="1342">
          <cell r="A1342" t="str">
            <v>M1</v>
          </cell>
          <cell r="B1342" t="str">
            <v>A5C</v>
          </cell>
          <cell r="C1342" t="str">
            <v>COMP</v>
          </cell>
          <cell r="D1342" t="str">
            <v>003</v>
          </cell>
          <cell r="E1342" t="str">
            <v>WN FLG</v>
          </cell>
          <cell r="F1342">
            <v>3</v>
          </cell>
          <cell r="G1342" t="str">
            <v>CB200104000600</v>
          </cell>
          <cell r="H1342">
            <v>6</v>
          </cell>
          <cell r="I1342" t="str">
            <v>--</v>
          </cell>
          <cell r="J1342">
            <v>2</v>
          </cell>
          <cell r="K1342">
            <v>3</v>
          </cell>
        </row>
        <row r="1343">
          <cell r="A1343" t="str">
            <v>M1</v>
          </cell>
          <cell r="B1343" t="str">
            <v>A5C</v>
          </cell>
          <cell r="C1343" t="str">
            <v>P</v>
          </cell>
          <cell r="D1343" t="str">
            <v>22028</v>
          </cell>
          <cell r="E1343" t="str">
            <v>WN FLG</v>
          </cell>
          <cell r="F1343">
            <v>3</v>
          </cell>
          <cell r="G1343" t="str">
            <v>CB200204000600</v>
          </cell>
          <cell r="H1343">
            <v>6</v>
          </cell>
          <cell r="I1343" t="str">
            <v>--</v>
          </cell>
          <cell r="J1343">
            <v>2</v>
          </cell>
          <cell r="K1343">
            <v>3</v>
          </cell>
        </row>
        <row r="1344">
          <cell r="A1344" t="str">
            <v>M1</v>
          </cell>
          <cell r="B1344" t="str">
            <v>A5C</v>
          </cell>
          <cell r="C1344" t="str">
            <v>P</v>
          </cell>
          <cell r="D1344" t="str">
            <v>22022</v>
          </cell>
          <cell r="E1344" t="str">
            <v>WN FLG</v>
          </cell>
          <cell r="F1344">
            <v>3</v>
          </cell>
          <cell r="G1344" t="str">
            <v>CB200204000600</v>
          </cell>
          <cell r="H1344">
            <v>6</v>
          </cell>
          <cell r="I1344" t="str">
            <v>--</v>
          </cell>
          <cell r="J1344">
            <v>2</v>
          </cell>
          <cell r="K1344">
            <v>3</v>
          </cell>
        </row>
        <row r="1345">
          <cell r="A1345" t="str">
            <v>M1</v>
          </cell>
          <cell r="B1345" t="str">
            <v>A5C</v>
          </cell>
          <cell r="C1345" t="str">
            <v>P</v>
          </cell>
          <cell r="D1345" t="str">
            <v>22023</v>
          </cell>
          <cell r="E1345" t="str">
            <v>WN FLG</v>
          </cell>
          <cell r="F1345">
            <v>3</v>
          </cell>
          <cell r="G1345" t="str">
            <v>CB200104000600</v>
          </cell>
          <cell r="H1345">
            <v>6</v>
          </cell>
          <cell r="I1345" t="str">
            <v>--</v>
          </cell>
          <cell r="J1345">
            <v>4</v>
          </cell>
          <cell r="K1345">
            <v>5</v>
          </cell>
        </row>
        <row r="1346">
          <cell r="A1346" t="str">
            <v>M1</v>
          </cell>
          <cell r="B1346" t="str">
            <v>A5C</v>
          </cell>
          <cell r="C1346" t="str">
            <v>P</v>
          </cell>
          <cell r="D1346" t="str">
            <v>22028</v>
          </cell>
          <cell r="E1346" t="str">
            <v>WN FLG</v>
          </cell>
          <cell r="F1346">
            <v>3</v>
          </cell>
          <cell r="G1346" t="str">
            <v>CB200104000600</v>
          </cell>
          <cell r="H1346">
            <v>6</v>
          </cell>
          <cell r="I1346" t="str">
            <v>--</v>
          </cell>
          <cell r="J1346">
            <v>2</v>
          </cell>
          <cell r="K1346">
            <v>3</v>
          </cell>
        </row>
        <row r="1347">
          <cell r="A1347" t="str">
            <v>M1</v>
          </cell>
          <cell r="B1347" t="str">
            <v>A5C</v>
          </cell>
          <cell r="C1347" t="str">
            <v>P</v>
          </cell>
          <cell r="D1347" t="str">
            <v>22055</v>
          </cell>
          <cell r="E1347" t="str">
            <v>WN FLG</v>
          </cell>
          <cell r="F1347">
            <v>3</v>
          </cell>
          <cell r="G1347" t="str">
            <v>CB200104000600</v>
          </cell>
          <cell r="H1347">
            <v>6</v>
          </cell>
          <cell r="I1347" t="str">
            <v>--</v>
          </cell>
          <cell r="J1347">
            <v>2</v>
          </cell>
          <cell r="K1347">
            <v>3</v>
          </cell>
        </row>
        <row r="1348">
          <cell r="A1348" t="str">
            <v>M1</v>
          </cell>
          <cell r="B1348" t="str">
            <v>A5C</v>
          </cell>
          <cell r="C1348" t="str">
            <v>P</v>
          </cell>
          <cell r="D1348" t="str">
            <v>22065</v>
          </cell>
          <cell r="E1348" t="str">
            <v>WN FLG</v>
          </cell>
          <cell r="F1348">
            <v>3</v>
          </cell>
          <cell r="G1348" t="str">
            <v>CB200104000600</v>
          </cell>
          <cell r="H1348">
            <v>6</v>
          </cell>
          <cell r="I1348" t="str">
            <v>--</v>
          </cell>
          <cell r="J1348">
            <v>9</v>
          </cell>
          <cell r="K1348">
            <v>11</v>
          </cell>
        </row>
        <row r="1349">
          <cell r="A1349" t="str">
            <v>M1</v>
          </cell>
          <cell r="B1349" t="str">
            <v>A5C</v>
          </cell>
          <cell r="C1349" t="str">
            <v>P</v>
          </cell>
          <cell r="D1349" t="str">
            <v>22139</v>
          </cell>
          <cell r="E1349" t="str">
            <v>WN FLG</v>
          </cell>
          <cell r="F1349">
            <v>3</v>
          </cell>
          <cell r="G1349" t="str">
            <v>CB200104000600</v>
          </cell>
          <cell r="H1349">
            <v>6</v>
          </cell>
          <cell r="I1349" t="str">
            <v>--</v>
          </cell>
          <cell r="J1349">
            <v>2</v>
          </cell>
          <cell r="K1349">
            <v>3</v>
          </cell>
        </row>
        <row r="1350">
          <cell r="A1350" t="str">
            <v>M1</v>
          </cell>
          <cell r="B1350" t="str">
            <v>A5C</v>
          </cell>
          <cell r="C1350" t="str">
            <v>P</v>
          </cell>
          <cell r="D1350" t="str">
            <v>22022</v>
          </cell>
          <cell r="E1350" t="str">
            <v>WN FLG</v>
          </cell>
          <cell r="F1350">
            <v>3</v>
          </cell>
          <cell r="G1350" t="str">
            <v>CB200104000600</v>
          </cell>
          <cell r="H1350">
            <v>6</v>
          </cell>
          <cell r="I1350" t="str">
            <v>--</v>
          </cell>
          <cell r="J1350">
            <v>4</v>
          </cell>
          <cell r="K1350">
            <v>5</v>
          </cell>
        </row>
        <row r="1351">
          <cell r="A1351" t="str">
            <v>M1</v>
          </cell>
          <cell r="B1351" t="str">
            <v>A5C</v>
          </cell>
          <cell r="C1351" t="str">
            <v>P</v>
          </cell>
          <cell r="D1351" t="str">
            <v>22019</v>
          </cell>
          <cell r="E1351" t="str">
            <v>WN FLG</v>
          </cell>
          <cell r="F1351">
            <v>3</v>
          </cell>
          <cell r="G1351" t="str">
            <v>CB2001040006000600</v>
          </cell>
          <cell r="H1351">
            <v>6</v>
          </cell>
          <cell r="I1351" t="str">
            <v>--</v>
          </cell>
          <cell r="J1351">
            <v>7</v>
          </cell>
          <cell r="K1351">
            <v>9</v>
          </cell>
        </row>
        <row r="1352">
          <cell r="A1352" t="str">
            <v>M1</v>
          </cell>
          <cell r="B1352" t="str">
            <v>A5C</v>
          </cell>
          <cell r="C1352" t="str">
            <v>P</v>
          </cell>
          <cell r="D1352" t="str">
            <v>22020</v>
          </cell>
          <cell r="E1352" t="str">
            <v>WN FLG</v>
          </cell>
          <cell r="F1352">
            <v>3</v>
          </cell>
          <cell r="G1352" t="str">
            <v>CB2001040006000600</v>
          </cell>
          <cell r="H1352">
            <v>6</v>
          </cell>
          <cell r="I1352" t="str">
            <v>--</v>
          </cell>
          <cell r="J1352">
            <v>24</v>
          </cell>
          <cell r="K1352">
            <v>28</v>
          </cell>
        </row>
        <row r="1353">
          <cell r="A1353" t="str">
            <v>M1</v>
          </cell>
          <cell r="B1353" t="str">
            <v>A5C</v>
          </cell>
          <cell r="C1353" t="str">
            <v>P</v>
          </cell>
          <cell r="D1353" t="str">
            <v>22048</v>
          </cell>
          <cell r="E1353" t="str">
            <v>WN FLG</v>
          </cell>
          <cell r="F1353">
            <v>3</v>
          </cell>
          <cell r="G1353" t="str">
            <v>CB2002040006000600</v>
          </cell>
          <cell r="H1353">
            <v>6</v>
          </cell>
          <cell r="I1353" t="str">
            <v>--</v>
          </cell>
          <cell r="J1353">
            <v>4</v>
          </cell>
          <cell r="K1353">
            <v>5</v>
          </cell>
        </row>
        <row r="1354">
          <cell r="A1354" t="str">
            <v>M1</v>
          </cell>
          <cell r="B1354" t="str">
            <v>A5C</v>
          </cell>
          <cell r="C1354" t="str">
            <v>P</v>
          </cell>
          <cell r="D1354" t="str">
            <v>22048</v>
          </cell>
          <cell r="E1354" t="str">
            <v>WN FLG</v>
          </cell>
          <cell r="F1354">
            <v>3</v>
          </cell>
          <cell r="G1354" t="str">
            <v>CB2001040006000600</v>
          </cell>
          <cell r="H1354">
            <v>6</v>
          </cell>
          <cell r="I1354" t="str">
            <v>--</v>
          </cell>
          <cell r="J1354">
            <v>16</v>
          </cell>
          <cell r="K1354">
            <v>19</v>
          </cell>
        </row>
        <row r="1355">
          <cell r="A1355" t="str">
            <v>M1</v>
          </cell>
          <cell r="B1355" t="str">
            <v>A5C</v>
          </cell>
          <cell r="C1355" t="str">
            <v>P</v>
          </cell>
          <cell r="D1355" t="str">
            <v>22048</v>
          </cell>
          <cell r="E1355" t="str">
            <v>WN FLG</v>
          </cell>
          <cell r="F1355">
            <v>3</v>
          </cell>
          <cell r="G1355" t="str">
            <v>CB2001040006000600</v>
          </cell>
          <cell r="H1355">
            <v>6</v>
          </cell>
          <cell r="I1355" t="str">
            <v>--</v>
          </cell>
          <cell r="J1355">
            <v>13</v>
          </cell>
          <cell r="K1355">
            <v>15</v>
          </cell>
        </row>
        <row r="1356">
          <cell r="A1356" t="str">
            <v>M1</v>
          </cell>
          <cell r="B1356" t="str">
            <v>A5C</v>
          </cell>
          <cell r="C1356" t="str">
            <v>P</v>
          </cell>
          <cell r="D1356" t="str">
            <v>22019</v>
          </cell>
          <cell r="E1356" t="str">
            <v>WN FLG</v>
          </cell>
          <cell r="F1356">
            <v>3</v>
          </cell>
          <cell r="G1356" t="str">
            <v>CB2002040006000600</v>
          </cell>
          <cell r="H1356">
            <v>6</v>
          </cell>
          <cell r="I1356" t="str">
            <v>--</v>
          </cell>
          <cell r="J1356">
            <v>4</v>
          </cell>
          <cell r="K1356">
            <v>5</v>
          </cell>
        </row>
        <row r="1357">
          <cell r="A1357" t="str">
            <v>M1</v>
          </cell>
          <cell r="B1357" t="str">
            <v>A5C</v>
          </cell>
          <cell r="C1357" t="str">
            <v>P</v>
          </cell>
          <cell r="D1357" t="str">
            <v>22020</v>
          </cell>
          <cell r="E1357" t="str">
            <v>WN FLG</v>
          </cell>
          <cell r="F1357">
            <v>3</v>
          </cell>
          <cell r="G1357" t="str">
            <v>CB2002040006000600</v>
          </cell>
          <cell r="H1357">
            <v>6</v>
          </cell>
          <cell r="I1357" t="str">
            <v>--</v>
          </cell>
          <cell r="J1357">
            <v>2</v>
          </cell>
          <cell r="K1357">
            <v>3</v>
          </cell>
        </row>
        <row r="1358">
          <cell r="A1358" t="str">
            <v>M1</v>
          </cell>
          <cell r="B1358" t="str">
            <v>A5C</v>
          </cell>
          <cell r="C1358" t="str">
            <v>P</v>
          </cell>
          <cell r="D1358" t="str">
            <v>22035</v>
          </cell>
          <cell r="E1358" t="str">
            <v>WN FLG</v>
          </cell>
          <cell r="F1358">
            <v>3</v>
          </cell>
          <cell r="G1358" t="str">
            <v>CB200104000600</v>
          </cell>
          <cell r="H1358">
            <v>6</v>
          </cell>
          <cell r="I1358" t="str">
            <v>--</v>
          </cell>
          <cell r="J1358">
            <v>7</v>
          </cell>
          <cell r="K1358">
            <v>9</v>
          </cell>
        </row>
        <row r="1359">
          <cell r="A1359" t="str">
            <v>M1</v>
          </cell>
          <cell r="B1359" t="str">
            <v>A5C</v>
          </cell>
          <cell r="C1359" t="str">
            <v>P</v>
          </cell>
          <cell r="D1359" t="str">
            <v>22034</v>
          </cell>
          <cell r="E1359" t="str">
            <v>WN FLG</v>
          </cell>
          <cell r="F1359">
            <v>3</v>
          </cell>
          <cell r="G1359" t="str">
            <v>CB2001040006000600</v>
          </cell>
          <cell r="H1359">
            <v>6</v>
          </cell>
          <cell r="I1359" t="str">
            <v>--</v>
          </cell>
          <cell r="J1359">
            <v>6</v>
          </cell>
          <cell r="K1359">
            <v>7</v>
          </cell>
        </row>
        <row r="1360">
          <cell r="A1360" t="str">
            <v>M1</v>
          </cell>
          <cell r="B1360" t="str">
            <v>A6C</v>
          </cell>
          <cell r="C1360" t="str">
            <v>HOS</v>
          </cell>
          <cell r="D1360" t="str">
            <v>65624</v>
          </cell>
          <cell r="E1360" t="str">
            <v>WN FLG</v>
          </cell>
          <cell r="F1360">
            <v>3</v>
          </cell>
          <cell r="G1360" t="str">
            <v>CB200104000600</v>
          </cell>
          <cell r="H1360">
            <v>6</v>
          </cell>
          <cell r="I1360" t="str">
            <v>--</v>
          </cell>
          <cell r="J1360">
            <v>2</v>
          </cell>
          <cell r="K1360">
            <v>3</v>
          </cell>
        </row>
        <row r="1361">
          <cell r="A1361" t="str">
            <v>M1</v>
          </cell>
          <cell r="B1361" t="str">
            <v>A6C</v>
          </cell>
          <cell r="C1361" t="str">
            <v>HOS</v>
          </cell>
          <cell r="D1361" t="str">
            <v>65613</v>
          </cell>
          <cell r="E1361" t="str">
            <v>WN FLG</v>
          </cell>
          <cell r="F1361">
            <v>3</v>
          </cell>
          <cell r="G1361" t="str">
            <v>CB200104000600</v>
          </cell>
          <cell r="H1361">
            <v>6</v>
          </cell>
          <cell r="I1361" t="str">
            <v>--</v>
          </cell>
          <cell r="J1361">
            <v>2</v>
          </cell>
          <cell r="K1361">
            <v>3</v>
          </cell>
        </row>
        <row r="1362">
          <cell r="A1362" t="str">
            <v>M1</v>
          </cell>
          <cell r="B1362" t="str">
            <v>A6C</v>
          </cell>
          <cell r="C1362" t="str">
            <v>HOS</v>
          </cell>
          <cell r="D1362" t="str">
            <v>65624</v>
          </cell>
          <cell r="E1362" t="str">
            <v>WN FLG</v>
          </cell>
          <cell r="F1362">
            <v>3</v>
          </cell>
          <cell r="G1362" t="str">
            <v>CB200104000600</v>
          </cell>
          <cell r="H1362">
            <v>6</v>
          </cell>
          <cell r="I1362" t="str">
            <v>--</v>
          </cell>
          <cell r="J1362">
            <v>2</v>
          </cell>
          <cell r="K1362">
            <v>3</v>
          </cell>
        </row>
        <row r="1363">
          <cell r="A1363" t="str">
            <v>M1</v>
          </cell>
          <cell r="B1363" t="str">
            <v>A6C</v>
          </cell>
          <cell r="C1363" t="str">
            <v>HOR</v>
          </cell>
          <cell r="D1363" t="str">
            <v>65611</v>
          </cell>
          <cell r="E1363" t="str">
            <v>WN FLG</v>
          </cell>
          <cell r="F1363">
            <v>3</v>
          </cell>
          <cell r="G1363" t="str">
            <v>CB200104000600</v>
          </cell>
          <cell r="H1363">
            <v>6</v>
          </cell>
          <cell r="I1363" t="str">
            <v>--</v>
          </cell>
          <cell r="J1363">
            <v>2</v>
          </cell>
          <cell r="K1363">
            <v>3</v>
          </cell>
        </row>
        <row r="1364">
          <cell r="A1364" t="str">
            <v>M1</v>
          </cell>
          <cell r="B1364" t="str">
            <v>A6C</v>
          </cell>
          <cell r="C1364" t="str">
            <v>HOR</v>
          </cell>
          <cell r="D1364" t="str">
            <v>65611</v>
          </cell>
          <cell r="E1364" t="str">
            <v>WN FLG</v>
          </cell>
          <cell r="F1364">
            <v>3</v>
          </cell>
          <cell r="G1364" t="str">
            <v>CB200104000600</v>
          </cell>
          <cell r="H1364">
            <v>6</v>
          </cell>
          <cell r="I1364" t="str">
            <v>--</v>
          </cell>
          <cell r="J1364">
            <v>2</v>
          </cell>
          <cell r="K1364">
            <v>3</v>
          </cell>
        </row>
        <row r="1365">
          <cell r="A1365" t="str">
            <v>M1</v>
          </cell>
          <cell r="B1365" t="str">
            <v>A6C</v>
          </cell>
          <cell r="C1365" t="str">
            <v>HOR</v>
          </cell>
          <cell r="D1365" t="str">
            <v>65619</v>
          </cell>
          <cell r="E1365" t="str">
            <v>WN FLG</v>
          </cell>
          <cell r="F1365">
            <v>3</v>
          </cell>
          <cell r="G1365" t="str">
            <v>CB200104000600</v>
          </cell>
          <cell r="H1365">
            <v>6</v>
          </cell>
          <cell r="I1365" t="str">
            <v>--</v>
          </cell>
          <cell r="J1365">
            <v>2</v>
          </cell>
          <cell r="K1365">
            <v>3</v>
          </cell>
        </row>
        <row r="1366">
          <cell r="A1366" t="str">
            <v>M1</v>
          </cell>
          <cell r="B1366" t="str">
            <v>A6C</v>
          </cell>
          <cell r="C1366" t="str">
            <v>HOR</v>
          </cell>
          <cell r="D1366" t="str">
            <v>65635</v>
          </cell>
          <cell r="E1366" t="str">
            <v>WN FLG</v>
          </cell>
          <cell r="F1366">
            <v>3</v>
          </cell>
          <cell r="G1366" t="str">
            <v>CB200104000600</v>
          </cell>
          <cell r="H1366">
            <v>6</v>
          </cell>
          <cell r="I1366" t="str">
            <v>--</v>
          </cell>
          <cell r="J1366">
            <v>2</v>
          </cell>
          <cell r="K1366">
            <v>3</v>
          </cell>
        </row>
        <row r="1367">
          <cell r="A1367" t="str">
            <v>M1</v>
          </cell>
          <cell r="B1367" t="str">
            <v>B1C</v>
          </cell>
          <cell r="C1367" t="str">
            <v>P</v>
          </cell>
          <cell r="D1367" t="str">
            <v>22029</v>
          </cell>
          <cell r="E1367" t="str">
            <v>WN FLG</v>
          </cell>
          <cell r="F1367">
            <v>3</v>
          </cell>
          <cell r="G1367" t="str">
            <v>CB200204000600</v>
          </cell>
          <cell r="H1367">
            <v>6</v>
          </cell>
          <cell r="I1367" t="str">
            <v>--</v>
          </cell>
          <cell r="J1367">
            <v>2</v>
          </cell>
          <cell r="K1367">
            <v>3</v>
          </cell>
        </row>
        <row r="1368">
          <cell r="A1368" t="str">
            <v>M1</v>
          </cell>
          <cell r="B1368" t="str">
            <v>A5C</v>
          </cell>
          <cell r="C1368" t="str">
            <v>P</v>
          </cell>
          <cell r="D1368" t="str">
            <v>25002</v>
          </cell>
          <cell r="E1368" t="str">
            <v>RWN FLG</v>
          </cell>
          <cell r="F1368">
            <v>3</v>
          </cell>
          <cell r="G1368" t="str">
            <v>CB190104040803</v>
          </cell>
          <cell r="H1368">
            <v>8</v>
          </cell>
          <cell r="I1368">
            <v>3</v>
          </cell>
          <cell r="J1368">
            <v>1</v>
          </cell>
          <cell r="K1368">
            <v>2</v>
          </cell>
        </row>
        <row r="1369">
          <cell r="A1369" t="str">
            <v>M1</v>
          </cell>
          <cell r="B1369" t="str">
            <v>A5C</v>
          </cell>
          <cell r="C1369" t="str">
            <v>COMP</v>
          </cell>
          <cell r="D1369" t="str">
            <v>004</v>
          </cell>
          <cell r="E1369" t="str">
            <v>WN FLG</v>
          </cell>
          <cell r="F1369">
            <v>3</v>
          </cell>
          <cell r="G1369" t="str">
            <v>CB200104000800</v>
          </cell>
          <cell r="H1369">
            <v>8</v>
          </cell>
          <cell r="I1369" t="str">
            <v>--</v>
          </cell>
          <cell r="J1369">
            <v>4</v>
          </cell>
          <cell r="K1369">
            <v>5</v>
          </cell>
        </row>
        <row r="1370">
          <cell r="A1370" t="str">
            <v>M1</v>
          </cell>
          <cell r="B1370" t="str">
            <v>A5C</v>
          </cell>
          <cell r="C1370" t="str">
            <v>P</v>
          </cell>
          <cell r="D1370" t="str">
            <v>22011</v>
          </cell>
          <cell r="E1370" t="str">
            <v>WN FLG</v>
          </cell>
          <cell r="F1370">
            <v>3</v>
          </cell>
          <cell r="G1370" t="str">
            <v>CB200204000800</v>
          </cell>
          <cell r="H1370">
            <v>8</v>
          </cell>
          <cell r="I1370" t="str">
            <v>--</v>
          </cell>
          <cell r="J1370">
            <v>2</v>
          </cell>
          <cell r="K1370">
            <v>3</v>
          </cell>
        </row>
        <row r="1371">
          <cell r="A1371" t="str">
            <v>M1</v>
          </cell>
          <cell r="B1371" t="str">
            <v>A5C</v>
          </cell>
          <cell r="C1371" t="str">
            <v>P</v>
          </cell>
          <cell r="D1371" t="str">
            <v>22011</v>
          </cell>
          <cell r="E1371" t="str">
            <v>WN FLG</v>
          </cell>
          <cell r="F1371">
            <v>3</v>
          </cell>
          <cell r="G1371" t="str">
            <v>CB200104000800</v>
          </cell>
          <cell r="H1371">
            <v>8</v>
          </cell>
          <cell r="I1371" t="str">
            <v>--</v>
          </cell>
          <cell r="J1371">
            <v>2</v>
          </cell>
          <cell r="K1371">
            <v>3</v>
          </cell>
        </row>
        <row r="1372">
          <cell r="A1372" t="str">
            <v>M1</v>
          </cell>
          <cell r="B1372" t="str">
            <v>A5C</v>
          </cell>
          <cell r="C1372" t="str">
            <v>P</v>
          </cell>
          <cell r="D1372" t="str">
            <v>22118</v>
          </cell>
          <cell r="E1372" t="str">
            <v>WN FLG</v>
          </cell>
          <cell r="F1372">
            <v>3</v>
          </cell>
          <cell r="G1372" t="str">
            <v>CB200104000800</v>
          </cell>
          <cell r="H1372">
            <v>8</v>
          </cell>
          <cell r="I1372" t="str">
            <v>--</v>
          </cell>
          <cell r="J1372">
            <v>1</v>
          </cell>
          <cell r="K1372">
            <v>2</v>
          </cell>
        </row>
        <row r="1373">
          <cell r="A1373" t="str">
            <v>M1</v>
          </cell>
          <cell r="B1373" t="str">
            <v>A5C</v>
          </cell>
          <cell r="C1373" t="str">
            <v>P</v>
          </cell>
          <cell r="D1373" t="str">
            <v>25002</v>
          </cell>
          <cell r="E1373" t="str">
            <v>WN FLG</v>
          </cell>
          <cell r="F1373">
            <v>3</v>
          </cell>
          <cell r="G1373" t="str">
            <v>CB200104000800</v>
          </cell>
          <cell r="H1373">
            <v>8</v>
          </cell>
          <cell r="I1373" t="str">
            <v>--</v>
          </cell>
          <cell r="J1373">
            <v>1</v>
          </cell>
          <cell r="K1373">
            <v>2</v>
          </cell>
        </row>
        <row r="1374">
          <cell r="A1374" t="str">
            <v>M1</v>
          </cell>
          <cell r="B1374" t="str">
            <v>A5C</v>
          </cell>
          <cell r="C1374" t="str">
            <v>P</v>
          </cell>
          <cell r="D1374" t="str">
            <v>22018</v>
          </cell>
          <cell r="E1374" t="str">
            <v>WN FLG</v>
          </cell>
          <cell r="F1374">
            <v>3</v>
          </cell>
          <cell r="G1374" t="str">
            <v>CB2001040008000800</v>
          </cell>
          <cell r="H1374">
            <v>8</v>
          </cell>
          <cell r="I1374" t="str">
            <v>--</v>
          </cell>
          <cell r="J1374">
            <v>1</v>
          </cell>
          <cell r="K1374">
            <v>2</v>
          </cell>
        </row>
        <row r="1375">
          <cell r="A1375" t="str">
            <v>M1</v>
          </cell>
          <cell r="B1375" t="str">
            <v>A6C</v>
          </cell>
          <cell r="C1375" t="str">
            <v>HOS</v>
          </cell>
          <cell r="D1375" t="str">
            <v>65617</v>
          </cell>
          <cell r="E1375" t="str">
            <v>WN FLG</v>
          </cell>
          <cell r="F1375">
            <v>3</v>
          </cell>
          <cell r="G1375" t="str">
            <v>CB200204000800</v>
          </cell>
          <cell r="H1375">
            <v>8</v>
          </cell>
          <cell r="I1375" t="str">
            <v>--</v>
          </cell>
          <cell r="J1375">
            <v>2</v>
          </cell>
          <cell r="K1375">
            <v>3</v>
          </cell>
        </row>
        <row r="1376">
          <cell r="A1376" t="str">
            <v>M1</v>
          </cell>
          <cell r="B1376" t="str">
            <v>A5C</v>
          </cell>
          <cell r="C1376" t="str">
            <v>P</v>
          </cell>
          <cell r="D1376" t="str">
            <v>22044</v>
          </cell>
          <cell r="E1376" t="str">
            <v>WN FLG</v>
          </cell>
          <cell r="F1376">
            <v>3</v>
          </cell>
          <cell r="G1376" t="str">
            <v>CB200104000800</v>
          </cell>
          <cell r="H1376">
            <v>8</v>
          </cell>
          <cell r="I1376" t="str">
            <v>--</v>
          </cell>
          <cell r="J1376">
            <v>2</v>
          </cell>
          <cell r="K1376">
            <v>3</v>
          </cell>
        </row>
        <row r="1377">
          <cell r="A1377" t="str">
            <v>M1</v>
          </cell>
          <cell r="B1377" t="str">
            <v>A5C</v>
          </cell>
          <cell r="C1377" t="str">
            <v>P</v>
          </cell>
          <cell r="D1377" t="str">
            <v>22074</v>
          </cell>
          <cell r="E1377" t="str">
            <v>WN FLG</v>
          </cell>
          <cell r="F1377">
            <v>3</v>
          </cell>
          <cell r="G1377" t="str">
            <v>CB200104000800</v>
          </cell>
          <cell r="H1377">
            <v>8</v>
          </cell>
          <cell r="I1377" t="str">
            <v>--</v>
          </cell>
          <cell r="J1377">
            <v>9</v>
          </cell>
          <cell r="K1377">
            <v>11</v>
          </cell>
        </row>
        <row r="1378">
          <cell r="A1378" t="str">
            <v>M1</v>
          </cell>
          <cell r="B1378" t="str">
            <v>A5C</v>
          </cell>
          <cell r="C1378" t="str">
            <v>P</v>
          </cell>
          <cell r="D1378" t="str">
            <v>22074</v>
          </cell>
          <cell r="E1378" t="str">
            <v>WN FLG</v>
          </cell>
          <cell r="F1378">
            <v>3</v>
          </cell>
          <cell r="G1378" t="str">
            <v>CB200204000800</v>
          </cell>
          <cell r="H1378">
            <v>8</v>
          </cell>
          <cell r="I1378" t="str">
            <v>--</v>
          </cell>
          <cell r="J1378">
            <v>6</v>
          </cell>
          <cell r="K1378">
            <v>7</v>
          </cell>
        </row>
        <row r="1379">
          <cell r="A1379" t="str">
            <v>M1</v>
          </cell>
          <cell r="B1379" t="str">
            <v>A5C</v>
          </cell>
          <cell r="C1379" t="str">
            <v>P</v>
          </cell>
          <cell r="D1379" t="str">
            <v>22077</v>
          </cell>
          <cell r="E1379" t="str">
            <v>WN FLG</v>
          </cell>
          <cell r="F1379">
            <v>3</v>
          </cell>
          <cell r="G1379" t="str">
            <v>CB200204000800</v>
          </cell>
          <cell r="H1379">
            <v>8</v>
          </cell>
          <cell r="I1379" t="str">
            <v>--</v>
          </cell>
          <cell r="J1379">
            <v>2</v>
          </cell>
          <cell r="K1379">
            <v>3</v>
          </cell>
        </row>
        <row r="1380">
          <cell r="A1380" t="str">
            <v>M1</v>
          </cell>
          <cell r="B1380" t="str">
            <v>A5C</v>
          </cell>
          <cell r="C1380" t="str">
            <v>P</v>
          </cell>
          <cell r="D1380" t="str">
            <v>22077</v>
          </cell>
          <cell r="E1380" t="str">
            <v>WN FLG</v>
          </cell>
          <cell r="F1380">
            <v>3</v>
          </cell>
          <cell r="G1380" t="str">
            <v>CB200104000800</v>
          </cell>
          <cell r="H1380">
            <v>8</v>
          </cell>
          <cell r="I1380" t="str">
            <v>--</v>
          </cell>
          <cell r="J1380">
            <v>2</v>
          </cell>
          <cell r="K1380">
            <v>3</v>
          </cell>
        </row>
        <row r="1381">
          <cell r="A1381" t="str">
            <v>M1</v>
          </cell>
          <cell r="B1381" t="str">
            <v>A6C</v>
          </cell>
          <cell r="C1381" t="str">
            <v>HOS</v>
          </cell>
          <cell r="D1381" t="str">
            <v>65619</v>
          </cell>
          <cell r="E1381" t="str">
            <v>WN FLG</v>
          </cell>
          <cell r="F1381">
            <v>3</v>
          </cell>
          <cell r="G1381" t="str">
            <v>CB200104000800</v>
          </cell>
          <cell r="H1381">
            <v>8</v>
          </cell>
          <cell r="I1381" t="str">
            <v>--</v>
          </cell>
          <cell r="J1381">
            <v>1</v>
          </cell>
          <cell r="K1381">
            <v>2</v>
          </cell>
        </row>
        <row r="1382">
          <cell r="A1382" t="str">
            <v>M1</v>
          </cell>
          <cell r="B1382" t="str">
            <v>A6C</v>
          </cell>
          <cell r="C1382" t="str">
            <v>HOR</v>
          </cell>
          <cell r="D1382" t="str">
            <v>65621</v>
          </cell>
          <cell r="E1382" t="str">
            <v>WN FLG</v>
          </cell>
          <cell r="F1382">
            <v>3</v>
          </cell>
          <cell r="G1382" t="str">
            <v>CB200104000800</v>
          </cell>
          <cell r="H1382">
            <v>8</v>
          </cell>
          <cell r="I1382" t="str">
            <v>--</v>
          </cell>
          <cell r="J1382">
            <v>3</v>
          </cell>
          <cell r="K1382">
            <v>4</v>
          </cell>
        </row>
        <row r="1383">
          <cell r="A1383" t="str">
            <v>M1</v>
          </cell>
          <cell r="B1383" t="str">
            <v>A6C</v>
          </cell>
          <cell r="C1383" t="str">
            <v>HOS</v>
          </cell>
          <cell r="D1383" t="str">
            <v>65613</v>
          </cell>
          <cell r="E1383" t="str">
            <v>WN FLG</v>
          </cell>
          <cell r="F1383">
            <v>3</v>
          </cell>
          <cell r="G1383" t="str">
            <v>CB200104000800</v>
          </cell>
          <cell r="H1383">
            <v>8</v>
          </cell>
          <cell r="I1383" t="str">
            <v>--</v>
          </cell>
          <cell r="J1383">
            <v>8</v>
          </cell>
          <cell r="K1383">
            <v>10</v>
          </cell>
        </row>
        <row r="1384">
          <cell r="A1384" t="str">
            <v>M1</v>
          </cell>
          <cell r="B1384" t="str">
            <v>A6C</v>
          </cell>
          <cell r="C1384" t="str">
            <v>HOS</v>
          </cell>
          <cell r="D1384" t="str">
            <v>65613</v>
          </cell>
          <cell r="E1384" t="str">
            <v>WN FLG</v>
          </cell>
          <cell r="F1384">
            <v>3</v>
          </cell>
          <cell r="G1384" t="str">
            <v>CB200204000800</v>
          </cell>
          <cell r="H1384">
            <v>8</v>
          </cell>
          <cell r="I1384" t="str">
            <v>--</v>
          </cell>
          <cell r="J1384">
            <v>2</v>
          </cell>
          <cell r="K1384">
            <v>3</v>
          </cell>
        </row>
        <row r="1385">
          <cell r="A1385" t="str">
            <v>M1</v>
          </cell>
          <cell r="B1385" t="str">
            <v>A6C</v>
          </cell>
          <cell r="C1385" t="str">
            <v>HOS</v>
          </cell>
          <cell r="D1385" t="str">
            <v>65613</v>
          </cell>
          <cell r="E1385" t="str">
            <v>WN FLG</v>
          </cell>
          <cell r="F1385">
            <v>3</v>
          </cell>
          <cell r="G1385" t="str">
            <v>CB200104000800</v>
          </cell>
          <cell r="H1385">
            <v>8</v>
          </cell>
          <cell r="I1385" t="str">
            <v>--</v>
          </cell>
          <cell r="J1385">
            <v>1</v>
          </cell>
          <cell r="K1385">
            <v>2</v>
          </cell>
        </row>
        <row r="1386">
          <cell r="A1386" t="str">
            <v>M1</v>
          </cell>
          <cell r="B1386" t="str">
            <v>A6C</v>
          </cell>
          <cell r="C1386" t="str">
            <v>HOS</v>
          </cell>
          <cell r="D1386" t="str">
            <v>65615</v>
          </cell>
          <cell r="E1386" t="str">
            <v>WN FLG</v>
          </cell>
          <cell r="F1386">
            <v>3</v>
          </cell>
          <cell r="G1386" t="str">
            <v>CB200104000800</v>
          </cell>
          <cell r="H1386">
            <v>8</v>
          </cell>
          <cell r="I1386" t="str">
            <v>--</v>
          </cell>
          <cell r="J1386">
            <v>1</v>
          </cell>
          <cell r="K1386">
            <v>2</v>
          </cell>
        </row>
        <row r="1387">
          <cell r="A1387" t="str">
            <v>M1</v>
          </cell>
          <cell r="B1387" t="str">
            <v>A6C</v>
          </cell>
          <cell r="C1387" t="str">
            <v>HOS</v>
          </cell>
          <cell r="D1387" t="str">
            <v>65627</v>
          </cell>
          <cell r="E1387" t="str">
            <v>WN FLG</v>
          </cell>
          <cell r="F1387">
            <v>3</v>
          </cell>
          <cell r="G1387" t="str">
            <v>CB200104000800</v>
          </cell>
          <cell r="H1387">
            <v>8</v>
          </cell>
          <cell r="I1387" t="str">
            <v>--</v>
          </cell>
          <cell r="J1387">
            <v>6</v>
          </cell>
          <cell r="K1387">
            <v>7</v>
          </cell>
        </row>
        <row r="1388">
          <cell r="A1388" t="str">
            <v>M1</v>
          </cell>
          <cell r="B1388" t="str">
            <v>A6C</v>
          </cell>
          <cell r="C1388" t="str">
            <v>HOS</v>
          </cell>
          <cell r="D1388" t="str">
            <v>65627</v>
          </cell>
          <cell r="E1388" t="str">
            <v>WN FLG</v>
          </cell>
          <cell r="F1388">
            <v>3</v>
          </cell>
          <cell r="G1388" t="str">
            <v>CB200204000800</v>
          </cell>
          <cell r="H1388">
            <v>8</v>
          </cell>
          <cell r="I1388" t="str">
            <v>--</v>
          </cell>
          <cell r="J1388">
            <v>2</v>
          </cell>
          <cell r="K1388">
            <v>3</v>
          </cell>
        </row>
        <row r="1389">
          <cell r="A1389" t="str">
            <v>M1</v>
          </cell>
          <cell r="B1389" t="str">
            <v>A6C</v>
          </cell>
          <cell r="C1389" t="str">
            <v>HOS</v>
          </cell>
          <cell r="D1389" t="str">
            <v>65624</v>
          </cell>
          <cell r="E1389" t="str">
            <v>WN FLG</v>
          </cell>
          <cell r="F1389">
            <v>3</v>
          </cell>
          <cell r="G1389" t="str">
            <v>CB200204000800</v>
          </cell>
          <cell r="H1389">
            <v>8</v>
          </cell>
          <cell r="I1389" t="str">
            <v>--</v>
          </cell>
          <cell r="J1389">
            <v>2</v>
          </cell>
          <cell r="K1389">
            <v>3</v>
          </cell>
        </row>
        <row r="1390">
          <cell r="A1390" t="str">
            <v>M1</v>
          </cell>
          <cell r="B1390" t="str">
            <v>A6C</v>
          </cell>
          <cell r="C1390" t="str">
            <v>HOS</v>
          </cell>
          <cell r="D1390" t="str">
            <v>65624</v>
          </cell>
          <cell r="E1390" t="str">
            <v>WN FLG</v>
          </cell>
          <cell r="F1390">
            <v>3</v>
          </cell>
          <cell r="G1390" t="str">
            <v>CB200104000800</v>
          </cell>
          <cell r="H1390">
            <v>8</v>
          </cell>
          <cell r="I1390" t="str">
            <v>--</v>
          </cell>
          <cell r="J1390">
            <v>1</v>
          </cell>
          <cell r="K1390">
            <v>2</v>
          </cell>
        </row>
        <row r="1391">
          <cell r="A1391" t="str">
            <v>M1</v>
          </cell>
          <cell r="B1391" t="str">
            <v>A6C</v>
          </cell>
          <cell r="C1391" t="str">
            <v>HOS</v>
          </cell>
          <cell r="D1391" t="str">
            <v>65631</v>
          </cell>
          <cell r="E1391" t="str">
            <v>WN FLG</v>
          </cell>
          <cell r="F1391">
            <v>3</v>
          </cell>
          <cell r="G1391" t="str">
            <v>CB200104000800</v>
          </cell>
          <cell r="H1391">
            <v>8</v>
          </cell>
          <cell r="I1391" t="str">
            <v>--</v>
          </cell>
          <cell r="J1391">
            <v>1</v>
          </cell>
          <cell r="K1391">
            <v>2</v>
          </cell>
        </row>
        <row r="1392">
          <cell r="A1392" t="str">
            <v>M1</v>
          </cell>
          <cell r="B1392" t="str">
            <v>A6C</v>
          </cell>
          <cell r="C1392" t="str">
            <v>HOS</v>
          </cell>
          <cell r="D1392" t="str">
            <v>65624</v>
          </cell>
          <cell r="E1392" t="str">
            <v>WN FLG</v>
          </cell>
          <cell r="F1392">
            <v>3</v>
          </cell>
          <cell r="G1392" t="str">
            <v>CB200104000800</v>
          </cell>
          <cell r="H1392">
            <v>8</v>
          </cell>
          <cell r="I1392" t="str">
            <v>--</v>
          </cell>
          <cell r="J1392">
            <v>6</v>
          </cell>
          <cell r="K1392">
            <v>7</v>
          </cell>
        </row>
        <row r="1393">
          <cell r="A1393" t="str">
            <v>M1</v>
          </cell>
          <cell r="B1393" t="str">
            <v>A6C</v>
          </cell>
          <cell r="C1393" t="str">
            <v>HOR</v>
          </cell>
          <cell r="D1393" t="str">
            <v>65611</v>
          </cell>
          <cell r="E1393" t="str">
            <v>WN FLG</v>
          </cell>
          <cell r="F1393">
            <v>3</v>
          </cell>
          <cell r="G1393" t="str">
            <v>CB200104000800</v>
          </cell>
          <cell r="H1393">
            <v>8</v>
          </cell>
          <cell r="I1393" t="str">
            <v>--</v>
          </cell>
          <cell r="J1393">
            <v>2</v>
          </cell>
          <cell r="K1393">
            <v>3</v>
          </cell>
        </row>
        <row r="1394">
          <cell r="A1394" t="str">
            <v>M1</v>
          </cell>
          <cell r="B1394" t="str">
            <v>A6C</v>
          </cell>
          <cell r="C1394" t="str">
            <v>HOS</v>
          </cell>
          <cell r="D1394" t="str">
            <v>65613</v>
          </cell>
          <cell r="E1394" t="str">
            <v>WN FLG</v>
          </cell>
          <cell r="F1394">
            <v>3</v>
          </cell>
          <cell r="G1394" t="str">
            <v>CB200204000800</v>
          </cell>
          <cell r="H1394">
            <v>8</v>
          </cell>
          <cell r="I1394" t="str">
            <v>--</v>
          </cell>
          <cell r="J1394">
            <v>2</v>
          </cell>
          <cell r="K1394">
            <v>3</v>
          </cell>
        </row>
        <row r="1395">
          <cell r="A1395" t="str">
            <v>M1</v>
          </cell>
          <cell r="B1395" t="str">
            <v>A6C</v>
          </cell>
          <cell r="C1395" t="str">
            <v>HOR</v>
          </cell>
          <cell r="D1395" t="str">
            <v>65615</v>
          </cell>
          <cell r="E1395" t="str">
            <v>WN FLG</v>
          </cell>
          <cell r="F1395">
            <v>3</v>
          </cell>
          <cell r="G1395" t="str">
            <v>CB200104000800</v>
          </cell>
          <cell r="H1395">
            <v>8</v>
          </cell>
          <cell r="I1395" t="str">
            <v>--</v>
          </cell>
          <cell r="J1395">
            <v>3</v>
          </cell>
          <cell r="K1395">
            <v>4</v>
          </cell>
        </row>
        <row r="1396">
          <cell r="A1396" t="str">
            <v>M1</v>
          </cell>
          <cell r="B1396" t="str">
            <v>A6C</v>
          </cell>
          <cell r="C1396" t="str">
            <v>HOR</v>
          </cell>
          <cell r="D1396" t="str">
            <v>65619</v>
          </cell>
          <cell r="E1396" t="str">
            <v>WN FLG</v>
          </cell>
          <cell r="F1396">
            <v>3</v>
          </cell>
          <cell r="G1396" t="str">
            <v>CB200104000800</v>
          </cell>
          <cell r="H1396">
            <v>8</v>
          </cell>
          <cell r="I1396" t="str">
            <v>--</v>
          </cell>
          <cell r="J1396">
            <v>7</v>
          </cell>
          <cell r="K1396">
            <v>9</v>
          </cell>
        </row>
        <row r="1397">
          <cell r="A1397" t="str">
            <v>M1</v>
          </cell>
          <cell r="B1397" t="str">
            <v>A6C</v>
          </cell>
          <cell r="C1397" t="str">
            <v>HOR</v>
          </cell>
          <cell r="D1397" t="str">
            <v>65611</v>
          </cell>
          <cell r="E1397" t="str">
            <v>WN FLG</v>
          </cell>
          <cell r="F1397">
            <v>3</v>
          </cell>
          <cell r="G1397" t="str">
            <v>CB200104000800</v>
          </cell>
          <cell r="H1397">
            <v>8</v>
          </cell>
          <cell r="I1397" t="str">
            <v>--</v>
          </cell>
          <cell r="J1397">
            <v>1</v>
          </cell>
          <cell r="K1397">
            <v>2</v>
          </cell>
        </row>
        <row r="1398">
          <cell r="A1398" t="str">
            <v>M1</v>
          </cell>
          <cell r="B1398" t="str">
            <v>A6C</v>
          </cell>
          <cell r="C1398" t="str">
            <v>HOR</v>
          </cell>
          <cell r="D1398" t="str">
            <v>65619</v>
          </cell>
          <cell r="E1398" t="str">
            <v>WN FLG</v>
          </cell>
          <cell r="F1398">
            <v>3</v>
          </cell>
          <cell r="G1398" t="str">
            <v>CB200104000800</v>
          </cell>
          <cell r="H1398">
            <v>8</v>
          </cell>
          <cell r="I1398" t="str">
            <v>--</v>
          </cell>
          <cell r="J1398">
            <v>8</v>
          </cell>
          <cell r="K1398">
            <v>10</v>
          </cell>
        </row>
        <row r="1399">
          <cell r="A1399" t="str">
            <v>M1</v>
          </cell>
          <cell r="B1399" t="str">
            <v>A6C</v>
          </cell>
          <cell r="C1399" t="str">
            <v>HOS</v>
          </cell>
          <cell r="D1399" t="str">
            <v>65619</v>
          </cell>
          <cell r="E1399" t="str">
            <v>WN FLG</v>
          </cell>
          <cell r="F1399">
            <v>3</v>
          </cell>
          <cell r="G1399" t="str">
            <v>CB200204000800</v>
          </cell>
          <cell r="H1399">
            <v>8</v>
          </cell>
          <cell r="I1399" t="str">
            <v>--</v>
          </cell>
          <cell r="J1399">
            <v>2</v>
          </cell>
          <cell r="K1399">
            <v>3</v>
          </cell>
        </row>
        <row r="1400">
          <cell r="A1400" t="str">
            <v>M1</v>
          </cell>
          <cell r="B1400" t="str">
            <v>A6C</v>
          </cell>
          <cell r="C1400" t="str">
            <v>HOS</v>
          </cell>
          <cell r="D1400" t="str">
            <v>65624</v>
          </cell>
          <cell r="E1400" t="str">
            <v>WN FLG</v>
          </cell>
          <cell r="F1400">
            <v>3</v>
          </cell>
          <cell r="G1400" t="str">
            <v>CB200204000800</v>
          </cell>
          <cell r="H1400">
            <v>8</v>
          </cell>
          <cell r="I1400" t="str">
            <v>--</v>
          </cell>
          <cell r="J1400">
            <v>2</v>
          </cell>
          <cell r="K1400">
            <v>3</v>
          </cell>
        </row>
        <row r="1401">
          <cell r="A1401" t="str">
            <v>M1</v>
          </cell>
          <cell r="B1401" t="str">
            <v>A6C</v>
          </cell>
          <cell r="C1401" t="str">
            <v>HOS</v>
          </cell>
          <cell r="D1401" t="str">
            <v>65625</v>
          </cell>
          <cell r="E1401" t="str">
            <v>WN FLG</v>
          </cell>
          <cell r="F1401">
            <v>3</v>
          </cell>
          <cell r="G1401" t="str">
            <v>CB200104000800</v>
          </cell>
          <cell r="H1401">
            <v>8</v>
          </cell>
          <cell r="I1401" t="str">
            <v>--</v>
          </cell>
          <cell r="J1401">
            <v>1</v>
          </cell>
          <cell r="K1401">
            <v>2</v>
          </cell>
        </row>
        <row r="1402">
          <cell r="A1402" t="str">
            <v>M1</v>
          </cell>
          <cell r="B1402" t="str">
            <v>A6C</v>
          </cell>
          <cell r="C1402" t="str">
            <v>HOS</v>
          </cell>
          <cell r="D1402" t="str">
            <v>65625</v>
          </cell>
          <cell r="E1402" t="str">
            <v>WN FLG</v>
          </cell>
          <cell r="F1402">
            <v>3</v>
          </cell>
          <cell r="G1402" t="str">
            <v>CB200204000800</v>
          </cell>
          <cell r="H1402">
            <v>8</v>
          </cell>
          <cell r="I1402" t="str">
            <v>--</v>
          </cell>
          <cell r="J1402">
            <v>2</v>
          </cell>
          <cell r="K1402">
            <v>3</v>
          </cell>
        </row>
        <row r="1403">
          <cell r="A1403" t="str">
            <v>M1</v>
          </cell>
          <cell r="B1403" t="str">
            <v>A5C</v>
          </cell>
          <cell r="C1403" t="str">
            <v>P</v>
          </cell>
          <cell r="D1403" t="str">
            <v>22015</v>
          </cell>
          <cell r="E1403" t="str">
            <v>WN FLG</v>
          </cell>
          <cell r="F1403">
            <v>3</v>
          </cell>
          <cell r="G1403" t="str">
            <v>CB200104001000</v>
          </cell>
          <cell r="H1403">
            <v>10</v>
          </cell>
          <cell r="I1403" t="str">
            <v>--</v>
          </cell>
          <cell r="J1403">
            <v>1</v>
          </cell>
          <cell r="K1403">
            <v>2</v>
          </cell>
        </row>
        <row r="1404">
          <cell r="A1404" t="str">
            <v>M1</v>
          </cell>
          <cell r="B1404" t="str">
            <v>A5C</v>
          </cell>
          <cell r="C1404" t="str">
            <v>P</v>
          </cell>
          <cell r="D1404" t="str">
            <v>22062</v>
          </cell>
          <cell r="E1404" t="str">
            <v>WN FLG</v>
          </cell>
          <cell r="F1404">
            <v>3</v>
          </cell>
          <cell r="G1404" t="str">
            <v>CB200104001000</v>
          </cell>
          <cell r="H1404">
            <v>10</v>
          </cell>
          <cell r="I1404" t="str">
            <v>--</v>
          </cell>
          <cell r="J1404">
            <v>3</v>
          </cell>
          <cell r="K1404">
            <v>4</v>
          </cell>
        </row>
        <row r="1405">
          <cell r="A1405" t="str">
            <v>M1</v>
          </cell>
          <cell r="B1405" t="str">
            <v>A5C</v>
          </cell>
          <cell r="C1405" t="str">
            <v>P</v>
          </cell>
          <cell r="D1405" t="str">
            <v>22073</v>
          </cell>
          <cell r="E1405" t="str">
            <v>WN FLG</v>
          </cell>
          <cell r="F1405">
            <v>3</v>
          </cell>
          <cell r="G1405" t="str">
            <v>CB200104001000</v>
          </cell>
          <cell r="H1405">
            <v>10</v>
          </cell>
          <cell r="I1405" t="str">
            <v>--</v>
          </cell>
          <cell r="J1405">
            <v>7</v>
          </cell>
          <cell r="K1405">
            <v>8</v>
          </cell>
        </row>
        <row r="1406">
          <cell r="A1406" t="str">
            <v>M1</v>
          </cell>
          <cell r="B1406" t="str">
            <v>A5C</v>
          </cell>
          <cell r="C1406" t="str">
            <v>P</v>
          </cell>
          <cell r="D1406" t="str">
            <v>22074</v>
          </cell>
          <cell r="E1406" t="str">
            <v>WN FLG</v>
          </cell>
          <cell r="F1406">
            <v>3</v>
          </cell>
          <cell r="G1406" t="str">
            <v>CB200104001000</v>
          </cell>
          <cell r="H1406">
            <v>10</v>
          </cell>
          <cell r="I1406" t="str">
            <v>--</v>
          </cell>
          <cell r="J1406">
            <v>1</v>
          </cell>
          <cell r="K1406">
            <v>2</v>
          </cell>
        </row>
        <row r="1407">
          <cell r="A1407" t="str">
            <v>M1</v>
          </cell>
          <cell r="B1407" t="str">
            <v>A5C</v>
          </cell>
          <cell r="C1407" t="str">
            <v>P</v>
          </cell>
          <cell r="D1407" t="str">
            <v>22060</v>
          </cell>
          <cell r="E1407" t="str">
            <v>WN FLG</v>
          </cell>
          <cell r="F1407">
            <v>3</v>
          </cell>
          <cell r="G1407" t="str">
            <v>CB200104001000</v>
          </cell>
          <cell r="H1407">
            <v>10</v>
          </cell>
          <cell r="I1407" t="str">
            <v>--</v>
          </cell>
          <cell r="J1407">
            <v>2</v>
          </cell>
          <cell r="K1407">
            <v>3</v>
          </cell>
        </row>
        <row r="1408">
          <cell r="A1408" t="str">
            <v>M1</v>
          </cell>
          <cell r="B1408" t="str">
            <v>A5C</v>
          </cell>
          <cell r="C1408" t="str">
            <v>P</v>
          </cell>
          <cell r="D1408" t="str">
            <v>22062</v>
          </cell>
          <cell r="E1408" t="str">
            <v>WN FLG</v>
          </cell>
          <cell r="F1408">
            <v>3</v>
          </cell>
          <cell r="G1408" t="str">
            <v>CB200104001000</v>
          </cell>
          <cell r="H1408">
            <v>10</v>
          </cell>
          <cell r="I1408" t="str">
            <v>--</v>
          </cell>
          <cell r="J1408">
            <v>6</v>
          </cell>
          <cell r="K1408">
            <v>7</v>
          </cell>
        </row>
        <row r="1409">
          <cell r="A1409" t="str">
            <v>M1</v>
          </cell>
          <cell r="B1409" t="str">
            <v>A5C</v>
          </cell>
          <cell r="C1409" t="str">
            <v>P</v>
          </cell>
          <cell r="D1409" t="str">
            <v>22077</v>
          </cell>
          <cell r="E1409" t="str">
            <v>WN FLG</v>
          </cell>
          <cell r="F1409">
            <v>3</v>
          </cell>
          <cell r="G1409" t="str">
            <v>CB200104001000</v>
          </cell>
          <cell r="H1409">
            <v>10</v>
          </cell>
          <cell r="I1409" t="str">
            <v>--</v>
          </cell>
          <cell r="J1409">
            <v>1</v>
          </cell>
          <cell r="K1409">
            <v>2</v>
          </cell>
        </row>
        <row r="1410">
          <cell r="A1410" t="str">
            <v>M1</v>
          </cell>
          <cell r="B1410" t="str">
            <v>A5C</v>
          </cell>
          <cell r="C1410" t="str">
            <v>P</v>
          </cell>
          <cell r="D1410" t="str">
            <v>22077</v>
          </cell>
          <cell r="E1410" t="str">
            <v>WN FLG</v>
          </cell>
          <cell r="F1410">
            <v>3</v>
          </cell>
          <cell r="G1410" t="str">
            <v>CB200104001000</v>
          </cell>
          <cell r="H1410">
            <v>10</v>
          </cell>
          <cell r="I1410" t="str">
            <v>--</v>
          </cell>
          <cell r="J1410">
            <v>5</v>
          </cell>
          <cell r="K1410">
            <v>6</v>
          </cell>
        </row>
        <row r="1411">
          <cell r="A1411" t="str">
            <v>M1</v>
          </cell>
          <cell r="B1411" t="str">
            <v>A4C</v>
          </cell>
          <cell r="C1411" t="str">
            <v>P</v>
          </cell>
          <cell r="D1411" t="str">
            <v>22008</v>
          </cell>
          <cell r="E1411" t="str">
            <v>WN FLG</v>
          </cell>
          <cell r="F1411">
            <v>3</v>
          </cell>
          <cell r="G1411" t="str">
            <v>CB200104001000</v>
          </cell>
          <cell r="H1411">
            <v>10</v>
          </cell>
          <cell r="I1411" t="str">
            <v>--</v>
          </cell>
          <cell r="J1411">
            <v>7</v>
          </cell>
          <cell r="K1411">
            <v>8</v>
          </cell>
        </row>
        <row r="1412">
          <cell r="A1412" t="str">
            <v>M1</v>
          </cell>
          <cell r="B1412" t="str">
            <v>A4C</v>
          </cell>
          <cell r="C1412" t="str">
            <v>P</v>
          </cell>
          <cell r="D1412" t="str">
            <v>22008</v>
          </cell>
          <cell r="E1412" t="str">
            <v>WN FLG</v>
          </cell>
          <cell r="F1412">
            <v>3</v>
          </cell>
          <cell r="G1412" t="str">
            <v>CB200104001000</v>
          </cell>
          <cell r="H1412">
            <v>10</v>
          </cell>
          <cell r="I1412" t="str">
            <v>--</v>
          </cell>
          <cell r="J1412">
            <v>6</v>
          </cell>
          <cell r="K1412">
            <v>7</v>
          </cell>
        </row>
        <row r="1413">
          <cell r="A1413" t="str">
            <v>M1</v>
          </cell>
          <cell r="B1413" t="str">
            <v>A5C</v>
          </cell>
          <cell r="C1413" t="str">
            <v>P</v>
          </cell>
          <cell r="D1413" t="str">
            <v>22075</v>
          </cell>
          <cell r="E1413" t="str">
            <v>WN FLG</v>
          </cell>
          <cell r="F1413">
            <v>3</v>
          </cell>
          <cell r="G1413" t="str">
            <v>CB200104001000</v>
          </cell>
          <cell r="H1413">
            <v>10</v>
          </cell>
          <cell r="I1413" t="str">
            <v>--</v>
          </cell>
          <cell r="J1413">
            <v>2</v>
          </cell>
          <cell r="K1413">
            <v>3</v>
          </cell>
        </row>
        <row r="1414">
          <cell r="A1414" t="str">
            <v>M1</v>
          </cell>
          <cell r="B1414" t="str">
            <v>A4C</v>
          </cell>
          <cell r="C1414" t="str">
            <v>P</v>
          </cell>
          <cell r="D1414" t="str">
            <v>22008</v>
          </cell>
          <cell r="E1414" t="str">
            <v>WN FLG</v>
          </cell>
          <cell r="F1414">
            <v>3</v>
          </cell>
          <cell r="G1414" t="str">
            <v>CB200104001000</v>
          </cell>
          <cell r="H1414">
            <v>10</v>
          </cell>
          <cell r="I1414" t="str">
            <v>--</v>
          </cell>
          <cell r="J1414">
            <v>1</v>
          </cell>
          <cell r="K1414">
            <v>2</v>
          </cell>
        </row>
        <row r="1415">
          <cell r="A1415" t="str">
            <v>M1</v>
          </cell>
          <cell r="B1415" t="str">
            <v>A4C</v>
          </cell>
          <cell r="C1415" t="str">
            <v>P</v>
          </cell>
          <cell r="D1415" t="str">
            <v>22080</v>
          </cell>
          <cell r="E1415" t="str">
            <v>WN FLG</v>
          </cell>
          <cell r="F1415">
            <v>3</v>
          </cell>
          <cell r="G1415" t="str">
            <v>CB200104001000</v>
          </cell>
          <cell r="H1415">
            <v>10</v>
          </cell>
          <cell r="I1415" t="str">
            <v>--</v>
          </cell>
          <cell r="J1415">
            <v>4</v>
          </cell>
          <cell r="K1415">
            <v>5</v>
          </cell>
        </row>
        <row r="1416">
          <cell r="A1416" t="str">
            <v>M1</v>
          </cell>
          <cell r="B1416" t="str">
            <v>A5C</v>
          </cell>
          <cell r="C1416" t="str">
            <v>COMP</v>
          </cell>
          <cell r="D1416" t="str">
            <v>001</v>
          </cell>
          <cell r="E1416" t="str">
            <v>WN FLG</v>
          </cell>
          <cell r="F1416">
            <v>3</v>
          </cell>
          <cell r="G1416" t="str">
            <v>CB200104001200</v>
          </cell>
          <cell r="H1416">
            <v>12</v>
          </cell>
          <cell r="I1416" t="str">
            <v>--</v>
          </cell>
          <cell r="J1416">
            <v>2</v>
          </cell>
          <cell r="K1416">
            <v>3</v>
          </cell>
        </row>
        <row r="1417">
          <cell r="A1417" t="str">
            <v>M1</v>
          </cell>
          <cell r="B1417" t="str">
            <v>A5C</v>
          </cell>
          <cell r="C1417" t="str">
            <v>COMP</v>
          </cell>
          <cell r="D1417" t="str">
            <v>002</v>
          </cell>
          <cell r="E1417" t="str">
            <v>WN FLG</v>
          </cell>
          <cell r="F1417">
            <v>3</v>
          </cell>
          <cell r="G1417" t="str">
            <v>CB200104001200</v>
          </cell>
          <cell r="H1417">
            <v>12</v>
          </cell>
          <cell r="I1417" t="str">
            <v>--</v>
          </cell>
          <cell r="J1417">
            <v>2</v>
          </cell>
          <cell r="K1417">
            <v>3</v>
          </cell>
        </row>
        <row r="1418">
          <cell r="A1418" t="str">
            <v>M1</v>
          </cell>
          <cell r="B1418" t="str">
            <v>B1X</v>
          </cell>
          <cell r="C1418" t="str">
            <v>P</v>
          </cell>
          <cell r="D1418" t="str">
            <v>22042</v>
          </cell>
          <cell r="E1418" t="str">
            <v>WN FLG</v>
          </cell>
          <cell r="F1418">
            <v>3</v>
          </cell>
          <cell r="G1418" t="str">
            <v>CB200204001200</v>
          </cell>
          <cell r="H1418">
            <v>12</v>
          </cell>
          <cell r="I1418" t="str">
            <v>--</v>
          </cell>
          <cell r="J1418">
            <v>4</v>
          </cell>
          <cell r="K1418">
            <v>5</v>
          </cell>
        </row>
        <row r="1419">
          <cell r="A1419" t="str">
            <v>M1</v>
          </cell>
          <cell r="B1419" t="str">
            <v>A5C</v>
          </cell>
          <cell r="C1419" t="str">
            <v>P</v>
          </cell>
          <cell r="D1419" t="str">
            <v>22054</v>
          </cell>
          <cell r="E1419" t="str">
            <v>WN FLG</v>
          </cell>
          <cell r="F1419">
            <v>3</v>
          </cell>
          <cell r="G1419" t="str">
            <v>CB200104001400</v>
          </cell>
          <cell r="H1419">
            <v>14</v>
          </cell>
          <cell r="I1419" t="str">
            <v>--</v>
          </cell>
          <cell r="J1419">
            <v>2</v>
          </cell>
          <cell r="K1419">
            <v>2</v>
          </cell>
        </row>
        <row r="1420">
          <cell r="A1420" t="str">
            <v>M1</v>
          </cell>
          <cell r="B1420" t="str">
            <v>A5C</v>
          </cell>
          <cell r="C1420" t="str">
            <v>P</v>
          </cell>
          <cell r="D1420" t="str">
            <v>22056</v>
          </cell>
          <cell r="E1420" t="str">
            <v>WN FLG</v>
          </cell>
          <cell r="F1420">
            <v>3</v>
          </cell>
          <cell r="G1420" t="str">
            <v>CB200104001400</v>
          </cell>
          <cell r="H1420">
            <v>14</v>
          </cell>
          <cell r="I1420" t="str">
            <v>--</v>
          </cell>
          <cell r="J1420">
            <v>2</v>
          </cell>
          <cell r="K1420">
            <v>2</v>
          </cell>
        </row>
        <row r="1421">
          <cell r="A1421" t="str">
            <v>M1</v>
          </cell>
          <cell r="B1421" t="str">
            <v>A5C</v>
          </cell>
          <cell r="C1421" t="str">
            <v>P</v>
          </cell>
          <cell r="D1421" t="str">
            <v>22058</v>
          </cell>
          <cell r="E1421" t="str">
            <v>WN FLG</v>
          </cell>
          <cell r="F1421">
            <v>3</v>
          </cell>
          <cell r="G1421" t="str">
            <v>CB200104001400</v>
          </cell>
          <cell r="H1421">
            <v>14</v>
          </cell>
          <cell r="I1421" t="str">
            <v>--</v>
          </cell>
          <cell r="J1421">
            <v>2</v>
          </cell>
          <cell r="K1421">
            <v>2</v>
          </cell>
        </row>
        <row r="1422">
          <cell r="A1422" t="str">
            <v>M1</v>
          </cell>
          <cell r="B1422" t="str">
            <v>B1C</v>
          </cell>
          <cell r="C1422" t="str">
            <v>P</v>
          </cell>
          <cell r="D1422" t="str">
            <v>22027</v>
          </cell>
          <cell r="E1422" t="str">
            <v>WN FLG</v>
          </cell>
          <cell r="F1422">
            <v>3</v>
          </cell>
          <cell r="G1422" t="str">
            <v>CB200204001400</v>
          </cell>
          <cell r="H1422">
            <v>14</v>
          </cell>
          <cell r="I1422" t="str">
            <v>--</v>
          </cell>
          <cell r="J1422">
            <v>2</v>
          </cell>
          <cell r="K1422">
            <v>2</v>
          </cell>
        </row>
        <row r="1423">
          <cell r="A1423" t="str">
            <v>M1</v>
          </cell>
          <cell r="B1423" t="str">
            <v>A5C</v>
          </cell>
          <cell r="C1423" t="str">
            <v>P</v>
          </cell>
          <cell r="D1423" t="str">
            <v>22034</v>
          </cell>
          <cell r="E1423" t="str">
            <v>SW FLG</v>
          </cell>
          <cell r="F1423">
            <v>3</v>
          </cell>
          <cell r="G1423" t="str">
            <v>CB2401080001000100</v>
          </cell>
          <cell r="H1423">
            <v>1</v>
          </cell>
          <cell r="I1423" t="str">
            <v>--</v>
          </cell>
          <cell r="J1423">
            <v>3</v>
          </cell>
          <cell r="K1423">
            <v>3</v>
          </cell>
        </row>
        <row r="1424">
          <cell r="A1424" t="str">
            <v>M1</v>
          </cell>
          <cell r="B1424" t="str">
            <v>A5C</v>
          </cell>
          <cell r="C1424" t="str">
            <v>P</v>
          </cell>
          <cell r="D1424" t="str">
            <v>21002</v>
          </cell>
          <cell r="E1424" t="str">
            <v>WN FLG</v>
          </cell>
          <cell r="F1424">
            <v>3</v>
          </cell>
          <cell r="G1424" t="str">
            <v>CB2001040010001000</v>
          </cell>
          <cell r="H1424">
            <v>10</v>
          </cell>
          <cell r="I1424" t="str">
            <v>--</v>
          </cell>
          <cell r="J1424">
            <v>2</v>
          </cell>
          <cell r="K1424">
            <v>3</v>
          </cell>
        </row>
        <row r="1425">
          <cell r="A1425" t="str">
            <v>M1</v>
          </cell>
          <cell r="B1425" t="str">
            <v>A5C</v>
          </cell>
          <cell r="C1425" t="str">
            <v>P</v>
          </cell>
          <cell r="D1425" t="str">
            <v>22046</v>
          </cell>
          <cell r="E1425" t="str">
            <v>WN FLG</v>
          </cell>
          <cell r="F1425">
            <v>3</v>
          </cell>
          <cell r="G1425" t="str">
            <v>CB2002040010001000</v>
          </cell>
          <cell r="H1425">
            <v>10</v>
          </cell>
          <cell r="I1425" t="str">
            <v>--</v>
          </cell>
          <cell r="J1425">
            <v>2</v>
          </cell>
          <cell r="K1425">
            <v>3</v>
          </cell>
        </row>
        <row r="1426">
          <cell r="A1426" t="str">
            <v>M1</v>
          </cell>
          <cell r="B1426" t="str">
            <v>A5C</v>
          </cell>
          <cell r="C1426" t="str">
            <v>P</v>
          </cell>
          <cell r="D1426" t="str">
            <v>22046</v>
          </cell>
          <cell r="E1426" t="str">
            <v>WN FLG</v>
          </cell>
          <cell r="F1426">
            <v>3</v>
          </cell>
          <cell r="G1426" t="str">
            <v>CB2001040010001000</v>
          </cell>
          <cell r="H1426">
            <v>10</v>
          </cell>
          <cell r="I1426" t="str">
            <v>--</v>
          </cell>
          <cell r="J1426">
            <v>2</v>
          </cell>
          <cell r="K1426">
            <v>3</v>
          </cell>
        </row>
        <row r="1427">
          <cell r="A1427" t="str">
            <v>M1</v>
          </cell>
          <cell r="B1427" t="str">
            <v>B2C</v>
          </cell>
          <cell r="C1427" t="str">
            <v>SH</v>
          </cell>
          <cell r="D1427" t="str">
            <v>22611</v>
          </cell>
          <cell r="E1427" t="str">
            <v>GATE VA</v>
          </cell>
          <cell r="F1427">
            <v>6</v>
          </cell>
          <cell r="G1427" t="str">
            <v>VG8010400000H00</v>
          </cell>
          <cell r="H1427">
            <v>0.5</v>
          </cell>
          <cell r="I1427" t="str">
            <v>--</v>
          </cell>
          <cell r="J1427">
            <v>2</v>
          </cell>
          <cell r="K1427">
            <v>2</v>
          </cell>
        </row>
        <row r="1428">
          <cell r="A1428" t="str">
            <v>M1</v>
          </cell>
          <cell r="B1428" t="str">
            <v>B2C</v>
          </cell>
          <cell r="C1428" t="str">
            <v>SH</v>
          </cell>
          <cell r="D1428" t="str">
            <v>22614</v>
          </cell>
          <cell r="E1428" t="str">
            <v>GATE VA</v>
          </cell>
          <cell r="F1428">
            <v>6</v>
          </cell>
          <cell r="G1428" t="str">
            <v>VG8010100000H00</v>
          </cell>
          <cell r="H1428">
            <v>0.5</v>
          </cell>
          <cell r="I1428" t="str">
            <v>--</v>
          </cell>
          <cell r="J1428">
            <v>2</v>
          </cell>
          <cell r="K1428">
            <v>2</v>
          </cell>
        </row>
        <row r="1429">
          <cell r="A1429" t="str">
            <v>M1</v>
          </cell>
          <cell r="B1429" t="str">
            <v>B2C</v>
          </cell>
          <cell r="C1429" t="str">
            <v>SH</v>
          </cell>
          <cell r="D1429" t="str">
            <v>22601</v>
          </cell>
          <cell r="E1429" t="str">
            <v>GATE VA</v>
          </cell>
          <cell r="F1429">
            <v>6</v>
          </cell>
          <cell r="G1429" t="str">
            <v>VG8010400000H00</v>
          </cell>
          <cell r="H1429">
            <v>0.5</v>
          </cell>
          <cell r="I1429" t="str">
            <v>--</v>
          </cell>
          <cell r="J1429">
            <v>2</v>
          </cell>
          <cell r="K1429">
            <v>2</v>
          </cell>
        </row>
        <row r="1430">
          <cell r="A1430" t="str">
            <v>M1</v>
          </cell>
          <cell r="B1430" t="str">
            <v>A5C</v>
          </cell>
          <cell r="C1430" t="str">
            <v>P</v>
          </cell>
          <cell r="D1430" t="str">
            <v>22065</v>
          </cell>
          <cell r="E1430" t="str">
            <v>BALL VA</v>
          </cell>
          <cell r="F1430">
            <v>6</v>
          </cell>
          <cell r="G1430" t="str">
            <v>VB8010600000H00</v>
          </cell>
          <cell r="H1430">
            <v>0.5</v>
          </cell>
          <cell r="I1430" t="str">
            <v>--</v>
          </cell>
          <cell r="J1430">
            <v>2</v>
          </cell>
          <cell r="K1430">
            <v>2</v>
          </cell>
        </row>
        <row r="1431">
          <cell r="A1431" t="str">
            <v>M1</v>
          </cell>
          <cell r="B1431" t="str">
            <v>A5C</v>
          </cell>
          <cell r="C1431" t="str">
            <v>P</v>
          </cell>
          <cell r="D1431" t="str">
            <v>22070</v>
          </cell>
          <cell r="E1431" t="str">
            <v>BALL VA</v>
          </cell>
          <cell r="F1431">
            <v>6</v>
          </cell>
          <cell r="G1431" t="str">
            <v>VB8010600000H00</v>
          </cell>
          <cell r="H1431">
            <v>0.5</v>
          </cell>
          <cell r="I1431" t="str">
            <v>--</v>
          </cell>
          <cell r="J1431">
            <v>2</v>
          </cell>
          <cell r="K1431">
            <v>2</v>
          </cell>
        </row>
        <row r="1432">
          <cell r="A1432" t="str">
            <v>M1</v>
          </cell>
          <cell r="B1432" t="str">
            <v>A5C</v>
          </cell>
          <cell r="C1432" t="str">
            <v>P</v>
          </cell>
          <cell r="D1432" t="str">
            <v>22078</v>
          </cell>
          <cell r="E1432" t="str">
            <v>BALL VA</v>
          </cell>
          <cell r="F1432">
            <v>6</v>
          </cell>
          <cell r="G1432" t="str">
            <v>VB8010600000H00</v>
          </cell>
          <cell r="H1432">
            <v>0.5</v>
          </cell>
          <cell r="I1432" t="str">
            <v>--</v>
          </cell>
          <cell r="J1432">
            <v>2</v>
          </cell>
          <cell r="K1432">
            <v>2</v>
          </cell>
        </row>
        <row r="1433">
          <cell r="A1433" t="str">
            <v>M1</v>
          </cell>
          <cell r="B1433" t="str">
            <v>A5C</v>
          </cell>
          <cell r="C1433" t="str">
            <v>P</v>
          </cell>
          <cell r="D1433" t="str">
            <v>22104</v>
          </cell>
          <cell r="E1433" t="str">
            <v>BALL VA</v>
          </cell>
          <cell r="F1433">
            <v>6</v>
          </cell>
          <cell r="G1433" t="str">
            <v>VB8010600000H00</v>
          </cell>
          <cell r="H1433">
            <v>0.5</v>
          </cell>
          <cell r="I1433" t="str">
            <v>--</v>
          </cell>
          <cell r="J1433">
            <v>2</v>
          </cell>
          <cell r="K1433">
            <v>2</v>
          </cell>
        </row>
        <row r="1434">
          <cell r="A1434" t="str">
            <v>M1</v>
          </cell>
          <cell r="B1434" t="str">
            <v>A5C</v>
          </cell>
          <cell r="C1434" t="str">
            <v>P</v>
          </cell>
          <cell r="D1434" t="str">
            <v>22107</v>
          </cell>
          <cell r="E1434" t="str">
            <v>BALL VA</v>
          </cell>
          <cell r="F1434">
            <v>6</v>
          </cell>
          <cell r="G1434" t="str">
            <v>VB8010600000H00</v>
          </cell>
          <cell r="H1434">
            <v>0.5</v>
          </cell>
          <cell r="I1434" t="str">
            <v>--</v>
          </cell>
          <cell r="J1434">
            <v>20</v>
          </cell>
          <cell r="K1434">
            <v>20</v>
          </cell>
        </row>
        <row r="1435">
          <cell r="A1435" t="str">
            <v>M1</v>
          </cell>
          <cell r="B1435" t="str">
            <v>A5C</v>
          </cell>
          <cell r="C1435" t="str">
            <v>P</v>
          </cell>
          <cell r="D1435" t="str">
            <v>22157</v>
          </cell>
          <cell r="E1435" t="str">
            <v>BALL VA</v>
          </cell>
          <cell r="F1435">
            <v>6</v>
          </cell>
          <cell r="G1435" t="str">
            <v>VB8010600000H00</v>
          </cell>
          <cell r="H1435">
            <v>0.5</v>
          </cell>
          <cell r="I1435" t="str">
            <v>--</v>
          </cell>
          <cell r="J1435">
            <v>1</v>
          </cell>
          <cell r="K1435">
            <v>1</v>
          </cell>
        </row>
        <row r="1436">
          <cell r="A1436" t="str">
            <v>M1</v>
          </cell>
          <cell r="B1436" t="str">
            <v>A5C</v>
          </cell>
          <cell r="C1436" t="str">
            <v>P</v>
          </cell>
          <cell r="D1436" t="str">
            <v>22158</v>
          </cell>
          <cell r="E1436" t="str">
            <v>BALL VA</v>
          </cell>
          <cell r="F1436">
            <v>6</v>
          </cell>
          <cell r="G1436" t="str">
            <v>VB8010600000H00</v>
          </cell>
          <cell r="H1436">
            <v>0.5</v>
          </cell>
          <cell r="I1436" t="str">
            <v>--</v>
          </cell>
          <cell r="J1436">
            <v>1</v>
          </cell>
          <cell r="K1436">
            <v>1</v>
          </cell>
        </row>
        <row r="1437">
          <cell r="A1437" t="str">
            <v>M1</v>
          </cell>
          <cell r="B1437" t="str">
            <v>A5C</v>
          </cell>
          <cell r="C1437" t="str">
            <v>N</v>
          </cell>
          <cell r="D1437" t="str">
            <v>22670</v>
          </cell>
          <cell r="E1437" t="str">
            <v>BALL VA</v>
          </cell>
          <cell r="F1437">
            <v>6</v>
          </cell>
          <cell r="G1437" t="str">
            <v>VB8010600000H00</v>
          </cell>
          <cell r="H1437">
            <v>0.5</v>
          </cell>
          <cell r="I1437" t="str">
            <v>--</v>
          </cell>
          <cell r="J1437">
            <v>4</v>
          </cell>
          <cell r="K1437">
            <v>4</v>
          </cell>
        </row>
        <row r="1438">
          <cell r="A1438" t="str">
            <v>M1</v>
          </cell>
          <cell r="B1438" t="str">
            <v>A5C</v>
          </cell>
          <cell r="C1438" t="str">
            <v>N</v>
          </cell>
          <cell r="D1438" t="str">
            <v>22670</v>
          </cell>
          <cell r="E1438" t="str">
            <v>CHECK VA</v>
          </cell>
          <cell r="F1438">
            <v>6</v>
          </cell>
          <cell r="G1438" t="str">
            <v>VCB8010400000H00</v>
          </cell>
          <cell r="H1438">
            <v>0.5</v>
          </cell>
          <cell r="I1438" t="str">
            <v>--</v>
          </cell>
          <cell r="J1438">
            <v>4</v>
          </cell>
          <cell r="K1438">
            <v>4</v>
          </cell>
        </row>
        <row r="1439">
          <cell r="A1439" t="str">
            <v>M1</v>
          </cell>
          <cell r="B1439" t="str">
            <v>A5C</v>
          </cell>
          <cell r="C1439" t="str">
            <v>P</v>
          </cell>
          <cell r="D1439" t="str">
            <v>22157</v>
          </cell>
          <cell r="E1439" t="str">
            <v>CHECK VA</v>
          </cell>
          <cell r="F1439">
            <v>6</v>
          </cell>
          <cell r="G1439" t="str">
            <v>VCB8010400000H00</v>
          </cell>
          <cell r="H1439">
            <v>0.5</v>
          </cell>
          <cell r="I1439" t="str">
            <v>--</v>
          </cell>
          <cell r="J1439">
            <v>1</v>
          </cell>
          <cell r="K1439">
            <v>1</v>
          </cell>
        </row>
        <row r="1440">
          <cell r="A1440" t="str">
            <v>M1</v>
          </cell>
          <cell r="B1440" t="str">
            <v>A5C</v>
          </cell>
          <cell r="C1440" t="str">
            <v>COMP</v>
          </cell>
          <cell r="D1440" t="str">
            <v>006</v>
          </cell>
          <cell r="E1440" t="str">
            <v>GATE VA</v>
          </cell>
          <cell r="F1440">
            <v>6</v>
          </cell>
          <cell r="G1440" t="str">
            <v>VG8010400000H00</v>
          </cell>
          <cell r="H1440">
            <v>0.5</v>
          </cell>
          <cell r="I1440" t="str">
            <v>--</v>
          </cell>
          <cell r="J1440">
            <v>2</v>
          </cell>
          <cell r="K1440">
            <v>2</v>
          </cell>
        </row>
        <row r="1441">
          <cell r="A1441" t="str">
            <v>M1</v>
          </cell>
          <cell r="B1441" t="str">
            <v>A5C</v>
          </cell>
          <cell r="C1441" t="str">
            <v>SCD</v>
          </cell>
          <cell r="D1441" t="str">
            <v>HOLD1</v>
          </cell>
          <cell r="E1441" t="str">
            <v>GATE VA</v>
          </cell>
          <cell r="F1441">
            <v>6</v>
          </cell>
          <cell r="G1441" t="str">
            <v>VG8010100000H00</v>
          </cell>
          <cell r="H1441">
            <v>0.5</v>
          </cell>
          <cell r="I1441" t="str">
            <v>--</v>
          </cell>
          <cell r="J1441">
            <v>2</v>
          </cell>
          <cell r="K1441">
            <v>2</v>
          </cell>
        </row>
        <row r="1442">
          <cell r="A1442" t="str">
            <v>M1</v>
          </cell>
          <cell r="B1442" t="str">
            <v>A5C</v>
          </cell>
          <cell r="C1442" t="str">
            <v>SCC</v>
          </cell>
          <cell r="D1442" t="str">
            <v>HOLD1</v>
          </cell>
          <cell r="E1442" t="str">
            <v>GATE VA</v>
          </cell>
          <cell r="F1442">
            <v>6</v>
          </cell>
          <cell r="G1442" t="str">
            <v>VG8010100000H00</v>
          </cell>
          <cell r="H1442">
            <v>0.5</v>
          </cell>
          <cell r="I1442" t="str">
            <v>--</v>
          </cell>
          <cell r="J1442">
            <v>3</v>
          </cell>
          <cell r="K1442">
            <v>3</v>
          </cell>
        </row>
        <row r="1443">
          <cell r="A1443" t="str">
            <v>M1</v>
          </cell>
          <cell r="B1443" t="str">
            <v>A5C</v>
          </cell>
          <cell r="C1443" t="str">
            <v>COMP</v>
          </cell>
          <cell r="D1443" t="str">
            <v>006</v>
          </cell>
          <cell r="E1443" t="str">
            <v>GLOBE VA</v>
          </cell>
          <cell r="F1443">
            <v>6</v>
          </cell>
          <cell r="G1443" t="str">
            <v>VL8010100000H00</v>
          </cell>
          <cell r="H1443">
            <v>0.5</v>
          </cell>
          <cell r="I1443" t="str">
            <v>--</v>
          </cell>
          <cell r="J1443">
            <v>4</v>
          </cell>
          <cell r="K1443">
            <v>4</v>
          </cell>
        </row>
        <row r="1444">
          <cell r="A1444" t="str">
            <v>M1</v>
          </cell>
          <cell r="B1444" t="str">
            <v>A5C</v>
          </cell>
          <cell r="C1444" t="str">
            <v>SCC</v>
          </cell>
          <cell r="D1444" t="str">
            <v>HOLD1</v>
          </cell>
          <cell r="E1444" t="str">
            <v>GLOBE VA</v>
          </cell>
          <cell r="F1444">
            <v>6</v>
          </cell>
          <cell r="G1444" t="str">
            <v>VL8010100000H00</v>
          </cell>
          <cell r="H1444">
            <v>0.5</v>
          </cell>
          <cell r="I1444" t="str">
            <v>--</v>
          </cell>
          <cell r="J1444">
            <v>3</v>
          </cell>
          <cell r="K1444">
            <v>3</v>
          </cell>
        </row>
        <row r="1445">
          <cell r="A1445" t="str">
            <v>M1</v>
          </cell>
          <cell r="B1445" t="str">
            <v>A5C</v>
          </cell>
          <cell r="C1445" t="str">
            <v>SCD</v>
          </cell>
          <cell r="D1445" t="str">
            <v>HOLD1</v>
          </cell>
          <cell r="E1445" t="str">
            <v>GLOBE VA</v>
          </cell>
          <cell r="F1445">
            <v>6</v>
          </cell>
          <cell r="G1445" t="str">
            <v>VL8010100000H00</v>
          </cell>
          <cell r="H1445">
            <v>0.5</v>
          </cell>
          <cell r="I1445" t="str">
            <v>--</v>
          </cell>
          <cell r="J1445">
            <v>2</v>
          </cell>
          <cell r="K1445">
            <v>2</v>
          </cell>
        </row>
        <row r="1446">
          <cell r="A1446" t="str">
            <v>M1</v>
          </cell>
          <cell r="B1446" t="str">
            <v>A5C</v>
          </cell>
          <cell r="C1446" t="str">
            <v>P</v>
          </cell>
          <cell r="D1446" t="str">
            <v>22039</v>
          </cell>
          <cell r="E1446" t="str">
            <v>BALL VA</v>
          </cell>
          <cell r="F1446">
            <v>6</v>
          </cell>
          <cell r="G1446" t="str">
            <v>VB8010600000H00</v>
          </cell>
          <cell r="H1446">
            <v>0.5</v>
          </cell>
          <cell r="I1446" t="str">
            <v>--</v>
          </cell>
          <cell r="J1446">
            <v>1</v>
          </cell>
          <cell r="K1446">
            <v>1</v>
          </cell>
        </row>
        <row r="1447">
          <cell r="A1447" t="str">
            <v>M1</v>
          </cell>
          <cell r="B1447" t="str">
            <v>A5C</v>
          </cell>
          <cell r="C1447" t="str">
            <v>P</v>
          </cell>
          <cell r="D1447" t="str">
            <v>22040</v>
          </cell>
          <cell r="E1447" t="str">
            <v>BALL VA</v>
          </cell>
          <cell r="F1447">
            <v>6</v>
          </cell>
          <cell r="G1447" t="str">
            <v>VB8010600000H00</v>
          </cell>
          <cell r="H1447">
            <v>0.5</v>
          </cell>
          <cell r="I1447" t="str">
            <v>--</v>
          </cell>
          <cell r="J1447">
            <v>1</v>
          </cell>
          <cell r="K1447">
            <v>1</v>
          </cell>
        </row>
        <row r="1448">
          <cell r="A1448" t="str">
            <v>M1</v>
          </cell>
          <cell r="B1448" t="str">
            <v>A5C</v>
          </cell>
          <cell r="C1448" t="str">
            <v>P</v>
          </cell>
          <cell r="D1448" t="str">
            <v>22041</v>
          </cell>
          <cell r="E1448" t="str">
            <v>BALL VA</v>
          </cell>
          <cell r="F1448">
            <v>6</v>
          </cell>
          <cell r="G1448" t="str">
            <v>VB8010600000H00</v>
          </cell>
          <cell r="H1448">
            <v>0.5</v>
          </cell>
          <cell r="I1448" t="str">
            <v>--</v>
          </cell>
          <cell r="J1448">
            <v>1</v>
          </cell>
          <cell r="K1448">
            <v>1</v>
          </cell>
        </row>
        <row r="1449">
          <cell r="A1449" t="str">
            <v>M1</v>
          </cell>
          <cell r="B1449" t="str">
            <v>A5C</v>
          </cell>
          <cell r="C1449" t="str">
            <v>P</v>
          </cell>
          <cell r="D1449" t="str">
            <v>22039</v>
          </cell>
          <cell r="E1449" t="str">
            <v>CHECK VA</v>
          </cell>
          <cell r="F1449">
            <v>6</v>
          </cell>
          <cell r="G1449" t="str">
            <v>VCB8010400000H00</v>
          </cell>
          <cell r="H1449">
            <v>0.5</v>
          </cell>
          <cell r="I1449" t="str">
            <v>--</v>
          </cell>
          <cell r="J1449">
            <v>1</v>
          </cell>
          <cell r="K1449">
            <v>1</v>
          </cell>
        </row>
        <row r="1450">
          <cell r="A1450" t="str">
            <v>M1</v>
          </cell>
          <cell r="B1450" t="str">
            <v>A5C</v>
          </cell>
          <cell r="C1450" t="str">
            <v>P</v>
          </cell>
          <cell r="D1450" t="str">
            <v>22040</v>
          </cell>
          <cell r="E1450" t="str">
            <v>CHECK VA</v>
          </cell>
          <cell r="F1450">
            <v>6</v>
          </cell>
          <cell r="G1450" t="str">
            <v>VCB8010400000H00</v>
          </cell>
          <cell r="H1450">
            <v>0.5</v>
          </cell>
          <cell r="I1450" t="str">
            <v>--</v>
          </cell>
          <cell r="J1450">
            <v>1</v>
          </cell>
          <cell r="K1450">
            <v>1</v>
          </cell>
        </row>
        <row r="1451">
          <cell r="A1451" t="str">
            <v>M1</v>
          </cell>
          <cell r="B1451" t="str">
            <v>A5C</v>
          </cell>
          <cell r="C1451" t="str">
            <v>P</v>
          </cell>
          <cell r="D1451" t="str">
            <v>22041</v>
          </cell>
          <cell r="E1451" t="str">
            <v>CHECK VA</v>
          </cell>
          <cell r="F1451">
            <v>6</v>
          </cell>
          <cell r="G1451" t="str">
            <v>VCB8010400000H00</v>
          </cell>
          <cell r="H1451">
            <v>0.5</v>
          </cell>
          <cell r="I1451" t="str">
            <v>--</v>
          </cell>
          <cell r="J1451">
            <v>1</v>
          </cell>
          <cell r="K1451">
            <v>1</v>
          </cell>
        </row>
        <row r="1452">
          <cell r="A1452" t="str">
            <v>M1</v>
          </cell>
          <cell r="B1452" t="str">
            <v>A5C</v>
          </cell>
          <cell r="C1452" t="str">
            <v>P</v>
          </cell>
          <cell r="D1452" t="str">
            <v>22003</v>
          </cell>
          <cell r="E1452" t="str">
            <v>BALL VA</v>
          </cell>
          <cell r="F1452">
            <v>6</v>
          </cell>
          <cell r="G1452" t="str">
            <v>VB8010600000H00</v>
          </cell>
          <cell r="H1452">
            <v>0.5</v>
          </cell>
          <cell r="I1452" t="str">
            <v>--</v>
          </cell>
          <cell r="J1452">
            <v>2</v>
          </cell>
          <cell r="K1452">
            <v>2</v>
          </cell>
        </row>
        <row r="1453">
          <cell r="A1453" t="str">
            <v>M1</v>
          </cell>
          <cell r="B1453" t="str">
            <v>A5C</v>
          </cell>
          <cell r="C1453" t="str">
            <v>P</v>
          </cell>
          <cell r="D1453" t="str">
            <v>22111</v>
          </cell>
          <cell r="E1453" t="str">
            <v>BALL VA</v>
          </cell>
          <cell r="F1453">
            <v>6</v>
          </cell>
          <cell r="G1453" t="str">
            <v>VB8010600000H00</v>
          </cell>
          <cell r="H1453">
            <v>0.5</v>
          </cell>
          <cell r="I1453" t="str">
            <v>--</v>
          </cell>
          <cell r="J1453">
            <v>2</v>
          </cell>
          <cell r="K1453">
            <v>2</v>
          </cell>
        </row>
        <row r="1454">
          <cell r="A1454" t="str">
            <v>M1</v>
          </cell>
          <cell r="B1454" t="str">
            <v>A5C</v>
          </cell>
          <cell r="C1454" t="str">
            <v>P</v>
          </cell>
          <cell r="D1454" t="str">
            <v>22004</v>
          </cell>
          <cell r="E1454" t="str">
            <v>GATE VA</v>
          </cell>
          <cell r="F1454">
            <v>6</v>
          </cell>
          <cell r="G1454" t="str">
            <v>VG8010400000H00</v>
          </cell>
          <cell r="H1454">
            <v>0.5</v>
          </cell>
          <cell r="I1454" t="str">
            <v>--</v>
          </cell>
          <cell r="J1454">
            <v>2</v>
          </cell>
          <cell r="K1454">
            <v>2</v>
          </cell>
        </row>
        <row r="1455">
          <cell r="A1455" t="str">
            <v>M1</v>
          </cell>
          <cell r="B1455" t="str">
            <v>A4C</v>
          </cell>
          <cell r="C1455" t="str">
            <v>P</v>
          </cell>
          <cell r="D1455" t="str">
            <v>22031</v>
          </cell>
          <cell r="E1455" t="str">
            <v>BALL VA</v>
          </cell>
          <cell r="F1455">
            <v>6</v>
          </cell>
          <cell r="G1455" t="str">
            <v>VB8010300000H00</v>
          </cell>
          <cell r="H1455">
            <v>0.5</v>
          </cell>
          <cell r="I1455" t="str">
            <v>--</v>
          </cell>
          <cell r="J1455">
            <v>3</v>
          </cell>
          <cell r="K1455">
            <v>3</v>
          </cell>
        </row>
        <row r="1456">
          <cell r="A1456" t="str">
            <v>M1</v>
          </cell>
          <cell r="B1456" t="str">
            <v>A4C</v>
          </cell>
          <cell r="C1456" t="str">
            <v>P</v>
          </cell>
          <cell r="D1456" t="str">
            <v>22008</v>
          </cell>
          <cell r="E1456" t="str">
            <v>BALL VA</v>
          </cell>
          <cell r="F1456">
            <v>6</v>
          </cell>
          <cell r="G1456" t="str">
            <v>VB8010300000H00</v>
          </cell>
          <cell r="H1456">
            <v>0.5</v>
          </cell>
          <cell r="I1456" t="str">
            <v>--</v>
          </cell>
          <cell r="J1456">
            <v>2</v>
          </cell>
          <cell r="K1456">
            <v>2</v>
          </cell>
        </row>
        <row r="1457">
          <cell r="A1457" t="str">
            <v>M1</v>
          </cell>
          <cell r="B1457" t="str">
            <v>A6C</v>
          </cell>
          <cell r="C1457" t="str">
            <v>HOS</v>
          </cell>
          <cell r="D1457" t="str">
            <v>65624</v>
          </cell>
          <cell r="E1457" t="str">
            <v>BELLOWS VA</v>
          </cell>
          <cell r="F1457">
            <v>6</v>
          </cell>
          <cell r="G1457" t="str">
            <v>VBE8010700000H00</v>
          </cell>
          <cell r="H1457">
            <v>0.5</v>
          </cell>
          <cell r="I1457" t="str">
            <v>--</v>
          </cell>
          <cell r="J1457">
            <v>2</v>
          </cell>
          <cell r="K1457">
            <v>2</v>
          </cell>
        </row>
        <row r="1458">
          <cell r="A1458" t="str">
            <v>M1</v>
          </cell>
          <cell r="B1458" t="str">
            <v>A6C</v>
          </cell>
          <cell r="C1458" t="str">
            <v>HOS</v>
          </cell>
          <cell r="D1458" t="str">
            <v>65628</v>
          </cell>
          <cell r="E1458" t="str">
            <v>BELLOWS VA</v>
          </cell>
          <cell r="F1458">
            <v>6</v>
          </cell>
          <cell r="G1458" t="str">
            <v>VBE8010700000H00</v>
          </cell>
          <cell r="H1458">
            <v>0.5</v>
          </cell>
          <cell r="I1458" t="str">
            <v>--</v>
          </cell>
          <cell r="J1458">
            <v>2</v>
          </cell>
          <cell r="K1458">
            <v>2</v>
          </cell>
        </row>
        <row r="1459">
          <cell r="A1459" t="str">
            <v>M1</v>
          </cell>
          <cell r="B1459" t="str">
            <v>A6C</v>
          </cell>
          <cell r="C1459" t="str">
            <v>HOS</v>
          </cell>
          <cell r="D1459" t="str">
            <v>65615</v>
          </cell>
          <cell r="E1459" t="str">
            <v>BELLOWS VA</v>
          </cell>
          <cell r="F1459">
            <v>6</v>
          </cell>
          <cell r="G1459" t="str">
            <v>VBE8010600000H00</v>
          </cell>
          <cell r="H1459">
            <v>0.5</v>
          </cell>
          <cell r="I1459" t="str">
            <v>--</v>
          </cell>
          <cell r="J1459">
            <v>2</v>
          </cell>
          <cell r="K1459">
            <v>2</v>
          </cell>
        </row>
        <row r="1460">
          <cell r="A1460" t="str">
            <v>M1</v>
          </cell>
          <cell r="B1460" t="str">
            <v>B2C</v>
          </cell>
          <cell r="C1460" t="str">
            <v>SH</v>
          </cell>
          <cell r="D1460" t="str">
            <v>22612</v>
          </cell>
          <cell r="E1460" t="str">
            <v>GATE VA</v>
          </cell>
          <cell r="F1460">
            <v>6</v>
          </cell>
          <cell r="G1460" t="str">
            <v>VG8010100000T00</v>
          </cell>
          <cell r="H1460">
            <v>0.75</v>
          </cell>
          <cell r="I1460" t="str">
            <v>--</v>
          </cell>
          <cell r="J1460">
            <v>1</v>
          </cell>
          <cell r="K1460">
            <v>1</v>
          </cell>
        </row>
        <row r="1461">
          <cell r="A1461" t="str">
            <v>M1</v>
          </cell>
          <cell r="B1461" t="str">
            <v>B2C</v>
          </cell>
          <cell r="C1461" t="str">
            <v>SH</v>
          </cell>
          <cell r="D1461" t="str">
            <v>22613</v>
          </cell>
          <cell r="E1461" t="str">
            <v>GATE VA</v>
          </cell>
          <cell r="F1461">
            <v>6</v>
          </cell>
          <cell r="G1461" t="str">
            <v>VG8010100000T00</v>
          </cell>
          <cell r="H1461">
            <v>0.75</v>
          </cell>
          <cell r="I1461" t="str">
            <v>--</v>
          </cell>
          <cell r="J1461">
            <v>1</v>
          </cell>
          <cell r="K1461">
            <v>1</v>
          </cell>
        </row>
        <row r="1462">
          <cell r="A1462" t="str">
            <v>M1</v>
          </cell>
          <cell r="B1462" t="str">
            <v>B2C</v>
          </cell>
          <cell r="C1462" t="str">
            <v>SH</v>
          </cell>
          <cell r="D1462" t="str">
            <v>22614</v>
          </cell>
          <cell r="E1462" t="str">
            <v>GATE VA</v>
          </cell>
          <cell r="F1462">
            <v>6</v>
          </cell>
          <cell r="G1462" t="str">
            <v>VG8010100000T00</v>
          </cell>
          <cell r="H1462">
            <v>0.75</v>
          </cell>
          <cell r="I1462" t="str">
            <v>--</v>
          </cell>
          <cell r="J1462">
            <v>1</v>
          </cell>
          <cell r="K1462">
            <v>1</v>
          </cell>
        </row>
        <row r="1463">
          <cell r="A1463" t="str">
            <v>M1</v>
          </cell>
          <cell r="B1463" t="str">
            <v>B2C</v>
          </cell>
          <cell r="C1463" t="str">
            <v>SH</v>
          </cell>
          <cell r="D1463" t="str">
            <v>22601</v>
          </cell>
          <cell r="E1463" t="str">
            <v>GATE VA</v>
          </cell>
          <cell r="F1463">
            <v>6</v>
          </cell>
          <cell r="G1463" t="str">
            <v>VG8010100000T00</v>
          </cell>
          <cell r="H1463">
            <v>0.75</v>
          </cell>
          <cell r="I1463" t="str">
            <v>--</v>
          </cell>
          <cell r="J1463">
            <v>2</v>
          </cell>
          <cell r="K1463">
            <v>2</v>
          </cell>
        </row>
        <row r="1464">
          <cell r="A1464" t="str">
            <v>M1</v>
          </cell>
          <cell r="B1464" t="str">
            <v>B2C</v>
          </cell>
          <cell r="C1464" t="str">
            <v>TRIM</v>
          </cell>
          <cell r="D1464" t="str">
            <v>V-2218</v>
          </cell>
          <cell r="E1464" t="str">
            <v>GATE VA</v>
          </cell>
          <cell r="F1464">
            <v>6</v>
          </cell>
          <cell r="G1464" t="str">
            <v>VG8010400000T00</v>
          </cell>
          <cell r="H1464">
            <v>0.75</v>
          </cell>
          <cell r="I1464" t="str">
            <v>--</v>
          </cell>
          <cell r="J1464">
            <v>4</v>
          </cell>
          <cell r="K1464">
            <v>4</v>
          </cell>
        </row>
        <row r="1465">
          <cell r="A1465" t="str">
            <v>M1</v>
          </cell>
          <cell r="B1465" t="str">
            <v>B2C</v>
          </cell>
          <cell r="C1465" t="str">
            <v>TRIM</v>
          </cell>
          <cell r="D1465" t="str">
            <v>V-2218</v>
          </cell>
          <cell r="E1465" t="str">
            <v>GATE VA</v>
          </cell>
          <cell r="F1465">
            <v>6</v>
          </cell>
          <cell r="G1465" t="str">
            <v>VG8010100000T00</v>
          </cell>
          <cell r="H1465">
            <v>0.75</v>
          </cell>
          <cell r="I1465" t="str">
            <v>--</v>
          </cell>
          <cell r="J1465">
            <v>2</v>
          </cell>
          <cell r="K1465">
            <v>2</v>
          </cell>
        </row>
        <row r="1466">
          <cell r="A1466" t="str">
            <v>M1</v>
          </cell>
          <cell r="B1466" t="str">
            <v>B2C</v>
          </cell>
          <cell r="C1466" t="str">
            <v>SH</v>
          </cell>
          <cell r="D1466" t="str">
            <v>22612</v>
          </cell>
          <cell r="E1466" t="str">
            <v>GLOBE VA</v>
          </cell>
          <cell r="F1466">
            <v>6</v>
          </cell>
          <cell r="G1466" t="str">
            <v>VL8010400000T00</v>
          </cell>
          <cell r="H1466">
            <v>0.75</v>
          </cell>
          <cell r="I1466" t="str">
            <v>--</v>
          </cell>
          <cell r="J1466">
            <v>1</v>
          </cell>
          <cell r="K1466">
            <v>1</v>
          </cell>
        </row>
        <row r="1467">
          <cell r="A1467" t="str">
            <v>M1</v>
          </cell>
          <cell r="B1467" t="str">
            <v>B2C</v>
          </cell>
          <cell r="C1467" t="str">
            <v>SH</v>
          </cell>
          <cell r="D1467" t="str">
            <v>22613</v>
          </cell>
          <cell r="E1467" t="str">
            <v>GLOBE VA</v>
          </cell>
          <cell r="F1467">
            <v>6</v>
          </cell>
          <cell r="G1467" t="str">
            <v>VL8010400000T00</v>
          </cell>
          <cell r="H1467">
            <v>0.75</v>
          </cell>
          <cell r="I1467" t="str">
            <v>--</v>
          </cell>
          <cell r="J1467">
            <v>1</v>
          </cell>
          <cell r="K1467">
            <v>1</v>
          </cell>
        </row>
        <row r="1468">
          <cell r="A1468" t="str">
            <v>M1</v>
          </cell>
          <cell r="B1468" t="str">
            <v>A5C</v>
          </cell>
          <cell r="C1468" t="str">
            <v>N</v>
          </cell>
          <cell r="D1468" t="str">
            <v>22670</v>
          </cell>
          <cell r="E1468" t="str">
            <v>BALL VA</v>
          </cell>
          <cell r="F1468">
            <v>6</v>
          </cell>
          <cell r="G1468" t="str">
            <v>VB8010600000T00</v>
          </cell>
          <cell r="H1468">
            <v>0.75</v>
          </cell>
          <cell r="I1468" t="str">
            <v>--</v>
          </cell>
          <cell r="J1468">
            <v>1</v>
          </cell>
          <cell r="K1468">
            <v>1</v>
          </cell>
        </row>
        <row r="1469">
          <cell r="A1469" t="str">
            <v>M1</v>
          </cell>
          <cell r="B1469" t="str">
            <v>A5C</v>
          </cell>
          <cell r="C1469" t="str">
            <v>N</v>
          </cell>
          <cell r="D1469" t="str">
            <v>25611</v>
          </cell>
          <cell r="E1469" t="str">
            <v>BALL VA</v>
          </cell>
          <cell r="F1469">
            <v>6</v>
          </cell>
          <cell r="G1469" t="str">
            <v>VB8010600000T00</v>
          </cell>
          <cell r="H1469">
            <v>0.75</v>
          </cell>
          <cell r="I1469" t="str">
            <v>--</v>
          </cell>
          <cell r="J1469">
            <v>1</v>
          </cell>
          <cell r="K1469">
            <v>1</v>
          </cell>
        </row>
        <row r="1470">
          <cell r="A1470" t="str">
            <v>M1</v>
          </cell>
          <cell r="B1470" t="str">
            <v>A5C</v>
          </cell>
          <cell r="C1470" t="str">
            <v>N</v>
          </cell>
          <cell r="D1470" t="str">
            <v>25611</v>
          </cell>
          <cell r="E1470" t="str">
            <v>BALL VA</v>
          </cell>
          <cell r="F1470">
            <v>6</v>
          </cell>
          <cell r="G1470" t="str">
            <v>VB8010600000T00</v>
          </cell>
          <cell r="H1470">
            <v>0.75</v>
          </cell>
          <cell r="I1470" t="str">
            <v>--</v>
          </cell>
          <cell r="J1470">
            <v>1</v>
          </cell>
          <cell r="K1470">
            <v>1</v>
          </cell>
        </row>
        <row r="1471">
          <cell r="A1471" t="str">
            <v>M1</v>
          </cell>
          <cell r="B1471" t="str">
            <v>A5C</v>
          </cell>
          <cell r="C1471" t="str">
            <v>P</v>
          </cell>
          <cell r="D1471" t="str">
            <v>22069</v>
          </cell>
          <cell r="E1471" t="str">
            <v>BALL VA</v>
          </cell>
          <cell r="F1471">
            <v>6</v>
          </cell>
          <cell r="G1471" t="str">
            <v>VB8010600000T00</v>
          </cell>
          <cell r="H1471">
            <v>0.75</v>
          </cell>
          <cell r="I1471" t="str">
            <v>--</v>
          </cell>
          <cell r="J1471">
            <v>1</v>
          </cell>
          <cell r="K1471">
            <v>1</v>
          </cell>
        </row>
        <row r="1472">
          <cell r="A1472" t="str">
            <v>M1</v>
          </cell>
          <cell r="B1472" t="str">
            <v>A5C</v>
          </cell>
          <cell r="C1472" t="str">
            <v>P</v>
          </cell>
          <cell r="D1472" t="str">
            <v>22071</v>
          </cell>
          <cell r="E1472" t="str">
            <v>BALL VA</v>
          </cell>
          <cell r="F1472">
            <v>6</v>
          </cell>
          <cell r="G1472" t="str">
            <v>VB8010600000T00</v>
          </cell>
          <cell r="H1472">
            <v>0.75</v>
          </cell>
          <cell r="I1472" t="str">
            <v>--</v>
          </cell>
          <cell r="J1472">
            <v>1</v>
          </cell>
          <cell r="K1472">
            <v>1</v>
          </cell>
        </row>
        <row r="1473">
          <cell r="A1473" t="str">
            <v>M1</v>
          </cell>
          <cell r="B1473" t="str">
            <v>A5C</v>
          </cell>
          <cell r="C1473" t="str">
            <v>P</v>
          </cell>
          <cell r="D1473" t="str">
            <v>22065</v>
          </cell>
          <cell r="E1473" t="str">
            <v>BALL VA</v>
          </cell>
          <cell r="F1473">
            <v>6</v>
          </cell>
          <cell r="G1473" t="str">
            <v>VB8010600000T00</v>
          </cell>
          <cell r="H1473">
            <v>0.75</v>
          </cell>
          <cell r="I1473" t="str">
            <v>--</v>
          </cell>
          <cell r="J1473">
            <v>5</v>
          </cell>
          <cell r="K1473">
            <v>5</v>
          </cell>
        </row>
        <row r="1474">
          <cell r="A1474" t="str">
            <v>M1</v>
          </cell>
          <cell r="B1474" t="str">
            <v>A5C</v>
          </cell>
          <cell r="C1474" t="str">
            <v>P</v>
          </cell>
          <cell r="D1474" t="str">
            <v>22065</v>
          </cell>
          <cell r="E1474" t="str">
            <v>BALL VA</v>
          </cell>
          <cell r="F1474">
            <v>6</v>
          </cell>
          <cell r="G1474" t="str">
            <v>VB8010600000T00</v>
          </cell>
          <cell r="H1474">
            <v>0.75</v>
          </cell>
          <cell r="I1474" t="str">
            <v>--</v>
          </cell>
          <cell r="J1474">
            <v>2</v>
          </cell>
          <cell r="K1474">
            <v>2</v>
          </cell>
        </row>
        <row r="1475">
          <cell r="A1475" t="str">
            <v>M1</v>
          </cell>
          <cell r="B1475" t="str">
            <v>A5C</v>
          </cell>
          <cell r="C1475" t="str">
            <v>P</v>
          </cell>
          <cell r="D1475" t="str">
            <v>22078</v>
          </cell>
          <cell r="E1475" t="str">
            <v>BALL VA</v>
          </cell>
          <cell r="F1475">
            <v>6</v>
          </cell>
          <cell r="G1475" t="str">
            <v>VB8010600000T00</v>
          </cell>
          <cell r="H1475">
            <v>0.75</v>
          </cell>
          <cell r="I1475" t="str">
            <v>--</v>
          </cell>
          <cell r="J1475">
            <v>1</v>
          </cell>
          <cell r="K1475">
            <v>1</v>
          </cell>
        </row>
        <row r="1476">
          <cell r="A1476" t="str">
            <v>M1</v>
          </cell>
          <cell r="B1476" t="str">
            <v>A5C</v>
          </cell>
          <cell r="C1476" t="str">
            <v>P</v>
          </cell>
          <cell r="D1476" t="str">
            <v>22087</v>
          </cell>
          <cell r="E1476" t="str">
            <v>BALL VA</v>
          </cell>
          <cell r="F1476">
            <v>6</v>
          </cell>
          <cell r="G1476" t="str">
            <v>VB8010600000T00</v>
          </cell>
          <cell r="H1476">
            <v>0.75</v>
          </cell>
          <cell r="I1476" t="str">
            <v>--</v>
          </cell>
          <cell r="J1476">
            <v>1</v>
          </cell>
          <cell r="K1476">
            <v>1</v>
          </cell>
        </row>
        <row r="1477">
          <cell r="A1477" t="str">
            <v>M1</v>
          </cell>
          <cell r="B1477" t="str">
            <v>A5C</v>
          </cell>
          <cell r="C1477" t="str">
            <v>P</v>
          </cell>
          <cell r="D1477" t="str">
            <v>22071</v>
          </cell>
          <cell r="E1477" t="str">
            <v>BALL VA</v>
          </cell>
          <cell r="F1477">
            <v>6</v>
          </cell>
          <cell r="G1477" t="str">
            <v>VB8010600000T00</v>
          </cell>
          <cell r="H1477">
            <v>0.75</v>
          </cell>
          <cell r="I1477" t="str">
            <v>--</v>
          </cell>
          <cell r="J1477">
            <v>2</v>
          </cell>
          <cell r="K1477">
            <v>2</v>
          </cell>
        </row>
        <row r="1478">
          <cell r="A1478" t="str">
            <v>M1</v>
          </cell>
          <cell r="B1478" t="str">
            <v>A5C</v>
          </cell>
          <cell r="C1478" t="str">
            <v>P</v>
          </cell>
          <cell r="D1478" t="str">
            <v>22101</v>
          </cell>
          <cell r="E1478" t="str">
            <v>BALL VA</v>
          </cell>
          <cell r="F1478">
            <v>6</v>
          </cell>
          <cell r="G1478" t="str">
            <v>VB8010600000T00</v>
          </cell>
          <cell r="H1478">
            <v>0.75</v>
          </cell>
          <cell r="I1478" t="str">
            <v>--</v>
          </cell>
          <cell r="J1478">
            <v>2</v>
          </cell>
          <cell r="K1478">
            <v>2</v>
          </cell>
        </row>
        <row r="1479">
          <cell r="A1479" t="str">
            <v>M1</v>
          </cell>
          <cell r="B1479" t="str">
            <v>A5C</v>
          </cell>
          <cell r="C1479" t="str">
            <v>P</v>
          </cell>
          <cell r="D1479" t="str">
            <v>22102</v>
          </cell>
          <cell r="E1479" t="str">
            <v>BALL VA</v>
          </cell>
          <cell r="F1479">
            <v>6</v>
          </cell>
          <cell r="G1479" t="str">
            <v>VB8010600000T00</v>
          </cell>
          <cell r="H1479">
            <v>0.75</v>
          </cell>
          <cell r="I1479" t="str">
            <v>--</v>
          </cell>
          <cell r="J1479">
            <v>2</v>
          </cell>
          <cell r="K1479">
            <v>2</v>
          </cell>
        </row>
        <row r="1480">
          <cell r="A1480" t="str">
            <v>M1</v>
          </cell>
          <cell r="B1480" t="str">
            <v>A5C</v>
          </cell>
          <cell r="C1480" t="str">
            <v>P</v>
          </cell>
          <cell r="D1480" t="str">
            <v>22102</v>
          </cell>
          <cell r="E1480" t="str">
            <v>BALL VA</v>
          </cell>
          <cell r="F1480">
            <v>6</v>
          </cell>
          <cell r="G1480" t="str">
            <v>VB8010600000T00</v>
          </cell>
          <cell r="H1480">
            <v>0.75</v>
          </cell>
          <cell r="I1480" t="str">
            <v>--</v>
          </cell>
          <cell r="J1480">
            <v>3</v>
          </cell>
          <cell r="K1480">
            <v>3</v>
          </cell>
        </row>
        <row r="1481">
          <cell r="A1481" t="str">
            <v>M1</v>
          </cell>
          <cell r="B1481" t="str">
            <v>A5C</v>
          </cell>
          <cell r="C1481" t="str">
            <v>P</v>
          </cell>
          <cell r="D1481" t="str">
            <v>22102</v>
          </cell>
          <cell r="E1481" t="str">
            <v>BALL VA</v>
          </cell>
          <cell r="F1481">
            <v>6</v>
          </cell>
          <cell r="G1481" t="str">
            <v>VB8010600000T00</v>
          </cell>
          <cell r="H1481">
            <v>0.75</v>
          </cell>
          <cell r="I1481" t="str">
            <v>--</v>
          </cell>
          <cell r="J1481">
            <v>2</v>
          </cell>
          <cell r="K1481">
            <v>2</v>
          </cell>
        </row>
        <row r="1482">
          <cell r="A1482" t="str">
            <v>M1</v>
          </cell>
          <cell r="B1482" t="str">
            <v>A5C</v>
          </cell>
          <cell r="C1482" t="str">
            <v>P</v>
          </cell>
          <cell r="D1482" t="str">
            <v>22102</v>
          </cell>
          <cell r="E1482" t="str">
            <v>BALL VA</v>
          </cell>
          <cell r="F1482">
            <v>6</v>
          </cell>
          <cell r="G1482" t="str">
            <v>VB8010600000T00</v>
          </cell>
          <cell r="H1482">
            <v>0.75</v>
          </cell>
          <cell r="I1482" t="str">
            <v>--</v>
          </cell>
          <cell r="J1482">
            <v>2</v>
          </cell>
          <cell r="K1482">
            <v>2</v>
          </cell>
        </row>
        <row r="1483">
          <cell r="A1483" t="str">
            <v>M1</v>
          </cell>
          <cell r="B1483" t="str">
            <v>A5C</v>
          </cell>
          <cell r="C1483" t="str">
            <v>P</v>
          </cell>
          <cell r="D1483" t="str">
            <v>22104</v>
          </cell>
          <cell r="E1483" t="str">
            <v>BALL VA</v>
          </cell>
          <cell r="F1483">
            <v>6</v>
          </cell>
          <cell r="G1483" t="str">
            <v>VB8010600000T00</v>
          </cell>
          <cell r="H1483">
            <v>0.75</v>
          </cell>
          <cell r="I1483" t="str">
            <v>--</v>
          </cell>
          <cell r="J1483">
            <v>1</v>
          </cell>
          <cell r="K1483">
            <v>1</v>
          </cell>
        </row>
        <row r="1484">
          <cell r="A1484" t="str">
            <v>M1</v>
          </cell>
          <cell r="B1484" t="str">
            <v>A5C</v>
          </cell>
          <cell r="C1484" t="str">
            <v>P</v>
          </cell>
          <cell r="D1484" t="str">
            <v>22114</v>
          </cell>
          <cell r="E1484" t="str">
            <v>BALL VA</v>
          </cell>
          <cell r="F1484">
            <v>6</v>
          </cell>
          <cell r="G1484" t="str">
            <v>VB8010600000T00</v>
          </cell>
          <cell r="H1484">
            <v>0.75</v>
          </cell>
          <cell r="I1484" t="str">
            <v>--</v>
          </cell>
          <cell r="J1484">
            <v>1</v>
          </cell>
          <cell r="K1484">
            <v>1</v>
          </cell>
        </row>
        <row r="1485">
          <cell r="A1485" t="str">
            <v>M1</v>
          </cell>
          <cell r="B1485" t="str">
            <v>A5C</v>
          </cell>
          <cell r="C1485" t="str">
            <v>P</v>
          </cell>
          <cell r="D1485" t="str">
            <v>22106</v>
          </cell>
          <cell r="E1485" t="str">
            <v>BALL VA</v>
          </cell>
          <cell r="F1485">
            <v>6</v>
          </cell>
          <cell r="G1485" t="str">
            <v>VB8010600000T00</v>
          </cell>
          <cell r="H1485">
            <v>0.75</v>
          </cell>
          <cell r="I1485" t="str">
            <v>--</v>
          </cell>
          <cell r="J1485">
            <v>2</v>
          </cell>
          <cell r="K1485">
            <v>2</v>
          </cell>
        </row>
        <row r="1486">
          <cell r="A1486" t="str">
            <v>M1</v>
          </cell>
          <cell r="B1486" t="str">
            <v>A5C</v>
          </cell>
          <cell r="C1486" t="str">
            <v>P</v>
          </cell>
          <cell r="D1486" t="str">
            <v>22113</v>
          </cell>
          <cell r="E1486" t="str">
            <v>BALL VA</v>
          </cell>
          <cell r="F1486">
            <v>6</v>
          </cell>
          <cell r="G1486" t="str">
            <v>VB8010600000T00</v>
          </cell>
          <cell r="H1486">
            <v>0.75</v>
          </cell>
          <cell r="I1486" t="str">
            <v>--</v>
          </cell>
          <cell r="J1486">
            <v>1</v>
          </cell>
          <cell r="K1486">
            <v>1</v>
          </cell>
        </row>
        <row r="1487">
          <cell r="A1487" t="str">
            <v>M1</v>
          </cell>
          <cell r="B1487" t="str">
            <v>A5C</v>
          </cell>
          <cell r="C1487" t="str">
            <v>P</v>
          </cell>
          <cell r="D1487" t="str">
            <v>22130</v>
          </cell>
          <cell r="E1487" t="str">
            <v>BALL VA</v>
          </cell>
          <cell r="F1487">
            <v>6</v>
          </cell>
          <cell r="G1487" t="str">
            <v>VB8010600000T00</v>
          </cell>
          <cell r="H1487">
            <v>0.75</v>
          </cell>
          <cell r="I1487" t="str">
            <v>--</v>
          </cell>
          <cell r="J1487">
            <v>2</v>
          </cell>
          <cell r="K1487">
            <v>2</v>
          </cell>
        </row>
        <row r="1488">
          <cell r="A1488" t="str">
            <v>M1</v>
          </cell>
          <cell r="B1488" t="str">
            <v>A5C</v>
          </cell>
          <cell r="C1488" t="str">
            <v>P</v>
          </cell>
          <cell r="D1488" t="str">
            <v>22140</v>
          </cell>
          <cell r="E1488" t="str">
            <v>BALL VA</v>
          </cell>
          <cell r="F1488">
            <v>6</v>
          </cell>
          <cell r="G1488" t="str">
            <v>VB8010600000T00</v>
          </cell>
          <cell r="H1488">
            <v>0.75</v>
          </cell>
          <cell r="I1488" t="str">
            <v>--</v>
          </cell>
          <cell r="J1488">
            <v>2</v>
          </cell>
          <cell r="K1488">
            <v>2</v>
          </cell>
        </row>
        <row r="1489">
          <cell r="A1489" t="str">
            <v>M1</v>
          </cell>
          <cell r="B1489" t="str">
            <v>A5C</v>
          </cell>
          <cell r="C1489" t="str">
            <v>TRIM</v>
          </cell>
          <cell r="D1489" t="str">
            <v>V-2206</v>
          </cell>
          <cell r="E1489" t="str">
            <v>BALL VA</v>
          </cell>
          <cell r="F1489">
            <v>6</v>
          </cell>
          <cell r="G1489" t="str">
            <v>VB8010600000T00</v>
          </cell>
          <cell r="H1489">
            <v>0.75</v>
          </cell>
          <cell r="I1489" t="str">
            <v>--</v>
          </cell>
          <cell r="J1489">
            <v>2</v>
          </cell>
          <cell r="K1489">
            <v>2</v>
          </cell>
        </row>
        <row r="1490">
          <cell r="A1490" t="str">
            <v>M1</v>
          </cell>
          <cell r="B1490" t="str">
            <v>A5C</v>
          </cell>
          <cell r="C1490" t="str">
            <v>TRIM</v>
          </cell>
          <cell r="D1490" t="str">
            <v>V-2211</v>
          </cell>
          <cell r="E1490" t="str">
            <v>BALL VA</v>
          </cell>
          <cell r="F1490">
            <v>6</v>
          </cell>
          <cell r="G1490" t="str">
            <v>VB8010600000T00</v>
          </cell>
          <cell r="H1490">
            <v>0.75</v>
          </cell>
          <cell r="I1490" t="str">
            <v>--</v>
          </cell>
          <cell r="J1490">
            <v>2</v>
          </cell>
          <cell r="K1490">
            <v>2</v>
          </cell>
        </row>
        <row r="1491">
          <cell r="A1491" t="str">
            <v>M1</v>
          </cell>
          <cell r="B1491" t="str">
            <v>A5C</v>
          </cell>
          <cell r="C1491" t="str">
            <v>TRIM</v>
          </cell>
          <cell r="D1491" t="str">
            <v>V-2211</v>
          </cell>
          <cell r="E1491" t="str">
            <v>BALL VA</v>
          </cell>
          <cell r="F1491">
            <v>6</v>
          </cell>
          <cell r="G1491" t="str">
            <v>VB8010600000T00</v>
          </cell>
          <cell r="H1491">
            <v>0.75</v>
          </cell>
          <cell r="I1491" t="str">
            <v>--</v>
          </cell>
          <cell r="J1491">
            <v>4</v>
          </cell>
          <cell r="K1491">
            <v>4</v>
          </cell>
        </row>
        <row r="1492">
          <cell r="A1492" t="str">
            <v>M1</v>
          </cell>
          <cell r="B1492" t="str">
            <v>A5C</v>
          </cell>
          <cell r="C1492" t="str">
            <v>N</v>
          </cell>
          <cell r="D1492" t="str">
            <v>25613</v>
          </cell>
          <cell r="E1492" t="str">
            <v>BALL VA</v>
          </cell>
          <cell r="F1492">
            <v>6</v>
          </cell>
          <cell r="G1492" t="str">
            <v>VB8010600000T00</v>
          </cell>
          <cell r="H1492">
            <v>0.75</v>
          </cell>
          <cell r="I1492" t="str">
            <v>--</v>
          </cell>
          <cell r="J1492">
            <v>1</v>
          </cell>
          <cell r="K1492">
            <v>1</v>
          </cell>
        </row>
        <row r="1493">
          <cell r="A1493" t="str">
            <v>M1</v>
          </cell>
          <cell r="B1493" t="str">
            <v>A5C</v>
          </cell>
          <cell r="C1493" t="str">
            <v>N</v>
          </cell>
          <cell r="D1493" t="str">
            <v>25618</v>
          </cell>
          <cell r="E1493" t="str">
            <v>BALL VA</v>
          </cell>
          <cell r="F1493">
            <v>6</v>
          </cell>
          <cell r="G1493" t="str">
            <v>VB8010600000T00</v>
          </cell>
          <cell r="H1493">
            <v>0.75</v>
          </cell>
          <cell r="I1493" t="str">
            <v>--</v>
          </cell>
          <cell r="J1493">
            <v>1</v>
          </cell>
          <cell r="K1493">
            <v>1</v>
          </cell>
        </row>
        <row r="1494">
          <cell r="A1494" t="str">
            <v>M1</v>
          </cell>
          <cell r="B1494" t="str">
            <v>A5C</v>
          </cell>
          <cell r="C1494" t="str">
            <v>P</v>
          </cell>
          <cell r="D1494" t="str">
            <v>22028</v>
          </cell>
          <cell r="E1494" t="str">
            <v>BALL VA</v>
          </cell>
          <cell r="F1494">
            <v>6</v>
          </cell>
          <cell r="G1494" t="str">
            <v>VB8010600000T00</v>
          </cell>
          <cell r="H1494">
            <v>0.75</v>
          </cell>
          <cell r="I1494" t="str">
            <v>--</v>
          </cell>
          <cell r="J1494">
            <v>1</v>
          </cell>
          <cell r="K1494">
            <v>1</v>
          </cell>
        </row>
        <row r="1495">
          <cell r="A1495" t="str">
            <v>M1</v>
          </cell>
          <cell r="B1495" t="str">
            <v>A5C</v>
          </cell>
          <cell r="C1495" t="str">
            <v>P</v>
          </cell>
          <cell r="D1495" t="str">
            <v>22066</v>
          </cell>
          <cell r="E1495" t="str">
            <v>BALL VA</v>
          </cell>
          <cell r="F1495">
            <v>6</v>
          </cell>
          <cell r="G1495" t="str">
            <v>VB8010600000T00</v>
          </cell>
          <cell r="H1495">
            <v>0.75</v>
          </cell>
          <cell r="I1495" t="str">
            <v>--</v>
          </cell>
          <cell r="J1495">
            <v>4</v>
          </cell>
          <cell r="K1495">
            <v>4</v>
          </cell>
        </row>
        <row r="1496">
          <cell r="A1496" t="str">
            <v>M1</v>
          </cell>
          <cell r="B1496" t="str">
            <v>A5C</v>
          </cell>
          <cell r="C1496" t="str">
            <v>P</v>
          </cell>
          <cell r="D1496" t="str">
            <v>22068</v>
          </cell>
          <cell r="E1496" t="str">
            <v>BALL VA</v>
          </cell>
          <cell r="F1496">
            <v>6</v>
          </cell>
          <cell r="G1496" t="str">
            <v>VB8010600000T00</v>
          </cell>
          <cell r="H1496">
            <v>0.75</v>
          </cell>
          <cell r="I1496" t="str">
            <v>--</v>
          </cell>
          <cell r="J1496">
            <v>2</v>
          </cell>
          <cell r="K1496">
            <v>2</v>
          </cell>
        </row>
        <row r="1497">
          <cell r="A1497" t="str">
            <v>M1</v>
          </cell>
          <cell r="B1497" t="str">
            <v>A5C</v>
          </cell>
          <cell r="C1497" t="str">
            <v>P</v>
          </cell>
          <cell r="D1497" t="str">
            <v>22069</v>
          </cell>
          <cell r="E1497" t="str">
            <v>BALL VA</v>
          </cell>
          <cell r="F1497">
            <v>6</v>
          </cell>
          <cell r="G1497" t="str">
            <v>VB8010600000T00</v>
          </cell>
          <cell r="H1497">
            <v>0.75</v>
          </cell>
          <cell r="I1497" t="str">
            <v>--</v>
          </cell>
          <cell r="J1497">
            <v>2</v>
          </cell>
          <cell r="K1497">
            <v>2</v>
          </cell>
        </row>
        <row r="1498">
          <cell r="A1498" t="str">
            <v>M1</v>
          </cell>
          <cell r="B1498" t="str">
            <v>A5C</v>
          </cell>
          <cell r="C1498" t="str">
            <v>P</v>
          </cell>
          <cell r="D1498" t="str">
            <v>22069</v>
          </cell>
          <cell r="E1498" t="str">
            <v>BALL VA</v>
          </cell>
          <cell r="F1498">
            <v>6</v>
          </cell>
          <cell r="G1498" t="str">
            <v>VB8010600000T00</v>
          </cell>
          <cell r="H1498">
            <v>0.75</v>
          </cell>
          <cell r="I1498" t="str">
            <v>--</v>
          </cell>
          <cell r="J1498">
            <v>2</v>
          </cell>
          <cell r="K1498">
            <v>2</v>
          </cell>
        </row>
        <row r="1499">
          <cell r="A1499" t="str">
            <v>M1</v>
          </cell>
          <cell r="B1499" t="str">
            <v>A5C</v>
          </cell>
          <cell r="C1499" t="str">
            <v>P</v>
          </cell>
          <cell r="D1499" t="str">
            <v>22071</v>
          </cell>
          <cell r="E1499" t="str">
            <v>BALL VA</v>
          </cell>
          <cell r="F1499">
            <v>6</v>
          </cell>
          <cell r="G1499" t="str">
            <v>VB8010600000T00</v>
          </cell>
          <cell r="H1499">
            <v>0.75</v>
          </cell>
          <cell r="I1499" t="str">
            <v>--</v>
          </cell>
          <cell r="J1499">
            <v>2</v>
          </cell>
          <cell r="K1499">
            <v>2</v>
          </cell>
        </row>
        <row r="1500">
          <cell r="A1500" t="str">
            <v>M1</v>
          </cell>
          <cell r="B1500" t="str">
            <v>A5C</v>
          </cell>
          <cell r="C1500" t="str">
            <v>P</v>
          </cell>
          <cell r="D1500" t="str">
            <v>22071</v>
          </cell>
          <cell r="E1500" t="str">
            <v>BALL VA</v>
          </cell>
          <cell r="F1500">
            <v>6</v>
          </cell>
          <cell r="G1500" t="str">
            <v>VB8010600000T00</v>
          </cell>
          <cell r="H1500">
            <v>0.75</v>
          </cell>
          <cell r="I1500" t="str">
            <v>--</v>
          </cell>
          <cell r="J1500">
            <v>4</v>
          </cell>
          <cell r="K1500">
            <v>4</v>
          </cell>
        </row>
        <row r="1501">
          <cell r="A1501" t="str">
            <v>M1</v>
          </cell>
          <cell r="B1501" t="str">
            <v>A5C</v>
          </cell>
          <cell r="C1501" t="str">
            <v>P</v>
          </cell>
          <cell r="D1501" t="str">
            <v>22082</v>
          </cell>
          <cell r="E1501" t="str">
            <v>BALL VA</v>
          </cell>
          <cell r="F1501">
            <v>6</v>
          </cell>
          <cell r="G1501" t="str">
            <v>VB8010600000T00</v>
          </cell>
          <cell r="H1501">
            <v>0.75</v>
          </cell>
          <cell r="I1501" t="str">
            <v>--</v>
          </cell>
          <cell r="J1501">
            <v>2</v>
          </cell>
          <cell r="K1501">
            <v>2</v>
          </cell>
        </row>
        <row r="1502">
          <cell r="A1502" t="str">
            <v>M1</v>
          </cell>
          <cell r="B1502" t="str">
            <v>A5C</v>
          </cell>
          <cell r="C1502" t="str">
            <v>P</v>
          </cell>
          <cell r="D1502" t="str">
            <v>22103</v>
          </cell>
          <cell r="E1502" t="str">
            <v>BALL VA</v>
          </cell>
          <cell r="F1502">
            <v>6</v>
          </cell>
          <cell r="G1502" t="str">
            <v>VB8010600000T00</v>
          </cell>
          <cell r="H1502">
            <v>0.75</v>
          </cell>
          <cell r="I1502" t="str">
            <v>--</v>
          </cell>
          <cell r="J1502">
            <v>1</v>
          </cell>
          <cell r="K1502">
            <v>1</v>
          </cell>
        </row>
        <row r="1503">
          <cell r="A1503" t="str">
            <v>M1</v>
          </cell>
          <cell r="B1503" t="str">
            <v>A5C</v>
          </cell>
          <cell r="C1503" t="str">
            <v>P</v>
          </cell>
          <cell r="D1503" t="str">
            <v>22139</v>
          </cell>
          <cell r="E1503" t="str">
            <v>BALL VA</v>
          </cell>
          <cell r="F1503">
            <v>6</v>
          </cell>
          <cell r="G1503" t="str">
            <v>VB8010600000T00</v>
          </cell>
          <cell r="H1503">
            <v>0.75</v>
          </cell>
          <cell r="I1503" t="str">
            <v>--</v>
          </cell>
          <cell r="J1503">
            <v>2</v>
          </cell>
          <cell r="K1503">
            <v>2</v>
          </cell>
        </row>
        <row r="1504">
          <cell r="A1504" t="str">
            <v>M1</v>
          </cell>
          <cell r="B1504" t="str">
            <v>A5C</v>
          </cell>
          <cell r="C1504" t="str">
            <v>P</v>
          </cell>
          <cell r="D1504" t="str">
            <v>22081</v>
          </cell>
          <cell r="E1504" t="str">
            <v>BALL VA</v>
          </cell>
          <cell r="F1504">
            <v>6</v>
          </cell>
          <cell r="G1504" t="str">
            <v>VB8010600000T00</v>
          </cell>
          <cell r="H1504">
            <v>0.75</v>
          </cell>
          <cell r="I1504" t="str">
            <v>--</v>
          </cell>
          <cell r="J1504">
            <v>3</v>
          </cell>
          <cell r="K1504">
            <v>3</v>
          </cell>
        </row>
        <row r="1505">
          <cell r="A1505" t="str">
            <v>M1</v>
          </cell>
          <cell r="B1505" t="str">
            <v>A5C</v>
          </cell>
          <cell r="C1505" t="str">
            <v>P</v>
          </cell>
          <cell r="D1505" t="str">
            <v>22153</v>
          </cell>
          <cell r="E1505" t="str">
            <v>BELLOWS VA</v>
          </cell>
          <cell r="F1505">
            <v>6</v>
          </cell>
          <cell r="G1505" t="str">
            <v>VBE8010200000T00</v>
          </cell>
          <cell r="H1505">
            <v>0.75</v>
          </cell>
          <cell r="I1505" t="str">
            <v>--</v>
          </cell>
          <cell r="J1505">
            <v>4</v>
          </cell>
          <cell r="K1505">
            <v>4</v>
          </cell>
        </row>
        <row r="1506">
          <cell r="A1506" t="str">
            <v>M1</v>
          </cell>
          <cell r="B1506" t="str">
            <v>A5C</v>
          </cell>
          <cell r="C1506" t="str">
            <v>N</v>
          </cell>
          <cell r="D1506" t="str">
            <v>22617</v>
          </cell>
          <cell r="E1506" t="str">
            <v>CHECK VA</v>
          </cell>
          <cell r="F1506">
            <v>6</v>
          </cell>
          <cell r="G1506" t="str">
            <v>VCB8010400000T00</v>
          </cell>
          <cell r="H1506">
            <v>0.75</v>
          </cell>
          <cell r="I1506" t="str">
            <v>--</v>
          </cell>
          <cell r="J1506">
            <v>1</v>
          </cell>
          <cell r="K1506">
            <v>1</v>
          </cell>
        </row>
        <row r="1507">
          <cell r="A1507" t="str">
            <v>M1</v>
          </cell>
          <cell r="B1507" t="str">
            <v>A5C</v>
          </cell>
          <cell r="C1507" t="str">
            <v>SCC</v>
          </cell>
          <cell r="D1507" t="str">
            <v>HOLD1</v>
          </cell>
          <cell r="E1507" t="str">
            <v>GATE VA</v>
          </cell>
          <cell r="F1507">
            <v>6</v>
          </cell>
          <cell r="G1507" t="str">
            <v>VG8010100000T00</v>
          </cell>
          <cell r="H1507">
            <v>0.75</v>
          </cell>
          <cell r="I1507" t="str">
            <v>--</v>
          </cell>
          <cell r="J1507">
            <v>6</v>
          </cell>
          <cell r="K1507">
            <v>6</v>
          </cell>
        </row>
        <row r="1508">
          <cell r="A1508" t="str">
            <v>M1</v>
          </cell>
          <cell r="B1508" t="str">
            <v>A5C</v>
          </cell>
          <cell r="C1508" t="str">
            <v>SCD</v>
          </cell>
          <cell r="D1508" t="str">
            <v>HOLD1</v>
          </cell>
          <cell r="E1508" t="str">
            <v>GATE VA</v>
          </cell>
          <cell r="F1508">
            <v>6</v>
          </cell>
          <cell r="G1508" t="str">
            <v>VG8010100000T00</v>
          </cell>
          <cell r="H1508">
            <v>0.75</v>
          </cell>
          <cell r="I1508" t="str">
            <v>--</v>
          </cell>
          <cell r="J1508">
            <v>6</v>
          </cell>
          <cell r="K1508">
            <v>6</v>
          </cell>
        </row>
        <row r="1509">
          <cell r="A1509" t="str">
            <v>M1</v>
          </cell>
          <cell r="B1509" t="str">
            <v>A5C</v>
          </cell>
          <cell r="C1509" t="str">
            <v>N</v>
          </cell>
          <cell r="D1509" t="str">
            <v>22617</v>
          </cell>
          <cell r="E1509" t="str">
            <v>GLOBE VA</v>
          </cell>
          <cell r="F1509">
            <v>6</v>
          </cell>
          <cell r="G1509" t="str">
            <v>VL8010100000T00</v>
          </cell>
          <cell r="H1509">
            <v>0.75</v>
          </cell>
          <cell r="I1509" t="str">
            <v>--</v>
          </cell>
          <cell r="J1509">
            <v>2</v>
          </cell>
          <cell r="K1509">
            <v>2</v>
          </cell>
        </row>
        <row r="1510">
          <cell r="A1510" t="str">
            <v>M1</v>
          </cell>
          <cell r="B1510" t="str">
            <v>A5C</v>
          </cell>
          <cell r="C1510" t="str">
            <v>P</v>
          </cell>
          <cell r="D1510" t="str">
            <v>22090</v>
          </cell>
          <cell r="E1510" t="str">
            <v>BALL VA</v>
          </cell>
          <cell r="F1510">
            <v>6</v>
          </cell>
          <cell r="G1510" t="str">
            <v>VB8010600000T00</v>
          </cell>
          <cell r="H1510">
            <v>0.75</v>
          </cell>
          <cell r="I1510" t="str">
            <v>--</v>
          </cell>
          <cell r="J1510">
            <v>1</v>
          </cell>
          <cell r="K1510">
            <v>1</v>
          </cell>
        </row>
        <row r="1511">
          <cell r="A1511" t="str">
            <v>M1</v>
          </cell>
          <cell r="B1511" t="str">
            <v>A5C</v>
          </cell>
          <cell r="C1511" t="str">
            <v>P</v>
          </cell>
          <cell r="D1511" t="str">
            <v>22100</v>
          </cell>
          <cell r="E1511" t="str">
            <v>BALL VA</v>
          </cell>
          <cell r="F1511">
            <v>6</v>
          </cell>
          <cell r="G1511" t="str">
            <v>VB8010600000T00</v>
          </cell>
          <cell r="H1511">
            <v>0.75</v>
          </cell>
          <cell r="I1511" t="str">
            <v>--</v>
          </cell>
          <cell r="J1511">
            <v>2</v>
          </cell>
          <cell r="K1511">
            <v>2</v>
          </cell>
        </row>
        <row r="1512">
          <cell r="A1512" t="str">
            <v>M1</v>
          </cell>
          <cell r="B1512" t="str">
            <v>A5C</v>
          </cell>
          <cell r="C1512" t="str">
            <v>P</v>
          </cell>
          <cell r="D1512" t="str">
            <v>22092</v>
          </cell>
          <cell r="E1512" t="str">
            <v>BALL VA</v>
          </cell>
          <cell r="F1512">
            <v>6</v>
          </cell>
          <cell r="G1512" t="str">
            <v>VB8010600000T00</v>
          </cell>
          <cell r="H1512">
            <v>0.75</v>
          </cell>
          <cell r="I1512" t="str">
            <v>--</v>
          </cell>
          <cell r="J1512">
            <v>1</v>
          </cell>
          <cell r="K1512">
            <v>1</v>
          </cell>
        </row>
        <row r="1513">
          <cell r="A1513" t="str">
            <v>M1</v>
          </cell>
          <cell r="B1513" t="str">
            <v>A5C</v>
          </cell>
          <cell r="C1513" t="str">
            <v>P</v>
          </cell>
          <cell r="D1513" t="str">
            <v>22093</v>
          </cell>
          <cell r="E1513" t="str">
            <v>BALL VA</v>
          </cell>
          <cell r="F1513">
            <v>6</v>
          </cell>
          <cell r="G1513" t="str">
            <v>VB8010600000T00</v>
          </cell>
          <cell r="H1513">
            <v>0.75</v>
          </cell>
          <cell r="I1513" t="str">
            <v>--</v>
          </cell>
          <cell r="J1513">
            <v>1</v>
          </cell>
          <cell r="K1513">
            <v>1</v>
          </cell>
        </row>
        <row r="1514">
          <cell r="A1514" t="str">
            <v>M1</v>
          </cell>
          <cell r="B1514" t="str">
            <v>A5C</v>
          </cell>
          <cell r="C1514" t="str">
            <v>P</v>
          </cell>
          <cell r="D1514" t="str">
            <v>22099</v>
          </cell>
          <cell r="E1514" t="str">
            <v>BALL VA</v>
          </cell>
          <cell r="F1514">
            <v>6</v>
          </cell>
          <cell r="G1514" t="str">
            <v>VB8010600000T00</v>
          </cell>
          <cell r="H1514">
            <v>0.75</v>
          </cell>
          <cell r="I1514" t="str">
            <v>--</v>
          </cell>
          <cell r="J1514">
            <v>2</v>
          </cell>
          <cell r="K1514">
            <v>2</v>
          </cell>
        </row>
        <row r="1515">
          <cell r="A1515" t="str">
            <v>M1</v>
          </cell>
          <cell r="B1515" t="str">
            <v>A6C</v>
          </cell>
          <cell r="C1515" t="str">
            <v>HOR</v>
          </cell>
          <cell r="D1515" t="str">
            <v>65612</v>
          </cell>
          <cell r="E1515" t="str">
            <v>BELLOWS VA</v>
          </cell>
          <cell r="F1515">
            <v>6</v>
          </cell>
          <cell r="G1515" t="str">
            <v>VBE8010800000T00</v>
          </cell>
          <cell r="H1515">
            <v>0.75</v>
          </cell>
          <cell r="I1515" t="str">
            <v>--</v>
          </cell>
          <cell r="J1515">
            <v>2</v>
          </cell>
          <cell r="K1515">
            <v>2</v>
          </cell>
        </row>
        <row r="1516">
          <cell r="A1516" t="str">
            <v>M1</v>
          </cell>
          <cell r="B1516" t="str">
            <v>A6C</v>
          </cell>
          <cell r="C1516" t="str">
            <v>HOR</v>
          </cell>
          <cell r="D1516" t="str">
            <v>65612</v>
          </cell>
          <cell r="E1516" t="str">
            <v>BELLOWS VA</v>
          </cell>
          <cell r="F1516">
            <v>6</v>
          </cell>
          <cell r="G1516" t="str">
            <v>VBE8010800000T00</v>
          </cell>
          <cell r="H1516">
            <v>0.75</v>
          </cell>
          <cell r="I1516" t="str">
            <v>--</v>
          </cell>
          <cell r="J1516">
            <v>4</v>
          </cell>
          <cell r="K1516">
            <v>4</v>
          </cell>
        </row>
        <row r="1517">
          <cell r="A1517" t="str">
            <v>M1</v>
          </cell>
          <cell r="B1517" t="str">
            <v>A5C</v>
          </cell>
          <cell r="C1517" t="str">
            <v>WW</v>
          </cell>
          <cell r="D1517" t="str">
            <v>22601</v>
          </cell>
          <cell r="E1517" t="str">
            <v>BALL VA</v>
          </cell>
          <cell r="F1517">
            <v>6</v>
          </cell>
          <cell r="G1517" t="str">
            <v>VB8010600000T00</v>
          </cell>
          <cell r="H1517">
            <v>0.75</v>
          </cell>
          <cell r="I1517" t="str">
            <v>--</v>
          </cell>
          <cell r="J1517">
            <v>2</v>
          </cell>
          <cell r="K1517">
            <v>2</v>
          </cell>
        </row>
        <row r="1518">
          <cell r="A1518" t="str">
            <v>M1</v>
          </cell>
          <cell r="B1518" t="str">
            <v>A5C</v>
          </cell>
          <cell r="C1518" t="str">
            <v>WW</v>
          </cell>
          <cell r="D1518" t="str">
            <v>22601</v>
          </cell>
          <cell r="E1518" t="str">
            <v>BALL VA</v>
          </cell>
          <cell r="F1518">
            <v>6</v>
          </cell>
          <cell r="G1518" t="str">
            <v>VB8010600000T00</v>
          </cell>
          <cell r="H1518">
            <v>0.75</v>
          </cell>
          <cell r="I1518" t="str">
            <v>--</v>
          </cell>
          <cell r="J1518">
            <v>2</v>
          </cell>
          <cell r="K1518">
            <v>2</v>
          </cell>
        </row>
        <row r="1519">
          <cell r="A1519" t="str">
            <v>M1</v>
          </cell>
          <cell r="B1519" t="str">
            <v>A5C</v>
          </cell>
          <cell r="C1519" t="str">
            <v>P</v>
          </cell>
          <cell r="D1519" t="str">
            <v>22062</v>
          </cell>
          <cell r="E1519" t="str">
            <v>BALL VA</v>
          </cell>
          <cell r="F1519">
            <v>6</v>
          </cell>
          <cell r="G1519" t="str">
            <v>VB8010600000T00</v>
          </cell>
          <cell r="H1519">
            <v>0.75</v>
          </cell>
          <cell r="I1519" t="str">
            <v>--</v>
          </cell>
          <cell r="J1519">
            <v>2</v>
          </cell>
          <cell r="K1519">
            <v>2</v>
          </cell>
        </row>
        <row r="1520">
          <cell r="A1520" t="str">
            <v>M1</v>
          </cell>
          <cell r="B1520" t="str">
            <v>A5C</v>
          </cell>
          <cell r="C1520" t="str">
            <v>P</v>
          </cell>
          <cell r="D1520" t="str">
            <v>22073</v>
          </cell>
          <cell r="E1520" t="str">
            <v>BALL VA</v>
          </cell>
          <cell r="F1520">
            <v>6</v>
          </cell>
          <cell r="G1520" t="str">
            <v>VB8010600000T00</v>
          </cell>
          <cell r="H1520">
            <v>0.75</v>
          </cell>
          <cell r="I1520" t="str">
            <v>--</v>
          </cell>
          <cell r="J1520">
            <v>2</v>
          </cell>
          <cell r="K1520">
            <v>2</v>
          </cell>
        </row>
        <row r="1521">
          <cell r="A1521" t="str">
            <v>M1</v>
          </cell>
          <cell r="B1521" t="str">
            <v>A5C</v>
          </cell>
          <cell r="C1521" t="str">
            <v>P</v>
          </cell>
          <cell r="D1521" t="str">
            <v>22074</v>
          </cell>
          <cell r="E1521" t="str">
            <v>BALL VA</v>
          </cell>
          <cell r="F1521">
            <v>6</v>
          </cell>
          <cell r="G1521" t="str">
            <v>VB8010600000T00</v>
          </cell>
          <cell r="H1521">
            <v>0.75</v>
          </cell>
          <cell r="I1521" t="str">
            <v>--</v>
          </cell>
          <cell r="J1521">
            <v>3</v>
          </cell>
          <cell r="K1521">
            <v>3</v>
          </cell>
        </row>
        <row r="1522">
          <cell r="A1522" t="str">
            <v>M1</v>
          </cell>
          <cell r="B1522" t="str">
            <v>A5C</v>
          </cell>
          <cell r="C1522" t="str">
            <v>P</v>
          </cell>
          <cell r="D1522" t="str">
            <v>22062</v>
          </cell>
          <cell r="E1522" t="str">
            <v>BALL VA</v>
          </cell>
          <cell r="F1522">
            <v>6</v>
          </cell>
          <cell r="G1522" t="str">
            <v>VB8010600000T00</v>
          </cell>
          <cell r="H1522">
            <v>0.75</v>
          </cell>
          <cell r="I1522" t="str">
            <v>--</v>
          </cell>
          <cell r="J1522">
            <v>1</v>
          </cell>
          <cell r="K1522">
            <v>1</v>
          </cell>
        </row>
        <row r="1523">
          <cell r="A1523" t="str">
            <v>M1</v>
          </cell>
          <cell r="B1523" t="str">
            <v>A5C</v>
          </cell>
          <cell r="C1523" t="str">
            <v>P</v>
          </cell>
          <cell r="D1523" t="str">
            <v>22077</v>
          </cell>
          <cell r="E1523" t="str">
            <v>BALL VA</v>
          </cell>
          <cell r="F1523">
            <v>6</v>
          </cell>
          <cell r="G1523" t="str">
            <v>VB8010600000T00</v>
          </cell>
          <cell r="H1523">
            <v>0.75</v>
          </cell>
          <cell r="I1523" t="str">
            <v>--</v>
          </cell>
          <cell r="J1523">
            <v>1</v>
          </cell>
          <cell r="K1523">
            <v>1</v>
          </cell>
        </row>
        <row r="1524">
          <cell r="A1524" t="str">
            <v>M1</v>
          </cell>
          <cell r="B1524" t="str">
            <v>A5C</v>
          </cell>
          <cell r="C1524" t="str">
            <v>P</v>
          </cell>
          <cell r="D1524" t="str">
            <v>22077</v>
          </cell>
          <cell r="E1524" t="str">
            <v>BALL VA</v>
          </cell>
          <cell r="F1524">
            <v>6</v>
          </cell>
          <cell r="G1524" t="str">
            <v>VB8010600000T00</v>
          </cell>
          <cell r="H1524">
            <v>0.75</v>
          </cell>
          <cell r="I1524" t="str">
            <v>--</v>
          </cell>
          <cell r="J1524">
            <v>1</v>
          </cell>
          <cell r="K1524">
            <v>1</v>
          </cell>
        </row>
        <row r="1525">
          <cell r="A1525" t="str">
            <v>M1</v>
          </cell>
          <cell r="B1525" t="str">
            <v>A5C</v>
          </cell>
          <cell r="C1525" t="str">
            <v>P</v>
          </cell>
          <cell r="D1525" t="str">
            <v>22077</v>
          </cell>
          <cell r="E1525" t="str">
            <v>BALL VA</v>
          </cell>
          <cell r="F1525">
            <v>6</v>
          </cell>
          <cell r="G1525" t="str">
            <v>VB8010600000T00</v>
          </cell>
          <cell r="H1525">
            <v>0.75</v>
          </cell>
          <cell r="I1525" t="str">
            <v>--</v>
          </cell>
          <cell r="J1525">
            <v>2</v>
          </cell>
          <cell r="K1525">
            <v>2</v>
          </cell>
        </row>
        <row r="1526">
          <cell r="A1526" t="str">
            <v>M1</v>
          </cell>
          <cell r="B1526" t="str">
            <v>A5C</v>
          </cell>
          <cell r="C1526" t="str">
            <v>P</v>
          </cell>
          <cell r="D1526" t="str">
            <v>22111</v>
          </cell>
          <cell r="E1526" t="str">
            <v>BALL VA</v>
          </cell>
          <cell r="F1526">
            <v>6</v>
          </cell>
          <cell r="G1526" t="str">
            <v>VB8010600000T00</v>
          </cell>
          <cell r="H1526">
            <v>0.75</v>
          </cell>
          <cell r="I1526" t="str">
            <v>--</v>
          </cell>
          <cell r="J1526">
            <v>3</v>
          </cell>
          <cell r="K1526">
            <v>3</v>
          </cell>
        </row>
        <row r="1527">
          <cell r="A1527" t="str">
            <v>M1</v>
          </cell>
          <cell r="B1527" t="str">
            <v>A5C</v>
          </cell>
          <cell r="C1527" t="str">
            <v>P</v>
          </cell>
          <cell r="D1527" t="str">
            <v>22111</v>
          </cell>
          <cell r="E1527" t="str">
            <v>BALL VA</v>
          </cell>
          <cell r="F1527">
            <v>6</v>
          </cell>
          <cell r="G1527" t="str">
            <v>VB8010600000T00</v>
          </cell>
          <cell r="H1527">
            <v>0.75</v>
          </cell>
          <cell r="I1527" t="str">
            <v>--</v>
          </cell>
          <cell r="J1527">
            <v>3</v>
          </cell>
          <cell r="K1527">
            <v>3</v>
          </cell>
        </row>
        <row r="1528">
          <cell r="A1528" t="str">
            <v>M1</v>
          </cell>
          <cell r="B1528" t="str">
            <v>A5C</v>
          </cell>
          <cell r="C1528" t="str">
            <v>TRIM</v>
          </cell>
          <cell r="D1528" t="str">
            <v>V-2214</v>
          </cell>
          <cell r="E1528" t="str">
            <v>BALL VA</v>
          </cell>
          <cell r="F1528">
            <v>6</v>
          </cell>
          <cell r="G1528" t="str">
            <v>VB8010600000T00</v>
          </cell>
          <cell r="H1528">
            <v>0.75</v>
          </cell>
          <cell r="I1528" t="str">
            <v>--</v>
          </cell>
          <cell r="J1528">
            <v>4</v>
          </cell>
          <cell r="K1528">
            <v>4</v>
          </cell>
        </row>
        <row r="1529">
          <cell r="A1529" t="str">
            <v>M1</v>
          </cell>
          <cell r="B1529" t="str">
            <v>A5C</v>
          </cell>
          <cell r="C1529" t="str">
            <v>TRIM</v>
          </cell>
          <cell r="D1529" t="str">
            <v>V-2214</v>
          </cell>
          <cell r="E1529" t="str">
            <v>BALL VA</v>
          </cell>
          <cell r="F1529">
            <v>6</v>
          </cell>
          <cell r="G1529" t="str">
            <v>VB8010600000T00</v>
          </cell>
          <cell r="H1529">
            <v>0.75</v>
          </cell>
          <cell r="I1529" t="str">
            <v>--</v>
          </cell>
          <cell r="J1529">
            <v>1</v>
          </cell>
          <cell r="K1529">
            <v>1</v>
          </cell>
        </row>
        <row r="1530">
          <cell r="A1530" t="str">
            <v>M1</v>
          </cell>
          <cell r="B1530" t="str">
            <v>A5C</v>
          </cell>
          <cell r="C1530" t="str">
            <v>P</v>
          </cell>
          <cell r="D1530" t="str">
            <v>22060</v>
          </cell>
          <cell r="E1530" t="str">
            <v>BALL VA</v>
          </cell>
          <cell r="F1530">
            <v>6</v>
          </cell>
          <cell r="G1530" t="str">
            <v>VB8010600000T00</v>
          </cell>
          <cell r="H1530">
            <v>0.75</v>
          </cell>
          <cell r="I1530" t="str">
            <v>--</v>
          </cell>
          <cell r="J1530">
            <v>1</v>
          </cell>
          <cell r="K1530">
            <v>1</v>
          </cell>
        </row>
        <row r="1531">
          <cell r="A1531" t="str">
            <v>M1</v>
          </cell>
          <cell r="B1531" t="str">
            <v>A5C</v>
          </cell>
          <cell r="C1531" t="str">
            <v>TRIM</v>
          </cell>
          <cell r="D1531" t="str">
            <v>V-2213</v>
          </cell>
          <cell r="E1531" t="str">
            <v>BALL VA</v>
          </cell>
          <cell r="F1531">
            <v>6</v>
          </cell>
          <cell r="G1531" t="str">
            <v>VB8010600000T00</v>
          </cell>
          <cell r="H1531">
            <v>0.75</v>
          </cell>
          <cell r="I1531" t="str">
            <v>--</v>
          </cell>
          <cell r="J1531">
            <v>1</v>
          </cell>
          <cell r="K1531">
            <v>1</v>
          </cell>
        </row>
        <row r="1532">
          <cell r="A1532" t="str">
            <v>M1</v>
          </cell>
          <cell r="B1532" t="str">
            <v>A5C</v>
          </cell>
          <cell r="C1532" t="str">
            <v>TRIM</v>
          </cell>
          <cell r="D1532" t="str">
            <v>V-2213</v>
          </cell>
          <cell r="E1532" t="str">
            <v>BALL VA</v>
          </cell>
          <cell r="F1532">
            <v>6</v>
          </cell>
          <cell r="G1532" t="str">
            <v>VB8010600000T00</v>
          </cell>
          <cell r="H1532">
            <v>0.75</v>
          </cell>
          <cell r="I1532" t="str">
            <v>--</v>
          </cell>
          <cell r="J1532">
            <v>2</v>
          </cell>
          <cell r="K1532">
            <v>2</v>
          </cell>
        </row>
        <row r="1533">
          <cell r="A1533" t="str">
            <v>M1</v>
          </cell>
          <cell r="B1533" t="str">
            <v>A6C</v>
          </cell>
          <cell r="C1533" t="str">
            <v>HOS</v>
          </cell>
          <cell r="D1533" t="str">
            <v>65632</v>
          </cell>
          <cell r="E1533" t="str">
            <v>BELLOWS VA</v>
          </cell>
          <cell r="F1533">
            <v>6</v>
          </cell>
          <cell r="G1533" t="str">
            <v>VBE8010700000T00</v>
          </cell>
          <cell r="H1533">
            <v>0.75</v>
          </cell>
          <cell r="I1533" t="str">
            <v>--</v>
          </cell>
          <cell r="J1533">
            <v>2</v>
          </cell>
          <cell r="K1533">
            <v>2</v>
          </cell>
        </row>
        <row r="1534">
          <cell r="A1534" t="str">
            <v>M1</v>
          </cell>
          <cell r="B1534" t="str">
            <v>A6C</v>
          </cell>
          <cell r="C1534" t="str">
            <v>HOS</v>
          </cell>
          <cell r="D1534" t="str">
            <v>65633</v>
          </cell>
          <cell r="E1534" t="str">
            <v>BELLOWS VA</v>
          </cell>
          <cell r="F1534">
            <v>6</v>
          </cell>
          <cell r="G1534" t="str">
            <v>VBE8010700000T00</v>
          </cell>
          <cell r="H1534">
            <v>0.75</v>
          </cell>
          <cell r="I1534" t="str">
            <v>--</v>
          </cell>
          <cell r="J1534">
            <v>2</v>
          </cell>
          <cell r="K1534">
            <v>2</v>
          </cell>
        </row>
        <row r="1535">
          <cell r="A1535" t="str">
            <v>M1</v>
          </cell>
          <cell r="B1535" t="str">
            <v>A5C</v>
          </cell>
          <cell r="C1535" t="str">
            <v>P</v>
          </cell>
          <cell r="D1535" t="str">
            <v>22001</v>
          </cell>
          <cell r="E1535" t="str">
            <v>BELLOWS VA</v>
          </cell>
          <cell r="F1535">
            <v>6</v>
          </cell>
          <cell r="G1535" t="str">
            <v>VBE8010200000T00</v>
          </cell>
          <cell r="H1535">
            <v>0.75</v>
          </cell>
          <cell r="I1535" t="str">
            <v>--</v>
          </cell>
          <cell r="J1535">
            <v>3</v>
          </cell>
          <cell r="K1535">
            <v>3</v>
          </cell>
        </row>
        <row r="1536">
          <cell r="A1536" t="str">
            <v>M1</v>
          </cell>
          <cell r="B1536" t="str">
            <v>A5C</v>
          </cell>
          <cell r="C1536" t="str">
            <v>P</v>
          </cell>
          <cell r="D1536" t="str">
            <v>22003</v>
          </cell>
          <cell r="E1536" t="str">
            <v>BELLOWS VA</v>
          </cell>
          <cell r="F1536">
            <v>6</v>
          </cell>
          <cell r="G1536" t="str">
            <v>VBE8010100000T00</v>
          </cell>
          <cell r="H1536">
            <v>0.75</v>
          </cell>
          <cell r="I1536" t="str">
            <v>--</v>
          </cell>
          <cell r="J1536">
            <v>1</v>
          </cell>
          <cell r="K1536">
            <v>1</v>
          </cell>
        </row>
        <row r="1537">
          <cell r="A1537" t="str">
            <v>M1</v>
          </cell>
          <cell r="B1537" t="str">
            <v>A5C</v>
          </cell>
          <cell r="C1537" t="str">
            <v>P</v>
          </cell>
          <cell r="D1537" t="str">
            <v>22003</v>
          </cell>
          <cell r="E1537" t="str">
            <v>BELLOWS VA</v>
          </cell>
          <cell r="F1537">
            <v>6</v>
          </cell>
          <cell r="G1537" t="str">
            <v>VBE8010200000T00</v>
          </cell>
          <cell r="H1537">
            <v>0.75</v>
          </cell>
          <cell r="I1537" t="str">
            <v>--</v>
          </cell>
          <cell r="J1537">
            <v>1</v>
          </cell>
          <cell r="K1537">
            <v>1</v>
          </cell>
        </row>
        <row r="1538">
          <cell r="A1538" t="str">
            <v>M1</v>
          </cell>
          <cell r="B1538" t="str">
            <v>A5C</v>
          </cell>
          <cell r="C1538" t="str">
            <v>P</v>
          </cell>
          <cell r="D1538" t="str">
            <v>22004</v>
          </cell>
          <cell r="E1538" t="str">
            <v>BELLOWS VA</v>
          </cell>
          <cell r="F1538">
            <v>6</v>
          </cell>
          <cell r="G1538" t="str">
            <v>VBE8010100000T00</v>
          </cell>
          <cell r="H1538">
            <v>0.75</v>
          </cell>
          <cell r="I1538" t="str">
            <v>--</v>
          </cell>
          <cell r="J1538">
            <v>2</v>
          </cell>
          <cell r="K1538">
            <v>2</v>
          </cell>
        </row>
        <row r="1539">
          <cell r="A1539" t="str">
            <v>M1</v>
          </cell>
          <cell r="B1539" t="str">
            <v>A5C</v>
          </cell>
          <cell r="C1539" t="str">
            <v>P</v>
          </cell>
          <cell r="D1539" t="str">
            <v>22004</v>
          </cell>
          <cell r="E1539" t="str">
            <v>BELLOWS VA</v>
          </cell>
          <cell r="F1539">
            <v>6</v>
          </cell>
          <cell r="G1539" t="str">
            <v>VBE8010100000T00</v>
          </cell>
          <cell r="H1539">
            <v>0.75</v>
          </cell>
          <cell r="I1539" t="str">
            <v>--</v>
          </cell>
          <cell r="J1539">
            <v>1</v>
          </cell>
          <cell r="K1539">
            <v>1</v>
          </cell>
        </row>
        <row r="1540">
          <cell r="A1540" t="str">
            <v>M1</v>
          </cell>
          <cell r="B1540" t="str">
            <v>A5C</v>
          </cell>
          <cell r="C1540" t="str">
            <v>P</v>
          </cell>
          <cell r="D1540" t="str">
            <v>22002</v>
          </cell>
          <cell r="E1540" t="str">
            <v>BELLOWS VA</v>
          </cell>
          <cell r="F1540">
            <v>6</v>
          </cell>
          <cell r="G1540" t="str">
            <v>VBE8010200000T00</v>
          </cell>
          <cell r="H1540">
            <v>0.75</v>
          </cell>
          <cell r="I1540" t="str">
            <v>--</v>
          </cell>
          <cell r="J1540">
            <v>2</v>
          </cell>
          <cell r="K1540">
            <v>2</v>
          </cell>
        </row>
        <row r="1541">
          <cell r="A1541" t="str">
            <v>M1</v>
          </cell>
          <cell r="B1541" t="str">
            <v>A5C</v>
          </cell>
          <cell r="C1541" t="str">
            <v>P</v>
          </cell>
          <cell r="D1541" t="str">
            <v>22005</v>
          </cell>
          <cell r="E1541" t="str">
            <v>BELLOWS VA</v>
          </cell>
          <cell r="F1541">
            <v>6</v>
          </cell>
          <cell r="G1541" t="str">
            <v>VBE8010100000T00</v>
          </cell>
          <cell r="H1541">
            <v>0.75</v>
          </cell>
          <cell r="I1541" t="str">
            <v>--</v>
          </cell>
          <cell r="J1541">
            <v>2</v>
          </cell>
          <cell r="K1541">
            <v>2</v>
          </cell>
        </row>
        <row r="1542">
          <cell r="A1542" t="str">
            <v>M1</v>
          </cell>
          <cell r="B1542" t="str">
            <v>A4C</v>
          </cell>
          <cell r="C1542" t="str">
            <v>P</v>
          </cell>
          <cell r="D1542" t="str">
            <v>22008</v>
          </cell>
          <cell r="E1542" t="str">
            <v>BALL VA</v>
          </cell>
          <cell r="F1542">
            <v>6</v>
          </cell>
          <cell r="G1542" t="str">
            <v>VB8010300000T00</v>
          </cell>
          <cell r="H1542">
            <v>0.75</v>
          </cell>
          <cell r="I1542" t="str">
            <v>--</v>
          </cell>
          <cell r="J1542">
            <v>1</v>
          </cell>
          <cell r="K1542">
            <v>1</v>
          </cell>
        </row>
        <row r="1543">
          <cell r="A1543" t="str">
            <v>M1</v>
          </cell>
          <cell r="B1543" t="str">
            <v>A4C</v>
          </cell>
          <cell r="C1543" t="str">
            <v>P</v>
          </cell>
          <cell r="D1543" t="str">
            <v>22008</v>
          </cell>
          <cell r="E1543" t="str">
            <v>BALL VA</v>
          </cell>
          <cell r="F1543">
            <v>6</v>
          </cell>
          <cell r="G1543" t="str">
            <v>VB8010300000T00</v>
          </cell>
          <cell r="H1543">
            <v>0.75</v>
          </cell>
          <cell r="I1543" t="str">
            <v>--</v>
          </cell>
          <cell r="J1543">
            <v>1</v>
          </cell>
          <cell r="K1543">
            <v>1</v>
          </cell>
        </row>
        <row r="1544">
          <cell r="A1544" t="str">
            <v>M1</v>
          </cell>
          <cell r="B1544" t="str">
            <v>A4C</v>
          </cell>
          <cell r="C1544" t="str">
            <v>P</v>
          </cell>
          <cell r="D1544" t="str">
            <v>22031</v>
          </cell>
          <cell r="E1544" t="str">
            <v>BALL VA</v>
          </cell>
          <cell r="F1544">
            <v>6</v>
          </cell>
          <cell r="G1544" t="str">
            <v>VB8010300000T00</v>
          </cell>
          <cell r="H1544">
            <v>0.75</v>
          </cell>
          <cell r="I1544" t="str">
            <v>--</v>
          </cell>
          <cell r="J1544">
            <v>1</v>
          </cell>
          <cell r="K1544">
            <v>1</v>
          </cell>
        </row>
        <row r="1545">
          <cell r="A1545" t="str">
            <v>M1</v>
          </cell>
          <cell r="B1545" t="str">
            <v>A5C</v>
          </cell>
          <cell r="C1545" t="str">
            <v>P</v>
          </cell>
          <cell r="D1545" t="str">
            <v>22088</v>
          </cell>
          <cell r="E1545" t="str">
            <v>BALL VA</v>
          </cell>
          <cell r="F1545">
            <v>6</v>
          </cell>
          <cell r="G1545" t="str">
            <v>VB8010600000T00</v>
          </cell>
          <cell r="H1545">
            <v>0.75</v>
          </cell>
          <cell r="I1545" t="str">
            <v>--</v>
          </cell>
          <cell r="J1545">
            <v>1</v>
          </cell>
          <cell r="K1545">
            <v>1</v>
          </cell>
        </row>
        <row r="1546">
          <cell r="A1546" t="str">
            <v>M1</v>
          </cell>
          <cell r="B1546" t="str">
            <v>A5C</v>
          </cell>
          <cell r="C1546" t="str">
            <v>P</v>
          </cell>
          <cell r="D1546" t="str">
            <v>22088</v>
          </cell>
          <cell r="E1546" t="str">
            <v>BALL VA</v>
          </cell>
          <cell r="F1546">
            <v>6</v>
          </cell>
          <cell r="G1546" t="str">
            <v>VB8010600000T00</v>
          </cell>
          <cell r="H1546">
            <v>0.75</v>
          </cell>
          <cell r="I1546" t="str">
            <v>--</v>
          </cell>
          <cell r="J1546">
            <v>2</v>
          </cell>
          <cell r="K1546">
            <v>2</v>
          </cell>
        </row>
        <row r="1547">
          <cell r="A1547" t="str">
            <v>M1</v>
          </cell>
          <cell r="B1547" t="str">
            <v>A5C</v>
          </cell>
          <cell r="C1547" t="str">
            <v>TRIM</v>
          </cell>
          <cell r="D1547" t="str">
            <v>C-2201</v>
          </cell>
          <cell r="E1547" t="str">
            <v>BALL VA</v>
          </cell>
          <cell r="F1547">
            <v>6</v>
          </cell>
          <cell r="G1547" t="str">
            <v>VB8010600000T00</v>
          </cell>
          <cell r="H1547">
            <v>0.75</v>
          </cell>
          <cell r="I1547" t="str">
            <v>--</v>
          </cell>
          <cell r="J1547">
            <v>2</v>
          </cell>
          <cell r="K1547">
            <v>2</v>
          </cell>
        </row>
        <row r="1548">
          <cell r="A1548" t="str">
            <v>M1</v>
          </cell>
          <cell r="B1548" t="str">
            <v>A5C</v>
          </cell>
          <cell r="C1548" t="str">
            <v>TRIM</v>
          </cell>
          <cell r="D1548" t="str">
            <v>C-2201</v>
          </cell>
          <cell r="E1548" t="str">
            <v>BALL VA</v>
          </cell>
          <cell r="F1548">
            <v>6</v>
          </cell>
          <cell r="G1548" t="str">
            <v>VB8010600000T00</v>
          </cell>
          <cell r="H1548">
            <v>0.75</v>
          </cell>
          <cell r="I1548" t="str">
            <v>--</v>
          </cell>
          <cell r="J1548">
            <v>2</v>
          </cell>
          <cell r="K1548">
            <v>2</v>
          </cell>
        </row>
        <row r="1549">
          <cell r="A1549" t="str">
            <v>M1</v>
          </cell>
          <cell r="B1549" t="str">
            <v>A5C</v>
          </cell>
          <cell r="C1549" t="str">
            <v>TRIM</v>
          </cell>
          <cell r="D1549" t="str">
            <v>V-2208</v>
          </cell>
          <cell r="E1549" t="str">
            <v>BALL VA</v>
          </cell>
          <cell r="F1549">
            <v>6</v>
          </cell>
          <cell r="G1549" t="str">
            <v>VB8010600000T00</v>
          </cell>
          <cell r="H1549">
            <v>0.75</v>
          </cell>
          <cell r="I1549" t="str">
            <v>--</v>
          </cell>
          <cell r="J1549">
            <v>1</v>
          </cell>
          <cell r="K1549">
            <v>1</v>
          </cell>
        </row>
        <row r="1550">
          <cell r="A1550" t="str">
            <v>M1</v>
          </cell>
          <cell r="B1550" t="str">
            <v>A4C</v>
          </cell>
          <cell r="C1550" t="str">
            <v>P</v>
          </cell>
          <cell r="D1550" t="str">
            <v>22008</v>
          </cell>
          <cell r="E1550" t="str">
            <v>BALL VA</v>
          </cell>
          <cell r="F1550">
            <v>6</v>
          </cell>
          <cell r="G1550" t="str">
            <v>VB8010300000T00</v>
          </cell>
          <cell r="H1550">
            <v>0.75</v>
          </cell>
          <cell r="I1550" t="str">
            <v>--</v>
          </cell>
          <cell r="J1550">
            <v>3</v>
          </cell>
          <cell r="K1550">
            <v>3</v>
          </cell>
        </row>
        <row r="1551">
          <cell r="A1551" t="str">
            <v>M1</v>
          </cell>
          <cell r="B1551" t="str">
            <v>A4C</v>
          </cell>
          <cell r="C1551" t="str">
            <v>P</v>
          </cell>
          <cell r="D1551" t="str">
            <v>22009</v>
          </cell>
          <cell r="E1551" t="str">
            <v>BALL VA</v>
          </cell>
          <cell r="F1551">
            <v>6</v>
          </cell>
          <cell r="G1551" t="str">
            <v>VB8010300000T00</v>
          </cell>
          <cell r="H1551">
            <v>0.75</v>
          </cell>
          <cell r="I1551" t="str">
            <v>--</v>
          </cell>
          <cell r="J1551">
            <v>2</v>
          </cell>
          <cell r="K1551">
            <v>2</v>
          </cell>
        </row>
        <row r="1552">
          <cell r="A1552" t="str">
            <v>M1</v>
          </cell>
          <cell r="B1552" t="str">
            <v>A5C</v>
          </cell>
          <cell r="C1552" t="str">
            <v>P</v>
          </cell>
          <cell r="D1552" t="str">
            <v>22089</v>
          </cell>
          <cell r="E1552" t="str">
            <v>BALL VA</v>
          </cell>
          <cell r="F1552">
            <v>6</v>
          </cell>
          <cell r="G1552" t="str">
            <v>VB8010600000T00</v>
          </cell>
          <cell r="H1552">
            <v>0.75</v>
          </cell>
          <cell r="I1552" t="str">
            <v>--</v>
          </cell>
          <cell r="J1552">
            <v>1</v>
          </cell>
          <cell r="K1552">
            <v>1</v>
          </cell>
        </row>
        <row r="1553">
          <cell r="A1553" t="str">
            <v>M1</v>
          </cell>
          <cell r="B1553" t="str">
            <v>A5C</v>
          </cell>
          <cell r="C1553" t="str">
            <v>P</v>
          </cell>
          <cell r="D1553" t="str">
            <v>22098</v>
          </cell>
          <cell r="E1553" t="str">
            <v>BALL VA</v>
          </cell>
          <cell r="F1553">
            <v>6</v>
          </cell>
          <cell r="G1553" t="str">
            <v>VB8010600000T00</v>
          </cell>
          <cell r="H1553">
            <v>0.75</v>
          </cell>
          <cell r="I1553" t="str">
            <v>--</v>
          </cell>
          <cell r="J1553">
            <v>1</v>
          </cell>
          <cell r="K1553">
            <v>1</v>
          </cell>
        </row>
        <row r="1554">
          <cell r="A1554" t="str">
            <v>M1</v>
          </cell>
          <cell r="B1554" t="str">
            <v>A5C</v>
          </cell>
          <cell r="C1554" t="str">
            <v>TRIM</v>
          </cell>
          <cell r="D1554" t="str">
            <v>V-2209</v>
          </cell>
          <cell r="E1554" t="str">
            <v>BALL VA</v>
          </cell>
          <cell r="F1554">
            <v>6</v>
          </cell>
          <cell r="G1554" t="str">
            <v>VB8010600000T00</v>
          </cell>
          <cell r="H1554">
            <v>0.75</v>
          </cell>
          <cell r="I1554" t="str">
            <v>--</v>
          </cell>
          <cell r="J1554">
            <v>1</v>
          </cell>
          <cell r="K1554">
            <v>1</v>
          </cell>
        </row>
        <row r="1555">
          <cell r="A1555" t="str">
            <v>M1</v>
          </cell>
          <cell r="B1555" t="str">
            <v>A6C</v>
          </cell>
          <cell r="C1555" t="str">
            <v>HOR</v>
          </cell>
          <cell r="D1555" t="str">
            <v>65620</v>
          </cell>
          <cell r="E1555" t="str">
            <v>BELLOWS VA</v>
          </cell>
          <cell r="F1555">
            <v>6</v>
          </cell>
          <cell r="G1555" t="str">
            <v>VBE8010600000T00</v>
          </cell>
          <cell r="H1555">
            <v>0.75</v>
          </cell>
          <cell r="I1555" t="str">
            <v>--</v>
          </cell>
          <cell r="J1555">
            <v>1</v>
          </cell>
          <cell r="K1555">
            <v>1</v>
          </cell>
        </row>
        <row r="1556">
          <cell r="A1556" t="str">
            <v>M1</v>
          </cell>
          <cell r="B1556" t="str">
            <v>A6C</v>
          </cell>
          <cell r="C1556" t="str">
            <v>HOS</v>
          </cell>
          <cell r="D1556" t="str">
            <v>65613</v>
          </cell>
          <cell r="E1556" t="str">
            <v>BELLOWS VA</v>
          </cell>
          <cell r="F1556">
            <v>6</v>
          </cell>
          <cell r="G1556" t="str">
            <v>VBE8010600000T00</v>
          </cell>
          <cell r="H1556">
            <v>0.75</v>
          </cell>
          <cell r="I1556" t="str">
            <v>--</v>
          </cell>
          <cell r="J1556">
            <v>4</v>
          </cell>
          <cell r="K1556">
            <v>4</v>
          </cell>
        </row>
        <row r="1557">
          <cell r="A1557" t="str">
            <v>M1</v>
          </cell>
          <cell r="B1557" t="str">
            <v>A6C</v>
          </cell>
          <cell r="C1557" t="str">
            <v>HOS</v>
          </cell>
          <cell r="D1557" t="str">
            <v>65629</v>
          </cell>
          <cell r="E1557" t="str">
            <v>BELLOWS VA</v>
          </cell>
          <cell r="F1557">
            <v>6</v>
          </cell>
          <cell r="G1557" t="str">
            <v>VBE8010800000T00</v>
          </cell>
          <cell r="H1557">
            <v>0.75</v>
          </cell>
          <cell r="I1557" t="str">
            <v>--</v>
          </cell>
          <cell r="J1557">
            <v>1</v>
          </cell>
          <cell r="K1557">
            <v>1</v>
          </cell>
        </row>
        <row r="1558">
          <cell r="A1558" t="str">
            <v>M1</v>
          </cell>
          <cell r="B1558" t="str">
            <v>A6C</v>
          </cell>
          <cell r="C1558" t="str">
            <v>HOS</v>
          </cell>
          <cell r="D1558" t="str">
            <v>65624</v>
          </cell>
          <cell r="E1558" t="str">
            <v>BELLOWS VA</v>
          </cell>
          <cell r="F1558">
            <v>6</v>
          </cell>
          <cell r="G1558" t="str">
            <v>VBE8010800000T00</v>
          </cell>
          <cell r="H1558">
            <v>0.75</v>
          </cell>
          <cell r="I1558" t="str">
            <v>--</v>
          </cell>
          <cell r="J1558">
            <v>1</v>
          </cell>
          <cell r="K1558">
            <v>1</v>
          </cell>
        </row>
        <row r="1559">
          <cell r="A1559" t="str">
            <v>M1</v>
          </cell>
          <cell r="B1559" t="str">
            <v>A6C</v>
          </cell>
          <cell r="C1559" t="str">
            <v>HOS</v>
          </cell>
          <cell r="D1559" t="str">
            <v>65624</v>
          </cell>
          <cell r="E1559" t="str">
            <v>BELLOWS VA</v>
          </cell>
          <cell r="F1559">
            <v>6</v>
          </cell>
          <cell r="G1559" t="str">
            <v>VBE8010600000T00</v>
          </cell>
          <cell r="H1559">
            <v>0.75</v>
          </cell>
          <cell r="I1559" t="str">
            <v>--</v>
          </cell>
          <cell r="J1559">
            <v>2</v>
          </cell>
          <cell r="K1559">
            <v>2</v>
          </cell>
        </row>
        <row r="1560">
          <cell r="A1560" t="str">
            <v>M1</v>
          </cell>
          <cell r="B1560" t="str">
            <v>A6C</v>
          </cell>
          <cell r="C1560" t="str">
            <v>HOS</v>
          </cell>
          <cell r="D1560" t="str">
            <v>65628</v>
          </cell>
          <cell r="E1560" t="str">
            <v>BELLOWS VA</v>
          </cell>
          <cell r="F1560">
            <v>6</v>
          </cell>
          <cell r="G1560" t="str">
            <v>VBE8010600000T00</v>
          </cell>
          <cell r="H1560">
            <v>0.75</v>
          </cell>
          <cell r="I1560" t="str">
            <v>--</v>
          </cell>
          <cell r="J1560">
            <v>1</v>
          </cell>
          <cell r="K1560">
            <v>1</v>
          </cell>
        </row>
        <row r="1561">
          <cell r="A1561" t="str">
            <v>M1</v>
          </cell>
          <cell r="B1561" t="str">
            <v>A6C</v>
          </cell>
          <cell r="C1561" t="str">
            <v>HOS</v>
          </cell>
          <cell r="D1561" t="str">
            <v>65634</v>
          </cell>
          <cell r="E1561" t="str">
            <v>BELLOWS VA</v>
          </cell>
          <cell r="F1561">
            <v>6</v>
          </cell>
          <cell r="G1561" t="str">
            <v>VBE8010800000T00</v>
          </cell>
          <cell r="H1561">
            <v>0.75</v>
          </cell>
          <cell r="I1561" t="str">
            <v>--</v>
          </cell>
          <cell r="J1561">
            <v>1</v>
          </cell>
          <cell r="K1561">
            <v>1</v>
          </cell>
        </row>
        <row r="1562">
          <cell r="A1562" t="str">
            <v>M1</v>
          </cell>
          <cell r="B1562" t="str">
            <v>A6C</v>
          </cell>
          <cell r="C1562" t="str">
            <v>TRIM</v>
          </cell>
          <cell r="D1562" t="str">
            <v>V-6501</v>
          </cell>
          <cell r="E1562" t="str">
            <v>BELLOWS VA</v>
          </cell>
          <cell r="F1562">
            <v>6</v>
          </cell>
          <cell r="G1562" t="str">
            <v>VBE8010700000T00</v>
          </cell>
          <cell r="H1562">
            <v>0.75</v>
          </cell>
          <cell r="I1562" t="str">
            <v>--</v>
          </cell>
          <cell r="J1562">
            <v>2</v>
          </cell>
          <cell r="K1562">
            <v>2</v>
          </cell>
        </row>
        <row r="1563">
          <cell r="A1563" t="str">
            <v>M1</v>
          </cell>
          <cell r="B1563" t="str">
            <v>A6C</v>
          </cell>
          <cell r="C1563" t="str">
            <v>HOR</v>
          </cell>
          <cell r="D1563" t="str">
            <v>65611</v>
          </cell>
          <cell r="E1563" t="str">
            <v>BELLOWS VA</v>
          </cell>
          <cell r="F1563">
            <v>6</v>
          </cell>
          <cell r="G1563" t="str">
            <v>VBE8010700000T00</v>
          </cell>
          <cell r="H1563">
            <v>0.75</v>
          </cell>
          <cell r="I1563" t="str">
            <v>--</v>
          </cell>
          <cell r="J1563">
            <v>1</v>
          </cell>
          <cell r="K1563">
            <v>1</v>
          </cell>
        </row>
        <row r="1564">
          <cell r="A1564" t="str">
            <v>M1</v>
          </cell>
          <cell r="B1564" t="str">
            <v>A6C</v>
          </cell>
          <cell r="C1564" t="str">
            <v>HOR</v>
          </cell>
          <cell r="D1564" t="str">
            <v>65619</v>
          </cell>
          <cell r="E1564" t="str">
            <v>BELLOWS VA</v>
          </cell>
          <cell r="F1564">
            <v>6</v>
          </cell>
          <cell r="G1564" t="str">
            <v>VBE8010700000T00</v>
          </cell>
          <cell r="H1564">
            <v>0.75</v>
          </cell>
          <cell r="I1564" t="str">
            <v>--</v>
          </cell>
          <cell r="J1564">
            <v>6</v>
          </cell>
          <cell r="K1564">
            <v>6</v>
          </cell>
        </row>
        <row r="1565">
          <cell r="A1565" t="str">
            <v>M1</v>
          </cell>
          <cell r="B1565" t="str">
            <v>A6C</v>
          </cell>
          <cell r="C1565" t="str">
            <v>HOR</v>
          </cell>
          <cell r="D1565" t="str">
            <v>65619</v>
          </cell>
          <cell r="E1565" t="str">
            <v>BELLOWS VA</v>
          </cell>
          <cell r="F1565">
            <v>6</v>
          </cell>
          <cell r="G1565" t="str">
            <v>VBE8010700000T00</v>
          </cell>
          <cell r="H1565">
            <v>0.75</v>
          </cell>
          <cell r="I1565" t="str">
            <v>--</v>
          </cell>
          <cell r="J1565">
            <v>1</v>
          </cell>
          <cell r="K1565">
            <v>1</v>
          </cell>
        </row>
        <row r="1566">
          <cell r="A1566" t="str">
            <v>M1</v>
          </cell>
          <cell r="B1566" t="str">
            <v>A6C</v>
          </cell>
          <cell r="C1566" t="str">
            <v>HOS</v>
          </cell>
          <cell r="D1566" t="str">
            <v>65634</v>
          </cell>
          <cell r="E1566" t="str">
            <v>BELLOWS VA</v>
          </cell>
          <cell r="F1566">
            <v>6</v>
          </cell>
          <cell r="G1566" t="str">
            <v>VBE8010700000T00</v>
          </cell>
          <cell r="H1566">
            <v>0.75</v>
          </cell>
          <cell r="I1566" t="str">
            <v>--</v>
          </cell>
          <cell r="J1566">
            <v>1</v>
          </cell>
          <cell r="K1566">
            <v>1</v>
          </cell>
        </row>
        <row r="1567">
          <cell r="A1567" t="str">
            <v>M1</v>
          </cell>
          <cell r="B1567" t="str">
            <v>A6C</v>
          </cell>
          <cell r="C1567" t="str">
            <v>TRIM</v>
          </cell>
          <cell r="D1567" t="str">
            <v>H-6501</v>
          </cell>
          <cell r="E1567" t="str">
            <v>BELLOWS VA</v>
          </cell>
          <cell r="F1567">
            <v>6</v>
          </cell>
          <cell r="G1567" t="str">
            <v>VBE8010700000T00</v>
          </cell>
          <cell r="H1567">
            <v>0.75</v>
          </cell>
          <cell r="I1567" t="str">
            <v>--</v>
          </cell>
          <cell r="J1567">
            <v>1</v>
          </cell>
          <cell r="K1567">
            <v>1</v>
          </cell>
        </row>
        <row r="1568">
          <cell r="A1568" t="str">
            <v>M1</v>
          </cell>
          <cell r="B1568" t="str">
            <v>A6C</v>
          </cell>
          <cell r="C1568" t="str">
            <v>TRIM</v>
          </cell>
          <cell r="D1568" t="str">
            <v>H-6501</v>
          </cell>
          <cell r="E1568" t="str">
            <v>BELLOWS VA</v>
          </cell>
          <cell r="F1568">
            <v>6</v>
          </cell>
          <cell r="G1568" t="str">
            <v>VBE8010600000T00</v>
          </cell>
          <cell r="H1568">
            <v>0.75</v>
          </cell>
          <cell r="I1568" t="str">
            <v>--</v>
          </cell>
          <cell r="J1568">
            <v>2</v>
          </cell>
          <cell r="K1568">
            <v>2</v>
          </cell>
        </row>
        <row r="1569">
          <cell r="A1569" t="str">
            <v>M1</v>
          </cell>
          <cell r="B1569" t="str">
            <v>A6C</v>
          </cell>
          <cell r="C1569" t="str">
            <v>TRIM</v>
          </cell>
          <cell r="D1569" t="str">
            <v>V-6501</v>
          </cell>
          <cell r="E1569" t="str">
            <v>BELLOWS VA</v>
          </cell>
          <cell r="F1569">
            <v>6</v>
          </cell>
          <cell r="G1569" t="str">
            <v>VBE8010600000T00</v>
          </cell>
          <cell r="H1569">
            <v>0.75</v>
          </cell>
          <cell r="I1569" t="str">
            <v>--</v>
          </cell>
          <cell r="J1569">
            <v>4</v>
          </cell>
          <cell r="K1569">
            <v>4</v>
          </cell>
        </row>
        <row r="1570">
          <cell r="A1570" t="str">
            <v>M1</v>
          </cell>
          <cell r="B1570" t="str">
            <v>B1C</v>
          </cell>
          <cell r="C1570" t="str">
            <v>P</v>
          </cell>
          <cell r="D1570" t="str">
            <v>22029</v>
          </cell>
          <cell r="E1570" t="str">
            <v>BALL VA</v>
          </cell>
          <cell r="F1570">
            <v>6</v>
          </cell>
          <cell r="G1570" t="str">
            <v>VB8010400000T00</v>
          </cell>
          <cell r="H1570">
            <v>0.75</v>
          </cell>
          <cell r="I1570" t="str">
            <v>--</v>
          </cell>
          <cell r="J1570">
            <v>5</v>
          </cell>
          <cell r="K1570">
            <v>5</v>
          </cell>
        </row>
        <row r="1571">
          <cell r="A1571" t="str">
            <v>M1</v>
          </cell>
          <cell r="B1571" t="str">
            <v>B1C</v>
          </cell>
          <cell r="C1571" t="str">
            <v>P</v>
          </cell>
          <cell r="D1571" t="str">
            <v>22027</v>
          </cell>
          <cell r="E1571" t="str">
            <v>BALL VA</v>
          </cell>
          <cell r="F1571">
            <v>6</v>
          </cell>
          <cell r="G1571" t="str">
            <v>VB8010400000T00</v>
          </cell>
          <cell r="H1571">
            <v>0.75</v>
          </cell>
          <cell r="I1571" t="str">
            <v>--</v>
          </cell>
          <cell r="J1571">
            <v>1</v>
          </cell>
          <cell r="K1571">
            <v>1</v>
          </cell>
        </row>
        <row r="1572">
          <cell r="A1572" t="str">
            <v>M1</v>
          </cell>
          <cell r="B1572" t="str">
            <v>B1X</v>
          </cell>
          <cell r="C1572" t="str">
            <v>P</v>
          </cell>
          <cell r="D1572" t="str">
            <v>22042</v>
          </cell>
          <cell r="E1572" t="str">
            <v>BALL VA</v>
          </cell>
          <cell r="F1572">
            <v>6</v>
          </cell>
          <cell r="G1572" t="str">
            <v>VB3010100000T00</v>
          </cell>
          <cell r="H1572">
            <v>0.75</v>
          </cell>
          <cell r="I1572" t="str">
            <v>--</v>
          </cell>
          <cell r="J1572">
            <v>3</v>
          </cell>
          <cell r="K1572">
            <v>3</v>
          </cell>
        </row>
        <row r="1573">
          <cell r="A1573" t="str">
            <v>M1</v>
          </cell>
          <cell r="B1573" t="str">
            <v>B2C</v>
          </cell>
          <cell r="C1573" t="str">
            <v>TRIM</v>
          </cell>
          <cell r="D1573" t="str">
            <v>E-2204</v>
          </cell>
          <cell r="E1573" t="str">
            <v>GATE VA</v>
          </cell>
          <cell r="F1573">
            <v>6</v>
          </cell>
          <cell r="G1573" t="str">
            <v>VG8010100000100</v>
          </cell>
          <cell r="H1573">
            <v>1</v>
          </cell>
          <cell r="I1573" t="str">
            <v>--</v>
          </cell>
          <cell r="J1573">
            <v>1</v>
          </cell>
          <cell r="K1573">
            <v>1</v>
          </cell>
        </row>
        <row r="1574">
          <cell r="A1574" t="str">
            <v>M1</v>
          </cell>
          <cell r="B1574" t="str">
            <v>A5C</v>
          </cell>
          <cell r="C1574" t="str">
            <v>N</v>
          </cell>
          <cell r="D1574" t="str">
            <v>22670</v>
          </cell>
          <cell r="E1574" t="str">
            <v>BALL VA</v>
          </cell>
          <cell r="F1574">
            <v>6</v>
          </cell>
          <cell r="G1574" t="str">
            <v>VB8010600000100</v>
          </cell>
          <cell r="H1574">
            <v>1</v>
          </cell>
          <cell r="I1574" t="str">
            <v>--</v>
          </cell>
          <cell r="J1574">
            <v>1</v>
          </cell>
          <cell r="K1574">
            <v>1</v>
          </cell>
        </row>
        <row r="1575">
          <cell r="A1575" t="str">
            <v>M1</v>
          </cell>
          <cell r="B1575" t="str">
            <v>A5C</v>
          </cell>
          <cell r="C1575" t="str">
            <v>N</v>
          </cell>
          <cell r="D1575" t="str">
            <v>22679</v>
          </cell>
          <cell r="E1575" t="str">
            <v>BALL VA</v>
          </cell>
          <cell r="F1575">
            <v>6</v>
          </cell>
          <cell r="G1575" t="str">
            <v>VB8010600000100</v>
          </cell>
          <cell r="H1575">
            <v>1</v>
          </cell>
          <cell r="I1575" t="str">
            <v>--</v>
          </cell>
          <cell r="J1575">
            <v>2</v>
          </cell>
          <cell r="K1575">
            <v>2</v>
          </cell>
        </row>
        <row r="1576">
          <cell r="A1576" t="str">
            <v>M1</v>
          </cell>
          <cell r="B1576" t="str">
            <v>A4C</v>
          </cell>
          <cell r="C1576" t="str">
            <v>N</v>
          </cell>
          <cell r="D1576" t="str">
            <v>22661</v>
          </cell>
          <cell r="E1576" t="str">
            <v>BALL VA</v>
          </cell>
          <cell r="F1576">
            <v>6</v>
          </cell>
          <cell r="G1576" t="str">
            <v>VB8010300000100</v>
          </cell>
          <cell r="H1576">
            <v>1</v>
          </cell>
          <cell r="I1576" t="str">
            <v>--</v>
          </cell>
          <cell r="J1576">
            <v>2</v>
          </cell>
          <cell r="K1576">
            <v>2</v>
          </cell>
        </row>
        <row r="1577">
          <cell r="A1577" t="str">
            <v>M1</v>
          </cell>
          <cell r="B1577" t="str">
            <v>A5C</v>
          </cell>
          <cell r="C1577" t="str">
            <v>N</v>
          </cell>
          <cell r="D1577" t="str">
            <v>22683</v>
          </cell>
          <cell r="E1577" t="str">
            <v>BALL VA</v>
          </cell>
          <cell r="F1577">
            <v>6</v>
          </cell>
          <cell r="G1577" t="str">
            <v>VB8010600000100</v>
          </cell>
          <cell r="H1577">
            <v>1</v>
          </cell>
          <cell r="I1577" t="str">
            <v>--</v>
          </cell>
          <cell r="J1577">
            <v>1</v>
          </cell>
          <cell r="K1577">
            <v>1</v>
          </cell>
        </row>
        <row r="1578">
          <cell r="A1578" t="str">
            <v>M1</v>
          </cell>
          <cell r="B1578" t="str">
            <v>A5C</v>
          </cell>
          <cell r="C1578" t="str">
            <v>N</v>
          </cell>
          <cell r="D1578" t="str">
            <v>22731</v>
          </cell>
          <cell r="E1578" t="str">
            <v>BALL VA</v>
          </cell>
          <cell r="F1578">
            <v>6</v>
          </cell>
          <cell r="G1578" t="str">
            <v>VB8010600000100</v>
          </cell>
          <cell r="H1578">
            <v>1</v>
          </cell>
          <cell r="I1578" t="str">
            <v>--</v>
          </cell>
          <cell r="J1578">
            <v>1</v>
          </cell>
          <cell r="K1578">
            <v>1</v>
          </cell>
        </row>
        <row r="1579">
          <cell r="A1579" t="str">
            <v>M1</v>
          </cell>
          <cell r="B1579" t="str">
            <v>A5C</v>
          </cell>
          <cell r="C1579" t="str">
            <v>N</v>
          </cell>
          <cell r="D1579" t="str">
            <v>25614</v>
          </cell>
          <cell r="E1579" t="str">
            <v>BALL VA</v>
          </cell>
          <cell r="F1579">
            <v>6</v>
          </cell>
          <cell r="G1579" t="str">
            <v>VB8010600000100</v>
          </cell>
          <cell r="H1579">
            <v>1</v>
          </cell>
          <cell r="I1579" t="str">
            <v>--</v>
          </cell>
          <cell r="J1579">
            <v>1</v>
          </cell>
          <cell r="K1579">
            <v>1</v>
          </cell>
        </row>
        <row r="1580">
          <cell r="A1580" t="str">
            <v>M1</v>
          </cell>
          <cell r="B1580" t="str">
            <v>A5C</v>
          </cell>
          <cell r="C1580" t="str">
            <v>P</v>
          </cell>
          <cell r="D1580" t="str">
            <v>22063</v>
          </cell>
          <cell r="E1580" t="str">
            <v>BALL VA</v>
          </cell>
          <cell r="F1580">
            <v>6</v>
          </cell>
          <cell r="G1580" t="str">
            <v>VB8010600000100</v>
          </cell>
          <cell r="H1580">
            <v>1</v>
          </cell>
          <cell r="I1580" t="str">
            <v>--</v>
          </cell>
          <cell r="J1580">
            <v>2</v>
          </cell>
          <cell r="K1580">
            <v>2</v>
          </cell>
        </row>
        <row r="1581">
          <cell r="A1581" t="str">
            <v>M1</v>
          </cell>
          <cell r="B1581" t="str">
            <v>A5C</v>
          </cell>
          <cell r="C1581" t="str">
            <v>P</v>
          </cell>
          <cell r="D1581" t="str">
            <v>22109</v>
          </cell>
          <cell r="E1581" t="str">
            <v>BALL VA</v>
          </cell>
          <cell r="F1581">
            <v>6</v>
          </cell>
          <cell r="G1581" t="str">
            <v>VB8010600000100</v>
          </cell>
          <cell r="H1581">
            <v>1</v>
          </cell>
          <cell r="I1581" t="str">
            <v>--</v>
          </cell>
          <cell r="J1581">
            <v>1</v>
          </cell>
          <cell r="K1581">
            <v>1</v>
          </cell>
        </row>
        <row r="1582">
          <cell r="A1582" t="str">
            <v>M1</v>
          </cell>
          <cell r="B1582" t="str">
            <v>A5C</v>
          </cell>
          <cell r="C1582" t="str">
            <v>P</v>
          </cell>
          <cell r="D1582" t="str">
            <v>22105</v>
          </cell>
          <cell r="E1582" t="str">
            <v>BALL VA</v>
          </cell>
          <cell r="F1582">
            <v>6</v>
          </cell>
          <cell r="G1582" t="str">
            <v>VB8010600000100</v>
          </cell>
          <cell r="H1582">
            <v>1</v>
          </cell>
          <cell r="I1582" t="str">
            <v>--</v>
          </cell>
          <cell r="J1582">
            <v>1</v>
          </cell>
          <cell r="K1582">
            <v>1</v>
          </cell>
        </row>
        <row r="1583">
          <cell r="A1583" t="str">
            <v>M1</v>
          </cell>
          <cell r="B1583" t="str">
            <v>A5C</v>
          </cell>
          <cell r="C1583" t="str">
            <v>P</v>
          </cell>
          <cell r="D1583" t="str">
            <v>22157</v>
          </cell>
          <cell r="E1583" t="str">
            <v>BALL VA</v>
          </cell>
          <cell r="F1583">
            <v>6</v>
          </cell>
          <cell r="G1583" t="str">
            <v>VB8010600000100</v>
          </cell>
          <cell r="H1583">
            <v>1</v>
          </cell>
          <cell r="I1583" t="str">
            <v>--</v>
          </cell>
          <cell r="J1583">
            <v>1</v>
          </cell>
          <cell r="K1583">
            <v>1</v>
          </cell>
        </row>
        <row r="1584">
          <cell r="A1584" t="str">
            <v>M1</v>
          </cell>
          <cell r="B1584" t="str">
            <v>A5C</v>
          </cell>
          <cell r="C1584" t="str">
            <v>P</v>
          </cell>
          <cell r="D1584" t="str">
            <v>22158</v>
          </cell>
          <cell r="E1584" t="str">
            <v>BALL VA</v>
          </cell>
          <cell r="F1584">
            <v>6</v>
          </cell>
          <cell r="G1584" t="str">
            <v>VB8010600000100</v>
          </cell>
          <cell r="H1584">
            <v>1</v>
          </cell>
          <cell r="I1584" t="str">
            <v>--</v>
          </cell>
          <cell r="J1584">
            <v>1</v>
          </cell>
          <cell r="K1584">
            <v>1</v>
          </cell>
        </row>
        <row r="1585">
          <cell r="A1585" t="str">
            <v>M1</v>
          </cell>
          <cell r="B1585" t="str">
            <v>A5C</v>
          </cell>
          <cell r="C1585" t="str">
            <v>P</v>
          </cell>
          <cell r="D1585" t="str">
            <v>22103</v>
          </cell>
          <cell r="E1585" t="str">
            <v>BALL VA</v>
          </cell>
          <cell r="F1585">
            <v>6</v>
          </cell>
          <cell r="G1585" t="str">
            <v>VB8010600000100</v>
          </cell>
          <cell r="H1585">
            <v>1</v>
          </cell>
          <cell r="I1585" t="str">
            <v>--</v>
          </cell>
          <cell r="J1585">
            <v>2</v>
          </cell>
          <cell r="K1585">
            <v>2</v>
          </cell>
        </row>
        <row r="1586">
          <cell r="A1586" t="str">
            <v>M1</v>
          </cell>
          <cell r="B1586" t="str">
            <v>A5C</v>
          </cell>
          <cell r="C1586" t="str">
            <v>P</v>
          </cell>
          <cell r="D1586" t="str">
            <v>22106</v>
          </cell>
          <cell r="E1586" t="str">
            <v>BALL VA</v>
          </cell>
          <cell r="F1586">
            <v>6</v>
          </cell>
          <cell r="G1586" t="str">
            <v>VB8010600000100</v>
          </cell>
          <cell r="H1586">
            <v>1</v>
          </cell>
          <cell r="I1586" t="str">
            <v>--</v>
          </cell>
          <cell r="J1586">
            <v>1</v>
          </cell>
          <cell r="K1586">
            <v>1</v>
          </cell>
        </row>
        <row r="1587">
          <cell r="A1587" t="str">
            <v>M1</v>
          </cell>
          <cell r="B1587" t="str">
            <v>A5C</v>
          </cell>
          <cell r="C1587" t="str">
            <v>P</v>
          </cell>
          <cell r="D1587" t="str">
            <v>99002</v>
          </cell>
          <cell r="E1587" t="str">
            <v>BELLOWS VA</v>
          </cell>
          <cell r="F1587">
            <v>6</v>
          </cell>
          <cell r="G1587" t="str">
            <v>VBE8010100000100</v>
          </cell>
          <cell r="H1587">
            <v>1</v>
          </cell>
          <cell r="I1587" t="str">
            <v>--</v>
          </cell>
          <cell r="J1587">
            <v>1</v>
          </cell>
          <cell r="K1587">
            <v>1</v>
          </cell>
        </row>
        <row r="1588">
          <cell r="A1588" t="str">
            <v>M1</v>
          </cell>
          <cell r="B1588" t="str">
            <v>A5C</v>
          </cell>
          <cell r="C1588" t="str">
            <v>N</v>
          </cell>
          <cell r="D1588" t="str">
            <v>22630</v>
          </cell>
          <cell r="E1588" t="str">
            <v>CHECK VA</v>
          </cell>
          <cell r="F1588">
            <v>6</v>
          </cell>
          <cell r="G1588" t="str">
            <v>VCB8010400000100</v>
          </cell>
          <cell r="H1588">
            <v>1</v>
          </cell>
          <cell r="I1588" t="str">
            <v>--</v>
          </cell>
          <cell r="J1588">
            <v>1</v>
          </cell>
          <cell r="K1588">
            <v>1</v>
          </cell>
        </row>
        <row r="1589">
          <cell r="A1589" t="str">
            <v>M1</v>
          </cell>
          <cell r="B1589" t="str">
            <v>A4C</v>
          </cell>
          <cell r="C1589" t="str">
            <v>N</v>
          </cell>
          <cell r="D1589" t="str">
            <v>22661</v>
          </cell>
          <cell r="E1589" t="str">
            <v>CHECK VA</v>
          </cell>
          <cell r="F1589">
            <v>6</v>
          </cell>
          <cell r="G1589" t="str">
            <v>VCB8010200000100</v>
          </cell>
          <cell r="H1589">
            <v>1</v>
          </cell>
          <cell r="I1589" t="str">
            <v>--</v>
          </cell>
          <cell r="J1589">
            <v>1</v>
          </cell>
          <cell r="K1589">
            <v>1</v>
          </cell>
        </row>
        <row r="1590">
          <cell r="A1590" t="str">
            <v>M1</v>
          </cell>
          <cell r="B1590" t="str">
            <v>A5C</v>
          </cell>
          <cell r="C1590" t="str">
            <v>N</v>
          </cell>
          <cell r="D1590" t="str">
            <v>22681</v>
          </cell>
          <cell r="E1590" t="str">
            <v>CHECK VA</v>
          </cell>
          <cell r="F1590">
            <v>6</v>
          </cell>
          <cell r="G1590" t="str">
            <v>VCB8010400000100</v>
          </cell>
          <cell r="H1590">
            <v>1</v>
          </cell>
          <cell r="I1590" t="str">
            <v>--</v>
          </cell>
          <cell r="J1590">
            <v>1</v>
          </cell>
          <cell r="K1590">
            <v>1</v>
          </cell>
        </row>
        <row r="1591">
          <cell r="A1591" t="str">
            <v>M1</v>
          </cell>
          <cell r="B1591" t="str">
            <v>A5C</v>
          </cell>
          <cell r="C1591" t="str">
            <v>N</v>
          </cell>
          <cell r="D1591" t="str">
            <v>22686</v>
          </cell>
          <cell r="E1591" t="str">
            <v>CHECK VA</v>
          </cell>
          <cell r="F1591">
            <v>6</v>
          </cell>
          <cell r="G1591" t="str">
            <v>VCB8010400000100</v>
          </cell>
          <cell r="H1591">
            <v>1</v>
          </cell>
          <cell r="I1591" t="str">
            <v>--</v>
          </cell>
          <cell r="J1591">
            <v>1</v>
          </cell>
          <cell r="K1591">
            <v>1</v>
          </cell>
        </row>
        <row r="1592">
          <cell r="A1592" t="str">
            <v>M1</v>
          </cell>
          <cell r="B1592" t="str">
            <v>A5C</v>
          </cell>
          <cell r="C1592" t="str">
            <v>N</v>
          </cell>
          <cell r="D1592" t="str">
            <v>22683</v>
          </cell>
          <cell r="E1592" t="str">
            <v>CHECK VA</v>
          </cell>
          <cell r="F1592">
            <v>6</v>
          </cell>
          <cell r="G1592" t="str">
            <v>VCB8010400000100</v>
          </cell>
          <cell r="H1592">
            <v>1</v>
          </cell>
          <cell r="I1592" t="str">
            <v>--</v>
          </cell>
          <cell r="J1592">
            <v>1</v>
          </cell>
          <cell r="K1592">
            <v>1</v>
          </cell>
        </row>
        <row r="1593">
          <cell r="A1593" t="str">
            <v>M1</v>
          </cell>
          <cell r="B1593" t="str">
            <v>A5C</v>
          </cell>
          <cell r="C1593" t="str">
            <v>N</v>
          </cell>
          <cell r="D1593" t="str">
            <v>22685</v>
          </cell>
          <cell r="E1593" t="str">
            <v>CHECK VA</v>
          </cell>
          <cell r="F1593">
            <v>6</v>
          </cell>
          <cell r="G1593" t="str">
            <v>VCB8010400000100</v>
          </cell>
          <cell r="H1593">
            <v>1</v>
          </cell>
          <cell r="I1593" t="str">
            <v>--</v>
          </cell>
          <cell r="J1593">
            <v>1</v>
          </cell>
          <cell r="K1593">
            <v>1</v>
          </cell>
        </row>
        <row r="1594">
          <cell r="A1594" t="str">
            <v>M1</v>
          </cell>
          <cell r="B1594" t="str">
            <v>A5C</v>
          </cell>
          <cell r="C1594" t="str">
            <v>N</v>
          </cell>
          <cell r="D1594" t="str">
            <v>22731</v>
          </cell>
          <cell r="E1594" t="str">
            <v>CHECK VA</v>
          </cell>
          <cell r="F1594">
            <v>6</v>
          </cell>
          <cell r="G1594" t="str">
            <v>VCB8010400000100</v>
          </cell>
          <cell r="H1594">
            <v>1</v>
          </cell>
          <cell r="I1594" t="str">
            <v>--</v>
          </cell>
          <cell r="J1594">
            <v>1</v>
          </cell>
          <cell r="K1594">
            <v>1</v>
          </cell>
        </row>
        <row r="1595">
          <cell r="A1595" t="str">
            <v>M1</v>
          </cell>
          <cell r="B1595" t="str">
            <v>A5C</v>
          </cell>
          <cell r="C1595" t="str">
            <v>P</v>
          </cell>
          <cell r="D1595" t="str">
            <v>22103</v>
          </cell>
          <cell r="E1595" t="str">
            <v>CHECK VA</v>
          </cell>
          <cell r="F1595">
            <v>6</v>
          </cell>
          <cell r="G1595" t="str">
            <v>VCB8010400000100</v>
          </cell>
          <cell r="H1595">
            <v>1</v>
          </cell>
          <cell r="I1595" t="str">
            <v>--</v>
          </cell>
          <cell r="J1595">
            <v>1</v>
          </cell>
          <cell r="K1595">
            <v>1</v>
          </cell>
        </row>
        <row r="1596">
          <cell r="A1596" t="str">
            <v>M1</v>
          </cell>
          <cell r="B1596" t="str">
            <v>A5C</v>
          </cell>
          <cell r="C1596" t="str">
            <v>N</v>
          </cell>
          <cell r="D1596" t="str">
            <v>22679</v>
          </cell>
          <cell r="E1596" t="str">
            <v>CHECK VA</v>
          </cell>
          <cell r="F1596">
            <v>6</v>
          </cell>
          <cell r="G1596" t="str">
            <v>VCB8010400000100</v>
          </cell>
          <cell r="H1596">
            <v>1</v>
          </cell>
          <cell r="I1596" t="str">
            <v>--</v>
          </cell>
          <cell r="J1596">
            <v>2</v>
          </cell>
          <cell r="K1596">
            <v>2</v>
          </cell>
        </row>
        <row r="1597">
          <cell r="A1597" t="str">
            <v>M1</v>
          </cell>
          <cell r="B1597" t="str">
            <v>A5C</v>
          </cell>
          <cell r="C1597" t="str">
            <v>N</v>
          </cell>
          <cell r="D1597" t="str">
            <v>22682</v>
          </cell>
          <cell r="E1597" t="str">
            <v>CHECK VA</v>
          </cell>
          <cell r="F1597">
            <v>6</v>
          </cell>
          <cell r="G1597" t="str">
            <v>VCB8010400000100</v>
          </cell>
          <cell r="H1597">
            <v>1</v>
          </cell>
          <cell r="I1597" t="str">
            <v>--</v>
          </cell>
          <cell r="J1597">
            <v>1</v>
          </cell>
          <cell r="K1597">
            <v>1</v>
          </cell>
        </row>
        <row r="1598">
          <cell r="A1598" t="str">
            <v>M1</v>
          </cell>
          <cell r="B1598" t="str">
            <v>A5C</v>
          </cell>
          <cell r="C1598" t="str">
            <v>N</v>
          </cell>
          <cell r="D1598" t="str">
            <v>22684</v>
          </cell>
          <cell r="E1598" t="str">
            <v>CHECK VA</v>
          </cell>
          <cell r="F1598">
            <v>6</v>
          </cell>
          <cell r="G1598" t="str">
            <v>VCB8010400000100</v>
          </cell>
          <cell r="H1598">
            <v>1</v>
          </cell>
          <cell r="I1598" t="str">
            <v>--</v>
          </cell>
          <cell r="J1598">
            <v>1</v>
          </cell>
          <cell r="K1598">
            <v>1</v>
          </cell>
        </row>
        <row r="1599">
          <cell r="A1599" t="str">
            <v>M1</v>
          </cell>
          <cell r="B1599" t="str">
            <v>A5C</v>
          </cell>
          <cell r="C1599" t="str">
            <v>P</v>
          </cell>
          <cell r="D1599" t="str">
            <v>99002</v>
          </cell>
          <cell r="E1599" t="str">
            <v>CHECK VA</v>
          </cell>
          <cell r="F1599">
            <v>6</v>
          </cell>
          <cell r="G1599" t="str">
            <v>VCB8010400000100</v>
          </cell>
          <cell r="H1599">
            <v>1</v>
          </cell>
          <cell r="I1599" t="str">
            <v>--</v>
          </cell>
          <cell r="J1599">
            <v>1</v>
          </cell>
          <cell r="K1599">
            <v>1</v>
          </cell>
        </row>
        <row r="1600">
          <cell r="A1600" t="str">
            <v>M1</v>
          </cell>
          <cell r="B1600" t="str">
            <v>A5C</v>
          </cell>
          <cell r="C1600" t="str">
            <v>P</v>
          </cell>
          <cell r="D1600" t="str">
            <v>21004</v>
          </cell>
          <cell r="E1600" t="str">
            <v>GATE VA</v>
          </cell>
          <cell r="F1600">
            <v>6</v>
          </cell>
          <cell r="G1600" t="str">
            <v>VG8010100000100</v>
          </cell>
          <cell r="H1600">
            <v>1</v>
          </cell>
          <cell r="I1600" t="str">
            <v>--</v>
          </cell>
          <cell r="J1600">
            <v>1</v>
          </cell>
          <cell r="K1600">
            <v>1</v>
          </cell>
        </row>
        <row r="1601">
          <cell r="A1601" t="str">
            <v>M1</v>
          </cell>
          <cell r="B1601" t="str">
            <v>A5C</v>
          </cell>
          <cell r="C1601" t="str">
            <v>N</v>
          </cell>
          <cell r="D1601" t="str">
            <v>22630</v>
          </cell>
          <cell r="E1601" t="str">
            <v>GLOBE VA</v>
          </cell>
          <cell r="F1601">
            <v>6</v>
          </cell>
          <cell r="G1601" t="str">
            <v>VL8010100000100</v>
          </cell>
          <cell r="H1601">
            <v>1</v>
          </cell>
          <cell r="I1601" t="str">
            <v>--</v>
          </cell>
          <cell r="J1601">
            <v>1</v>
          </cell>
          <cell r="K1601">
            <v>1</v>
          </cell>
        </row>
        <row r="1602">
          <cell r="A1602" t="str">
            <v>M1</v>
          </cell>
          <cell r="B1602" t="str">
            <v>A5C</v>
          </cell>
          <cell r="C1602" t="str">
            <v>N</v>
          </cell>
          <cell r="D1602" t="str">
            <v>22685</v>
          </cell>
          <cell r="E1602" t="str">
            <v>GLOBE VA</v>
          </cell>
          <cell r="F1602">
            <v>6</v>
          </cell>
          <cell r="G1602" t="str">
            <v>VL8010100000100</v>
          </cell>
          <cell r="H1602">
            <v>1</v>
          </cell>
          <cell r="I1602" t="str">
            <v>--</v>
          </cell>
          <cell r="J1602">
            <v>1</v>
          </cell>
          <cell r="K1602">
            <v>1</v>
          </cell>
        </row>
        <row r="1603">
          <cell r="A1603" t="str">
            <v>M1</v>
          </cell>
          <cell r="B1603" t="str">
            <v>A5C</v>
          </cell>
          <cell r="C1603" t="str">
            <v>N</v>
          </cell>
          <cell r="D1603" t="str">
            <v>22686</v>
          </cell>
          <cell r="E1603" t="str">
            <v>GLOBE VA</v>
          </cell>
          <cell r="F1603">
            <v>6</v>
          </cell>
          <cell r="G1603" t="str">
            <v>VL8010100000100</v>
          </cell>
          <cell r="H1603">
            <v>1</v>
          </cell>
          <cell r="I1603" t="str">
            <v>--</v>
          </cell>
          <cell r="J1603">
            <v>1</v>
          </cell>
          <cell r="K1603">
            <v>1</v>
          </cell>
        </row>
        <row r="1604">
          <cell r="A1604" t="str">
            <v>M1</v>
          </cell>
          <cell r="B1604" t="str">
            <v>A5C</v>
          </cell>
          <cell r="C1604" t="str">
            <v>N</v>
          </cell>
          <cell r="D1604" t="str">
            <v>22684</v>
          </cell>
          <cell r="E1604" t="str">
            <v>GLOBE VA</v>
          </cell>
          <cell r="F1604">
            <v>6</v>
          </cell>
          <cell r="G1604" t="str">
            <v>VL8010100000100</v>
          </cell>
          <cell r="H1604">
            <v>1</v>
          </cell>
          <cell r="I1604" t="str">
            <v>--</v>
          </cell>
          <cell r="J1604">
            <v>1</v>
          </cell>
          <cell r="K1604">
            <v>1</v>
          </cell>
        </row>
        <row r="1605">
          <cell r="A1605" t="str">
            <v>M1</v>
          </cell>
          <cell r="B1605" t="str">
            <v>A5C</v>
          </cell>
          <cell r="C1605" t="str">
            <v>P</v>
          </cell>
          <cell r="D1605" t="str">
            <v>22039</v>
          </cell>
          <cell r="E1605" t="str">
            <v>BALL VA</v>
          </cell>
          <cell r="F1605">
            <v>6</v>
          </cell>
          <cell r="G1605" t="str">
            <v>VB8010600000100</v>
          </cell>
          <cell r="H1605">
            <v>1</v>
          </cell>
          <cell r="I1605" t="str">
            <v>--</v>
          </cell>
          <cell r="J1605">
            <v>1</v>
          </cell>
          <cell r="K1605">
            <v>1</v>
          </cell>
        </row>
        <row r="1606">
          <cell r="A1606" t="str">
            <v>M1</v>
          </cell>
          <cell r="B1606" t="str">
            <v>A5C</v>
          </cell>
          <cell r="C1606" t="str">
            <v>P</v>
          </cell>
          <cell r="D1606" t="str">
            <v>22040</v>
          </cell>
          <cell r="E1606" t="str">
            <v>BALL VA</v>
          </cell>
          <cell r="F1606">
            <v>6</v>
          </cell>
          <cell r="G1606" t="str">
            <v>VB8010600000100</v>
          </cell>
          <cell r="H1606">
            <v>1</v>
          </cell>
          <cell r="I1606" t="str">
            <v>--</v>
          </cell>
          <cell r="J1606">
            <v>1</v>
          </cell>
          <cell r="K1606">
            <v>1</v>
          </cell>
        </row>
        <row r="1607">
          <cell r="A1607" t="str">
            <v>M1</v>
          </cell>
          <cell r="B1607" t="str">
            <v>A5C</v>
          </cell>
          <cell r="C1607" t="str">
            <v>P</v>
          </cell>
          <cell r="D1607" t="str">
            <v>22041</v>
          </cell>
          <cell r="E1607" t="str">
            <v>BALL VA</v>
          </cell>
          <cell r="F1607">
            <v>6</v>
          </cell>
          <cell r="G1607" t="str">
            <v>VB8010600000100</v>
          </cell>
          <cell r="H1607">
            <v>1</v>
          </cell>
          <cell r="I1607" t="str">
            <v>--</v>
          </cell>
          <cell r="J1607">
            <v>1</v>
          </cell>
          <cell r="K1607">
            <v>1</v>
          </cell>
        </row>
        <row r="1608">
          <cell r="A1608" t="str">
            <v>M1</v>
          </cell>
          <cell r="B1608" t="str">
            <v>A6C</v>
          </cell>
          <cell r="C1608" t="str">
            <v>HOS</v>
          </cell>
          <cell r="D1608" t="str">
            <v>65616</v>
          </cell>
          <cell r="E1608" t="str">
            <v>BELLOWS VA</v>
          </cell>
          <cell r="F1608">
            <v>6</v>
          </cell>
          <cell r="G1608" t="str">
            <v>VBE8010600000100</v>
          </cell>
          <cell r="H1608">
            <v>1</v>
          </cell>
          <cell r="I1608" t="str">
            <v>--</v>
          </cell>
          <cell r="J1608">
            <v>1</v>
          </cell>
          <cell r="K1608">
            <v>1</v>
          </cell>
        </row>
        <row r="1609">
          <cell r="A1609" t="str">
            <v>M1</v>
          </cell>
          <cell r="B1609" t="str">
            <v>A6C</v>
          </cell>
          <cell r="C1609" t="str">
            <v>HOS</v>
          </cell>
          <cell r="D1609" t="str">
            <v>65621</v>
          </cell>
          <cell r="E1609" t="str">
            <v>BELLOWS VA</v>
          </cell>
          <cell r="F1609">
            <v>6</v>
          </cell>
          <cell r="G1609" t="str">
            <v>VBE8010700000100</v>
          </cell>
          <cell r="H1609">
            <v>1</v>
          </cell>
          <cell r="I1609" t="str">
            <v>--</v>
          </cell>
          <cell r="J1609">
            <v>2</v>
          </cell>
          <cell r="K1609">
            <v>2</v>
          </cell>
        </row>
        <row r="1610">
          <cell r="A1610" t="str">
            <v>M1</v>
          </cell>
          <cell r="B1610" t="str">
            <v>A5C</v>
          </cell>
          <cell r="C1610" t="str">
            <v>P</v>
          </cell>
          <cell r="D1610" t="str">
            <v>22001</v>
          </cell>
          <cell r="E1610" t="str">
            <v>BELLOWS VA</v>
          </cell>
          <cell r="F1610">
            <v>6</v>
          </cell>
          <cell r="G1610" t="str">
            <v>VBE8010200000100</v>
          </cell>
          <cell r="H1610">
            <v>1</v>
          </cell>
          <cell r="I1610" t="str">
            <v>--</v>
          </cell>
          <cell r="J1610">
            <v>1</v>
          </cell>
          <cell r="K1610">
            <v>1</v>
          </cell>
        </row>
        <row r="1611">
          <cell r="A1611" t="str">
            <v>M1</v>
          </cell>
          <cell r="B1611" t="str">
            <v>A5C</v>
          </cell>
          <cell r="C1611" t="str">
            <v>P</v>
          </cell>
          <cell r="D1611" t="str">
            <v>22003</v>
          </cell>
          <cell r="E1611" t="str">
            <v>BELLOWS VA</v>
          </cell>
          <cell r="F1611">
            <v>6</v>
          </cell>
          <cell r="G1611" t="str">
            <v>VBE8010100000100</v>
          </cell>
          <cell r="H1611">
            <v>1</v>
          </cell>
          <cell r="I1611" t="str">
            <v>--</v>
          </cell>
          <cell r="J1611">
            <v>1</v>
          </cell>
          <cell r="K1611">
            <v>1</v>
          </cell>
        </row>
        <row r="1612">
          <cell r="A1612" t="str">
            <v>M1</v>
          </cell>
          <cell r="B1612" t="str">
            <v>A4C</v>
          </cell>
          <cell r="C1612" t="str">
            <v>P</v>
          </cell>
          <cell r="D1612" t="str">
            <v>22008</v>
          </cell>
          <cell r="E1612" t="str">
            <v>BALL VA</v>
          </cell>
          <cell r="F1612">
            <v>6</v>
          </cell>
          <cell r="G1612" t="str">
            <v>VB8010300000100</v>
          </cell>
          <cell r="H1612">
            <v>1</v>
          </cell>
          <cell r="I1612" t="str">
            <v>--</v>
          </cell>
          <cell r="J1612">
            <v>2</v>
          </cell>
          <cell r="K1612">
            <v>2</v>
          </cell>
        </row>
        <row r="1613">
          <cell r="A1613" t="str">
            <v>M1</v>
          </cell>
          <cell r="B1613" t="str">
            <v>A5C</v>
          </cell>
          <cell r="C1613" t="str">
            <v>TRIM</v>
          </cell>
          <cell r="D1613" t="str">
            <v>C-2201</v>
          </cell>
          <cell r="E1613" t="str">
            <v>BALL VA</v>
          </cell>
          <cell r="F1613">
            <v>6</v>
          </cell>
          <cell r="G1613" t="str">
            <v>VB8010600000100</v>
          </cell>
          <cell r="H1613">
            <v>1</v>
          </cell>
          <cell r="I1613" t="str">
            <v>--</v>
          </cell>
          <cell r="J1613">
            <v>2</v>
          </cell>
          <cell r="K1613">
            <v>2</v>
          </cell>
        </row>
        <row r="1614">
          <cell r="A1614" t="str">
            <v>M1</v>
          </cell>
          <cell r="B1614" t="str">
            <v>A6C</v>
          </cell>
          <cell r="C1614" t="str">
            <v>HOR</v>
          </cell>
          <cell r="D1614" t="str">
            <v>65622</v>
          </cell>
          <cell r="E1614" t="str">
            <v>BELLOWS VA</v>
          </cell>
          <cell r="F1614">
            <v>6</v>
          </cell>
          <cell r="G1614" t="str">
            <v>VBE8010700000100</v>
          </cell>
          <cell r="H1614">
            <v>1</v>
          </cell>
          <cell r="I1614" t="str">
            <v>--</v>
          </cell>
          <cell r="J1614">
            <v>2</v>
          </cell>
          <cell r="K1614">
            <v>2</v>
          </cell>
        </row>
        <row r="1615">
          <cell r="A1615" t="str">
            <v>M1</v>
          </cell>
          <cell r="B1615" t="str">
            <v>A6C</v>
          </cell>
          <cell r="C1615" t="str">
            <v>HOS</v>
          </cell>
          <cell r="D1615" t="str">
            <v>65613</v>
          </cell>
          <cell r="E1615" t="str">
            <v>BELLOWS VA</v>
          </cell>
          <cell r="F1615">
            <v>6</v>
          </cell>
          <cell r="G1615" t="str">
            <v>VBE8010800000100</v>
          </cell>
          <cell r="H1615">
            <v>1</v>
          </cell>
          <cell r="I1615" t="str">
            <v>--</v>
          </cell>
          <cell r="J1615">
            <v>2</v>
          </cell>
          <cell r="K1615">
            <v>2</v>
          </cell>
        </row>
        <row r="1616">
          <cell r="A1616" t="str">
            <v>M1</v>
          </cell>
          <cell r="B1616" t="str">
            <v>A6C</v>
          </cell>
          <cell r="C1616" t="str">
            <v>HOS</v>
          </cell>
          <cell r="D1616" t="str">
            <v>65613</v>
          </cell>
          <cell r="E1616" t="str">
            <v>BELLOWS VA</v>
          </cell>
          <cell r="F1616">
            <v>6</v>
          </cell>
          <cell r="G1616" t="str">
            <v>VBE8010700000100</v>
          </cell>
          <cell r="H1616">
            <v>1</v>
          </cell>
          <cell r="I1616" t="str">
            <v>--</v>
          </cell>
          <cell r="J1616">
            <v>1</v>
          </cell>
          <cell r="K1616">
            <v>1</v>
          </cell>
        </row>
        <row r="1617">
          <cell r="A1617" t="str">
            <v>M1</v>
          </cell>
          <cell r="B1617" t="str">
            <v>A6C</v>
          </cell>
          <cell r="C1617" t="str">
            <v>HOS</v>
          </cell>
          <cell r="D1617" t="str">
            <v>65624</v>
          </cell>
          <cell r="E1617" t="str">
            <v>BELLOWS VA</v>
          </cell>
          <cell r="F1617">
            <v>6</v>
          </cell>
          <cell r="G1617" t="str">
            <v>VBE8010700000100</v>
          </cell>
          <cell r="H1617">
            <v>1</v>
          </cell>
          <cell r="I1617" t="str">
            <v>--</v>
          </cell>
          <cell r="J1617">
            <v>1</v>
          </cell>
          <cell r="K1617">
            <v>1</v>
          </cell>
        </row>
        <row r="1618">
          <cell r="A1618" t="str">
            <v>M1</v>
          </cell>
          <cell r="B1618" t="str">
            <v>A6C</v>
          </cell>
          <cell r="C1618" t="str">
            <v>HOS</v>
          </cell>
          <cell r="D1618" t="str">
            <v>65625</v>
          </cell>
          <cell r="E1618" t="str">
            <v>BELLOWS VA</v>
          </cell>
          <cell r="F1618">
            <v>6</v>
          </cell>
          <cell r="G1618" t="str">
            <v>VBE8010700000100</v>
          </cell>
          <cell r="H1618">
            <v>1</v>
          </cell>
          <cell r="I1618" t="str">
            <v>--</v>
          </cell>
          <cell r="J1618">
            <v>1</v>
          </cell>
          <cell r="K1618">
            <v>1</v>
          </cell>
        </row>
        <row r="1619">
          <cell r="A1619" t="str">
            <v>M1</v>
          </cell>
          <cell r="B1619" t="str">
            <v>A4C</v>
          </cell>
          <cell r="C1619" t="str">
            <v>N</v>
          </cell>
          <cell r="D1619" t="str">
            <v>22662</v>
          </cell>
          <cell r="E1619" t="str">
            <v>BALL VA</v>
          </cell>
          <cell r="F1619">
            <v>6</v>
          </cell>
          <cell r="G1619" t="str">
            <v>VB8010300001H00</v>
          </cell>
          <cell r="H1619">
            <v>1.5</v>
          </cell>
          <cell r="I1619" t="str">
            <v>--</v>
          </cell>
          <cell r="J1619">
            <v>1</v>
          </cell>
          <cell r="K1619">
            <v>1</v>
          </cell>
        </row>
        <row r="1620">
          <cell r="A1620" t="str">
            <v>M1</v>
          </cell>
          <cell r="B1620" t="str">
            <v>A5C</v>
          </cell>
          <cell r="C1620" t="str">
            <v>P</v>
          </cell>
          <cell r="D1620" t="str">
            <v>22036</v>
          </cell>
          <cell r="E1620" t="str">
            <v>BALL VA</v>
          </cell>
          <cell r="F1620">
            <v>6</v>
          </cell>
          <cell r="G1620" t="str">
            <v>VB8010600001H00</v>
          </cell>
          <cell r="H1620">
            <v>1.5</v>
          </cell>
          <cell r="I1620" t="str">
            <v>--</v>
          </cell>
          <cell r="J1620">
            <v>2</v>
          </cell>
          <cell r="K1620">
            <v>2</v>
          </cell>
        </row>
        <row r="1621">
          <cell r="A1621" t="str">
            <v>M1</v>
          </cell>
          <cell r="B1621" t="str">
            <v>A5C</v>
          </cell>
          <cell r="C1621" t="str">
            <v>P</v>
          </cell>
          <cell r="D1621" t="str">
            <v>22045</v>
          </cell>
          <cell r="E1621" t="str">
            <v>BALL VA</v>
          </cell>
          <cell r="F1621">
            <v>6</v>
          </cell>
          <cell r="G1621" t="str">
            <v>VB8010600001H00</v>
          </cell>
          <cell r="H1621">
            <v>1.5</v>
          </cell>
          <cell r="I1621" t="str">
            <v>--</v>
          </cell>
          <cell r="J1621">
            <v>4</v>
          </cell>
          <cell r="K1621">
            <v>4</v>
          </cell>
        </row>
        <row r="1622">
          <cell r="A1622" t="str">
            <v>M1</v>
          </cell>
          <cell r="B1622" t="str">
            <v>A5C</v>
          </cell>
          <cell r="C1622" t="str">
            <v>P</v>
          </cell>
          <cell r="D1622" t="str">
            <v>22070</v>
          </cell>
          <cell r="E1622" t="str">
            <v>BALL VA</v>
          </cell>
          <cell r="F1622">
            <v>6</v>
          </cell>
          <cell r="G1622" t="str">
            <v>VB8010600001H00</v>
          </cell>
          <cell r="H1622">
            <v>1.5</v>
          </cell>
          <cell r="I1622" t="str">
            <v>--</v>
          </cell>
          <cell r="J1622">
            <v>1</v>
          </cell>
          <cell r="K1622">
            <v>1</v>
          </cell>
        </row>
        <row r="1623">
          <cell r="A1623" t="str">
            <v>M1</v>
          </cell>
          <cell r="B1623" t="str">
            <v>A5C</v>
          </cell>
          <cell r="C1623" t="str">
            <v>P</v>
          </cell>
          <cell r="D1623" t="str">
            <v>22071</v>
          </cell>
          <cell r="E1623" t="str">
            <v>BALL VA</v>
          </cell>
          <cell r="F1623">
            <v>6</v>
          </cell>
          <cell r="G1623" t="str">
            <v>VB8010600001H00</v>
          </cell>
          <cell r="H1623">
            <v>1.5</v>
          </cell>
          <cell r="I1623" t="str">
            <v>--</v>
          </cell>
          <cell r="J1623">
            <v>1</v>
          </cell>
          <cell r="K1623">
            <v>1</v>
          </cell>
        </row>
        <row r="1624">
          <cell r="A1624" t="str">
            <v>M1</v>
          </cell>
          <cell r="B1624" t="str">
            <v>A5C</v>
          </cell>
          <cell r="C1624" t="str">
            <v>P</v>
          </cell>
          <cell r="D1624" t="str">
            <v>22078</v>
          </cell>
          <cell r="E1624" t="str">
            <v>BALL VA</v>
          </cell>
          <cell r="F1624">
            <v>6</v>
          </cell>
          <cell r="G1624" t="str">
            <v>VB8010600001H00</v>
          </cell>
          <cell r="H1624">
            <v>1.5</v>
          </cell>
          <cell r="I1624" t="str">
            <v>--</v>
          </cell>
          <cell r="J1624">
            <v>3</v>
          </cell>
          <cell r="K1624">
            <v>3</v>
          </cell>
        </row>
        <row r="1625">
          <cell r="A1625" t="str">
            <v>M1</v>
          </cell>
          <cell r="B1625" t="str">
            <v>A5C</v>
          </cell>
          <cell r="C1625" t="str">
            <v>P</v>
          </cell>
          <cell r="D1625" t="str">
            <v>22087</v>
          </cell>
          <cell r="E1625" t="str">
            <v>BALL VA</v>
          </cell>
          <cell r="F1625">
            <v>6</v>
          </cell>
          <cell r="G1625" t="str">
            <v>VB8010600001H00</v>
          </cell>
          <cell r="H1625">
            <v>1.5</v>
          </cell>
          <cell r="I1625" t="str">
            <v>--</v>
          </cell>
          <cell r="J1625">
            <v>1</v>
          </cell>
          <cell r="K1625">
            <v>1</v>
          </cell>
        </row>
        <row r="1626">
          <cell r="A1626" t="str">
            <v>M1</v>
          </cell>
          <cell r="B1626" t="str">
            <v>A5C</v>
          </cell>
          <cell r="C1626" t="str">
            <v>P</v>
          </cell>
          <cell r="D1626" t="str">
            <v>22071</v>
          </cell>
          <cell r="E1626" t="str">
            <v>BALL VA</v>
          </cell>
          <cell r="F1626">
            <v>6</v>
          </cell>
          <cell r="G1626" t="str">
            <v>VB8010600001H00</v>
          </cell>
          <cell r="H1626">
            <v>1.5</v>
          </cell>
          <cell r="I1626" t="str">
            <v>--</v>
          </cell>
          <cell r="J1626">
            <v>2</v>
          </cell>
          <cell r="K1626">
            <v>2</v>
          </cell>
        </row>
        <row r="1627">
          <cell r="A1627" t="str">
            <v>M1</v>
          </cell>
          <cell r="B1627" t="str">
            <v>A5C</v>
          </cell>
          <cell r="C1627" t="str">
            <v>P</v>
          </cell>
          <cell r="D1627" t="str">
            <v>22079</v>
          </cell>
          <cell r="E1627" t="str">
            <v>BALL VA</v>
          </cell>
          <cell r="F1627">
            <v>6</v>
          </cell>
          <cell r="G1627" t="str">
            <v>VB8010600001H00</v>
          </cell>
          <cell r="H1627">
            <v>1.5</v>
          </cell>
          <cell r="I1627" t="str">
            <v>--</v>
          </cell>
          <cell r="J1627">
            <v>1</v>
          </cell>
          <cell r="K1627">
            <v>1</v>
          </cell>
        </row>
        <row r="1628">
          <cell r="A1628" t="str">
            <v>M1</v>
          </cell>
          <cell r="B1628" t="str">
            <v>A5C</v>
          </cell>
          <cell r="C1628" t="str">
            <v>P</v>
          </cell>
          <cell r="D1628" t="str">
            <v>22102</v>
          </cell>
          <cell r="E1628" t="str">
            <v>BALL VA</v>
          </cell>
          <cell r="F1628">
            <v>6</v>
          </cell>
          <cell r="G1628" t="str">
            <v>VB8010600001H00</v>
          </cell>
          <cell r="H1628">
            <v>1.5</v>
          </cell>
          <cell r="I1628" t="str">
            <v>--</v>
          </cell>
          <cell r="J1628">
            <v>4</v>
          </cell>
          <cell r="K1628">
            <v>4</v>
          </cell>
        </row>
        <row r="1629">
          <cell r="A1629" t="str">
            <v>M1</v>
          </cell>
          <cell r="B1629" t="str">
            <v>A5C</v>
          </cell>
          <cell r="C1629" t="str">
            <v>P</v>
          </cell>
          <cell r="D1629" t="str">
            <v>22102</v>
          </cell>
          <cell r="E1629" t="str">
            <v>BALL VA</v>
          </cell>
          <cell r="F1629">
            <v>6</v>
          </cell>
          <cell r="G1629" t="str">
            <v>VB8010600001H00</v>
          </cell>
          <cell r="H1629">
            <v>1.5</v>
          </cell>
          <cell r="I1629" t="str">
            <v>--</v>
          </cell>
          <cell r="J1629">
            <v>5</v>
          </cell>
          <cell r="K1629">
            <v>5</v>
          </cell>
        </row>
        <row r="1630">
          <cell r="A1630" t="str">
            <v>M1</v>
          </cell>
          <cell r="B1630" t="str">
            <v>A5C</v>
          </cell>
          <cell r="C1630" t="str">
            <v>P</v>
          </cell>
          <cell r="D1630" t="str">
            <v>22108</v>
          </cell>
          <cell r="E1630" t="str">
            <v>BALL VA</v>
          </cell>
          <cell r="F1630">
            <v>6</v>
          </cell>
          <cell r="G1630" t="str">
            <v>VB8010600001H00</v>
          </cell>
          <cell r="H1630">
            <v>1.5</v>
          </cell>
          <cell r="I1630" t="str">
            <v>--</v>
          </cell>
          <cell r="J1630">
            <v>1</v>
          </cell>
          <cell r="K1630">
            <v>1</v>
          </cell>
        </row>
        <row r="1631">
          <cell r="A1631" t="str">
            <v>M1</v>
          </cell>
          <cell r="B1631" t="str">
            <v>A5C</v>
          </cell>
          <cell r="C1631" t="str">
            <v>P</v>
          </cell>
          <cell r="D1631" t="str">
            <v>22109</v>
          </cell>
          <cell r="E1631" t="str">
            <v>BALL VA</v>
          </cell>
          <cell r="F1631">
            <v>6</v>
          </cell>
          <cell r="G1631" t="str">
            <v>VB8010600001H00</v>
          </cell>
          <cell r="H1631">
            <v>1.5</v>
          </cell>
          <cell r="I1631" t="str">
            <v>--</v>
          </cell>
          <cell r="J1631">
            <v>3</v>
          </cell>
          <cell r="K1631">
            <v>3</v>
          </cell>
        </row>
        <row r="1632">
          <cell r="A1632" t="str">
            <v>M1</v>
          </cell>
          <cell r="B1632" t="str">
            <v>A5C</v>
          </cell>
          <cell r="C1632" t="str">
            <v>P</v>
          </cell>
          <cell r="D1632" t="str">
            <v>22114</v>
          </cell>
          <cell r="E1632" t="str">
            <v>BALL VA</v>
          </cell>
          <cell r="F1632">
            <v>6</v>
          </cell>
          <cell r="G1632" t="str">
            <v>VB8010600001H00</v>
          </cell>
          <cell r="H1632">
            <v>1.5</v>
          </cell>
          <cell r="I1632" t="str">
            <v>--</v>
          </cell>
          <cell r="J1632">
            <v>1</v>
          </cell>
          <cell r="K1632">
            <v>1</v>
          </cell>
        </row>
        <row r="1633">
          <cell r="A1633" t="str">
            <v>M1</v>
          </cell>
          <cell r="B1633" t="str">
            <v>A5C</v>
          </cell>
          <cell r="C1633" t="str">
            <v>P</v>
          </cell>
          <cell r="D1633" t="str">
            <v>22157</v>
          </cell>
          <cell r="E1633" t="str">
            <v>BALL VA</v>
          </cell>
          <cell r="F1633">
            <v>6</v>
          </cell>
          <cell r="G1633" t="str">
            <v>VB8010600001H00</v>
          </cell>
          <cell r="H1633">
            <v>1.5</v>
          </cell>
          <cell r="I1633" t="str">
            <v>--</v>
          </cell>
          <cell r="J1633">
            <v>3</v>
          </cell>
          <cell r="K1633">
            <v>3</v>
          </cell>
        </row>
        <row r="1634">
          <cell r="A1634" t="str">
            <v>M1</v>
          </cell>
          <cell r="B1634" t="str">
            <v>A5C</v>
          </cell>
          <cell r="C1634" t="str">
            <v>P</v>
          </cell>
          <cell r="D1634" t="str">
            <v>22158</v>
          </cell>
          <cell r="E1634" t="str">
            <v>BALL VA</v>
          </cell>
          <cell r="F1634">
            <v>6</v>
          </cell>
          <cell r="G1634" t="str">
            <v>VB8010600001H00</v>
          </cell>
          <cell r="H1634">
            <v>1.5</v>
          </cell>
          <cell r="I1634" t="str">
            <v>--</v>
          </cell>
          <cell r="J1634">
            <v>1</v>
          </cell>
          <cell r="K1634">
            <v>1</v>
          </cell>
        </row>
        <row r="1635">
          <cell r="A1635" t="str">
            <v>M1</v>
          </cell>
          <cell r="B1635" t="str">
            <v>A5C</v>
          </cell>
          <cell r="C1635" t="str">
            <v>P</v>
          </cell>
          <cell r="D1635" t="str">
            <v>22071</v>
          </cell>
          <cell r="E1635" t="str">
            <v>BALL VA</v>
          </cell>
          <cell r="F1635">
            <v>6</v>
          </cell>
          <cell r="G1635" t="str">
            <v>VB8010600001H00</v>
          </cell>
          <cell r="H1635">
            <v>1.5</v>
          </cell>
          <cell r="I1635" t="str">
            <v>--</v>
          </cell>
          <cell r="J1635">
            <v>3</v>
          </cell>
          <cell r="K1635">
            <v>3</v>
          </cell>
        </row>
        <row r="1636">
          <cell r="A1636" t="str">
            <v>M1</v>
          </cell>
          <cell r="B1636" t="str">
            <v>A5C</v>
          </cell>
          <cell r="C1636" t="str">
            <v>P</v>
          </cell>
          <cell r="D1636" t="str">
            <v>22104</v>
          </cell>
          <cell r="E1636" t="str">
            <v>BALL VA</v>
          </cell>
          <cell r="F1636">
            <v>6</v>
          </cell>
          <cell r="G1636" t="str">
            <v>VB8010600001H00</v>
          </cell>
          <cell r="H1636">
            <v>1.5</v>
          </cell>
          <cell r="I1636" t="str">
            <v>--</v>
          </cell>
          <cell r="J1636">
            <v>2</v>
          </cell>
          <cell r="K1636">
            <v>2</v>
          </cell>
        </row>
        <row r="1637">
          <cell r="A1637" t="str">
            <v>M1</v>
          </cell>
          <cell r="B1637" t="str">
            <v>A4C</v>
          </cell>
          <cell r="C1637" t="str">
            <v>N</v>
          </cell>
          <cell r="D1637" t="str">
            <v>22662</v>
          </cell>
          <cell r="E1637" t="str">
            <v>CHECK VA</v>
          </cell>
          <cell r="F1637">
            <v>6</v>
          </cell>
          <cell r="G1637" t="str">
            <v>VCB8010200001H00</v>
          </cell>
          <cell r="H1637">
            <v>1.5</v>
          </cell>
          <cell r="I1637" t="str">
            <v>--</v>
          </cell>
          <cell r="J1637">
            <v>1</v>
          </cell>
          <cell r="K1637">
            <v>1</v>
          </cell>
        </row>
        <row r="1638">
          <cell r="A1638" t="str">
            <v>M1</v>
          </cell>
          <cell r="B1638" t="str">
            <v>A5C</v>
          </cell>
          <cell r="C1638" t="str">
            <v>P</v>
          </cell>
          <cell r="D1638" t="str">
            <v>22071</v>
          </cell>
          <cell r="E1638" t="str">
            <v>CHECK VA</v>
          </cell>
          <cell r="F1638">
            <v>6</v>
          </cell>
          <cell r="G1638" t="str">
            <v>VCB8010400001H00</v>
          </cell>
          <cell r="H1638">
            <v>1.5</v>
          </cell>
          <cell r="I1638" t="str">
            <v>--</v>
          </cell>
          <cell r="J1638">
            <v>2</v>
          </cell>
          <cell r="K1638">
            <v>2</v>
          </cell>
        </row>
        <row r="1639">
          <cell r="A1639" t="str">
            <v>M1</v>
          </cell>
          <cell r="B1639" t="str">
            <v>A5C</v>
          </cell>
          <cell r="C1639" t="str">
            <v>P</v>
          </cell>
          <cell r="D1639" t="str">
            <v>22158</v>
          </cell>
          <cell r="E1639" t="str">
            <v>GLOBE VA</v>
          </cell>
          <cell r="F1639">
            <v>6</v>
          </cell>
          <cell r="G1639" t="str">
            <v>VL8010100001H00</v>
          </cell>
          <cell r="H1639">
            <v>1.5</v>
          </cell>
          <cell r="I1639" t="str">
            <v>--</v>
          </cell>
          <cell r="J1639">
            <v>1</v>
          </cell>
          <cell r="K1639">
            <v>1</v>
          </cell>
        </row>
        <row r="1640">
          <cell r="A1640" t="str">
            <v>M1</v>
          </cell>
          <cell r="B1640" t="str">
            <v>A5C</v>
          </cell>
          <cell r="C1640" t="str">
            <v>P</v>
          </cell>
          <cell r="D1640" t="str">
            <v>22099</v>
          </cell>
          <cell r="E1640" t="str">
            <v>BALL VA</v>
          </cell>
          <cell r="F1640">
            <v>6</v>
          </cell>
          <cell r="G1640" t="str">
            <v>VB8010600001H00</v>
          </cell>
          <cell r="H1640">
            <v>1.5</v>
          </cell>
          <cell r="I1640" t="str">
            <v>--</v>
          </cell>
          <cell r="J1640">
            <v>1</v>
          </cell>
          <cell r="K1640">
            <v>1</v>
          </cell>
        </row>
        <row r="1641">
          <cell r="A1641" t="str">
            <v>M1</v>
          </cell>
          <cell r="B1641" t="str">
            <v>A5C</v>
          </cell>
          <cell r="C1641" t="str">
            <v>P</v>
          </cell>
          <cell r="D1641" t="str">
            <v>22039</v>
          </cell>
          <cell r="E1641" t="str">
            <v>BALL VA</v>
          </cell>
          <cell r="F1641">
            <v>6</v>
          </cell>
          <cell r="G1641" t="str">
            <v>VB8010600001H00</v>
          </cell>
          <cell r="H1641">
            <v>1.5</v>
          </cell>
          <cell r="I1641" t="str">
            <v>--</v>
          </cell>
          <cell r="J1641">
            <v>1</v>
          </cell>
          <cell r="K1641">
            <v>1</v>
          </cell>
        </row>
        <row r="1642">
          <cell r="A1642" t="str">
            <v>M1</v>
          </cell>
          <cell r="B1642" t="str">
            <v>A5C</v>
          </cell>
          <cell r="C1642" t="str">
            <v>P</v>
          </cell>
          <cell r="D1642" t="str">
            <v>22040</v>
          </cell>
          <cell r="E1642" t="str">
            <v>BALL VA</v>
          </cell>
          <cell r="F1642">
            <v>6</v>
          </cell>
          <cell r="G1642" t="str">
            <v>VB8010600001H00</v>
          </cell>
          <cell r="H1642">
            <v>1.5</v>
          </cell>
          <cell r="I1642" t="str">
            <v>--</v>
          </cell>
          <cell r="J1642">
            <v>1</v>
          </cell>
          <cell r="K1642">
            <v>1</v>
          </cell>
        </row>
        <row r="1643">
          <cell r="A1643" t="str">
            <v>M1</v>
          </cell>
          <cell r="B1643" t="str">
            <v>A5C</v>
          </cell>
          <cell r="C1643" t="str">
            <v>P</v>
          </cell>
          <cell r="D1643" t="str">
            <v>22041</v>
          </cell>
          <cell r="E1643" t="str">
            <v>BALL VA</v>
          </cell>
          <cell r="F1643">
            <v>6</v>
          </cell>
          <cell r="G1643" t="str">
            <v>VB8010600001H00</v>
          </cell>
          <cell r="H1643">
            <v>1.5</v>
          </cell>
          <cell r="I1643" t="str">
            <v>--</v>
          </cell>
          <cell r="J1643">
            <v>1</v>
          </cell>
          <cell r="K1643">
            <v>1</v>
          </cell>
        </row>
        <row r="1644">
          <cell r="A1644" t="str">
            <v>M1</v>
          </cell>
          <cell r="B1644" t="str">
            <v>A6C</v>
          </cell>
          <cell r="C1644" t="str">
            <v>HOS</v>
          </cell>
          <cell r="D1644" t="str">
            <v>65618</v>
          </cell>
          <cell r="E1644" t="str">
            <v>BELLOWS VA</v>
          </cell>
          <cell r="F1644">
            <v>6</v>
          </cell>
          <cell r="G1644" t="str">
            <v>VBE8010700001H00</v>
          </cell>
          <cell r="H1644">
            <v>1.5</v>
          </cell>
          <cell r="I1644" t="str">
            <v>--</v>
          </cell>
          <cell r="J1644">
            <v>1</v>
          </cell>
          <cell r="K1644">
            <v>1</v>
          </cell>
        </row>
        <row r="1645">
          <cell r="A1645" t="str">
            <v>M1</v>
          </cell>
          <cell r="B1645" t="str">
            <v>A6C</v>
          </cell>
          <cell r="C1645" t="str">
            <v>HOS</v>
          </cell>
          <cell r="D1645" t="str">
            <v>65623</v>
          </cell>
          <cell r="E1645" t="str">
            <v>BELLOWS VA</v>
          </cell>
          <cell r="F1645">
            <v>6</v>
          </cell>
          <cell r="G1645" t="str">
            <v>VBE8010600001H00</v>
          </cell>
          <cell r="H1645">
            <v>1.5</v>
          </cell>
          <cell r="I1645" t="str">
            <v>--</v>
          </cell>
          <cell r="J1645">
            <v>1</v>
          </cell>
          <cell r="K1645">
            <v>1</v>
          </cell>
        </row>
        <row r="1646">
          <cell r="A1646" t="str">
            <v>M1</v>
          </cell>
          <cell r="B1646" t="str">
            <v>A5C</v>
          </cell>
          <cell r="C1646" t="str">
            <v>P</v>
          </cell>
          <cell r="D1646" t="str">
            <v>22040</v>
          </cell>
          <cell r="E1646" t="str">
            <v>GLOBE VA</v>
          </cell>
          <cell r="F1646">
            <v>6</v>
          </cell>
          <cell r="G1646" t="str">
            <v>VL8010100001H00</v>
          </cell>
          <cell r="H1646">
            <v>1.5</v>
          </cell>
          <cell r="I1646" t="str">
            <v>--</v>
          </cell>
          <cell r="J1646">
            <v>1</v>
          </cell>
          <cell r="K1646">
            <v>1</v>
          </cell>
        </row>
        <row r="1647">
          <cell r="A1647" t="str">
            <v>M1</v>
          </cell>
          <cell r="B1647" t="str">
            <v>A5C</v>
          </cell>
          <cell r="C1647" t="str">
            <v>P</v>
          </cell>
          <cell r="D1647" t="str">
            <v>22041</v>
          </cell>
          <cell r="E1647" t="str">
            <v>GLOBE VA</v>
          </cell>
          <cell r="F1647">
            <v>6</v>
          </cell>
          <cell r="G1647" t="str">
            <v>VL8010100001H00</v>
          </cell>
          <cell r="H1647">
            <v>1.5</v>
          </cell>
          <cell r="I1647" t="str">
            <v>--</v>
          </cell>
          <cell r="J1647">
            <v>1</v>
          </cell>
          <cell r="K1647">
            <v>1</v>
          </cell>
        </row>
        <row r="1648">
          <cell r="A1648" t="str">
            <v>M1</v>
          </cell>
          <cell r="B1648" t="str">
            <v>A5C</v>
          </cell>
          <cell r="C1648" t="str">
            <v>P</v>
          </cell>
          <cell r="D1648" t="str">
            <v>22039</v>
          </cell>
          <cell r="E1648" t="str">
            <v>GLOBE VA</v>
          </cell>
          <cell r="F1648">
            <v>6</v>
          </cell>
          <cell r="G1648" t="str">
            <v>VL8010100001H00</v>
          </cell>
          <cell r="H1648">
            <v>1.5</v>
          </cell>
          <cell r="I1648" t="str">
            <v>--</v>
          </cell>
          <cell r="J1648">
            <v>1</v>
          </cell>
          <cell r="K1648">
            <v>1</v>
          </cell>
        </row>
        <row r="1649">
          <cell r="A1649" t="str">
            <v>M1</v>
          </cell>
          <cell r="B1649" t="str">
            <v>A5C</v>
          </cell>
          <cell r="C1649" t="str">
            <v>P</v>
          </cell>
          <cell r="D1649" t="str">
            <v>22064</v>
          </cell>
          <cell r="E1649" t="str">
            <v>BALL VA</v>
          </cell>
          <cell r="F1649">
            <v>6</v>
          </cell>
          <cell r="G1649" t="str">
            <v>VB8010600001H00</v>
          </cell>
          <cell r="H1649">
            <v>1.5</v>
          </cell>
          <cell r="I1649" t="str">
            <v>--</v>
          </cell>
          <cell r="J1649">
            <v>1</v>
          </cell>
          <cell r="K1649">
            <v>1</v>
          </cell>
        </row>
        <row r="1650">
          <cell r="A1650" t="str">
            <v>M1</v>
          </cell>
          <cell r="B1650" t="str">
            <v>A5C</v>
          </cell>
          <cell r="C1650" t="str">
            <v>P</v>
          </cell>
          <cell r="D1650" t="str">
            <v>22085</v>
          </cell>
          <cell r="E1650" t="str">
            <v>BALL VA</v>
          </cell>
          <cell r="F1650">
            <v>6</v>
          </cell>
          <cell r="G1650" t="str">
            <v>VB8010600001H00</v>
          </cell>
          <cell r="H1650">
            <v>1.5</v>
          </cell>
          <cell r="I1650" t="str">
            <v>--</v>
          </cell>
          <cell r="J1650">
            <v>1</v>
          </cell>
          <cell r="K1650">
            <v>1</v>
          </cell>
        </row>
        <row r="1651">
          <cell r="A1651" t="str">
            <v>M1</v>
          </cell>
          <cell r="B1651" t="str">
            <v>A5C</v>
          </cell>
          <cell r="C1651" t="str">
            <v>P</v>
          </cell>
          <cell r="D1651" t="str">
            <v>22111</v>
          </cell>
          <cell r="E1651" t="str">
            <v>BALL VA</v>
          </cell>
          <cell r="F1651">
            <v>6</v>
          </cell>
          <cell r="G1651" t="str">
            <v>VB8010600001H00</v>
          </cell>
          <cell r="H1651">
            <v>1.5</v>
          </cell>
          <cell r="I1651" t="str">
            <v>--</v>
          </cell>
          <cell r="J1651">
            <v>5</v>
          </cell>
          <cell r="K1651">
            <v>5</v>
          </cell>
        </row>
        <row r="1652">
          <cell r="A1652" t="str">
            <v>M1</v>
          </cell>
          <cell r="B1652" t="str">
            <v>A6C</v>
          </cell>
          <cell r="C1652" t="str">
            <v>HOS</v>
          </cell>
          <cell r="D1652" t="str">
            <v>65632</v>
          </cell>
          <cell r="E1652" t="str">
            <v>BELLOWS VA</v>
          </cell>
          <cell r="F1652">
            <v>6</v>
          </cell>
          <cell r="G1652" t="str">
            <v>VBE8010700001H00</v>
          </cell>
          <cell r="H1652">
            <v>1.5</v>
          </cell>
          <cell r="I1652" t="str">
            <v>--</v>
          </cell>
          <cell r="J1652">
            <v>4</v>
          </cell>
          <cell r="K1652">
            <v>4</v>
          </cell>
        </row>
        <row r="1653">
          <cell r="A1653" t="str">
            <v>M1</v>
          </cell>
          <cell r="B1653" t="str">
            <v>A6C</v>
          </cell>
          <cell r="C1653" t="str">
            <v>HOS</v>
          </cell>
          <cell r="D1653" t="str">
            <v>65633</v>
          </cell>
          <cell r="E1653" t="str">
            <v>BELLOWS VA</v>
          </cell>
          <cell r="F1653">
            <v>6</v>
          </cell>
          <cell r="G1653" t="str">
            <v>VBE8010600001H00</v>
          </cell>
          <cell r="H1653">
            <v>1.5</v>
          </cell>
          <cell r="I1653" t="str">
            <v>--</v>
          </cell>
          <cell r="J1653">
            <v>1</v>
          </cell>
          <cell r="K1653">
            <v>1</v>
          </cell>
        </row>
        <row r="1654">
          <cell r="A1654" t="str">
            <v>M1</v>
          </cell>
          <cell r="B1654" t="str">
            <v>A6C</v>
          </cell>
          <cell r="C1654" t="str">
            <v>HOS</v>
          </cell>
          <cell r="D1654" t="str">
            <v>65611</v>
          </cell>
          <cell r="E1654" t="str">
            <v>BELLOWS VA</v>
          </cell>
          <cell r="F1654">
            <v>6</v>
          </cell>
          <cell r="G1654" t="str">
            <v>VBE8010700001H00</v>
          </cell>
          <cell r="H1654">
            <v>1.5</v>
          </cell>
          <cell r="I1654" t="str">
            <v>--</v>
          </cell>
          <cell r="J1654">
            <v>1</v>
          </cell>
          <cell r="K1654">
            <v>1</v>
          </cell>
        </row>
        <row r="1655">
          <cell r="A1655" t="str">
            <v>M1</v>
          </cell>
          <cell r="B1655" t="str">
            <v>A5C</v>
          </cell>
          <cell r="C1655" t="str">
            <v>P</v>
          </cell>
          <cell r="D1655" t="str">
            <v>22002</v>
          </cell>
          <cell r="E1655" t="str">
            <v>BELLOWS VA</v>
          </cell>
          <cell r="F1655">
            <v>6</v>
          </cell>
          <cell r="G1655" t="str">
            <v>VBE8010100001H00</v>
          </cell>
          <cell r="H1655">
            <v>1.5</v>
          </cell>
          <cell r="I1655" t="str">
            <v>--</v>
          </cell>
          <cell r="J1655">
            <v>2</v>
          </cell>
          <cell r="K1655">
            <v>2</v>
          </cell>
        </row>
        <row r="1656">
          <cell r="A1656" t="str">
            <v>M1</v>
          </cell>
          <cell r="B1656" t="str">
            <v>A6C</v>
          </cell>
          <cell r="C1656" t="str">
            <v>HOS</v>
          </cell>
          <cell r="D1656" t="str">
            <v>65633</v>
          </cell>
          <cell r="E1656" t="str">
            <v>CHECK VA</v>
          </cell>
          <cell r="F1656">
            <v>6</v>
          </cell>
          <cell r="G1656" t="str">
            <v>VCB8010300001H00</v>
          </cell>
          <cell r="H1656">
            <v>1.5</v>
          </cell>
          <cell r="I1656" t="str">
            <v>--</v>
          </cell>
          <cell r="J1656">
            <v>1</v>
          </cell>
          <cell r="K1656">
            <v>1</v>
          </cell>
        </row>
        <row r="1657">
          <cell r="A1657" t="str">
            <v>M1</v>
          </cell>
          <cell r="B1657" t="str">
            <v>A5C</v>
          </cell>
          <cell r="C1657" t="str">
            <v>P</v>
          </cell>
          <cell r="D1657" t="str">
            <v>22004</v>
          </cell>
          <cell r="E1657" t="str">
            <v>CHECK VA</v>
          </cell>
          <cell r="F1657">
            <v>6</v>
          </cell>
          <cell r="G1657" t="str">
            <v>VCB8010400001H00</v>
          </cell>
          <cell r="H1657">
            <v>1.5</v>
          </cell>
          <cell r="I1657" t="str">
            <v>--</v>
          </cell>
          <cell r="J1657">
            <v>1</v>
          </cell>
          <cell r="K1657">
            <v>1</v>
          </cell>
        </row>
        <row r="1658">
          <cell r="A1658" t="str">
            <v>M1</v>
          </cell>
          <cell r="B1658" t="str">
            <v>A5C</v>
          </cell>
          <cell r="C1658" t="str">
            <v>P</v>
          </cell>
          <cell r="D1658" t="str">
            <v>22085</v>
          </cell>
          <cell r="E1658" t="str">
            <v>CHECK VA</v>
          </cell>
          <cell r="F1658">
            <v>6</v>
          </cell>
          <cell r="G1658" t="str">
            <v>VCB8010400001H00</v>
          </cell>
          <cell r="H1658">
            <v>1.5</v>
          </cell>
          <cell r="I1658" t="str">
            <v>--</v>
          </cell>
          <cell r="J1658">
            <v>1</v>
          </cell>
          <cell r="K1658">
            <v>1</v>
          </cell>
        </row>
        <row r="1659">
          <cell r="A1659" t="str">
            <v>M1</v>
          </cell>
          <cell r="B1659" t="str">
            <v>A5C</v>
          </cell>
          <cell r="C1659" t="str">
            <v>RW</v>
          </cell>
          <cell r="D1659" t="str">
            <v>25611</v>
          </cell>
          <cell r="E1659" t="str">
            <v>GLOBE VA</v>
          </cell>
          <cell r="F1659">
            <v>6</v>
          </cell>
          <cell r="G1659" t="str">
            <v>VL8010100001H00</v>
          </cell>
          <cell r="H1659">
            <v>1.5</v>
          </cell>
          <cell r="I1659" t="str">
            <v>--</v>
          </cell>
          <cell r="J1659">
            <v>1</v>
          </cell>
          <cell r="K1659">
            <v>1</v>
          </cell>
        </row>
        <row r="1660">
          <cell r="A1660" t="str">
            <v>M1</v>
          </cell>
          <cell r="B1660" t="str">
            <v>A4C</v>
          </cell>
          <cell r="C1660" t="str">
            <v>P</v>
          </cell>
          <cell r="D1660" t="str">
            <v>22031</v>
          </cell>
          <cell r="E1660" t="str">
            <v>BALL VA</v>
          </cell>
          <cell r="F1660">
            <v>6</v>
          </cell>
          <cell r="G1660" t="str">
            <v>VB8010300001H00</v>
          </cell>
          <cell r="H1660">
            <v>1.5</v>
          </cell>
          <cell r="I1660" t="str">
            <v>--</v>
          </cell>
          <cell r="J1660">
            <v>7</v>
          </cell>
          <cell r="K1660">
            <v>7</v>
          </cell>
        </row>
        <row r="1661">
          <cell r="A1661" t="str">
            <v>M1</v>
          </cell>
          <cell r="B1661" t="str">
            <v>A4C</v>
          </cell>
          <cell r="C1661" t="str">
            <v>P</v>
          </cell>
          <cell r="D1661" t="str">
            <v>22031</v>
          </cell>
          <cell r="E1661" t="str">
            <v>BALL VA</v>
          </cell>
          <cell r="F1661">
            <v>6</v>
          </cell>
          <cell r="G1661" t="str">
            <v>VB8010300001H00</v>
          </cell>
          <cell r="H1661">
            <v>1.5</v>
          </cell>
          <cell r="I1661" t="str">
            <v>--</v>
          </cell>
          <cell r="J1661">
            <v>1</v>
          </cell>
          <cell r="K1661">
            <v>1</v>
          </cell>
        </row>
        <row r="1662">
          <cell r="A1662" t="str">
            <v>M1</v>
          </cell>
          <cell r="B1662" t="str">
            <v>A5C</v>
          </cell>
          <cell r="C1662" t="str">
            <v>TRIM</v>
          </cell>
          <cell r="D1662" t="str">
            <v>X-2207</v>
          </cell>
          <cell r="E1662" t="str">
            <v>BALL VA</v>
          </cell>
          <cell r="F1662">
            <v>6</v>
          </cell>
          <cell r="G1662" t="str">
            <v>VB8010600001H00</v>
          </cell>
          <cell r="H1662">
            <v>1.5</v>
          </cell>
          <cell r="I1662" t="str">
            <v>--</v>
          </cell>
          <cell r="J1662">
            <v>1</v>
          </cell>
          <cell r="K1662">
            <v>1</v>
          </cell>
        </row>
        <row r="1663">
          <cell r="A1663" t="str">
            <v>M1</v>
          </cell>
          <cell r="B1663" t="str">
            <v>A5C</v>
          </cell>
          <cell r="C1663" t="str">
            <v>TRIM</v>
          </cell>
          <cell r="D1663" t="str">
            <v>V-2201</v>
          </cell>
          <cell r="E1663" t="str">
            <v>BELLOWS VA</v>
          </cell>
          <cell r="F1663">
            <v>6</v>
          </cell>
          <cell r="G1663" t="str">
            <v>VBE8010100001H00</v>
          </cell>
          <cell r="H1663">
            <v>1.5</v>
          </cell>
          <cell r="I1663" t="str">
            <v>--</v>
          </cell>
          <cell r="J1663">
            <v>1</v>
          </cell>
          <cell r="K1663">
            <v>1</v>
          </cell>
        </row>
        <row r="1664">
          <cell r="A1664" t="str">
            <v>M1</v>
          </cell>
          <cell r="B1664" t="str">
            <v>A4C</v>
          </cell>
          <cell r="C1664" t="str">
            <v>P</v>
          </cell>
          <cell r="D1664" t="str">
            <v>22031</v>
          </cell>
          <cell r="E1664" t="str">
            <v>CHECK VA</v>
          </cell>
          <cell r="F1664">
            <v>6</v>
          </cell>
          <cell r="G1664" t="str">
            <v>VCB8010200001H00</v>
          </cell>
          <cell r="H1664">
            <v>1.5</v>
          </cell>
          <cell r="I1664" t="str">
            <v>--</v>
          </cell>
          <cell r="J1664">
            <v>1</v>
          </cell>
          <cell r="K1664">
            <v>1</v>
          </cell>
        </row>
        <row r="1665">
          <cell r="A1665" t="str">
            <v>M2</v>
          </cell>
          <cell r="B1665" t="str">
            <v>A5C</v>
          </cell>
          <cell r="C1665" t="str">
            <v>P</v>
          </cell>
          <cell r="D1665" t="str">
            <v>23094</v>
          </cell>
          <cell r="E1665" t="str">
            <v>PIPE</v>
          </cell>
          <cell r="F1665">
            <v>1</v>
          </cell>
          <cell r="G1665" t="str">
            <v>CB100508000H00</v>
          </cell>
          <cell r="H1665">
            <v>0.5</v>
          </cell>
          <cell r="I1665" t="str">
            <v>--</v>
          </cell>
          <cell r="J1665">
            <v>2</v>
          </cell>
          <cell r="K1665">
            <v>2</v>
          </cell>
        </row>
        <row r="1666">
          <cell r="A1666" t="str">
            <v>M2</v>
          </cell>
          <cell r="B1666" t="str">
            <v>A5C</v>
          </cell>
          <cell r="C1666" t="str">
            <v>P</v>
          </cell>
          <cell r="D1666" t="str">
            <v>23113</v>
          </cell>
          <cell r="E1666" t="str">
            <v>PIPE</v>
          </cell>
          <cell r="F1666">
            <v>1</v>
          </cell>
          <cell r="G1666" t="str">
            <v>CB100508000H00</v>
          </cell>
          <cell r="H1666">
            <v>0.5</v>
          </cell>
          <cell r="I1666" t="str">
            <v>--</v>
          </cell>
          <cell r="J1666">
            <v>2</v>
          </cell>
          <cell r="K1666">
            <v>2</v>
          </cell>
        </row>
        <row r="1667">
          <cell r="A1667" t="str">
            <v>M2</v>
          </cell>
          <cell r="B1667" t="str">
            <v>A5C</v>
          </cell>
          <cell r="C1667" t="str">
            <v>P</v>
          </cell>
          <cell r="D1667" t="str">
            <v>23214</v>
          </cell>
          <cell r="E1667" t="str">
            <v>PIPE</v>
          </cell>
          <cell r="F1667">
            <v>1</v>
          </cell>
          <cell r="G1667" t="str">
            <v>CB100508000T00</v>
          </cell>
          <cell r="H1667">
            <v>0.75</v>
          </cell>
          <cell r="I1667" t="str">
            <v>--</v>
          </cell>
          <cell r="J1667">
            <v>0.1</v>
          </cell>
          <cell r="K1667">
            <v>0.1</v>
          </cell>
        </row>
        <row r="1668">
          <cell r="A1668" t="str">
            <v>M2</v>
          </cell>
          <cell r="B1668" t="str">
            <v>A5C</v>
          </cell>
          <cell r="C1668" t="str">
            <v>P</v>
          </cell>
          <cell r="D1668" t="str">
            <v>23212</v>
          </cell>
          <cell r="E1668" t="str">
            <v>PIPE</v>
          </cell>
          <cell r="F1668">
            <v>1</v>
          </cell>
          <cell r="G1668" t="str">
            <v>CB100508000T00</v>
          </cell>
          <cell r="H1668">
            <v>0.75</v>
          </cell>
          <cell r="I1668" t="str">
            <v>--</v>
          </cell>
          <cell r="J1668">
            <v>0.1</v>
          </cell>
          <cell r="K1668">
            <v>0.1</v>
          </cell>
        </row>
        <row r="1669">
          <cell r="A1669" t="str">
            <v>M2</v>
          </cell>
          <cell r="B1669" t="str">
            <v>A5C</v>
          </cell>
          <cell r="C1669" t="str">
            <v>P</v>
          </cell>
          <cell r="D1669" t="str">
            <v>23226</v>
          </cell>
          <cell r="E1669" t="str">
            <v>PIPE</v>
          </cell>
          <cell r="F1669">
            <v>1</v>
          </cell>
          <cell r="G1669" t="str">
            <v>CB100508000T00</v>
          </cell>
          <cell r="H1669">
            <v>0.75</v>
          </cell>
          <cell r="I1669" t="str">
            <v>--</v>
          </cell>
          <cell r="J1669">
            <v>0.1</v>
          </cell>
          <cell r="K1669">
            <v>0.1</v>
          </cell>
        </row>
        <row r="1670">
          <cell r="A1670" t="str">
            <v>M2</v>
          </cell>
          <cell r="B1670" t="str">
            <v>A5C</v>
          </cell>
          <cell r="C1670" t="str">
            <v>P</v>
          </cell>
          <cell r="D1670" t="str">
            <v>23248</v>
          </cell>
          <cell r="E1670" t="str">
            <v>PIPE</v>
          </cell>
          <cell r="F1670">
            <v>1</v>
          </cell>
          <cell r="G1670" t="str">
            <v>CB100508000T00</v>
          </cell>
          <cell r="H1670">
            <v>0.75</v>
          </cell>
          <cell r="I1670" t="str">
            <v>--</v>
          </cell>
          <cell r="J1670">
            <v>0.1</v>
          </cell>
          <cell r="K1670">
            <v>0.1</v>
          </cell>
        </row>
        <row r="1671">
          <cell r="A1671" t="str">
            <v>M2</v>
          </cell>
          <cell r="B1671" t="str">
            <v>A5C</v>
          </cell>
          <cell r="C1671" t="str">
            <v>P</v>
          </cell>
          <cell r="D1671" t="str">
            <v>24006</v>
          </cell>
          <cell r="E1671" t="str">
            <v>PIPE</v>
          </cell>
          <cell r="F1671">
            <v>1</v>
          </cell>
          <cell r="G1671" t="str">
            <v>CB100508000T00</v>
          </cell>
          <cell r="H1671">
            <v>0.75</v>
          </cell>
          <cell r="I1671" t="str">
            <v>--</v>
          </cell>
          <cell r="J1671">
            <v>0.1</v>
          </cell>
          <cell r="K1671">
            <v>0.1</v>
          </cell>
        </row>
        <row r="1672">
          <cell r="A1672" t="str">
            <v>M2</v>
          </cell>
          <cell r="B1672" t="str">
            <v>A5C</v>
          </cell>
          <cell r="C1672" t="str">
            <v>P</v>
          </cell>
          <cell r="D1672" t="str">
            <v>23264</v>
          </cell>
          <cell r="E1672" t="str">
            <v>PIPE</v>
          </cell>
          <cell r="F1672">
            <v>1</v>
          </cell>
          <cell r="G1672" t="str">
            <v>CB100508000T00</v>
          </cell>
          <cell r="H1672">
            <v>0.75</v>
          </cell>
          <cell r="I1672" t="str">
            <v>--</v>
          </cell>
          <cell r="J1672">
            <v>0.1</v>
          </cell>
          <cell r="K1672">
            <v>0.1</v>
          </cell>
        </row>
        <row r="1673">
          <cell r="A1673" t="str">
            <v>M2</v>
          </cell>
          <cell r="B1673" t="str">
            <v>B2C</v>
          </cell>
          <cell r="C1673" t="str">
            <v>SH</v>
          </cell>
          <cell r="D1673" t="str">
            <v>23601</v>
          </cell>
          <cell r="E1673" t="str">
            <v>PIPE</v>
          </cell>
          <cell r="F1673">
            <v>1</v>
          </cell>
          <cell r="G1673" t="str">
            <v>CB100508000T00</v>
          </cell>
          <cell r="H1673">
            <v>0.75</v>
          </cell>
          <cell r="I1673" t="str">
            <v>--</v>
          </cell>
          <cell r="J1673">
            <v>0.2</v>
          </cell>
          <cell r="K1673">
            <v>0.2</v>
          </cell>
        </row>
        <row r="1674">
          <cell r="A1674" t="str">
            <v>M2</v>
          </cell>
          <cell r="B1674" t="str">
            <v>A5C</v>
          </cell>
          <cell r="C1674" t="str">
            <v>P</v>
          </cell>
          <cell r="D1674" t="str">
            <v>23022</v>
          </cell>
          <cell r="E1674" t="str">
            <v>PIPE</v>
          </cell>
          <cell r="F1674">
            <v>1</v>
          </cell>
          <cell r="G1674" t="str">
            <v>CB100508000T00</v>
          </cell>
          <cell r="H1674">
            <v>0.75</v>
          </cell>
          <cell r="I1674" t="str">
            <v>--</v>
          </cell>
          <cell r="J1674">
            <v>0.2</v>
          </cell>
          <cell r="K1674">
            <v>0.2</v>
          </cell>
        </row>
        <row r="1675">
          <cell r="A1675" t="str">
            <v>M2</v>
          </cell>
          <cell r="B1675" t="str">
            <v>A5C</v>
          </cell>
          <cell r="C1675" t="str">
            <v>P</v>
          </cell>
          <cell r="D1675" t="str">
            <v>23121</v>
          </cell>
          <cell r="E1675" t="str">
            <v>PIPE</v>
          </cell>
          <cell r="F1675">
            <v>1</v>
          </cell>
          <cell r="G1675" t="str">
            <v>CB100508000T00</v>
          </cell>
          <cell r="H1675">
            <v>0.75</v>
          </cell>
          <cell r="I1675" t="str">
            <v>--</v>
          </cell>
          <cell r="J1675">
            <v>0.2</v>
          </cell>
          <cell r="K1675">
            <v>0.2</v>
          </cell>
        </row>
        <row r="1676">
          <cell r="A1676" t="str">
            <v>M2</v>
          </cell>
          <cell r="B1676" t="str">
            <v>A5C</v>
          </cell>
          <cell r="C1676" t="str">
            <v>P</v>
          </cell>
          <cell r="D1676" t="str">
            <v>23082</v>
          </cell>
          <cell r="E1676" t="str">
            <v>PIPE</v>
          </cell>
          <cell r="F1676">
            <v>1</v>
          </cell>
          <cell r="G1676" t="str">
            <v>CB100508000T00</v>
          </cell>
          <cell r="H1676">
            <v>0.75</v>
          </cell>
          <cell r="I1676" t="str">
            <v>--</v>
          </cell>
          <cell r="J1676">
            <v>0.2</v>
          </cell>
          <cell r="K1676">
            <v>0.2</v>
          </cell>
        </row>
        <row r="1677">
          <cell r="A1677" t="str">
            <v>M2</v>
          </cell>
          <cell r="B1677" t="str">
            <v>A5C</v>
          </cell>
          <cell r="C1677" t="str">
            <v>P</v>
          </cell>
          <cell r="D1677" t="str">
            <v>23089</v>
          </cell>
          <cell r="E1677" t="str">
            <v>PIPE</v>
          </cell>
          <cell r="F1677">
            <v>1</v>
          </cell>
          <cell r="G1677" t="str">
            <v>CB100508000T00</v>
          </cell>
          <cell r="H1677">
            <v>0.75</v>
          </cell>
          <cell r="I1677" t="str">
            <v>--</v>
          </cell>
          <cell r="J1677">
            <v>0.2</v>
          </cell>
          <cell r="K1677">
            <v>0.2</v>
          </cell>
        </row>
        <row r="1678">
          <cell r="A1678" t="str">
            <v>M2</v>
          </cell>
          <cell r="B1678" t="str">
            <v>A5C</v>
          </cell>
          <cell r="C1678" t="str">
            <v>P</v>
          </cell>
          <cell r="D1678" t="str">
            <v>23128</v>
          </cell>
          <cell r="E1678" t="str">
            <v>PIPE</v>
          </cell>
          <cell r="F1678">
            <v>1</v>
          </cell>
          <cell r="G1678" t="str">
            <v>CB100508000T00</v>
          </cell>
          <cell r="H1678">
            <v>0.75</v>
          </cell>
          <cell r="I1678" t="str">
            <v>--</v>
          </cell>
          <cell r="J1678">
            <v>0.2</v>
          </cell>
          <cell r="K1678">
            <v>0.2</v>
          </cell>
        </row>
        <row r="1679">
          <cell r="A1679" t="str">
            <v>M2</v>
          </cell>
          <cell r="B1679" t="str">
            <v>A5C</v>
          </cell>
          <cell r="C1679" t="str">
            <v>P</v>
          </cell>
          <cell r="D1679" t="str">
            <v>23057</v>
          </cell>
          <cell r="E1679" t="str">
            <v>PIPE</v>
          </cell>
          <cell r="F1679">
            <v>1</v>
          </cell>
          <cell r="G1679" t="str">
            <v>CB100508000T00</v>
          </cell>
          <cell r="H1679">
            <v>0.75</v>
          </cell>
          <cell r="I1679" t="str">
            <v>--</v>
          </cell>
          <cell r="J1679">
            <v>0.3</v>
          </cell>
          <cell r="K1679">
            <v>0.3</v>
          </cell>
        </row>
        <row r="1680">
          <cell r="A1680" t="str">
            <v>M2</v>
          </cell>
          <cell r="B1680" t="str">
            <v>A5C</v>
          </cell>
          <cell r="C1680" t="str">
            <v>P</v>
          </cell>
          <cell r="D1680" t="str">
            <v>23018</v>
          </cell>
          <cell r="E1680" t="str">
            <v>PIPE</v>
          </cell>
          <cell r="F1680">
            <v>1</v>
          </cell>
          <cell r="G1680" t="str">
            <v>CB100508000T00</v>
          </cell>
          <cell r="H1680">
            <v>0.75</v>
          </cell>
          <cell r="I1680" t="str">
            <v>--</v>
          </cell>
          <cell r="J1680">
            <v>0.3</v>
          </cell>
          <cell r="K1680">
            <v>0.3</v>
          </cell>
        </row>
        <row r="1681">
          <cell r="A1681" t="str">
            <v>M2</v>
          </cell>
          <cell r="B1681" t="str">
            <v>A5C</v>
          </cell>
          <cell r="C1681" t="str">
            <v>P</v>
          </cell>
          <cell r="D1681" t="str">
            <v>23005</v>
          </cell>
          <cell r="E1681" t="str">
            <v>PIPE</v>
          </cell>
          <cell r="F1681">
            <v>1</v>
          </cell>
          <cell r="G1681" t="str">
            <v>CB100508000T00</v>
          </cell>
          <cell r="H1681">
            <v>0.75</v>
          </cell>
          <cell r="I1681" t="str">
            <v>--</v>
          </cell>
          <cell r="J1681">
            <v>0.4</v>
          </cell>
          <cell r="K1681">
            <v>0.4</v>
          </cell>
        </row>
        <row r="1682">
          <cell r="A1682" t="str">
            <v>M2</v>
          </cell>
          <cell r="B1682" t="str">
            <v>A5C</v>
          </cell>
          <cell r="C1682" t="str">
            <v>P</v>
          </cell>
          <cell r="D1682" t="str">
            <v>23052</v>
          </cell>
          <cell r="E1682" t="str">
            <v>PIPE</v>
          </cell>
          <cell r="F1682">
            <v>1</v>
          </cell>
          <cell r="G1682" t="str">
            <v>CB100508000T00</v>
          </cell>
          <cell r="H1682">
            <v>0.75</v>
          </cell>
          <cell r="I1682" t="str">
            <v>--</v>
          </cell>
          <cell r="J1682">
            <v>0.4</v>
          </cell>
          <cell r="K1682">
            <v>0.4</v>
          </cell>
        </row>
        <row r="1683">
          <cell r="A1683" t="str">
            <v>M2</v>
          </cell>
          <cell r="B1683" t="str">
            <v>A5C</v>
          </cell>
          <cell r="C1683" t="str">
            <v>P</v>
          </cell>
          <cell r="D1683" t="str">
            <v>23110</v>
          </cell>
          <cell r="E1683" t="str">
            <v>PIPE</v>
          </cell>
          <cell r="F1683">
            <v>1</v>
          </cell>
          <cell r="G1683" t="str">
            <v>CB100508000T00</v>
          </cell>
          <cell r="H1683">
            <v>0.75</v>
          </cell>
          <cell r="I1683" t="str">
            <v>--</v>
          </cell>
          <cell r="J1683">
            <v>0.4</v>
          </cell>
          <cell r="K1683">
            <v>0.4</v>
          </cell>
        </row>
        <row r="1684">
          <cell r="A1684" t="str">
            <v>M2</v>
          </cell>
          <cell r="B1684" t="str">
            <v>A5C</v>
          </cell>
          <cell r="C1684" t="str">
            <v>P</v>
          </cell>
          <cell r="D1684" t="str">
            <v>23114</v>
          </cell>
          <cell r="E1684" t="str">
            <v>PIPE</v>
          </cell>
          <cell r="F1684">
            <v>1</v>
          </cell>
          <cell r="G1684" t="str">
            <v>CB100508000T00</v>
          </cell>
          <cell r="H1684">
            <v>0.75</v>
          </cell>
          <cell r="I1684" t="str">
            <v>--</v>
          </cell>
          <cell r="J1684">
            <v>0.4</v>
          </cell>
          <cell r="K1684">
            <v>0.4</v>
          </cell>
        </row>
        <row r="1685">
          <cell r="A1685" t="str">
            <v>M2</v>
          </cell>
          <cell r="B1685" t="str">
            <v>A5C</v>
          </cell>
          <cell r="C1685" t="str">
            <v>P</v>
          </cell>
          <cell r="D1685" t="str">
            <v>23152</v>
          </cell>
          <cell r="E1685" t="str">
            <v>PIPE</v>
          </cell>
          <cell r="F1685">
            <v>1</v>
          </cell>
          <cell r="G1685" t="str">
            <v>CB100508000T00</v>
          </cell>
          <cell r="H1685">
            <v>0.75</v>
          </cell>
          <cell r="I1685" t="str">
            <v>--</v>
          </cell>
          <cell r="J1685">
            <v>0.4</v>
          </cell>
          <cell r="K1685">
            <v>0.4</v>
          </cell>
        </row>
        <row r="1686">
          <cell r="A1686" t="str">
            <v>M2</v>
          </cell>
          <cell r="B1686" t="str">
            <v>A5C</v>
          </cell>
          <cell r="C1686" t="str">
            <v>P</v>
          </cell>
          <cell r="D1686" t="str">
            <v>23160</v>
          </cell>
          <cell r="E1686" t="str">
            <v>PIPE</v>
          </cell>
          <cell r="F1686">
            <v>1</v>
          </cell>
          <cell r="G1686" t="str">
            <v>CB100508000T00</v>
          </cell>
          <cell r="H1686">
            <v>0.75</v>
          </cell>
          <cell r="I1686" t="str">
            <v>--</v>
          </cell>
          <cell r="J1686">
            <v>0.4</v>
          </cell>
          <cell r="K1686">
            <v>0.4</v>
          </cell>
        </row>
        <row r="1687">
          <cell r="A1687" t="str">
            <v>M2</v>
          </cell>
          <cell r="B1687" t="str">
            <v>A5C</v>
          </cell>
          <cell r="C1687" t="str">
            <v>P</v>
          </cell>
          <cell r="D1687" t="str">
            <v>23164</v>
          </cell>
          <cell r="E1687" t="str">
            <v>PIPE</v>
          </cell>
          <cell r="F1687">
            <v>1</v>
          </cell>
          <cell r="G1687" t="str">
            <v>CB100508000T00</v>
          </cell>
          <cell r="H1687">
            <v>0.75</v>
          </cell>
          <cell r="I1687" t="str">
            <v>--</v>
          </cell>
          <cell r="J1687">
            <v>0.4</v>
          </cell>
          <cell r="K1687">
            <v>0.4</v>
          </cell>
        </row>
        <row r="1688">
          <cell r="A1688" t="str">
            <v>M2</v>
          </cell>
          <cell r="B1688" t="str">
            <v>A5C</v>
          </cell>
          <cell r="C1688" t="str">
            <v>P</v>
          </cell>
          <cell r="D1688" t="str">
            <v>23185</v>
          </cell>
          <cell r="E1688" t="str">
            <v>PIPE</v>
          </cell>
          <cell r="F1688">
            <v>1</v>
          </cell>
          <cell r="G1688" t="str">
            <v>CB100508000T00</v>
          </cell>
          <cell r="H1688">
            <v>0.75</v>
          </cell>
          <cell r="I1688" t="str">
            <v>--</v>
          </cell>
          <cell r="J1688">
            <v>0.4</v>
          </cell>
          <cell r="K1688">
            <v>0.4</v>
          </cell>
        </row>
        <row r="1689">
          <cell r="A1689" t="str">
            <v>M2</v>
          </cell>
          <cell r="B1689" t="str">
            <v>A5C</v>
          </cell>
          <cell r="C1689" t="str">
            <v>P</v>
          </cell>
          <cell r="D1689" t="str">
            <v>23240</v>
          </cell>
          <cell r="E1689" t="str">
            <v>PIPE</v>
          </cell>
          <cell r="F1689">
            <v>1</v>
          </cell>
          <cell r="G1689" t="str">
            <v>CB100508000T00</v>
          </cell>
          <cell r="H1689">
            <v>0.75</v>
          </cell>
          <cell r="I1689" t="str">
            <v>--</v>
          </cell>
          <cell r="J1689">
            <v>0.4</v>
          </cell>
          <cell r="K1689">
            <v>0.4</v>
          </cell>
        </row>
        <row r="1690">
          <cell r="A1690" t="str">
            <v>M2</v>
          </cell>
          <cell r="B1690" t="str">
            <v>A5C</v>
          </cell>
          <cell r="C1690" t="str">
            <v>P</v>
          </cell>
          <cell r="D1690" t="str">
            <v>24014</v>
          </cell>
          <cell r="E1690" t="str">
            <v>PIPE</v>
          </cell>
          <cell r="F1690">
            <v>1</v>
          </cell>
          <cell r="G1690" t="str">
            <v>CB100508000T00</v>
          </cell>
          <cell r="H1690">
            <v>0.75</v>
          </cell>
          <cell r="I1690" t="str">
            <v>--</v>
          </cell>
          <cell r="J1690">
            <v>0.4</v>
          </cell>
          <cell r="K1690">
            <v>0.4</v>
          </cell>
        </row>
        <row r="1691">
          <cell r="A1691" t="str">
            <v>M2</v>
          </cell>
          <cell r="B1691" t="str">
            <v>A5C</v>
          </cell>
          <cell r="C1691" t="str">
            <v>P</v>
          </cell>
          <cell r="D1691" t="str">
            <v>24021</v>
          </cell>
          <cell r="E1691" t="str">
            <v>PIPE</v>
          </cell>
          <cell r="F1691">
            <v>1</v>
          </cell>
          <cell r="G1691" t="str">
            <v>CB100508000T00</v>
          </cell>
          <cell r="H1691">
            <v>0.75</v>
          </cell>
          <cell r="I1691" t="str">
            <v>--</v>
          </cell>
          <cell r="J1691">
            <v>0.4</v>
          </cell>
          <cell r="K1691">
            <v>0.4</v>
          </cell>
        </row>
        <row r="1692">
          <cell r="A1692" t="str">
            <v>M2</v>
          </cell>
          <cell r="B1692" t="str">
            <v>A5C</v>
          </cell>
          <cell r="C1692" t="str">
            <v>P</v>
          </cell>
          <cell r="D1692" t="str">
            <v>23011</v>
          </cell>
          <cell r="E1692" t="str">
            <v>PIPE</v>
          </cell>
          <cell r="F1692">
            <v>1</v>
          </cell>
          <cell r="G1692" t="str">
            <v>CB100508000T00</v>
          </cell>
          <cell r="H1692">
            <v>0.75</v>
          </cell>
          <cell r="I1692" t="str">
            <v>--</v>
          </cell>
          <cell r="J1692">
            <v>0.4</v>
          </cell>
          <cell r="K1692">
            <v>0.4</v>
          </cell>
        </row>
        <row r="1693">
          <cell r="A1693" t="str">
            <v>M2</v>
          </cell>
          <cell r="B1693" t="str">
            <v>A5C</v>
          </cell>
          <cell r="C1693" t="str">
            <v>P</v>
          </cell>
          <cell r="D1693" t="str">
            <v>23037</v>
          </cell>
          <cell r="E1693" t="str">
            <v>PIPE</v>
          </cell>
          <cell r="F1693">
            <v>1</v>
          </cell>
          <cell r="G1693" t="str">
            <v>CB100508000T00</v>
          </cell>
          <cell r="H1693">
            <v>0.75</v>
          </cell>
          <cell r="I1693" t="str">
            <v>--</v>
          </cell>
          <cell r="J1693">
            <v>0.4</v>
          </cell>
          <cell r="K1693">
            <v>0.4</v>
          </cell>
        </row>
        <row r="1694">
          <cell r="A1694" t="str">
            <v>M2</v>
          </cell>
          <cell r="B1694" t="str">
            <v>A5C</v>
          </cell>
          <cell r="C1694" t="str">
            <v>P</v>
          </cell>
          <cell r="D1694" t="str">
            <v>23095</v>
          </cell>
          <cell r="E1694" t="str">
            <v>PIPE</v>
          </cell>
          <cell r="F1694">
            <v>1</v>
          </cell>
          <cell r="G1694" t="str">
            <v>CB100508000T00</v>
          </cell>
          <cell r="H1694">
            <v>0.75</v>
          </cell>
          <cell r="I1694" t="str">
            <v>--</v>
          </cell>
          <cell r="J1694">
            <v>0.4</v>
          </cell>
          <cell r="K1694">
            <v>0.4</v>
          </cell>
        </row>
        <row r="1695">
          <cell r="A1695" t="str">
            <v>M2</v>
          </cell>
          <cell r="B1695" t="str">
            <v>A5C</v>
          </cell>
          <cell r="C1695" t="str">
            <v>P</v>
          </cell>
          <cell r="D1695" t="str">
            <v>23102</v>
          </cell>
          <cell r="E1695" t="str">
            <v>PIPE</v>
          </cell>
          <cell r="F1695">
            <v>1</v>
          </cell>
          <cell r="G1695" t="str">
            <v>CB100508000T00</v>
          </cell>
          <cell r="H1695">
            <v>0.75</v>
          </cell>
          <cell r="I1695" t="str">
            <v>--</v>
          </cell>
          <cell r="J1695">
            <v>0.4</v>
          </cell>
          <cell r="K1695">
            <v>0.4</v>
          </cell>
        </row>
        <row r="1696">
          <cell r="A1696" t="str">
            <v>M2</v>
          </cell>
          <cell r="B1696" t="str">
            <v>A5C</v>
          </cell>
          <cell r="C1696" t="str">
            <v>P</v>
          </cell>
          <cell r="D1696" t="str">
            <v>23106</v>
          </cell>
          <cell r="E1696" t="str">
            <v>PIPE</v>
          </cell>
          <cell r="F1696">
            <v>1</v>
          </cell>
          <cell r="G1696" t="str">
            <v>CB100508000T00</v>
          </cell>
          <cell r="H1696">
            <v>0.75</v>
          </cell>
          <cell r="I1696" t="str">
            <v>--</v>
          </cell>
          <cell r="J1696">
            <v>0.4</v>
          </cell>
          <cell r="K1696">
            <v>0.4</v>
          </cell>
        </row>
        <row r="1697">
          <cell r="A1697" t="str">
            <v>M2</v>
          </cell>
          <cell r="B1697" t="str">
            <v>A5C</v>
          </cell>
          <cell r="C1697" t="str">
            <v>P</v>
          </cell>
          <cell r="D1697" t="str">
            <v>23236</v>
          </cell>
          <cell r="E1697" t="str">
            <v>PIPE</v>
          </cell>
          <cell r="F1697">
            <v>1</v>
          </cell>
          <cell r="G1697" t="str">
            <v>CB100508000T00</v>
          </cell>
          <cell r="H1697">
            <v>0.75</v>
          </cell>
          <cell r="I1697" t="str">
            <v>--</v>
          </cell>
          <cell r="J1697">
            <v>0.4</v>
          </cell>
          <cell r="K1697">
            <v>0.4</v>
          </cell>
        </row>
        <row r="1698">
          <cell r="A1698" t="str">
            <v>M2</v>
          </cell>
          <cell r="B1698" t="str">
            <v>A5C</v>
          </cell>
          <cell r="C1698" t="str">
            <v>P</v>
          </cell>
          <cell r="D1698" t="str">
            <v>23018</v>
          </cell>
          <cell r="E1698" t="str">
            <v>PIPE</v>
          </cell>
          <cell r="F1698">
            <v>1</v>
          </cell>
          <cell r="G1698" t="str">
            <v>CB100508000T00</v>
          </cell>
          <cell r="H1698">
            <v>0.75</v>
          </cell>
          <cell r="I1698" t="str">
            <v>--</v>
          </cell>
          <cell r="J1698">
            <v>0.4</v>
          </cell>
          <cell r="K1698">
            <v>0.4</v>
          </cell>
        </row>
        <row r="1699">
          <cell r="A1699" t="str">
            <v>M2</v>
          </cell>
          <cell r="B1699" t="str">
            <v>A5C</v>
          </cell>
          <cell r="C1699" t="str">
            <v>P</v>
          </cell>
          <cell r="D1699" t="str">
            <v>23032</v>
          </cell>
          <cell r="E1699" t="str">
            <v>PIPE</v>
          </cell>
          <cell r="F1699">
            <v>1</v>
          </cell>
          <cell r="G1699" t="str">
            <v>CB100508000T00</v>
          </cell>
          <cell r="H1699">
            <v>0.75</v>
          </cell>
          <cell r="I1699" t="str">
            <v>--</v>
          </cell>
          <cell r="J1699">
            <v>0.4</v>
          </cell>
          <cell r="K1699">
            <v>0.4</v>
          </cell>
        </row>
        <row r="1700">
          <cell r="A1700" t="str">
            <v>M2</v>
          </cell>
          <cell r="B1700" t="str">
            <v>A5C</v>
          </cell>
          <cell r="C1700" t="str">
            <v>P</v>
          </cell>
          <cell r="D1700" t="str">
            <v>24027</v>
          </cell>
          <cell r="E1700" t="str">
            <v>PIPE</v>
          </cell>
          <cell r="F1700">
            <v>1</v>
          </cell>
          <cell r="G1700" t="str">
            <v>CB100508000T00</v>
          </cell>
          <cell r="H1700">
            <v>0.75</v>
          </cell>
          <cell r="I1700" t="str">
            <v>--</v>
          </cell>
          <cell r="J1700">
            <v>0.4</v>
          </cell>
          <cell r="K1700">
            <v>0.4</v>
          </cell>
        </row>
        <row r="1701">
          <cell r="A1701" t="str">
            <v>M2</v>
          </cell>
          <cell r="B1701" t="str">
            <v>A5C</v>
          </cell>
          <cell r="C1701" t="str">
            <v>N</v>
          </cell>
          <cell r="D1701" t="str">
            <v>23628</v>
          </cell>
          <cell r="E1701" t="str">
            <v>PIPE</v>
          </cell>
          <cell r="F1701">
            <v>1</v>
          </cell>
          <cell r="G1701" t="str">
            <v>CB100508000T00</v>
          </cell>
          <cell r="H1701">
            <v>0.75</v>
          </cell>
          <cell r="I1701" t="str">
            <v>--</v>
          </cell>
          <cell r="J1701">
            <v>0.5</v>
          </cell>
          <cell r="K1701">
            <v>0.5</v>
          </cell>
        </row>
        <row r="1702">
          <cell r="A1702" t="str">
            <v>M2</v>
          </cell>
          <cell r="B1702" t="str">
            <v>A5C</v>
          </cell>
          <cell r="C1702" t="str">
            <v>N</v>
          </cell>
          <cell r="D1702" t="str">
            <v>23629</v>
          </cell>
          <cell r="E1702" t="str">
            <v>PIPE</v>
          </cell>
          <cell r="F1702">
            <v>1</v>
          </cell>
          <cell r="G1702" t="str">
            <v>CB100508000T00</v>
          </cell>
          <cell r="H1702">
            <v>0.75</v>
          </cell>
          <cell r="I1702" t="str">
            <v>--</v>
          </cell>
          <cell r="J1702">
            <v>0.5</v>
          </cell>
          <cell r="K1702">
            <v>0.5</v>
          </cell>
        </row>
        <row r="1703">
          <cell r="A1703" t="str">
            <v>M2</v>
          </cell>
          <cell r="B1703" t="str">
            <v>A5C</v>
          </cell>
          <cell r="C1703" t="str">
            <v>N</v>
          </cell>
          <cell r="D1703" t="str">
            <v>23630</v>
          </cell>
          <cell r="E1703" t="str">
            <v>PIPE</v>
          </cell>
          <cell r="F1703">
            <v>1</v>
          </cell>
          <cell r="G1703" t="str">
            <v>CB100508000T00</v>
          </cell>
          <cell r="H1703">
            <v>0.75</v>
          </cell>
          <cell r="I1703" t="str">
            <v>--</v>
          </cell>
          <cell r="J1703">
            <v>0.5</v>
          </cell>
          <cell r="K1703">
            <v>0.5</v>
          </cell>
        </row>
        <row r="1704">
          <cell r="A1704" t="str">
            <v>M2</v>
          </cell>
          <cell r="B1704" t="str">
            <v>A5C</v>
          </cell>
          <cell r="C1704" t="str">
            <v>N</v>
          </cell>
          <cell r="D1704" t="str">
            <v>23641</v>
          </cell>
          <cell r="E1704" t="str">
            <v>PIPE</v>
          </cell>
          <cell r="F1704">
            <v>1</v>
          </cell>
          <cell r="G1704" t="str">
            <v>CB100508000T00</v>
          </cell>
          <cell r="H1704">
            <v>0.75</v>
          </cell>
          <cell r="I1704" t="str">
            <v>--</v>
          </cell>
          <cell r="J1704">
            <v>0.5</v>
          </cell>
          <cell r="K1704">
            <v>0.5</v>
          </cell>
        </row>
        <row r="1705">
          <cell r="A1705" t="str">
            <v>M2</v>
          </cell>
          <cell r="B1705" t="str">
            <v>A5C</v>
          </cell>
          <cell r="C1705" t="str">
            <v>P</v>
          </cell>
          <cell r="D1705" t="str">
            <v>23058</v>
          </cell>
          <cell r="E1705" t="str">
            <v>PIPE</v>
          </cell>
          <cell r="F1705">
            <v>1</v>
          </cell>
          <cell r="G1705" t="str">
            <v>CB100508000T00</v>
          </cell>
          <cell r="H1705">
            <v>0.75</v>
          </cell>
          <cell r="I1705" t="str">
            <v>--</v>
          </cell>
          <cell r="J1705">
            <v>0.5</v>
          </cell>
          <cell r="K1705">
            <v>0.5</v>
          </cell>
        </row>
        <row r="1706">
          <cell r="A1706" t="str">
            <v>M2</v>
          </cell>
          <cell r="B1706" t="str">
            <v>A5C</v>
          </cell>
          <cell r="C1706" t="str">
            <v>P</v>
          </cell>
          <cell r="D1706" t="str">
            <v>23073</v>
          </cell>
          <cell r="E1706" t="str">
            <v>PIPE</v>
          </cell>
          <cell r="F1706">
            <v>1</v>
          </cell>
          <cell r="G1706" t="str">
            <v>CB100508000T00</v>
          </cell>
          <cell r="H1706">
            <v>0.75</v>
          </cell>
          <cell r="I1706" t="str">
            <v>--</v>
          </cell>
          <cell r="J1706">
            <v>0.5</v>
          </cell>
          <cell r="K1706">
            <v>0.5</v>
          </cell>
        </row>
        <row r="1707">
          <cell r="A1707" t="str">
            <v>M2</v>
          </cell>
          <cell r="B1707" t="str">
            <v>A5C</v>
          </cell>
          <cell r="C1707" t="str">
            <v>P</v>
          </cell>
          <cell r="D1707" t="str">
            <v>23181</v>
          </cell>
          <cell r="E1707" t="str">
            <v>PIPE</v>
          </cell>
          <cell r="F1707">
            <v>1</v>
          </cell>
          <cell r="G1707" t="str">
            <v>CB100508000T00</v>
          </cell>
          <cell r="H1707">
            <v>0.75</v>
          </cell>
          <cell r="I1707" t="str">
            <v>--</v>
          </cell>
          <cell r="J1707">
            <v>0.5</v>
          </cell>
          <cell r="K1707">
            <v>0.5</v>
          </cell>
        </row>
        <row r="1708">
          <cell r="A1708" t="str">
            <v>M2</v>
          </cell>
          <cell r="B1708" t="str">
            <v>A5C</v>
          </cell>
          <cell r="C1708" t="str">
            <v>N</v>
          </cell>
          <cell r="D1708" t="str">
            <v>23645</v>
          </cell>
          <cell r="E1708" t="str">
            <v>PIPE</v>
          </cell>
          <cell r="F1708">
            <v>1</v>
          </cell>
          <cell r="G1708" t="str">
            <v>CB100508000T00</v>
          </cell>
          <cell r="H1708">
            <v>0.75</v>
          </cell>
          <cell r="I1708" t="str">
            <v>--</v>
          </cell>
          <cell r="J1708">
            <v>0.5</v>
          </cell>
          <cell r="K1708">
            <v>0.5</v>
          </cell>
        </row>
        <row r="1709">
          <cell r="A1709" t="str">
            <v>M2</v>
          </cell>
          <cell r="B1709" t="str">
            <v>A5C</v>
          </cell>
          <cell r="C1709" t="str">
            <v>P</v>
          </cell>
          <cell r="D1709" t="str">
            <v>23149</v>
          </cell>
          <cell r="E1709" t="str">
            <v>PIPE</v>
          </cell>
          <cell r="F1709">
            <v>1</v>
          </cell>
          <cell r="G1709" t="str">
            <v>CB100508000T00</v>
          </cell>
          <cell r="H1709">
            <v>0.75</v>
          </cell>
          <cell r="I1709" t="str">
            <v>--</v>
          </cell>
          <cell r="J1709">
            <v>0.5</v>
          </cell>
          <cell r="K1709">
            <v>0.5</v>
          </cell>
        </row>
        <row r="1710">
          <cell r="A1710" t="str">
            <v>M2</v>
          </cell>
          <cell r="B1710" t="str">
            <v>A5C</v>
          </cell>
          <cell r="C1710" t="str">
            <v>P</v>
          </cell>
          <cell r="D1710" t="str">
            <v>24003</v>
          </cell>
          <cell r="E1710" t="str">
            <v>PIPE</v>
          </cell>
          <cell r="F1710">
            <v>1</v>
          </cell>
          <cell r="G1710" t="str">
            <v>CB100508000T00</v>
          </cell>
          <cell r="H1710">
            <v>0.75</v>
          </cell>
          <cell r="I1710" t="str">
            <v>--</v>
          </cell>
          <cell r="J1710">
            <v>0.5</v>
          </cell>
          <cell r="K1710">
            <v>0.5</v>
          </cell>
        </row>
        <row r="1711">
          <cell r="A1711" t="str">
            <v>M2</v>
          </cell>
          <cell r="B1711" t="str">
            <v>A5C</v>
          </cell>
          <cell r="C1711" t="str">
            <v>P</v>
          </cell>
          <cell r="D1711" t="str">
            <v>23142</v>
          </cell>
          <cell r="E1711" t="str">
            <v>PIPE</v>
          </cell>
          <cell r="F1711">
            <v>1</v>
          </cell>
          <cell r="G1711" t="str">
            <v>CB100508000T00</v>
          </cell>
          <cell r="H1711">
            <v>0.75</v>
          </cell>
          <cell r="I1711" t="str">
            <v>--</v>
          </cell>
          <cell r="J1711">
            <v>0.8</v>
          </cell>
          <cell r="K1711">
            <v>0.8</v>
          </cell>
        </row>
        <row r="1712">
          <cell r="A1712" t="str">
            <v>M2</v>
          </cell>
          <cell r="B1712" t="str">
            <v>A5C</v>
          </cell>
          <cell r="C1712" t="str">
            <v>P</v>
          </cell>
          <cell r="D1712" t="str">
            <v>23246</v>
          </cell>
          <cell r="E1712" t="str">
            <v>PIPE</v>
          </cell>
          <cell r="F1712">
            <v>1</v>
          </cell>
          <cell r="G1712" t="str">
            <v>CB100508000T00</v>
          </cell>
          <cell r="H1712">
            <v>0.75</v>
          </cell>
          <cell r="I1712" t="str">
            <v>--</v>
          </cell>
          <cell r="J1712">
            <v>0.8</v>
          </cell>
          <cell r="K1712">
            <v>0.8</v>
          </cell>
        </row>
        <row r="1713">
          <cell r="A1713" t="str">
            <v>M2</v>
          </cell>
          <cell r="B1713" t="str">
            <v>A5C</v>
          </cell>
          <cell r="C1713" t="str">
            <v>P</v>
          </cell>
          <cell r="D1713" t="str">
            <v>23134</v>
          </cell>
          <cell r="E1713" t="str">
            <v>PIPE</v>
          </cell>
          <cell r="F1713">
            <v>1</v>
          </cell>
          <cell r="G1713" t="str">
            <v>CB100508000T00</v>
          </cell>
          <cell r="H1713">
            <v>0.75</v>
          </cell>
          <cell r="I1713" t="str">
            <v>--</v>
          </cell>
          <cell r="J1713">
            <v>0.8</v>
          </cell>
          <cell r="K1713">
            <v>0.8</v>
          </cell>
        </row>
        <row r="1714">
          <cell r="A1714" t="str">
            <v>M2</v>
          </cell>
          <cell r="B1714" t="str">
            <v>A5C</v>
          </cell>
          <cell r="C1714" t="str">
            <v>P</v>
          </cell>
          <cell r="D1714" t="str">
            <v>23146</v>
          </cell>
          <cell r="E1714" t="str">
            <v>PIPE</v>
          </cell>
          <cell r="F1714">
            <v>1</v>
          </cell>
          <cell r="G1714" t="str">
            <v>CB100508000T00</v>
          </cell>
          <cell r="H1714">
            <v>0.75</v>
          </cell>
          <cell r="I1714" t="str">
            <v>--</v>
          </cell>
          <cell r="J1714">
            <v>0.8</v>
          </cell>
          <cell r="K1714">
            <v>0.8</v>
          </cell>
        </row>
        <row r="1715">
          <cell r="A1715" t="str">
            <v>M2</v>
          </cell>
          <cell r="B1715" t="str">
            <v>A5C</v>
          </cell>
          <cell r="C1715" t="str">
            <v>P</v>
          </cell>
          <cell r="D1715" t="str">
            <v>23224</v>
          </cell>
          <cell r="E1715" t="str">
            <v>PIPE</v>
          </cell>
          <cell r="F1715">
            <v>1</v>
          </cell>
          <cell r="G1715" t="str">
            <v>CB100508000T00</v>
          </cell>
          <cell r="H1715">
            <v>0.75</v>
          </cell>
          <cell r="I1715" t="str">
            <v>--</v>
          </cell>
          <cell r="J1715">
            <v>0.8</v>
          </cell>
          <cell r="K1715">
            <v>0.8</v>
          </cell>
        </row>
        <row r="1716">
          <cell r="A1716" t="str">
            <v>M2</v>
          </cell>
          <cell r="B1716" t="str">
            <v>A5C</v>
          </cell>
          <cell r="C1716" t="str">
            <v>P</v>
          </cell>
          <cell r="D1716" t="str">
            <v>23084</v>
          </cell>
          <cell r="E1716" t="str">
            <v>PIPE</v>
          </cell>
          <cell r="F1716">
            <v>1</v>
          </cell>
          <cell r="G1716" t="str">
            <v>CB100508000T00</v>
          </cell>
          <cell r="H1716">
            <v>0.75</v>
          </cell>
          <cell r="I1716" t="str">
            <v>--</v>
          </cell>
          <cell r="J1716">
            <v>1</v>
          </cell>
          <cell r="K1716">
            <v>1</v>
          </cell>
        </row>
        <row r="1717">
          <cell r="A1717" t="str">
            <v>M2</v>
          </cell>
          <cell r="B1717" t="str">
            <v>A5C</v>
          </cell>
          <cell r="C1717" t="str">
            <v>P</v>
          </cell>
          <cell r="D1717" t="str">
            <v>23127</v>
          </cell>
          <cell r="E1717" t="str">
            <v>PIPE</v>
          </cell>
          <cell r="F1717">
            <v>1</v>
          </cell>
          <cell r="G1717" t="str">
            <v>CB100508000T00</v>
          </cell>
          <cell r="H1717">
            <v>0.75</v>
          </cell>
          <cell r="I1717" t="str">
            <v>--</v>
          </cell>
          <cell r="J1717">
            <v>1</v>
          </cell>
          <cell r="K1717">
            <v>1</v>
          </cell>
        </row>
        <row r="1718">
          <cell r="A1718" t="str">
            <v>M2</v>
          </cell>
          <cell r="B1718" t="str">
            <v>A5C</v>
          </cell>
          <cell r="C1718" t="str">
            <v>P</v>
          </cell>
          <cell r="D1718" t="str">
            <v>23208</v>
          </cell>
          <cell r="E1718" t="str">
            <v>PIPE</v>
          </cell>
          <cell r="F1718">
            <v>1</v>
          </cell>
          <cell r="G1718" t="str">
            <v>CB100508000T00</v>
          </cell>
          <cell r="H1718">
            <v>0.75</v>
          </cell>
          <cell r="I1718" t="str">
            <v>--</v>
          </cell>
          <cell r="J1718">
            <v>1</v>
          </cell>
          <cell r="K1718">
            <v>1</v>
          </cell>
        </row>
        <row r="1719">
          <cell r="A1719" t="str">
            <v>M2</v>
          </cell>
          <cell r="B1719" t="str">
            <v>A5C</v>
          </cell>
          <cell r="C1719" t="str">
            <v>P</v>
          </cell>
          <cell r="D1719" t="str">
            <v>23205</v>
          </cell>
          <cell r="E1719" t="str">
            <v>PIPE</v>
          </cell>
          <cell r="F1719">
            <v>1</v>
          </cell>
          <cell r="G1719" t="str">
            <v>CB100508000T00</v>
          </cell>
          <cell r="H1719">
            <v>0.75</v>
          </cell>
          <cell r="I1719" t="str">
            <v>--</v>
          </cell>
          <cell r="J1719">
            <v>1</v>
          </cell>
          <cell r="K1719">
            <v>1</v>
          </cell>
        </row>
        <row r="1720">
          <cell r="A1720" t="str">
            <v>M2</v>
          </cell>
          <cell r="B1720" t="str">
            <v>A5C</v>
          </cell>
          <cell r="C1720" t="str">
            <v>P</v>
          </cell>
          <cell r="D1720" t="str">
            <v>23206</v>
          </cell>
          <cell r="E1720" t="str">
            <v>PIPE</v>
          </cell>
          <cell r="F1720">
            <v>1</v>
          </cell>
          <cell r="G1720" t="str">
            <v>CB100508000T00</v>
          </cell>
          <cell r="H1720">
            <v>0.75</v>
          </cell>
          <cell r="I1720" t="str">
            <v>--</v>
          </cell>
          <cell r="J1720">
            <v>1</v>
          </cell>
          <cell r="K1720">
            <v>1</v>
          </cell>
        </row>
        <row r="1721">
          <cell r="A1721" t="str">
            <v>M2</v>
          </cell>
          <cell r="B1721" t="str">
            <v>A5C</v>
          </cell>
          <cell r="C1721" t="str">
            <v>P</v>
          </cell>
          <cell r="D1721" t="str">
            <v>23239</v>
          </cell>
          <cell r="E1721" t="str">
            <v>PIPE</v>
          </cell>
          <cell r="F1721">
            <v>1</v>
          </cell>
          <cell r="G1721" t="str">
            <v>CB100508000T00</v>
          </cell>
          <cell r="H1721">
            <v>0.75</v>
          </cell>
          <cell r="I1721" t="str">
            <v>--</v>
          </cell>
          <cell r="J1721">
            <v>1</v>
          </cell>
          <cell r="K1721">
            <v>1</v>
          </cell>
        </row>
        <row r="1722">
          <cell r="A1722" t="str">
            <v>M2</v>
          </cell>
          <cell r="B1722" t="str">
            <v>A5C</v>
          </cell>
          <cell r="C1722" t="str">
            <v>P</v>
          </cell>
          <cell r="D1722" t="str">
            <v>23235</v>
          </cell>
          <cell r="E1722" t="str">
            <v>PIPE</v>
          </cell>
          <cell r="F1722">
            <v>1</v>
          </cell>
          <cell r="G1722" t="str">
            <v>CB100508000T00</v>
          </cell>
          <cell r="H1722">
            <v>0.75</v>
          </cell>
          <cell r="I1722" t="str">
            <v>--</v>
          </cell>
          <cell r="J1722">
            <v>1</v>
          </cell>
          <cell r="K1722">
            <v>1</v>
          </cell>
        </row>
        <row r="1723">
          <cell r="A1723" t="str">
            <v>M2</v>
          </cell>
          <cell r="B1723" t="str">
            <v>A5C</v>
          </cell>
          <cell r="C1723" t="str">
            <v>TRIM</v>
          </cell>
          <cell r="D1723" t="str">
            <v>V-2315</v>
          </cell>
          <cell r="E1723" t="str">
            <v>PIPE</v>
          </cell>
          <cell r="F1723">
            <v>1</v>
          </cell>
          <cell r="G1723" t="str">
            <v>CB100508000T00</v>
          </cell>
          <cell r="H1723">
            <v>0.75</v>
          </cell>
          <cell r="I1723" t="str">
            <v>--</v>
          </cell>
          <cell r="J1723">
            <v>1</v>
          </cell>
          <cell r="K1723">
            <v>1</v>
          </cell>
        </row>
        <row r="1724">
          <cell r="A1724" t="str">
            <v>M2</v>
          </cell>
          <cell r="B1724" t="str">
            <v>A5C</v>
          </cell>
          <cell r="C1724" t="str">
            <v>TRIM</v>
          </cell>
          <cell r="D1724" t="str">
            <v>V-2320</v>
          </cell>
          <cell r="E1724" t="str">
            <v>PIPE</v>
          </cell>
          <cell r="F1724">
            <v>1</v>
          </cell>
          <cell r="G1724" t="str">
            <v>CB100508000T00</v>
          </cell>
          <cell r="H1724">
            <v>0.75</v>
          </cell>
          <cell r="I1724" t="str">
            <v>--</v>
          </cell>
          <cell r="J1724">
            <v>1</v>
          </cell>
          <cell r="K1724">
            <v>1</v>
          </cell>
        </row>
        <row r="1725">
          <cell r="A1725" t="str">
            <v>M2</v>
          </cell>
          <cell r="B1725" t="str">
            <v>A5C</v>
          </cell>
          <cell r="C1725" t="str">
            <v>TRIM</v>
          </cell>
          <cell r="D1725" t="str">
            <v>V-2321</v>
          </cell>
          <cell r="E1725" t="str">
            <v>PIPE</v>
          </cell>
          <cell r="F1725">
            <v>1</v>
          </cell>
          <cell r="G1725" t="str">
            <v>CB100508000T00</v>
          </cell>
          <cell r="H1725">
            <v>0.75</v>
          </cell>
          <cell r="I1725" t="str">
            <v>--</v>
          </cell>
          <cell r="J1725">
            <v>1</v>
          </cell>
          <cell r="K1725">
            <v>1</v>
          </cell>
        </row>
        <row r="1726">
          <cell r="A1726" t="str">
            <v>M2</v>
          </cell>
          <cell r="B1726" t="str">
            <v>A5C</v>
          </cell>
          <cell r="C1726" t="str">
            <v>TRIM</v>
          </cell>
          <cell r="D1726" t="str">
            <v>V-2317</v>
          </cell>
          <cell r="E1726" t="str">
            <v>PIPE</v>
          </cell>
          <cell r="F1726">
            <v>1</v>
          </cell>
          <cell r="G1726" t="str">
            <v>CB100508000T00</v>
          </cell>
          <cell r="H1726">
            <v>0.75</v>
          </cell>
          <cell r="I1726" t="str">
            <v>--</v>
          </cell>
          <cell r="J1726">
            <v>1</v>
          </cell>
          <cell r="K1726">
            <v>1</v>
          </cell>
        </row>
        <row r="1727">
          <cell r="A1727" t="str">
            <v>M2</v>
          </cell>
          <cell r="B1727" t="str">
            <v>A5C</v>
          </cell>
          <cell r="C1727" t="str">
            <v>TRIM</v>
          </cell>
          <cell r="D1727" t="str">
            <v>V-2323</v>
          </cell>
          <cell r="E1727" t="str">
            <v>PIPE</v>
          </cell>
          <cell r="F1727">
            <v>1</v>
          </cell>
          <cell r="G1727" t="str">
            <v>CB100508000T00</v>
          </cell>
          <cell r="H1727">
            <v>0.75</v>
          </cell>
          <cell r="I1727" t="str">
            <v>--</v>
          </cell>
          <cell r="J1727">
            <v>1</v>
          </cell>
          <cell r="K1727">
            <v>1</v>
          </cell>
        </row>
        <row r="1728">
          <cell r="A1728" t="str">
            <v>M2</v>
          </cell>
          <cell r="B1728" t="str">
            <v>A5C</v>
          </cell>
          <cell r="C1728" t="str">
            <v>TRIM</v>
          </cell>
          <cell r="D1728" t="str">
            <v>V-2319</v>
          </cell>
          <cell r="E1728" t="str">
            <v>PIPE</v>
          </cell>
          <cell r="F1728">
            <v>1</v>
          </cell>
          <cell r="G1728" t="str">
            <v>CB100508000T00</v>
          </cell>
          <cell r="H1728">
            <v>0.75</v>
          </cell>
          <cell r="I1728" t="str">
            <v>--</v>
          </cell>
          <cell r="J1728">
            <v>1</v>
          </cell>
          <cell r="K1728">
            <v>1</v>
          </cell>
        </row>
        <row r="1729">
          <cell r="A1729" t="str">
            <v>M2</v>
          </cell>
          <cell r="B1729" t="str">
            <v>A5C</v>
          </cell>
          <cell r="C1729" t="str">
            <v>TRIM</v>
          </cell>
          <cell r="D1729" t="str">
            <v>V-2329</v>
          </cell>
          <cell r="E1729" t="str">
            <v>PIPE</v>
          </cell>
          <cell r="F1729">
            <v>1</v>
          </cell>
          <cell r="G1729" t="str">
            <v>CB100508000T00</v>
          </cell>
          <cell r="H1729">
            <v>0.75</v>
          </cell>
          <cell r="I1729" t="str">
            <v>--</v>
          </cell>
          <cell r="J1729">
            <v>1</v>
          </cell>
          <cell r="K1729">
            <v>1</v>
          </cell>
        </row>
        <row r="1730">
          <cell r="A1730" t="str">
            <v>M2</v>
          </cell>
          <cell r="B1730" t="str">
            <v>A5C</v>
          </cell>
          <cell r="C1730" t="str">
            <v>TRIM</v>
          </cell>
          <cell r="D1730" t="str">
            <v>V-2351</v>
          </cell>
          <cell r="E1730" t="str">
            <v>PIPE</v>
          </cell>
          <cell r="F1730">
            <v>1</v>
          </cell>
          <cell r="G1730" t="str">
            <v>CB100508000T00</v>
          </cell>
          <cell r="H1730">
            <v>0.75</v>
          </cell>
          <cell r="I1730" t="str">
            <v>--</v>
          </cell>
          <cell r="J1730">
            <v>1</v>
          </cell>
          <cell r="K1730">
            <v>1</v>
          </cell>
        </row>
        <row r="1731">
          <cell r="A1731" t="str">
            <v>M2</v>
          </cell>
          <cell r="B1731" t="str">
            <v>A5C</v>
          </cell>
          <cell r="C1731" t="str">
            <v>P</v>
          </cell>
          <cell r="D1731" t="str">
            <v>23068</v>
          </cell>
          <cell r="E1731" t="str">
            <v>PIPE</v>
          </cell>
          <cell r="F1731">
            <v>1</v>
          </cell>
          <cell r="G1731" t="str">
            <v>CB100508000T00</v>
          </cell>
          <cell r="H1731">
            <v>0.75</v>
          </cell>
          <cell r="I1731" t="str">
            <v>--</v>
          </cell>
          <cell r="J1731">
            <v>1</v>
          </cell>
          <cell r="K1731">
            <v>1</v>
          </cell>
        </row>
        <row r="1732">
          <cell r="A1732" t="str">
            <v>M2</v>
          </cell>
          <cell r="B1732" t="str">
            <v>A5C</v>
          </cell>
          <cell r="C1732" t="str">
            <v>P</v>
          </cell>
          <cell r="D1732" t="str">
            <v>23123</v>
          </cell>
          <cell r="E1732" t="str">
            <v>PIPE</v>
          </cell>
          <cell r="F1732">
            <v>1</v>
          </cell>
          <cell r="G1732" t="str">
            <v>CB100508000T00</v>
          </cell>
          <cell r="H1732">
            <v>0.75</v>
          </cell>
          <cell r="I1732" t="str">
            <v>--</v>
          </cell>
          <cell r="J1732">
            <v>1</v>
          </cell>
          <cell r="K1732">
            <v>1</v>
          </cell>
        </row>
        <row r="1733">
          <cell r="A1733" t="str">
            <v>M2</v>
          </cell>
          <cell r="B1733" t="str">
            <v>A5C</v>
          </cell>
          <cell r="C1733" t="str">
            <v>P</v>
          </cell>
          <cell r="D1733" t="str">
            <v>23204</v>
          </cell>
          <cell r="E1733" t="str">
            <v>PIPE</v>
          </cell>
          <cell r="F1733">
            <v>1</v>
          </cell>
          <cell r="G1733" t="str">
            <v>CB100508000T00</v>
          </cell>
          <cell r="H1733">
            <v>0.75</v>
          </cell>
          <cell r="I1733" t="str">
            <v>--</v>
          </cell>
          <cell r="J1733">
            <v>1</v>
          </cell>
          <cell r="K1733">
            <v>1</v>
          </cell>
        </row>
        <row r="1734">
          <cell r="A1734" t="str">
            <v>M2</v>
          </cell>
          <cell r="B1734" t="str">
            <v>A5C</v>
          </cell>
          <cell r="C1734" t="str">
            <v>P</v>
          </cell>
          <cell r="D1734" t="str">
            <v>23207</v>
          </cell>
          <cell r="E1734" t="str">
            <v>PIPE</v>
          </cell>
          <cell r="F1734">
            <v>1</v>
          </cell>
          <cell r="G1734" t="str">
            <v>CB100508000T00</v>
          </cell>
          <cell r="H1734">
            <v>0.75</v>
          </cell>
          <cell r="I1734" t="str">
            <v>--</v>
          </cell>
          <cell r="J1734">
            <v>1</v>
          </cell>
          <cell r="K1734">
            <v>1</v>
          </cell>
        </row>
        <row r="1735">
          <cell r="A1735" t="str">
            <v>M2</v>
          </cell>
          <cell r="B1735" t="str">
            <v>A5C</v>
          </cell>
          <cell r="C1735" t="str">
            <v>TRIM</v>
          </cell>
          <cell r="D1735" t="str">
            <v>V-2301</v>
          </cell>
          <cell r="E1735" t="str">
            <v>PIPE</v>
          </cell>
          <cell r="F1735">
            <v>1</v>
          </cell>
          <cell r="G1735" t="str">
            <v>CB100508000T00</v>
          </cell>
          <cell r="H1735">
            <v>0.75</v>
          </cell>
          <cell r="I1735" t="str">
            <v>--</v>
          </cell>
          <cell r="J1735">
            <v>1</v>
          </cell>
          <cell r="K1735">
            <v>1</v>
          </cell>
        </row>
        <row r="1736">
          <cell r="A1736" t="str">
            <v>M2</v>
          </cell>
          <cell r="B1736" t="str">
            <v>A5C</v>
          </cell>
          <cell r="C1736" t="str">
            <v>TRIM</v>
          </cell>
          <cell r="D1736" t="str">
            <v>V-2316</v>
          </cell>
          <cell r="E1736" t="str">
            <v>PIPE</v>
          </cell>
          <cell r="F1736">
            <v>1</v>
          </cell>
          <cell r="G1736" t="str">
            <v>CB100508000T00</v>
          </cell>
          <cell r="H1736">
            <v>0.75</v>
          </cell>
          <cell r="I1736" t="str">
            <v>--</v>
          </cell>
          <cell r="J1736">
            <v>1</v>
          </cell>
          <cell r="K1736">
            <v>1</v>
          </cell>
        </row>
        <row r="1737">
          <cell r="A1737" t="str">
            <v>M2</v>
          </cell>
          <cell r="B1737" t="str">
            <v>A5C</v>
          </cell>
          <cell r="C1737" t="str">
            <v>TRIM</v>
          </cell>
          <cell r="D1737" t="str">
            <v>V-2318</v>
          </cell>
          <cell r="E1737" t="str">
            <v>PIPE</v>
          </cell>
          <cell r="F1737">
            <v>1</v>
          </cell>
          <cell r="G1737" t="str">
            <v>CB100508000T00</v>
          </cell>
          <cell r="H1737">
            <v>0.75</v>
          </cell>
          <cell r="I1737" t="str">
            <v>--</v>
          </cell>
          <cell r="J1737">
            <v>1</v>
          </cell>
          <cell r="K1737">
            <v>1</v>
          </cell>
        </row>
        <row r="1738">
          <cell r="A1738" t="str">
            <v>M2</v>
          </cell>
          <cell r="B1738" t="str">
            <v>A5C</v>
          </cell>
          <cell r="C1738" t="str">
            <v>TRIM</v>
          </cell>
          <cell r="D1738" t="str">
            <v>V-2324</v>
          </cell>
          <cell r="E1738" t="str">
            <v>PIPE</v>
          </cell>
          <cell r="F1738">
            <v>1</v>
          </cell>
          <cell r="G1738" t="str">
            <v>CB100508000T00</v>
          </cell>
          <cell r="H1738">
            <v>0.75</v>
          </cell>
          <cell r="I1738" t="str">
            <v>--</v>
          </cell>
          <cell r="J1738">
            <v>1</v>
          </cell>
          <cell r="K1738">
            <v>1</v>
          </cell>
        </row>
        <row r="1739">
          <cell r="A1739" t="str">
            <v>M2</v>
          </cell>
          <cell r="B1739" t="str">
            <v>A5C</v>
          </cell>
          <cell r="C1739" t="str">
            <v>TRIM</v>
          </cell>
          <cell r="D1739" t="str">
            <v>V-2330</v>
          </cell>
          <cell r="E1739" t="str">
            <v>PIPE</v>
          </cell>
          <cell r="F1739">
            <v>1</v>
          </cell>
          <cell r="G1739" t="str">
            <v>CB100508000T00</v>
          </cell>
          <cell r="H1739">
            <v>0.75</v>
          </cell>
          <cell r="I1739" t="str">
            <v>--</v>
          </cell>
          <cell r="J1739">
            <v>1</v>
          </cell>
          <cell r="K1739">
            <v>1</v>
          </cell>
        </row>
        <row r="1740">
          <cell r="A1740" t="str">
            <v>M2</v>
          </cell>
          <cell r="B1740" t="str">
            <v>A5C</v>
          </cell>
          <cell r="C1740" t="str">
            <v>TRIM</v>
          </cell>
          <cell r="D1740" t="str">
            <v>V-2331</v>
          </cell>
          <cell r="E1740" t="str">
            <v>PIPE</v>
          </cell>
          <cell r="F1740">
            <v>1</v>
          </cell>
          <cell r="G1740" t="str">
            <v>CB100508000T00</v>
          </cell>
          <cell r="H1740">
            <v>0.75</v>
          </cell>
          <cell r="I1740" t="str">
            <v>--</v>
          </cell>
          <cell r="J1740">
            <v>1</v>
          </cell>
          <cell r="K1740">
            <v>1</v>
          </cell>
        </row>
        <row r="1741">
          <cell r="A1741" t="str">
            <v>M2</v>
          </cell>
          <cell r="B1741" t="str">
            <v>A5C</v>
          </cell>
          <cell r="C1741" t="str">
            <v>TRIM</v>
          </cell>
          <cell r="D1741" t="str">
            <v>V-2332</v>
          </cell>
          <cell r="E1741" t="str">
            <v>PIPE</v>
          </cell>
          <cell r="F1741">
            <v>1</v>
          </cell>
          <cell r="G1741" t="str">
            <v>CB100508000T00</v>
          </cell>
          <cell r="H1741">
            <v>0.75</v>
          </cell>
          <cell r="I1741" t="str">
            <v>--</v>
          </cell>
          <cell r="J1741">
            <v>1</v>
          </cell>
          <cell r="K1741">
            <v>1</v>
          </cell>
        </row>
        <row r="1742">
          <cell r="A1742" t="str">
            <v>M2</v>
          </cell>
          <cell r="B1742" t="str">
            <v>A5C</v>
          </cell>
          <cell r="C1742" t="str">
            <v>TRIM</v>
          </cell>
          <cell r="D1742" t="str">
            <v>V-2333</v>
          </cell>
          <cell r="E1742" t="str">
            <v>PIPE</v>
          </cell>
          <cell r="F1742">
            <v>1</v>
          </cell>
          <cell r="G1742" t="str">
            <v>CB100508000T00</v>
          </cell>
          <cell r="H1742">
            <v>0.75</v>
          </cell>
          <cell r="I1742" t="str">
            <v>--</v>
          </cell>
          <cell r="J1742">
            <v>1</v>
          </cell>
          <cell r="K1742">
            <v>1</v>
          </cell>
        </row>
        <row r="1743">
          <cell r="A1743" t="str">
            <v>M2</v>
          </cell>
          <cell r="B1743" t="str">
            <v>A5C</v>
          </cell>
          <cell r="C1743" t="str">
            <v>TRIM</v>
          </cell>
          <cell r="D1743" t="str">
            <v>V-2352</v>
          </cell>
          <cell r="E1743" t="str">
            <v>PIPE</v>
          </cell>
          <cell r="F1743">
            <v>1</v>
          </cell>
          <cell r="G1743" t="str">
            <v>CB100508000T00</v>
          </cell>
          <cell r="H1743">
            <v>0.75</v>
          </cell>
          <cell r="I1743" t="str">
            <v>--</v>
          </cell>
          <cell r="J1743">
            <v>1</v>
          </cell>
          <cell r="K1743">
            <v>1</v>
          </cell>
        </row>
        <row r="1744">
          <cell r="A1744" t="str">
            <v>M2</v>
          </cell>
          <cell r="B1744" t="str">
            <v>A5C</v>
          </cell>
          <cell r="C1744" t="str">
            <v>TRIM</v>
          </cell>
          <cell r="D1744" t="str">
            <v>V-2302</v>
          </cell>
          <cell r="E1744" t="str">
            <v>PIPE</v>
          </cell>
          <cell r="F1744">
            <v>1</v>
          </cell>
          <cell r="G1744" t="str">
            <v>CB100508000T00</v>
          </cell>
          <cell r="H1744">
            <v>0.75</v>
          </cell>
          <cell r="I1744" t="str">
            <v>--</v>
          </cell>
          <cell r="J1744">
            <v>1</v>
          </cell>
          <cell r="K1744">
            <v>1</v>
          </cell>
        </row>
        <row r="1745">
          <cell r="A1745" t="str">
            <v>M2</v>
          </cell>
          <cell r="B1745" t="str">
            <v>A5C</v>
          </cell>
          <cell r="C1745" t="str">
            <v>TRIM</v>
          </cell>
          <cell r="D1745" t="str">
            <v>V-2306</v>
          </cell>
          <cell r="E1745" t="str">
            <v>PIPE</v>
          </cell>
          <cell r="F1745">
            <v>1</v>
          </cell>
          <cell r="G1745" t="str">
            <v>CB100508000T00</v>
          </cell>
          <cell r="H1745">
            <v>0.75</v>
          </cell>
          <cell r="I1745" t="str">
            <v>--</v>
          </cell>
          <cell r="J1745">
            <v>1</v>
          </cell>
          <cell r="K1745">
            <v>1</v>
          </cell>
        </row>
        <row r="1746">
          <cell r="A1746" t="str">
            <v>M2</v>
          </cell>
          <cell r="B1746" t="str">
            <v>A5C</v>
          </cell>
          <cell r="C1746" t="str">
            <v>TRIM</v>
          </cell>
          <cell r="D1746" t="str">
            <v>V-2308</v>
          </cell>
          <cell r="E1746" t="str">
            <v>PIPE</v>
          </cell>
          <cell r="F1746">
            <v>1</v>
          </cell>
          <cell r="G1746" t="str">
            <v>CB100508000T00</v>
          </cell>
          <cell r="H1746">
            <v>0.75</v>
          </cell>
          <cell r="I1746" t="str">
            <v>--</v>
          </cell>
          <cell r="J1746">
            <v>1</v>
          </cell>
          <cell r="K1746">
            <v>1</v>
          </cell>
        </row>
        <row r="1747">
          <cell r="A1747" t="str">
            <v>M2</v>
          </cell>
          <cell r="B1747" t="str">
            <v>A5C</v>
          </cell>
          <cell r="C1747" t="str">
            <v>TRIM</v>
          </cell>
          <cell r="D1747" t="str">
            <v>V-2313</v>
          </cell>
          <cell r="E1747" t="str">
            <v>PIPE</v>
          </cell>
          <cell r="F1747">
            <v>1</v>
          </cell>
          <cell r="G1747" t="str">
            <v>CB100508000T00</v>
          </cell>
          <cell r="H1747">
            <v>0.75</v>
          </cell>
          <cell r="I1747" t="str">
            <v>--</v>
          </cell>
          <cell r="J1747">
            <v>1</v>
          </cell>
          <cell r="K1747">
            <v>1</v>
          </cell>
        </row>
        <row r="1748">
          <cell r="A1748" t="str">
            <v>M2</v>
          </cell>
          <cell r="B1748" t="str">
            <v>A5C</v>
          </cell>
          <cell r="C1748" t="str">
            <v>TRIM</v>
          </cell>
          <cell r="D1748" t="str">
            <v>V-2310</v>
          </cell>
          <cell r="E1748" t="str">
            <v>PIPE</v>
          </cell>
          <cell r="F1748">
            <v>1</v>
          </cell>
          <cell r="G1748" t="str">
            <v>CB100508000T00</v>
          </cell>
          <cell r="H1748">
            <v>0.75</v>
          </cell>
          <cell r="I1748" t="str">
            <v>--</v>
          </cell>
          <cell r="J1748">
            <v>1</v>
          </cell>
          <cell r="K1748">
            <v>1</v>
          </cell>
        </row>
        <row r="1749">
          <cell r="A1749" t="str">
            <v>M2</v>
          </cell>
          <cell r="B1749" t="str">
            <v>A5C</v>
          </cell>
          <cell r="C1749" t="str">
            <v>TRIM</v>
          </cell>
          <cell r="D1749" t="str">
            <v>V-2304</v>
          </cell>
          <cell r="E1749" t="str">
            <v>PIPE</v>
          </cell>
          <cell r="F1749">
            <v>1</v>
          </cell>
          <cell r="G1749" t="str">
            <v>CB100508000T00</v>
          </cell>
          <cell r="H1749">
            <v>0.75</v>
          </cell>
          <cell r="I1749" t="str">
            <v>--</v>
          </cell>
          <cell r="J1749">
            <v>1</v>
          </cell>
          <cell r="K1749">
            <v>1</v>
          </cell>
        </row>
        <row r="1750">
          <cell r="A1750" t="str">
            <v>M2</v>
          </cell>
          <cell r="B1750" t="str">
            <v>A5C</v>
          </cell>
          <cell r="C1750" t="str">
            <v>TRIM</v>
          </cell>
          <cell r="D1750" t="str">
            <v>V-2325</v>
          </cell>
          <cell r="E1750" t="str">
            <v>PIPE</v>
          </cell>
          <cell r="F1750">
            <v>1</v>
          </cell>
          <cell r="G1750" t="str">
            <v>CB100508000T00</v>
          </cell>
          <cell r="H1750">
            <v>0.75</v>
          </cell>
          <cell r="I1750" t="str">
            <v>--</v>
          </cell>
          <cell r="J1750">
            <v>1</v>
          </cell>
          <cell r="K1750">
            <v>1</v>
          </cell>
        </row>
        <row r="1751">
          <cell r="A1751" t="str">
            <v>M2</v>
          </cell>
          <cell r="B1751" t="str">
            <v>A5C</v>
          </cell>
          <cell r="C1751" t="str">
            <v>TRIM</v>
          </cell>
          <cell r="D1751" t="str">
            <v>V-2327</v>
          </cell>
          <cell r="E1751" t="str">
            <v>PIPE</v>
          </cell>
          <cell r="F1751">
            <v>1</v>
          </cell>
          <cell r="G1751" t="str">
            <v>CB100508000T00</v>
          </cell>
          <cell r="H1751">
            <v>0.75</v>
          </cell>
          <cell r="I1751" t="str">
            <v>--</v>
          </cell>
          <cell r="J1751">
            <v>1.2</v>
          </cell>
          <cell r="K1751">
            <v>1.2</v>
          </cell>
        </row>
        <row r="1752">
          <cell r="A1752" t="str">
            <v>M2</v>
          </cell>
          <cell r="B1752" t="str">
            <v>A5C</v>
          </cell>
          <cell r="C1752" t="str">
            <v>TRIM</v>
          </cell>
          <cell r="D1752" t="str">
            <v>V-2328</v>
          </cell>
          <cell r="E1752" t="str">
            <v>PIPE</v>
          </cell>
          <cell r="F1752">
            <v>1</v>
          </cell>
          <cell r="G1752" t="str">
            <v>CB100508000T00</v>
          </cell>
          <cell r="H1752">
            <v>0.75</v>
          </cell>
          <cell r="I1752" t="str">
            <v>--</v>
          </cell>
          <cell r="J1752">
            <v>1.2</v>
          </cell>
          <cell r="K1752">
            <v>1.2</v>
          </cell>
        </row>
        <row r="1753">
          <cell r="A1753" t="str">
            <v>M2</v>
          </cell>
          <cell r="B1753" t="str">
            <v>A5C</v>
          </cell>
          <cell r="C1753" t="str">
            <v>TRIM</v>
          </cell>
          <cell r="D1753" t="str">
            <v>V-2326</v>
          </cell>
          <cell r="E1753" t="str">
            <v>PIPE</v>
          </cell>
          <cell r="F1753">
            <v>1</v>
          </cell>
          <cell r="G1753" t="str">
            <v>CB100508000T00</v>
          </cell>
          <cell r="H1753">
            <v>0.75</v>
          </cell>
          <cell r="I1753" t="str">
            <v>--</v>
          </cell>
          <cell r="J1753">
            <v>1.2</v>
          </cell>
          <cell r="K1753">
            <v>1.2</v>
          </cell>
        </row>
        <row r="1754">
          <cell r="A1754" t="str">
            <v>M2</v>
          </cell>
          <cell r="B1754" t="str">
            <v>A5C</v>
          </cell>
          <cell r="C1754" t="str">
            <v>TRIM</v>
          </cell>
          <cell r="D1754" t="str">
            <v>V-2401</v>
          </cell>
          <cell r="E1754" t="str">
            <v>PIPE</v>
          </cell>
          <cell r="F1754">
            <v>1</v>
          </cell>
          <cell r="G1754" t="str">
            <v>CB100508000T00</v>
          </cell>
          <cell r="H1754">
            <v>0.75</v>
          </cell>
          <cell r="I1754" t="str">
            <v>--</v>
          </cell>
          <cell r="J1754">
            <v>1.2</v>
          </cell>
          <cell r="K1754">
            <v>1.2</v>
          </cell>
        </row>
        <row r="1755">
          <cell r="A1755" t="str">
            <v>M2</v>
          </cell>
          <cell r="B1755" t="str">
            <v>A5C</v>
          </cell>
          <cell r="C1755" t="str">
            <v>TRIM</v>
          </cell>
          <cell r="D1755" t="str">
            <v>V-2404</v>
          </cell>
          <cell r="E1755" t="str">
            <v>PIPE</v>
          </cell>
          <cell r="F1755">
            <v>1</v>
          </cell>
          <cell r="G1755" t="str">
            <v>CB100508000T00</v>
          </cell>
          <cell r="H1755">
            <v>0.75</v>
          </cell>
          <cell r="I1755" t="str">
            <v>--</v>
          </cell>
          <cell r="J1755">
            <v>1.2</v>
          </cell>
          <cell r="K1755">
            <v>1.2</v>
          </cell>
        </row>
        <row r="1756">
          <cell r="A1756" t="str">
            <v>M2</v>
          </cell>
          <cell r="B1756" t="str">
            <v>A5C</v>
          </cell>
          <cell r="C1756" t="str">
            <v>TRIM</v>
          </cell>
          <cell r="D1756" t="str">
            <v>R-2401</v>
          </cell>
          <cell r="E1756" t="str">
            <v>PIPE</v>
          </cell>
          <cell r="F1756">
            <v>1</v>
          </cell>
          <cell r="G1756" t="str">
            <v>CB100508000T00</v>
          </cell>
          <cell r="H1756">
            <v>0.75</v>
          </cell>
          <cell r="I1756" t="str">
            <v>--</v>
          </cell>
          <cell r="J1756">
            <v>1.2</v>
          </cell>
          <cell r="K1756">
            <v>1.2</v>
          </cell>
        </row>
        <row r="1757">
          <cell r="A1757" t="str">
            <v>M2</v>
          </cell>
          <cell r="B1757" t="str">
            <v>A5C</v>
          </cell>
          <cell r="C1757" t="str">
            <v>P</v>
          </cell>
          <cell r="D1757" t="str">
            <v>23085</v>
          </cell>
          <cell r="E1757" t="str">
            <v>PIPE</v>
          </cell>
          <cell r="F1757">
            <v>1</v>
          </cell>
          <cell r="G1757" t="str">
            <v>CB100508000T00</v>
          </cell>
          <cell r="H1757">
            <v>0.75</v>
          </cell>
          <cell r="I1757" t="str">
            <v>--</v>
          </cell>
          <cell r="J1757">
            <v>1.5</v>
          </cell>
          <cell r="K1757">
            <v>1.5</v>
          </cell>
        </row>
        <row r="1758">
          <cell r="A1758" t="str">
            <v>M2</v>
          </cell>
          <cell r="B1758" t="str">
            <v>A5C</v>
          </cell>
          <cell r="C1758" t="str">
            <v>P</v>
          </cell>
          <cell r="D1758" t="str">
            <v>23096</v>
          </cell>
          <cell r="E1758" t="str">
            <v>PIPE</v>
          </cell>
          <cell r="F1758">
            <v>1</v>
          </cell>
          <cell r="G1758" t="str">
            <v>CB100508000T00</v>
          </cell>
          <cell r="H1758">
            <v>0.75</v>
          </cell>
          <cell r="I1758" t="str">
            <v>--</v>
          </cell>
          <cell r="J1758">
            <v>1.5</v>
          </cell>
          <cell r="K1758">
            <v>1.5</v>
          </cell>
        </row>
        <row r="1759">
          <cell r="A1759" t="str">
            <v>M2</v>
          </cell>
          <cell r="B1759" t="str">
            <v>A5C</v>
          </cell>
          <cell r="C1759" t="str">
            <v>P</v>
          </cell>
          <cell r="D1759" t="str">
            <v>23124</v>
          </cell>
          <cell r="E1759" t="str">
            <v>PIPE</v>
          </cell>
          <cell r="F1759">
            <v>1</v>
          </cell>
          <cell r="G1759" t="str">
            <v>CB100508000T00</v>
          </cell>
          <cell r="H1759">
            <v>0.75</v>
          </cell>
          <cell r="I1759" t="str">
            <v>--</v>
          </cell>
          <cell r="J1759">
            <v>1.5</v>
          </cell>
          <cell r="K1759">
            <v>1.5</v>
          </cell>
        </row>
        <row r="1760">
          <cell r="A1760" t="str">
            <v>M2</v>
          </cell>
          <cell r="B1760" t="str">
            <v>A5C</v>
          </cell>
          <cell r="C1760" t="str">
            <v>P</v>
          </cell>
          <cell r="D1760" t="str">
            <v>23135</v>
          </cell>
          <cell r="E1760" t="str">
            <v>PIPE</v>
          </cell>
          <cell r="F1760">
            <v>1</v>
          </cell>
          <cell r="G1760" t="str">
            <v>CB100508000T00</v>
          </cell>
          <cell r="H1760">
            <v>0.75</v>
          </cell>
          <cell r="I1760" t="str">
            <v>--</v>
          </cell>
          <cell r="J1760">
            <v>1.5</v>
          </cell>
          <cell r="K1760">
            <v>1.5</v>
          </cell>
        </row>
        <row r="1761">
          <cell r="A1761" t="str">
            <v>M2</v>
          </cell>
          <cell r="B1761" t="str">
            <v>A5C</v>
          </cell>
          <cell r="C1761" t="str">
            <v>TRIM</v>
          </cell>
          <cell r="D1761" t="str">
            <v>C-2302</v>
          </cell>
          <cell r="E1761" t="str">
            <v>PIPE</v>
          </cell>
          <cell r="F1761">
            <v>1</v>
          </cell>
          <cell r="G1761" t="str">
            <v>CB100508000T00</v>
          </cell>
          <cell r="H1761">
            <v>0.75</v>
          </cell>
          <cell r="I1761" t="str">
            <v>--</v>
          </cell>
          <cell r="J1761">
            <v>1.5</v>
          </cell>
          <cell r="K1761">
            <v>1.5</v>
          </cell>
        </row>
        <row r="1762">
          <cell r="A1762" t="str">
            <v>M2</v>
          </cell>
          <cell r="B1762" t="str">
            <v>A5C</v>
          </cell>
          <cell r="C1762" t="str">
            <v>TRIM</v>
          </cell>
          <cell r="D1762" t="str">
            <v>C-2303</v>
          </cell>
          <cell r="E1762" t="str">
            <v>PIPE</v>
          </cell>
          <cell r="F1762">
            <v>1</v>
          </cell>
          <cell r="G1762" t="str">
            <v>CB100508000T00</v>
          </cell>
          <cell r="H1762">
            <v>0.75</v>
          </cell>
          <cell r="I1762" t="str">
            <v>--</v>
          </cell>
          <cell r="J1762">
            <v>1.5</v>
          </cell>
          <cell r="K1762">
            <v>1.5</v>
          </cell>
        </row>
        <row r="1763">
          <cell r="A1763" t="str">
            <v>M2</v>
          </cell>
          <cell r="B1763" t="str">
            <v>A5C</v>
          </cell>
          <cell r="C1763" t="str">
            <v>TRIM</v>
          </cell>
          <cell r="D1763" t="str">
            <v>C-2304</v>
          </cell>
          <cell r="E1763" t="str">
            <v>PIPE</v>
          </cell>
          <cell r="F1763">
            <v>1</v>
          </cell>
          <cell r="G1763" t="str">
            <v>CB100508000T00</v>
          </cell>
          <cell r="H1763">
            <v>0.75</v>
          </cell>
          <cell r="I1763" t="str">
            <v>--</v>
          </cell>
          <cell r="J1763">
            <v>1.5</v>
          </cell>
          <cell r="K1763">
            <v>1.5</v>
          </cell>
        </row>
        <row r="1764">
          <cell r="A1764" t="str">
            <v>M2</v>
          </cell>
          <cell r="B1764" t="str">
            <v>A5C</v>
          </cell>
          <cell r="C1764" t="str">
            <v>TRIM</v>
          </cell>
          <cell r="D1764" t="str">
            <v>C-2305</v>
          </cell>
          <cell r="E1764" t="str">
            <v>PIPE</v>
          </cell>
          <cell r="F1764">
            <v>1</v>
          </cell>
          <cell r="G1764" t="str">
            <v>CB100508000T00</v>
          </cell>
          <cell r="H1764">
            <v>0.75</v>
          </cell>
          <cell r="I1764" t="str">
            <v>--</v>
          </cell>
          <cell r="J1764">
            <v>1.5</v>
          </cell>
          <cell r="K1764">
            <v>1.5</v>
          </cell>
        </row>
        <row r="1765">
          <cell r="A1765" t="str">
            <v>M2</v>
          </cell>
          <cell r="B1765" t="str">
            <v>A5C</v>
          </cell>
          <cell r="C1765" t="str">
            <v>TRIM</v>
          </cell>
          <cell r="D1765" t="str">
            <v>C-2306</v>
          </cell>
          <cell r="E1765" t="str">
            <v>PIPE</v>
          </cell>
          <cell r="F1765">
            <v>1</v>
          </cell>
          <cell r="G1765" t="str">
            <v>CB100508000T00</v>
          </cell>
          <cell r="H1765">
            <v>0.75</v>
          </cell>
          <cell r="I1765" t="str">
            <v>--</v>
          </cell>
          <cell r="J1765">
            <v>1.5</v>
          </cell>
          <cell r="K1765">
            <v>1.5</v>
          </cell>
        </row>
        <row r="1766">
          <cell r="A1766" t="str">
            <v>M2</v>
          </cell>
          <cell r="B1766" t="str">
            <v>A5C</v>
          </cell>
          <cell r="C1766" t="str">
            <v>TRIM</v>
          </cell>
          <cell r="D1766" t="str">
            <v>C-2301</v>
          </cell>
          <cell r="E1766" t="str">
            <v>PIPE</v>
          </cell>
          <cell r="F1766">
            <v>1</v>
          </cell>
          <cell r="G1766" t="str">
            <v>CB100508000T00</v>
          </cell>
          <cell r="H1766">
            <v>0.75</v>
          </cell>
          <cell r="I1766" t="str">
            <v>--</v>
          </cell>
          <cell r="J1766">
            <v>1.5</v>
          </cell>
          <cell r="K1766">
            <v>1.5</v>
          </cell>
        </row>
        <row r="1767">
          <cell r="A1767" t="str">
            <v>M2</v>
          </cell>
          <cell r="B1767" t="str">
            <v>B2C</v>
          </cell>
          <cell r="C1767" t="str">
            <v>SCH</v>
          </cell>
          <cell r="D1767" t="str">
            <v>23613</v>
          </cell>
          <cell r="E1767" t="str">
            <v>PIPE</v>
          </cell>
          <cell r="F1767">
            <v>1</v>
          </cell>
          <cell r="G1767" t="str">
            <v>CB100508000T00</v>
          </cell>
          <cell r="H1767">
            <v>0.75</v>
          </cell>
          <cell r="I1767" t="str">
            <v>--</v>
          </cell>
          <cell r="J1767">
            <v>1.6</v>
          </cell>
          <cell r="K1767">
            <v>1.6</v>
          </cell>
        </row>
        <row r="1768">
          <cell r="A1768" t="str">
            <v>M2</v>
          </cell>
          <cell r="B1768" t="str">
            <v>A5C</v>
          </cell>
          <cell r="C1768" t="str">
            <v>TRIM</v>
          </cell>
          <cell r="D1768" t="str">
            <v>V-2403</v>
          </cell>
          <cell r="E1768" t="str">
            <v>PIPE</v>
          </cell>
          <cell r="F1768">
            <v>1</v>
          </cell>
          <cell r="G1768" t="str">
            <v>CB100508000T00</v>
          </cell>
          <cell r="H1768">
            <v>0.75</v>
          </cell>
          <cell r="I1768" t="str">
            <v>--</v>
          </cell>
          <cell r="J1768">
            <v>1.6</v>
          </cell>
          <cell r="K1768">
            <v>1.6</v>
          </cell>
        </row>
        <row r="1769">
          <cell r="A1769" t="str">
            <v>M2</v>
          </cell>
          <cell r="B1769" t="str">
            <v>A5C</v>
          </cell>
          <cell r="C1769" t="str">
            <v>N</v>
          </cell>
          <cell r="D1769" t="str">
            <v>23613</v>
          </cell>
          <cell r="E1769" t="str">
            <v>PIPE</v>
          </cell>
          <cell r="F1769">
            <v>1</v>
          </cell>
          <cell r="G1769" t="str">
            <v>CB100508000T00</v>
          </cell>
          <cell r="H1769">
            <v>0.75</v>
          </cell>
          <cell r="I1769" t="str">
            <v>--</v>
          </cell>
          <cell r="J1769">
            <v>2.2999999999999998</v>
          </cell>
          <cell r="K1769">
            <v>2.2999999999999998</v>
          </cell>
        </row>
        <row r="1770">
          <cell r="A1770" t="str">
            <v>M2</v>
          </cell>
          <cell r="B1770" t="str">
            <v>A5C</v>
          </cell>
          <cell r="C1770" t="str">
            <v>N</v>
          </cell>
          <cell r="D1770" t="str">
            <v>23647</v>
          </cell>
          <cell r="E1770" t="str">
            <v>PIPE</v>
          </cell>
          <cell r="F1770">
            <v>1</v>
          </cell>
          <cell r="G1770" t="str">
            <v>CB100508000T00</v>
          </cell>
          <cell r="H1770">
            <v>0.75</v>
          </cell>
          <cell r="I1770" t="str">
            <v>--</v>
          </cell>
          <cell r="J1770">
            <v>2.5</v>
          </cell>
          <cell r="K1770">
            <v>2.5</v>
          </cell>
        </row>
        <row r="1771">
          <cell r="A1771" t="str">
            <v>M2</v>
          </cell>
          <cell r="B1771" t="str">
            <v>A5C</v>
          </cell>
          <cell r="C1771" t="str">
            <v>N</v>
          </cell>
          <cell r="D1771" t="str">
            <v>23648</v>
          </cell>
          <cell r="E1771" t="str">
            <v>PIPE</v>
          </cell>
          <cell r="F1771">
            <v>1</v>
          </cell>
          <cell r="G1771" t="str">
            <v>CB100508000T00</v>
          </cell>
          <cell r="H1771">
            <v>0.75</v>
          </cell>
          <cell r="I1771" t="str">
            <v>--</v>
          </cell>
          <cell r="J1771">
            <v>2.5</v>
          </cell>
          <cell r="K1771">
            <v>2.5</v>
          </cell>
        </row>
        <row r="1772">
          <cell r="A1772" t="str">
            <v>M2</v>
          </cell>
          <cell r="B1772" t="str">
            <v>A5C</v>
          </cell>
          <cell r="C1772" t="str">
            <v>N</v>
          </cell>
          <cell r="D1772" t="str">
            <v>23621</v>
          </cell>
          <cell r="E1772" t="str">
            <v>PIPE</v>
          </cell>
          <cell r="F1772">
            <v>1</v>
          </cell>
          <cell r="G1772" t="str">
            <v>CB100508000T00</v>
          </cell>
          <cell r="H1772">
            <v>0.75</v>
          </cell>
          <cell r="I1772" t="str">
            <v>--</v>
          </cell>
          <cell r="J1772">
            <v>2.8</v>
          </cell>
          <cell r="K1772">
            <v>2.8</v>
          </cell>
        </row>
        <row r="1773">
          <cell r="A1773" t="str">
            <v>M2</v>
          </cell>
          <cell r="B1773" t="str">
            <v>A5C</v>
          </cell>
          <cell r="C1773" t="str">
            <v>P</v>
          </cell>
          <cell r="D1773" t="str">
            <v>23113</v>
          </cell>
          <cell r="E1773" t="str">
            <v>PIPE</v>
          </cell>
          <cell r="F1773">
            <v>1</v>
          </cell>
          <cell r="G1773" t="str">
            <v>CB100508000T00</v>
          </cell>
          <cell r="H1773">
            <v>0.75</v>
          </cell>
          <cell r="I1773" t="str">
            <v>--</v>
          </cell>
          <cell r="J1773">
            <v>3</v>
          </cell>
          <cell r="K1773">
            <v>3</v>
          </cell>
        </row>
        <row r="1774">
          <cell r="A1774" t="str">
            <v>M2</v>
          </cell>
          <cell r="B1774" t="str">
            <v>A5C</v>
          </cell>
          <cell r="C1774" t="str">
            <v>N</v>
          </cell>
          <cell r="D1774" t="str">
            <v>23619</v>
          </cell>
          <cell r="E1774" t="str">
            <v>PIPE</v>
          </cell>
          <cell r="F1774">
            <v>1</v>
          </cell>
          <cell r="G1774" t="str">
            <v>CB100508000T00</v>
          </cell>
          <cell r="H1774">
            <v>0.75</v>
          </cell>
          <cell r="I1774" t="str">
            <v>--</v>
          </cell>
          <cell r="J1774">
            <v>3.5</v>
          </cell>
          <cell r="K1774">
            <v>3.5</v>
          </cell>
        </row>
        <row r="1775">
          <cell r="A1775" t="str">
            <v>M2</v>
          </cell>
          <cell r="B1775" t="str">
            <v>A5C</v>
          </cell>
          <cell r="C1775" t="str">
            <v>N</v>
          </cell>
          <cell r="D1775" t="str">
            <v>23620</v>
          </cell>
          <cell r="E1775" t="str">
            <v>PIPE</v>
          </cell>
          <cell r="F1775">
            <v>1</v>
          </cell>
          <cell r="G1775" t="str">
            <v>CB100508000T00</v>
          </cell>
          <cell r="H1775">
            <v>0.75</v>
          </cell>
          <cell r="I1775" t="str">
            <v>--</v>
          </cell>
          <cell r="J1775">
            <v>3.5</v>
          </cell>
          <cell r="K1775">
            <v>3.5</v>
          </cell>
        </row>
        <row r="1776">
          <cell r="A1776" t="str">
            <v>M2</v>
          </cell>
          <cell r="B1776" t="str">
            <v>A5C</v>
          </cell>
          <cell r="C1776" t="str">
            <v>N</v>
          </cell>
          <cell r="D1776" t="str">
            <v>23642</v>
          </cell>
          <cell r="E1776" t="str">
            <v>PIPE</v>
          </cell>
          <cell r="F1776">
            <v>1</v>
          </cell>
          <cell r="G1776" t="str">
            <v>CB100508000T00</v>
          </cell>
          <cell r="H1776">
            <v>0.75</v>
          </cell>
          <cell r="I1776" t="str">
            <v>--</v>
          </cell>
          <cell r="J1776">
            <v>3.5</v>
          </cell>
          <cell r="K1776">
            <v>3.5</v>
          </cell>
        </row>
        <row r="1777">
          <cell r="A1777" t="str">
            <v>M2</v>
          </cell>
          <cell r="B1777" t="str">
            <v>A5C</v>
          </cell>
          <cell r="C1777" t="str">
            <v>N</v>
          </cell>
          <cell r="D1777" t="str">
            <v>24611</v>
          </cell>
          <cell r="E1777" t="str">
            <v>PIPE</v>
          </cell>
          <cell r="F1777">
            <v>1</v>
          </cell>
          <cell r="G1777" t="str">
            <v>CB100508000T00</v>
          </cell>
          <cell r="H1777">
            <v>0.75</v>
          </cell>
          <cell r="I1777" t="str">
            <v>--</v>
          </cell>
          <cell r="J1777">
            <v>3.5</v>
          </cell>
          <cell r="K1777">
            <v>3.5</v>
          </cell>
        </row>
        <row r="1778">
          <cell r="A1778" t="str">
            <v>M2</v>
          </cell>
          <cell r="B1778" t="str">
            <v>A5C</v>
          </cell>
          <cell r="C1778" t="str">
            <v>N</v>
          </cell>
          <cell r="D1778" t="str">
            <v>23646</v>
          </cell>
          <cell r="E1778" t="str">
            <v>PIPE</v>
          </cell>
          <cell r="F1778">
            <v>1</v>
          </cell>
          <cell r="G1778" t="str">
            <v>CB100508000T00</v>
          </cell>
          <cell r="H1778">
            <v>0.75</v>
          </cell>
          <cell r="I1778" t="str">
            <v>--</v>
          </cell>
          <cell r="J1778">
            <v>3.5</v>
          </cell>
          <cell r="K1778">
            <v>3.5</v>
          </cell>
        </row>
        <row r="1779">
          <cell r="A1779" t="str">
            <v>M2</v>
          </cell>
          <cell r="B1779" t="str">
            <v>A5C</v>
          </cell>
          <cell r="C1779" t="str">
            <v>P</v>
          </cell>
          <cell r="D1779" t="str">
            <v>24033</v>
          </cell>
          <cell r="E1779" t="str">
            <v>PIPE</v>
          </cell>
          <cell r="F1779">
            <v>1</v>
          </cell>
          <cell r="G1779" t="str">
            <v>CB100508000T00</v>
          </cell>
          <cell r="H1779">
            <v>0.75</v>
          </cell>
          <cell r="I1779" t="str">
            <v>--</v>
          </cell>
          <cell r="J1779">
            <v>3.5</v>
          </cell>
          <cell r="K1779">
            <v>3.5</v>
          </cell>
        </row>
        <row r="1780">
          <cell r="A1780" t="str">
            <v>M2</v>
          </cell>
          <cell r="B1780" t="str">
            <v>A5C</v>
          </cell>
          <cell r="C1780" t="str">
            <v>N</v>
          </cell>
          <cell r="D1780" t="str">
            <v>24612</v>
          </cell>
          <cell r="E1780" t="str">
            <v>PIPE</v>
          </cell>
          <cell r="F1780">
            <v>1</v>
          </cell>
          <cell r="G1780" t="str">
            <v>CB100508000T00</v>
          </cell>
          <cell r="H1780">
            <v>0.75</v>
          </cell>
          <cell r="I1780" t="str">
            <v>--</v>
          </cell>
          <cell r="J1780">
            <v>3.6</v>
          </cell>
          <cell r="K1780">
            <v>3.6</v>
          </cell>
        </row>
        <row r="1781">
          <cell r="A1781" t="str">
            <v>M2</v>
          </cell>
          <cell r="B1781" t="str">
            <v>A5C</v>
          </cell>
          <cell r="C1781" t="str">
            <v>N</v>
          </cell>
          <cell r="D1781" t="str">
            <v>24614</v>
          </cell>
          <cell r="E1781" t="str">
            <v>PIPE</v>
          </cell>
          <cell r="F1781">
            <v>1</v>
          </cell>
          <cell r="G1781" t="str">
            <v>CB100508000T00</v>
          </cell>
          <cell r="H1781">
            <v>0.75</v>
          </cell>
          <cell r="I1781" t="str">
            <v>--</v>
          </cell>
          <cell r="J1781">
            <v>3.6</v>
          </cell>
          <cell r="K1781">
            <v>3.6</v>
          </cell>
        </row>
        <row r="1782">
          <cell r="A1782" t="str">
            <v>M2</v>
          </cell>
          <cell r="B1782" t="str">
            <v>A5C</v>
          </cell>
          <cell r="C1782" t="str">
            <v>P</v>
          </cell>
          <cell r="D1782" t="str">
            <v>23053</v>
          </cell>
          <cell r="E1782" t="str">
            <v>PIPE</v>
          </cell>
          <cell r="F1782">
            <v>1</v>
          </cell>
          <cell r="G1782" t="str">
            <v>CB100508000T00</v>
          </cell>
          <cell r="H1782">
            <v>0.75</v>
          </cell>
          <cell r="I1782" t="str">
            <v>--</v>
          </cell>
          <cell r="J1782">
            <v>3.9</v>
          </cell>
          <cell r="K1782">
            <v>3.9</v>
          </cell>
        </row>
        <row r="1783">
          <cell r="A1783" t="str">
            <v>M2</v>
          </cell>
          <cell r="B1783" t="str">
            <v>A5C</v>
          </cell>
          <cell r="C1783" t="str">
            <v>P</v>
          </cell>
          <cell r="D1783" t="str">
            <v>23048</v>
          </cell>
          <cell r="E1783" t="str">
            <v>PIPE</v>
          </cell>
          <cell r="F1783">
            <v>1</v>
          </cell>
          <cell r="G1783" t="str">
            <v>CB100508000T00</v>
          </cell>
          <cell r="H1783">
            <v>0.75</v>
          </cell>
          <cell r="I1783" t="str">
            <v>--</v>
          </cell>
          <cell r="J1783">
            <v>4.3</v>
          </cell>
          <cell r="K1783">
            <v>4.3</v>
          </cell>
        </row>
        <row r="1784">
          <cell r="A1784" t="str">
            <v>M2</v>
          </cell>
          <cell r="B1784" t="str">
            <v>A5C</v>
          </cell>
          <cell r="C1784" t="str">
            <v>N</v>
          </cell>
          <cell r="D1784" t="str">
            <v>24613</v>
          </cell>
          <cell r="E1784" t="str">
            <v>PIPE</v>
          </cell>
          <cell r="F1784">
            <v>1</v>
          </cell>
          <cell r="G1784" t="str">
            <v>CB100508000T00</v>
          </cell>
          <cell r="H1784">
            <v>0.75</v>
          </cell>
          <cell r="I1784" t="str">
            <v>--</v>
          </cell>
          <cell r="J1784">
            <v>4.5</v>
          </cell>
          <cell r="K1784">
            <v>4.5</v>
          </cell>
        </row>
        <row r="1785">
          <cell r="A1785" t="str">
            <v>M2</v>
          </cell>
          <cell r="B1785" t="str">
            <v>A5C</v>
          </cell>
          <cell r="C1785" t="str">
            <v>P</v>
          </cell>
          <cell r="D1785" t="str">
            <v>23094</v>
          </cell>
          <cell r="E1785" t="str">
            <v>PIPE</v>
          </cell>
          <cell r="F1785">
            <v>1</v>
          </cell>
          <cell r="G1785" t="str">
            <v>CB100508000T00</v>
          </cell>
          <cell r="H1785">
            <v>0.75</v>
          </cell>
          <cell r="I1785" t="str">
            <v>--</v>
          </cell>
          <cell r="J1785">
            <v>5</v>
          </cell>
          <cell r="K1785">
            <v>5</v>
          </cell>
        </row>
        <row r="1786">
          <cell r="A1786" t="str">
            <v>M2</v>
          </cell>
          <cell r="B1786" t="str">
            <v>A5C</v>
          </cell>
          <cell r="C1786" t="str">
            <v>P</v>
          </cell>
          <cell r="D1786" t="str">
            <v>23101</v>
          </cell>
          <cell r="E1786" t="str">
            <v>PIPE</v>
          </cell>
          <cell r="F1786">
            <v>1</v>
          </cell>
          <cell r="G1786" t="str">
            <v>CB100508000T00</v>
          </cell>
          <cell r="H1786">
            <v>0.75</v>
          </cell>
          <cell r="I1786" t="str">
            <v>--</v>
          </cell>
          <cell r="J1786">
            <v>5</v>
          </cell>
          <cell r="K1786">
            <v>5</v>
          </cell>
        </row>
        <row r="1787">
          <cell r="A1787" t="str">
            <v>M2</v>
          </cell>
          <cell r="B1787" t="str">
            <v>A5C</v>
          </cell>
          <cell r="C1787" t="str">
            <v>P</v>
          </cell>
          <cell r="D1787" t="str">
            <v>23105</v>
          </cell>
          <cell r="E1787" t="str">
            <v>PIPE</v>
          </cell>
          <cell r="F1787">
            <v>1</v>
          </cell>
          <cell r="G1787" t="str">
            <v>CB100508000T00</v>
          </cell>
          <cell r="H1787">
            <v>0.75</v>
          </cell>
          <cell r="I1787" t="str">
            <v>--</v>
          </cell>
          <cell r="J1787">
            <v>5</v>
          </cell>
          <cell r="K1787">
            <v>5</v>
          </cell>
        </row>
        <row r="1788">
          <cell r="A1788" t="str">
            <v>M2</v>
          </cell>
          <cell r="B1788" t="str">
            <v>A5C</v>
          </cell>
          <cell r="C1788" t="str">
            <v>P</v>
          </cell>
          <cell r="D1788" t="str">
            <v>23109</v>
          </cell>
          <cell r="E1788" t="str">
            <v>PIPE</v>
          </cell>
          <cell r="F1788">
            <v>1</v>
          </cell>
          <cell r="G1788" t="str">
            <v>CB100508000T00</v>
          </cell>
          <cell r="H1788">
            <v>0.75</v>
          </cell>
          <cell r="I1788" t="str">
            <v>--</v>
          </cell>
          <cell r="J1788">
            <v>5</v>
          </cell>
          <cell r="K1788">
            <v>5</v>
          </cell>
        </row>
        <row r="1789">
          <cell r="A1789" t="str">
            <v>M2</v>
          </cell>
          <cell r="B1789" t="str">
            <v>A5C</v>
          </cell>
          <cell r="C1789" t="str">
            <v>P</v>
          </cell>
          <cell r="D1789" t="str">
            <v>23234</v>
          </cell>
          <cell r="E1789" t="str">
            <v>PIPE</v>
          </cell>
          <cell r="F1789">
            <v>1</v>
          </cell>
          <cell r="G1789" t="str">
            <v>CB100508000T00</v>
          </cell>
          <cell r="H1789">
            <v>0.75</v>
          </cell>
          <cell r="I1789" t="str">
            <v>--</v>
          </cell>
          <cell r="J1789">
            <v>5</v>
          </cell>
          <cell r="K1789">
            <v>5</v>
          </cell>
        </row>
        <row r="1790">
          <cell r="A1790" t="str">
            <v>M2</v>
          </cell>
          <cell r="B1790" t="str">
            <v>A5C</v>
          </cell>
          <cell r="C1790" t="str">
            <v>P</v>
          </cell>
          <cell r="D1790" t="str">
            <v>23238</v>
          </cell>
          <cell r="E1790" t="str">
            <v>PIPE</v>
          </cell>
          <cell r="F1790">
            <v>1</v>
          </cell>
          <cell r="G1790" t="str">
            <v>CB100508000T00</v>
          </cell>
          <cell r="H1790">
            <v>0.75</v>
          </cell>
          <cell r="I1790" t="str">
            <v>--</v>
          </cell>
          <cell r="J1790">
            <v>5</v>
          </cell>
          <cell r="K1790">
            <v>5</v>
          </cell>
        </row>
        <row r="1791">
          <cell r="A1791" t="str">
            <v>M2</v>
          </cell>
          <cell r="B1791" t="str">
            <v>A5C</v>
          </cell>
          <cell r="C1791" t="str">
            <v>P</v>
          </cell>
          <cell r="D1791" t="str">
            <v>24017</v>
          </cell>
          <cell r="E1791" t="str">
            <v>PIPE</v>
          </cell>
          <cell r="F1791">
            <v>1</v>
          </cell>
          <cell r="G1791" t="str">
            <v>CB100508000T00</v>
          </cell>
          <cell r="H1791">
            <v>0.75</v>
          </cell>
          <cell r="I1791" t="str">
            <v>--</v>
          </cell>
          <cell r="J1791">
            <v>5</v>
          </cell>
          <cell r="K1791">
            <v>5</v>
          </cell>
        </row>
        <row r="1792">
          <cell r="A1792" t="str">
            <v>M2</v>
          </cell>
          <cell r="B1792" t="str">
            <v>A5C</v>
          </cell>
          <cell r="C1792" t="str">
            <v>P</v>
          </cell>
          <cell r="D1792" t="str">
            <v>23176</v>
          </cell>
          <cell r="E1792" t="str">
            <v>PIPE</v>
          </cell>
          <cell r="F1792">
            <v>1</v>
          </cell>
          <cell r="G1792" t="str">
            <v>CB100508000T00</v>
          </cell>
          <cell r="H1792">
            <v>0.75</v>
          </cell>
          <cell r="I1792" t="str">
            <v>--</v>
          </cell>
          <cell r="J1792">
            <v>5.6</v>
          </cell>
          <cell r="K1792">
            <v>5.6</v>
          </cell>
        </row>
        <row r="1793">
          <cell r="A1793" t="str">
            <v>M2</v>
          </cell>
          <cell r="B1793" t="str">
            <v>A5C</v>
          </cell>
          <cell r="C1793" t="str">
            <v>P</v>
          </cell>
          <cell r="D1793" t="str">
            <v>24031</v>
          </cell>
          <cell r="E1793" t="str">
            <v>PIPE</v>
          </cell>
          <cell r="F1793">
            <v>1</v>
          </cell>
          <cell r="G1793" t="str">
            <v>CB100508000T00</v>
          </cell>
          <cell r="H1793">
            <v>0.75</v>
          </cell>
          <cell r="I1793" t="str">
            <v>--</v>
          </cell>
          <cell r="J1793">
            <v>6</v>
          </cell>
          <cell r="K1793">
            <v>6</v>
          </cell>
        </row>
        <row r="1794">
          <cell r="A1794" t="str">
            <v>M2</v>
          </cell>
          <cell r="B1794" t="str">
            <v>A5C</v>
          </cell>
          <cell r="C1794" t="str">
            <v>P</v>
          </cell>
          <cell r="D1794" t="str">
            <v>23193</v>
          </cell>
          <cell r="E1794" t="str">
            <v>PIPE</v>
          </cell>
          <cell r="F1794">
            <v>1</v>
          </cell>
          <cell r="G1794" t="str">
            <v>CB100508000T00</v>
          </cell>
          <cell r="H1794">
            <v>0.75</v>
          </cell>
          <cell r="I1794" t="str">
            <v>--</v>
          </cell>
          <cell r="J1794">
            <v>6.3</v>
          </cell>
          <cell r="K1794">
            <v>6.3</v>
          </cell>
        </row>
        <row r="1795">
          <cell r="A1795" t="str">
            <v>M2</v>
          </cell>
          <cell r="B1795" t="str">
            <v>A5C</v>
          </cell>
          <cell r="C1795" t="str">
            <v>P</v>
          </cell>
          <cell r="D1795" t="str">
            <v>23133</v>
          </cell>
          <cell r="E1795" t="str">
            <v>PIPE</v>
          </cell>
          <cell r="F1795">
            <v>1</v>
          </cell>
          <cell r="G1795" t="str">
            <v>CB100508000T00</v>
          </cell>
          <cell r="H1795">
            <v>0.75</v>
          </cell>
          <cell r="I1795" t="str">
            <v>--</v>
          </cell>
          <cell r="J1795">
            <v>6.5</v>
          </cell>
          <cell r="K1795">
            <v>6.5</v>
          </cell>
        </row>
        <row r="1796">
          <cell r="A1796" t="str">
            <v>M2</v>
          </cell>
          <cell r="B1796" t="str">
            <v>A5C</v>
          </cell>
          <cell r="C1796" t="str">
            <v>P</v>
          </cell>
          <cell r="D1796" t="str">
            <v>23141</v>
          </cell>
          <cell r="E1796" t="str">
            <v>PIPE</v>
          </cell>
          <cell r="F1796">
            <v>1</v>
          </cell>
          <cell r="G1796" t="str">
            <v>CB100508000T00</v>
          </cell>
          <cell r="H1796">
            <v>0.75</v>
          </cell>
          <cell r="I1796" t="str">
            <v>--</v>
          </cell>
          <cell r="J1796">
            <v>6.5</v>
          </cell>
          <cell r="K1796">
            <v>6.5</v>
          </cell>
        </row>
        <row r="1797">
          <cell r="A1797" t="str">
            <v>M2</v>
          </cell>
          <cell r="B1797" t="str">
            <v>A5C</v>
          </cell>
          <cell r="C1797" t="str">
            <v>P</v>
          </cell>
          <cell r="D1797" t="str">
            <v>23145</v>
          </cell>
          <cell r="E1797" t="str">
            <v>PIPE</v>
          </cell>
          <cell r="F1797">
            <v>1</v>
          </cell>
          <cell r="G1797" t="str">
            <v>CB100508000T00</v>
          </cell>
          <cell r="H1797">
            <v>0.75</v>
          </cell>
          <cell r="I1797" t="str">
            <v>--</v>
          </cell>
          <cell r="J1797">
            <v>6.5</v>
          </cell>
          <cell r="K1797">
            <v>6.5</v>
          </cell>
        </row>
        <row r="1798">
          <cell r="A1798" t="str">
            <v>M2</v>
          </cell>
          <cell r="B1798" t="str">
            <v>A5C</v>
          </cell>
          <cell r="C1798" t="str">
            <v>P</v>
          </cell>
          <cell r="D1798" t="str">
            <v>23184</v>
          </cell>
          <cell r="E1798" t="str">
            <v>PIPE</v>
          </cell>
          <cell r="F1798">
            <v>1</v>
          </cell>
          <cell r="G1798" t="str">
            <v>CB100508000T00</v>
          </cell>
          <cell r="H1798">
            <v>0.75</v>
          </cell>
          <cell r="I1798" t="str">
            <v>--</v>
          </cell>
          <cell r="J1798">
            <v>7</v>
          </cell>
          <cell r="K1798">
            <v>7</v>
          </cell>
        </row>
        <row r="1799">
          <cell r="A1799" t="str">
            <v>M2</v>
          </cell>
          <cell r="B1799" t="str">
            <v>A5C</v>
          </cell>
          <cell r="C1799" t="str">
            <v>P</v>
          </cell>
          <cell r="D1799" t="str">
            <v>23163</v>
          </cell>
          <cell r="E1799" t="str">
            <v>PIPE</v>
          </cell>
          <cell r="F1799">
            <v>1</v>
          </cell>
          <cell r="G1799" t="str">
            <v>CB100508000T00</v>
          </cell>
          <cell r="H1799">
            <v>0.75</v>
          </cell>
          <cell r="I1799" t="str">
            <v>--</v>
          </cell>
          <cell r="J1799">
            <v>8.8000000000000007</v>
          </cell>
          <cell r="K1799">
            <v>8.8000000000000007</v>
          </cell>
        </row>
        <row r="1800">
          <cell r="A1800" t="str">
            <v>M2</v>
          </cell>
          <cell r="B1800" t="str">
            <v>A5C</v>
          </cell>
          <cell r="C1800" t="str">
            <v>P</v>
          </cell>
          <cell r="D1800" t="str">
            <v>23113</v>
          </cell>
          <cell r="E1800" t="str">
            <v>PIPE</v>
          </cell>
          <cell r="F1800">
            <v>1</v>
          </cell>
          <cell r="G1800" t="str">
            <v>CB100508000T00</v>
          </cell>
          <cell r="H1800">
            <v>0.75</v>
          </cell>
          <cell r="I1800" t="str">
            <v>--</v>
          </cell>
          <cell r="J1800">
            <v>9</v>
          </cell>
          <cell r="K1800">
            <v>9</v>
          </cell>
        </row>
        <row r="1801">
          <cell r="A1801" t="str">
            <v>M2</v>
          </cell>
          <cell r="B1801" t="str">
            <v>A5C</v>
          </cell>
          <cell r="C1801" t="str">
            <v>P</v>
          </cell>
          <cell r="D1801" t="str">
            <v>23014</v>
          </cell>
          <cell r="E1801" t="str">
            <v>PIPE</v>
          </cell>
          <cell r="F1801">
            <v>1</v>
          </cell>
          <cell r="G1801" t="str">
            <v>CB100508000T00</v>
          </cell>
          <cell r="H1801">
            <v>0.75</v>
          </cell>
          <cell r="I1801" t="str">
            <v>--</v>
          </cell>
          <cell r="J1801">
            <v>9</v>
          </cell>
          <cell r="K1801">
            <v>9</v>
          </cell>
        </row>
        <row r="1802">
          <cell r="A1802" t="str">
            <v>M2</v>
          </cell>
          <cell r="B1802" t="str">
            <v>A5C</v>
          </cell>
          <cell r="C1802" t="str">
            <v>P</v>
          </cell>
          <cell r="D1802" t="str">
            <v>23219</v>
          </cell>
          <cell r="E1802" t="str">
            <v>PIPE</v>
          </cell>
          <cell r="F1802">
            <v>1</v>
          </cell>
          <cell r="G1802" t="str">
            <v>CB100508000T00</v>
          </cell>
          <cell r="H1802">
            <v>0.75</v>
          </cell>
          <cell r="I1802" t="str">
            <v>--</v>
          </cell>
          <cell r="J1802">
            <v>9.8000000000000007</v>
          </cell>
          <cell r="K1802">
            <v>9.8000000000000007</v>
          </cell>
        </row>
        <row r="1803">
          <cell r="A1803" t="str">
            <v>M2</v>
          </cell>
          <cell r="B1803" t="str">
            <v>A5C</v>
          </cell>
          <cell r="C1803" t="str">
            <v>P</v>
          </cell>
          <cell r="D1803" t="str">
            <v>23183</v>
          </cell>
          <cell r="E1803" t="str">
            <v>PIPE</v>
          </cell>
          <cell r="F1803">
            <v>1</v>
          </cell>
          <cell r="G1803" t="str">
            <v>CB100508000T00</v>
          </cell>
          <cell r="H1803">
            <v>0.75</v>
          </cell>
          <cell r="I1803" t="str">
            <v>--</v>
          </cell>
          <cell r="J1803">
            <v>10</v>
          </cell>
          <cell r="K1803">
            <v>10</v>
          </cell>
        </row>
        <row r="1804">
          <cell r="A1804" t="str">
            <v>M2</v>
          </cell>
          <cell r="B1804" t="str">
            <v>A5C</v>
          </cell>
          <cell r="C1804" t="str">
            <v>P</v>
          </cell>
          <cell r="D1804" t="str">
            <v>23065</v>
          </cell>
          <cell r="E1804" t="str">
            <v>PIPE</v>
          </cell>
          <cell r="F1804">
            <v>1</v>
          </cell>
          <cell r="G1804" t="str">
            <v>CB100508000T00</v>
          </cell>
          <cell r="H1804">
            <v>0.75</v>
          </cell>
          <cell r="I1804" t="str">
            <v>--</v>
          </cell>
          <cell r="J1804">
            <v>11</v>
          </cell>
          <cell r="K1804">
            <v>11</v>
          </cell>
        </row>
        <row r="1805">
          <cell r="A1805" t="str">
            <v>M2</v>
          </cell>
          <cell r="B1805" t="str">
            <v>A5C</v>
          </cell>
          <cell r="C1805" t="str">
            <v>P</v>
          </cell>
          <cell r="D1805" t="str">
            <v>23048</v>
          </cell>
          <cell r="E1805" t="str">
            <v>PIPE</v>
          </cell>
          <cell r="F1805">
            <v>1</v>
          </cell>
          <cell r="G1805" t="str">
            <v>CB100508000T00</v>
          </cell>
          <cell r="H1805">
            <v>0.75</v>
          </cell>
          <cell r="I1805" t="str">
            <v>--</v>
          </cell>
          <cell r="J1805">
            <v>12.7</v>
          </cell>
          <cell r="K1805">
            <v>12.7</v>
          </cell>
        </row>
        <row r="1806">
          <cell r="A1806" t="str">
            <v>M2</v>
          </cell>
          <cell r="B1806" t="str">
            <v>A5C</v>
          </cell>
          <cell r="C1806" t="str">
            <v>P</v>
          </cell>
          <cell r="D1806" t="str">
            <v>23155</v>
          </cell>
          <cell r="E1806" t="str">
            <v>PIPE</v>
          </cell>
          <cell r="F1806">
            <v>1</v>
          </cell>
          <cell r="G1806" t="str">
            <v>CB100508000T00</v>
          </cell>
          <cell r="H1806">
            <v>0.75</v>
          </cell>
          <cell r="I1806" t="str">
            <v>--</v>
          </cell>
          <cell r="J1806">
            <v>13.5</v>
          </cell>
          <cell r="K1806">
            <v>13.5</v>
          </cell>
        </row>
        <row r="1807">
          <cell r="A1807" t="str">
            <v>M2</v>
          </cell>
          <cell r="B1807" t="str">
            <v>B2C</v>
          </cell>
          <cell r="C1807" t="str">
            <v>SH</v>
          </cell>
          <cell r="D1807" t="str">
            <v>24612</v>
          </cell>
          <cell r="E1807" t="str">
            <v>PIPE</v>
          </cell>
          <cell r="F1807">
            <v>1</v>
          </cell>
          <cell r="G1807" t="str">
            <v>CB100508000T00</v>
          </cell>
          <cell r="H1807">
            <v>0.75</v>
          </cell>
          <cell r="I1807" t="str">
            <v>--</v>
          </cell>
          <cell r="J1807">
            <v>14</v>
          </cell>
          <cell r="K1807">
            <v>14</v>
          </cell>
        </row>
        <row r="1808">
          <cell r="A1808" t="str">
            <v>M2</v>
          </cell>
          <cell r="B1808" t="str">
            <v>B2C</v>
          </cell>
          <cell r="C1808" t="str">
            <v>SCL</v>
          </cell>
          <cell r="D1808" t="str">
            <v>TRAP</v>
          </cell>
          <cell r="E1808" t="str">
            <v>PIPE</v>
          </cell>
          <cell r="F1808">
            <v>1</v>
          </cell>
          <cell r="G1808" t="str">
            <v>CB100508000T00</v>
          </cell>
          <cell r="H1808">
            <v>0.75</v>
          </cell>
          <cell r="I1808" t="str">
            <v>--</v>
          </cell>
          <cell r="J1808">
            <v>15</v>
          </cell>
          <cell r="K1808">
            <v>15</v>
          </cell>
        </row>
        <row r="1809">
          <cell r="A1809" t="str">
            <v>M2</v>
          </cell>
          <cell r="B1809" t="str">
            <v>A5C</v>
          </cell>
          <cell r="C1809" t="str">
            <v>P</v>
          </cell>
          <cell r="D1809" t="str">
            <v>24029</v>
          </cell>
          <cell r="E1809" t="str">
            <v>PIPE</v>
          </cell>
          <cell r="F1809">
            <v>1</v>
          </cell>
          <cell r="G1809" t="str">
            <v>CB100508000T00</v>
          </cell>
          <cell r="H1809">
            <v>0.75</v>
          </cell>
          <cell r="I1809" t="str">
            <v>--</v>
          </cell>
          <cell r="J1809">
            <v>15</v>
          </cell>
          <cell r="K1809">
            <v>15</v>
          </cell>
        </row>
        <row r="1810">
          <cell r="A1810" t="str">
            <v>M2</v>
          </cell>
          <cell r="B1810" t="str">
            <v>A5C</v>
          </cell>
          <cell r="C1810" t="str">
            <v>P</v>
          </cell>
          <cell r="D1810" t="str">
            <v>23173</v>
          </cell>
          <cell r="E1810" t="str">
            <v>PIPE</v>
          </cell>
          <cell r="F1810">
            <v>1</v>
          </cell>
          <cell r="G1810" t="str">
            <v>CB100508000T00</v>
          </cell>
          <cell r="H1810">
            <v>0.75</v>
          </cell>
          <cell r="I1810" t="str">
            <v>--</v>
          </cell>
          <cell r="J1810">
            <v>17.600000000000001</v>
          </cell>
          <cell r="K1810">
            <v>17.600000000000001</v>
          </cell>
        </row>
        <row r="1811">
          <cell r="A1811" t="str">
            <v>M2</v>
          </cell>
          <cell r="B1811" t="str">
            <v>A5C</v>
          </cell>
          <cell r="C1811" t="str">
            <v>P</v>
          </cell>
          <cell r="D1811" t="str">
            <v>23247</v>
          </cell>
          <cell r="E1811" t="str">
            <v>PIPE</v>
          </cell>
          <cell r="F1811">
            <v>1</v>
          </cell>
          <cell r="G1811" t="str">
            <v>CB100508000T00</v>
          </cell>
          <cell r="H1811">
            <v>0.75</v>
          </cell>
          <cell r="I1811" t="str">
            <v>--</v>
          </cell>
          <cell r="J1811">
            <v>20.6</v>
          </cell>
          <cell r="K1811">
            <v>20.6</v>
          </cell>
        </row>
        <row r="1812">
          <cell r="A1812" t="str">
            <v>M2</v>
          </cell>
          <cell r="B1812" t="str">
            <v>A5C</v>
          </cell>
          <cell r="C1812" t="str">
            <v>P</v>
          </cell>
          <cell r="D1812" t="str">
            <v>23225</v>
          </cell>
          <cell r="E1812" t="str">
            <v>PIPE</v>
          </cell>
          <cell r="F1812">
            <v>1</v>
          </cell>
          <cell r="G1812" t="str">
            <v>CB100508000T00</v>
          </cell>
          <cell r="H1812">
            <v>0.75</v>
          </cell>
          <cell r="I1812" t="str">
            <v>--</v>
          </cell>
          <cell r="J1812">
            <v>21</v>
          </cell>
          <cell r="K1812">
            <v>21</v>
          </cell>
        </row>
        <row r="1813">
          <cell r="A1813" t="str">
            <v>M2</v>
          </cell>
          <cell r="B1813" t="str">
            <v>A5C</v>
          </cell>
          <cell r="C1813" t="str">
            <v>P</v>
          </cell>
          <cell r="D1813" t="str">
            <v>23188</v>
          </cell>
          <cell r="E1813" t="str">
            <v>PIPE</v>
          </cell>
          <cell r="F1813">
            <v>1</v>
          </cell>
          <cell r="G1813" t="str">
            <v>CB100508000T00</v>
          </cell>
          <cell r="H1813">
            <v>0.75</v>
          </cell>
          <cell r="I1813" t="str">
            <v>--</v>
          </cell>
          <cell r="J1813">
            <v>22.2</v>
          </cell>
          <cell r="K1813">
            <v>22.2</v>
          </cell>
        </row>
        <row r="1814">
          <cell r="A1814" t="str">
            <v>M2</v>
          </cell>
          <cell r="B1814" t="str">
            <v>A5C</v>
          </cell>
          <cell r="C1814" t="str">
            <v>P</v>
          </cell>
          <cell r="D1814" t="str">
            <v>23059</v>
          </cell>
          <cell r="E1814" t="str">
            <v>PIPE</v>
          </cell>
          <cell r="F1814">
            <v>1</v>
          </cell>
          <cell r="G1814" t="str">
            <v>CB100508000T00</v>
          </cell>
          <cell r="H1814">
            <v>0.75</v>
          </cell>
          <cell r="I1814" t="str">
            <v>--</v>
          </cell>
          <cell r="J1814">
            <v>23</v>
          </cell>
          <cell r="K1814">
            <v>23</v>
          </cell>
        </row>
        <row r="1815">
          <cell r="A1815" t="str">
            <v>M2</v>
          </cell>
          <cell r="B1815" t="str">
            <v>A5C</v>
          </cell>
          <cell r="C1815" t="str">
            <v>P</v>
          </cell>
          <cell r="D1815" t="str">
            <v>99004</v>
          </cell>
          <cell r="E1815" t="str">
            <v>PIPE</v>
          </cell>
          <cell r="F1815">
            <v>1</v>
          </cell>
          <cell r="G1815" t="str">
            <v>CB100508000T00</v>
          </cell>
          <cell r="H1815">
            <v>0.75</v>
          </cell>
          <cell r="I1815" t="str">
            <v>--</v>
          </cell>
          <cell r="J1815">
            <v>25.5</v>
          </cell>
          <cell r="K1815">
            <v>25.5</v>
          </cell>
        </row>
        <row r="1816">
          <cell r="A1816" t="str">
            <v>M2</v>
          </cell>
          <cell r="B1816" t="str">
            <v>A5C</v>
          </cell>
          <cell r="C1816" t="str">
            <v>P</v>
          </cell>
          <cell r="D1816" t="str">
            <v>23079</v>
          </cell>
          <cell r="E1816" t="str">
            <v>PIPE</v>
          </cell>
          <cell r="F1816">
            <v>1</v>
          </cell>
          <cell r="G1816" t="str">
            <v>CB100508000T00</v>
          </cell>
          <cell r="H1816">
            <v>0.75</v>
          </cell>
          <cell r="I1816" t="str">
            <v>--</v>
          </cell>
          <cell r="J1816">
            <v>26.2</v>
          </cell>
          <cell r="K1816">
            <v>26.2</v>
          </cell>
        </row>
        <row r="1817">
          <cell r="A1817" t="str">
            <v>M2</v>
          </cell>
          <cell r="B1817" t="str">
            <v>A5C</v>
          </cell>
          <cell r="C1817" t="str">
            <v>P</v>
          </cell>
          <cell r="D1817" t="str">
            <v>23094</v>
          </cell>
          <cell r="E1817" t="str">
            <v>PIPE</v>
          </cell>
          <cell r="F1817">
            <v>1</v>
          </cell>
          <cell r="G1817" t="str">
            <v>CB100508000T00</v>
          </cell>
          <cell r="H1817">
            <v>0.75</v>
          </cell>
          <cell r="I1817" t="str">
            <v>--</v>
          </cell>
          <cell r="J1817">
            <v>27</v>
          </cell>
          <cell r="K1817">
            <v>27</v>
          </cell>
        </row>
        <row r="1818">
          <cell r="A1818" t="str">
            <v>M2</v>
          </cell>
          <cell r="B1818" t="str">
            <v>A5C</v>
          </cell>
          <cell r="C1818" t="str">
            <v>P</v>
          </cell>
          <cell r="D1818" t="str">
            <v>23180</v>
          </cell>
          <cell r="E1818" t="str">
            <v>PIPE</v>
          </cell>
          <cell r="F1818">
            <v>1</v>
          </cell>
          <cell r="G1818" t="str">
            <v>CB100508000T00</v>
          </cell>
          <cell r="H1818">
            <v>0.75</v>
          </cell>
          <cell r="I1818" t="str">
            <v>--</v>
          </cell>
          <cell r="J1818">
            <v>29</v>
          </cell>
          <cell r="K1818">
            <v>29</v>
          </cell>
        </row>
        <row r="1819">
          <cell r="A1819" t="str">
            <v>M2</v>
          </cell>
          <cell r="B1819" t="str">
            <v>A5C</v>
          </cell>
          <cell r="C1819" t="str">
            <v>P</v>
          </cell>
          <cell r="D1819" t="str">
            <v>23028</v>
          </cell>
          <cell r="E1819" t="str">
            <v>PIPE</v>
          </cell>
          <cell r="F1819">
            <v>1</v>
          </cell>
          <cell r="G1819" t="str">
            <v>CB100508000T00</v>
          </cell>
          <cell r="H1819">
            <v>0.75</v>
          </cell>
          <cell r="I1819" t="str">
            <v>--</v>
          </cell>
          <cell r="J1819">
            <v>30.5</v>
          </cell>
          <cell r="K1819">
            <v>30.5</v>
          </cell>
        </row>
        <row r="1820">
          <cell r="A1820" t="str">
            <v>M2</v>
          </cell>
          <cell r="B1820" t="str">
            <v>A5C</v>
          </cell>
          <cell r="C1820" t="str">
            <v>P</v>
          </cell>
          <cell r="D1820" t="str">
            <v>23053</v>
          </cell>
          <cell r="E1820" t="str">
            <v>PIPE</v>
          </cell>
          <cell r="F1820">
            <v>1</v>
          </cell>
          <cell r="G1820" t="str">
            <v>CB100508000T00</v>
          </cell>
          <cell r="H1820">
            <v>0.75</v>
          </cell>
          <cell r="I1820" t="str">
            <v>--</v>
          </cell>
          <cell r="J1820">
            <v>31.5</v>
          </cell>
          <cell r="K1820">
            <v>31.5</v>
          </cell>
        </row>
        <row r="1821">
          <cell r="A1821" t="str">
            <v>M2</v>
          </cell>
          <cell r="B1821" t="str">
            <v>A5C</v>
          </cell>
          <cell r="C1821" t="str">
            <v>P</v>
          </cell>
          <cell r="D1821" t="str">
            <v>24016</v>
          </cell>
          <cell r="E1821" t="str">
            <v>PIPE</v>
          </cell>
          <cell r="F1821">
            <v>1</v>
          </cell>
          <cell r="G1821" t="str">
            <v>CB100508000T00</v>
          </cell>
          <cell r="H1821">
            <v>0.75</v>
          </cell>
          <cell r="I1821" t="str">
            <v>--</v>
          </cell>
          <cell r="J1821">
            <v>32.5</v>
          </cell>
          <cell r="K1821">
            <v>32.5</v>
          </cell>
        </row>
        <row r="1822">
          <cell r="A1822" t="str">
            <v>M2</v>
          </cell>
          <cell r="B1822" t="str">
            <v>A5C</v>
          </cell>
          <cell r="C1822" t="str">
            <v>P</v>
          </cell>
          <cell r="D1822" t="str">
            <v>23156</v>
          </cell>
          <cell r="E1822" t="str">
            <v>PIPE</v>
          </cell>
          <cell r="F1822">
            <v>1</v>
          </cell>
          <cell r="G1822" t="str">
            <v>CB100508000T00</v>
          </cell>
          <cell r="H1822">
            <v>0.75</v>
          </cell>
          <cell r="I1822" t="str">
            <v>--</v>
          </cell>
          <cell r="J1822">
            <v>34.9</v>
          </cell>
          <cell r="K1822">
            <v>34.9</v>
          </cell>
        </row>
        <row r="1823">
          <cell r="A1823" t="str">
            <v>M2</v>
          </cell>
          <cell r="B1823" t="str">
            <v>A5C</v>
          </cell>
          <cell r="C1823" t="str">
            <v>P</v>
          </cell>
          <cell r="D1823" t="str">
            <v>23191</v>
          </cell>
          <cell r="E1823" t="str">
            <v>PIPE</v>
          </cell>
          <cell r="F1823">
            <v>1</v>
          </cell>
          <cell r="G1823" t="str">
            <v>CB100508000T00</v>
          </cell>
          <cell r="H1823">
            <v>0.75</v>
          </cell>
          <cell r="I1823" t="str">
            <v>--</v>
          </cell>
          <cell r="J1823">
            <v>35</v>
          </cell>
          <cell r="K1823">
            <v>35</v>
          </cell>
        </row>
        <row r="1824">
          <cell r="A1824" t="str">
            <v>M2</v>
          </cell>
          <cell r="B1824" t="str">
            <v>A5C</v>
          </cell>
          <cell r="C1824" t="str">
            <v>P</v>
          </cell>
          <cell r="D1824" t="str">
            <v>23141</v>
          </cell>
          <cell r="E1824" t="str">
            <v>PIPE</v>
          </cell>
          <cell r="F1824">
            <v>1</v>
          </cell>
          <cell r="G1824" t="str">
            <v>CB100508000T00</v>
          </cell>
          <cell r="H1824">
            <v>0.75</v>
          </cell>
          <cell r="I1824" t="str">
            <v>--</v>
          </cell>
          <cell r="J1824">
            <v>37</v>
          </cell>
          <cell r="K1824">
            <v>37</v>
          </cell>
        </row>
        <row r="1825">
          <cell r="A1825" t="str">
            <v>M2</v>
          </cell>
          <cell r="B1825" t="str">
            <v>A5C</v>
          </cell>
          <cell r="C1825" t="str">
            <v>P</v>
          </cell>
          <cell r="D1825" t="str">
            <v>23081</v>
          </cell>
          <cell r="E1825" t="str">
            <v>PIPE</v>
          </cell>
          <cell r="F1825">
            <v>1</v>
          </cell>
          <cell r="G1825" t="str">
            <v>CB100508000T00</v>
          </cell>
          <cell r="H1825">
            <v>0.75</v>
          </cell>
          <cell r="I1825" t="str">
            <v>--</v>
          </cell>
          <cell r="J1825">
            <v>40</v>
          </cell>
          <cell r="K1825">
            <v>40</v>
          </cell>
        </row>
        <row r="1826">
          <cell r="A1826" t="str">
            <v>M2</v>
          </cell>
          <cell r="B1826" t="str">
            <v>A5C</v>
          </cell>
          <cell r="C1826" t="str">
            <v>P</v>
          </cell>
          <cell r="D1826" t="str">
            <v>24024</v>
          </cell>
          <cell r="E1826" t="str">
            <v>PIPE</v>
          </cell>
          <cell r="F1826">
            <v>1</v>
          </cell>
          <cell r="G1826" t="str">
            <v>CB100508000T00</v>
          </cell>
          <cell r="H1826">
            <v>0.75</v>
          </cell>
          <cell r="I1826" t="str">
            <v>--</v>
          </cell>
          <cell r="J1826">
            <v>49.5</v>
          </cell>
          <cell r="K1826">
            <v>49.5</v>
          </cell>
        </row>
        <row r="1827">
          <cell r="A1827" t="str">
            <v>M2</v>
          </cell>
          <cell r="B1827" t="str">
            <v>A5C</v>
          </cell>
          <cell r="C1827" t="str">
            <v>P</v>
          </cell>
          <cell r="D1827" t="str">
            <v>24018</v>
          </cell>
          <cell r="E1827" t="str">
            <v>PIPE</v>
          </cell>
          <cell r="F1827">
            <v>1</v>
          </cell>
          <cell r="G1827" t="str">
            <v>CB100508000T00</v>
          </cell>
          <cell r="H1827">
            <v>0.75</v>
          </cell>
          <cell r="I1827" t="str">
            <v>--</v>
          </cell>
          <cell r="J1827">
            <v>51</v>
          </cell>
          <cell r="K1827">
            <v>51</v>
          </cell>
        </row>
        <row r="1828">
          <cell r="A1828" t="str">
            <v>M2</v>
          </cell>
          <cell r="B1828" t="str">
            <v>A5C</v>
          </cell>
          <cell r="C1828" t="str">
            <v>P</v>
          </cell>
          <cell r="D1828" t="str">
            <v>23080</v>
          </cell>
          <cell r="E1828" t="str">
            <v>PIPE</v>
          </cell>
          <cell r="F1828">
            <v>1</v>
          </cell>
          <cell r="G1828" t="str">
            <v>CB100508000T00</v>
          </cell>
          <cell r="H1828">
            <v>0.75</v>
          </cell>
          <cell r="I1828" t="str">
            <v>--</v>
          </cell>
          <cell r="J1828">
            <v>67</v>
          </cell>
          <cell r="K1828">
            <v>67</v>
          </cell>
        </row>
        <row r="1829">
          <cell r="A1829" t="str">
            <v>M2</v>
          </cell>
          <cell r="B1829" t="str">
            <v>A5C</v>
          </cell>
          <cell r="C1829" t="str">
            <v>P</v>
          </cell>
          <cell r="D1829" t="str">
            <v>23133</v>
          </cell>
          <cell r="E1829" t="str">
            <v>PIPE</v>
          </cell>
          <cell r="F1829">
            <v>1</v>
          </cell>
          <cell r="G1829" t="str">
            <v>CB100508000100</v>
          </cell>
          <cell r="H1829">
            <v>1</v>
          </cell>
          <cell r="I1829" t="str">
            <v>--</v>
          </cell>
          <cell r="J1829">
            <v>0.1</v>
          </cell>
          <cell r="K1829">
            <v>0.1</v>
          </cell>
        </row>
        <row r="1830">
          <cell r="A1830" t="str">
            <v>M2</v>
          </cell>
          <cell r="B1830" t="str">
            <v>A5C</v>
          </cell>
          <cell r="C1830" t="str">
            <v>P</v>
          </cell>
          <cell r="D1830" t="str">
            <v>23141</v>
          </cell>
          <cell r="E1830" t="str">
            <v>PIPE</v>
          </cell>
          <cell r="F1830">
            <v>1</v>
          </cell>
          <cell r="G1830" t="str">
            <v>CB100508000100</v>
          </cell>
          <cell r="H1830">
            <v>1</v>
          </cell>
          <cell r="I1830" t="str">
            <v>--</v>
          </cell>
          <cell r="J1830">
            <v>0.1</v>
          </cell>
          <cell r="K1830">
            <v>0.1</v>
          </cell>
        </row>
        <row r="1831">
          <cell r="A1831" t="str">
            <v>M2</v>
          </cell>
          <cell r="B1831" t="str">
            <v>A5C</v>
          </cell>
          <cell r="C1831" t="str">
            <v>P</v>
          </cell>
          <cell r="D1831" t="str">
            <v>24001</v>
          </cell>
          <cell r="E1831" t="str">
            <v>PIPE</v>
          </cell>
          <cell r="F1831">
            <v>1</v>
          </cell>
          <cell r="G1831" t="str">
            <v>CB100508000100</v>
          </cell>
          <cell r="H1831">
            <v>1</v>
          </cell>
          <cell r="I1831" t="str">
            <v>--</v>
          </cell>
          <cell r="J1831">
            <v>0.3</v>
          </cell>
          <cell r="K1831">
            <v>0.3</v>
          </cell>
        </row>
        <row r="1832">
          <cell r="A1832" t="str">
            <v>M2</v>
          </cell>
          <cell r="B1832" t="str">
            <v>A5C</v>
          </cell>
          <cell r="C1832" t="str">
            <v>P</v>
          </cell>
          <cell r="D1832" t="str">
            <v>23006</v>
          </cell>
          <cell r="E1832" t="str">
            <v>PIPE</v>
          </cell>
          <cell r="F1832">
            <v>1</v>
          </cell>
          <cell r="G1832" t="str">
            <v>CB100508000100</v>
          </cell>
          <cell r="H1832">
            <v>1</v>
          </cell>
          <cell r="I1832" t="str">
            <v>--</v>
          </cell>
          <cell r="J1832">
            <v>0.4</v>
          </cell>
          <cell r="K1832">
            <v>0.4</v>
          </cell>
        </row>
        <row r="1833">
          <cell r="A1833" t="str">
            <v>M2</v>
          </cell>
          <cell r="B1833" t="str">
            <v>A5C</v>
          </cell>
          <cell r="C1833" t="str">
            <v>TRIM</v>
          </cell>
          <cell r="D1833" t="str">
            <v>V-2316</v>
          </cell>
          <cell r="E1833" t="str">
            <v>PIPE</v>
          </cell>
          <cell r="F1833">
            <v>1</v>
          </cell>
          <cell r="G1833" t="str">
            <v>CB100508000100</v>
          </cell>
          <cell r="H1833">
            <v>1</v>
          </cell>
          <cell r="I1833" t="str">
            <v>--</v>
          </cell>
          <cell r="J1833">
            <v>0.5</v>
          </cell>
          <cell r="K1833">
            <v>0.5</v>
          </cell>
        </row>
        <row r="1834">
          <cell r="A1834" t="str">
            <v>M2</v>
          </cell>
          <cell r="B1834" t="str">
            <v>A5C</v>
          </cell>
          <cell r="C1834" t="str">
            <v>TRIM</v>
          </cell>
          <cell r="D1834" t="str">
            <v>V-2325</v>
          </cell>
          <cell r="E1834" t="str">
            <v>PIPE</v>
          </cell>
          <cell r="F1834">
            <v>1</v>
          </cell>
          <cell r="G1834" t="str">
            <v>CB100508000100</v>
          </cell>
          <cell r="H1834">
            <v>1</v>
          </cell>
          <cell r="I1834" t="str">
            <v>--</v>
          </cell>
          <cell r="J1834">
            <v>0.5</v>
          </cell>
          <cell r="K1834">
            <v>0.5</v>
          </cell>
        </row>
        <row r="1835">
          <cell r="A1835" t="str">
            <v>M2</v>
          </cell>
          <cell r="B1835" t="str">
            <v>A5C</v>
          </cell>
          <cell r="C1835" t="str">
            <v>P</v>
          </cell>
          <cell r="D1835" t="str">
            <v>24031</v>
          </cell>
          <cell r="E1835" t="str">
            <v>PIPE</v>
          </cell>
          <cell r="F1835">
            <v>1</v>
          </cell>
          <cell r="G1835" t="str">
            <v>CB100508000100</v>
          </cell>
          <cell r="H1835">
            <v>1</v>
          </cell>
          <cell r="I1835" t="str">
            <v>--</v>
          </cell>
          <cell r="J1835">
            <v>0.5</v>
          </cell>
          <cell r="K1835">
            <v>0.5</v>
          </cell>
        </row>
        <row r="1836">
          <cell r="A1836" t="str">
            <v>M2</v>
          </cell>
          <cell r="B1836" t="str">
            <v>A5C</v>
          </cell>
          <cell r="C1836" t="str">
            <v>P</v>
          </cell>
          <cell r="D1836" t="str">
            <v>23037</v>
          </cell>
          <cell r="E1836" t="str">
            <v>PIPE</v>
          </cell>
          <cell r="F1836">
            <v>1</v>
          </cell>
          <cell r="G1836" t="str">
            <v>CB100508000100</v>
          </cell>
          <cell r="H1836">
            <v>1</v>
          </cell>
          <cell r="I1836" t="str">
            <v>--</v>
          </cell>
          <cell r="J1836">
            <v>1</v>
          </cell>
          <cell r="K1836">
            <v>1</v>
          </cell>
        </row>
        <row r="1837">
          <cell r="A1837" t="str">
            <v>M2</v>
          </cell>
          <cell r="B1837" t="str">
            <v>A5C</v>
          </cell>
          <cell r="C1837" t="str">
            <v>P</v>
          </cell>
          <cell r="D1837" t="str">
            <v>23052</v>
          </cell>
          <cell r="E1837" t="str">
            <v>PIPE</v>
          </cell>
          <cell r="F1837">
            <v>1</v>
          </cell>
          <cell r="G1837" t="str">
            <v>CB100508000100</v>
          </cell>
          <cell r="H1837">
            <v>1</v>
          </cell>
          <cell r="I1837" t="str">
            <v>--</v>
          </cell>
          <cell r="J1837">
            <v>1</v>
          </cell>
          <cell r="K1837">
            <v>1</v>
          </cell>
        </row>
        <row r="1838">
          <cell r="A1838" t="str">
            <v>M2</v>
          </cell>
          <cell r="B1838" t="str">
            <v>A5C</v>
          </cell>
          <cell r="C1838" t="str">
            <v>P</v>
          </cell>
          <cell r="D1838" t="str">
            <v>23145</v>
          </cell>
          <cell r="E1838" t="str">
            <v>PIPE</v>
          </cell>
          <cell r="F1838">
            <v>1</v>
          </cell>
          <cell r="G1838" t="str">
            <v>CB100508000100</v>
          </cell>
          <cell r="H1838">
            <v>1</v>
          </cell>
          <cell r="I1838" t="str">
            <v>--</v>
          </cell>
          <cell r="J1838">
            <v>1</v>
          </cell>
          <cell r="K1838">
            <v>1</v>
          </cell>
        </row>
        <row r="1839">
          <cell r="A1839" t="str">
            <v>M2</v>
          </cell>
          <cell r="B1839" t="str">
            <v>A5C</v>
          </cell>
          <cell r="C1839" t="str">
            <v>TRIM</v>
          </cell>
          <cell r="D1839" t="str">
            <v>V-2352</v>
          </cell>
          <cell r="E1839" t="str">
            <v>PIPE</v>
          </cell>
          <cell r="F1839">
            <v>1</v>
          </cell>
          <cell r="G1839" t="str">
            <v>CB100508000100</v>
          </cell>
          <cell r="H1839">
            <v>1</v>
          </cell>
          <cell r="I1839" t="str">
            <v>--</v>
          </cell>
          <cell r="J1839">
            <v>1</v>
          </cell>
          <cell r="K1839">
            <v>1</v>
          </cell>
        </row>
        <row r="1840">
          <cell r="A1840" t="str">
            <v>M2</v>
          </cell>
          <cell r="B1840" t="str">
            <v>A5C</v>
          </cell>
          <cell r="C1840" t="str">
            <v>P</v>
          </cell>
          <cell r="D1840" t="str">
            <v>23039</v>
          </cell>
          <cell r="E1840" t="str">
            <v>PIPE</v>
          </cell>
          <cell r="F1840">
            <v>1</v>
          </cell>
          <cell r="G1840" t="str">
            <v>CB100508000100</v>
          </cell>
          <cell r="H1840">
            <v>1</v>
          </cell>
          <cell r="I1840" t="str">
            <v>--</v>
          </cell>
          <cell r="J1840">
            <v>1</v>
          </cell>
          <cell r="K1840">
            <v>1</v>
          </cell>
        </row>
        <row r="1841">
          <cell r="A1841" t="str">
            <v>M2</v>
          </cell>
          <cell r="B1841" t="str">
            <v>A5C</v>
          </cell>
          <cell r="C1841" t="str">
            <v>P</v>
          </cell>
          <cell r="D1841" t="str">
            <v>99004</v>
          </cell>
          <cell r="E1841" t="str">
            <v>PIPE</v>
          </cell>
          <cell r="F1841">
            <v>1</v>
          </cell>
          <cell r="G1841" t="str">
            <v>CB100508000100</v>
          </cell>
          <cell r="H1841">
            <v>1</v>
          </cell>
          <cell r="I1841" t="str">
            <v>--</v>
          </cell>
          <cell r="J1841">
            <v>1</v>
          </cell>
          <cell r="K1841">
            <v>1</v>
          </cell>
        </row>
        <row r="1842">
          <cell r="A1842" t="str">
            <v>M2</v>
          </cell>
          <cell r="B1842" t="str">
            <v>A5C</v>
          </cell>
          <cell r="C1842" t="str">
            <v>N</v>
          </cell>
          <cell r="D1842" t="str">
            <v>23631</v>
          </cell>
          <cell r="E1842" t="str">
            <v>PIPE</v>
          </cell>
          <cell r="F1842">
            <v>1</v>
          </cell>
          <cell r="G1842" t="str">
            <v>CB100508000100</v>
          </cell>
          <cell r="H1842">
            <v>1</v>
          </cell>
          <cell r="I1842" t="str">
            <v>--</v>
          </cell>
          <cell r="J1842">
            <v>1.3</v>
          </cell>
          <cell r="K1842">
            <v>1.3</v>
          </cell>
        </row>
        <row r="1843">
          <cell r="A1843" t="str">
            <v>M2</v>
          </cell>
          <cell r="B1843" t="str">
            <v>A5C</v>
          </cell>
          <cell r="C1843" t="str">
            <v>N</v>
          </cell>
          <cell r="D1843" t="str">
            <v>23634</v>
          </cell>
          <cell r="E1843" t="str">
            <v>PIPE</v>
          </cell>
          <cell r="F1843">
            <v>1</v>
          </cell>
          <cell r="G1843" t="str">
            <v>CB100508000100</v>
          </cell>
          <cell r="H1843">
            <v>1</v>
          </cell>
          <cell r="I1843" t="str">
            <v>--</v>
          </cell>
          <cell r="J1843">
            <v>1.3</v>
          </cell>
          <cell r="K1843">
            <v>1.3</v>
          </cell>
        </row>
        <row r="1844">
          <cell r="A1844" t="str">
            <v>M2</v>
          </cell>
          <cell r="B1844" t="str">
            <v>A5C</v>
          </cell>
          <cell r="C1844" t="str">
            <v>N</v>
          </cell>
          <cell r="D1844" t="str">
            <v>23632</v>
          </cell>
          <cell r="E1844" t="str">
            <v>PIPE</v>
          </cell>
          <cell r="F1844">
            <v>1</v>
          </cell>
          <cell r="G1844" t="str">
            <v>CB100508000100</v>
          </cell>
          <cell r="H1844">
            <v>1</v>
          </cell>
          <cell r="I1844" t="str">
            <v>--</v>
          </cell>
          <cell r="J1844">
            <v>1.3</v>
          </cell>
          <cell r="K1844">
            <v>1.3</v>
          </cell>
        </row>
        <row r="1845">
          <cell r="A1845" t="str">
            <v>M2</v>
          </cell>
          <cell r="B1845" t="str">
            <v>A5C</v>
          </cell>
          <cell r="C1845" t="str">
            <v>P</v>
          </cell>
          <cell r="D1845" t="str">
            <v>23035</v>
          </cell>
          <cell r="E1845" t="str">
            <v>PIPE</v>
          </cell>
          <cell r="F1845">
            <v>1</v>
          </cell>
          <cell r="G1845" t="str">
            <v>CB100508000100</v>
          </cell>
          <cell r="H1845">
            <v>1</v>
          </cell>
          <cell r="I1845" t="str">
            <v>--</v>
          </cell>
          <cell r="J1845">
            <v>1.4</v>
          </cell>
          <cell r="K1845">
            <v>1.4</v>
          </cell>
        </row>
        <row r="1846">
          <cell r="A1846" t="str">
            <v>M2</v>
          </cell>
          <cell r="B1846" t="str">
            <v>A5C</v>
          </cell>
          <cell r="C1846" t="str">
            <v>N</v>
          </cell>
          <cell r="D1846" t="str">
            <v>23638</v>
          </cell>
          <cell r="E1846" t="str">
            <v>PIPE</v>
          </cell>
          <cell r="F1846">
            <v>1</v>
          </cell>
          <cell r="G1846" t="str">
            <v>CB100508000100</v>
          </cell>
          <cell r="H1846">
            <v>1</v>
          </cell>
          <cell r="I1846" t="str">
            <v>--</v>
          </cell>
          <cell r="J1846">
            <v>1.6</v>
          </cell>
          <cell r="K1846">
            <v>1.6</v>
          </cell>
        </row>
        <row r="1847">
          <cell r="A1847" t="str">
            <v>M2</v>
          </cell>
          <cell r="B1847" t="str">
            <v>A5C</v>
          </cell>
          <cell r="C1847" t="str">
            <v>N</v>
          </cell>
          <cell r="D1847" t="str">
            <v>23640</v>
          </cell>
          <cell r="E1847" t="str">
            <v>PIPE</v>
          </cell>
          <cell r="F1847">
            <v>1</v>
          </cell>
          <cell r="G1847" t="str">
            <v>CB100508000100</v>
          </cell>
          <cell r="H1847">
            <v>1</v>
          </cell>
          <cell r="I1847" t="str">
            <v>--</v>
          </cell>
          <cell r="J1847">
            <v>1.6</v>
          </cell>
          <cell r="K1847">
            <v>1.6</v>
          </cell>
        </row>
        <row r="1848">
          <cell r="A1848" t="str">
            <v>M2</v>
          </cell>
          <cell r="B1848" t="str">
            <v>A5C</v>
          </cell>
          <cell r="C1848" t="str">
            <v>P</v>
          </cell>
          <cell r="D1848" t="str">
            <v>23006</v>
          </cell>
          <cell r="E1848" t="str">
            <v>PIPE</v>
          </cell>
          <cell r="F1848">
            <v>1</v>
          </cell>
          <cell r="G1848" t="str">
            <v>CB100508000100</v>
          </cell>
          <cell r="H1848">
            <v>1</v>
          </cell>
          <cell r="I1848" t="str">
            <v>--</v>
          </cell>
          <cell r="J1848">
            <v>1.6</v>
          </cell>
          <cell r="K1848">
            <v>1.6</v>
          </cell>
        </row>
        <row r="1849">
          <cell r="A1849" t="str">
            <v>M2</v>
          </cell>
          <cell r="B1849" t="str">
            <v>A5C</v>
          </cell>
          <cell r="C1849" t="str">
            <v>N</v>
          </cell>
          <cell r="D1849" t="str">
            <v>23636</v>
          </cell>
          <cell r="E1849" t="str">
            <v>PIPE</v>
          </cell>
          <cell r="F1849">
            <v>1</v>
          </cell>
          <cell r="G1849" t="str">
            <v>CB100508000100</v>
          </cell>
          <cell r="H1849">
            <v>1</v>
          </cell>
          <cell r="I1849" t="str">
            <v>--</v>
          </cell>
          <cell r="J1849">
            <v>1.6</v>
          </cell>
          <cell r="K1849">
            <v>1.6</v>
          </cell>
        </row>
        <row r="1850">
          <cell r="A1850" t="str">
            <v>M2</v>
          </cell>
          <cell r="B1850" t="str">
            <v>A5C</v>
          </cell>
          <cell r="C1850" t="str">
            <v>P</v>
          </cell>
          <cell r="D1850" t="str">
            <v>23149</v>
          </cell>
          <cell r="E1850" t="str">
            <v>PIPE</v>
          </cell>
          <cell r="F1850">
            <v>1</v>
          </cell>
          <cell r="G1850" t="str">
            <v>CB100508000100</v>
          </cell>
          <cell r="H1850">
            <v>1</v>
          </cell>
          <cell r="I1850" t="str">
            <v>--</v>
          </cell>
          <cell r="J1850">
            <v>1.7</v>
          </cell>
          <cell r="K1850">
            <v>1.7</v>
          </cell>
        </row>
        <row r="1851">
          <cell r="A1851" t="str">
            <v>M2</v>
          </cell>
          <cell r="B1851" t="str">
            <v>A5C</v>
          </cell>
          <cell r="C1851" t="str">
            <v>P</v>
          </cell>
          <cell r="D1851" t="str">
            <v>23208</v>
          </cell>
          <cell r="E1851" t="str">
            <v>PIPE</v>
          </cell>
          <cell r="F1851">
            <v>1</v>
          </cell>
          <cell r="G1851" t="str">
            <v>CB100508000100</v>
          </cell>
          <cell r="H1851">
            <v>1</v>
          </cell>
          <cell r="I1851" t="str">
            <v>--</v>
          </cell>
          <cell r="J1851">
            <v>2</v>
          </cell>
          <cell r="K1851">
            <v>2</v>
          </cell>
        </row>
        <row r="1852">
          <cell r="A1852" t="str">
            <v>M2</v>
          </cell>
          <cell r="B1852" t="str">
            <v>A5C</v>
          </cell>
          <cell r="C1852" t="str">
            <v>P</v>
          </cell>
          <cell r="D1852" t="str">
            <v>23212</v>
          </cell>
          <cell r="E1852" t="str">
            <v>PIPE</v>
          </cell>
          <cell r="F1852">
            <v>1</v>
          </cell>
          <cell r="G1852" t="str">
            <v>CB100508000100</v>
          </cell>
          <cell r="H1852">
            <v>1</v>
          </cell>
          <cell r="I1852" t="str">
            <v>--</v>
          </cell>
          <cell r="J1852">
            <v>2</v>
          </cell>
          <cell r="K1852">
            <v>2</v>
          </cell>
        </row>
        <row r="1853">
          <cell r="A1853" t="str">
            <v>M2</v>
          </cell>
          <cell r="B1853" t="str">
            <v>A5C</v>
          </cell>
          <cell r="C1853" t="str">
            <v>P</v>
          </cell>
          <cell r="D1853" t="str">
            <v>23214</v>
          </cell>
          <cell r="E1853" t="str">
            <v>PIPE</v>
          </cell>
          <cell r="F1853">
            <v>1</v>
          </cell>
          <cell r="G1853" t="str">
            <v>CB100508000100</v>
          </cell>
          <cell r="H1853">
            <v>1</v>
          </cell>
          <cell r="I1853" t="str">
            <v>--</v>
          </cell>
          <cell r="J1853">
            <v>2</v>
          </cell>
          <cell r="K1853">
            <v>2</v>
          </cell>
        </row>
        <row r="1854">
          <cell r="A1854" t="str">
            <v>M2</v>
          </cell>
          <cell r="B1854" t="str">
            <v>A5C</v>
          </cell>
          <cell r="C1854" t="str">
            <v>P</v>
          </cell>
          <cell r="D1854" t="str">
            <v>23206</v>
          </cell>
          <cell r="E1854" t="str">
            <v>PIPE</v>
          </cell>
          <cell r="F1854">
            <v>1</v>
          </cell>
          <cell r="G1854" t="str">
            <v>CB100508000100</v>
          </cell>
          <cell r="H1854">
            <v>1</v>
          </cell>
          <cell r="I1854" t="str">
            <v>--</v>
          </cell>
          <cell r="J1854">
            <v>2</v>
          </cell>
          <cell r="K1854">
            <v>2</v>
          </cell>
        </row>
        <row r="1855">
          <cell r="A1855" t="str">
            <v>M2</v>
          </cell>
          <cell r="B1855" t="str">
            <v>A5C</v>
          </cell>
          <cell r="C1855" t="str">
            <v>P</v>
          </cell>
          <cell r="D1855" t="str">
            <v>23207</v>
          </cell>
          <cell r="E1855" t="str">
            <v>PIPE</v>
          </cell>
          <cell r="F1855">
            <v>1</v>
          </cell>
          <cell r="G1855" t="str">
            <v>CB100508000100</v>
          </cell>
          <cell r="H1855">
            <v>1</v>
          </cell>
          <cell r="I1855" t="str">
            <v>--</v>
          </cell>
          <cell r="J1855">
            <v>2</v>
          </cell>
          <cell r="K1855">
            <v>2</v>
          </cell>
        </row>
        <row r="1856">
          <cell r="A1856" t="str">
            <v>M2</v>
          </cell>
          <cell r="B1856" t="str">
            <v>A5C</v>
          </cell>
          <cell r="C1856" t="str">
            <v>P</v>
          </cell>
          <cell r="D1856" t="str">
            <v>23213</v>
          </cell>
          <cell r="E1856" t="str">
            <v>PIPE</v>
          </cell>
          <cell r="F1856">
            <v>1</v>
          </cell>
          <cell r="G1856" t="str">
            <v>CB100508000100</v>
          </cell>
          <cell r="H1856">
            <v>1</v>
          </cell>
          <cell r="I1856" t="str">
            <v>--</v>
          </cell>
          <cell r="J1856">
            <v>2</v>
          </cell>
          <cell r="K1856">
            <v>2</v>
          </cell>
        </row>
        <row r="1857">
          <cell r="A1857" t="str">
            <v>M2</v>
          </cell>
          <cell r="B1857" t="str">
            <v>A5C</v>
          </cell>
          <cell r="C1857" t="str">
            <v>P</v>
          </cell>
          <cell r="D1857" t="str">
            <v>23239</v>
          </cell>
          <cell r="E1857" t="str">
            <v>PIPE</v>
          </cell>
          <cell r="F1857">
            <v>1</v>
          </cell>
          <cell r="G1857" t="str">
            <v>CB100508000100</v>
          </cell>
          <cell r="H1857">
            <v>1</v>
          </cell>
          <cell r="I1857" t="str">
            <v>--</v>
          </cell>
          <cell r="J1857">
            <v>2</v>
          </cell>
          <cell r="K1857">
            <v>2</v>
          </cell>
        </row>
        <row r="1858">
          <cell r="A1858" t="str">
            <v>M2</v>
          </cell>
          <cell r="B1858" t="str">
            <v>A5C</v>
          </cell>
          <cell r="C1858" t="str">
            <v>P</v>
          </cell>
          <cell r="D1858" t="str">
            <v>23204</v>
          </cell>
          <cell r="E1858" t="str">
            <v>PIPE</v>
          </cell>
          <cell r="F1858">
            <v>1</v>
          </cell>
          <cell r="G1858" t="str">
            <v>CB100508000100</v>
          </cell>
          <cell r="H1858">
            <v>1</v>
          </cell>
          <cell r="I1858" t="str">
            <v>--</v>
          </cell>
          <cell r="J1858">
            <v>2</v>
          </cell>
          <cell r="K1858">
            <v>2</v>
          </cell>
        </row>
        <row r="1859">
          <cell r="A1859" t="str">
            <v>M2</v>
          </cell>
          <cell r="B1859" t="str">
            <v>A5C</v>
          </cell>
          <cell r="C1859" t="str">
            <v>P</v>
          </cell>
          <cell r="D1859" t="str">
            <v>23205</v>
          </cell>
          <cell r="E1859" t="str">
            <v>PIPE</v>
          </cell>
          <cell r="F1859">
            <v>1</v>
          </cell>
          <cell r="G1859" t="str">
            <v>CB100508000100</v>
          </cell>
          <cell r="H1859">
            <v>1</v>
          </cell>
          <cell r="I1859" t="str">
            <v>--</v>
          </cell>
          <cell r="J1859">
            <v>2</v>
          </cell>
          <cell r="K1859">
            <v>2</v>
          </cell>
        </row>
        <row r="1860">
          <cell r="A1860" t="str">
            <v>M2</v>
          </cell>
          <cell r="B1860" t="str">
            <v>A5C</v>
          </cell>
          <cell r="C1860" t="str">
            <v>P</v>
          </cell>
          <cell r="D1860" t="str">
            <v>23235</v>
          </cell>
          <cell r="E1860" t="str">
            <v>PIPE</v>
          </cell>
          <cell r="F1860">
            <v>1</v>
          </cell>
          <cell r="G1860" t="str">
            <v>CB100508000100</v>
          </cell>
          <cell r="H1860">
            <v>1</v>
          </cell>
          <cell r="I1860" t="str">
            <v>--</v>
          </cell>
          <cell r="J1860">
            <v>2</v>
          </cell>
          <cell r="K1860">
            <v>2</v>
          </cell>
        </row>
        <row r="1861">
          <cell r="A1861" t="str">
            <v>M2</v>
          </cell>
          <cell r="B1861" t="str">
            <v>A5C</v>
          </cell>
          <cell r="C1861" t="str">
            <v>P</v>
          </cell>
          <cell r="D1861" t="str">
            <v>23018</v>
          </cell>
          <cell r="E1861" t="str">
            <v>PIPE</v>
          </cell>
          <cell r="F1861">
            <v>1</v>
          </cell>
          <cell r="G1861" t="str">
            <v>CB100508000100</v>
          </cell>
          <cell r="H1861">
            <v>1</v>
          </cell>
          <cell r="I1861" t="str">
            <v>--</v>
          </cell>
          <cell r="J1861">
            <v>2</v>
          </cell>
          <cell r="K1861">
            <v>2</v>
          </cell>
        </row>
        <row r="1862">
          <cell r="A1862" t="str">
            <v>M2</v>
          </cell>
          <cell r="B1862" t="str">
            <v>A5C</v>
          </cell>
          <cell r="C1862" t="str">
            <v>P</v>
          </cell>
          <cell r="D1862" t="str">
            <v>23223</v>
          </cell>
          <cell r="E1862" t="str">
            <v>PIPE</v>
          </cell>
          <cell r="F1862">
            <v>1</v>
          </cell>
          <cell r="G1862" t="str">
            <v>CB100508000100</v>
          </cell>
          <cell r="H1862">
            <v>1</v>
          </cell>
          <cell r="I1862" t="str">
            <v>--</v>
          </cell>
          <cell r="J1862">
            <v>2</v>
          </cell>
          <cell r="K1862">
            <v>2</v>
          </cell>
        </row>
        <row r="1863">
          <cell r="A1863" t="str">
            <v>M2</v>
          </cell>
          <cell r="B1863" t="str">
            <v>A5C</v>
          </cell>
          <cell r="C1863" t="str">
            <v>P</v>
          </cell>
          <cell r="D1863" t="str">
            <v>99003</v>
          </cell>
          <cell r="E1863" t="str">
            <v>PIPE</v>
          </cell>
          <cell r="F1863">
            <v>1</v>
          </cell>
          <cell r="G1863" t="str">
            <v>CB100508000100</v>
          </cell>
          <cell r="H1863">
            <v>1</v>
          </cell>
          <cell r="I1863" t="str">
            <v>--</v>
          </cell>
          <cell r="J1863">
            <v>2.1</v>
          </cell>
          <cell r="K1863">
            <v>2.1</v>
          </cell>
        </row>
        <row r="1864">
          <cell r="A1864" t="str">
            <v>M2</v>
          </cell>
          <cell r="B1864" t="str">
            <v>B2C</v>
          </cell>
          <cell r="C1864" t="str">
            <v>SH</v>
          </cell>
          <cell r="D1864" t="str">
            <v>23613</v>
          </cell>
          <cell r="E1864" t="str">
            <v>PIPE</v>
          </cell>
          <cell r="F1864">
            <v>1</v>
          </cell>
          <cell r="G1864" t="str">
            <v>CB100508000100</v>
          </cell>
          <cell r="H1864">
            <v>1</v>
          </cell>
          <cell r="I1864" t="str">
            <v>--</v>
          </cell>
          <cell r="J1864">
            <v>2.2999999999999998</v>
          </cell>
          <cell r="K1864">
            <v>2.2999999999999998</v>
          </cell>
        </row>
        <row r="1865">
          <cell r="A1865" t="str">
            <v>M2</v>
          </cell>
          <cell r="B1865" t="str">
            <v>A5C</v>
          </cell>
          <cell r="C1865" t="str">
            <v>N</v>
          </cell>
          <cell r="D1865" t="str">
            <v>23637</v>
          </cell>
          <cell r="E1865" t="str">
            <v>PIPE</v>
          </cell>
          <cell r="F1865">
            <v>1</v>
          </cell>
          <cell r="G1865" t="str">
            <v>CB100508000100</v>
          </cell>
          <cell r="H1865">
            <v>1</v>
          </cell>
          <cell r="I1865" t="str">
            <v>--</v>
          </cell>
          <cell r="J1865">
            <v>2.2999999999999998</v>
          </cell>
          <cell r="K1865">
            <v>2.2999999999999998</v>
          </cell>
        </row>
        <row r="1866">
          <cell r="A1866" t="str">
            <v>M2</v>
          </cell>
          <cell r="B1866" t="str">
            <v>A5C</v>
          </cell>
          <cell r="C1866" t="str">
            <v>N</v>
          </cell>
          <cell r="D1866" t="str">
            <v>23639</v>
          </cell>
          <cell r="E1866" t="str">
            <v>PIPE</v>
          </cell>
          <cell r="F1866">
            <v>1</v>
          </cell>
          <cell r="G1866" t="str">
            <v>CB100508000100</v>
          </cell>
          <cell r="H1866">
            <v>1</v>
          </cell>
          <cell r="I1866" t="str">
            <v>--</v>
          </cell>
          <cell r="J1866">
            <v>2.2999999999999998</v>
          </cell>
          <cell r="K1866">
            <v>2.2999999999999998</v>
          </cell>
        </row>
        <row r="1867">
          <cell r="A1867" t="str">
            <v>M2</v>
          </cell>
          <cell r="B1867" t="str">
            <v>A5C</v>
          </cell>
          <cell r="C1867" t="str">
            <v>P</v>
          </cell>
          <cell r="D1867" t="str">
            <v>23019</v>
          </cell>
          <cell r="E1867" t="str">
            <v>PIPE</v>
          </cell>
          <cell r="F1867">
            <v>1</v>
          </cell>
          <cell r="G1867" t="str">
            <v>CB100508000100</v>
          </cell>
          <cell r="H1867">
            <v>1</v>
          </cell>
          <cell r="I1867" t="str">
            <v>--</v>
          </cell>
          <cell r="J1867">
            <v>2.5</v>
          </cell>
          <cell r="K1867">
            <v>2.5</v>
          </cell>
        </row>
        <row r="1868">
          <cell r="A1868" t="str">
            <v>M2</v>
          </cell>
          <cell r="B1868" t="str">
            <v>A5C</v>
          </cell>
          <cell r="C1868" t="str">
            <v>P</v>
          </cell>
          <cell r="D1868" t="str">
            <v>23063</v>
          </cell>
          <cell r="E1868" t="str">
            <v>PIPE</v>
          </cell>
          <cell r="F1868">
            <v>1</v>
          </cell>
          <cell r="G1868" t="str">
            <v>CB100508000100</v>
          </cell>
          <cell r="H1868">
            <v>1</v>
          </cell>
          <cell r="I1868" t="str">
            <v>--</v>
          </cell>
          <cell r="J1868">
            <v>2.7</v>
          </cell>
          <cell r="K1868">
            <v>2.7</v>
          </cell>
        </row>
        <row r="1869">
          <cell r="A1869" t="str">
            <v>M2</v>
          </cell>
          <cell r="B1869" t="str">
            <v>A5C</v>
          </cell>
          <cell r="C1869" t="str">
            <v>P</v>
          </cell>
          <cell r="D1869" t="str">
            <v>23078</v>
          </cell>
          <cell r="E1869" t="str">
            <v>PIPE</v>
          </cell>
          <cell r="F1869">
            <v>1</v>
          </cell>
          <cell r="G1869" t="str">
            <v>CB100508000100</v>
          </cell>
          <cell r="H1869">
            <v>1</v>
          </cell>
          <cell r="I1869" t="str">
            <v>--</v>
          </cell>
          <cell r="J1869">
            <v>2.7</v>
          </cell>
          <cell r="K1869">
            <v>2.7</v>
          </cell>
        </row>
        <row r="1870">
          <cell r="A1870" t="str">
            <v>M2</v>
          </cell>
          <cell r="B1870" t="str">
            <v>A5C</v>
          </cell>
          <cell r="C1870" t="str">
            <v>P</v>
          </cell>
          <cell r="D1870" t="str">
            <v>23027</v>
          </cell>
          <cell r="E1870" t="str">
            <v>PIPE</v>
          </cell>
          <cell r="F1870">
            <v>1</v>
          </cell>
          <cell r="G1870" t="str">
            <v>CB100508000100</v>
          </cell>
          <cell r="H1870">
            <v>1</v>
          </cell>
          <cell r="I1870" t="str">
            <v>--</v>
          </cell>
          <cell r="J1870">
            <v>2.7</v>
          </cell>
          <cell r="K1870">
            <v>2.7</v>
          </cell>
        </row>
        <row r="1871">
          <cell r="A1871" t="str">
            <v>M2</v>
          </cell>
          <cell r="B1871" t="str">
            <v>A5C</v>
          </cell>
          <cell r="C1871" t="str">
            <v>N</v>
          </cell>
          <cell r="D1871" t="str">
            <v>23635</v>
          </cell>
          <cell r="E1871" t="str">
            <v>PIPE</v>
          </cell>
          <cell r="F1871">
            <v>1</v>
          </cell>
          <cell r="G1871" t="str">
            <v>CB100508000100</v>
          </cell>
          <cell r="H1871">
            <v>1</v>
          </cell>
          <cell r="I1871" t="str">
            <v>--</v>
          </cell>
          <cell r="J1871">
            <v>2.9</v>
          </cell>
          <cell r="K1871">
            <v>2.9</v>
          </cell>
        </row>
        <row r="1872">
          <cell r="A1872" t="str">
            <v>M2</v>
          </cell>
          <cell r="B1872" t="str">
            <v>A5C</v>
          </cell>
          <cell r="C1872" t="str">
            <v>N</v>
          </cell>
          <cell r="D1872" t="str">
            <v>23633</v>
          </cell>
          <cell r="E1872" t="str">
            <v>PIPE</v>
          </cell>
          <cell r="F1872">
            <v>1</v>
          </cell>
          <cell r="G1872" t="str">
            <v>CB100508000100</v>
          </cell>
          <cell r="H1872">
            <v>1</v>
          </cell>
          <cell r="I1872" t="str">
            <v>--</v>
          </cell>
          <cell r="J1872">
            <v>3</v>
          </cell>
          <cell r="K1872">
            <v>3</v>
          </cell>
        </row>
        <row r="1873">
          <cell r="A1873" t="str">
            <v>M2</v>
          </cell>
          <cell r="B1873" t="str">
            <v>A5C</v>
          </cell>
          <cell r="C1873" t="str">
            <v>P</v>
          </cell>
          <cell r="D1873" t="str">
            <v>23164</v>
          </cell>
          <cell r="E1873" t="str">
            <v>PIPE</v>
          </cell>
          <cell r="F1873">
            <v>1</v>
          </cell>
          <cell r="G1873" t="str">
            <v>CB100508000100</v>
          </cell>
          <cell r="H1873">
            <v>1</v>
          </cell>
          <cell r="I1873" t="str">
            <v>--</v>
          </cell>
          <cell r="J1873">
            <v>3.3</v>
          </cell>
          <cell r="K1873">
            <v>3.3</v>
          </cell>
        </row>
        <row r="1874">
          <cell r="A1874" t="str">
            <v>M2</v>
          </cell>
          <cell r="B1874" t="str">
            <v>A5C</v>
          </cell>
          <cell r="C1874" t="str">
            <v>P</v>
          </cell>
          <cell r="D1874" t="str">
            <v>24007</v>
          </cell>
          <cell r="E1874" t="str">
            <v>PIPE</v>
          </cell>
          <cell r="F1874">
            <v>1</v>
          </cell>
          <cell r="G1874" t="str">
            <v>CB100508000100</v>
          </cell>
          <cell r="H1874">
            <v>1</v>
          </cell>
          <cell r="I1874" t="str">
            <v>--</v>
          </cell>
          <cell r="J1874">
            <v>4</v>
          </cell>
          <cell r="K1874">
            <v>4</v>
          </cell>
        </row>
        <row r="1875">
          <cell r="A1875" t="str">
            <v>M2</v>
          </cell>
          <cell r="B1875" t="str">
            <v>A5C</v>
          </cell>
          <cell r="C1875" t="str">
            <v>P</v>
          </cell>
          <cell r="D1875" t="str">
            <v>24015</v>
          </cell>
          <cell r="E1875" t="str">
            <v>PIPE</v>
          </cell>
          <cell r="F1875">
            <v>1</v>
          </cell>
          <cell r="G1875" t="str">
            <v>CB100508000100</v>
          </cell>
          <cell r="H1875">
            <v>1</v>
          </cell>
          <cell r="I1875" t="str">
            <v>--</v>
          </cell>
          <cell r="J1875">
            <v>4.5</v>
          </cell>
          <cell r="K1875">
            <v>4.5</v>
          </cell>
        </row>
        <row r="1876">
          <cell r="A1876" t="str">
            <v>M2</v>
          </cell>
          <cell r="B1876" t="str">
            <v>A5C</v>
          </cell>
          <cell r="C1876" t="str">
            <v>P</v>
          </cell>
          <cell r="D1876" t="str">
            <v>24020</v>
          </cell>
          <cell r="E1876" t="str">
            <v>PIPE</v>
          </cell>
          <cell r="F1876">
            <v>1</v>
          </cell>
          <cell r="G1876" t="str">
            <v>CB100508000100</v>
          </cell>
          <cell r="H1876">
            <v>1</v>
          </cell>
          <cell r="I1876" t="str">
            <v>--</v>
          </cell>
          <cell r="J1876">
            <v>4.9000000000000004</v>
          </cell>
          <cell r="K1876">
            <v>4.9000000000000004</v>
          </cell>
        </row>
        <row r="1877">
          <cell r="A1877" t="str">
            <v>M2</v>
          </cell>
          <cell r="B1877" t="str">
            <v>A5C</v>
          </cell>
          <cell r="C1877" t="str">
            <v>P</v>
          </cell>
          <cell r="D1877" t="str">
            <v>24010</v>
          </cell>
          <cell r="E1877" t="str">
            <v>PIPE</v>
          </cell>
          <cell r="F1877">
            <v>1</v>
          </cell>
          <cell r="G1877" t="str">
            <v>CB100508000100</v>
          </cell>
          <cell r="H1877">
            <v>1</v>
          </cell>
          <cell r="I1877" t="str">
            <v>--</v>
          </cell>
          <cell r="J1877">
            <v>5</v>
          </cell>
          <cell r="K1877">
            <v>5</v>
          </cell>
        </row>
        <row r="1878">
          <cell r="A1878" t="str">
            <v>M2</v>
          </cell>
          <cell r="B1878" t="str">
            <v>A5C</v>
          </cell>
          <cell r="C1878" t="str">
            <v>P</v>
          </cell>
          <cell r="D1878" t="str">
            <v>24026</v>
          </cell>
          <cell r="E1878" t="str">
            <v>PIPE</v>
          </cell>
          <cell r="F1878">
            <v>1</v>
          </cell>
          <cell r="G1878" t="str">
            <v>CB100508000100</v>
          </cell>
          <cell r="H1878">
            <v>1</v>
          </cell>
          <cell r="I1878" t="str">
            <v>--</v>
          </cell>
          <cell r="J1878">
            <v>5.9</v>
          </cell>
          <cell r="K1878">
            <v>5.9</v>
          </cell>
        </row>
        <row r="1879">
          <cell r="A1879" t="str">
            <v>M2</v>
          </cell>
          <cell r="B1879" t="str">
            <v>A5C</v>
          </cell>
          <cell r="C1879" t="str">
            <v>P</v>
          </cell>
          <cell r="D1879" t="str">
            <v>24002</v>
          </cell>
          <cell r="E1879" t="str">
            <v>PIPE</v>
          </cell>
          <cell r="F1879">
            <v>1</v>
          </cell>
          <cell r="G1879" t="str">
            <v>CB100508000100</v>
          </cell>
          <cell r="H1879">
            <v>1</v>
          </cell>
          <cell r="I1879" t="str">
            <v>--</v>
          </cell>
          <cell r="J1879">
            <v>5.9</v>
          </cell>
          <cell r="K1879">
            <v>5.9</v>
          </cell>
        </row>
        <row r="1880">
          <cell r="A1880" t="str">
            <v>M2</v>
          </cell>
          <cell r="B1880" t="str">
            <v>A5C</v>
          </cell>
          <cell r="C1880" t="str">
            <v>P</v>
          </cell>
          <cell r="D1880" t="str">
            <v>23104</v>
          </cell>
          <cell r="E1880" t="str">
            <v>PIPE</v>
          </cell>
          <cell r="F1880">
            <v>1</v>
          </cell>
          <cell r="G1880" t="str">
            <v>CB100508000100</v>
          </cell>
          <cell r="H1880">
            <v>1</v>
          </cell>
          <cell r="I1880" t="str">
            <v>--</v>
          </cell>
          <cell r="J1880">
            <v>6</v>
          </cell>
          <cell r="K1880">
            <v>6</v>
          </cell>
        </row>
        <row r="1881">
          <cell r="A1881" t="str">
            <v>M2</v>
          </cell>
          <cell r="B1881" t="str">
            <v>A5C</v>
          </cell>
          <cell r="C1881" t="str">
            <v>P</v>
          </cell>
          <cell r="D1881" t="str">
            <v>23108</v>
          </cell>
          <cell r="E1881" t="str">
            <v>PIPE</v>
          </cell>
          <cell r="F1881">
            <v>1</v>
          </cell>
          <cell r="G1881" t="str">
            <v>CB100508000100</v>
          </cell>
          <cell r="H1881">
            <v>1</v>
          </cell>
          <cell r="I1881" t="str">
            <v>--</v>
          </cell>
          <cell r="J1881">
            <v>6</v>
          </cell>
          <cell r="K1881">
            <v>6</v>
          </cell>
        </row>
        <row r="1882">
          <cell r="A1882" t="str">
            <v>M2</v>
          </cell>
          <cell r="B1882" t="str">
            <v>A5C</v>
          </cell>
          <cell r="C1882" t="str">
            <v>P</v>
          </cell>
          <cell r="D1882" t="str">
            <v>23112</v>
          </cell>
          <cell r="E1882" t="str">
            <v>PIPE</v>
          </cell>
          <cell r="F1882">
            <v>1</v>
          </cell>
          <cell r="G1882" t="str">
            <v>CB100508000100</v>
          </cell>
          <cell r="H1882">
            <v>1</v>
          </cell>
          <cell r="I1882" t="str">
            <v>--</v>
          </cell>
          <cell r="J1882">
            <v>6</v>
          </cell>
          <cell r="K1882">
            <v>6</v>
          </cell>
        </row>
        <row r="1883">
          <cell r="A1883" t="str">
            <v>M2</v>
          </cell>
          <cell r="B1883" t="str">
            <v>A5C</v>
          </cell>
          <cell r="C1883" t="str">
            <v>P</v>
          </cell>
          <cell r="D1883" t="str">
            <v>23048</v>
          </cell>
          <cell r="E1883" t="str">
            <v>PIPE</v>
          </cell>
          <cell r="F1883">
            <v>1</v>
          </cell>
          <cell r="G1883" t="str">
            <v>CB100508000100</v>
          </cell>
          <cell r="H1883">
            <v>1</v>
          </cell>
          <cell r="I1883" t="str">
            <v>--</v>
          </cell>
          <cell r="J1883">
            <v>6.5</v>
          </cell>
          <cell r="K1883">
            <v>6.5</v>
          </cell>
        </row>
        <row r="1884">
          <cell r="A1884" t="str">
            <v>M2</v>
          </cell>
          <cell r="B1884" t="str">
            <v>A5C</v>
          </cell>
          <cell r="C1884" t="str">
            <v>P</v>
          </cell>
          <cell r="D1884" t="str">
            <v>23245</v>
          </cell>
          <cell r="E1884" t="str">
            <v>PIPE</v>
          </cell>
          <cell r="F1884">
            <v>1</v>
          </cell>
          <cell r="G1884" t="str">
            <v>CB100508000100</v>
          </cell>
          <cell r="H1884">
            <v>1</v>
          </cell>
          <cell r="I1884" t="str">
            <v>--</v>
          </cell>
          <cell r="J1884">
            <v>7.5</v>
          </cell>
          <cell r="K1884">
            <v>7.5</v>
          </cell>
        </row>
        <row r="1885">
          <cell r="A1885" t="str">
            <v>M2</v>
          </cell>
          <cell r="B1885" t="str">
            <v>A5C</v>
          </cell>
          <cell r="C1885" t="str">
            <v>P</v>
          </cell>
          <cell r="D1885" t="str">
            <v>23230</v>
          </cell>
          <cell r="E1885" t="str">
            <v>PIPE</v>
          </cell>
          <cell r="F1885">
            <v>1</v>
          </cell>
          <cell r="G1885" t="str">
            <v>CB100508000100</v>
          </cell>
          <cell r="H1885">
            <v>1</v>
          </cell>
          <cell r="I1885" t="str">
            <v>--</v>
          </cell>
          <cell r="J1885">
            <v>8</v>
          </cell>
          <cell r="K1885">
            <v>8</v>
          </cell>
        </row>
        <row r="1886">
          <cell r="A1886" t="str">
            <v>M2</v>
          </cell>
          <cell r="B1886" t="str">
            <v>A5C</v>
          </cell>
          <cell r="C1886" t="str">
            <v>P</v>
          </cell>
          <cell r="D1886" t="str">
            <v>24025</v>
          </cell>
          <cell r="E1886" t="str">
            <v>PIPE</v>
          </cell>
          <cell r="F1886">
            <v>1</v>
          </cell>
          <cell r="G1886" t="str">
            <v>CB100508000100</v>
          </cell>
          <cell r="H1886">
            <v>1</v>
          </cell>
          <cell r="I1886" t="str">
            <v>--</v>
          </cell>
          <cell r="J1886">
            <v>8</v>
          </cell>
          <cell r="K1886">
            <v>8</v>
          </cell>
        </row>
        <row r="1887">
          <cell r="A1887" t="str">
            <v>M2</v>
          </cell>
          <cell r="B1887" t="str">
            <v>A5C</v>
          </cell>
          <cell r="C1887" t="str">
            <v>P</v>
          </cell>
          <cell r="D1887" t="str">
            <v>23194</v>
          </cell>
          <cell r="E1887" t="str">
            <v>PIPE</v>
          </cell>
          <cell r="F1887">
            <v>1</v>
          </cell>
          <cell r="G1887" t="str">
            <v>CB100508000100</v>
          </cell>
          <cell r="H1887">
            <v>1</v>
          </cell>
          <cell r="I1887" t="str">
            <v>--</v>
          </cell>
          <cell r="J1887">
            <v>10</v>
          </cell>
          <cell r="K1887">
            <v>10</v>
          </cell>
        </row>
        <row r="1888">
          <cell r="A1888" t="str">
            <v>M2</v>
          </cell>
          <cell r="B1888" t="str">
            <v>A5C</v>
          </cell>
          <cell r="C1888" t="str">
            <v>P</v>
          </cell>
          <cell r="D1888" t="str">
            <v>23059</v>
          </cell>
          <cell r="E1888" t="str">
            <v>PIPE</v>
          </cell>
          <cell r="F1888">
            <v>1</v>
          </cell>
          <cell r="G1888" t="str">
            <v>CB100508000100</v>
          </cell>
          <cell r="H1888">
            <v>1</v>
          </cell>
          <cell r="I1888" t="str">
            <v>--</v>
          </cell>
          <cell r="J1888">
            <v>10.199999999999999</v>
          </cell>
          <cell r="K1888">
            <v>10.199999999999999</v>
          </cell>
        </row>
        <row r="1889">
          <cell r="A1889" t="str">
            <v>M2</v>
          </cell>
          <cell r="B1889" t="str">
            <v>A5C</v>
          </cell>
          <cell r="C1889" t="str">
            <v>P</v>
          </cell>
          <cell r="D1889" t="str">
            <v>23154</v>
          </cell>
          <cell r="E1889" t="str">
            <v>PIPE</v>
          </cell>
          <cell r="F1889">
            <v>1</v>
          </cell>
          <cell r="G1889" t="str">
            <v>CB100508000100</v>
          </cell>
          <cell r="H1889">
            <v>1</v>
          </cell>
          <cell r="I1889" t="str">
            <v>--</v>
          </cell>
          <cell r="J1889">
            <v>10.8</v>
          </cell>
          <cell r="K1889">
            <v>10.8</v>
          </cell>
        </row>
        <row r="1890">
          <cell r="A1890" t="str">
            <v>M2</v>
          </cell>
          <cell r="B1890" t="str">
            <v>A5C</v>
          </cell>
          <cell r="C1890" t="str">
            <v>P</v>
          </cell>
          <cell r="D1890" t="str">
            <v>23122</v>
          </cell>
          <cell r="E1890" t="str">
            <v>PIPE</v>
          </cell>
          <cell r="F1890">
            <v>1</v>
          </cell>
          <cell r="G1890" t="str">
            <v>CB100508000100</v>
          </cell>
          <cell r="H1890">
            <v>1</v>
          </cell>
          <cell r="I1890" t="str">
            <v>--</v>
          </cell>
          <cell r="J1890">
            <v>11.9</v>
          </cell>
          <cell r="K1890">
            <v>11.9</v>
          </cell>
        </row>
        <row r="1891">
          <cell r="A1891" t="str">
            <v>M2</v>
          </cell>
          <cell r="B1891" t="str">
            <v>A5C</v>
          </cell>
          <cell r="C1891" t="str">
            <v>P</v>
          </cell>
          <cell r="D1891" t="str">
            <v>23018</v>
          </cell>
          <cell r="E1891" t="str">
            <v>PIPE</v>
          </cell>
          <cell r="F1891">
            <v>1</v>
          </cell>
          <cell r="G1891" t="str">
            <v>CB100508000100</v>
          </cell>
          <cell r="H1891">
            <v>1</v>
          </cell>
          <cell r="I1891" t="str">
            <v>--</v>
          </cell>
          <cell r="J1891">
            <v>12</v>
          </cell>
          <cell r="K1891">
            <v>12</v>
          </cell>
        </row>
        <row r="1892">
          <cell r="A1892" t="str">
            <v>M2</v>
          </cell>
          <cell r="B1892" t="str">
            <v>A5C</v>
          </cell>
          <cell r="C1892" t="str">
            <v>P</v>
          </cell>
          <cell r="D1892" t="str">
            <v>23083</v>
          </cell>
          <cell r="E1892" t="str">
            <v>PIPE</v>
          </cell>
          <cell r="F1892">
            <v>1</v>
          </cell>
          <cell r="G1892" t="str">
            <v>CB100508000100</v>
          </cell>
          <cell r="H1892">
            <v>1</v>
          </cell>
          <cell r="I1892" t="str">
            <v>--</v>
          </cell>
          <cell r="J1892">
            <v>13.9</v>
          </cell>
          <cell r="K1892">
            <v>13.9</v>
          </cell>
        </row>
        <row r="1893">
          <cell r="A1893" t="str">
            <v>M2</v>
          </cell>
          <cell r="B1893" t="str">
            <v>A5C</v>
          </cell>
          <cell r="C1893" t="str">
            <v>P</v>
          </cell>
          <cell r="D1893" t="str">
            <v>23252</v>
          </cell>
          <cell r="E1893" t="str">
            <v>PIPE</v>
          </cell>
          <cell r="F1893">
            <v>1</v>
          </cell>
          <cell r="G1893" t="str">
            <v>CB100508000100</v>
          </cell>
          <cell r="H1893">
            <v>1</v>
          </cell>
          <cell r="I1893" t="str">
            <v>--</v>
          </cell>
          <cell r="J1893">
            <v>13.9</v>
          </cell>
          <cell r="K1893">
            <v>13.9</v>
          </cell>
        </row>
        <row r="1894">
          <cell r="A1894" t="str">
            <v>M2</v>
          </cell>
          <cell r="B1894" t="str">
            <v>A5C</v>
          </cell>
          <cell r="C1894" t="str">
            <v>P</v>
          </cell>
          <cell r="D1894" t="str">
            <v>23079</v>
          </cell>
          <cell r="E1894" t="str">
            <v>PIPE</v>
          </cell>
          <cell r="F1894">
            <v>1</v>
          </cell>
          <cell r="G1894" t="str">
            <v>CB100508000100</v>
          </cell>
          <cell r="H1894">
            <v>1</v>
          </cell>
          <cell r="I1894" t="str">
            <v>--</v>
          </cell>
          <cell r="J1894">
            <v>14</v>
          </cell>
          <cell r="K1894">
            <v>14</v>
          </cell>
        </row>
        <row r="1895">
          <cell r="A1895" t="str">
            <v>M2</v>
          </cell>
          <cell r="B1895" t="str">
            <v>A5C</v>
          </cell>
          <cell r="C1895" t="str">
            <v>P</v>
          </cell>
          <cell r="D1895" t="str">
            <v>23144</v>
          </cell>
          <cell r="E1895" t="str">
            <v>PIPE</v>
          </cell>
          <cell r="F1895">
            <v>1</v>
          </cell>
          <cell r="G1895" t="str">
            <v>CB100508000100</v>
          </cell>
          <cell r="H1895">
            <v>1</v>
          </cell>
          <cell r="I1895" t="str">
            <v>--</v>
          </cell>
          <cell r="J1895">
            <v>14.5</v>
          </cell>
          <cell r="K1895">
            <v>14.5</v>
          </cell>
        </row>
        <row r="1896">
          <cell r="A1896" t="str">
            <v>M2</v>
          </cell>
          <cell r="B1896" t="str">
            <v>A5C</v>
          </cell>
          <cell r="C1896" t="str">
            <v>P</v>
          </cell>
          <cell r="D1896" t="str">
            <v>24013</v>
          </cell>
          <cell r="E1896" t="str">
            <v>PIPE</v>
          </cell>
          <cell r="F1896">
            <v>1</v>
          </cell>
          <cell r="G1896" t="str">
            <v>CB100508000100</v>
          </cell>
          <cell r="H1896">
            <v>1</v>
          </cell>
          <cell r="I1896" t="str">
            <v>--</v>
          </cell>
          <cell r="J1896">
            <v>15.5</v>
          </cell>
          <cell r="K1896">
            <v>15.5</v>
          </cell>
        </row>
        <row r="1897">
          <cell r="A1897" t="str">
            <v>M2</v>
          </cell>
          <cell r="B1897" t="str">
            <v>A5C</v>
          </cell>
          <cell r="C1897" t="str">
            <v>P</v>
          </cell>
          <cell r="D1897" t="str">
            <v>23013</v>
          </cell>
          <cell r="E1897" t="str">
            <v>PIPE</v>
          </cell>
          <cell r="F1897">
            <v>1</v>
          </cell>
          <cell r="G1897" t="str">
            <v>CB100508000100</v>
          </cell>
          <cell r="H1897">
            <v>1</v>
          </cell>
          <cell r="I1897" t="str">
            <v>--</v>
          </cell>
          <cell r="J1897">
            <v>16.8</v>
          </cell>
          <cell r="K1897">
            <v>16.8</v>
          </cell>
        </row>
        <row r="1898">
          <cell r="A1898" t="str">
            <v>M2</v>
          </cell>
          <cell r="B1898" t="str">
            <v>A5C</v>
          </cell>
          <cell r="C1898" t="str">
            <v>P</v>
          </cell>
          <cell r="D1898" t="str">
            <v>23104</v>
          </cell>
          <cell r="E1898" t="str">
            <v>PIPE</v>
          </cell>
          <cell r="F1898">
            <v>1</v>
          </cell>
          <cell r="G1898" t="str">
            <v>CB100508000100</v>
          </cell>
          <cell r="H1898">
            <v>1</v>
          </cell>
          <cell r="I1898" t="str">
            <v>--</v>
          </cell>
          <cell r="J1898">
            <v>21</v>
          </cell>
          <cell r="K1898">
            <v>21</v>
          </cell>
        </row>
        <row r="1899">
          <cell r="A1899" t="str">
            <v>M2</v>
          </cell>
          <cell r="B1899" t="str">
            <v>A5C</v>
          </cell>
          <cell r="C1899" t="str">
            <v>P</v>
          </cell>
          <cell r="D1899" t="str">
            <v>23112</v>
          </cell>
          <cell r="E1899" t="str">
            <v>PIPE</v>
          </cell>
          <cell r="F1899">
            <v>1</v>
          </cell>
          <cell r="G1899" t="str">
            <v>CB100508000100</v>
          </cell>
          <cell r="H1899">
            <v>1</v>
          </cell>
          <cell r="I1899" t="str">
            <v>--</v>
          </cell>
          <cell r="J1899">
            <v>21</v>
          </cell>
          <cell r="K1899">
            <v>21</v>
          </cell>
        </row>
        <row r="1900">
          <cell r="A1900" t="str">
            <v>M2</v>
          </cell>
          <cell r="B1900" t="str">
            <v>A5C</v>
          </cell>
          <cell r="C1900" t="str">
            <v>P</v>
          </cell>
          <cell r="D1900" t="str">
            <v>23108</v>
          </cell>
          <cell r="E1900" t="str">
            <v>PIPE</v>
          </cell>
          <cell r="F1900">
            <v>1</v>
          </cell>
          <cell r="G1900" t="str">
            <v>CB100508000100</v>
          </cell>
          <cell r="H1900">
            <v>1</v>
          </cell>
          <cell r="I1900" t="str">
            <v>--</v>
          </cell>
          <cell r="J1900">
            <v>21</v>
          </cell>
          <cell r="K1900">
            <v>21</v>
          </cell>
        </row>
        <row r="1901">
          <cell r="A1901" t="str">
            <v>M2</v>
          </cell>
          <cell r="B1901" t="str">
            <v>A5C</v>
          </cell>
          <cell r="C1901" t="str">
            <v>P</v>
          </cell>
          <cell r="D1901" t="str">
            <v>23148</v>
          </cell>
          <cell r="E1901" t="str">
            <v>PIPE</v>
          </cell>
          <cell r="F1901">
            <v>1</v>
          </cell>
          <cell r="G1901" t="str">
            <v>CB100508000100</v>
          </cell>
          <cell r="H1901">
            <v>1</v>
          </cell>
          <cell r="I1901" t="str">
            <v>--</v>
          </cell>
          <cell r="J1901">
            <v>22.9</v>
          </cell>
          <cell r="K1901">
            <v>22.9</v>
          </cell>
        </row>
        <row r="1902">
          <cell r="A1902" t="str">
            <v>M2</v>
          </cell>
          <cell r="B1902" t="str">
            <v>A5C</v>
          </cell>
          <cell r="C1902" t="str">
            <v>P</v>
          </cell>
          <cell r="D1902" t="str">
            <v>24032</v>
          </cell>
          <cell r="E1902" t="str">
            <v>PIPE</v>
          </cell>
          <cell r="F1902">
            <v>1</v>
          </cell>
          <cell r="G1902" t="str">
            <v>CB100508000100</v>
          </cell>
          <cell r="H1902">
            <v>1</v>
          </cell>
          <cell r="I1902" t="str">
            <v>--</v>
          </cell>
          <cell r="J1902">
            <v>24</v>
          </cell>
          <cell r="K1902">
            <v>24</v>
          </cell>
        </row>
        <row r="1903">
          <cell r="A1903" t="str">
            <v>M2</v>
          </cell>
          <cell r="B1903" t="str">
            <v>A5C</v>
          </cell>
          <cell r="C1903" t="str">
            <v>P</v>
          </cell>
          <cell r="D1903" t="str">
            <v>23074</v>
          </cell>
          <cell r="E1903" t="str">
            <v>PIPE</v>
          </cell>
          <cell r="F1903">
            <v>1</v>
          </cell>
          <cell r="G1903" t="str">
            <v>CB100508000100</v>
          </cell>
          <cell r="H1903">
            <v>1</v>
          </cell>
          <cell r="I1903" t="str">
            <v>--</v>
          </cell>
          <cell r="J1903">
            <v>27</v>
          </cell>
          <cell r="K1903">
            <v>27</v>
          </cell>
        </row>
        <row r="1904">
          <cell r="A1904" t="str">
            <v>M2</v>
          </cell>
          <cell r="B1904" t="str">
            <v>A5C</v>
          </cell>
          <cell r="C1904" t="str">
            <v>P</v>
          </cell>
          <cell r="D1904" t="str">
            <v>24004</v>
          </cell>
          <cell r="E1904" t="str">
            <v>PIPE</v>
          </cell>
          <cell r="F1904">
            <v>1</v>
          </cell>
          <cell r="G1904" t="str">
            <v>CB100508000100</v>
          </cell>
          <cell r="H1904">
            <v>1</v>
          </cell>
          <cell r="I1904" t="str">
            <v>--</v>
          </cell>
          <cell r="J1904">
            <v>27.4</v>
          </cell>
          <cell r="K1904">
            <v>27.4</v>
          </cell>
        </row>
        <row r="1905">
          <cell r="A1905" t="str">
            <v>M2</v>
          </cell>
          <cell r="B1905" t="str">
            <v>A5C</v>
          </cell>
          <cell r="C1905" t="str">
            <v>P</v>
          </cell>
          <cell r="D1905" t="str">
            <v>24008</v>
          </cell>
          <cell r="E1905" t="str">
            <v>PIPE</v>
          </cell>
          <cell r="F1905">
            <v>1</v>
          </cell>
          <cell r="G1905" t="str">
            <v>CB100508000100</v>
          </cell>
          <cell r="H1905">
            <v>1</v>
          </cell>
          <cell r="I1905" t="str">
            <v>--</v>
          </cell>
          <cell r="J1905">
            <v>28.5</v>
          </cell>
          <cell r="K1905">
            <v>28.5</v>
          </cell>
        </row>
        <row r="1906">
          <cell r="A1906" t="str">
            <v>M2</v>
          </cell>
          <cell r="B1906" t="str">
            <v>A5C</v>
          </cell>
          <cell r="C1906" t="str">
            <v>P</v>
          </cell>
          <cell r="D1906" t="str">
            <v>23030</v>
          </cell>
          <cell r="E1906" t="str">
            <v>PIPE</v>
          </cell>
          <cell r="F1906">
            <v>1</v>
          </cell>
          <cell r="G1906" t="str">
            <v>CB100508001H00</v>
          </cell>
          <cell r="H1906">
            <v>1.5</v>
          </cell>
          <cell r="I1906" t="str">
            <v>--</v>
          </cell>
          <cell r="J1906">
            <v>0.6</v>
          </cell>
          <cell r="K1906">
            <v>0.6</v>
          </cell>
        </row>
        <row r="1907">
          <cell r="A1907" t="str">
            <v>M2</v>
          </cell>
          <cell r="B1907" t="str">
            <v>A5C</v>
          </cell>
          <cell r="C1907" t="str">
            <v>P</v>
          </cell>
          <cell r="D1907" t="str">
            <v>23020</v>
          </cell>
          <cell r="E1907" t="str">
            <v>PIPE</v>
          </cell>
          <cell r="F1907">
            <v>1</v>
          </cell>
          <cell r="G1907" t="str">
            <v>CB100508001H00</v>
          </cell>
          <cell r="H1907">
            <v>1.5</v>
          </cell>
          <cell r="I1907" t="str">
            <v>--</v>
          </cell>
          <cell r="J1907">
            <v>1</v>
          </cell>
          <cell r="K1907">
            <v>1</v>
          </cell>
        </row>
        <row r="1908">
          <cell r="A1908" t="str">
            <v>M2</v>
          </cell>
          <cell r="B1908" t="str">
            <v>A5C</v>
          </cell>
          <cell r="C1908" t="str">
            <v>P</v>
          </cell>
          <cell r="D1908" t="str">
            <v>23054</v>
          </cell>
          <cell r="E1908" t="str">
            <v>PIPE</v>
          </cell>
          <cell r="F1908">
            <v>1</v>
          </cell>
          <cell r="G1908" t="str">
            <v>CB100508001H00</v>
          </cell>
          <cell r="H1908">
            <v>1.5</v>
          </cell>
          <cell r="I1908" t="str">
            <v>--</v>
          </cell>
          <cell r="J1908">
            <v>1</v>
          </cell>
          <cell r="K1908">
            <v>1</v>
          </cell>
        </row>
        <row r="1909">
          <cell r="A1909" t="str">
            <v>M2</v>
          </cell>
          <cell r="B1909" t="str">
            <v>A5C</v>
          </cell>
          <cell r="C1909" t="str">
            <v>TRIM</v>
          </cell>
          <cell r="D1909" t="str">
            <v>V-2301</v>
          </cell>
          <cell r="E1909" t="str">
            <v>PIPE</v>
          </cell>
          <cell r="F1909">
            <v>1</v>
          </cell>
          <cell r="G1909" t="str">
            <v>CB100508001H00</v>
          </cell>
          <cell r="H1909">
            <v>1.5</v>
          </cell>
          <cell r="I1909" t="str">
            <v>--</v>
          </cell>
          <cell r="J1909">
            <v>1.5</v>
          </cell>
          <cell r="K1909">
            <v>1.5</v>
          </cell>
        </row>
        <row r="1910">
          <cell r="A1910" t="str">
            <v>M2</v>
          </cell>
          <cell r="B1910" t="str">
            <v>A5C</v>
          </cell>
          <cell r="C1910" t="str">
            <v>TRIM</v>
          </cell>
          <cell r="D1910" t="str">
            <v>C-2303</v>
          </cell>
          <cell r="E1910" t="str">
            <v>PIPE</v>
          </cell>
          <cell r="F1910">
            <v>1</v>
          </cell>
          <cell r="G1910" t="str">
            <v>CB100508001H00</v>
          </cell>
          <cell r="H1910">
            <v>1.5</v>
          </cell>
          <cell r="I1910" t="str">
            <v>--</v>
          </cell>
          <cell r="J1910">
            <v>1.5</v>
          </cell>
          <cell r="K1910">
            <v>1.5</v>
          </cell>
        </row>
        <row r="1911">
          <cell r="A1911" t="str">
            <v>M2</v>
          </cell>
          <cell r="B1911" t="str">
            <v>A5C</v>
          </cell>
          <cell r="C1911" t="str">
            <v>TRIM</v>
          </cell>
          <cell r="D1911" t="str">
            <v>C-2304</v>
          </cell>
          <cell r="E1911" t="str">
            <v>PIPE</v>
          </cell>
          <cell r="F1911">
            <v>1</v>
          </cell>
          <cell r="G1911" t="str">
            <v>CB100508001H00</v>
          </cell>
          <cell r="H1911">
            <v>1.5</v>
          </cell>
          <cell r="I1911" t="str">
            <v>--</v>
          </cell>
          <cell r="J1911">
            <v>1.5</v>
          </cell>
          <cell r="K1911">
            <v>1.5</v>
          </cell>
        </row>
        <row r="1912">
          <cell r="A1912" t="str">
            <v>M2</v>
          </cell>
          <cell r="B1912" t="str">
            <v>A5C</v>
          </cell>
          <cell r="C1912" t="str">
            <v>TRIM</v>
          </cell>
          <cell r="D1912" t="str">
            <v>V-2302</v>
          </cell>
          <cell r="E1912" t="str">
            <v>PIPE</v>
          </cell>
          <cell r="F1912">
            <v>1</v>
          </cell>
          <cell r="G1912" t="str">
            <v>CB100508001H00</v>
          </cell>
          <cell r="H1912">
            <v>1.5</v>
          </cell>
          <cell r="I1912" t="str">
            <v>--</v>
          </cell>
          <cell r="J1912">
            <v>1.5</v>
          </cell>
          <cell r="K1912">
            <v>1.5</v>
          </cell>
        </row>
        <row r="1913">
          <cell r="A1913" t="str">
            <v>M2</v>
          </cell>
          <cell r="B1913" t="str">
            <v>A5C</v>
          </cell>
          <cell r="C1913" t="str">
            <v>TRIM</v>
          </cell>
          <cell r="D1913" t="str">
            <v>C-2306</v>
          </cell>
          <cell r="E1913" t="str">
            <v>PIPE</v>
          </cell>
          <cell r="F1913">
            <v>1</v>
          </cell>
          <cell r="G1913" t="str">
            <v>CB100508001H00</v>
          </cell>
          <cell r="H1913">
            <v>1.5</v>
          </cell>
          <cell r="I1913" t="str">
            <v>--</v>
          </cell>
          <cell r="J1913">
            <v>1.5</v>
          </cell>
          <cell r="K1913">
            <v>1.5</v>
          </cell>
        </row>
        <row r="1914">
          <cell r="A1914" t="str">
            <v>M2</v>
          </cell>
          <cell r="B1914" t="str">
            <v>A5C</v>
          </cell>
          <cell r="C1914" t="str">
            <v>TRIM</v>
          </cell>
          <cell r="D1914" t="str">
            <v>V-2304</v>
          </cell>
          <cell r="E1914" t="str">
            <v>PIPE</v>
          </cell>
          <cell r="F1914">
            <v>1</v>
          </cell>
          <cell r="G1914" t="str">
            <v>CB100508001H00</v>
          </cell>
          <cell r="H1914">
            <v>1.5</v>
          </cell>
          <cell r="I1914" t="str">
            <v>--</v>
          </cell>
          <cell r="J1914">
            <v>1.5</v>
          </cell>
          <cell r="K1914">
            <v>1.5</v>
          </cell>
        </row>
        <row r="1915">
          <cell r="A1915" t="str">
            <v>M2</v>
          </cell>
          <cell r="B1915" t="str">
            <v>A5C</v>
          </cell>
          <cell r="C1915" t="str">
            <v>TRIM</v>
          </cell>
          <cell r="D1915" t="str">
            <v>V-2308</v>
          </cell>
          <cell r="E1915" t="str">
            <v>PIPE</v>
          </cell>
          <cell r="F1915">
            <v>1</v>
          </cell>
          <cell r="G1915" t="str">
            <v>CB100508001H00</v>
          </cell>
          <cell r="H1915">
            <v>1.5</v>
          </cell>
          <cell r="I1915" t="str">
            <v>--</v>
          </cell>
          <cell r="J1915">
            <v>1.5</v>
          </cell>
          <cell r="K1915">
            <v>1.5</v>
          </cell>
        </row>
        <row r="1916">
          <cell r="A1916" t="str">
            <v>M2</v>
          </cell>
          <cell r="B1916" t="str">
            <v>A5C</v>
          </cell>
          <cell r="C1916" t="str">
            <v>TRIM</v>
          </cell>
          <cell r="D1916" t="str">
            <v>V-2313</v>
          </cell>
          <cell r="E1916" t="str">
            <v>PIPE</v>
          </cell>
          <cell r="F1916">
            <v>1</v>
          </cell>
          <cell r="G1916" t="str">
            <v>CB100508001H00</v>
          </cell>
          <cell r="H1916">
            <v>1.5</v>
          </cell>
          <cell r="I1916" t="str">
            <v>--</v>
          </cell>
          <cell r="J1916">
            <v>1.5</v>
          </cell>
          <cell r="K1916">
            <v>1.5</v>
          </cell>
        </row>
        <row r="1917">
          <cell r="A1917" t="str">
            <v>M2</v>
          </cell>
          <cell r="B1917" t="str">
            <v>A5C</v>
          </cell>
          <cell r="C1917" t="str">
            <v>TRIM</v>
          </cell>
          <cell r="D1917" t="str">
            <v>V-2310</v>
          </cell>
          <cell r="E1917" t="str">
            <v>PIPE</v>
          </cell>
          <cell r="F1917">
            <v>1</v>
          </cell>
          <cell r="G1917" t="str">
            <v>CB100508001H00</v>
          </cell>
          <cell r="H1917">
            <v>1.5</v>
          </cell>
          <cell r="I1917" t="str">
            <v>--</v>
          </cell>
          <cell r="J1917">
            <v>1.5</v>
          </cell>
          <cell r="K1917">
            <v>1.5</v>
          </cell>
        </row>
        <row r="1918">
          <cell r="A1918" t="str">
            <v>M2</v>
          </cell>
          <cell r="B1918" t="str">
            <v>A5C</v>
          </cell>
          <cell r="C1918" t="str">
            <v>TRIM</v>
          </cell>
          <cell r="D1918" t="str">
            <v>C-2305</v>
          </cell>
          <cell r="E1918" t="str">
            <v>PIPE</v>
          </cell>
          <cell r="F1918">
            <v>1</v>
          </cell>
          <cell r="G1918" t="str">
            <v>CB100508001H00</v>
          </cell>
          <cell r="H1918">
            <v>1.5</v>
          </cell>
          <cell r="I1918" t="str">
            <v>--</v>
          </cell>
          <cell r="J1918">
            <v>1.5</v>
          </cell>
          <cell r="K1918">
            <v>1.5</v>
          </cell>
        </row>
        <row r="1919">
          <cell r="A1919" t="str">
            <v>M2</v>
          </cell>
          <cell r="B1919" t="str">
            <v>A5C</v>
          </cell>
          <cell r="C1919" t="str">
            <v>TRIM</v>
          </cell>
          <cell r="D1919" t="str">
            <v>V-2306</v>
          </cell>
          <cell r="E1919" t="str">
            <v>PIPE</v>
          </cell>
          <cell r="F1919">
            <v>1</v>
          </cell>
          <cell r="G1919" t="str">
            <v>CB100508001H00</v>
          </cell>
          <cell r="H1919">
            <v>1.5</v>
          </cell>
          <cell r="I1919" t="str">
            <v>--</v>
          </cell>
          <cell r="J1919">
            <v>1.5</v>
          </cell>
          <cell r="K1919">
            <v>1.5</v>
          </cell>
        </row>
        <row r="1920">
          <cell r="A1920" t="str">
            <v>M2</v>
          </cell>
          <cell r="B1920" t="str">
            <v>A5C</v>
          </cell>
          <cell r="C1920" t="str">
            <v>TRIM</v>
          </cell>
          <cell r="D1920" t="str">
            <v>C-2301</v>
          </cell>
          <cell r="E1920" t="str">
            <v>PIPE</v>
          </cell>
          <cell r="F1920">
            <v>1</v>
          </cell>
          <cell r="G1920" t="str">
            <v>CB100508001H00</v>
          </cell>
          <cell r="H1920">
            <v>1.5</v>
          </cell>
          <cell r="I1920" t="str">
            <v>--</v>
          </cell>
          <cell r="J1920">
            <v>1.5</v>
          </cell>
          <cell r="K1920">
            <v>1.5</v>
          </cell>
        </row>
        <row r="1921">
          <cell r="A1921" t="str">
            <v>M2</v>
          </cell>
          <cell r="B1921" t="str">
            <v>A5C</v>
          </cell>
          <cell r="C1921" t="str">
            <v>P</v>
          </cell>
          <cell r="D1921" t="str">
            <v>23157</v>
          </cell>
          <cell r="E1921" t="str">
            <v>PIPE</v>
          </cell>
          <cell r="F1921">
            <v>1</v>
          </cell>
          <cell r="G1921" t="str">
            <v>CB100508001H00</v>
          </cell>
          <cell r="H1921">
            <v>1.5</v>
          </cell>
          <cell r="I1921" t="str">
            <v>--</v>
          </cell>
          <cell r="J1921">
            <v>2.5</v>
          </cell>
          <cell r="K1921">
            <v>2.5</v>
          </cell>
        </row>
        <row r="1922">
          <cell r="A1922" t="str">
            <v>M2</v>
          </cell>
          <cell r="B1922" t="str">
            <v>A5C</v>
          </cell>
          <cell r="C1922" t="str">
            <v>P</v>
          </cell>
          <cell r="D1922" t="str">
            <v>23038</v>
          </cell>
          <cell r="E1922" t="str">
            <v>PIPE</v>
          </cell>
          <cell r="F1922">
            <v>1</v>
          </cell>
          <cell r="G1922" t="str">
            <v>CB100508001H00</v>
          </cell>
          <cell r="H1922">
            <v>1.5</v>
          </cell>
          <cell r="I1922" t="str">
            <v>--</v>
          </cell>
          <cell r="J1922">
            <v>3.3</v>
          </cell>
          <cell r="K1922">
            <v>3.3</v>
          </cell>
        </row>
        <row r="1923">
          <cell r="A1923" t="str">
            <v>M2</v>
          </cell>
          <cell r="B1923" t="str">
            <v>A5C</v>
          </cell>
          <cell r="C1923" t="str">
            <v>P</v>
          </cell>
          <cell r="D1923" t="str">
            <v>23117</v>
          </cell>
          <cell r="E1923" t="str">
            <v>PIPE</v>
          </cell>
          <cell r="F1923">
            <v>1</v>
          </cell>
          <cell r="G1923" t="str">
            <v>CB100508001H00</v>
          </cell>
          <cell r="H1923">
            <v>1.5</v>
          </cell>
          <cell r="I1923" t="str">
            <v>--</v>
          </cell>
          <cell r="J1923">
            <v>3.3</v>
          </cell>
          <cell r="K1923">
            <v>3.3</v>
          </cell>
        </row>
        <row r="1924">
          <cell r="A1924" t="str">
            <v>M2</v>
          </cell>
          <cell r="B1924" t="str">
            <v>A5C</v>
          </cell>
          <cell r="C1924" t="str">
            <v>P</v>
          </cell>
          <cell r="D1924" t="str">
            <v>23185</v>
          </cell>
          <cell r="E1924" t="str">
            <v>PIPE</v>
          </cell>
          <cell r="F1924">
            <v>1</v>
          </cell>
          <cell r="G1924" t="str">
            <v>CB100508001H00</v>
          </cell>
          <cell r="H1924">
            <v>1.5</v>
          </cell>
          <cell r="I1924" t="str">
            <v>--</v>
          </cell>
          <cell r="J1924">
            <v>3.3</v>
          </cell>
          <cell r="K1924">
            <v>3.3</v>
          </cell>
        </row>
        <row r="1925">
          <cell r="A1925" t="str">
            <v>M2</v>
          </cell>
          <cell r="B1925" t="str">
            <v>A5C</v>
          </cell>
          <cell r="C1925" t="str">
            <v>P</v>
          </cell>
          <cell r="D1925" t="str">
            <v>23019</v>
          </cell>
          <cell r="E1925" t="str">
            <v>PIPE</v>
          </cell>
          <cell r="F1925">
            <v>1</v>
          </cell>
          <cell r="G1925" t="str">
            <v>CB100508001H00</v>
          </cell>
          <cell r="H1925">
            <v>1.5</v>
          </cell>
          <cell r="I1925" t="str">
            <v>--</v>
          </cell>
          <cell r="J1925">
            <v>3.5</v>
          </cell>
          <cell r="K1925">
            <v>3.5</v>
          </cell>
        </row>
        <row r="1926">
          <cell r="A1926" t="str">
            <v>M2</v>
          </cell>
          <cell r="B1926" t="str">
            <v>A5C</v>
          </cell>
          <cell r="C1926" t="str">
            <v>P</v>
          </cell>
          <cell r="D1926" t="str">
            <v>23164</v>
          </cell>
          <cell r="E1926" t="str">
            <v>PIPE</v>
          </cell>
          <cell r="F1926">
            <v>1</v>
          </cell>
          <cell r="G1926" t="str">
            <v>CB100508001H00</v>
          </cell>
          <cell r="H1926">
            <v>1.5</v>
          </cell>
          <cell r="I1926" t="str">
            <v>--</v>
          </cell>
          <cell r="J1926">
            <v>4</v>
          </cell>
          <cell r="K1926">
            <v>4</v>
          </cell>
        </row>
        <row r="1927">
          <cell r="A1927" t="str">
            <v>M2</v>
          </cell>
          <cell r="B1927" t="str">
            <v>A5C</v>
          </cell>
          <cell r="C1927" t="str">
            <v>P</v>
          </cell>
          <cell r="D1927" t="str">
            <v>23196</v>
          </cell>
          <cell r="E1927" t="str">
            <v>PIPE</v>
          </cell>
          <cell r="F1927">
            <v>1</v>
          </cell>
          <cell r="G1927" t="str">
            <v>CB100508001H00</v>
          </cell>
          <cell r="H1927">
            <v>1.5</v>
          </cell>
          <cell r="I1927" t="str">
            <v>--</v>
          </cell>
          <cell r="J1927">
            <v>4</v>
          </cell>
          <cell r="K1927">
            <v>4</v>
          </cell>
        </row>
        <row r="1928">
          <cell r="A1928" t="str">
            <v>M2</v>
          </cell>
          <cell r="B1928" t="str">
            <v>A5C</v>
          </cell>
          <cell r="C1928" t="str">
            <v>P</v>
          </cell>
          <cell r="D1928" t="str">
            <v>23076</v>
          </cell>
          <cell r="E1928" t="str">
            <v>PIPE</v>
          </cell>
          <cell r="F1928">
            <v>1</v>
          </cell>
          <cell r="G1928" t="str">
            <v>CB100508001H00</v>
          </cell>
          <cell r="H1928">
            <v>1.5</v>
          </cell>
          <cell r="I1928" t="str">
            <v>--</v>
          </cell>
          <cell r="J1928">
            <v>4</v>
          </cell>
          <cell r="K1928">
            <v>4</v>
          </cell>
        </row>
        <row r="1929">
          <cell r="A1929" t="str">
            <v>M2</v>
          </cell>
          <cell r="B1929" t="str">
            <v>A5C</v>
          </cell>
          <cell r="C1929" t="str">
            <v>P</v>
          </cell>
          <cell r="D1929" t="str">
            <v>23222</v>
          </cell>
          <cell r="E1929" t="str">
            <v>PIPE</v>
          </cell>
          <cell r="F1929">
            <v>1</v>
          </cell>
          <cell r="G1929" t="str">
            <v>CB100508001H00</v>
          </cell>
          <cell r="H1929">
            <v>1.5</v>
          </cell>
          <cell r="I1929" t="str">
            <v>--</v>
          </cell>
          <cell r="J1929">
            <v>4.5</v>
          </cell>
          <cell r="K1929">
            <v>4.5</v>
          </cell>
        </row>
        <row r="1930">
          <cell r="A1930" t="str">
            <v>M2</v>
          </cell>
          <cell r="B1930" t="str">
            <v>A5C</v>
          </cell>
          <cell r="C1930" t="str">
            <v>P</v>
          </cell>
          <cell r="D1930" t="str">
            <v>23242</v>
          </cell>
          <cell r="E1930" t="str">
            <v>PIPE</v>
          </cell>
          <cell r="F1930">
            <v>1</v>
          </cell>
          <cell r="G1930" t="str">
            <v>CB100508001H00</v>
          </cell>
          <cell r="H1930">
            <v>1.5</v>
          </cell>
          <cell r="I1930" t="str">
            <v>--</v>
          </cell>
          <cell r="J1930">
            <v>4.5</v>
          </cell>
          <cell r="K1930">
            <v>4.5</v>
          </cell>
        </row>
        <row r="1931">
          <cell r="A1931" t="str">
            <v>M2</v>
          </cell>
          <cell r="B1931" t="str">
            <v>A5C</v>
          </cell>
          <cell r="C1931" t="str">
            <v>P</v>
          </cell>
          <cell r="D1931" t="str">
            <v>99003</v>
          </cell>
          <cell r="E1931" t="str">
            <v>PIPE</v>
          </cell>
          <cell r="F1931">
            <v>1</v>
          </cell>
          <cell r="G1931" t="str">
            <v>CB100508001H00</v>
          </cell>
          <cell r="H1931">
            <v>1.5</v>
          </cell>
          <cell r="I1931" t="str">
            <v>--</v>
          </cell>
          <cell r="J1931">
            <v>4.5999999999999996</v>
          </cell>
          <cell r="K1931">
            <v>4.5999999999999996</v>
          </cell>
        </row>
        <row r="1932">
          <cell r="A1932" t="str">
            <v>M2</v>
          </cell>
          <cell r="B1932" t="str">
            <v>A5C</v>
          </cell>
          <cell r="C1932" t="str">
            <v>P</v>
          </cell>
          <cell r="D1932" t="str">
            <v>23039</v>
          </cell>
          <cell r="E1932" t="str">
            <v>PIPE</v>
          </cell>
          <cell r="F1932">
            <v>1</v>
          </cell>
          <cell r="G1932" t="str">
            <v>CB100508001H00</v>
          </cell>
          <cell r="H1932">
            <v>1.5</v>
          </cell>
          <cell r="I1932" t="str">
            <v>--</v>
          </cell>
          <cell r="J1932">
            <v>4.9000000000000004</v>
          </cell>
          <cell r="K1932">
            <v>4.9000000000000004</v>
          </cell>
        </row>
        <row r="1933">
          <cell r="A1933" t="str">
            <v>M2</v>
          </cell>
          <cell r="B1933" t="str">
            <v>A5C</v>
          </cell>
          <cell r="C1933" t="str">
            <v>P</v>
          </cell>
          <cell r="D1933" t="str">
            <v>24014</v>
          </cell>
          <cell r="E1933" t="str">
            <v>PIPE</v>
          </cell>
          <cell r="F1933">
            <v>1</v>
          </cell>
          <cell r="G1933" t="str">
            <v>CB100508001H00</v>
          </cell>
          <cell r="H1933">
            <v>1.5</v>
          </cell>
          <cell r="I1933" t="str">
            <v>--</v>
          </cell>
          <cell r="J1933">
            <v>5</v>
          </cell>
          <cell r="K1933">
            <v>5</v>
          </cell>
        </row>
        <row r="1934">
          <cell r="A1934" t="str">
            <v>M2</v>
          </cell>
          <cell r="B1934" t="str">
            <v>A5C</v>
          </cell>
          <cell r="C1934" t="str">
            <v>P</v>
          </cell>
          <cell r="D1934" t="str">
            <v>23035</v>
          </cell>
          <cell r="E1934" t="str">
            <v>PIPE</v>
          </cell>
          <cell r="F1934">
            <v>1</v>
          </cell>
          <cell r="G1934" t="str">
            <v>CB100508001H00</v>
          </cell>
          <cell r="H1934">
            <v>1.5</v>
          </cell>
          <cell r="I1934" t="str">
            <v>--</v>
          </cell>
          <cell r="J1934">
            <v>5.2</v>
          </cell>
          <cell r="K1934">
            <v>5.2</v>
          </cell>
        </row>
        <row r="1935">
          <cell r="A1935" t="str">
            <v>M2</v>
          </cell>
          <cell r="B1935" t="str">
            <v>A5C</v>
          </cell>
          <cell r="C1935" t="str">
            <v>P</v>
          </cell>
          <cell r="D1935" t="str">
            <v>23052</v>
          </cell>
          <cell r="E1935" t="str">
            <v>PIPE</v>
          </cell>
          <cell r="F1935">
            <v>1</v>
          </cell>
          <cell r="G1935" t="str">
            <v>CB100508001H00</v>
          </cell>
          <cell r="H1935">
            <v>1.5</v>
          </cell>
          <cell r="I1935" t="str">
            <v>--</v>
          </cell>
          <cell r="J1935">
            <v>5.3</v>
          </cell>
          <cell r="K1935">
            <v>5.3</v>
          </cell>
        </row>
        <row r="1936">
          <cell r="A1936" t="str">
            <v>M2</v>
          </cell>
          <cell r="B1936" t="str">
            <v>A5C</v>
          </cell>
          <cell r="C1936" t="str">
            <v>P</v>
          </cell>
          <cell r="D1936" t="str">
            <v>23078</v>
          </cell>
          <cell r="E1936" t="str">
            <v>PIPE</v>
          </cell>
          <cell r="F1936">
            <v>1</v>
          </cell>
          <cell r="G1936" t="str">
            <v>CB100508001H00</v>
          </cell>
          <cell r="H1936">
            <v>1.5</v>
          </cell>
          <cell r="I1936" t="str">
            <v>--</v>
          </cell>
          <cell r="J1936">
            <v>5.3</v>
          </cell>
          <cell r="K1936">
            <v>5.3</v>
          </cell>
        </row>
        <row r="1937">
          <cell r="A1937" t="str">
            <v>M2</v>
          </cell>
          <cell r="B1937" t="str">
            <v>A5C</v>
          </cell>
          <cell r="C1937" t="str">
            <v>P</v>
          </cell>
          <cell r="D1937" t="str">
            <v>23037</v>
          </cell>
          <cell r="E1937" t="str">
            <v>PIPE</v>
          </cell>
          <cell r="F1937">
            <v>1</v>
          </cell>
          <cell r="G1937" t="str">
            <v>CB100508001H00</v>
          </cell>
          <cell r="H1937">
            <v>1.5</v>
          </cell>
          <cell r="I1937" t="str">
            <v>--</v>
          </cell>
          <cell r="J1937">
            <v>5.3</v>
          </cell>
          <cell r="K1937">
            <v>5.3</v>
          </cell>
        </row>
        <row r="1938">
          <cell r="A1938" t="str">
            <v>M2</v>
          </cell>
          <cell r="B1938" t="str">
            <v>A5C</v>
          </cell>
          <cell r="C1938" t="str">
            <v>P</v>
          </cell>
          <cell r="D1938" t="str">
            <v>23063</v>
          </cell>
          <cell r="E1938" t="str">
            <v>PIPE</v>
          </cell>
          <cell r="F1938">
            <v>1</v>
          </cell>
          <cell r="G1938" t="str">
            <v>CB100508001H00</v>
          </cell>
          <cell r="H1938">
            <v>1.5</v>
          </cell>
          <cell r="I1938" t="str">
            <v>--</v>
          </cell>
          <cell r="J1938">
            <v>5.3</v>
          </cell>
          <cell r="K1938">
            <v>5.3</v>
          </cell>
        </row>
        <row r="1939">
          <cell r="A1939" t="str">
            <v>M2</v>
          </cell>
          <cell r="B1939" t="str">
            <v>A5C</v>
          </cell>
          <cell r="C1939" t="str">
            <v>P</v>
          </cell>
          <cell r="D1939" t="str">
            <v>23027</v>
          </cell>
          <cell r="E1939" t="str">
            <v>PIPE</v>
          </cell>
          <cell r="F1939">
            <v>1</v>
          </cell>
          <cell r="G1939" t="str">
            <v>CB100508001H00</v>
          </cell>
          <cell r="H1939">
            <v>1.5</v>
          </cell>
          <cell r="I1939" t="str">
            <v>--</v>
          </cell>
          <cell r="J1939">
            <v>5.3</v>
          </cell>
          <cell r="K1939">
            <v>5.3</v>
          </cell>
        </row>
        <row r="1940">
          <cell r="A1940" t="str">
            <v>M2</v>
          </cell>
          <cell r="B1940" t="str">
            <v>A5C</v>
          </cell>
          <cell r="C1940" t="str">
            <v>P</v>
          </cell>
          <cell r="D1940" t="str">
            <v>23259</v>
          </cell>
          <cell r="E1940" t="str">
            <v>PIPE</v>
          </cell>
          <cell r="F1940">
            <v>1</v>
          </cell>
          <cell r="G1940" t="str">
            <v>CB100508001H00</v>
          </cell>
          <cell r="H1940">
            <v>1.5</v>
          </cell>
          <cell r="I1940" t="str">
            <v>--</v>
          </cell>
          <cell r="J1940">
            <v>5.5</v>
          </cell>
          <cell r="K1940">
            <v>5.5</v>
          </cell>
        </row>
        <row r="1941">
          <cell r="A1941" t="str">
            <v>M2</v>
          </cell>
          <cell r="B1941" t="str">
            <v>A5C</v>
          </cell>
          <cell r="C1941" t="str">
            <v>P</v>
          </cell>
          <cell r="D1941" t="str">
            <v>23007</v>
          </cell>
          <cell r="E1941" t="str">
            <v>PIPE</v>
          </cell>
          <cell r="F1941">
            <v>1</v>
          </cell>
          <cell r="G1941" t="str">
            <v>CB100508001H00</v>
          </cell>
          <cell r="H1941">
            <v>1.5</v>
          </cell>
          <cell r="I1941" t="str">
            <v>--</v>
          </cell>
          <cell r="J1941">
            <v>5.8</v>
          </cell>
          <cell r="K1941">
            <v>5.8</v>
          </cell>
        </row>
        <row r="1942">
          <cell r="A1942" t="str">
            <v>M2</v>
          </cell>
          <cell r="B1942" t="str">
            <v>A5C</v>
          </cell>
          <cell r="C1942" t="str">
            <v>P</v>
          </cell>
          <cell r="D1942" t="str">
            <v>23253</v>
          </cell>
          <cell r="E1942" t="str">
            <v>PIPE</v>
          </cell>
          <cell r="F1942">
            <v>1</v>
          </cell>
          <cell r="G1942" t="str">
            <v>CB100508001H00</v>
          </cell>
          <cell r="H1942">
            <v>1.5</v>
          </cell>
          <cell r="I1942" t="str">
            <v>--</v>
          </cell>
          <cell r="J1942">
            <v>6</v>
          </cell>
          <cell r="K1942">
            <v>6</v>
          </cell>
        </row>
        <row r="1943">
          <cell r="A1943" t="str">
            <v>M2</v>
          </cell>
          <cell r="B1943" t="str">
            <v>A5C</v>
          </cell>
          <cell r="C1943" t="str">
            <v>P</v>
          </cell>
          <cell r="D1943" t="str">
            <v>23231</v>
          </cell>
          <cell r="E1943" t="str">
            <v>PIPE</v>
          </cell>
          <cell r="F1943">
            <v>1</v>
          </cell>
          <cell r="G1943" t="str">
            <v>CB100508001H00</v>
          </cell>
          <cell r="H1943">
            <v>1.5</v>
          </cell>
          <cell r="I1943" t="str">
            <v>--</v>
          </cell>
          <cell r="J1943">
            <v>6</v>
          </cell>
          <cell r="K1943">
            <v>6</v>
          </cell>
        </row>
        <row r="1944">
          <cell r="A1944" t="str">
            <v>M2</v>
          </cell>
          <cell r="B1944" t="str">
            <v>A5C</v>
          </cell>
          <cell r="C1944" t="str">
            <v>P</v>
          </cell>
          <cell r="D1944" t="str">
            <v>23216</v>
          </cell>
          <cell r="E1944" t="str">
            <v>PIPE</v>
          </cell>
          <cell r="F1944">
            <v>1</v>
          </cell>
          <cell r="G1944" t="str">
            <v>CB100508001H00</v>
          </cell>
          <cell r="H1944">
            <v>1.5</v>
          </cell>
          <cell r="I1944" t="str">
            <v>--</v>
          </cell>
          <cell r="J1944">
            <v>6</v>
          </cell>
          <cell r="K1944">
            <v>6</v>
          </cell>
        </row>
        <row r="1945">
          <cell r="A1945" t="str">
            <v>M2</v>
          </cell>
          <cell r="B1945" t="str">
            <v>A5C</v>
          </cell>
          <cell r="C1945" t="str">
            <v>P</v>
          </cell>
          <cell r="D1945" t="str">
            <v>23220</v>
          </cell>
          <cell r="E1945" t="str">
            <v>PIPE</v>
          </cell>
          <cell r="F1945">
            <v>1</v>
          </cell>
          <cell r="G1945" t="str">
            <v>CB100508001H00</v>
          </cell>
          <cell r="H1945">
            <v>1.5</v>
          </cell>
          <cell r="I1945" t="str">
            <v>--</v>
          </cell>
          <cell r="J1945">
            <v>6.5</v>
          </cell>
          <cell r="K1945">
            <v>6.5</v>
          </cell>
        </row>
        <row r="1946">
          <cell r="A1946" t="str">
            <v>M2</v>
          </cell>
          <cell r="B1946" t="str">
            <v>A5C</v>
          </cell>
          <cell r="C1946" t="str">
            <v>P</v>
          </cell>
          <cell r="D1946" t="str">
            <v>23243</v>
          </cell>
          <cell r="E1946" t="str">
            <v>PIPE</v>
          </cell>
          <cell r="F1946">
            <v>1</v>
          </cell>
          <cell r="G1946" t="str">
            <v>CB100508001H00</v>
          </cell>
          <cell r="H1946">
            <v>1.5</v>
          </cell>
          <cell r="I1946" t="str">
            <v>--</v>
          </cell>
          <cell r="J1946">
            <v>6.5</v>
          </cell>
          <cell r="K1946">
            <v>6.5</v>
          </cell>
        </row>
        <row r="1947">
          <cell r="A1947" t="str">
            <v>M2</v>
          </cell>
          <cell r="B1947" t="str">
            <v>A5C</v>
          </cell>
          <cell r="C1947" t="str">
            <v>P</v>
          </cell>
          <cell r="D1947" t="str">
            <v>23033</v>
          </cell>
          <cell r="E1947" t="str">
            <v>PIPE</v>
          </cell>
          <cell r="F1947">
            <v>1</v>
          </cell>
          <cell r="G1947" t="str">
            <v>CB100508001H00</v>
          </cell>
          <cell r="H1947">
            <v>1.5</v>
          </cell>
          <cell r="I1947" t="str">
            <v>--</v>
          </cell>
          <cell r="J1947">
            <v>7.1</v>
          </cell>
          <cell r="K1947">
            <v>7.1</v>
          </cell>
        </row>
        <row r="1948">
          <cell r="A1948" t="str">
            <v>M2</v>
          </cell>
          <cell r="B1948" t="str">
            <v>A5C</v>
          </cell>
          <cell r="C1948" t="str">
            <v>P</v>
          </cell>
          <cell r="D1948" t="str">
            <v>24012</v>
          </cell>
          <cell r="E1948" t="str">
            <v>PIPE</v>
          </cell>
          <cell r="F1948">
            <v>1</v>
          </cell>
          <cell r="G1948" t="str">
            <v>CB100508001H00</v>
          </cell>
          <cell r="H1948">
            <v>1.5</v>
          </cell>
          <cell r="I1948" t="str">
            <v>--</v>
          </cell>
          <cell r="J1948">
            <v>7.5</v>
          </cell>
          <cell r="K1948">
            <v>7.5</v>
          </cell>
        </row>
        <row r="1949">
          <cell r="A1949" t="str">
            <v>M2</v>
          </cell>
          <cell r="B1949" t="str">
            <v>A5C</v>
          </cell>
          <cell r="C1949" t="str">
            <v>P</v>
          </cell>
          <cell r="D1949" t="str">
            <v>23147</v>
          </cell>
          <cell r="E1949" t="str">
            <v>PIPE</v>
          </cell>
          <cell r="F1949">
            <v>1</v>
          </cell>
          <cell r="G1949" t="str">
            <v>CB100508001H00</v>
          </cell>
          <cell r="H1949">
            <v>1.5</v>
          </cell>
          <cell r="I1949" t="str">
            <v>--</v>
          </cell>
          <cell r="J1949">
            <v>7.8</v>
          </cell>
          <cell r="K1949">
            <v>7.8</v>
          </cell>
        </row>
        <row r="1950">
          <cell r="A1950" t="str">
            <v>M2</v>
          </cell>
          <cell r="B1950" t="str">
            <v>A5C</v>
          </cell>
          <cell r="C1950" t="str">
            <v>P</v>
          </cell>
          <cell r="D1950" t="str">
            <v>23116</v>
          </cell>
          <cell r="E1950" t="str">
            <v>PIPE</v>
          </cell>
          <cell r="F1950">
            <v>1</v>
          </cell>
          <cell r="G1950" t="str">
            <v>CB100508001H00</v>
          </cell>
          <cell r="H1950">
            <v>1.5</v>
          </cell>
          <cell r="I1950" t="str">
            <v>--</v>
          </cell>
          <cell r="J1950">
            <v>8</v>
          </cell>
          <cell r="K1950">
            <v>8</v>
          </cell>
        </row>
        <row r="1951">
          <cell r="A1951" t="str">
            <v>M2</v>
          </cell>
          <cell r="B1951" t="str">
            <v>A5C</v>
          </cell>
          <cell r="C1951" t="str">
            <v>P</v>
          </cell>
          <cell r="D1951" t="str">
            <v>23215</v>
          </cell>
          <cell r="E1951" t="str">
            <v>PIPE</v>
          </cell>
          <cell r="F1951">
            <v>1</v>
          </cell>
          <cell r="G1951" t="str">
            <v>CB100508001H00</v>
          </cell>
          <cell r="H1951">
            <v>1.5</v>
          </cell>
          <cell r="I1951" t="str">
            <v>--</v>
          </cell>
          <cell r="J1951">
            <v>9.3000000000000007</v>
          </cell>
          <cell r="K1951">
            <v>9.3000000000000007</v>
          </cell>
        </row>
        <row r="1952">
          <cell r="A1952" t="str">
            <v>M2</v>
          </cell>
          <cell r="B1952" t="str">
            <v>A5C</v>
          </cell>
          <cell r="C1952" t="str">
            <v>P</v>
          </cell>
          <cell r="D1952" t="str">
            <v>23019</v>
          </cell>
          <cell r="E1952" t="str">
            <v>PIPE</v>
          </cell>
          <cell r="F1952">
            <v>1</v>
          </cell>
          <cell r="G1952" t="str">
            <v>CB100508001H00</v>
          </cell>
          <cell r="H1952">
            <v>1.5</v>
          </cell>
          <cell r="I1952" t="str">
            <v>--</v>
          </cell>
          <cell r="J1952">
            <v>12.3</v>
          </cell>
          <cell r="K1952">
            <v>12.3</v>
          </cell>
        </row>
        <row r="1953">
          <cell r="A1953" t="str">
            <v>M2</v>
          </cell>
          <cell r="B1953" t="str">
            <v>A5C</v>
          </cell>
          <cell r="C1953" t="str">
            <v>P</v>
          </cell>
          <cell r="D1953" t="str">
            <v>23070</v>
          </cell>
          <cell r="E1953" t="str">
            <v>PIPE</v>
          </cell>
          <cell r="F1953">
            <v>1</v>
          </cell>
          <cell r="G1953" t="str">
            <v>CB100508001H00</v>
          </cell>
          <cell r="H1953">
            <v>1.5</v>
          </cell>
          <cell r="I1953" t="str">
            <v>--</v>
          </cell>
          <cell r="J1953">
            <v>12.4</v>
          </cell>
          <cell r="K1953">
            <v>12.4</v>
          </cell>
        </row>
        <row r="1954">
          <cell r="A1954" t="str">
            <v>M2</v>
          </cell>
          <cell r="B1954" t="str">
            <v>A5C</v>
          </cell>
          <cell r="C1954" t="str">
            <v>P</v>
          </cell>
          <cell r="D1954" t="str">
            <v>23055</v>
          </cell>
          <cell r="E1954" t="str">
            <v>PIPE</v>
          </cell>
          <cell r="F1954">
            <v>1</v>
          </cell>
          <cell r="G1954" t="str">
            <v>CB100508001H00</v>
          </cell>
          <cell r="H1954">
            <v>1.5</v>
          </cell>
          <cell r="I1954" t="str">
            <v>--</v>
          </cell>
          <cell r="J1954">
            <v>12.4</v>
          </cell>
          <cell r="K1954">
            <v>12.4</v>
          </cell>
        </row>
        <row r="1955">
          <cell r="A1955" t="str">
            <v>M2</v>
          </cell>
          <cell r="B1955" t="str">
            <v>A5C</v>
          </cell>
          <cell r="C1955" t="str">
            <v>P</v>
          </cell>
          <cell r="D1955" t="str">
            <v>23044</v>
          </cell>
          <cell r="E1955" t="str">
            <v>PIPE</v>
          </cell>
          <cell r="F1955">
            <v>1</v>
          </cell>
          <cell r="G1955" t="str">
            <v>CB100508001H00</v>
          </cell>
          <cell r="H1955">
            <v>1.5</v>
          </cell>
          <cell r="I1955" t="str">
            <v>--</v>
          </cell>
          <cell r="J1955">
            <v>12.4</v>
          </cell>
          <cell r="K1955">
            <v>12.4</v>
          </cell>
        </row>
        <row r="1956">
          <cell r="A1956" t="str">
            <v>M2</v>
          </cell>
          <cell r="B1956" t="str">
            <v>A5C</v>
          </cell>
          <cell r="C1956" t="str">
            <v>P</v>
          </cell>
          <cell r="D1956" t="str">
            <v>23006</v>
          </cell>
          <cell r="E1956" t="str">
            <v>PIPE</v>
          </cell>
          <cell r="F1956">
            <v>1</v>
          </cell>
          <cell r="G1956" t="str">
            <v>CB100508001H00</v>
          </cell>
          <cell r="H1956">
            <v>1.5</v>
          </cell>
          <cell r="I1956" t="str">
            <v>--</v>
          </cell>
          <cell r="J1956">
            <v>13.1</v>
          </cell>
          <cell r="K1956">
            <v>13.1</v>
          </cell>
        </row>
        <row r="1957">
          <cell r="A1957" t="str">
            <v>M2</v>
          </cell>
          <cell r="B1957" t="str">
            <v>A5C</v>
          </cell>
          <cell r="C1957" t="str">
            <v>P</v>
          </cell>
          <cell r="D1957" t="str">
            <v>99003</v>
          </cell>
          <cell r="E1957" t="str">
            <v>PIPE</v>
          </cell>
          <cell r="F1957">
            <v>1</v>
          </cell>
          <cell r="G1957" t="str">
            <v>CB100508001H00</v>
          </cell>
          <cell r="H1957">
            <v>1.5</v>
          </cell>
          <cell r="I1957" t="str">
            <v>--</v>
          </cell>
          <cell r="J1957">
            <v>13.1</v>
          </cell>
          <cell r="K1957">
            <v>13.1</v>
          </cell>
        </row>
        <row r="1958">
          <cell r="A1958" t="str">
            <v>M2</v>
          </cell>
          <cell r="B1958" t="str">
            <v>A5C</v>
          </cell>
          <cell r="C1958" t="str">
            <v>P</v>
          </cell>
          <cell r="D1958" t="str">
            <v>23107</v>
          </cell>
          <cell r="E1958" t="str">
            <v>PIPE</v>
          </cell>
          <cell r="F1958">
            <v>1</v>
          </cell>
          <cell r="G1958" t="str">
            <v>CB100508001H00</v>
          </cell>
          <cell r="H1958">
            <v>1.5</v>
          </cell>
          <cell r="I1958" t="str">
            <v>--</v>
          </cell>
          <cell r="J1958">
            <v>14</v>
          </cell>
          <cell r="K1958">
            <v>14</v>
          </cell>
        </row>
        <row r="1959">
          <cell r="A1959" t="str">
            <v>M2</v>
          </cell>
          <cell r="B1959" t="str">
            <v>A5C</v>
          </cell>
          <cell r="C1959" t="str">
            <v>P</v>
          </cell>
          <cell r="D1959" t="str">
            <v>23111</v>
          </cell>
          <cell r="E1959" t="str">
            <v>PIPE</v>
          </cell>
          <cell r="F1959">
            <v>1</v>
          </cell>
          <cell r="G1959" t="str">
            <v>CB100508001H00</v>
          </cell>
          <cell r="H1959">
            <v>1.5</v>
          </cell>
          <cell r="I1959" t="str">
            <v>--</v>
          </cell>
          <cell r="J1959">
            <v>14</v>
          </cell>
          <cell r="K1959">
            <v>14</v>
          </cell>
        </row>
        <row r="1960">
          <cell r="A1960" t="str">
            <v>M2</v>
          </cell>
          <cell r="B1960" t="str">
            <v>A5C</v>
          </cell>
          <cell r="C1960" t="str">
            <v>P</v>
          </cell>
          <cell r="D1960" t="str">
            <v>23103</v>
          </cell>
          <cell r="E1960" t="str">
            <v>PIPE</v>
          </cell>
          <cell r="F1960">
            <v>1</v>
          </cell>
          <cell r="G1960" t="str">
            <v>CB100508001H00</v>
          </cell>
          <cell r="H1960">
            <v>1.5</v>
          </cell>
          <cell r="I1960" t="str">
            <v>--</v>
          </cell>
          <cell r="J1960">
            <v>14</v>
          </cell>
          <cell r="K1960">
            <v>14</v>
          </cell>
        </row>
        <row r="1961">
          <cell r="A1961" t="str">
            <v>M2</v>
          </cell>
          <cell r="B1961" t="str">
            <v>A5C</v>
          </cell>
          <cell r="C1961" t="str">
            <v>P</v>
          </cell>
          <cell r="D1961" t="str">
            <v>24001</v>
          </cell>
          <cell r="E1961" t="str">
            <v>PIPE</v>
          </cell>
          <cell r="F1961">
            <v>1</v>
          </cell>
          <cell r="G1961" t="str">
            <v>CB100508001H00</v>
          </cell>
          <cell r="H1961">
            <v>1.5</v>
          </cell>
          <cell r="I1961" t="str">
            <v>--</v>
          </cell>
          <cell r="J1961">
            <v>14</v>
          </cell>
          <cell r="K1961">
            <v>14</v>
          </cell>
        </row>
        <row r="1962">
          <cell r="A1962" t="str">
            <v>M2</v>
          </cell>
          <cell r="B1962" t="str">
            <v>A5C</v>
          </cell>
          <cell r="C1962" t="str">
            <v>P</v>
          </cell>
          <cell r="D1962" t="str">
            <v>23039</v>
          </cell>
          <cell r="E1962" t="str">
            <v>PIPE</v>
          </cell>
          <cell r="F1962">
            <v>1</v>
          </cell>
          <cell r="G1962" t="str">
            <v>CB100508001H00</v>
          </cell>
          <cell r="H1962">
            <v>1.5</v>
          </cell>
          <cell r="I1962" t="str">
            <v>--</v>
          </cell>
          <cell r="J1962">
            <v>14.5</v>
          </cell>
          <cell r="K1962">
            <v>14.5</v>
          </cell>
        </row>
        <row r="1963">
          <cell r="A1963" t="str">
            <v>M2</v>
          </cell>
          <cell r="B1963" t="str">
            <v>A5C</v>
          </cell>
          <cell r="C1963" t="str">
            <v>P</v>
          </cell>
          <cell r="D1963" t="str">
            <v>23033</v>
          </cell>
          <cell r="E1963" t="str">
            <v>PIPE</v>
          </cell>
          <cell r="F1963">
            <v>1</v>
          </cell>
          <cell r="G1963" t="str">
            <v>CB100508001H00</v>
          </cell>
          <cell r="H1963">
            <v>1.5</v>
          </cell>
          <cell r="I1963" t="str">
            <v>--</v>
          </cell>
          <cell r="J1963">
            <v>15.5</v>
          </cell>
          <cell r="K1963">
            <v>15.5</v>
          </cell>
        </row>
        <row r="1964">
          <cell r="A1964" t="str">
            <v>M2</v>
          </cell>
          <cell r="B1964" t="str">
            <v>A5C</v>
          </cell>
          <cell r="C1964" t="str">
            <v>P</v>
          </cell>
          <cell r="D1964" t="str">
            <v>23009</v>
          </cell>
          <cell r="E1964" t="str">
            <v>PIPE</v>
          </cell>
          <cell r="F1964">
            <v>1</v>
          </cell>
          <cell r="G1964" t="str">
            <v>CB100508001H00</v>
          </cell>
          <cell r="H1964">
            <v>1.5</v>
          </cell>
          <cell r="I1964" t="str">
            <v>--</v>
          </cell>
          <cell r="J1964">
            <v>15.5</v>
          </cell>
          <cell r="K1964">
            <v>15.5</v>
          </cell>
        </row>
        <row r="1965">
          <cell r="A1965" t="str">
            <v>M2</v>
          </cell>
          <cell r="B1965" t="str">
            <v>A5C</v>
          </cell>
          <cell r="C1965" t="str">
            <v>P</v>
          </cell>
          <cell r="D1965" t="str">
            <v>23006</v>
          </cell>
          <cell r="E1965" t="str">
            <v>PIPE</v>
          </cell>
          <cell r="F1965">
            <v>1</v>
          </cell>
          <cell r="G1965" t="str">
            <v>CB100508001H00</v>
          </cell>
          <cell r="H1965">
            <v>1.5</v>
          </cell>
          <cell r="I1965" t="str">
            <v>--</v>
          </cell>
          <cell r="J1965">
            <v>15.8</v>
          </cell>
          <cell r="K1965">
            <v>15.8</v>
          </cell>
        </row>
        <row r="1966">
          <cell r="A1966" t="str">
            <v>M2</v>
          </cell>
          <cell r="B1966" t="str">
            <v>A5C</v>
          </cell>
          <cell r="C1966" t="str">
            <v>P</v>
          </cell>
          <cell r="D1966" t="str">
            <v>23226</v>
          </cell>
          <cell r="E1966" t="str">
            <v>PIPE</v>
          </cell>
          <cell r="F1966">
            <v>1</v>
          </cell>
          <cell r="G1966" t="str">
            <v>CB100508001H00</v>
          </cell>
          <cell r="H1966">
            <v>1.5</v>
          </cell>
          <cell r="I1966" t="str">
            <v>--</v>
          </cell>
          <cell r="J1966">
            <v>17</v>
          </cell>
          <cell r="K1966">
            <v>17</v>
          </cell>
        </row>
        <row r="1967">
          <cell r="A1967" t="str">
            <v>M2</v>
          </cell>
          <cell r="B1967" t="str">
            <v>A5C</v>
          </cell>
          <cell r="C1967" t="str">
            <v>P</v>
          </cell>
          <cell r="D1967" t="str">
            <v>23248</v>
          </cell>
          <cell r="E1967" t="str">
            <v>PIPE</v>
          </cell>
          <cell r="F1967">
            <v>1</v>
          </cell>
          <cell r="G1967" t="str">
            <v>CB100508001H00</v>
          </cell>
          <cell r="H1967">
            <v>1.5</v>
          </cell>
          <cell r="I1967" t="str">
            <v>--</v>
          </cell>
          <cell r="J1967">
            <v>17</v>
          </cell>
          <cell r="K1967">
            <v>17</v>
          </cell>
        </row>
        <row r="1968">
          <cell r="A1968" t="str">
            <v>M2</v>
          </cell>
          <cell r="B1968" t="str">
            <v>A5C</v>
          </cell>
          <cell r="C1968" t="str">
            <v>P</v>
          </cell>
          <cell r="D1968" t="str">
            <v>23077</v>
          </cell>
          <cell r="E1968" t="str">
            <v>PIPE</v>
          </cell>
          <cell r="F1968">
            <v>1</v>
          </cell>
          <cell r="G1968" t="str">
            <v>CB100508001H00</v>
          </cell>
          <cell r="H1968">
            <v>1.5</v>
          </cell>
          <cell r="I1968" t="str">
            <v>--</v>
          </cell>
          <cell r="J1968">
            <v>17</v>
          </cell>
          <cell r="K1968">
            <v>17</v>
          </cell>
        </row>
        <row r="1969">
          <cell r="A1969" t="str">
            <v>M2</v>
          </cell>
          <cell r="B1969" t="str">
            <v>A5C</v>
          </cell>
          <cell r="C1969" t="str">
            <v>P</v>
          </cell>
          <cell r="D1969" t="str">
            <v>23143</v>
          </cell>
          <cell r="E1969" t="str">
            <v>PIPE</v>
          </cell>
          <cell r="F1969">
            <v>1</v>
          </cell>
          <cell r="G1969" t="str">
            <v>CB100508001H00</v>
          </cell>
          <cell r="H1969">
            <v>1.5</v>
          </cell>
          <cell r="I1969" t="str">
            <v>--</v>
          </cell>
          <cell r="J1969">
            <v>17.100000000000001</v>
          </cell>
          <cell r="K1969">
            <v>17.100000000000001</v>
          </cell>
        </row>
        <row r="1970">
          <cell r="A1970" t="str">
            <v>M2</v>
          </cell>
          <cell r="B1970" t="str">
            <v>A5C</v>
          </cell>
          <cell r="C1970" t="str">
            <v>P</v>
          </cell>
          <cell r="D1970" t="str">
            <v>23217</v>
          </cell>
          <cell r="E1970" t="str">
            <v>PIPE</v>
          </cell>
          <cell r="F1970">
            <v>1</v>
          </cell>
          <cell r="G1970" t="str">
            <v>CB100508001H00</v>
          </cell>
          <cell r="H1970">
            <v>1.5</v>
          </cell>
          <cell r="I1970" t="str">
            <v>--</v>
          </cell>
          <cell r="J1970">
            <v>17.2</v>
          </cell>
          <cell r="K1970">
            <v>17.2</v>
          </cell>
        </row>
        <row r="1971">
          <cell r="A1971" t="str">
            <v>M2</v>
          </cell>
          <cell r="B1971" t="str">
            <v>A5C</v>
          </cell>
          <cell r="C1971" t="str">
            <v>P</v>
          </cell>
          <cell r="D1971" t="str">
            <v>23218</v>
          </cell>
          <cell r="E1971" t="str">
            <v>PIPE</v>
          </cell>
          <cell r="F1971">
            <v>1</v>
          </cell>
          <cell r="G1971" t="str">
            <v>CB100508001H00</v>
          </cell>
          <cell r="H1971">
            <v>1.5</v>
          </cell>
          <cell r="I1971" t="str">
            <v>--</v>
          </cell>
          <cell r="J1971">
            <v>18.5</v>
          </cell>
          <cell r="K1971">
            <v>18.5</v>
          </cell>
        </row>
        <row r="1972">
          <cell r="A1972" t="str">
            <v>M2</v>
          </cell>
          <cell r="B1972" t="str">
            <v>A5C</v>
          </cell>
          <cell r="C1972" t="str">
            <v>P</v>
          </cell>
          <cell r="D1972" t="str">
            <v>23116</v>
          </cell>
          <cell r="E1972" t="str">
            <v>PIPE</v>
          </cell>
          <cell r="F1972">
            <v>1</v>
          </cell>
          <cell r="G1972" t="str">
            <v>CB100508001H00</v>
          </cell>
          <cell r="H1972">
            <v>1.5</v>
          </cell>
          <cell r="I1972" t="str">
            <v>--</v>
          </cell>
          <cell r="J1972">
            <v>19</v>
          </cell>
          <cell r="K1972">
            <v>19</v>
          </cell>
        </row>
        <row r="1973">
          <cell r="A1973" t="str">
            <v>M2</v>
          </cell>
          <cell r="B1973" t="str">
            <v>A5C</v>
          </cell>
          <cell r="C1973" t="str">
            <v>P</v>
          </cell>
          <cell r="D1973" t="str">
            <v>23035</v>
          </cell>
          <cell r="E1973" t="str">
            <v>PIPE</v>
          </cell>
          <cell r="F1973">
            <v>1</v>
          </cell>
          <cell r="G1973" t="str">
            <v>CB100508001H00</v>
          </cell>
          <cell r="H1973">
            <v>1.5</v>
          </cell>
          <cell r="I1973" t="str">
            <v>--</v>
          </cell>
          <cell r="J1973">
            <v>19.3</v>
          </cell>
          <cell r="K1973">
            <v>19.3</v>
          </cell>
        </row>
        <row r="1974">
          <cell r="A1974" t="str">
            <v>M2</v>
          </cell>
          <cell r="B1974" t="str">
            <v>A5C</v>
          </cell>
          <cell r="C1974" t="str">
            <v>P</v>
          </cell>
          <cell r="D1974" t="str">
            <v>23008</v>
          </cell>
          <cell r="E1974" t="str">
            <v>PIPE</v>
          </cell>
          <cell r="F1974">
            <v>1</v>
          </cell>
          <cell r="G1974" t="str">
            <v>CB100508001H00</v>
          </cell>
          <cell r="H1974">
            <v>1.5</v>
          </cell>
          <cell r="I1974" t="str">
            <v>--</v>
          </cell>
          <cell r="J1974">
            <v>24.2</v>
          </cell>
          <cell r="K1974">
            <v>24.2</v>
          </cell>
        </row>
        <row r="1975">
          <cell r="A1975" t="str">
            <v>M2</v>
          </cell>
          <cell r="B1975" t="str">
            <v>A5C</v>
          </cell>
          <cell r="C1975" t="str">
            <v>P</v>
          </cell>
          <cell r="D1975" t="str">
            <v>22102</v>
          </cell>
          <cell r="E1975" t="str">
            <v>PIPE</v>
          </cell>
          <cell r="F1975">
            <v>1</v>
          </cell>
          <cell r="G1975" t="str">
            <v>CB100508001H00</v>
          </cell>
          <cell r="H1975">
            <v>1.5</v>
          </cell>
          <cell r="I1975" t="str">
            <v>--</v>
          </cell>
          <cell r="J1975">
            <v>50.6</v>
          </cell>
          <cell r="K1975">
            <v>50.6</v>
          </cell>
        </row>
        <row r="1976">
          <cell r="A1976" t="str">
            <v>M2</v>
          </cell>
          <cell r="B1976" t="str">
            <v>A5C</v>
          </cell>
          <cell r="C1976" t="str">
            <v>P</v>
          </cell>
          <cell r="D1976" t="str">
            <v>23170</v>
          </cell>
          <cell r="E1976" t="str">
            <v>PIPE</v>
          </cell>
          <cell r="F1976">
            <v>1</v>
          </cell>
          <cell r="G1976" t="str">
            <v>CB100508001H00</v>
          </cell>
          <cell r="H1976">
            <v>1.5</v>
          </cell>
          <cell r="I1976" t="str">
            <v>--</v>
          </cell>
          <cell r="J1976">
            <v>70.599999999999994</v>
          </cell>
          <cell r="K1976">
            <v>70.599999999999994</v>
          </cell>
        </row>
        <row r="1977">
          <cell r="A1977" t="str">
            <v>M2</v>
          </cell>
          <cell r="B1977" t="str">
            <v>A5C</v>
          </cell>
          <cell r="C1977" t="str">
            <v>P</v>
          </cell>
          <cell r="D1977" t="str">
            <v>23022</v>
          </cell>
          <cell r="E1977" t="str">
            <v>PIPE</v>
          </cell>
          <cell r="F1977">
            <v>1</v>
          </cell>
          <cell r="G1977" t="str">
            <v>CB100408000200</v>
          </cell>
          <cell r="H1977">
            <v>2</v>
          </cell>
          <cell r="I1977" t="str">
            <v>--</v>
          </cell>
          <cell r="J1977">
            <v>0.2</v>
          </cell>
          <cell r="K1977">
            <v>0.3</v>
          </cell>
        </row>
        <row r="1978">
          <cell r="A1978" t="str">
            <v>M2</v>
          </cell>
          <cell r="B1978" t="str">
            <v>A5C</v>
          </cell>
          <cell r="C1978" t="str">
            <v>P</v>
          </cell>
          <cell r="D1978" t="str">
            <v>23057</v>
          </cell>
          <cell r="E1978" t="str">
            <v>PIPE</v>
          </cell>
          <cell r="F1978">
            <v>1</v>
          </cell>
          <cell r="G1978" t="str">
            <v>CB100408000200</v>
          </cell>
          <cell r="H1978">
            <v>2</v>
          </cell>
          <cell r="I1978" t="str">
            <v>--</v>
          </cell>
          <cell r="J1978">
            <v>0.2</v>
          </cell>
          <cell r="K1978">
            <v>0.3</v>
          </cell>
        </row>
        <row r="1979">
          <cell r="A1979" t="str">
            <v>M2</v>
          </cell>
          <cell r="B1979" t="str">
            <v>A5C</v>
          </cell>
          <cell r="C1979" t="str">
            <v>P</v>
          </cell>
          <cell r="D1979" t="str">
            <v>23046</v>
          </cell>
          <cell r="E1979" t="str">
            <v>PIPE</v>
          </cell>
          <cell r="F1979">
            <v>1</v>
          </cell>
          <cell r="G1979" t="str">
            <v>CB100408000200</v>
          </cell>
          <cell r="H1979">
            <v>2</v>
          </cell>
          <cell r="I1979" t="str">
            <v>--</v>
          </cell>
          <cell r="J1979">
            <v>0.2</v>
          </cell>
          <cell r="K1979">
            <v>0.3</v>
          </cell>
        </row>
        <row r="1980">
          <cell r="A1980" t="str">
            <v>M2</v>
          </cell>
          <cell r="B1980" t="str">
            <v>A5C</v>
          </cell>
          <cell r="C1980" t="str">
            <v>P</v>
          </cell>
          <cell r="D1980" t="str">
            <v>23032</v>
          </cell>
          <cell r="E1980" t="str">
            <v>PIPE</v>
          </cell>
          <cell r="F1980">
            <v>1</v>
          </cell>
          <cell r="G1980" t="str">
            <v>CB100408000200</v>
          </cell>
          <cell r="H1980">
            <v>2</v>
          </cell>
          <cell r="I1980" t="str">
            <v>--</v>
          </cell>
          <cell r="J1980">
            <v>0.2</v>
          </cell>
          <cell r="K1980">
            <v>0.3</v>
          </cell>
        </row>
        <row r="1981">
          <cell r="A1981" t="str">
            <v>M2</v>
          </cell>
          <cell r="B1981" t="str">
            <v>A5C</v>
          </cell>
          <cell r="C1981" t="str">
            <v>P</v>
          </cell>
          <cell r="D1981" t="str">
            <v>23011</v>
          </cell>
          <cell r="E1981" t="str">
            <v>PIPE</v>
          </cell>
          <cell r="F1981">
            <v>1</v>
          </cell>
          <cell r="G1981" t="str">
            <v>CB100408000200</v>
          </cell>
          <cell r="H1981">
            <v>2</v>
          </cell>
          <cell r="I1981" t="str">
            <v>--</v>
          </cell>
          <cell r="J1981">
            <v>0.3</v>
          </cell>
          <cell r="K1981">
            <v>0.4</v>
          </cell>
        </row>
        <row r="1982">
          <cell r="A1982" t="str">
            <v>M2</v>
          </cell>
          <cell r="B1982" t="str">
            <v>A5C</v>
          </cell>
          <cell r="C1982" t="str">
            <v>TRIM</v>
          </cell>
          <cell r="D1982" t="str">
            <v>V-2315</v>
          </cell>
          <cell r="E1982" t="str">
            <v>PIPE</v>
          </cell>
          <cell r="F1982">
            <v>1</v>
          </cell>
          <cell r="G1982" t="str">
            <v>CB100408000200</v>
          </cell>
          <cell r="H1982">
            <v>2</v>
          </cell>
          <cell r="I1982" t="str">
            <v>--</v>
          </cell>
          <cell r="J1982">
            <v>0.4</v>
          </cell>
          <cell r="K1982">
            <v>0.5</v>
          </cell>
        </row>
        <row r="1983">
          <cell r="A1983" t="str">
            <v>M2</v>
          </cell>
          <cell r="B1983" t="str">
            <v>A5C</v>
          </cell>
          <cell r="C1983" t="str">
            <v>TRIM</v>
          </cell>
          <cell r="D1983" t="str">
            <v>V-2320</v>
          </cell>
          <cell r="E1983" t="str">
            <v>PIPE</v>
          </cell>
          <cell r="F1983">
            <v>1</v>
          </cell>
          <cell r="G1983" t="str">
            <v>CB100408000200</v>
          </cell>
          <cell r="H1983">
            <v>2</v>
          </cell>
          <cell r="I1983" t="str">
            <v>--</v>
          </cell>
          <cell r="J1983">
            <v>0.4</v>
          </cell>
          <cell r="K1983">
            <v>0.5</v>
          </cell>
        </row>
        <row r="1984">
          <cell r="A1984" t="str">
            <v>M2</v>
          </cell>
          <cell r="B1984" t="str">
            <v>A5C</v>
          </cell>
          <cell r="C1984" t="str">
            <v>TRIM</v>
          </cell>
          <cell r="D1984" t="str">
            <v>V-2317</v>
          </cell>
          <cell r="E1984" t="str">
            <v>PIPE</v>
          </cell>
          <cell r="F1984">
            <v>1</v>
          </cell>
          <cell r="G1984" t="str">
            <v>CB100408000200</v>
          </cell>
          <cell r="H1984">
            <v>2</v>
          </cell>
          <cell r="I1984" t="str">
            <v>--</v>
          </cell>
          <cell r="J1984">
            <v>0.4</v>
          </cell>
          <cell r="K1984">
            <v>0.5</v>
          </cell>
        </row>
        <row r="1985">
          <cell r="A1985" t="str">
            <v>M2</v>
          </cell>
          <cell r="B1985" t="str">
            <v>A5C</v>
          </cell>
          <cell r="C1985" t="str">
            <v>TRIM</v>
          </cell>
          <cell r="D1985" t="str">
            <v>V-2318</v>
          </cell>
          <cell r="E1985" t="str">
            <v>PIPE</v>
          </cell>
          <cell r="F1985">
            <v>1</v>
          </cell>
          <cell r="G1985" t="str">
            <v>CB100408000200</v>
          </cell>
          <cell r="H1985">
            <v>2</v>
          </cell>
          <cell r="I1985" t="str">
            <v>--</v>
          </cell>
          <cell r="J1985">
            <v>0.4</v>
          </cell>
          <cell r="K1985">
            <v>0.5</v>
          </cell>
        </row>
        <row r="1986">
          <cell r="A1986" t="str">
            <v>M2</v>
          </cell>
          <cell r="B1986" t="str">
            <v>A5C</v>
          </cell>
          <cell r="C1986" t="str">
            <v>TRIM</v>
          </cell>
          <cell r="D1986" t="str">
            <v>V-2321</v>
          </cell>
          <cell r="E1986" t="str">
            <v>PIPE</v>
          </cell>
          <cell r="F1986">
            <v>1</v>
          </cell>
          <cell r="G1986" t="str">
            <v>CB100408000200</v>
          </cell>
          <cell r="H1986">
            <v>2</v>
          </cell>
          <cell r="I1986" t="str">
            <v>--</v>
          </cell>
          <cell r="J1986">
            <v>0.4</v>
          </cell>
          <cell r="K1986">
            <v>0.5</v>
          </cell>
        </row>
        <row r="1987">
          <cell r="A1987" t="str">
            <v>M2</v>
          </cell>
          <cell r="B1987" t="str">
            <v>A5C</v>
          </cell>
          <cell r="C1987" t="str">
            <v>TRIM</v>
          </cell>
          <cell r="D1987" t="str">
            <v>V-2319</v>
          </cell>
          <cell r="E1987" t="str">
            <v>PIPE</v>
          </cell>
          <cell r="F1987">
            <v>1</v>
          </cell>
          <cell r="G1987" t="str">
            <v>CB100408000200</v>
          </cell>
          <cell r="H1987">
            <v>2</v>
          </cell>
          <cell r="I1987" t="str">
            <v>--</v>
          </cell>
          <cell r="J1987">
            <v>0.4</v>
          </cell>
          <cell r="K1987">
            <v>0.5</v>
          </cell>
        </row>
        <row r="1988">
          <cell r="A1988" t="str">
            <v>M2</v>
          </cell>
          <cell r="B1988" t="str">
            <v>A5C</v>
          </cell>
          <cell r="C1988" t="str">
            <v>TRIM</v>
          </cell>
          <cell r="D1988" t="str">
            <v>V-2323</v>
          </cell>
          <cell r="E1988" t="str">
            <v>PIPE</v>
          </cell>
          <cell r="F1988">
            <v>1</v>
          </cell>
          <cell r="G1988" t="str">
            <v>CB100408000200</v>
          </cell>
          <cell r="H1988">
            <v>2</v>
          </cell>
          <cell r="I1988" t="str">
            <v>--</v>
          </cell>
          <cell r="J1988">
            <v>0.4</v>
          </cell>
          <cell r="K1988">
            <v>0.5</v>
          </cell>
        </row>
        <row r="1989">
          <cell r="A1989" t="str">
            <v>M2</v>
          </cell>
          <cell r="B1989" t="str">
            <v>A5C</v>
          </cell>
          <cell r="C1989" t="str">
            <v>TRIM</v>
          </cell>
          <cell r="D1989" t="str">
            <v>V-2324</v>
          </cell>
          <cell r="E1989" t="str">
            <v>PIPE</v>
          </cell>
          <cell r="F1989">
            <v>1</v>
          </cell>
          <cell r="G1989" t="str">
            <v>CB100408000200</v>
          </cell>
          <cell r="H1989">
            <v>2</v>
          </cell>
          <cell r="I1989" t="str">
            <v>--</v>
          </cell>
          <cell r="J1989">
            <v>0.4</v>
          </cell>
          <cell r="K1989">
            <v>0.5</v>
          </cell>
        </row>
        <row r="1990">
          <cell r="A1990" t="str">
            <v>M2</v>
          </cell>
          <cell r="B1990" t="str">
            <v>A5C</v>
          </cell>
          <cell r="C1990" t="str">
            <v>TRIM</v>
          </cell>
          <cell r="D1990" t="str">
            <v>V-2329</v>
          </cell>
          <cell r="E1990" t="str">
            <v>PIPE</v>
          </cell>
          <cell r="F1990">
            <v>1</v>
          </cell>
          <cell r="G1990" t="str">
            <v>CB100408000200</v>
          </cell>
          <cell r="H1990">
            <v>2</v>
          </cell>
          <cell r="I1990" t="str">
            <v>--</v>
          </cell>
          <cell r="J1990">
            <v>0.4</v>
          </cell>
          <cell r="K1990">
            <v>0.5</v>
          </cell>
        </row>
        <row r="1991">
          <cell r="A1991" t="str">
            <v>M2</v>
          </cell>
          <cell r="B1991" t="str">
            <v>A5C</v>
          </cell>
          <cell r="C1991" t="str">
            <v>TRIM</v>
          </cell>
          <cell r="D1991" t="str">
            <v>V-2330</v>
          </cell>
          <cell r="E1991" t="str">
            <v>PIPE</v>
          </cell>
          <cell r="F1991">
            <v>1</v>
          </cell>
          <cell r="G1991" t="str">
            <v>CB100408000200</v>
          </cell>
          <cell r="H1991">
            <v>2</v>
          </cell>
          <cell r="I1991" t="str">
            <v>--</v>
          </cell>
          <cell r="J1991">
            <v>0.4</v>
          </cell>
          <cell r="K1991">
            <v>0.5</v>
          </cell>
        </row>
        <row r="1992">
          <cell r="A1992" t="str">
            <v>M2</v>
          </cell>
          <cell r="B1992" t="str">
            <v>A5C</v>
          </cell>
          <cell r="C1992" t="str">
            <v>TRIM</v>
          </cell>
          <cell r="D1992" t="str">
            <v>V-2331</v>
          </cell>
          <cell r="E1992" t="str">
            <v>PIPE</v>
          </cell>
          <cell r="F1992">
            <v>1</v>
          </cell>
          <cell r="G1992" t="str">
            <v>CB100408000200</v>
          </cell>
          <cell r="H1992">
            <v>2</v>
          </cell>
          <cell r="I1992" t="str">
            <v>--</v>
          </cell>
          <cell r="J1992">
            <v>0.4</v>
          </cell>
          <cell r="K1992">
            <v>0.5</v>
          </cell>
        </row>
        <row r="1993">
          <cell r="A1993" t="str">
            <v>M2</v>
          </cell>
          <cell r="B1993" t="str">
            <v>A5C</v>
          </cell>
          <cell r="C1993" t="str">
            <v>TRIM</v>
          </cell>
          <cell r="D1993" t="str">
            <v>V-2332</v>
          </cell>
          <cell r="E1993" t="str">
            <v>PIPE</v>
          </cell>
          <cell r="F1993">
            <v>1</v>
          </cell>
          <cell r="G1993" t="str">
            <v>CB100408000200</v>
          </cell>
          <cell r="H1993">
            <v>2</v>
          </cell>
          <cell r="I1993" t="str">
            <v>--</v>
          </cell>
          <cell r="J1993">
            <v>0.4</v>
          </cell>
          <cell r="K1993">
            <v>0.5</v>
          </cell>
        </row>
        <row r="1994">
          <cell r="A1994" t="str">
            <v>M2</v>
          </cell>
          <cell r="B1994" t="str">
            <v>A5C</v>
          </cell>
          <cell r="C1994" t="str">
            <v>TRIM</v>
          </cell>
          <cell r="D1994" t="str">
            <v>V-2333</v>
          </cell>
          <cell r="E1994" t="str">
            <v>PIPE</v>
          </cell>
          <cell r="F1994">
            <v>1</v>
          </cell>
          <cell r="G1994" t="str">
            <v>CB100408000200</v>
          </cell>
          <cell r="H1994">
            <v>2</v>
          </cell>
          <cell r="I1994" t="str">
            <v>--</v>
          </cell>
          <cell r="J1994">
            <v>0.4</v>
          </cell>
          <cell r="K1994">
            <v>0.5</v>
          </cell>
        </row>
        <row r="1995">
          <cell r="A1995" t="str">
            <v>M2</v>
          </cell>
          <cell r="B1995" t="str">
            <v>A5C</v>
          </cell>
          <cell r="C1995" t="str">
            <v>TRIM</v>
          </cell>
          <cell r="D1995" t="str">
            <v>C-2303</v>
          </cell>
          <cell r="E1995" t="str">
            <v>PIPE</v>
          </cell>
          <cell r="F1995">
            <v>1</v>
          </cell>
          <cell r="G1995" t="str">
            <v>CB100408000200</v>
          </cell>
          <cell r="H1995">
            <v>2</v>
          </cell>
          <cell r="I1995" t="str">
            <v>--</v>
          </cell>
          <cell r="J1995">
            <v>0.4</v>
          </cell>
          <cell r="K1995">
            <v>0.5</v>
          </cell>
        </row>
        <row r="1996">
          <cell r="A1996" t="str">
            <v>M2</v>
          </cell>
          <cell r="B1996" t="str">
            <v>A5C</v>
          </cell>
          <cell r="C1996" t="str">
            <v>TRIM</v>
          </cell>
          <cell r="D1996" t="str">
            <v>C-2304</v>
          </cell>
          <cell r="E1996" t="str">
            <v>PIPE</v>
          </cell>
          <cell r="F1996">
            <v>1</v>
          </cell>
          <cell r="G1996" t="str">
            <v>CB100408000200</v>
          </cell>
          <cell r="H1996">
            <v>2</v>
          </cell>
          <cell r="I1996" t="str">
            <v>--</v>
          </cell>
          <cell r="J1996">
            <v>0.4</v>
          </cell>
          <cell r="K1996">
            <v>0.5</v>
          </cell>
        </row>
        <row r="1997">
          <cell r="A1997" t="str">
            <v>M2</v>
          </cell>
          <cell r="B1997" t="str">
            <v>A5C</v>
          </cell>
          <cell r="C1997" t="str">
            <v>TRIM</v>
          </cell>
          <cell r="D1997" t="str">
            <v>C-2305</v>
          </cell>
          <cell r="E1997" t="str">
            <v>PIPE</v>
          </cell>
          <cell r="F1997">
            <v>1</v>
          </cell>
          <cell r="G1997" t="str">
            <v>CB100408000200</v>
          </cell>
          <cell r="H1997">
            <v>2</v>
          </cell>
          <cell r="I1997" t="str">
            <v>--</v>
          </cell>
          <cell r="J1997">
            <v>0.4</v>
          </cell>
          <cell r="K1997">
            <v>0.5</v>
          </cell>
        </row>
        <row r="1998">
          <cell r="A1998" t="str">
            <v>M2</v>
          </cell>
          <cell r="B1998" t="str">
            <v>A5C</v>
          </cell>
          <cell r="C1998" t="str">
            <v>TRIM</v>
          </cell>
          <cell r="D1998" t="str">
            <v>C-2302</v>
          </cell>
          <cell r="E1998" t="str">
            <v>PIPE</v>
          </cell>
          <cell r="F1998">
            <v>1</v>
          </cell>
          <cell r="G1998" t="str">
            <v>CB100408000200</v>
          </cell>
          <cell r="H1998">
            <v>2</v>
          </cell>
          <cell r="I1998" t="str">
            <v>--</v>
          </cell>
          <cell r="J1998">
            <v>0.4</v>
          </cell>
          <cell r="K1998">
            <v>0.5</v>
          </cell>
        </row>
        <row r="1999">
          <cell r="A1999" t="str">
            <v>M2</v>
          </cell>
          <cell r="B1999" t="str">
            <v>A5C</v>
          </cell>
          <cell r="C1999" t="str">
            <v>TRIM</v>
          </cell>
          <cell r="D1999" t="str">
            <v>C-2306</v>
          </cell>
          <cell r="E1999" t="str">
            <v>PIPE</v>
          </cell>
          <cell r="F1999">
            <v>1</v>
          </cell>
          <cell r="G1999" t="str">
            <v>CB100408000200</v>
          </cell>
          <cell r="H1999">
            <v>2</v>
          </cell>
          <cell r="I1999" t="str">
            <v>--</v>
          </cell>
          <cell r="J1999">
            <v>0.4</v>
          </cell>
          <cell r="K1999">
            <v>0.5</v>
          </cell>
        </row>
        <row r="2000">
          <cell r="A2000" t="str">
            <v>M2</v>
          </cell>
          <cell r="B2000" t="str">
            <v>A5C</v>
          </cell>
          <cell r="C2000" t="str">
            <v>TRIM</v>
          </cell>
          <cell r="D2000" t="str">
            <v>C-2301</v>
          </cell>
          <cell r="E2000" t="str">
            <v>PIPE</v>
          </cell>
          <cell r="F2000">
            <v>1</v>
          </cell>
          <cell r="G2000" t="str">
            <v>CB100408000200</v>
          </cell>
          <cell r="H2000">
            <v>2</v>
          </cell>
          <cell r="I2000" t="str">
            <v>--</v>
          </cell>
          <cell r="J2000">
            <v>0.4</v>
          </cell>
          <cell r="K2000">
            <v>0.5</v>
          </cell>
        </row>
        <row r="2001">
          <cell r="A2001" t="str">
            <v>M2</v>
          </cell>
          <cell r="B2001" t="str">
            <v>A5C</v>
          </cell>
          <cell r="C2001" t="str">
            <v>TRIM</v>
          </cell>
          <cell r="D2001" t="str">
            <v>V-2402</v>
          </cell>
          <cell r="E2001" t="str">
            <v>PIPE</v>
          </cell>
          <cell r="F2001">
            <v>1</v>
          </cell>
          <cell r="G2001" t="str">
            <v>CB100408000200</v>
          </cell>
          <cell r="H2001">
            <v>2</v>
          </cell>
          <cell r="I2001" t="str">
            <v>--</v>
          </cell>
          <cell r="J2001">
            <v>0.5</v>
          </cell>
          <cell r="K2001">
            <v>0.6</v>
          </cell>
        </row>
        <row r="2002">
          <cell r="A2002" t="str">
            <v>M2</v>
          </cell>
          <cell r="B2002" t="str">
            <v>B2C</v>
          </cell>
          <cell r="C2002" t="str">
            <v>SH</v>
          </cell>
          <cell r="D2002" t="str">
            <v>23612</v>
          </cell>
          <cell r="E2002" t="str">
            <v>PIPE</v>
          </cell>
          <cell r="F2002">
            <v>1</v>
          </cell>
          <cell r="G2002" t="str">
            <v>CB100408000200</v>
          </cell>
          <cell r="H2002">
            <v>2</v>
          </cell>
          <cell r="I2002" t="str">
            <v>--</v>
          </cell>
          <cell r="J2002">
            <v>1</v>
          </cell>
          <cell r="K2002">
            <v>1.1000000000000001</v>
          </cell>
        </row>
        <row r="2003">
          <cell r="A2003" t="str">
            <v>M2</v>
          </cell>
          <cell r="B2003" t="str">
            <v>A5C</v>
          </cell>
          <cell r="C2003" t="str">
            <v>TRIM</v>
          </cell>
          <cell r="D2003" t="str">
            <v>V-2301</v>
          </cell>
          <cell r="E2003" t="str">
            <v>PIPE</v>
          </cell>
          <cell r="F2003">
            <v>1</v>
          </cell>
          <cell r="G2003" t="str">
            <v>CB100408000200</v>
          </cell>
          <cell r="H2003">
            <v>2</v>
          </cell>
          <cell r="I2003" t="str">
            <v>--</v>
          </cell>
          <cell r="J2003">
            <v>1</v>
          </cell>
          <cell r="K2003">
            <v>1.1000000000000001</v>
          </cell>
        </row>
        <row r="2004">
          <cell r="A2004" t="str">
            <v>M2</v>
          </cell>
          <cell r="B2004" t="str">
            <v>A5C</v>
          </cell>
          <cell r="C2004" t="str">
            <v>TRIM</v>
          </cell>
          <cell r="D2004" t="str">
            <v>V-2304</v>
          </cell>
          <cell r="E2004" t="str">
            <v>PIPE</v>
          </cell>
          <cell r="F2004">
            <v>1</v>
          </cell>
          <cell r="G2004" t="str">
            <v>CB100408000200</v>
          </cell>
          <cell r="H2004">
            <v>2</v>
          </cell>
          <cell r="I2004" t="str">
            <v>--</v>
          </cell>
          <cell r="J2004">
            <v>1.6</v>
          </cell>
          <cell r="K2004">
            <v>1.8</v>
          </cell>
        </row>
        <row r="2005">
          <cell r="A2005" t="str">
            <v>M2</v>
          </cell>
          <cell r="B2005" t="str">
            <v>A5C</v>
          </cell>
          <cell r="C2005" t="str">
            <v>TRIM</v>
          </cell>
          <cell r="D2005" t="str">
            <v>V-2308</v>
          </cell>
          <cell r="E2005" t="str">
            <v>PIPE</v>
          </cell>
          <cell r="F2005">
            <v>1</v>
          </cell>
          <cell r="G2005" t="str">
            <v>CB100408000200</v>
          </cell>
          <cell r="H2005">
            <v>2</v>
          </cell>
          <cell r="I2005" t="str">
            <v>--</v>
          </cell>
          <cell r="J2005">
            <v>1.6</v>
          </cell>
          <cell r="K2005">
            <v>1.8</v>
          </cell>
        </row>
        <row r="2006">
          <cell r="A2006" t="str">
            <v>M2</v>
          </cell>
          <cell r="B2006" t="str">
            <v>A5C</v>
          </cell>
          <cell r="C2006" t="str">
            <v>TRIM</v>
          </cell>
          <cell r="D2006" t="str">
            <v>V-2313</v>
          </cell>
          <cell r="E2006" t="str">
            <v>PIPE</v>
          </cell>
          <cell r="F2006">
            <v>1</v>
          </cell>
          <cell r="G2006" t="str">
            <v>CB100408000200</v>
          </cell>
          <cell r="H2006">
            <v>2</v>
          </cell>
          <cell r="I2006" t="str">
            <v>--</v>
          </cell>
          <cell r="J2006">
            <v>1.6</v>
          </cell>
          <cell r="K2006">
            <v>1.8</v>
          </cell>
        </row>
        <row r="2007">
          <cell r="A2007" t="str">
            <v>M2</v>
          </cell>
          <cell r="B2007" t="str">
            <v>A5C</v>
          </cell>
          <cell r="C2007" t="str">
            <v>TRIM</v>
          </cell>
          <cell r="D2007" t="str">
            <v>V-2325</v>
          </cell>
          <cell r="E2007" t="str">
            <v>PIPE</v>
          </cell>
          <cell r="F2007">
            <v>1</v>
          </cell>
          <cell r="G2007" t="str">
            <v>CB100408000200</v>
          </cell>
          <cell r="H2007">
            <v>2</v>
          </cell>
          <cell r="I2007" t="str">
            <v>--</v>
          </cell>
          <cell r="J2007">
            <v>1.6</v>
          </cell>
          <cell r="K2007">
            <v>1.8</v>
          </cell>
        </row>
        <row r="2008">
          <cell r="A2008" t="str">
            <v>M2</v>
          </cell>
          <cell r="B2008" t="str">
            <v>A5C</v>
          </cell>
          <cell r="C2008" t="str">
            <v>TRIM</v>
          </cell>
          <cell r="D2008" t="str">
            <v>V-2302</v>
          </cell>
          <cell r="E2008" t="str">
            <v>PIPE</v>
          </cell>
          <cell r="F2008">
            <v>1</v>
          </cell>
          <cell r="G2008" t="str">
            <v>CB100408000200</v>
          </cell>
          <cell r="H2008">
            <v>2</v>
          </cell>
          <cell r="I2008" t="str">
            <v>--</v>
          </cell>
          <cell r="J2008">
            <v>1.6</v>
          </cell>
          <cell r="K2008">
            <v>1.8</v>
          </cell>
        </row>
        <row r="2009">
          <cell r="A2009" t="str">
            <v>M2</v>
          </cell>
          <cell r="B2009" t="str">
            <v>A5C</v>
          </cell>
          <cell r="C2009" t="str">
            <v>TRIM</v>
          </cell>
          <cell r="D2009" t="str">
            <v>V-2306</v>
          </cell>
          <cell r="E2009" t="str">
            <v>PIPE</v>
          </cell>
          <cell r="F2009">
            <v>1</v>
          </cell>
          <cell r="G2009" t="str">
            <v>CB100408000200</v>
          </cell>
          <cell r="H2009">
            <v>2</v>
          </cell>
          <cell r="I2009" t="str">
            <v>--</v>
          </cell>
          <cell r="J2009">
            <v>1.6</v>
          </cell>
          <cell r="K2009">
            <v>1.8</v>
          </cell>
        </row>
        <row r="2010">
          <cell r="A2010" t="str">
            <v>M2</v>
          </cell>
          <cell r="B2010" t="str">
            <v>A5C</v>
          </cell>
          <cell r="C2010" t="str">
            <v>TRIM</v>
          </cell>
          <cell r="D2010" t="str">
            <v>V-2310</v>
          </cell>
          <cell r="E2010" t="str">
            <v>PIPE</v>
          </cell>
          <cell r="F2010">
            <v>1</v>
          </cell>
          <cell r="G2010" t="str">
            <v>CB100408000200</v>
          </cell>
          <cell r="H2010">
            <v>2</v>
          </cell>
          <cell r="I2010" t="str">
            <v>--</v>
          </cell>
          <cell r="J2010">
            <v>1.6</v>
          </cell>
          <cell r="K2010">
            <v>1.8</v>
          </cell>
        </row>
        <row r="2011">
          <cell r="A2011" t="str">
            <v>M2</v>
          </cell>
          <cell r="B2011" t="str">
            <v>A5C</v>
          </cell>
          <cell r="C2011" t="str">
            <v>P</v>
          </cell>
          <cell r="D2011" t="str">
            <v>24020</v>
          </cell>
          <cell r="E2011" t="str">
            <v>PIPE</v>
          </cell>
          <cell r="F2011">
            <v>1</v>
          </cell>
          <cell r="G2011" t="str">
            <v>CB100408000200</v>
          </cell>
          <cell r="H2011">
            <v>2</v>
          </cell>
          <cell r="I2011" t="str">
            <v>--</v>
          </cell>
          <cell r="J2011">
            <v>2</v>
          </cell>
          <cell r="K2011">
            <v>2.2000000000000002</v>
          </cell>
        </row>
        <row r="2012">
          <cell r="A2012" t="str">
            <v>M2</v>
          </cell>
          <cell r="B2012" t="str">
            <v>A5C</v>
          </cell>
          <cell r="C2012" t="str">
            <v>TRIM</v>
          </cell>
          <cell r="D2012" t="str">
            <v>V-2326</v>
          </cell>
          <cell r="E2012" t="str">
            <v>PIPE</v>
          </cell>
          <cell r="F2012">
            <v>1</v>
          </cell>
          <cell r="G2012" t="str">
            <v>CB100408000200</v>
          </cell>
          <cell r="H2012">
            <v>2</v>
          </cell>
          <cell r="I2012" t="str">
            <v>--</v>
          </cell>
          <cell r="J2012">
            <v>2</v>
          </cell>
          <cell r="K2012">
            <v>2.2000000000000002</v>
          </cell>
        </row>
        <row r="2013">
          <cell r="A2013" t="str">
            <v>M2</v>
          </cell>
          <cell r="B2013" t="str">
            <v>A5C</v>
          </cell>
          <cell r="C2013" t="str">
            <v>TRIM</v>
          </cell>
          <cell r="D2013" t="str">
            <v>V-2327</v>
          </cell>
          <cell r="E2013" t="str">
            <v>PIPE</v>
          </cell>
          <cell r="F2013">
            <v>1</v>
          </cell>
          <cell r="G2013" t="str">
            <v>CB100408000200</v>
          </cell>
          <cell r="H2013">
            <v>2</v>
          </cell>
          <cell r="I2013" t="str">
            <v>--</v>
          </cell>
          <cell r="J2013">
            <v>2</v>
          </cell>
          <cell r="K2013">
            <v>2.2000000000000002</v>
          </cell>
        </row>
        <row r="2014">
          <cell r="A2014" t="str">
            <v>M2</v>
          </cell>
          <cell r="B2014" t="str">
            <v>A5C</v>
          </cell>
          <cell r="C2014" t="str">
            <v>TRIM</v>
          </cell>
          <cell r="D2014" t="str">
            <v>V-2328</v>
          </cell>
          <cell r="E2014" t="str">
            <v>PIPE</v>
          </cell>
          <cell r="F2014">
            <v>1</v>
          </cell>
          <cell r="G2014" t="str">
            <v>CB100408000200</v>
          </cell>
          <cell r="H2014">
            <v>2</v>
          </cell>
          <cell r="I2014" t="str">
            <v>--</v>
          </cell>
          <cell r="J2014">
            <v>2</v>
          </cell>
          <cell r="K2014">
            <v>2.2000000000000002</v>
          </cell>
        </row>
        <row r="2015">
          <cell r="A2015" t="str">
            <v>M2</v>
          </cell>
          <cell r="B2015" t="str">
            <v>A5C</v>
          </cell>
          <cell r="C2015" t="str">
            <v>TRIM</v>
          </cell>
          <cell r="D2015" t="str">
            <v>V-2403</v>
          </cell>
          <cell r="E2015" t="str">
            <v>PIPE</v>
          </cell>
          <cell r="F2015">
            <v>1</v>
          </cell>
          <cell r="G2015" t="str">
            <v>CB100408000200</v>
          </cell>
          <cell r="H2015">
            <v>2</v>
          </cell>
          <cell r="I2015" t="str">
            <v>--</v>
          </cell>
          <cell r="J2015">
            <v>2</v>
          </cell>
          <cell r="K2015">
            <v>2.2000000000000002</v>
          </cell>
        </row>
        <row r="2016">
          <cell r="A2016" t="str">
            <v>M2</v>
          </cell>
          <cell r="B2016" t="str">
            <v>A5C</v>
          </cell>
          <cell r="C2016" t="str">
            <v>TRIM</v>
          </cell>
          <cell r="D2016" t="str">
            <v>V-2404</v>
          </cell>
          <cell r="E2016" t="str">
            <v>PIPE</v>
          </cell>
          <cell r="F2016">
            <v>1</v>
          </cell>
          <cell r="G2016" t="str">
            <v>CB100408000200</v>
          </cell>
          <cell r="H2016">
            <v>2</v>
          </cell>
          <cell r="I2016" t="str">
            <v>--</v>
          </cell>
          <cell r="J2016">
            <v>2</v>
          </cell>
          <cell r="K2016">
            <v>2.2000000000000002</v>
          </cell>
        </row>
        <row r="2017">
          <cell r="A2017" t="str">
            <v>M2</v>
          </cell>
          <cell r="B2017" t="str">
            <v>A5C</v>
          </cell>
          <cell r="C2017" t="str">
            <v>TRIM</v>
          </cell>
          <cell r="D2017" t="str">
            <v>R-2401</v>
          </cell>
          <cell r="E2017" t="str">
            <v>PIPE</v>
          </cell>
          <cell r="F2017">
            <v>1</v>
          </cell>
          <cell r="G2017" t="str">
            <v>CB100408000200</v>
          </cell>
          <cell r="H2017">
            <v>2</v>
          </cell>
          <cell r="I2017" t="str">
            <v>--</v>
          </cell>
          <cell r="J2017">
            <v>2</v>
          </cell>
          <cell r="K2017">
            <v>2.2000000000000002</v>
          </cell>
        </row>
        <row r="2018">
          <cell r="A2018" t="str">
            <v>M2</v>
          </cell>
          <cell r="B2018" t="str">
            <v>A5C</v>
          </cell>
          <cell r="C2018" t="str">
            <v>TRIM</v>
          </cell>
          <cell r="D2018" t="str">
            <v>V-2401</v>
          </cell>
          <cell r="E2018" t="str">
            <v>PIPE</v>
          </cell>
          <cell r="F2018">
            <v>1</v>
          </cell>
          <cell r="G2018" t="str">
            <v>CB100408000200</v>
          </cell>
          <cell r="H2018">
            <v>2</v>
          </cell>
          <cell r="I2018" t="str">
            <v>--</v>
          </cell>
          <cell r="J2018">
            <v>2</v>
          </cell>
          <cell r="K2018">
            <v>2.2000000000000002</v>
          </cell>
        </row>
        <row r="2019">
          <cell r="A2019" t="str">
            <v>M2</v>
          </cell>
          <cell r="B2019" t="str">
            <v>A5C</v>
          </cell>
          <cell r="C2019" t="str">
            <v>P</v>
          </cell>
          <cell r="D2019" t="str">
            <v>23231</v>
          </cell>
          <cell r="E2019" t="str">
            <v>PIPE</v>
          </cell>
          <cell r="F2019">
            <v>1</v>
          </cell>
          <cell r="G2019" t="str">
            <v>CB100408000200</v>
          </cell>
          <cell r="H2019">
            <v>2</v>
          </cell>
          <cell r="I2019" t="str">
            <v>--</v>
          </cell>
          <cell r="J2019">
            <v>2.5</v>
          </cell>
          <cell r="K2019">
            <v>2.8</v>
          </cell>
        </row>
        <row r="2020">
          <cell r="A2020" t="str">
            <v>M2</v>
          </cell>
          <cell r="B2020" t="str">
            <v>A5C</v>
          </cell>
          <cell r="C2020" t="str">
            <v>P</v>
          </cell>
          <cell r="D2020" t="str">
            <v>23253</v>
          </cell>
          <cell r="E2020" t="str">
            <v>PIPE</v>
          </cell>
          <cell r="F2020">
            <v>1</v>
          </cell>
          <cell r="G2020" t="str">
            <v>CB100408000200</v>
          </cell>
          <cell r="H2020">
            <v>2</v>
          </cell>
          <cell r="I2020" t="str">
            <v>--</v>
          </cell>
          <cell r="J2020">
            <v>2.5</v>
          </cell>
          <cell r="K2020">
            <v>2.8</v>
          </cell>
        </row>
        <row r="2021">
          <cell r="A2021" t="str">
            <v>M2</v>
          </cell>
          <cell r="B2021" t="str">
            <v>A5C</v>
          </cell>
          <cell r="C2021" t="str">
            <v>TRIM</v>
          </cell>
          <cell r="D2021" t="str">
            <v>V-2352</v>
          </cell>
          <cell r="E2021" t="str">
            <v>PIPE</v>
          </cell>
          <cell r="F2021">
            <v>1</v>
          </cell>
          <cell r="G2021" t="str">
            <v>CB100408000200</v>
          </cell>
          <cell r="H2021">
            <v>2</v>
          </cell>
          <cell r="I2021" t="str">
            <v>--</v>
          </cell>
          <cell r="J2021">
            <v>2.5</v>
          </cell>
          <cell r="K2021">
            <v>2.8</v>
          </cell>
        </row>
        <row r="2022">
          <cell r="A2022" t="str">
            <v>M2</v>
          </cell>
          <cell r="B2022" t="str">
            <v>A5C</v>
          </cell>
          <cell r="C2022" t="str">
            <v>P</v>
          </cell>
          <cell r="D2022" t="str">
            <v>23073</v>
          </cell>
          <cell r="E2022" t="str">
            <v>PIPE</v>
          </cell>
          <cell r="F2022">
            <v>1</v>
          </cell>
          <cell r="G2022" t="str">
            <v>CB100408000200</v>
          </cell>
          <cell r="H2022">
            <v>2</v>
          </cell>
          <cell r="I2022" t="str">
            <v>--</v>
          </cell>
          <cell r="J2022">
            <v>3</v>
          </cell>
          <cell r="K2022">
            <v>3.3</v>
          </cell>
        </row>
        <row r="2023">
          <cell r="A2023" t="str">
            <v>M2</v>
          </cell>
          <cell r="B2023" t="str">
            <v>A5C</v>
          </cell>
          <cell r="C2023" t="str">
            <v>P</v>
          </cell>
          <cell r="D2023" t="str">
            <v>23102</v>
          </cell>
          <cell r="E2023" t="str">
            <v>PIPE</v>
          </cell>
          <cell r="F2023">
            <v>1</v>
          </cell>
          <cell r="G2023" t="str">
            <v>CB100408000200</v>
          </cell>
          <cell r="H2023">
            <v>2</v>
          </cell>
          <cell r="I2023" t="str">
            <v>--</v>
          </cell>
          <cell r="J2023">
            <v>3</v>
          </cell>
          <cell r="K2023">
            <v>3.3</v>
          </cell>
        </row>
        <row r="2024">
          <cell r="A2024" t="str">
            <v>M2</v>
          </cell>
          <cell r="B2024" t="str">
            <v>A5C</v>
          </cell>
          <cell r="C2024" t="str">
            <v>TRIM</v>
          </cell>
          <cell r="D2024" t="str">
            <v>V-2316</v>
          </cell>
          <cell r="E2024" t="str">
            <v>PIPE</v>
          </cell>
          <cell r="F2024">
            <v>1</v>
          </cell>
          <cell r="G2024" t="str">
            <v>CB100408000200</v>
          </cell>
          <cell r="H2024">
            <v>2</v>
          </cell>
          <cell r="I2024" t="str">
            <v>--</v>
          </cell>
          <cell r="J2024">
            <v>3.6</v>
          </cell>
          <cell r="K2024">
            <v>4</v>
          </cell>
        </row>
        <row r="2025">
          <cell r="A2025" t="str">
            <v>M2</v>
          </cell>
          <cell r="B2025" t="str">
            <v>A5C</v>
          </cell>
          <cell r="C2025" t="str">
            <v>TRIM</v>
          </cell>
          <cell r="D2025" t="str">
            <v>V-2351</v>
          </cell>
          <cell r="E2025" t="str">
            <v>PIPE</v>
          </cell>
          <cell r="F2025">
            <v>1</v>
          </cell>
          <cell r="G2025" t="str">
            <v>CB100408000200</v>
          </cell>
          <cell r="H2025">
            <v>2</v>
          </cell>
          <cell r="I2025" t="str">
            <v>--</v>
          </cell>
          <cell r="J2025">
            <v>4.5</v>
          </cell>
          <cell r="K2025">
            <v>5</v>
          </cell>
        </row>
        <row r="2026">
          <cell r="A2026" t="str">
            <v>M2</v>
          </cell>
          <cell r="B2026" t="str">
            <v>A5C</v>
          </cell>
          <cell r="C2026" t="str">
            <v>P</v>
          </cell>
          <cell r="D2026" t="str">
            <v>24021</v>
          </cell>
          <cell r="E2026" t="str">
            <v>PIPE</v>
          </cell>
          <cell r="F2026">
            <v>1</v>
          </cell>
          <cell r="G2026" t="str">
            <v>CB100408000200</v>
          </cell>
          <cell r="H2026">
            <v>2</v>
          </cell>
          <cell r="I2026" t="str">
            <v>--</v>
          </cell>
          <cell r="J2026">
            <v>5</v>
          </cell>
          <cell r="K2026">
            <v>5.5</v>
          </cell>
        </row>
        <row r="2027">
          <cell r="A2027" t="str">
            <v>M2</v>
          </cell>
          <cell r="B2027" t="str">
            <v>A5C</v>
          </cell>
          <cell r="C2027" t="str">
            <v>P</v>
          </cell>
          <cell r="D2027" t="str">
            <v>23224</v>
          </cell>
          <cell r="E2027" t="str">
            <v>PIPE</v>
          </cell>
          <cell r="F2027">
            <v>1</v>
          </cell>
          <cell r="G2027" t="str">
            <v>CB100408000200</v>
          </cell>
          <cell r="H2027">
            <v>2</v>
          </cell>
          <cell r="I2027" t="str">
            <v>--</v>
          </cell>
          <cell r="J2027">
            <v>5</v>
          </cell>
          <cell r="K2027">
            <v>5.5</v>
          </cell>
        </row>
        <row r="2028">
          <cell r="A2028" t="str">
            <v>M2</v>
          </cell>
          <cell r="B2028" t="str">
            <v>A5C</v>
          </cell>
          <cell r="C2028" t="str">
            <v>P</v>
          </cell>
          <cell r="D2028" t="str">
            <v>24006</v>
          </cell>
          <cell r="E2028" t="str">
            <v>PIPE</v>
          </cell>
          <cell r="F2028">
            <v>1</v>
          </cell>
          <cell r="G2028" t="str">
            <v>CB100408000200</v>
          </cell>
          <cell r="H2028">
            <v>2</v>
          </cell>
          <cell r="I2028" t="str">
            <v>--</v>
          </cell>
          <cell r="J2028">
            <v>5.5</v>
          </cell>
          <cell r="K2028">
            <v>6.1</v>
          </cell>
        </row>
        <row r="2029">
          <cell r="A2029" t="str">
            <v>M2</v>
          </cell>
          <cell r="B2029" t="str">
            <v>A5C</v>
          </cell>
          <cell r="C2029" t="str">
            <v>P</v>
          </cell>
          <cell r="D2029" t="str">
            <v>23102</v>
          </cell>
          <cell r="E2029" t="str">
            <v>PIPE</v>
          </cell>
          <cell r="F2029">
            <v>1</v>
          </cell>
          <cell r="G2029" t="str">
            <v>CB100408000200</v>
          </cell>
          <cell r="H2029">
            <v>2</v>
          </cell>
          <cell r="I2029" t="str">
            <v>--</v>
          </cell>
          <cell r="J2029">
            <v>6</v>
          </cell>
          <cell r="K2029">
            <v>6.6</v>
          </cell>
        </row>
        <row r="2030">
          <cell r="A2030" t="str">
            <v>M2</v>
          </cell>
          <cell r="B2030" t="str">
            <v>A5C</v>
          </cell>
          <cell r="C2030" t="str">
            <v>P</v>
          </cell>
          <cell r="D2030" t="str">
            <v>23019</v>
          </cell>
          <cell r="E2030" t="str">
            <v>PIPE</v>
          </cell>
          <cell r="F2030">
            <v>1</v>
          </cell>
          <cell r="G2030" t="str">
            <v>CB100408000200</v>
          </cell>
          <cell r="H2030">
            <v>2</v>
          </cell>
          <cell r="I2030" t="str">
            <v>--</v>
          </cell>
          <cell r="J2030">
            <v>7.1</v>
          </cell>
          <cell r="K2030">
            <v>7.9</v>
          </cell>
        </row>
        <row r="2031">
          <cell r="A2031" t="str">
            <v>M2</v>
          </cell>
          <cell r="B2031" t="str">
            <v>A5C</v>
          </cell>
          <cell r="C2031" t="str">
            <v>P</v>
          </cell>
          <cell r="D2031" t="str">
            <v>23053</v>
          </cell>
          <cell r="E2031" t="str">
            <v>PIPE</v>
          </cell>
          <cell r="F2031">
            <v>1</v>
          </cell>
          <cell r="G2031" t="str">
            <v>CB100408000200</v>
          </cell>
          <cell r="H2031">
            <v>2</v>
          </cell>
          <cell r="I2031" t="str">
            <v>--</v>
          </cell>
          <cell r="J2031">
            <v>7.1</v>
          </cell>
          <cell r="K2031">
            <v>7.9</v>
          </cell>
        </row>
        <row r="2032">
          <cell r="A2032" t="str">
            <v>M2</v>
          </cell>
          <cell r="B2032" t="str">
            <v>A5C</v>
          </cell>
          <cell r="C2032" t="str">
            <v>P</v>
          </cell>
          <cell r="D2032" t="str">
            <v>23233</v>
          </cell>
          <cell r="E2032" t="str">
            <v>PIPE</v>
          </cell>
          <cell r="F2032">
            <v>1</v>
          </cell>
          <cell r="G2032" t="str">
            <v>CB100408000200</v>
          </cell>
          <cell r="H2032">
            <v>2</v>
          </cell>
          <cell r="I2032" t="str">
            <v>--</v>
          </cell>
          <cell r="J2032">
            <v>8.5</v>
          </cell>
          <cell r="K2032">
            <v>9.4</v>
          </cell>
        </row>
        <row r="2033">
          <cell r="A2033" t="str">
            <v>M2</v>
          </cell>
          <cell r="B2033" t="str">
            <v>A5C</v>
          </cell>
          <cell r="C2033" t="str">
            <v>P</v>
          </cell>
          <cell r="D2033" t="str">
            <v>23255</v>
          </cell>
          <cell r="E2033" t="str">
            <v>PIPE</v>
          </cell>
          <cell r="F2033">
            <v>1</v>
          </cell>
          <cell r="G2033" t="str">
            <v>CB100408000200</v>
          </cell>
          <cell r="H2033">
            <v>2</v>
          </cell>
          <cell r="I2033" t="str">
            <v>--</v>
          </cell>
          <cell r="J2033">
            <v>8.5</v>
          </cell>
          <cell r="K2033">
            <v>9.4</v>
          </cell>
        </row>
        <row r="2034">
          <cell r="A2034" t="str">
            <v>M2</v>
          </cell>
          <cell r="B2034" t="str">
            <v>A5C</v>
          </cell>
          <cell r="C2034" t="str">
            <v>P</v>
          </cell>
          <cell r="D2034" t="str">
            <v>23229</v>
          </cell>
          <cell r="E2034" t="str">
            <v>PIPE</v>
          </cell>
          <cell r="F2034">
            <v>1</v>
          </cell>
          <cell r="G2034" t="str">
            <v>CB100408000200</v>
          </cell>
          <cell r="H2034">
            <v>2</v>
          </cell>
          <cell r="I2034" t="str">
            <v>--</v>
          </cell>
          <cell r="J2034">
            <v>10</v>
          </cell>
          <cell r="K2034">
            <v>11</v>
          </cell>
        </row>
        <row r="2035">
          <cell r="A2035" t="str">
            <v>M2</v>
          </cell>
          <cell r="B2035" t="str">
            <v>A5C</v>
          </cell>
          <cell r="C2035" t="str">
            <v>P</v>
          </cell>
          <cell r="D2035" t="str">
            <v>23251</v>
          </cell>
          <cell r="E2035" t="str">
            <v>PIPE</v>
          </cell>
          <cell r="F2035">
            <v>1</v>
          </cell>
          <cell r="G2035" t="str">
            <v>CB100408000200</v>
          </cell>
          <cell r="H2035">
            <v>2</v>
          </cell>
          <cell r="I2035" t="str">
            <v>--</v>
          </cell>
          <cell r="J2035">
            <v>10</v>
          </cell>
          <cell r="K2035">
            <v>11</v>
          </cell>
        </row>
        <row r="2036">
          <cell r="A2036" t="str">
            <v>M2</v>
          </cell>
          <cell r="B2036" t="str">
            <v>A5C</v>
          </cell>
          <cell r="C2036" t="str">
            <v>P</v>
          </cell>
          <cell r="D2036" t="str">
            <v>24009</v>
          </cell>
          <cell r="E2036" t="str">
            <v>PIPE</v>
          </cell>
          <cell r="F2036">
            <v>1</v>
          </cell>
          <cell r="G2036" t="str">
            <v>CB100408000200</v>
          </cell>
          <cell r="H2036">
            <v>2</v>
          </cell>
          <cell r="I2036" t="str">
            <v>--</v>
          </cell>
          <cell r="J2036">
            <v>12</v>
          </cell>
          <cell r="K2036">
            <v>13.2</v>
          </cell>
        </row>
        <row r="2037">
          <cell r="A2037" t="str">
            <v>M2</v>
          </cell>
          <cell r="B2037" t="str">
            <v>A5C</v>
          </cell>
          <cell r="C2037" t="str">
            <v>P</v>
          </cell>
          <cell r="D2037" t="str">
            <v>23115</v>
          </cell>
          <cell r="E2037" t="str">
            <v>PIPE</v>
          </cell>
          <cell r="F2037">
            <v>1</v>
          </cell>
          <cell r="G2037" t="str">
            <v>CB100408000200</v>
          </cell>
          <cell r="H2037">
            <v>2</v>
          </cell>
          <cell r="I2037" t="str">
            <v>--</v>
          </cell>
          <cell r="J2037">
            <v>13</v>
          </cell>
          <cell r="K2037">
            <v>14.3</v>
          </cell>
        </row>
        <row r="2038">
          <cell r="A2038" t="str">
            <v>M2</v>
          </cell>
          <cell r="B2038" t="str">
            <v>A5C</v>
          </cell>
          <cell r="C2038" t="str">
            <v>P</v>
          </cell>
          <cell r="D2038" t="str">
            <v>23261</v>
          </cell>
          <cell r="E2038" t="str">
            <v>PIPE</v>
          </cell>
          <cell r="F2038">
            <v>1</v>
          </cell>
          <cell r="G2038" t="str">
            <v>CB100408000200</v>
          </cell>
          <cell r="H2038">
            <v>2</v>
          </cell>
          <cell r="I2038" t="str">
            <v>--</v>
          </cell>
          <cell r="J2038">
            <v>13</v>
          </cell>
          <cell r="K2038">
            <v>14.3</v>
          </cell>
        </row>
        <row r="2039">
          <cell r="A2039" t="str">
            <v>M2</v>
          </cell>
          <cell r="B2039" t="str">
            <v>A5C</v>
          </cell>
          <cell r="C2039" t="str">
            <v>P</v>
          </cell>
          <cell r="D2039" t="str">
            <v>23054</v>
          </cell>
          <cell r="E2039" t="str">
            <v>PIPE</v>
          </cell>
          <cell r="F2039">
            <v>1</v>
          </cell>
          <cell r="G2039" t="str">
            <v>CB100408000200</v>
          </cell>
          <cell r="H2039">
            <v>2</v>
          </cell>
          <cell r="I2039" t="str">
            <v>--</v>
          </cell>
          <cell r="J2039">
            <v>15</v>
          </cell>
          <cell r="K2039">
            <v>16.5</v>
          </cell>
        </row>
        <row r="2040">
          <cell r="A2040" t="str">
            <v>M2</v>
          </cell>
          <cell r="B2040" t="str">
            <v>A5C</v>
          </cell>
          <cell r="C2040" t="str">
            <v>P</v>
          </cell>
          <cell r="D2040" t="str">
            <v>23020</v>
          </cell>
          <cell r="E2040" t="str">
            <v>PIPE</v>
          </cell>
          <cell r="F2040">
            <v>1</v>
          </cell>
          <cell r="G2040" t="str">
            <v>CB100408000200</v>
          </cell>
          <cell r="H2040">
            <v>2</v>
          </cell>
          <cell r="I2040" t="str">
            <v>--</v>
          </cell>
          <cell r="J2040">
            <v>15</v>
          </cell>
          <cell r="K2040">
            <v>16.5</v>
          </cell>
        </row>
        <row r="2041">
          <cell r="A2041" t="str">
            <v>M2</v>
          </cell>
          <cell r="B2041" t="str">
            <v>A5C</v>
          </cell>
          <cell r="C2041" t="str">
            <v>P</v>
          </cell>
          <cell r="D2041" t="str">
            <v>23036</v>
          </cell>
          <cell r="E2041" t="str">
            <v>PIPE</v>
          </cell>
          <cell r="F2041">
            <v>1</v>
          </cell>
          <cell r="G2041" t="str">
            <v>CB100408000200</v>
          </cell>
          <cell r="H2041">
            <v>2</v>
          </cell>
          <cell r="I2041" t="str">
            <v>--</v>
          </cell>
          <cell r="J2041">
            <v>17.3</v>
          </cell>
          <cell r="K2041">
            <v>19.100000000000001</v>
          </cell>
        </row>
        <row r="2042">
          <cell r="A2042" t="str">
            <v>M2</v>
          </cell>
          <cell r="B2042" t="str">
            <v>A5C</v>
          </cell>
          <cell r="C2042" t="str">
            <v>P</v>
          </cell>
          <cell r="D2042" t="str">
            <v>23030</v>
          </cell>
          <cell r="E2042" t="str">
            <v>PIPE</v>
          </cell>
          <cell r="F2042">
            <v>1</v>
          </cell>
          <cell r="G2042" t="str">
            <v>CB100408000200</v>
          </cell>
          <cell r="H2042">
            <v>2</v>
          </cell>
          <cell r="I2042" t="str">
            <v>--</v>
          </cell>
          <cell r="J2042">
            <v>17.5</v>
          </cell>
          <cell r="K2042">
            <v>19.3</v>
          </cell>
        </row>
        <row r="2043">
          <cell r="A2043" t="str">
            <v>M2</v>
          </cell>
          <cell r="B2043" t="str">
            <v>A5C</v>
          </cell>
          <cell r="C2043" t="str">
            <v>P</v>
          </cell>
          <cell r="D2043" t="str">
            <v>23001</v>
          </cell>
          <cell r="E2043" t="str">
            <v>PIPE</v>
          </cell>
          <cell r="F2043">
            <v>1</v>
          </cell>
          <cell r="G2043" t="str">
            <v>CB100408000200</v>
          </cell>
          <cell r="H2043">
            <v>2</v>
          </cell>
          <cell r="I2043" t="str">
            <v>--</v>
          </cell>
          <cell r="J2043">
            <v>17.899999999999999</v>
          </cell>
          <cell r="K2043">
            <v>19.7</v>
          </cell>
        </row>
        <row r="2044">
          <cell r="A2044" t="str">
            <v>M2</v>
          </cell>
          <cell r="B2044" t="str">
            <v>A5C</v>
          </cell>
          <cell r="C2044" t="str">
            <v>P</v>
          </cell>
          <cell r="D2044" t="str">
            <v>23264</v>
          </cell>
          <cell r="E2044" t="str">
            <v>PIPE</v>
          </cell>
          <cell r="F2044">
            <v>1</v>
          </cell>
          <cell r="G2044" t="str">
            <v>CB100408000200</v>
          </cell>
          <cell r="H2044">
            <v>2</v>
          </cell>
          <cell r="I2044" t="str">
            <v>--</v>
          </cell>
          <cell r="J2044">
            <v>18</v>
          </cell>
          <cell r="K2044">
            <v>19.8</v>
          </cell>
        </row>
        <row r="2045">
          <cell r="A2045" t="str">
            <v>M2</v>
          </cell>
          <cell r="B2045" t="str">
            <v>A5C</v>
          </cell>
          <cell r="C2045" t="str">
            <v>P</v>
          </cell>
          <cell r="D2045" t="str">
            <v>23085</v>
          </cell>
          <cell r="E2045" t="str">
            <v>PIPE</v>
          </cell>
          <cell r="F2045">
            <v>1</v>
          </cell>
          <cell r="G2045" t="str">
            <v>CB100408000200</v>
          </cell>
          <cell r="H2045">
            <v>2</v>
          </cell>
          <cell r="I2045" t="str">
            <v>--</v>
          </cell>
          <cell r="J2045">
            <v>18.5</v>
          </cell>
          <cell r="K2045">
            <v>20.399999999999999</v>
          </cell>
        </row>
        <row r="2046">
          <cell r="A2046" t="str">
            <v>M2</v>
          </cell>
          <cell r="B2046" t="str">
            <v>A5C</v>
          </cell>
          <cell r="C2046" t="str">
            <v>P</v>
          </cell>
          <cell r="D2046" t="str">
            <v>23192</v>
          </cell>
          <cell r="E2046" t="str">
            <v>PIPE</v>
          </cell>
          <cell r="F2046">
            <v>1</v>
          </cell>
          <cell r="G2046" t="str">
            <v>CB100408000200</v>
          </cell>
          <cell r="H2046">
            <v>2</v>
          </cell>
          <cell r="I2046" t="str">
            <v>--</v>
          </cell>
          <cell r="J2046">
            <v>20</v>
          </cell>
          <cell r="K2046">
            <v>22</v>
          </cell>
        </row>
        <row r="2047">
          <cell r="A2047" t="str">
            <v>M2</v>
          </cell>
          <cell r="B2047" t="str">
            <v>A5C</v>
          </cell>
          <cell r="C2047" t="str">
            <v>P</v>
          </cell>
          <cell r="D2047" t="str">
            <v>23263</v>
          </cell>
          <cell r="E2047" t="str">
            <v>PIPE</v>
          </cell>
          <cell r="F2047">
            <v>1</v>
          </cell>
          <cell r="G2047" t="str">
            <v>CB100408000200</v>
          </cell>
          <cell r="H2047">
            <v>2</v>
          </cell>
          <cell r="I2047" t="str">
            <v>--</v>
          </cell>
          <cell r="J2047">
            <v>23</v>
          </cell>
          <cell r="K2047">
            <v>25.3</v>
          </cell>
        </row>
        <row r="2048">
          <cell r="A2048" t="str">
            <v>M2</v>
          </cell>
          <cell r="B2048" t="str">
            <v>A5C</v>
          </cell>
          <cell r="C2048" t="str">
            <v>P</v>
          </cell>
          <cell r="D2048" t="str">
            <v>23192</v>
          </cell>
          <cell r="E2048" t="str">
            <v>PIPE</v>
          </cell>
          <cell r="F2048">
            <v>1</v>
          </cell>
          <cell r="G2048" t="str">
            <v>CB100408000200</v>
          </cell>
          <cell r="H2048">
            <v>2</v>
          </cell>
          <cell r="I2048" t="str">
            <v>--</v>
          </cell>
          <cell r="J2048">
            <v>29</v>
          </cell>
          <cell r="K2048">
            <v>31.9</v>
          </cell>
        </row>
        <row r="2049">
          <cell r="A2049" t="str">
            <v>M2</v>
          </cell>
          <cell r="B2049" t="str">
            <v>A5C</v>
          </cell>
          <cell r="C2049" t="str">
            <v>P</v>
          </cell>
          <cell r="D2049" t="str">
            <v>23131</v>
          </cell>
          <cell r="E2049" t="str">
            <v>PIPE</v>
          </cell>
          <cell r="F2049">
            <v>1</v>
          </cell>
          <cell r="G2049" t="str">
            <v>CB100408000200</v>
          </cell>
          <cell r="H2049">
            <v>2</v>
          </cell>
          <cell r="I2049" t="str">
            <v>--</v>
          </cell>
          <cell r="J2049">
            <v>32.5</v>
          </cell>
          <cell r="K2049">
            <v>35.799999999999997</v>
          </cell>
        </row>
        <row r="2050">
          <cell r="A2050" t="str">
            <v>M2</v>
          </cell>
          <cell r="B2050" t="str">
            <v>A5C</v>
          </cell>
          <cell r="C2050" t="str">
            <v>P</v>
          </cell>
          <cell r="D2050" t="str">
            <v>23092</v>
          </cell>
          <cell r="E2050" t="str">
            <v>PIPE</v>
          </cell>
          <cell r="F2050">
            <v>1</v>
          </cell>
          <cell r="G2050" t="str">
            <v>CB100408000200</v>
          </cell>
          <cell r="H2050">
            <v>2</v>
          </cell>
          <cell r="I2050" t="str">
            <v>--</v>
          </cell>
          <cell r="J2050">
            <v>32.5</v>
          </cell>
          <cell r="K2050">
            <v>35.799999999999997</v>
          </cell>
        </row>
        <row r="2051">
          <cell r="A2051" t="str">
            <v>M2</v>
          </cell>
          <cell r="B2051" t="str">
            <v>A5C</v>
          </cell>
          <cell r="C2051" t="str">
            <v>P</v>
          </cell>
          <cell r="D2051" t="str">
            <v>23096</v>
          </cell>
          <cell r="E2051" t="str">
            <v>PIPE</v>
          </cell>
          <cell r="F2051">
            <v>1</v>
          </cell>
          <cell r="G2051" t="str">
            <v>CB100408000200</v>
          </cell>
          <cell r="H2051">
            <v>2</v>
          </cell>
          <cell r="I2051" t="str">
            <v>--</v>
          </cell>
          <cell r="J2051">
            <v>33.5</v>
          </cell>
          <cell r="K2051">
            <v>36.9</v>
          </cell>
        </row>
        <row r="2052">
          <cell r="A2052" t="str">
            <v>M2</v>
          </cell>
          <cell r="B2052" t="str">
            <v>A5C</v>
          </cell>
          <cell r="C2052" t="str">
            <v>P</v>
          </cell>
          <cell r="D2052" t="str">
            <v>23135</v>
          </cell>
          <cell r="E2052" t="str">
            <v>PIPE</v>
          </cell>
          <cell r="F2052">
            <v>1</v>
          </cell>
          <cell r="G2052" t="str">
            <v>CB100408000200</v>
          </cell>
          <cell r="H2052">
            <v>2</v>
          </cell>
          <cell r="I2052" t="str">
            <v>--</v>
          </cell>
          <cell r="J2052">
            <v>33.5</v>
          </cell>
          <cell r="K2052">
            <v>36.9</v>
          </cell>
        </row>
        <row r="2053">
          <cell r="A2053" t="str">
            <v>M2</v>
          </cell>
          <cell r="B2053" t="str">
            <v>A5C</v>
          </cell>
          <cell r="C2053" t="str">
            <v>P</v>
          </cell>
          <cell r="D2053" t="str">
            <v>23020</v>
          </cell>
          <cell r="E2053" t="str">
            <v>PIPE</v>
          </cell>
          <cell r="F2053">
            <v>1</v>
          </cell>
          <cell r="G2053" t="str">
            <v>CB100408000200</v>
          </cell>
          <cell r="H2053">
            <v>2</v>
          </cell>
          <cell r="I2053" t="str">
            <v>--</v>
          </cell>
          <cell r="J2053">
            <v>34.1</v>
          </cell>
          <cell r="K2053">
            <v>37.6</v>
          </cell>
        </row>
        <row r="2054">
          <cell r="A2054" t="str">
            <v>M2</v>
          </cell>
          <cell r="B2054" t="str">
            <v>A5C</v>
          </cell>
          <cell r="C2054" t="str">
            <v>P</v>
          </cell>
          <cell r="D2054" t="str">
            <v>HOLD1</v>
          </cell>
          <cell r="E2054" t="str">
            <v>PIPE</v>
          </cell>
          <cell r="F2054">
            <v>1</v>
          </cell>
          <cell r="G2054" t="str">
            <v>CB100408000200</v>
          </cell>
          <cell r="H2054">
            <v>2</v>
          </cell>
          <cell r="I2054" t="str">
            <v>--</v>
          </cell>
          <cell r="J2054">
            <v>51</v>
          </cell>
          <cell r="K2054">
            <v>56.1</v>
          </cell>
        </row>
        <row r="2055">
          <cell r="A2055" t="str">
            <v>M2</v>
          </cell>
          <cell r="B2055" t="str">
            <v>A5C</v>
          </cell>
          <cell r="C2055" t="str">
            <v>P</v>
          </cell>
          <cell r="D2055" t="str">
            <v>23054</v>
          </cell>
          <cell r="E2055" t="str">
            <v>PIPE</v>
          </cell>
          <cell r="F2055">
            <v>1</v>
          </cell>
          <cell r="G2055" t="str">
            <v>CB100408000200</v>
          </cell>
          <cell r="H2055">
            <v>2</v>
          </cell>
          <cell r="I2055" t="str">
            <v>--</v>
          </cell>
          <cell r="J2055">
            <v>54.1</v>
          </cell>
          <cell r="K2055">
            <v>59.6</v>
          </cell>
        </row>
        <row r="2056">
          <cell r="A2056" t="str">
            <v>M2</v>
          </cell>
          <cell r="B2056" t="str">
            <v>A5C</v>
          </cell>
          <cell r="C2056" t="str">
            <v>P</v>
          </cell>
          <cell r="D2056" t="str">
            <v>23174</v>
          </cell>
          <cell r="E2056" t="str">
            <v>PIPE</v>
          </cell>
          <cell r="F2056">
            <v>1</v>
          </cell>
          <cell r="G2056" t="str">
            <v>CB100404000300</v>
          </cell>
          <cell r="H2056">
            <v>3</v>
          </cell>
          <cell r="I2056" t="str">
            <v>--</v>
          </cell>
          <cell r="J2056">
            <v>1</v>
          </cell>
          <cell r="K2056">
            <v>1.1000000000000001</v>
          </cell>
        </row>
        <row r="2057">
          <cell r="A2057" t="str">
            <v>M2</v>
          </cell>
          <cell r="B2057" t="str">
            <v>A5C</v>
          </cell>
          <cell r="C2057" t="str">
            <v>P</v>
          </cell>
          <cell r="D2057" t="str">
            <v>23024</v>
          </cell>
          <cell r="E2057" t="str">
            <v>PIPE</v>
          </cell>
          <cell r="F2057">
            <v>1</v>
          </cell>
          <cell r="G2057" t="str">
            <v>CB100404000300</v>
          </cell>
          <cell r="H2057">
            <v>3</v>
          </cell>
          <cell r="I2057" t="str">
            <v>--</v>
          </cell>
          <cell r="J2057">
            <v>1</v>
          </cell>
          <cell r="K2057">
            <v>1.1000000000000001</v>
          </cell>
        </row>
        <row r="2058">
          <cell r="A2058" t="str">
            <v>M2</v>
          </cell>
          <cell r="B2058" t="str">
            <v>A5C</v>
          </cell>
          <cell r="C2058" t="str">
            <v>P</v>
          </cell>
          <cell r="D2058" t="str">
            <v>23094</v>
          </cell>
          <cell r="E2058" t="str">
            <v>PIPE</v>
          </cell>
          <cell r="F2058">
            <v>1</v>
          </cell>
          <cell r="G2058" t="str">
            <v>CB100404000300</v>
          </cell>
          <cell r="H2058">
            <v>3</v>
          </cell>
          <cell r="I2058" t="str">
            <v>--</v>
          </cell>
          <cell r="J2058">
            <v>2</v>
          </cell>
          <cell r="K2058">
            <v>2.2000000000000002</v>
          </cell>
        </row>
        <row r="2059">
          <cell r="A2059" t="str">
            <v>M2</v>
          </cell>
          <cell r="B2059" t="str">
            <v>A5C</v>
          </cell>
          <cell r="C2059" t="str">
            <v>P</v>
          </cell>
          <cell r="D2059" t="str">
            <v>23101</v>
          </cell>
          <cell r="E2059" t="str">
            <v>PIPE</v>
          </cell>
          <cell r="F2059">
            <v>1</v>
          </cell>
          <cell r="G2059" t="str">
            <v>CB100404000300</v>
          </cell>
          <cell r="H2059">
            <v>3</v>
          </cell>
          <cell r="I2059" t="str">
            <v>--</v>
          </cell>
          <cell r="J2059">
            <v>2</v>
          </cell>
          <cell r="K2059">
            <v>2.2000000000000002</v>
          </cell>
        </row>
        <row r="2060">
          <cell r="A2060" t="str">
            <v>M2</v>
          </cell>
          <cell r="B2060" t="str">
            <v>A5C</v>
          </cell>
          <cell r="C2060" t="str">
            <v>P</v>
          </cell>
          <cell r="D2060" t="str">
            <v>23105</v>
          </cell>
          <cell r="E2060" t="str">
            <v>PIPE</v>
          </cell>
          <cell r="F2060">
            <v>1</v>
          </cell>
          <cell r="G2060" t="str">
            <v>CB100404000300</v>
          </cell>
          <cell r="H2060">
            <v>3</v>
          </cell>
          <cell r="I2060" t="str">
            <v>--</v>
          </cell>
          <cell r="J2060">
            <v>2</v>
          </cell>
          <cell r="K2060">
            <v>2.2000000000000002</v>
          </cell>
        </row>
        <row r="2061">
          <cell r="A2061" t="str">
            <v>M2</v>
          </cell>
          <cell r="B2061" t="str">
            <v>A5C</v>
          </cell>
          <cell r="C2061" t="str">
            <v>P</v>
          </cell>
          <cell r="D2061" t="str">
            <v>23109</v>
          </cell>
          <cell r="E2061" t="str">
            <v>PIPE</v>
          </cell>
          <cell r="F2061">
            <v>1</v>
          </cell>
          <cell r="G2061" t="str">
            <v>CB100404000300</v>
          </cell>
          <cell r="H2061">
            <v>3</v>
          </cell>
          <cell r="I2061" t="str">
            <v>--</v>
          </cell>
          <cell r="J2061">
            <v>2</v>
          </cell>
          <cell r="K2061">
            <v>2.2000000000000002</v>
          </cell>
        </row>
        <row r="2062">
          <cell r="A2062" t="str">
            <v>M2</v>
          </cell>
          <cell r="B2062" t="str">
            <v>A5C</v>
          </cell>
          <cell r="C2062" t="str">
            <v>P</v>
          </cell>
          <cell r="D2062" t="str">
            <v>23141</v>
          </cell>
          <cell r="E2062" t="str">
            <v>PIPE</v>
          </cell>
          <cell r="F2062">
            <v>1</v>
          </cell>
          <cell r="G2062" t="str">
            <v>CB100404000300</v>
          </cell>
          <cell r="H2062">
            <v>3</v>
          </cell>
          <cell r="I2062" t="str">
            <v>--</v>
          </cell>
          <cell r="J2062">
            <v>2</v>
          </cell>
          <cell r="K2062">
            <v>2.2000000000000002</v>
          </cell>
        </row>
        <row r="2063">
          <cell r="A2063" t="str">
            <v>M2</v>
          </cell>
          <cell r="B2063" t="str">
            <v>A5C</v>
          </cell>
          <cell r="C2063" t="str">
            <v>P</v>
          </cell>
          <cell r="D2063" t="str">
            <v>23234</v>
          </cell>
          <cell r="E2063" t="str">
            <v>PIPE</v>
          </cell>
          <cell r="F2063">
            <v>1</v>
          </cell>
          <cell r="G2063" t="str">
            <v>CB100404000300</v>
          </cell>
          <cell r="H2063">
            <v>3</v>
          </cell>
          <cell r="I2063" t="str">
            <v>--</v>
          </cell>
          <cell r="J2063">
            <v>2</v>
          </cell>
          <cell r="K2063">
            <v>2.2000000000000002</v>
          </cell>
        </row>
        <row r="2064">
          <cell r="A2064" t="str">
            <v>M2</v>
          </cell>
          <cell r="B2064" t="str">
            <v>A5C</v>
          </cell>
          <cell r="C2064" t="str">
            <v>P</v>
          </cell>
          <cell r="D2064" t="str">
            <v>23113</v>
          </cell>
          <cell r="E2064" t="str">
            <v>PIPE</v>
          </cell>
          <cell r="F2064">
            <v>1</v>
          </cell>
          <cell r="G2064" t="str">
            <v>CB100404000300</v>
          </cell>
          <cell r="H2064">
            <v>3</v>
          </cell>
          <cell r="I2064" t="str">
            <v>--</v>
          </cell>
          <cell r="J2064">
            <v>2</v>
          </cell>
          <cell r="K2064">
            <v>2.2000000000000002</v>
          </cell>
        </row>
        <row r="2065">
          <cell r="A2065" t="str">
            <v>M2</v>
          </cell>
          <cell r="B2065" t="str">
            <v>A5C</v>
          </cell>
          <cell r="C2065" t="str">
            <v>P</v>
          </cell>
          <cell r="D2065" t="str">
            <v>23133</v>
          </cell>
          <cell r="E2065" t="str">
            <v>PIPE</v>
          </cell>
          <cell r="F2065">
            <v>1</v>
          </cell>
          <cell r="G2065" t="str">
            <v>CB100404000300</v>
          </cell>
          <cell r="H2065">
            <v>3</v>
          </cell>
          <cell r="I2065" t="str">
            <v>--</v>
          </cell>
          <cell r="J2065">
            <v>2</v>
          </cell>
          <cell r="K2065">
            <v>2.2000000000000002</v>
          </cell>
        </row>
        <row r="2066">
          <cell r="A2066" t="str">
            <v>M2</v>
          </cell>
          <cell r="B2066" t="str">
            <v>A5C</v>
          </cell>
          <cell r="C2066" t="str">
            <v>P</v>
          </cell>
          <cell r="D2066" t="str">
            <v>23145</v>
          </cell>
          <cell r="E2066" t="str">
            <v>PIPE</v>
          </cell>
          <cell r="F2066">
            <v>1</v>
          </cell>
          <cell r="G2066" t="str">
            <v>CB100404000300</v>
          </cell>
          <cell r="H2066">
            <v>3</v>
          </cell>
          <cell r="I2066" t="str">
            <v>--</v>
          </cell>
          <cell r="J2066">
            <v>2</v>
          </cell>
          <cell r="K2066">
            <v>2.2000000000000002</v>
          </cell>
        </row>
        <row r="2067">
          <cell r="A2067" t="str">
            <v>M2</v>
          </cell>
          <cell r="B2067" t="str">
            <v>A5C</v>
          </cell>
          <cell r="C2067" t="str">
            <v>P</v>
          </cell>
          <cell r="D2067" t="str">
            <v>23238</v>
          </cell>
          <cell r="E2067" t="str">
            <v>PIPE</v>
          </cell>
          <cell r="F2067">
            <v>1</v>
          </cell>
          <cell r="G2067" t="str">
            <v>CB100404000300</v>
          </cell>
          <cell r="H2067">
            <v>3</v>
          </cell>
          <cell r="I2067" t="str">
            <v>--</v>
          </cell>
          <cell r="J2067">
            <v>2</v>
          </cell>
          <cell r="K2067">
            <v>2.2000000000000002</v>
          </cell>
        </row>
        <row r="2068">
          <cell r="A2068" t="str">
            <v>M2</v>
          </cell>
          <cell r="B2068" t="str">
            <v>A5C</v>
          </cell>
          <cell r="C2068" t="str">
            <v>P</v>
          </cell>
          <cell r="D2068" t="str">
            <v>23071</v>
          </cell>
          <cell r="E2068" t="str">
            <v>PIPE</v>
          </cell>
          <cell r="F2068">
            <v>1</v>
          </cell>
          <cell r="G2068" t="str">
            <v>CB100404000300</v>
          </cell>
          <cell r="H2068">
            <v>3</v>
          </cell>
          <cell r="I2068" t="str">
            <v>--</v>
          </cell>
          <cell r="J2068">
            <v>2</v>
          </cell>
          <cell r="K2068">
            <v>2.2000000000000002</v>
          </cell>
        </row>
        <row r="2069">
          <cell r="A2069" t="str">
            <v>M2</v>
          </cell>
          <cell r="B2069" t="str">
            <v>A5C</v>
          </cell>
          <cell r="C2069" t="str">
            <v>TRIM</v>
          </cell>
          <cell r="D2069" t="str">
            <v>V-2304</v>
          </cell>
          <cell r="E2069" t="str">
            <v>PIPE</v>
          </cell>
          <cell r="F2069">
            <v>1</v>
          </cell>
          <cell r="G2069" t="str">
            <v>CB100404000300</v>
          </cell>
          <cell r="H2069">
            <v>3</v>
          </cell>
          <cell r="I2069" t="str">
            <v>--</v>
          </cell>
          <cell r="J2069">
            <v>2</v>
          </cell>
          <cell r="K2069">
            <v>2.2000000000000002</v>
          </cell>
        </row>
        <row r="2070">
          <cell r="A2070" t="str">
            <v>M2</v>
          </cell>
          <cell r="B2070" t="str">
            <v>A5C</v>
          </cell>
          <cell r="C2070" t="str">
            <v>TRIM</v>
          </cell>
          <cell r="D2070" t="str">
            <v>V-2306</v>
          </cell>
          <cell r="E2070" t="str">
            <v>PIPE</v>
          </cell>
          <cell r="F2070">
            <v>1</v>
          </cell>
          <cell r="G2070" t="str">
            <v>CB100404000300</v>
          </cell>
          <cell r="H2070">
            <v>3</v>
          </cell>
          <cell r="I2070" t="str">
            <v>--</v>
          </cell>
          <cell r="J2070">
            <v>2</v>
          </cell>
          <cell r="K2070">
            <v>2.2000000000000002</v>
          </cell>
        </row>
        <row r="2071">
          <cell r="A2071" t="str">
            <v>M2</v>
          </cell>
          <cell r="B2071" t="str">
            <v>A5C</v>
          </cell>
          <cell r="C2071" t="str">
            <v>TRIM</v>
          </cell>
          <cell r="D2071" t="str">
            <v>V-2308</v>
          </cell>
          <cell r="E2071" t="str">
            <v>PIPE</v>
          </cell>
          <cell r="F2071">
            <v>1</v>
          </cell>
          <cell r="G2071" t="str">
            <v>CB100404000300</v>
          </cell>
          <cell r="H2071">
            <v>3</v>
          </cell>
          <cell r="I2071" t="str">
            <v>--</v>
          </cell>
          <cell r="J2071">
            <v>2</v>
          </cell>
          <cell r="K2071">
            <v>2.2000000000000002</v>
          </cell>
        </row>
        <row r="2072">
          <cell r="A2072" t="str">
            <v>M2</v>
          </cell>
          <cell r="B2072" t="str">
            <v>A5C</v>
          </cell>
          <cell r="C2072" t="str">
            <v>TRIM</v>
          </cell>
          <cell r="D2072" t="str">
            <v>V-2310</v>
          </cell>
          <cell r="E2072" t="str">
            <v>PIPE</v>
          </cell>
          <cell r="F2072">
            <v>1</v>
          </cell>
          <cell r="G2072" t="str">
            <v>CB100404000300</v>
          </cell>
          <cell r="H2072">
            <v>3</v>
          </cell>
          <cell r="I2072" t="str">
            <v>--</v>
          </cell>
          <cell r="J2072">
            <v>2</v>
          </cell>
          <cell r="K2072">
            <v>2.2000000000000002</v>
          </cell>
        </row>
        <row r="2073">
          <cell r="A2073" t="str">
            <v>M2</v>
          </cell>
          <cell r="B2073" t="str">
            <v>A5C</v>
          </cell>
          <cell r="C2073" t="str">
            <v>TRIM</v>
          </cell>
          <cell r="D2073" t="str">
            <v>V-2313</v>
          </cell>
          <cell r="E2073" t="str">
            <v>PIPE</v>
          </cell>
          <cell r="F2073">
            <v>1</v>
          </cell>
          <cell r="G2073" t="str">
            <v>CB100404000300</v>
          </cell>
          <cell r="H2073">
            <v>3</v>
          </cell>
          <cell r="I2073" t="str">
            <v>--</v>
          </cell>
          <cell r="J2073">
            <v>2</v>
          </cell>
          <cell r="K2073">
            <v>2.2000000000000002</v>
          </cell>
        </row>
        <row r="2074">
          <cell r="A2074" t="str">
            <v>M2</v>
          </cell>
          <cell r="B2074" t="str">
            <v>A5C</v>
          </cell>
          <cell r="C2074" t="str">
            <v>TRIM</v>
          </cell>
          <cell r="D2074" t="str">
            <v>C-2306</v>
          </cell>
          <cell r="E2074" t="str">
            <v>PIPE</v>
          </cell>
          <cell r="F2074">
            <v>1</v>
          </cell>
          <cell r="G2074" t="str">
            <v>CB100404000300</v>
          </cell>
          <cell r="H2074">
            <v>3</v>
          </cell>
          <cell r="I2074" t="str">
            <v>--</v>
          </cell>
          <cell r="J2074">
            <v>2</v>
          </cell>
          <cell r="K2074">
            <v>2.2000000000000002</v>
          </cell>
        </row>
        <row r="2075">
          <cell r="A2075" t="str">
            <v>M2</v>
          </cell>
          <cell r="B2075" t="str">
            <v>A5C</v>
          </cell>
          <cell r="C2075" t="str">
            <v>TRIM</v>
          </cell>
          <cell r="D2075" t="str">
            <v>V-2302</v>
          </cell>
          <cell r="E2075" t="str">
            <v>PIPE</v>
          </cell>
          <cell r="F2075">
            <v>1</v>
          </cell>
          <cell r="G2075" t="str">
            <v>CB100404000300</v>
          </cell>
          <cell r="H2075">
            <v>3</v>
          </cell>
          <cell r="I2075" t="str">
            <v>--</v>
          </cell>
          <cell r="J2075">
            <v>2</v>
          </cell>
          <cell r="K2075">
            <v>2.2000000000000002</v>
          </cell>
        </row>
        <row r="2076">
          <cell r="A2076" t="str">
            <v>M2</v>
          </cell>
          <cell r="B2076" t="str">
            <v>A5C</v>
          </cell>
          <cell r="C2076" t="str">
            <v>P</v>
          </cell>
          <cell r="D2076" t="str">
            <v>24026</v>
          </cell>
          <cell r="E2076" t="str">
            <v>PIPE</v>
          </cell>
          <cell r="F2076">
            <v>1</v>
          </cell>
          <cell r="G2076" t="str">
            <v>CB100404000300</v>
          </cell>
          <cell r="H2076">
            <v>3</v>
          </cell>
          <cell r="I2076" t="str">
            <v>--</v>
          </cell>
          <cell r="J2076">
            <v>2</v>
          </cell>
          <cell r="K2076">
            <v>2.2000000000000002</v>
          </cell>
        </row>
        <row r="2077">
          <cell r="A2077" t="str">
            <v>M2</v>
          </cell>
          <cell r="B2077" t="str">
            <v>A5C</v>
          </cell>
          <cell r="C2077" t="str">
            <v>P</v>
          </cell>
          <cell r="D2077" t="str">
            <v>24002</v>
          </cell>
          <cell r="E2077" t="str">
            <v>PIPE</v>
          </cell>
          <cell r="F2077">
            <v>1</v>
          </cell>
          <cell r="G2077" t="str">
            <v>CB100404000300</v>
          </cell>
          <cell r="H2077">
            <v>3</v>
          </cell>
          <cell r="I2077" t="str">
            <v>--</v>
          </cell>
          <cell r="J2077">
            <v>2</v>
          </cell>
          <cell r="K2077">
            <v>2.2000000000000002</v>
          </cell>
        </row>
        <row r="2078">
          <cell r="A2078" t="str">
            <v>M2</v>
          </cell>
          <cell r="B2078" t="str">
            <v>A5C</v>
          </cell>
          <cell r="C2078" t="str">
            <v>P</v>
          </cell>
          <cell r="D2078" t="str">
            <v>23029</v>
          </cell>
          <cell r="E2078" t="str">
            <v>PIPE</v>
          </cell>
          <cell r="F2078">
            <v>1</v>
          </cell>
          <cell r="G2078" t="str">
            <v>CB100404000300</v>
          </cell>
          <cell r="H2078">
            <v>3</v>
          </cell>
          <cell r="I2078" t="str">
            <v>--</v>
          </cell>
          <cell r="J2078">
            <v>2.2999999999999998</v>
          </cell>
          <cell r="K2078">
            <v>2.6</v>
          </cell>
        </row>
        <row r="2079">
          <cell r="A2079" t="str">
            <v>M2</v>
          </cell>
          <cell r="B2079" t="str">
            <v>A5C</v>
          </cell>
          <cell r="C2079" t="str">
            <v>TRIM</v>
          </cell>
          <cell r="D2079" t="str">
            <v>V-2327</v>
          </cell>
          <cell r="E2079" t="str">
            <v>PIPE</v>
          </cell>
          <cell r="F2079">
            <v>1</v>
          </cell>
          <cell r="G2079" t="str">
            <v>CB100404000300</v>
          </cell>
          <cell r="H2079">
            <v>3</v>
          </cell>
          <cell r="I2079" t="str">
            <v>--</v>
          </cell>
          <cell r="J2079">
            <v>2.5</v>
          </cell>
          <cell r="K2079">
            <v>2.8</v>
          </cell>
        </row>
        <row r="2080">
          <cell r="A2080" t="str">
            <v>M2</v>
          </cell>
          <cell r="B2080" t="str">
            <v>A5C</v>
          </cell>
          <cell r="C2080" t="str">
            <v>TRIM</v>
          </cell>
          <cell r="D2080" t="str">
            <v>V-2351</v>
          </cell>
          <cell r="E2080" t="str">
            <v>PIPE</v>
          </cell>
          <cell r="F2080">
            <v>1</v>
          </cell>
          <cell r="G2080" t="str">
            <v>CB100404000300</v>
          </cell>
          <cell r="H2080">
            <v>3</v>
          </cell>
          <cell r="I2080" t="str">
            <v>--</v>
          </cell>
          <cell r="J2080">
            <v>2.5</v>
          </cell>
          <cell r="K2080">
            <v>2.8</v>
          </cell>
        </row>
        <row r="2081">
          <cell r="A2081" t="str">
            <v>M2</v>
          </cell>
          <cell r="B2081" t="str">
            <v>A5C</v>
          </cell>
          <cell r="C2081" t="str">
            <v>TRIM</v>
          </cell>
          <cell r="D2081" t="str">
            <v>V-2301</v>
          </cell>
          <cell r="E2081" t="str">
            <v>PIPE</v>
          </cell>
          <cell r="F2081">
            <v>1</v>
          </cell>
          <cell r="G2081" t="str">
            <v>CB100404000300</v>
          </cell>
          <cell r="H2081">
            <v>3</v>
          </cell>
          <cell r="I2081" t="str">
            <v>--</v>
          </cell>
          <cell r="J2081">
            <v>2.5</v>
          </cell>
          <cell r="K2081">
            <v>2.8</v>
          </cell>
        </row>
        <row r="2082">
          <cell r="A2082" t="str">
            <v>M2</v>
          </cell>
          <cell r="B2082" t="str">
            <v>A5C</v>
          </cell>
          <cell r="C2082" t="str">
            <v>TRIM</v>
          </cell>
          <cell r="D2082" t="str">
            <v>V-2318</v>
          </cell>
          <cell r="E2082" t="str">
            <v>PIPE</v>
          </cell>
          <cell r="F2082">
            <v>1</v>
          </cell>
          <cell r="G2082" t="str">
            <v>CB100404000300</v>
          </cell>
          <cell r="H2082">
            <v>3</v>
          </cell>
          <cell r="I2082" t="str">
            <v>--</v>
          </cell>
          <cell r="J2082">
            <v>2.5</v>
          </cell>
          <cell r="K2082">
            <v>2.8</v>
          </cell>
        </row>
        <row r="2083">
          <cell r="A2083" t="str">
            <v>M2</v>
          </cell>
          <cell r="B2083" t="str">
            <v>A5C</v>
          </cell>
          <cell r="C2083" t="str">
            <v>TRIM</v>
          </cell>
          <cell r="D2083" t="str">
            <v>V-2319</v>
          </cell>
          <cell r="E2083" t="str">
            <v>PIPE</v>
          </cell>
          <cell r="F2083">
            <v>1</v>
          </cell>
          <cell r="G2083" t="str">
            <v>CB100404000300</v>
          </cell>
          <cell r="H2083">
            <v>3</v>
          </cell>
          <cell r="I2083" t="str">
            <v>--</v>
          </cell>
          <cell r="J2083">
            <v>2.5</v>
          </cell>
          <cell r="K2083">
            <v>2.8</v>
          </cell>
        </row>
        <row r="2084">
          <cell r="A2084" t="str">
            <v>M2</v>
          </cell>
          <cell r="B2084" t="str">
            <v>A5C</v>
          </cell>
          <cell r="C2084" t="str">
            <v>TRIM</v>
          </cell>
          <cell r="D2084" t="str">
            <v>V-2326</v>
          </cell>
          <cell r="E2084" t="str">
            <v>PIPE</v>
          </cell>
          <cell r="F2084">
            <v>1</v>
          </cell>
          <cell r="G2084" t="str">
            <v>CB100404000300</v>
          </cell>
          <cell r="H2084">
            <v>3</v>
          </cell>
          <cell r="I2084" t="str">
            <v>--</v>
          </cell>
          <cell r="J2084">
            <v>2.5</v>
          </cell>
          <cell r="K2084">
            <v>2.8</v>
          </cell>
        </row>
        <row r="2085">
          <cell r="A2085" t="str">
            <v>M2</v>
          </cell>
          <cell r="B2085" t="str">
            <v>A5C</v>
          </cell>
          <cell r="C2085" t="str">
            <v>TRIM</v>
          </cell>
          <cell r="D2085" t="str">
            <v>V-2328</v>
          </cell>
          <cell r="E2085" t="str">
            <v>PIPE</v>
          </cell>
          <cell r="F2085">
            <v>1</v>
          </cell>
          <cell r="G2085" t="str">
            <v>CB100404000300</v>
          </cell>
          <cell r="H2085">
            <v>3</v>
          </cell>
          <cell r="I2085" t="str">
            <v>--</v>
          </cell>
          <cell r="J2085">
            <v>2.5</v>
          </cell>
          <cell r="K2085">
            <v>2.8</v>
          </cell>
        </row>
        <row r="2086">
          <cell r="A2086" t="str">
            <v>M2</v>
          </cell>
          <cell r="B2086" t="str">
            <v>A5C</v>
          </cell>
          <cell r="C2086" t="str">
            <v>TRIM</v>
          </cell>
          <cell r="D2086" t="str">
            <v>C-2303</v>
          </cell>
          <cell r="E2086" t="str">
            <v>PIPE</v>
          </cell>
          <cell r="F2086">
            <v>1</v>
          </cell>
          <cell r="G2086" t="str">
            <v>CB100404000300</v>
          </cell>
          <cell r="H2086">
            <v>3</v>
          </cell>
          <cell r="I2086" t="str">
            <v>--</v>
          </cell>
          <cell r="J2086">
            <v>2.5</v>
          </cell>
          <cell r="K2086">
            <v>2.8</v>
          </cell>
        </row>
        <row r="2087">
          <cell r="A2087" t="str">
            <v>M2</v>
          </cell>
          <cell r="B2087" t="str">
            <v>A5C</v>
          </cell>
          <cell r="C2087" t="str">
            <v>TRIM</v>
          </cell>
          <cell r="D2087" t="str">
            <v>C-2304</v>
          </cell>
          <cell r="E2087" t="str">
            <v>PIPE</v>
          </cell>
          <cell r="F2087">
            <v>1</v>
          </cell>
          <cell r="G2087" t="str">
            <v>CB100404000300</v>
          </cell>
          <cell r="H2087">
            <v>3</v>
          </cell>
          <cell r="I2087" t="str">
            <v>--</v>
          </cell>
          <cell r="J2087">
            <v>2.5</v>
          </cell>
          <cell r="K2087">
            <v>2.8</v>
          </cell>
        </row>
        <row r="2088">
          <cell r="A2088" t="str">
            <v>M2</v>
          </cell>
          <cell r="B2088" t="str">
            <v>A5C</v>
          </cell>
          <cell r="C2088" t="str">
            <v>TRIM</v>
          </cell>
          <cell r="D2088" t="str">
            <v>C-2305</v>
          </cell>
          <cell r="E2088" t="str">
            <v>PIPE</v>
          </cell>
          <cell r="F2088">
            <v>1</v>
          </cell>
          <cell r="G2088" t="str">
            <v>CB100404000300</v>
          </cell>
          <cell r="H2088">
            <v>3</v>
          </cell>
          <cell r="I2088" t="str">
            <v>--</v>
          </cell>
          <cell r="J2088">
            <v>2.5</v>
          </cell>
          <cell r="K2088">
            <v>2.8</v>
          </cell>
        </row>
        <row r="2089">
          <cell r="A2089" t="str">
            <v>M2</v>
          </cell>
          <cell r="B2089" t="str">
            <v>A5C</v>
          </cell>
          <cell r="C2089" t="str">
            <v>TRIM</v>
          </cell>
          <cell r="D2089" t="str">
            <v>C-2302</v>
          </cell>
          <cell r="E2089" t="str">
            <v>PIPE</v>
          </cell>
          <cell r="F2089">
            <v>1</v>
          </cell>
          <cell r="G2089" t="str">
            <v>CB100404000300</v>
          </cell>
          <cell r="H2089">
            <v>3</v>
          </cell>
          <cell r="I2089" t="str">
            <v>--</v>
          </cell>
          <cell r="J2089">
            <v>2.5</v>
          </cell>
          <cell r="K2089">
            <v>2.8</v>
          </cell>
        </row>
        <row r="2090">
          <cell r="A2090" t="str">
            <v>M2</v>
          </cell>
          <cell r="B2090" t="str">
            <v>A5C</v>
          </cell>
          <cell r="C2090" t="str">
            <v>TRIM</v>
          </cell>
          <cell r="D2090" t="str">
            <v>C-2301</v>
          </cell>
          <cell r="E2090" t="str">
            <v>PIPE</v>
          </cell>
          <cell r="F2090">
            <v>1</v>
          </cell>
          <cell r="G2090" t="str">
            <v>CB100404000300</v>
          </cell>
          <cell r="H2090">
            <v>3</v>
          </cell>
          <cell r="I2090" t="str">
            <v>--</v>
          </cell>
          <cell r="J2090">
            <v>2.5</v>
          </cell>
          <cell r="K2090">
            <v>2.8</v>
          </cell>
        </row>
        <row r="2091">
          <cell r="A2091" t="str">
            <v>M2</v>
          </cell>
          <cell r="B2091" t="str">
            <v>A5C</v>
          </cell>
          <cell r="C2091" t="str">
            <v>TRIM</v>
          </cell>
          <cell r="D2091" t="str">
            <v>V-2332</v>
          </cell>
          <cell r="E2091" t="str">
            <v>PIPE</v>
          </cell>
          <cell r="F2091">
            <v>1</v>
          </cell>
          <cell r="G2091" t="str">
            <v>CB100404000300</v>
          </cell>
          <cell r="H2091">
            <v>3</v>
          </cell>
          <cell r="I2091" t="str">
            <v>--</v>
          </cell>
          <cell r="J2091">
            <v>2.8</v>
          </cell>
          <cell r="K2091">
            <v>3.1</v>
          </cell>
        </row>
        <row r="2092">
          <cell r="A2092" t="str">
            <v>M2</v>
          </cell>
          <cell r="B2092" t="str">
            <v>A5C</v>
          </cell>
          <cell r="C2092" t="str">
            <v>P</v>
          </cell>
          <cell r="D2092" t="str">
            <v>23106</v>
          </cell>
          <cell r="E2092" t="str">
            <v>PIPE</v>
          </cell>
          <cell r="F2092">
            <v>1</v>
          </cell>
          <cell r="G2092" t="str">
            <v>CB100404000300</v>
          </cell>
          <cell r="H2092">
            <v>3</v>
          </cell>
          <cell r="I2092" t="str">
            <v>--</v>
          </cell>
          <cell r="J2092">
            <v>3</v>
          </cell>
          <cell r="K2092">
            <v>3.3</v>
          </cell>
        </row>
        <row r="2093">
          <cell r="A2093" t="str">
            <v>M2</v>
          </cell>
          <cell r="B2093" t="str">
            <v>A5C</v>
          </cell>
          <cell r="C2093" t="str">
            <v>P</v>
          </cell>
          <cell r="D2093" t="str">
            <v>23240</v>
          </cell>
          <cell r="E2093" t="str">
            <v>PIPE</v>
          </cell>
          <cell r="F2093">
            <v>1</v>
          </cell>
          <cell r="G2093" t="str">
            <v>CB100404000300</v>
          </cell>
          <cell r="H2093">
            <v>3</v>
          </cell>
          <cell r="I2093" t="str">
            <v>--</v>
          </cell>
          <cell r="J2093">
            <v>3</v>
          </cell>
          <cell r="K2093">
            <v>3.3</v>
          </cell>
        </row>
        <row r="2094">
          <cell r="A2094" t="str">
            <v>M2</v>
          </cell>
          <cell r="B2094" t="str">
            <v>A5C</v>
          </cell>
          <cell r="C2094" t="str">
            <v>P</v>
          </cell>
          <cell r="D2094" t="str">
            <v>23236</v>
          </cell>
          <cell r="E2094" t="str">
            <v>PIPE</v>
          </cell>
          <cell r="F2094">
            <v>1</v>
          </cell>
          <cell r="G2094" t="str">
            <v>CB100404000300</v>
          </cell>
          <cell r="H2094">
            <v>3</v>
          </cell>
          <cell r="I2094" t="str">
            <v>--</v>
          </cell>
          <cell r="J2094">
            <v>3</v>
          </cell>
          <cell r="K2094">
            <v>3.3</v>
          </cell>
        </row>
        <row r="2095">
          <cell r="A2095" t="str">
            <v>M2</v>
          </cell>
          <cell r="B2095" t="str">
            <v>A5C</v>
          </cell>
          <cell r="C2095" t="str">
            <v>TRIM</v>
          </cell>
          <cell r="D2095" t="str">
            <v>V-2316</v>
          </cell>
          <cell r="E2095" t="str">
            <v>PIPE</v>
          </cell>
          <cell r="F2095">
            <v>1</v>
          </cell>
          <cell r="G2095" t="str">
            <v>CB100404000300</v>
          </cell>
          <cell r="H2095">
            <v>3</v>
          </cell>
          <cell r="I2095" t="str">
            <v>--</v>
          </cell>
          <cell r="J2095">
            <v>3</v>
          </cell>
          <cell r="K2095">
            <v>3.3</v>
          </cell>
        </row>
        <row r="2096">
          <cell r="A2096" t="str">
            <v>M2</v>
          </cell>
          <cell r="B2096" t="str">
            <v>A5C</v>
          </cell>
          <cell r="C2096" t="str">
            <v>TRIM</v>
          </cell>
          <cell r="D2096" t="str">
            <v>V-2325</v>
          </cell>
          <cell r="E2096" t="str">
            <v>PIPE</v>
          </cell>
          <cell r="F2096">
            <v>1</v>
          </cell>
          <cell r="G2096" t="str">
            <v>CB100404000300</v>
          </cell>
          <cell r="H2096">
            <v>3</v>
          </cell>
          <cell r="I2096" t="str">
            <v>--</v>
          </cell>
          <cell r="J2096">
            <v>3</v>
          </cell>
          <cell r="K2096">
            <v>3.3</v>
          </cell>
        </row>
        <row r="2097">
          <cell r="A2097" t="str">
            <v>M2</v>
          </cell>
          <cell r="B2097" t="str">
            <v>A5C</v>
          </cell>
          <cell r="C2097" t="str">
            <v>TRIM</v>
          </cell>
          <cell r="D2097" t="str">
            <v>V-2403</v>
          </cell>
          <cell r="E2097" t="str">
            <v>PIPE</v>
          </cell>
          <cell r="F2097">
            <v>1</v>
          </cell>
          <cell r="G2097" t="str">
            <v>CB100404000300</v>
          </cell>
          <cell r="H2097">
            <v>3</v>
          </cell>
          <cell r="I2097" t="str">
            <v>--</v>
          </cell>
          <cell r="J2097">
            <v>3</v>
          </cell>
          <cell r="K2097">
            <v>3.3</v>
          </cell>
        </row>
        <row r="2098">
          <cell r="A2098" t="str">
            <v>M2</v>
          </cell>
          <cell r="B2098" t="str">
            <v>A5C</v>
          </cell>
          <cell r="C2098" t="str">
            <v>TRIM</v>
          </cell>
          <cell r="D2098" t="str">
            <v>R-2401</v>
          </cell>
          <cell r="E2098" t="str">
            <v>PIPE</v>
          </cell>
          <cell r="F2098">
            <v>1</v>
          </cell>
          <cell r="G2098" t="str">
            <v>CB100404000300</v>
          </cell>
          <cell r="H2098">
            <v>3</v>
          </cell>
          <cell r="I2098" t="str">
            <v>--</v>
          </cell>
          <cell r="J2098">
            <v>3</v>
          </cell>
          <cell r="K2098">
            <v>3.3</v>
          </cell>
        </row>
        <row r="2099">
          <cell r="A2099" t="str">
            <v>M2</v>
          </cell>
          <cell r="B2099" t="str">
            <v>A5C</v>
          </cell>
          <cell r="C2099" t="str">
            <v>TRIM</v>
          </cell>
          <cell r="D2099" t="str">
            <v>V-2401</v>
          </cell>
          <cell r="E2099" t="str">
            <v>PIPE</v>
          </cell>
          <cell r="F2099">
            <v>1</v>
          </cell>
          <cell r="G2099" t="str">
            <v>CB100404000300</v>
          </cell>
          <cell r="H2099">
            <v>3</v>
          </cell>
          <cell r="I2099" t="str">
            <v>--</v>
          </cell>
          <cell r="J2099">
            <v>3</v>
          </cell>
          <cell r="K2099">
            <v>3.3</v>
          </cell>
        </row>
        <row r="2100">
          <cell r="A2100" t="str">
            <v>M2</v>
          </cell>
          <cell r="B2100" t="str">
            <v>A5C</v>
          </cell>
          <cell r="C2100" t="str">
            <v>TRIM</v>
          </cell>
          <cell r="D2100" t="str">
            <v>V-2404</v>
          </cell>
          <cell r="E2100" t="str">
            <v>PIPE</v>
          </cell>
          <cell r="F2100">
            <v>1</v>
          </cell>
          <cell r="G2100" t="str">
            <v>CB100404000300</v>
          </cell>
          <cell r="H2100">
            <v>3</v>
          </cell>
          <cell r="I2100" t="str">
            <v>--</v>
          </cell>
          <cell r="J2100">
            <v>3</v>
          </cell>
          <cell r="K2100">
            <v>3.3</v>
          </cell>
        </row>
        <row r="2101">
          <cell r="A2101" t="str">
            <v>M2</v>
          </cell>
          <cell r="B2101" t="str">
            <v>A5C</v>
          </cell>
          <cell r="C2101" t="str">
            <v>P</v>
          </cell>
          <cell r="D2101" t="str">
            <v>23047</v>
          </cell>
          <cell r="E2101" t="str">
            <v>PIPE</v>
          </cell>
          <cell r="F2101">
            <v>1</v>
          </cell>
          <cell r="G2101" t="str">
            <v>CB100404000300</v>
          </cell>
          <cell r="H2101">
            <v>3</v>
          </cell>
          <cell r="I2101" t="str">
            <v>--</v>
          </cell>
          <cell r="J2101">
            <v>3.3</v>
          </cell>
          <cell r="K2101">
            <v>3.7</v>
          </cell>
        </row>
        <row r="2102">
          <cell r="A2102" t="str">
            <v>M2</v>
          </cell>
          <cell r="B2102" t="str">
            <v>A5C</v>
          </cell>
          <cell r="C2102" t="str">
            <v>TRIM</v>
          </cell>
          <cell r="D2102" t="str">
            <v>V-2323</v>
          </cell>
          <cell r="E2102" t="str">
            <v>PIPE</v>
          </cell>
          <cell r="F2102">
            <v>1</v>
          </cell>
          <cell r="G2102" t="str">
            <v>CB100404000300</v>
          </cell>
          <cell r="H2102">
            <v>3</v>
          </cell>
          <cell r="I2102" t="str">
            <v>--</v>
          </cell>
          <cell r="J2102">
            <v>3.5</v>
          </cell>
          <cell r="K2102">
            <v>3.9</v>
          </cell>
        </row>
        <row r="2103">
          <cell r="A2103" t="str">
            <v>M2</v>
          </cell>
          <cell r="B2103" t="str">
            <v>A5C</v>
          </cell>
          <cell r="C2103" t="str">
            <v>TRIM</v>
          </cell>
          <cell r="D2103" t="str">
            <v>V-2329</v>
          </cell>
          <cell r="E2103" t="str">
            <v>PIPE</v>
          </cell>
          <cell r="F2103">
            <v>1</v>
          </cell>
          <cell r="G2103" t="str">
            <v>CB100404000300</v>
          </cell>
          <cell r="H2103">
            <v>3</v>
          </cell>
          <cell r="I2103" t="str">
            <v>--</v>
          </cell>
          <cell r="J2103">
            <v>3.5</v>
          </cell>
          <cell r="K2103">
            <v>3.9</v>
          </cell>
        </row>
        <row r="2104">
          <cell r="A2104" t="str">
            <v>M2</v>
          </cell>
          <cell r="B2104" t="str">
            <v>A5C</v>
          </cell>
          <cell r="C2104" t="str">
            <v>TRIM</v>
          </cell>
          <cell r="D2104" t="str">
            <v>V-2331</v>
          </cell>
          <cell r="E2104" t="str">
            <v>PIPE</v>
          </cell>
          <cell r="F2104">
            <v>1</v>
          </cell>
          <cell r="G2104" t="str">
            <v>CB100404000300</v>
          </cell>
          <cell r="H2104">
            <v>3</v>
          </cell>
          <cell r="I2104" t="str">
            <v>--</v>
          </cell>
          <cell r="J2104">
            <v>3.5</v>
          </cell>
          <cell r="K2104">
            <v>3.9</v>
          </cell>
        </row>
        <row r="2105">
          <cell r="A2105" t="str">
            <v>M2</v>
          </cell>
          <cell r="B2105" t="str">
            <v>A5C</v>
          </cell>
          <cell r="C2105" t="str">
            <v>TRIM</v>
          </cell>
          <cell r="D2105" t="str">
            <v>V-2320</v>
          </cell>
          <cell r="E2105" t="str">
            <v>PIPE</v>
          </cell>
          <cell r="F2105">
            <v>1</v>
          </cell>
          <cell r="G2105" t="str">
            <v>CB100404000300</v>
          </cell>
          <cell r="H2105">
            <v>3</v>
          </cell>
          <cell r="I2105" t="str">
            <v>--</v>
          </cell>
          <cell r="J2105">
            <v>3.5</v>
          </cell>
          <cell r="K2105">
            <v>3.9</v>
          </cell>
        </row>
        <row r="2106">
          <cell r="A2106" t="str">
            <v>M2</v>
          </cell>
          <cell r="B2106" t="str">
            <v>A5C</v>
          </cell>
          <cell r="C2106" t="str">
            <v>TRIM</v>
          </cell>
          <cell r="D2106" t="str">
            <v>V-2330</v>
          </cell>
          <cell r="E2106" t="str">
            <v>PIPE</v>
          </cell>
          <cell r="F2106">
            <v>1</v>
          </cell>
          <cell r="G2106" t="str">
            <v>CB100404000300</v>
          </cell>
          <cell r="H2106">
            <v>3</v>
          </cell>
          <cell r="I2106" t="str">
            <v>--</v>
          </cell>
          <cell r="J2106">
            <v>3.5</v>
          </cell>
          <cell r="K2106">
            <v>3.9</v>
          </cell>
        </row>
        <row r="2107">
          <cell r="A2107" t="str">
            <v>M2</v>
          </cell>
          <cell r="B2107" t="str">
            <v>A5C</v>
          </cell>
          <cell r="C2107" t="str">
            <v>TRIM</v>
          </cell>
          <cell r="D2107" t="str">
            <v>V-2333</v>
          </cell>
          <cell r="E2107" t="str">
            <v>PIPE</v>
          </cell>
          <cell r="F2107">
            <v>1</v>
          </cell>
          <cell r="G2107" t="str">
            <v>CB100404000300</v>
          </cell>
          <cell r="H2107">
            <v>3</v>
          </cell>
          <cell r="I2107" t="str">
            <v>--</v>
          </cell>
          <cell r="J2107">
            <v>3.5</v>
          </cell>
          <cell r="K2107">
            <v>3.9</v>
          </cell>
        </row>
        <row r="2108">
          <cell r="A2108" t="str">
            <v>M2</v>
          </cell>
          <cell r="B2108" t="str">
            <v>A5C</v>
          </cell>
          <cell r="C2108" t="str">
            <v>TRIM</v>
          </cell>
          <cell r="D2108" t="str">
            <v>V-2317</v>
          </cell>
          <cell r="E2108" t="str">
            <v>PIPE</v>
          </cell>
          <cell r="F2108">
            <v>1</v>
          </cell>
          <cell r="G2108" t="str">
            <v>CB100404000300</v>
          </cell>
          <cell r="H2108">
            <v>3</v>
          </cell>
          <cell r="I2108" t="str">
            <v>--</v>
          </cell>
          <cell r="J2108">
            <v>4</v>
          </cell>
          <cell r="K2108">
            <v>4.4000000000000004</v>
          </cell>
        </row>
        <row r="2109">
          <cell r="A2109" t="str">
            <v>M2</v>
          </cell>
          <cell r="B2109" t="str">
            <v>A5C</v>
          </cell>
          <cell r="C2109" t="str">
            <v>P</v>
          </cell>
          <cell r="D2109" t="str">
            <v>23050</v>
          </cell>
          <cell r="E2109" t="str">
            <v>PIPE</v>
          </cell>
          <cell r="F2109">
            <v>1</v>
          </cell>
          <cell r="G2109" t="str">
            <v>CB100404000300</v>
          </cell>
          <cell r="H2109">
            <v>3</v>
          </cell>
          <cell r="I2109" t="str">
            <v>--</v>
          </cell>
          <cell r="J2109">
            <v>4</v>
          </cell>
          <cell r="K2109">
            <v>4.4000000000000004</v>
          </cell>
        </row>
        <row r="2110">
          <cell r="A2110" t="str">
            <v>M2</v>
          </cell>
          <cell r="B2110" t="str">
            <v>A5C</v>
          </cell>
          <cell r="C2110" t="str">
            <v>P</v>
          </cell>
          <cell r="D2110" t="str">
            <v>23061</v>
          </cell>
          <cell r="E2110" t="str">
            <v>PIPE</v>
          </cell>
          <cell r="F2110">
            <v>1</v>
          </cell>
          <cell r="G2110" t="str">
            <v>CB100404000300</v>
          </cell>
          <cell r="H2110">
            <v>3</v>
          </cell>
          <cell r="I2110" t="str">
            <v>--</v>
          </cell>
          <cell r="J2110">
            <v>4</v>
          </cell>
          <cell r="K2110">
            <v>4.4000000000000004</v>
          </cell>
        </row>
        <row r="2111">
          <cell r="A2111" t="str">
            <v>M2</v>
          </cell>
          <cell r="B2111" t="str">
            <v>A5C</v>
          </cell>
          <cell r="C2111" t="str">
            <v>TRIM</v>
          </cell>
          <cell r="D2111" t="str">
            <v>V-2321</v>
          </cell>
          <cell r="E2111" t="str">
            <v>PIPE</v>
          </cell>
          <cell r="F2111">
            <v>1</v>
          </cell>
          <cell r="G2111" t="str">
            <v>CB100404000300</v>
          </cell>
          <cell r="H2111">
            <v>3</v>
          </cell>
          <cell r="I2111" t="str">
            <v>--</v>
          </cell>
          <cell r="J2111">
            <v>4.5</v>
          </cell>
          <cell r="K2111">
            <v>5</v>
          </cell>
        </row>
        <row r="2112">
          <cell r="A2112" t="str">
            <v>M2</v>
          </cell>
          <cell r="B2112" t="str">
            <v>A5C</v>
          </cell>
          <cell r="C2112" t="str">
            <v>P</v>
          </cell>
          <cell r="D2112" t="str">
            <v>24027</v>
          </cell>
          <cell r="E2112" t="str">
            <v>PIPE</v>
          </cell>
          <cell r="F2112">
            <v>1</v>
          </cell>
          <cell r="G2112" t="str">
            <v>CB100404000300</v>
          </cell>
          <cell r="H2112">
            <v>3</v>
          </cell>
          <cell r="I2112" t="str">
            <v>--</v>
          </cell>
          <cell r="J2112">
            <v>4.5</v>
          </cell>
          <cell r="K2112">
            <v>5</v>
          </cell>
        </row>
        <row r="2113">
          <cell r="A2113" t="str">
            <v>M2</v>
          </cell>
          <cell r="B2113" t="str">
            <v>A5C</v>
          </cell>
          <cell r="C2113" t="str">
            <v>P</v>
          </cell>
          <cell r="D2113" t="str">
            <v>23142</v>
          </cell>
          <cell r="E2113" t="str">
            <v>PIPE</v>
          </cell>
          <cell r="F2113">
            <v>1</v>
          </cell>
          <cell r="G2113" t="str">
            <v>CB100404000300</v>
          </cell>
          <cell r="H2113">
            <v>3</v>
          </cell>
          <cell r="I2113" t="str">
            <v>--</v>
          </cell>
          <cell r="J2113">
            <v>5</v>
          </cell>
          <cell r="K2113">
            <v>5.5</v>
          </cell>
        </row>
        <row r="2114">
          <cell r="A2114" t="str">
            <v>M2</v>
          </cell>
          <cell r="B2114" t="str">
            <v>A5C</v>
          </cell>
          <cell r="C2114" t="str">
            <v>P</v>
          </cell>
          <cell r="D2114" t="str">
            <v>23246</v>
          </cell>
          <cell r="E2114" t="str">
            <v>PIPE</v>
          </cell>
          <cell r="F2114">
            <v>1</v>
          </cell>
          <cell r="G2114" t="str">
            <v>CB100404000300</v>
          </cell>
          <cell r="H2114">
            <v>3</v>
          </cell>
          <cell r="I2114" t="str">
            <v>--</v>
          </cell>
          <cell r="J2114">
            <v>5</v>
          </cell>
          <cell r="K2114">
            <v>5.5</v>
          </cell>
        </row>
        <row r="2115">
          <cell r="A2115" t="str">
            <v>M2</v>
          </cell>
          <cell r="B2115" t="str">
            <v>A5C</v>
          </cell>
          <cell r="C2115" t="str">
            <v>P</v>
          </cell>
          <cell r="D2115" t="str">
            <v>24003</v>
          </cell>
          <cell r="E2115" t="str">
            <v>PIPE</v>
          </cell>
          <cell r="F2115">
            <v>1</v>
          </cell>
          <cell r="G2115" t="str">
            <v>CB100404000300</v>
          </cell>
          <cell r="H2115">
            <v>3</v>
          </cell>
          <cell r="I2115" t="str">
            <v>--</v>
          </cell>
          <cell r="J2115">
            <v>5</v>
          </cell>
          <cell r="K2115">
            <v>5.5</v>
          </cell>
        </row>
        <row r="2116">
          <cell r="A2116" t="str">
            <v>M2</v>
          </cell>
          <cell r="B2116" t="str">
            <v>A5C</v>
          </cell>
          <cell r="C2116" t="str">
            <v>P</v>
          </cell>
          <cell r="D2116" t="str">
            <v>23106</v>
          </cell>
          <cell r="E2116" t="str">
            <v>PIPE</v>
          </cell>
          <cell r="F2116">
            <v>1</v>
          </cell>
          <cell r="G2116" t="str">
            <v>CB100404000300</v>
          </cell>
          <cell r="H2116">
            <v>3</v>
          </cell>
          <cell r="I2116" t="str">
            <v>--</v>
          </cell>
          <cell r="J2116">
            <v>6</v>
          </cell>
          <cell r="K2116">
            <v>6.6</v>
          </cell>
        </row>
        <row r="2117">
          <cell r="A2117" t="str">
            <v>M2</v>
          </cell>
          <cell r="B2117" t="str">
            <v>A5C</v>
          </cell>
          <cell r="C2117" t="str">
            <v>P</v>
          </cell>
          <cell r="D2117" t="str">
            <v>23236</v>
          </cell>
          <cell r="E2117" t="str">
            <v>PIPE</v>
          </cell>
          <cell r="F2117">
            <v>1</v>
          </cell>
          <cell r="G2117" t="str">
            <v>CB100404000300</v>
          </cell>
          <cell r="H2117">
            <v>3</v>
          </cell>
          <cell r="I2117" t="str">
            <v>--</v>
          </cell>
          <cell r="J2117">
            <v>6</v>
          </cell>
          <cell r="K2117">
            <v>6.6</v>
          </cell>
        </row>
        <row r="2118">
          <cell r="A2118" t="str">
            <v>M2</v>
          </cell>
          <cell r="B2118" t="str">
            <v>A5C</v>
          </cell>
          <cell r="C2118" t="str">
            <v>P</v>
          </cell>
          <cell r="D2118" t="str">
            <v>23240</v>
          </cell>
          <cell r="E2118" t="str">
            <v>PIPE</v>
          </cell>
          <cell r="F2118">
            <v>1</v>
          </cell>
          <cell r="G2118" t="str">
            <v>CB100404000300</v>
          </cell>
          <cell r="H2118">
            <v>3</v>
          </cell>
          <cell r="I2118" t="str">
            <v>--</v>
          </cell>
          <cell r="J2118">
            <v>6</v>
          </cell>
          <cell r="K2118">
            <v>6.6</v>
          </cell>
        </row>
        <row r="2119">
          <cell r="A2119" t="str">
            <v>M2</v>
          </cell>
          <cell r="B2119" t="str">
            <v>A5C</v>
          </cell>
          <cell r="C2119" t="str">
            <v>TRIM</v>
          </cell>
          <cell r="D2119" t="str">
            <v>V-2315</v>
          </cell>
          <cell r="E2119" t="str">
            <v>PIPE</v>
          </cell>
          <cell r="F2119">
            <v>1</v>
          </cell>
          <cell r="G2119" t="str">
            <v>CB100404000300</v>
          </cell>
          <cell r="H2119">
            <v>3</v>
          </cell>
          <cell r="I2119" t="str">
            <v>--</v>
          </cell>
          <cell r="J2119">
            <v>6.5</v>
          </cell>
          <cell r="K2119">
            <v>7.2</v>
          </cell>
        </row>
        <row r="2120">
          <cell r="A2120" t="str">
            <v>M2</v>
          </cell>
          <cell r="B2120" t="str">
            <v>A5C</v>
          </cell>
          <cell r="C2120" t="str">
            <v>TRIM</v>
          </cell>
          <cell r="D2120" t="str">
            <v>V-2324</v>
          </cell>
          <cell r="E2120" t="str">
            <v>PIPE</v>
          </cell>
          <cell r="F2120">
            <v>1</v>
          </cell>
          <cell r="G2120" t="str">
            <v>CB100404000300</v>
          </cell>
          <cell r="H2120">
            <v>3</v>
          </cell>
          <cell r="I2120" t="str">
            <v>--</v>
          </cell>
          <cell r="J2120">
            <v>6.5</v>
          </cell>
          <cell r="K2120">
            <v>7.2</v>
          </cell>
        </row>
        <row r="2121">
          <cell r="A2121" t="str">
            <v>M2</v>
          </cell>
          <cell r="B2121" t="str">
            <v>A5C</v>
          </cell>
          <cell r="C2121" t="str">
            <v>P</v>
          </cell>
          <cell r="D2121" t="str">
            <v>23086</v>
          </cell>
          <cell r="E2121" t="str">
            <v>PIPE</v>
          </cell>
          <cell r="F2121">
            <v>1</v>
          </cell>
          <cell r="G2121" t="str">
            <v>CB100404000300</v>
          </cell>
          <cell r="H2121">
            <v>3</v>
          </cell>
          <cell r="I2121" t="str">
            <v>--</v>
          </cell>
          <cell r="J2121">
            <v>7</v>
          </cell>
          <cell r="K2121">
            <v>7.7</v>
          </cell>
        </row>
        <row r="2122">
          <cell r="A2122" t="str">
            <v>M2</v>
          </cell>
          <cell r="B2122" t="str">
            <v>A5C</v>
          </cell>
          <cell r="C2122" t="str">
            <v>P</v>
          </cell>
          <cell r="D2122" t="str">
            <v>23125</v>
          </cell>
          <cell r="E2122" t="str">
            <v>PIPE</v>
          </cell>
          <cell r="F2122">
            <v>1</v>
          </cell>
          <cell r="G2122" t="str">
            <v>CB100404000300</v>
          </cell>
          <cell r="H2122">
            <v>3</v>
          </cell>
          <cell r="I2122" t="str">
            <v>--</v>
          </cell>
          <cell r="J2122">
            <v>7</v>
          </cell>
          <cell r="K2122">
            <v>7.7</v>
          </cell>
        </row>
        <row r="2123">
          <cell r="A2123" t="str">
            <v>M2</v>
          </cell>
          <cell r="B2123" t="str">
            <v>A5C</v>
          </cell>
          <cell r="C2123" t="str">
            <v>P</v>
          </cell>
          <cell r="D2123" t="str">
            <v>23064</v>
          </cell>
          <cell r="E2123" t="str">
            <v>PIPE</v>
          </cell>
          <cell r="F2123">
            <v>1</v>
          </cell>
          <cell r="G2123" t="str">
            <v>CB100404000300</v>
          </cell>
          <cell r="H2123">
            <v>3</v>
          </cell>
          <cell r="I2123" t="str">
            <v>--</v>
          </cell>
          <cell r="J2123">
            <v>8.1</v>
          </cell>
          <cell r="K2123">
            <v>9</v>
          </cell>
        </row>
        <row r="2124">
          <cell r="A2124" t="str">
            <v>M2</v>
          </cell>
          <cell r="B2124" t="str">
            <v>A5C</v>
          </cell>
          <cell r="C2124" t="str">
            <v>P</v>
          </cell>
          <cell r="D2124" t="str">
            <v>23082</v>
          </cell>
          <cell r="E2124" t="str">
            <v>PIPE</v>
          </cell>
          <cell r="F2124">
            <v>1</v>
          </cell>
          <cell r="G2124" t="str">
            <v>CB100404000300</v>
          </cell>
          <cell r="H2124">
            <v>3</v>
          </cell>
          <cell r="I2124" t="str">
            <v>--</v>
          </cell>
          <cell r="J2124">
            <v>8.5</v>
          </cell>
          <cell r="K2124">
            <v>9.4</v>
          </cell>
        </row>
        <row r="2125">
          <cell r="A2125" t="str">
            <v>M2</v>
          </cell>
          <cell r="B2125" t="str">
            <v>A5C</v>
          </cell>
          <cell r="C2125" t="str">
            <v>P</v>
          </cell>
          <cell r="D2125" t="str">
            <v>23258</v>
          </cell>
          <cell r="E2125" t="str">
            <v>PIPE</v>
          </cell>
          <cell r="F2125">
            <v>1</v>
          </cell>
          <cell r="G2125" t="str">
            <v>CB100404000300</v>
          </cell>
          <cell r="H2125">
            <v>3</v>
          </cell>
          <cell r="I2125" t="str">
            <v>--</v>
          </cell>
          <cell r="J2125">
            <v>8.5</v>
          </cell>
          <cell r="K2125">
            <v>9.4</v>
          </cell>
        </row>
        <row r="2126">
          <cell r="A2126" t="str">
            <v>M2</v>
          </cell>
          <cell r="B2126" t="str">
            <v>A5C</v>
          </cell>
          <cell r="C2126" t="str">
            <v>P</v>
          </cell>
          <cell r="D2126" t="str">
            <v>23257</v>
          </cell>
          <cell r="E2126" t="str">
            <v>PIPE</v>
          </cell>
          <cell r="F2126">
            <v>1</v>
          </cell>
          <cell r="G2126" t="str">
            <v>CB100404000300</v>
          </cell>
          <cell r="H2126">
            <v>3</v>
          </cell>
          <cell r="I2126" t="str">
            <v>--</v>
          </cell>
          <cell r="J2126">
            <v>11.5</v>
          </cell>
          <cell r="K2126">
            <v>12.7</v>
          </cell>
        </row>
        <row r="2127">
          <cell r="A2127" t="str">
            <v>M2</v>
          </cell>
          <cell r="B2127" t="str">
            <v>A5C</v>
          </cell>
          <cell r="C2127" t="str">
            <v>P</v>
          </cell>
          <cell r="D2127" t="str">
            <v>23016</v>
          </cell>
          <cell r="E2127" t="str">
            <v>PIPE</v>
          </cell>
          <cell r="F2127">
            <v>1</v>
          </cell>
          <cell r="G2127" t="str">
            <v>CB100404000300</v>
          </cell>
          <cell r="H2127">
            <v>3</v>
          </cell>
          <cell r="I2127" t="str">
            <v>--</v>
          </cell>
          <cell r="J2127">
            <v>11.5</v>
          </cell>
          <cell r="K2127">
            <v>12.7</v>
          </cell>
        </row>
        <row r="2128">
          <cell r="A2128" t="str">
            <v>M2</v>
          </cell>
          <cell r="B2128" t="str">
            <v>A5C</v>
          </cell>
          <cell r="C2128" t="str">
            <v>P</v>
          </cell>
          <cell r="D2128" t="str">
            <v>23005</v>
          </cell>
          <cell r="E2128" t="str">
            <v>PIPE</v>
          </cell>
          <cell r="F2128">
            <v>1</v>
          </cell>
          <cell r="G2128" t="str">
            <v>CB100404000300</v>
          </cell>
          <cell r="H2128">
            <v>3</v>
          </cell>
          <cell r="I2128" t="str">
            <v>--</v>
          </cell>
          <cell r="J2128">
            <v>12</v>
          </cell>
          <cell r="K2128">
            <v>13.2</v>
          </cell>
        </row>
        <row r="2129">
          <cell r="A2129" t="str">
            <v>M2</v>
          </cell>
          <cell r="B2129" t="str">
            <v>A5C</v>
          </cell>
          <cell r="C2129" t="str">
            <v>P</v>
          </cell>
          <cell r="D2129" t="str">
            <v>23232</v>
          </cell>
          <cell r="E2129" t="str">
            <v>PIPE</v>
          </cell>
          <cell r="F2129">
            <v>1</v>
          </cell>
          <cell r="G2129" t="str">
            <v>CB100404000300</v>
          </cell>
          <cell r="H2129">
            <v>3</v>
          </cell>
          <cell r="I2129" t="str">
            <v>--</v>
          </cell>
          <cell r="J2129">
            <v>12.5</v>
          </cell>
          <cell r="K2129">
            <v>13.8</v>
          </cell>
        </row>
        <row r="2130">
          <cell r="A2130" t="str">
            <v>M2</v>
          </cell>
          <cell r="B2130" t="str">
            <v>A5C</v>
          </cell>
          <cell r="C2130" t="str">
            <v>P</v>
          </cell>
          <cell r="D2130" t="str">
            <v>23254</v>
          </cell>
          <cell r="E2130" t="str">
            <v>PIPE</v>
          </cell>
          <cell r="F2130">
            <v>1</v>
          </cell>
          <cell r="G2130" t="str">
            <v>CB100404000300</v>
          </cell>
          <cell r="H2130">
            <v>3</v>
          </cell>
          <cell r="I2130" t="str">
            <v>--</v>
          </cell>
          <cell r="J2130">
            <v>12.5</v>
          </cell>
          <cell r="K2130">
            <v>13.8</v>
          </cell>
        </row>
        <row r="2131">
          <cell r="A2131" t="str">
            <v>M2</v>
          </cell>
          <cell r="B2131" t="str">
            <v>A5C</v>
          </cell>
          <cell r="C2131" t="str">
            <v>P</v>
          </cell>
          <cell r="D2131" t="str">
            <v>23017</v>
          </cell>
          <cell r="E2131" t="str">
            <v>PIPE</v>
          </cell>
          <cell r="F2131">
            <v>1</v>
          </cell>
          <cell r="G2131" t="str">
            <v>CB100404000300</v>
          </cell>
          <cell r="H2131">
            <v>3</v>
          </cell>
          <cell r="I2131" t="str">
            <v>--</v>
          </cell>
          <cell r="J2131">
            <v>15.6</v>
          </cell>
          <cell r="K2131">
            <v>17.2</v>
          </cell>
        </row>
        <row r="2132">
          <cell r="A2132" t="str">
            <v>M2</v>
          </cell>
          <cell r="B2132" t="str">
            <v>A5C</v>
          </cell>
          <cell r="C2132" t="str">
            <v>P</v>
          </cell>
          <cell r="D2132" t="str">
            <v>23051</v>
          </cell>
          <cell r="E2132" t="str">
            <v>PIPE</v>
          </cell>
          <cell r="F2132">
            <v>1</v>
          </cell>
          <cell r="G2132" t="str">
            <v>CB100404000300</v>
          </cell>
          <cell r="H2132">
            <v>3</v>
          </cell>
          <cell r="I2132" t="str">
            <v>--</v>
          </cell>
          <cell r="J2132">
            <v>16.600000000000001</v>
          </cell>
          <cell r="K2132">
            <v>18.3</v>
          </cell>
        </row>
        <row r="2133">
          <cell r="A2133" t="str">
            <v>M2</v>
          </cell>
          <cell r="B2133" t="str">
            <v>A5C</v>
          </cell>
          <cell r="C2133" t="str">
            <v>P</v>
          </cell>
          <cell r="D2133" t="str">
            <v>23124</v>
          </cell>
          <cell r="E2133" t="str">
            <v>PIPE</v>
          </cell>
          <cell r="F2133">
            <v>1</v>
          </cell>
          <cell r="G2133" t="str">
            <v>CB100404000300</v>
          </cell>
          <cell r="H2133">
            <v>3</v>
          </cell>
          <cell r="I2133" t="str">
            <v>--</v>
          </cell>
          <cell r="J2133">
            <v>18.5</v>
          </cell>
          <cell r="K2133">
            <v>20.399999999999999</v>
          </cell>
        </row>
        <row r="2134">
          <cell r="A2134" t="str">
            <v>M2</v>
          </cell>
          <cell r="B2134" t="str">
            <v>B2C</v>
          </cell>
          <cell r="C2134" t="str">
            <v>SH</v>
          </cell>
          <cell r="D2134" t="str">
            <v>23612</v>
          </cell>
          <cell r="E2134" t="str">
            <v>PIPE</v>
          </cell>
          <cell r="F2134">
            <v>1</v>
          </cell>
          <cell r="G2134" t="str">
            <v>CB100404000300</v>
          </cell>
          <cell r="H2134">
            <v>3</v>
          </cell>
          <cell r="I2134" t="str">
            <v>--</v>
          </cell>
          <cell r="J2134">
            <v>20.6</v>
          </cell>
          <cell r="K2134">
            <v>22.7</v>
          </cell>
        </row>
        <row r="2135">
          <cell r="A2135" t="str">
            <v>M2</v>
          </cell>
          <cell r="B2135" t="str">
            <v>A5C</v>
          </cell>
          <cell r="C2135" t="str">
            <v>P</v>
          </cell>
          <cell r="D2135" t="str">
            <v>23256</v>
          </cell>
          <cell r="E2135" t="str">
            <v>PIPE</v>
          </cell>
          <cell r="F2135">
            <v>1</v>
          </cell>
          <cell r="G2135" t="str">
            <v>CB100404000300</v>
          </cell>
          <cell r="H2135">
            <v>3</v>
          </cell>
          <cell r="I2135" t="str">
            <v>--</v>
          </cell>
          <cell r="J2135">
            <v>37.200000000000003</v>
          </cell>
          <cell r="K2135">
            <v>41</v>
          </cell>
        </row>
        <row r="2136">
          <cell r="A2136" t="str">
            <v>M2</v>
          </cell>
          <cell r="B2136" t="str">
            <v>B2C</v>
          </cell>
          <cell r="C2136" t="str">
            <v>SH</v>
          </cell>
          <cell r="D2136" t="str">
            <v>23601</v>
          </cell>
          <cell r="E2136" t="str">
            <v>PIPE</v>
          </cell>
          <cell r="F2136">
            <v>1</v>
          </cell>
          <cell r="G2136" t="str">
            <v>CB100404000300</v>
          </cell>
          <cell r="H2136">
            <v>3</v>
          </cell>
          <cell r="I2136" t="str">
            <v>--</v>
          </cell>
          <cell r="J2136">
            <v>65</v>
          </cell>
          <cell r="K2136">
            <v>71.5</v>
          </cell>
        </row>
        <row r="2137">
          <cell r="A2137" t="str">
            <v>M2</v>
          </cell>
          <cell r="B2137" t="str">
            <v>A5C</v>
          </cell>
          <cell r="C2137" t="str">
            <v>P</v>
          </cell>
          <cell r="D2137" t="str">
            <v>23064</v>
          </cell>
          <cell r="E2137" t="str">
            <v>PIPE</v>
          </cell>
          <cell r="F2137">
            <v>1</v>
          </cell>
          <cell r="G2137" t="str">
            <v>CB100404000300</v>
          </cell>
          <cell r="H2137">
            <v>3</v>
          </cell>
          <cell r="I2137" t="str">
            <v>--</v>
          </cell>
          <cell r="J2137">
            <v>65</v>
          </cell>
          <cell r="K2137">
            <v>71.5</v>
          </cell>
        </row>
        <row r="2138">
          <cell r="A2138" t="str">
            <v>M2</v>
          </cell>
          <cell r="B2138" t="str">
            <v>A5C</v>
          </cell>
          <cell r="C2138" t="str">
            <v>P</v>
          </cell>
          <cell r="D2138" t="str">
            <v>23035</v>
          </cell>
          <cell r="E2138" t="str">
            <v>PIPE</v>
          </cell>
          <cell r="F2138">
            <v>1</v>
          </cell>
          <cell r="G2138" t="str">
            <v>CB100404000400</v>
          </cell>
          <cell r="H2138">
            <v>4</v>
          </cell>
          <cell r="I2138" t="str">
            <v>--</v>
          </cell>
          <cell r="J2138">
            <v>0.3</v>
          </cell>
          <cell r="K2138">
            <v>0.4</v>
          </cell>
        </row>
        <row r="2139">
          <cell r="A2139" t="str">
            <v>M2</v>
          </cell>
          <cell r="B2139" t="str">
            <v>A5C</v>
          </cell>
          <cell r="C2139" t="str">
            <v>P</v>
          </cell>
          <cell r="D2139" t="str">
            <v>23188</v>
          </cell>
          <cell r="E2139" t="str">
            <v>PIPE</v>
          </cell>
          <cell r="F2139">
            <v>1</v>
          </cell>
          <cell r="G2139" t="str">
            <v>CB100404000400</v>
          </cell>
          <cell r="H2139">
            <v>4</v>
          </cell>
          <cell r="I2139" t="str">
            <v>--</v>
          </cell>
          <cell r="J2139">
            <v>0.3</v>
          </cell>
          <cell r="K2139">
            <v>0.4</v>
          </cell>
        </row>
        <row r="2140">
          <cell r="A2140" t="str">
            <v>M2</v>
          </cell>
          <cell r="B2140" t="str">
            <v>A5C</v>
          </cell>
          <cell r="C2140" t="str">
            <v>P</v>
          </cell>
          <cell r="D2140" t="str">
            <v>24013</v>
          </cell>
          <cell r="E2140" t="str">
            <v>PIPE</v>
          </cell>
          <cell r="F2140">
            <v>1</v>
          </cell>
          <cell r="G2140" t="str">
            <v>CB100404000400</v>
          </cell>
          <cell r="H2140">
            <v>4</v>
          </cell>
          <cell r="I2140" t="str">
            <v>--</v>
          </cell>
          <cell r="J2140">
            <v>0.3</v>
          </cell>
          <cell r="K2140">
            <v>0.4</v>
          </cell>
        </row>
        <row r="2141">
          <cell r="A2141" t="str">
            <v>M2</v>
          </cell>
          <cell r="B2141" t="str">
            <v>A5C</v>
          </cell>
          <cell r="C2141" t="str">
            <v>P</v>
          </cell>
          <cell r="D2141" t="str">
            <v>23008</v>
          </cell>
          <cell r="E2141" t="str">
            <v>PIPE</v>
          </cell>
          <cell r="F2141">
            <v>1</v>
          </cell>
          <cell r="G2141" t="str">
            <v>CB100404000400</v>
          </cell>
          <cell r="H2141">
            <v>4</v>
          </cell>
          <cell r="I2141" t="str">
            <v>--</v>
          </cell>
          <cell r="J2141">
            <v>0.3</v>
          </cell>
          <cell r="K2141">
            <v>0.4</v>
          </cell>
        </row>
        <row r="2142">
          <cell r="A2142" t="str">
            <v>M2</v>
          </cell>
          <cell r="B2142" t="str">
            <v>A5C</v>
          </cell>
          <cell r="C2142" t="str">
            <v>P</v>
          </cell>
          <cell r="D2142" t="str">
            <v>23050</v>
          </cell>
          <cell r="E2142" t="str">
            <v>PIPE</v>
          </cell>
          <cell r="F2142">
            <v>1</v>
          </cell>
          <cell r="G2142" t="str">
            <v>CB100404000400</v>
          </cell>
          <cell r="H2142">
            <v>4</v>
          </cell>
          <cell r="I2142" t="str">
            <v>--</v>
          </cell>
          <cell r="J2142">
            <v>0.3</v>
          </cell>
          <cell r="K2142">
            <v>0.4</v>
          </cell>
        </row>
        <row r="2143">
          <cell r="A2143" t="str">
            <v>M2</v>
          </cell>
          <cell r="B2143" t="str">
            <v>A5C</v>
          </cell>
          <cell r="C2143" t="str">
            <v>P</v>
          </cell>
          <cell r="D2143" t="str">
            <v>23061</v>
          </cell>
          <cell r="E2143" t="str">
            <v>PIPE</v>
          </cell>
          <cell r="F2143">
            <v>1</v>
          </cell>
          <cell r="G2143" t="str">
            <v>CB100404000400</v>
          </cell>
          <cell r="H2143">
            <v>4</v>
          </cell>
          <cell r="I2143" t="str">
            <v>--</v>
          </cell>
          <cell r="J2143">
            <v>0.3</v>
          </cell>
          <cell r="K2143">
            <v>0.4</v>
          </cell>
        </row>
        <row r="2144">
          <cell r="A2144" t="str">
            <v>M2</v>
          </cell>
          <cell r="B2144" t="str">
            <v>A5C</v>
          </cell>
          <cell r="C2144" t="str">
            <v>P</v>
          </cell>
          <cell r="D2144" t="str">
            <v>23076</v>
          </cell>
          <cell r="E2144" t="str">
            <v>PIPE</v>
          </cell>
          <cell r="F2144">
            <v>1</v>
          </cell>
          <cell r="G2144" t="str">
            <v>CB100404000400</v>
          </cell>
          <cell r="H2144">
            <v>4</v>
          </cell>
          <cell r="I2144" t="str">
            <v>--</v>
          </cell>
          <cell r="J2144">
            <v>0.3</v>
          </cell>
          <cell r="K2144">
            <v>0.4</v>
          </cell>
        </row>
        <row r="2145">
          <cell r="A2145" t="str">
            <v>M2</v>
          </cell>
          <cell r="B2145" t="str">
            <v>A5C</v>
          </cell>
          <cell r="C2145" t="str">
            <v>P</v>
          </cell>
          <cell r="D2145" t="str">
            <v>23170</v>
          </cell>
          <cell r="E2145" t="str">
            <v>PIPE</v>
          </cell>
          <cell r="F2145">
            <v>1</v>
          </cell>
          <cell r="G2145" t="str">
            <v>CB100404000400</v>
          </cell>
          <cell r="H2145">
            <v>4</v>
          </cell>
          <cell r="I2145" t="str">
            <v>--</v>
          </cell>
          <cell r="J2145">
            <v>0.3</v>
          </cell>
          <cell r="K2145">
            <v>0.4</v>
          </cell>
        </row>
        <row r="2146">
          <cell r="A2146" t="str">
            <v>M2</v>
          </cell>
          <cell r="B2146" t="str">
            <v>A5C</v>
          </cell>
          <cell r="C2146" t="str">
            <v>P</v>
          </cell>
          <cell r="D2146" t="str">
            <v>23173</v>
          </cell>
          <cell r="E2146" t="str">
            <v>PIPE</v>
          </cell>
          <cell r="F2146">
            <v>1</v>
          </cell>
          <cell r="G2146" t="str">
            <v>CB100404000400</v>
          </cell>
          <cell r="H2146">
            <v>4</v>
          </cell>
          <cell r="I2146" t="str">
            <v>--</v>
          </cell>
          <cell r="J2146">
            <v>0.3</v>
          </cell>
          <cell r="K2146">
            <v>0.4</v>
          </cell>
        </row>
        <row r="2147">
          <cell r="A2147" t="str">
            <v>M2</v>
          </cell>
          <cell r="B2147" t="str">
            <v>A5C</v>
          </cell>
          <cell r="C2147" t="str">
            <v>P</v>
          </cell>
          <cell r="D2147" t="str">
            <v>23230</v>
          </cell>
          <cell r="E2147" t="str">
            <v>PIPE</v>
          </cell>
          <cell r="F2147">
            <v>1</v>
          </cell>
          <cell r="G2147" t="str">
            <v>CB100404000400</v>
          </cell>
          <cell r="H2147">
            <v>4</v>
          </cell>
          <cell r="I2147" t="str">
            <v>--</v>
          </cell>
          <cell r="J2147">
            <v>0.5</v>
          </cell>
          <cell r="K2147">
            <v>0.6</v>
          </cell>
        </row>
        <row r="2148">
          <cell r="A2148" t="str">
            <v>M2</v>
          </cell>
          <cell r="B2148" t="str">
            <v>A5C</v>
          </cell>
          <cell r="C2148" t="str">
            <v>P</v>
          </cell>
          <cell r="D2148" t="str">
            <v>23252</v>
          </cell>
          <cell r="E2148" t="str">
            <v>PIPE</v>
          </cell>
          <cell r="F2148">
            <v>1</v>
          </cell>
          <cell r="G2148" t="str">
            <v>CB100404000400</v>
          </cell>
          <cell r="H2148">
            <v>4</v>
          </cell>
          <cell r="I2148" t="str">
            <v>--</v>
          </cell>
          <cell r="J2148">
            <v>0.5</v>
          </cell>
          <cell r="K2148">
            <v>0.6</v>
          </cell>
        </row>
        <row r="2149">
          <cell r="A2149" t="str">
            <v>M2</v>
          </cell>
          <cell r="B2149" t="str">
            <v>A5C</v>
          </cell>
          <cell r="C2149" t="str">
            <v>P</v>
          </cell>
          <cell r="D2149" t="str">
            <v>23180</v>
          </cell>
          <cell r="E2149" t="str">
            <v>PIPE</v>
          </cell>
          <cell r="F2149">
            <v>1</v>
          </cell>
          <cell r="G2149" t="str">
            <v>CB100404000400</v>
          </cell>
          <cell r="H2149">
            <v>4</v>
          </cell>
          <cell r="I2149" t="str">
            <v>--</v>
          </cell>
          <cell r="J2149">
            <v>0.5</v>
          </cell>
          <cell r="K2149">
            <v>0.6</v>
          </cell>
        </row>
        <row r="2150">
          <cell r="A2150" t="str">
            <v>M2</v>
          </cell>
          <cell r="B2150" t="str">
            <v>A5C</v>
          </cell>
          <cell r="C2150" t="str">
            <v>P</v>
          </cell>
          <cell r="D2150" t="str">
            <v>23191</v>
          </cell>
          <cell r="E2150" t="str">
            <v>PIPE</v>
          </cell>
          <cell r="F2150">
            <v>1</v>
          </cell>
          <cell r="G2150" t="str">
            <v>CB100404000400</v>
          </cell>
          <cell r="H2150">
            <v>4</v>
          </cell>
          <cell r="I2150" t="str">
            <v>--</v>
          </cell>
          <cell r="J2150">
            <v>0.5</v>
          </cell>
          <cell r="K2150">
            <v>0.6</v>
          </cell>
        </row>
        <row r="2151">
          <cell r="A2151" t="str">
            <v>M2</v>
          </cell>
          <cell r="B2151" t="str">
            <v>A5C</v>
          </cell>
          <cell r="C2151" t="str">
            <v>P</v>
          </cell>
          <cell r="D2151" t="str">
            <v>24016</v>
          </cell>
          <cell r="E2151" t="str">
            <v>PIPE</v>
          </cell>
          <cell r="F2151">
            <v>1</v>
          </cell>
          <cell r="G2151" t="str">
            <v>CB100404000400</v>
          </cell>
          <cell r="H2151">
            <v>4</v>
          </cell>
          <cell r="I2151" t="str">
            <v>--</v>
          </cell>
          <cell r="J2151">
            <v>0.5</v>
          </cell>
          <cell r="K2151">
            <v>0.6</v>
          </cell>
        </row>
        <row r="2152">
          <cell r="A2152" t="str">
            <v>M2</v>
          </cell>
          <cell r="B2152" t="str">
            <v>A5C</v>
          </cell>
          <cell r="C2152" t="str">
            <v>P</v>
          </cell>
          <cell r="D2152" t="str">
            <v>23152</v>
          </cell>
          <cell r="E2152" t="str">
            <v>PIPE</v>
          </cell>
          <cell r="F2152">
            <v>1</v>
          </cell>
          <cell r="G2152" t="str">
            <v>CB100404000400</v>
          </cell>
          <cell r="H2152">
            <v>4</v>
          </cell>
          <cell r="I2152" t="str">
            <v>--</v>
          </cell>
          <cell r="J2152">
            <v>1</v>
          </cell>
          <cell r="K2152">
            <v>1.2</v>
          </cell>
        </row>
        <row r="2153">
          <cell r="A2153" t="str">
            <v>M2</v>
          </cell>
          <cell r="B2153" t="str">
            <v>A5C</v>
          </cell>
          <cell r="C2153" t="str">
            <v>P</v>
          </cell>
          <cell r="D2153" t="str">
            <v>23045</v>
          </cell>
          <cell r="E2153" t="str">
            <v>PIPE</v>
          </cell>
          <cell r="F2153">
            <v>1</v>
          </cell>
          <cell r="G2153" t="str">
            <v>CB100404000400</v>
          </cell>
          <cell r="H2153">
            <v>4</v>
          </cell>
          <cell r="I2153" t="str">
            <v>--</v>
          </cell>
          <cell r="J2153">
            <v>1.3</v>
          </cell>
          <cell r="K2153">
            <v>1.6</v>
          </cell>
        </row>
        <row r="2154">
          <cell r="A2154" t="str">
            <v>M2</v>
          </cell>
          <cell r="B2154" t="str">
            <v>A5C</v>
          </cell>
          <cell r="C2154" t="str">
            <v>P</v>
          </cell>
          <cell r="D2154" t="str">
            <v>23012</v>
          </cell>
          <cell r="E2154" t="str">
            <v>PIPE</v>
          </cell>
          <cell r="F2154">
            <v>1</v>
          </cell>
          <cell r="G2154" t="str">
            <v>CB100404000400</v>
          </cell>
          <cell r="H2154">
            <v>4</v>
          </cell>
          <cell r="I2154" t="str">
            <v>--</v>
          </cell>
          <cell r="J2154">
            <v>1.9</v>
          </cell>
          <cell r="K2154">
            <v>2.2999999999999998</v>
          </cell>
        </row>
        <row r="2155">
          <cell r="A2155" t="str">
            <v>M2</v>
          </cell>
          <cell r="B2155" t="str">
            <v>A5C</v>
          </cell>
          <cell r="C2155" t="str">
            <v>P</v>
          </cell>
          <cell r="D2155" t="str">
            <v>23122</v>
          </cell>
          <cell r="E2155" t="str">
            <v>PIPE</v>
          </cell>
          <cell r="F2155">
            <v>1</v>
          </cell>
          <cell r="G2155" t="str">
            <v>CB100404000400</v>
          </cell>
          <cell r="H2155">
            <v>4</v>
          </cell>
          <cell r="I2155" t="str">
            <v>--</v>
          </cell>
          <cell r="J2155">
            <v>2</v>
          </cell>
          <cell r="K2155">
            <v>2.4</v>
          </cell>
        </row>
        <row r="2156">
          <cell r="A2156" t="str">
            <v>M2</v>
          </cell>
          <cell r="B2156" t="str">
            <v>A5C</v>
          </cell>
          <cell r="C2156" t="str">
            <v>P</v>
          </cell>
          <cell r="D2156" t="str">
            <v>23237</v>
          </cell>
          <cell r="E2156" t="str">
            <v>PIPE</v>
          </cell>
          <cell r="F2156">
            <v>1</v>
          </cell>
          <cell r="G2156" t="str">
            <v>CB100404000400</v>
          </cell>
          <cell r="H2156">
            <v>4</v>
          </cell>
          <cell r="I2156" t="str">
            <v>--</v>
          </cell>
          <cell r="J2156">
            <v>2</v>
          </cell>
          <cell r="K2156">
            <v>2.4</v>
          </cell>
        </row>
        <row r="2157">
          <cell r="A2157" t="str">
            <v>M2</v>
          </cell>
          <cell r="B2157" t="str">
            <v>A5C</v>
          </cell>
          <cell r="C2157" t="str">
            <v>P</v>
          </cell>
          <cell r="D2157" t="str">
            <v>23241</v>
          </cell>
          <cell r="E2157" t="str">
            <v>PIPE</v>
          </cell>
          <cell r="F2157">
            <v>1</v>
          </cell>
          <cell r="G2157" t="str">
            <v>CB100404000400</v>
          </cell>
          <cell r="H2157">
            <v>4</v>
          </cell>
          <cell r="I2157" t="str">
            <v>--</v>
          </cell>
          <cell r="J2157">
            <v>2</v>
          </cell>
          <cell r="K2157">
            <v>2.4</v>
          </cell>
        </row>
        <row r="2158">
          <cell r="A2158" t="str">
            <v>M2</v>
          </cell>
          <cell r="B2158" t="str">
            <v>A5C</v>
          </cell>
          <cell r="C2158" t="str">
            <v>P</v>
          </cell>
          <cell r="D2158" t="str">
            <v>23181</v>
          </cell>
          <cell r="E2158" t="str">
            <v>PIPE</v>
          </cell>
          <cell r="F2158">
            <v>1</v>
          </cell>
          <cell r="G2158" t="str">
            <v>CB100404000400</v>
          </cell>
          <cell r="H2158">
            <v>4</v>
          </cell>
          <cell r="I2158" t="str">
            <v>--</v>
          </cell>
          <cell r="J2158">
            <v>2.1</v>
          </cell>
          <cell r="K2158">
            <v>2.6</v>
          </cell>
        </row>
        <row r="2159">
          <cell r="A2159" t="str">
            <v>M2</v>
          </cell>
          <cell r="B2159" t="str">
            <v>A5C</v>
          </cell>
          <cell r="C2159" t="str">
            <v>P</v>
          </cell>
          <cell r="D2159" t="str">
            <v>23058</v>
          </cell>
          <cell r="E2159" t="str">
            <v>PIPE</v>
          </cell>
          <cell r="F2159">
            <v>1</v>
          </cell>
          <cell r="G2159" t="str">
            <v>CB100404000400</v>
          </cell>
          <cell r="H2159">
            <v>4</v>
          </cell>
          <cell r="I2159" t="str">
            <v>--</v>
          </cell>
          <cell r="J2159">
            <v>3</v>
          </cell>
          <cell r="K2159">
            <v>3.6</v>
          </cell>
        </row>
        <row r="2160">
          <cell r="A2160" t="str">
            <v>M2</v>
          </cell>
          <cell r="B2160" t="str">
            <v>A5C</v>
          </cell>
          <cell r="C2160" t="str">
            <v>P</v>
          </cell>
          <cell r="D2160" t="str">
            <v>23110</v>
          </cell>
          <cell r="E2160" t="str">
            <v>PIPE</v>
          </cell>
          <cell r="F2160">
            <v>1</v>
          </cell>
          <cell r="G2160" t="str">
            <v>CB100404000400</v>
          </cell>
          <cell r="H2160">
            <v>4</v>
          </cell>
          <cell r="I2160" t="str">
            <v>--</v>
          </cell>
          <cell r="J2160">
            <v>3</v>
          </cell>
          <cell r="K2160">
            <v>3.6</v>
          </cell>
        </row>
        <row r="2161">
          <cell r="A2161" t="str">
            <v>M2</v>
          </cell>
          <cell r="B2161" t="str">
            <v>A5C</v>
          </cell>
          <cell r="C2161" t="str">
            <v>P</v>
          </cell>
          <cell r="D2161" t="str">
            <v>23068</v>
          </cell>
          <cell r="E2161" t="str">
            <v>PIPE</v>
          </cell>
          <cell r="F2161">
            <v>1</v>
          </cell>
          <cell r="G2161" t="str">
            <v>CB100404000400</v>
          </cell>
          <cell r="H2161">
            <v>4</v>
          </cell>
          <cell r="I2161" t="str">
            <v>--</v>
          </cell>
          <cell r="J2161">
            <v>3</v>
          </cell>
          <cell r="K2161">
            <v>3.6</v>
          </cell>
        </row>
        <row r="2162">
          <cell r="A2162" t="str">
            <v>M2</v>
          </cell>
          <cell r="B2162" t="str">
            <v>A5C</v>
          </cell>
          <cell r="C2162" t="str">
            <v>P</v>
          </cell>
          <cell r="D2162" t="str">
            <v>23095</v>
          </cell>
          <cell r="E2162" t="str">
            <v>PIPE</v>
          </cell>
          <cell r="F2162">
            <v>1</v>
          </cell>
          <cell r="G2162" t="str">
            <v>CB100404000400</v>
          </cell>
          <cell r="H2162">
            <v>4</v>
          </cell>
          <cell r="I2162" t="str">
            <v>--</v>
          </cell>
          <cell r="J2162">
            <v>3</v>
          </cell>
          <cell r="K2162">
            <v>3.6</v>
          </cell>
        </row>
        <row r="2163">
          <cell r="A2163" t="str">
            <v>M2</v>
          </cell>
          <cell r="B2163" t="str">
            <v>A5C</v>
          </cell>
          <cell r="C2163" t="str">
            <v>P</v>
          </cell>
          <cell r="D2163" t="str">
            <v>23114</v>
          </cell>
          <cell r="E2163" t="str">
            <v>PIPE</v>
          </cell>
          <cell r="F2163">
            <v>1</v>
          </cell>
          <cell r="G2163" t="str">
            <v>CB100404000400</v>
          </cell>
          <cell r="H2163">
            <v>4</v>
          </cell>
          <cell r="I2163" t="str">
            <v>--</v>
          </cell>
          <cell r="J2163">
            <v>3</v>
          </cell>
          <cell r="K2163">
            <v>3.6</v>
          </cell>
        </row>
        <row r="2164">
          <cell r="A2164" t="str">
            <v>M2</v>
          </cell>
          <cell r="B2164" t="str">
            <v>A5C</v>
          </cell>
          <cell r="C2164" t="str">
            <v>P</v>
          </cell>
          <cell r="D2164" t="str">
            <v>23123</v>
          </cell>
          <cell r="E2164" t="str">
            <v>PIPE</v>
          </cell>
          <cell r="F2164">
            <v>1</v>
          </cell>
          <cell r="G2164" t="str">
            <v>CB100404000400</v>
          </cell>
          <cell r="H2164">
            <v>4</v>
          </cell>
          <cell r="I2164" t="str">
            <v>--</v>
          </cell>
          <cell r="J2164">
            <v>3</v>
          </cell>
          <cell r="K2164">
            <v>3.6</v>
          </cell>
        </row>
        <row r="2165">
          <cell r="A2165" t="str">
            <v>M2</v>
          </cell>
          <cell r="B2165" t="str">
            <v>A5C</v>
          </cell>
          <cell r="C2165" t="str">
            <v>P</v>
          </cell>
          <cell r="D2165" t="str">
            <v>23127</v>
          </cell>
          <cell r="E2165" t="str">
            <v>PIPE</v>
          </cell>
          <cell r="F2165">
            <v>1</v>
          </cell>
          <cell r="G2165" t="str">
            <v>CB100404000400</v>
          </cell>
          <cell r="H2165">
            <v>4</v>
          </cell>
          <cell r="I2165" t="str">
            <v>--</v>
          </cell>
          <cell r="J2165">
            <v>3</v>
          </cell>
          <cell r="K2165">
            <v>3.6</v>
          </cell>
        </row>
        <row r="2166">
          <cell r="A2166" t="str">
            <v>M2</v>
          </cell>
          <cell r="B2166" t="str">
            <v>A5C</v>
          </cell>
          <cell r="C2166" t="str">
            <v>P</v>
          </cell>
          <cell r="D2166" t="str">
            <v>23228</v>
          </cell>
          <cell r="E2166" t="str">
            <v>PIPE</v>
          </cell>
          <cell r="F2166">
            <v>1</v>
          </cell>
          <cell r="G2166" t="str">
            <v>CB100404000400</v>
          </cell>
          <cell r="H2166">
            <v>4</v>
          </cell>
          <cell r="I2166" t="str">
            <v>--</v>
          </cell>
          <cell r="J2166">
            <v>4.5</v>
          </cell>
          <cell r="K2166">
            <v>5.4</v>
          </cell>
        </row>
        <row r="2167">
          <cell r="A2167" t="str">
            <v>M2</v>
          </cell>
          <cell r="B2167" t="str">
            <v>A5C</v>
          </cell>
          <cell r="C2167" t="str">
            <v>P</v>
          </cell>
          <cell r="D2167" t="str">
            <v>23250</v>
          </cell>
          <cell r="E2167" t="str">
            <v>PIPE</v>
          </cell>
          <cell r="F2167">
            <v>1</v>
          </cell>
          <cell r="G2167" t="str">
            <v>CB100404000400</v>
          </cell>
          <cell r="H2167">
            <v>4</v>
          </cell>
          <cell r="I2167" t="str">
            <v>--</v>
          </cell>
          <cell r="J2167">
            <v>4.5</v>
          </cell>
          <cell r="K2167">
            <v>5.4</v>
          </cell>
        </row>
        <row r="2168">
          <cell r="A2168" t="str">
            <v>M2</v>
          </cell>
          <cell r="B2168" t="str">
            <v>A5C</v>
          </cell>
          <cell r="C2168" t="str">
            <v>P</v>
          </cell>
          <cell r="D2168" t="str">
            <v>23134</v>
          </cell>
          <cell r="E2168" t="str">
            <v>PIPE</v>
          </cell>
          <cell r="F2168">
            <v>1</v>
          </cell>
          <cell r="G2168" t="str">
            <v>CB100404000400</v>
          </cell>
          <cell r="H2168">
            <v>4</v>
          </cell>
          <cell r="I2168" t="str">
            <v>--</v>
          </cell>
          <cell r="J2168">
            <v>5</v>
          </cell>
          <cell r="K2168">
            <v>6</v>
          </cell>
        </row>
        <row r="2169">
          <cell r="A2169" t="str">
            <v>M2</v>
          </cell>
          <cell r="B2169" t="str">
            <v>A5C</v>
          </cell>
          <cell r="C2169" t="str">
            <v>P</v>
          </cell>
          <cell r="D2169" t="str">
            <v>23146</v>
          </cell>
          <cell r="E2169" t="str">
            <v>PIPE</v>
          </cell>
          <cell r="F2169">
            <v>1</v>
          </cell>
          <cell r="G2169" t="str">
            <v>CB100404000400</v>
          </cell>
          <cell r="H2169">
            <v>4</v>
          </cell>
          <cell r="I2169" t="str">
            <v>--</v>
          </cell>
          <cell r="J2169">
            <v>5</v>
          </cell>
          <cell r="K2169">
            <v>6</v>
          </cell>
        </row>
        <row r="2170">
          <cell r="A2170" t="str">
            <v>M2</v>
          </cell>
          <cell r="B2170" t="str">
            <v>A5C</v>
          </cell>
          <cell r="C2170" t="str">
            <v>P</v>
          </cell>
          <cell r="D2170" t="str">
            <v>23095</v>
          </cell>
          <cell r="E2170" t="str">
            <v>PIPE</v>
          </cell>
          <cell r="F2170">
            <v>1</v>
          </cell>
          <cell r="G2170" t="str">
            <v>CB100404000400</v>
          </cell>
          <cell r="H2170">
            <v>4</v>
          </cell>
          <cell r="I2170" t="str">
            <v>--</v>
          </cell>
          <cell r="J2170">
            <v>6</v>
          </cell>
          <cell r="K2170">
            <v>7.2</v>
          </cell>
        </row>
        <row r="2171">
          <cell r="A2171" t="str">
            <v>M2</v>
          </cell>
          <cell r="B2171" t="str">
            <v>A5C</v>
          </cell>
          <cell r="C2171" t="str">
            <v>P</v>
          </cell>
          <cell r="D2171" t="str">
            <v>23110</v>
          </cell>
          <cell r="E2171" t="str">
            <v>PIPE</v>
          </cell>
          <cell r="F2171">
            <v>1</v>
          </cell>
          <cell r="G2171" t="str">
            <v>CB100404000400</v>
          </cell>
          <cell r="H2171">
            <v>4</v>
          </cell>
          <cell r="I2171" t="str">
            <v>--</v>
          </cell>
          <cell r="J2171">
            <v>6</v>
          </cell>
          <cell r="K2171">
            <v>7.2</v>
          </cell>
        </row>
        <row r="2172">
          <cell r="A2172" t="str">
            <v>M2</v>
          </cell>
          <cell r="B2172" t="str">
            <v>A5C</v>
          </cell>
          <cell r="C2172" t="str">
            <v>P</v>
          </cell>
          <cell r="D2172" t="str">
            <v>23114</v>
          </cell>
          <cell r="E2172" t="str">
            <v>PIPE</v>
          </cell>
          <cell r="F2172">
            <v>1</v>
          </cell>
          <cell r="G2172" t="str">
            <v>CB100404000400</v>
          </cell>
          <cell r="H2172">
            <v>4</v>
          </cell>
          <cell r="I2172" t="str">
            <v>--</v>
          </cell>
          <cell r="J2172">
            <v>6</v>
          </cell>
          <cell r="K2172">
            <v>7.2</v>
          </cell>
        </row>
        <row r="2173">
          <cell r="A2173" t="str">
            <v>M2</v>
          </cell>
          <cell r="B2173" t="str">
            <v>A5C</v>
          </cell>
          <cell r="C2173" t="str">
            <v>P</v>
          </cell>
          <cell r="D2173" t="str">
            <v>23121</v>
          </cell>
          <cell r="E2173" t="str">
            <v>PIPE</v>
          </cell>
          <cell r="F2173">
            <v>1</v>
          </cell>
          <cell r="G2173" t="str">
            <v>CB100404000400</v>
          </cell>
          <cell r="H2173">
            <v>4</v>
          </cell>
          <cell r="I2173" t="str">
            <v>--</v>
          </cell>
          <cell r="J2173">
            <v>8.5</v>
          </cell>
          <cell r="K2173">
            <v>10.199999999999999</v>
          </cell>
        </row>
        <row r="2174">
          <cell r="A2174" t="str">
            <v>M2</v>
          </cell>
          <cell r="B2174" t="str">
            <v>A5C</v>
          </cell>
          <cell r="C2174" t="str">
            <v>P</v>
          </cell>
          <cell r="D2174" t="str">
            <v>23174</v>
          </cell>
          <cell r="E2174" t="str">
            <v>PIPE</v>
          </cell>
          <cell r="F2174">
            <v>1</v>
          </cell>
          <cell r="G2174" t="str">
            <v>CB100404000400</v>
          </cell>
          <cell r="H2174">
            <v>4</v>
          </cell>
          <cell r="I2174" t="str">
            <v>--</v>
          </cell>
          <cell r="J2174">
            <v>9</v>
          </cell>
          <cell r="K2174">
            <v>10.8</v>
          </cell>
        </row>
        <row r="2175">
          <cell r="A2175" t="str">
            <v>M2</v>
          </cell>
          <cell r="B2175" t="str">
            <v>A5C</v>
          </cell>
          <cell r="C2175" t="str">
            <v>P</v>
          </cell>
          <cell r="D2175" t="str">
            <v>23024</v>
          </cell>
          <cell r="E2175" t="str">
            <v>PIPE</v>
          </cell>
          <cell r="F2175">
            <v>1</v>
          </cell>
          <cell r="G2175" t="str">
            <v>CB100404000400</v>
          </cell>
          <cell r="H2175">
            <v>4</v>
          </cell>
          <cell r="I2175" t="str">
            <v>--</v>
          </cell>
          <cell r="J2175">
            <v>13.5</v>
          </cell>
          <cell r="K2175">
            <v>16.2</v>
          </cell>
        </row>
        <row r="2176">
          <cell r="A2176" t="str">
            <v>M2</v>
          </cell>
          <cell r="B2176" t="str">
            <v>A5C</v>
          </cell>
          <cell r="C2176" t="str">
            <v>P</v>
          </cell>
          <cell r="D2176" t="str">
            <v>23227</v>
          </cell>
          <cell r="E2176" t="str">
            <v>PIPE</v>
          </cell>
          <cell r="F2176">
            <v>1</v>
          </cell>
          <cell r="G2176" t="str">
            <v>CB100404000400</v>
          </cell>
          <cell r="H2176">
            <v>4</v>
          </cell>
          <cell r="I2176" t="str">
            <v>--</v>
          </cell>
          <cell r="J2176">
            <v>14.5</v>
          </cell>
          <cell r="K2176">
            <v>17.399999999999999</v>
          </cell>
        </row>
        <row r="2177">
          <cell r="A2177" t="str">
            <v>M2</v>
          </cell>
          <cell r="B2177" t="str">
            <v>A5C</v>
          </cell>
          <cell r="C2177" t="str">
            <v>P</v>
          </cell>
          <cell r="D2177" t="str">
            <v>23249</v>
          </cell>
          <cell r="E2177" t="str">
            <v>PIPE</v>
          </cell>
          <cell r="F2177">
            <v>1</v>
          </cell>
          <cell r="G2177" t="str">
            <v>CB100404000400</v>
          </cell>
          <cell r="H2177">
            <v>4</v>
          </cell>
          <cell r="I2177" t="str">
            <v>--</v>
          </cell>
          <cell r="J2177">
            <v>14.5</v>
          </cell>
          <cell r="K2177">
            <v>17.399999999999999</v>
          </cell>
        </row>
        <row r="2178">
          <cell r="A2178" t="str">
            <v>M2</v>
          </cell>
          <cell r="B2178" t="str">
            <v>A5C</v>
          </cell>
          <cell r="C2178" t="str">
            <v>P</v>
          </cell>
          <cell r="D2178" t="str">
            <v>23139</v>
          </cell>
          <cell r="E2178" t="str">
            <v>PIPE</v>
          </cell>
          <cell r="F2178">
            <v>1</v>
          </cell>
          <cell r="G2178" t="str">
            <v>CB100404000400</v>
          </cell>
          <cell r="H2178">
            <v>4</v>
          </cell>
          <cell r="I2178" t="str">
            <v>--</v>
          </cell>
          <cell r="J2178">
            <v>15</v>
          </cell>
          <cell r="K2178">
            <v>18</v>
          </cell>
        </row>
        <row r="2179">
          <cell r="A2179" t="str">
            <v>M2</v>
          </cell>
          <cell r="B2179" t="str">
            <v>A5C</v>
          </cell>
          <cell r="C2179" t="str">
            <v>P</v>
          </cell>
          <cell r="D2179" t="str">
            <v>23062</v>
          </cell>
          <cell r="E2179" t="str">
            <v>PIPE</v>
          </cell>
          <cell r="F2179">
            <v>1</v>
          </cell>
          <cell r="G2179" t="str">
            <v>CB100404000400</v>
          </cell>
          <cell r="H2179">
            <v>4</v>
          </cell>
          <cell r="I2179" t="str">
            <v>--</v>
          </cell>
          <cell r="J2179">
            <v>17</v>
          </cell>
          <cell r="K2179">
            <v>20.399999999999999</v>
          </cell>
        </row>
        <row r="2180">
          <cell r="A2180" t="str">
            <v>M2</v>
          </cell>
          <cell r="B2180" t="str">
            <v>A5C</v>
          </cell>
          <cell r="C2180" t="str">
            <v>P</v>
          </cell>
          <cell r="D2180" t="str">
            <v>23029</v>
          </cell>
          <cell r="E2180" t="str">
            <v>PIPE</v>
          </cell>
          <cell r="F2180">
            <v>1</v>
          </cell>
          <cell r="G2180" t="str">
            <v>CB100404000400</v>
          </cell>
          <cell r="H2180">
            <v>4</v>
          </cell>
          <cell r="I2180" t="str">
            <v>--</v>
          </cell>
          <cell r="J2180">
            <v>18.7</v>
          </cell>
          <cell r="K2180">
            <v>22.5</v>
          </cell>
        </row>
        <row r="2181">
          <cell r="A2181" t="str">
            <v>M2</v>
          </cell>
          <cell r="B2181" t="str">
            <v>A5C</v>
          </cell>
          <cell r="C2181" t="str">
            <v>P</v>
          </cell>
          <cell r="D2181" t="str">
            <v>23100</v>
          </cell>
          <cell r="E2181" t="str">
            <v>PIPE</v>
          </cell>
          <cell r="F2181">
            <v>1</v>
          </cell>
          <cell r="G2181" t="str">
            <v>CB100404000400</v>
          </cell>
          <cell r="H2181">
            <v>4</v>
          </cell>
          <cell r="I2181" t="str">
            <v>--</v>
          </cell>
          <cell r="J2181">
            <v>20</v>
          </cell>
          <cell r="K2181">
            <v>24</v>
          </cell>
        </row>
        <row r="2182">
          <cell r="A2182" t="str">
            <v>M2</v>
          </cell>
          <cell r="B2182" t="str">
            <v>A5C</v>
          </cell>
          <cell r="C2182" t="str">
            <v>P</v>
          </cell>
          <cell r="D2182" t="str">
            <v>23174</v>
          </cell>
          <cell r="E2182" t="str">
            <v>PIPE</v>
          </cell>
          <cell r="F2182">
            <v>1</v>
          </cell>
          <cell r="G2182" t="str">
            <v>CB100404000400</v>
          </cell>
          <cell r="H2182">
            <v>4</v>
          </cell>
          <cell r="I2182" t="str">
            <v>--</v>
          </cell>
          <cell r="J2182">
            <v>48.1</v>
          </cell>
          <cell r="K2182">
            <v>57.8</v>
          </cell>
        </row>
        <row r="2183">
          <cell r="A2183" t="str">
            <v>M2</v>
          </cell>
          <cell r="B2183" t="str">
            <v>A5C</v>
          </cell>
          <cell r="C2183" t="str">
            <v>P</v>
          </cell>
          <cell r="D2183" t="str">
            <v>23072</v>
          </cell>
          <cell r="E2183" t="str">
            <v>PIPE</v>
          </cell>
          <cell r="F2183">
            <v>1</v>
          </cell>
          <cell r="G2183" t="str">
            <v>CB100404000400</v>
          </cell>
          <cell r="H2183">
            <v>4</v>
          </cell>
          <cell r="I2183" t="str">
            <v>--</v>
          </cell>
          <cell r="J2183">
            <v>52.1</v>
          </cell>
          <cell r="K2183">
            <v>62.6</v>
          </cell>
        </row>
        <row r="2184">
          <cell r="A2184" t="str">
            <v>M2</v>
          </cell>
          <cell r="B2184" t="str">
            <v>A5C</v>
          </cell>
          <cell r="C2184" t="str">
            <v>P</v>
          </cell>
          <cell r="D2184" t="str">
            <v>23029</v>
          </cell>
          <cell r="E2184" t="str">
            <v>PIPE</v>
          </cell>
          <cell r="F2184">
            <v>1</v>
          </cell>
          <cell r="G2184" t="str">
            <v>CB100404000400</v>
          </cell>
          <cell r="H2184">
            <v>4</v>
          </cell>
          <cell r="I2184" t="str">
            <v>--</v>
          </cell>
          <cell r="J2184">
            <v>53.1</v>
          </cell>
          <cell r="K2184">
            <v>63.8</v>
          </cell>
        </row>
        <row r="2185">
          <cell r="A2185" t="str">
            <v>M2</v>
          </cell>
          <cell r="B2185" t="str">
            <v>A5C</v>
          </cell>
          <cell r="C2185" t="str">
            <v>P</v>
          </cell>
          <cell r="D2185" t="str">
            <v>23267</v>
          </cell>
          <cell r="E2185" t="str">
            <v>PIPE</v>
          </cell>
          <cell r="F2185">
            <v>1</v>
          </cell>
          <cell r="G2185" t="str">
            <v>CB100404000400</v>
          </cell>
          <cell r="H2185">
            <v>4</v>
          </cell>
          <cell r="I2185" t="str">
            <v>--</v>
          </cell>
          <cell r="J2185">
            <v>56.5</v>
          </cell>
          <cell r="K2185">
            <v>67.8</v>
          </cell>
        </row>
        <row r="2186">
          <cell r="A2186" t="str">
            <v>M2</v>
          </cell>
          <cell r="B2186" t="str">
            <v>A5C</v>
          </cell>
          <cell r="C2186" t="str">
            <v>P</v>
          </cell>
          <cell r="D2186" t="str">
            <v>23024</v>
          </cell>
          <cell r="E2186" t="str">
            <v>PIPE</v>
          </cell>
          <cell r="F2186">
            <v>1</v>
          </cell>
          <cell r="G2186" t="str">
            <v>CB100404000400</v>
          </cell>
          <cell r="H2186">
            <v>4</v>
          </cell>
          <cell r="I2186" t="str">
            <v>--</v>
          </cell>
          <cell r="J2186">
            <v>61.4</v>
          </cell>
          <cell r="K2186">
            <v>73.7</v>
          </cell>
        </row>
        <row r="2187">
          <cell r="A2187" t="str">
            <v>M2</v>
          </cell>
          <cell r="B2187" t="str">
            <v>A5C</v>
          </cell>
          <cell r="C2187" t="str">
            <v>P</v>
          </cell>
          <cell r="D2187" t="str">
            <v>HOLD2</v>
          </cell>
          <cell r="E2187" t="str">
            <v>PIPE</v>
          </cell>
          <cell r="F2187">
            <v>1</v>
          </cell>
          <cell r="G2187" t="str">
            <v>CB100404000400</v>
          </cell>
          <cell r="H2187">
            <v>4</v>
          </cell>
          <cell r="I2187" t="str">
            <v>--</v>
          </cell>
          <cell r="J2187">
            <v>255</v>
          </cell>
          <cell r="K2187">
            <v>306</v>
          </cell>
        </row>
        <row r="2188">
          <cell r="A2188" t="str">
            <v>M2</v>
          </cell>
          <cell r="B2188" t="str">
            <v>A5C</v>
          </cell>
          <cell r="C2188" t="str">
            <v>P</v>
          </cell>
          <cell r="D2188" t="str">
            <v>23160</v>
          </cell>
          <cell r="E2188" t="str">
            <v>PIPE</v>
          </cell>
          <cell r="F2188">
            <v>1</v>
          </cell>
          <cell r="G2188" t="str">
            <v>CB100404000600</v>
          </cell>
          <cell r="H2188">
            <v>6</v>
          </cell>
          <cell r="I2188" t="str">
            <v>--</v>
          </cell>
          <cell r="J2188">
            <v>1</v>
          </cell>
          <cell r="K2188">
            <v>1.2</v>
          </cell>
        </row>
        <row r="2189">
          <cell r="A2189" t="str">
            <v>M2</v>
          </cell>
          <cell r="B2189" t="str">
            <v>A5C</v>
          </cell>
          <cell r="C2189" t="str">
            <v>P</v>
          </cell>
          <cell r="D2189" t="str">
            <v>23083</v>
          </cell>
          <cell r="E2189" t="str">
            <v>PIPE</v>
          </cell>
          <cell r="F2189">
            <v>1</v>
          </cell>
          <cell r="G2189" t="str">
            <v>CB100404000600</v>
          </cell>
          <cell r="H2189">
            <v>6</v>
          </cell>
          <cell r="I2189" t="str">
            <v>--</v>
          </cell>
          <cell r="J2189">
            <v>2</v>
          </cell>
          <cell r="K2189">
            <v>2.4</v>
          </cell>
        </row>
        <row r="2190">
          <cell r="A2190" t="str">
            <v>M2</v>
          </cell>
          <cell r="B2190" t="str">
            <v>A5C</v>
          </cell>
          <cell r="C2190" t="str">
            <v>P</v>
          </cell>
          <cell r="D2190" t="str">
            <v>23056</v>
          </cell>
          <cell r="E2190" t="str">
            <v>PIPE</v>
          </cell>
          <cell r="F2190">
            <v>1</v>
          </cell>
          <cell r="G2190" t="str">
            <v>CB100404000600</v>
          </cell>
          <cell r="H2190">
            <v>6</v>
          </cell>
          <cell r="I2190" t="str">
            <v>--</v>
          </cell>
          <cell r="J2190">
            <v>2</v>
          </cell>
          <cell r="K2190">
            <v>2.4</v>
          </cell>
        </row>
        <row r="2191">
          <cell r="A2191" t="str">
            <v>M2</v>
          </cell>
          <cell r="B2191" t="str">
            <v>A5C</v>
          </cell>
          <cell r="C2191" t="str">
            <v>P</v>
          </cell>
          <cell r="D2191" t="str">
            <v>23075</v>
          </cell>
          <cell r="E2191" t="str">
            <v>PIPE</v>
          </cell>
          <cell r="F2191">
            <v>1</v>
          </cell>
          <cell r="G2191" t="str">
            <v>CB100404000600</v>
          </cell>
          <cell r="H2191">
            <v>6</v>
          </cell>
          <cell r="I2191" t="str">
            <v>--</v>
          </cell>
          <cell r="J2191">
            <v>2</v>
          </cell>
          <cell r="K2191">
            <v>2.4</v>
          </cell>
        </row>
        <row r="2192">
          <cell r="A2192" t="str">
            <v>M2</v>
          </cell>
          <cell r="B2192" t="str">
            <v>A5C</v>
          </cell>
          <cell r="C2192" t="str">
            <v>P</v>
          </cell>
          <cell r="D2192" t="str">
            <v>23084</v>
          </cell>
          <cell r="E2192" t="str">
            <v>PIPE</v>
          </cell>
          <cell r="F2192">
            <v>1</v>
          </cell>
          <cell r="G2192" t="str">
            <v>CB100404000600</v>
          </cell>
          <cell r="H2192">
            <v>6</v>
          </cell>
          <cell r="I2192" t="str">
            <v>--</v>
          </cell>
          <cell r="J2192">
            <v>3</v>
          </cell>
          <cell r="K2192">
            <v>3.6</v>
          </cell>
        </row>
        <row r="2193">
          <cell r="A2193" t="str">
            <v>M2</v>
          </cell>
          <cell r="B2193" t="str">
            <v>A5C</v>
          </cell>
          <cell r="C2193" t="str">
            <v>P</v>
          </cell>
          <cell r="D2193" t="str">
            <v>23090</v>
          </cell>
          <cell r="E2193" t="str">
            <v>PIPE</v>
          </cell>
          <cell r="F2193">
            <v>1</v>
          </cell>
          <cell r="G2193" t="str">
            <v>CB100404000600</v>
          </cell>
          <cell r="H2193">
            <v>6</v>
          </cell>
          <cell r="I2193" t="str">
            <v>--</v>
          </cell>
          <cell r="J2193">
            <v>4</v>
          </cell>
          <cell r="K2193">
            <v>4.8</v>
          </cell>
        </row>
        <row r="2194">
          <cell r="A2194" t="str">
            <v>M2</v>
          </cell>
          <cell r="B2194" t="str">
            <v>A5C</v>
          </cell>
          <cell r="C2194" t="str">
            <v>P</v>
          </cell>
          <cell r="D2194" t="str">
            <v>23129</v>
          </cell>
          <cell r="E2194" t="str">
            <v>PIPE</v>
          </cell>
          <cell r="F2194">
            <v>1</v>
          </cell>
          <cell r="G2194" t="str">
            <v>CB100404000600</v>
          </cell>
          <cell r="H2194">
            <v>6</v>
          </cell>
          <cell r="I2194" t="str">
            <v>--</v>
          </cell>
          <cell r="J2194">
            <v>4</v>
          </cell>
          <cell r="K2194">
            <v>4.8</v>
          </cell>
        </row>
        <row r="2195">
          <cell r="A2195" t="str">
            <v>M2</v>
          </cell>
          <cell r="B2195" t="str">
            <v>A5C</v>
          </cell>
          <cell r="C2195" t="str">
            <v>P</v>
          </cell>
          <cell r="D2195" t="str">
            <v>23097</v>
          </cell>
          <cell r="E2195" t="str">
            <v>PIPE</v>
          </cell>
          <cell r="F2195">
            <v>1</v>
          </cell>
          <cell r="G2195" t="str">
            <v>CB100404000600</v>
          </cell>
          <cell r="H2195">
            <v>6</v>
          </cell>
          <cell r="I2195" t="str">
            <v>--</v>
          </cell>
          <cell r="J2195">
            <v>5.5</v>
          </cell>
          <cell r="K2195">
            <v>6.6</v>
          </cell>
        </row>
        <row r="2196">
          <cell r="A2196" t="str">
            <v>M2</v>
          </cell>
          <cell r="B2196" t="str">
            <v>A5C</v>
          </cell>
          <cell r="C2196" t="str">
            <v>P</v>
          </cell>
          <cell r="D2196" t="str">
            <v>23136</v>
          </cell>
          <cell r="E2196" t="str">
            <v>PIPE</v>
          </cell>
          <cell r="F2196">
            <v>1</v>
          </cell>
          <cell r="G2196" t="str">
            <v>CB100404000600</v>
          </cell>
          <cell r="H2196">
            <v>6</v>
          </cell>
          <cell r="I2196" t="str">
            <v>--</v>
          </cell>
          <cell r="J2196">
            <v>5.5</v>
          </cell>
          <cell r="K2196">
            <v>6.6</v>
          </cell>
        </row>
        <row r="2197">
          <cell r="A2197" t="str">
            <v>M2</v>
          </cell>
          <cell r="B2197" t="str">
            <v>A5C</v>
          </cell>
          <cell r="C2197" t="str">
            <v>P</v>
          </cell>
          <cell r="D2197" t="str">
            <v>23025</v>
          </cell>
          <cell r="E2197" t="str">
            <v>PIPE</v>
          </cell>
          <cell r="F2197">
            <v>1</v>
          </cell>
          <cell r="G2197" t="str">
            <v>CB100404000600</v>
          </cell>
          <cell r="H2197">
            <v>6</v>
          </cell>
          <cell r="I2197" t="str">
            <v>--</v>
          </cell>
          <cell r="J2197">
            <v>5.8</v>
          </cell>
          <cell r="K2197">
            <v>7</v>
          </cell>
        </row>
        <row r="2198">
          <cell r="A2198" t="str">
            <v>M2</v>
          </cell>
          <cell r="B2198" t="str">
            <v>A5C</v>
          </cell>
          <cell r="C2198" t="str">
            <v>P</v>
          </cell>
          <cell r="D2198" t="str">
            <v>23221</v>
          </cell>
          <cell r="E2198" t="str">
            <v>PIPE</v>
          </cell>
          <cell r="F2198">
            <v>1</v>
          </cell>
          <cell r="G2198" t="str">
            <v>CB100404000600</v>
          </cell>
          <cell r="H2198">
            <v>6</v>
          </cell>
          <cell r="I2198" t="str">
            <v>--</v>
          </cell>
          <cell r="J2198">
            <v>7</v>
          </cell>
          <cell r="K2198">
            <v>8.4</v>
          </cell>
        </row>
        <row r="2199">
          <cell r="A2199" t="str">
            <v>M2</v>
          </cell>
          <cell r="B2199" t="str">
            <v>A5C</v>
          </cell>
          <cell r="C2199" t="str">
            <v>P</v>
          </cell>
          <cell r="D2199" t="str">
            <v>23244</v>
          </cell>
          <cell r="E2199" t="str">
            <v>PIPE</v>
          </cell>
          <cell r="F2199">
            <v>1</v>
          </cell>
          <cell r="G2199" t="str">
            <v>CB100404000600</v>
          </cell>
          <cell r="H2199">
            <v>6</v>
          </cell>
          <cell r="I2199" t="str">
            <v>--</v>
          </cell>
          <cell r="J2199">
            <v>7</v>
          </cell>
          <cell r="K2199">
            <v>8.4</v>
          </cell>
        </row>
        <row r="2200">
          <cell r="A2200" t="str">
            <v>M2</v>
          </cell>
          <cell r="B2200" t="str">
            <v>A5C</v>
          </cell>
          <cell r="C2200" t="str">
            <v>P</v>
          </cell>
          <cell r="D2200" t="str">
            <v>23152</v>
          </cell>
          <cell r="E2200" t="str">
            <v>PIPE</v>
          </cell>
          <cell r="F2200">
            <v>1</v>
          </cell>
          <cell r="G2200" t="str">
            <v>CB100404000600</v>
          </cell>
          <cell r="H2200">
            <v>6</v>
          </cell>
          <cell r="I2200" t="str">
            <v>--</v>
          </cell>
          <cell r="J2200">
            <v>10</v>
          </cell>
          <cell r="K2200">
            <v>12</v>
          </cell>
        </row>
        <row r="2201">
          <cell r="A2201" t="str">
            <v>M2</v>
          </cell>
          <cell r="B2201" t="str">
            <v>A5C</v>
          </cell>
          <cell r="C2201" t="str">
            <v>P</v>
          </cell>
          <cell r="D2201" t="str">
            <v>23021</v>
          </cell>
          <cell r="E2201" t="str">
            <v>PIPE</v>
          </cell>
          <cell r="F2201">
            <v>1</v>
          </cell>
          <cell r="G2201" t="str">
            <v>CB100404000600</v>
          </cell>
          <cell r="H2201">
            <v>6</v>
          </cell>
          <cell r="I2201" t="str">
            <v>--</v>
          </cell>
          <cell r="J2201">
            <v>10</v>
          </cell>
          <cell r="K2201">
            <v>12</v>
          </cell>
        </row>
        <row r="2202">
          <cell r="A2202" t="str">
            <v>M2</v>
          </cell>
          <cell r="B2202" t="str">
            <v>A5C</v>
          </cell>
          <cell r="C2202" t="str">
            <v>P</v>
          </cell>
          <cell r="D2202" t="str">
            <v>23091</v>
          </cell>
          <cell r="E2202" t="str">
            <v>PIPE</v>
          </cell>
          <cell r="F2202">
            <v>1</v>
          </cell>
          <cell r="G2202" t="str">
            <v>CB100404000600</v>
          </cell>
          <cell r="H2202">
            <v>6</v>
          </cell>
          <cell r="I2202" t="str">
            <v>--</v>
          </cell>
          <cell r="J2202">
            <v>10</v>
          </cell>
          <cell r="K2202">
            <v>12</v>
          </cell>
        </row>
        <row r="2203">
          <cell r="A2203" t="str">
            <v>M2</v>
          </cell>
          <cell r="B2203" t="str">
            <v>A5C</v>
          </cell>
          <cell r="C2203" t="str">
            <v>P</v>
          </cell>
          <cell r="D2203" t="str">
            <v>23130</v>
          </cell>
          <cell r="E2203" t="str">
            <v>PIPE</v>
          </cell>
          <cell r="F2203">
            <v>1</v>
          </cell>
          <cell r="G2203" t="str">
            <v>CB100404000600</v>
          </cell>
          <cell r="H2203">
            <v>6</v>
          </cell>
          <cell r="I2203" t="str">
            <v>--</v>
          </cell>
          <cell r="J2203">
            <v>10</v>
          </cell>
          <cell r="K2203">
            <v>12</v>
          </cell>
        </row>
        <row r="2204">
          <cell r="A2204" t="str">
            <v>M2</v>
          </cell>
          <cell r="B2204" t="str">
            <v>A5C</v>
          </cell>
          <cell r="C2204" t="str">
            <v>P</v>
          </cell>
          <cell r="D2204" t="str">
            <v>23026</v>
          </cell>
          <cell r="E2204" t="str">
            <v>PIPE</v>
          </cell>
          <cell r="F2204">
            <v>1</v>
          </cell>
          <cell r="G2204" t="str">
            <v>CB100404000600</v>
          </cell>
          <cell r="H2204">
            <v>6</v>
          </cell>
          <cell r="I2204" t="str">
            <v>--</v>
          </cell>
          <cell r="J2204">
            <v>13.5</v>
          </cell>
          <cell r="K2204">
            <v>16.2</v>
          </cell>
        </row>
        <row r="2205">
          <cell r="A2205" t="str">
            <v>M2</v>
          </cell>
          <cell r="B2205" t="str">
            <v>A5C</v>
          </cell>
          <cell r="C2205" t="str">
            <v>P</v>
          </cell>
          <cell r="D2205" t="str">
            <v>23181</v>
          </cell>
          <cell r="E2205" t="str">
            <v>PIPE</v>
          </cell>
          <cell r="F2205">
            <v>1</v>
          </cell>
          <cell r="G2205" t="str">
            <v>CB100404000600</v>
          </cell>
          <cell r="H2205">
            <v>6</v>
          </cell>
          <cell r="I2205" t="str">
            <v>--</v>
          </cell>
          <cell r="J2205">
            <v>22</v>
          </cell>
          <cell r="K2205">
            <v>26.4</v>
          </cell>
        </row>
        <row r="2206">
          <cell r="A2206" t="str">
            <v>M2</v>
          </cell>
          <cell r="B2206" t="str">
            <v>A5C</v>
          </cell>
          <cell r="C2206" t="str">
            <v>P</v>
          </cell>
          <cell r="D2206" t="str">
            <v>23181</v>
          </cell>
          <cell r="E2206" t="str">
            <v>PIPE</v>
          </cell>
          <cell r="F2206">
            <v>1</v>
          </cell>
          <cell r="G2206" t="str">
            <v>CB100404000600</v>
          </cell>
          <cell r="H2206">
            <v>6</v>
          </cell>
          <cell r="I2206" t="str">
            <v>--</v>
          </cell>
          <cell r="J2206">
            <v>29</v>
          </cell>
          <cell r="K2206">
            <v>34.799999999999997</v>
          </cell>
        </row>
        <row r="2207">
          <cell r="A2207" t="str">
            <v>M2</v>
          </cell>
          <cell r="B2207" t="str">
            <v>A5C</v>
          </cell>
          <cell r="C2207" t="str">
            <v>P</v>
          </cell>
          <cell r="D2207" t="str">
            <v>23152</v>
          </cell>
          <cell r="E2207" t="str">
            <v>PIPE</v>
          </cell>
          <cell r="F2207">
            <v>1</v>
          </cell>
          <cell r="G2207" t="str">
            <v>CB100404000600</v>
          </cell>
          <cell r="H2207">
            <v>6</v>
          </cell>
          <cell r="I2207" t="str">
            <v>--</v>
          </cell>
          <cell r="J2207">
            <v>31.5</v>
          </cell>
          <cell r="K2207">
            <v>37.799999999999997</v>
          </cell>
        </row>
        <row r="2208">
          <cell r="A2208" t="str">
            <v>M2</v>
          </cell>
          <cell r="B2208" t="str">
            <v>A5C</v>
          </cell>
          <cell r="C2208" t="str">
            <v>P</v>
          </cell>
          <cell r="D2208" t="str">
            <v>23010</v>
          </cell>
          <cell r="E2208" t="str">
            <v>PIPE</v>
          </cell>
          <cell r="F2208">
            <v>1</v>
          </cell>
          <cell r="G2208" t="str">
            <v>CB100404000800</v>
          </cell>
          <cell r="H2208">
            <v>8</v>
          </cell>
          <cell r="I2208" t="str">
            <v>--</v>
          </cell>
          <cell r="J2208">
            <v>1.3</v>
          </cell>
          <cell r="K2208">
            <v>1.6</v>
          </cell>
        </row>
        <row r="2209">
          <cell r="A2209" t="str">
            <v>M2</v>
          </cell>
          <cell r="B2209" t="str">
            <v>A5C</v>
          </cell>
          <cell r="C2209" t="str">
            <v>P</v>
          </cell>
          <cell r="D2209" t="str">
            <v>23093</v>
          </cell>
          <cell r="E2209" t="str">
            <v>PIPE</v>
          </cell>
          <cell r="F2209">
            <v>1</v>
          </cell>
          <cell r="G2209" t="str">
            <v>CB100404000800</v>
          </cell>
          <cell r="H2209">
            <v>8</v>
          </cell>
          <cell r="I2209" t="str">
            <v>--</v>
          </cell>
          <cell r="J2209">
            <v>5.5</v>
          </cell>
          <cell r="K2209">
            <v>6.6</v>
          </cell>
        </row>
        <row r="2210">
          <cell r="A2210" t="str">
            <v>M2</v>
          </cell>
          <cell r="B2210" t="str">
            <v>A5C</v>
          </cell>
          <cell r="C2210" t="str">
            <v>P</v>
          </cell>
          <cell r="D2210" t="str">
            <v>23132</v>
          </cell>
          <cell r="E2210" t="str">
            <v>PIPE</v>
          </cell>
          <cell r="F2210">
            <v>1</v>
          </cell>
          <cell r="G2210" t="str">
            <v>CB100404000800</v>
          </cell>
          <cell r="H2210">
            <v>8</v>
          </cell>
          <cell r="I2210" t="str">
            <v>--</v>
          </cell>
          <cell r="J2210">
            <v>5.5</v>
          </cell>
          <cell r="K2210">
            <v>6.6</v>
          </cell>
        </row>
        <row r="2211">
          <cell r="A2211" t="str">
            <v>M2</v>
          </cell>
          <cell r="B2211" t="str">
            <v>A5C</v>
          </cell>
          <cell r="C2211" t="str">
            <v>P</v>
          </cell>
          <cell r="D2211" t="str">
            <v>23067</v>
          </cell>
          <cell r="E2211" t="str">
            <v>PIPE</v>
          </cell>
          <cell r="F2211">
            <v>1</v>
          </cell>
          <cell r="G2211" t="str">
            <v>CB100404000800</v>
          </cell>
          <cell r="H2211">
            <v>8</v>
          </cell>
          <cell r="I2211" t="str">
            <v>--</v>
          </cell>
          <cell r="J2211">
            <v>9</v>
          </cell>
          <cell r="K2211">
            <v>10.8</v>
          </cell>
        </row>
        <row r="2212">
          <cell r="A2212" t="str">
            <v>M2</v>
          </cell>
          <cell r="B2212" t="str">
            <v>A5C</v>
          </cell>
          <cell r="C2212" t="str">
            <v>P</v>
          </cell>
          <cell r="D2212" t="str">
            <v>23126</v>
          </cell>
          <cell r="E2212" t="str">
            <v>PIPE</v>
          </cell>
          <cell r="F2212">
            <v>1</v>
          </cell>
          <cell r="G2212" t="str">
            <v>CB100404000800</v>
          </cell>
          <cell r="H2212">
            <v>8</v>
          </cell>
          <cell r="I2212" t="str">
            <v>--</v>
          </cell>
          <cell r="J2212">
            <v>9</v>
          </cell>
          <cell r="K2212">
            <v>10.8</v>
          </cell>
        </row>
        <row r="2213">
          <cell r="A2213" t="str">
            <v>M2</v>
          </cell>
          <cell r="B2213" t="str">
            <v>A5C</v>
          </cell>
          <cell r="C2213" t="str">
            <v>P</v>
          </cell>
          <cell r="D2213" t="str">
            <v>23089</v>
          </cell>
          <cell r="E2213" t="str">
            <v>PIPE</v>
          </cell>
          <cell r="F2213">
            <v>1</v>
          </cell>
          <cell r="G2213" t="str">
            <v>CB100404000800</v>
          </cell>
          <cell r="H2213">
            <v>8</v>
          </cell>
          <cell r="I2213" t="str">
            <v>--</v>
          </cell>
          <cell r="J2213">
            <v>9.5</v>
          </cell>
          <cell r="K2213">
            <v>11.4</v>
          </cell>
        </row>
        <row r="2214">
          <cell r="A2214" t="str">
            <v>M2</v>
          </cell>
          <cell r="B2214" t="str">
            <v>A5C</v>
          </cell>
          <cell r="C2214" t="str">
            <v>P</v>
          </cell>
          <cell r="D2214" t="str">
            <v>23128</v>
          </cell>
          <cell r="E2214" t="str">
            <v>PIPE</v>
          </cell>
          <cell r="F2214">
            <v>1</v>
          </cell>
          <cell r="G2214" t="str">
            <v>CB100404000800</v>
          </cell>
          <cell r="H2214">
            <v>8</v>
          </cell>
          <cell r="I2214" t="str">
            <v>--</v>
          </cell>
          <cell r="J2214">
            <v>9.5</v>
          </cell>
          <cell r="K2214">
            <v>11.4</v>
          </cell>
        </row>
        <row r="2215">
          <cell r="A2215" t="str">
            <v>M2</v>
          </cell>
          <cell r="B2215" t="str">
            <v>A5C</v>
          </cell>
          <cell r="C2215" t="str">
            <v>P</v>
          </cell>
          <cell r="D2215" t="str">
            <v>23046</v>
          </cell>
          <cell r="E2215" t="str">
            <v>PIPE</v>
          </cell>
          <cell r="F2215">
            <v>1</v>
          </cell>
          <cell r="G2215" t="str">
            <v>CB100404000800</v>
          </cell>
          <cell r="H2215">
            <v>8</v>
          </cell>
          <cell r="I2215" t="str">
            <v>--</v>
          </cell>
          <cell r="J2215">
            <v>48.3</v>
          </cell>
          <cell r="K2215">
            <v>58</v>
          </cell>
        </row>
        <row r="2216">
          <cell r="A2216" t="str">
            <v>M2</v>
          </cell>
          <cell r="B2216" t="str">
            <v>A5C</v>
          </cell>
          <cell r="C2216" t="str">
            <v>P</v>
          </cell>
          <cell r="D2216" t="str">
            <v>23160</v>
          </cell>
          <cell r="E2216" t="str">
            <v>PIPE</v>
          </cell>
          <cell r="F2216">
            <v>1</v>
          </cell>
          <cell r="G2216" t="str">
            <v>CB100404000800</v>
          </cell>
          <cell r="H2216">
            <v>8</v>
          </cell>
          <cell r="I2216" t="str">
            <v>--</v>
          </cell>
          <cell r="J2216">
            <v>61.6</v>
          </cell>
          <cell r="K2216">
            <v>74</v>
          </cell>
        </row>
        <row r="2217">
          <cell r="A2217" t="str">
            <v>M2</v>
          </cell>
          <cell r="B2217" t="str">
            <v>A5C</v>
          </cell>
          <cell r="C2217" t="str">
            <v>P</v>
          </cell>
          <cell r="D2217" t="str">
            <v>23049</v>
          </cell>
          <cell r="E2217" t="str">
            <v>PIPE</v>
          </cell>
          <cell r="F2217">
            <v>1</v>
          </cell>
          <cell r="G2217" t="str">
            <v>CB100404001000</v>
          </cell>
          <cell r="H2217">
            <v>10</v>
          </cell>
          <cell r="I2217" t="str">
            <v>--</v>
          </cell>
          <cell r="J2217">
            <v>1.3</v>
          </cell>
          <cell r="K2217">
            <v>1.5</v>
          </cell>
        </row>
        <row r="2218">
          <cell r="A2218" t="str">
            <v>M2</v>
          </cell>
          <cell r="B2218" t="str">
            <v>A5C</v>
          </cell>
          <cell r="C2218" t="str">
            <v>P</v>
          </cell>
          <cell r="D2218" t="str">
            <v>23060</v>
          </cell>
          <cell r="E2218" t="str">
            <v>PIPE</v>
          </cell>
          <cell r="F2218">
            <v>1</v>
          </cell>
          <cell r="G2218" t="str">
            <v>CB100404001000</v>
          </cell>
          <cell r="H2218">
            <v>10</v>
          </cell>
          <cell r="I2218" t="str">
            <v>--</v>
          </cell>
          <cell r="J2218">
            <v>2</v>
          </cell>
          <cell r="K2218">
            <v>2.2000000000000002</v>
          </cell>
        </row>
        <row r="2219">
          <cell r="A2219" t="str">
            <v>M2</v>
          </cell>
          <cell r="B2219" t="str">
            <v>A5C</v>
          </cell>
          <cell r="C2219" t="str">
            <v>P</v>
          </cell>
          <cell r="D2219" t="str">
            <v>23023</v>
          </cell>
          <cell r="E2219" t="str">
            <v>PIPE</v>
          </cell>
          <cell r="F2219">
            <v>1</v>
          </cell>
          <cell r="G2219" t="str">
            <v>CB100404001000</v>
          </cell>
          <cell r="H2219">
            <v>10</v>
          </cell>
          <cell r="I2219" t="str">
            <v>--</v>
          </cell>
          <cell r="J2219">
            <v>2.6</v>
          </cell>
          <cell r="K2219">
            <v>2.9</v>
          </cell>
        </row>
        <row r="2220">
          <cell r="A2220" t="str">
            <v>M2</v>
          </cell>
          <cell r="B2220" t="str">
            <v>A5C</v>
          </cell>
          <cell r="C2220" t="str">
            <v>P</v>
          </cell>
          <cell r="D2220" t="str">
            <v>23011</v>
          </cell>
          <cell r="E2220" t="str">
            <v>PIPE</v>
          </cell>
          <cell r="F2220">
            <v>1</v>
          </cell>
          <cell r="G2220" t="str">
            <v>CB100404001000</v>
          </cell>
          <cell r="H2220">
            <v>10</v>
          </cell>
          <cell r="I2220" t="str">
            <v>--</v>
          </cell>
          <cell r="J2220">
            <v>33.9</v>
          </cell>
          <cell r="K2220">
            <v>37.299999999999997</v>
          </cell>
        </row>
        <row r="2221">
          <cell r="A2221" t="str">
            <v>M2</v>
          </cell>
          <cell r="B2221" t="str">
            <v>A5C</v>
          </cell>
          <cell r="C2221" t="str">
            <v>P</v>
          </cell>
          <cell r="D2221" t="str">
            <v>23057</v>
          </cell>
          <cell r="E2221" t="str">
            <v>PIPE</v>
          </cell>
          <cell r="F2221">
            <v>1</v>
          </cell>
          <cell r="G2221" t="str">
            <v>CB100404001000</v>
          </cell>
          <cell r="H2221">
            <v>10</v>
          </cell>
          <cell r="I2221" t="str">
            <v>--</v>
          </cell>
          <cell r="J2221">
            <v>52.5</v>
          </cell>
          <cell r="K2221">
            <v>57.8</v>
          </cell>
        </row>
        <row r="2222">
          <cell r="A2222" t="str">
            <v>M2</v>
          </cell>
          <cell r="B2222" t="str">
            <v>A5C</v>
          </cell>
          <cell r="C2222" t="str">
            <v>P</v>
          </cell>
          <cell r="D2222" t="str">
            <v>23031</v>
          </cell>
          <cell r="E2222" t="str">
            <v>PIPE</v>
          </cell>
          <cell r="F2222">
            <v>1</v>
          </cell>
          <cell r="G2222" t="str">
            <v>CB100404001200</v>
          </cell>
          <cell r="H2222">
            <v>12</v>
          </cell>
          <cell r="I2222" t="str">
            <v>--</v>
          </cell>
          <cell r="J2222">
            <v>1.3</v>
          </cell>
          <cell r="K2222">
            <v>1.5</v>
          </cell>
        </row>
        <row r="2223">
          <cell r="A2223" t="str">
            <v>M2</v>
          </cell>
          <cell r="B2223" t="str">
            <v>A5C</v>
          </cell>
          <cell r="C2223" t="str">
            <v>P</v>
          </cell>
          <cell r="D2223" t="str">
            <v>23015</v>
          </cell>
          <cell r="E2223" t="str">
            <v>PIPE</v>
          </cell>
          <cell r="F2223">
            <v>1</v>
          </cell>
          <cell r="G2223" t="str">
            <v>CB100404001200</v>
          </cell>
          <cell r="H2223">
            <v>12</v>
          </cell>
          <cell r="I2223" t="str">
            <v>--</v>
          </cell>
          <cell r="J2223">
            <v>1.8</v>
          </cell>
          <cell r="K2223">
            <v>2</v>
          </cell>
        </row>
        <row r="2224">
          <cell r="A2224" t="str">
            <v>M2</v>
          </cell>
          <cell r="B2224" t="str">
            <v>A5C</v>
          </cell>
          <cell r="C2224" t="str">
            <v>P</v>
          </cell>
          <cell r="D2224" t="str">
            <v>23032</v>
          </cell>
          <cell r="E2224" t="str">
            <v>PIPE</v>
          </cell>
          <cell r="F2224">
            <v>1</v>
          </cell>
          <cell r="G2224" t="str">
            <v>CB100404001600</v>
          </cell>
          <cell r="H2224">
            <v>16</v>
          </cell>
          <cell r="I2224" t="str">
            <v>--</v>
          </cell>
          <cell r="J2224">
            <v>46.6</v>
          </cell>
          <cell r="K2224">
            <v>46.6</v>
          </cell>
        </row>
        <row r="2225">
          <cell r="A2225" t="str">
            <v>M2</v>
          </cell>
          <cell r="B2225" t="str">
            <v>A5C</v>
          </cell>
          <cell r="C2225" t="str">
            <v>P</v>
          </cell>
          <cell r="D2225" t="str">
            <v>23022</v>
          </cell>
          <cell r="E2225" t="str">
            <v>PIPE</v>
          </cell>
          <cell r="F2225">
            <v>1</v>
          </cell>
          <cell r="G2225" t="str">
            <v>CB100404001800</v>
          </cell>
          <cell r="H2225">
            <v>18</v>
          </cell>
          <cell r="I2225" t="str">
            <v>--</v>
          </cell>
          <cell r="J2225">
            <v>51</v>
          </cell>
          <cell r="K2225">
            <v>51</v>
          </cell>
        </row>
        <row r="2226">
          <cell r="A2226" t="str">
            <v>M2</v>
          </cell>
          <cell r="B2226" t="str">
            <v>A5C</v>
          </cell>
          <cell r="C2226" t="str">
            <v>P</v>
          </cell>
          <cell r="D2226" t="str">
            <v>23034</v>
          </cell>
          <cell r="E2226" t="str">
            <v>PIPE</v>
          </cell>
          <cell r="F2226">
            <v>1</v>
          </cell>
          <cell r="G2226" t="str">
            <v>CB100404002000</v>
          </cell>
          <cell r="H2226">
            <v>20</v>
          </cell>
          <cell r="I2226" t="str">
            <v>--</v>
          </cell>
          <cell r="J2226">
            <v>1.3</v>
          </cell>
          <cell r="K2226">
            <v>1.3</v>
          </cell>
        </row>
        <row r="2227">
          <cell r="A2227" t="str">
            <v>M2</v>
          </cell>
          <cell r="B2227" t="str">
            <v>B2C</v>
          </cell>
          <cell r="C2227" t="str">
            <v>SH</v>
          </cell>
          <cell r="D2227" t="str">
            <v>23601</v>
          </cell>
          <cell r="E2227" t="str">
            <v>NPL</v>
          </cell>
          <cell r="F2227">
            <v>2</v>
          </cell>
          <cell r="G2227" t="str">
            <v>CB132108000HVR</v>
          </cell>
          <cell r="H2227">
            <v>0.5</v>
          </cell>
          <cell r="I2227" t="str">
            <v>75mm</v>
          </cell>
          <cell r="J2227">
            <v>2</v>
          </cell>
          <cell r="K2227">
            <v>2</v>
          </cell>
        </row>
        <row r="2228">
          <cell r="A2228" t="str">
            <v>M2</v>
          </cell>
          <cell r="B2228" t="str">
            <v>B2C</v>
          </cell>
          <cell r="C2228" t="str">
            <v>SH</v>
          </cell>
          <cell r="D2228" t="str">
            <v>23612</v>
          </cell>
          <cell r="E2228" t="str">
            <v>NPL</v>
          </cell>
          <cell r="F2228">
            <v>2</v>
          </cell>
          <cell r="G2228" t="str">
            <v>CB132108000HVR</v>
          </cell>
          <cell r="H2228">
            <v>0.5</v>
          </cell>
          <cell r="I2228" t="str">
            <v>75mm</v>
          </cell>
          <cell r="J2228">
            <v>1</v>
          </cell>
          <cell r="K2228">
            <v>1</v>
          </cell>
        </row>
        <row r="2229">
          <cell r="A2229" t="str">
            <v>M2</v>
          </cell>
          <cell r="B2229" t="str">
            <v>B2C</v>
          </cell>
          <cell r="C2229" t="str">
            <v>SH</v>
          </cell>
          <cell r="D2229" t="str">
            <v>23612</v>
          </cell>
          <cell r="E2229" t="str">
            <v>NPL</v>
          </cell>
          <cell r="F2229">
            <v>2</v>
          </cell>
          <cell r="G2229" t="str">
            <v>CB132108000HWL</v>
          </cell>
          <cell r="H2229">
            <v>0.5</v>
          </cell>
          <cell r="I2229" t="str">
            <v>150mm</v>
          </cell>
          <cell r="J2229">
            <v>1</v>
          </cell>
          <cell r="K2229">
            <v>1</v>
          </cell>
        </row>
        <row r="2230">
          <cell r="A2230" t="str">
            <v>M2</v>
          </cell>
          <cell r="B2230" t="str">
            <v>A5C</v>
          </cell>
          <cell r="C2230" t="str">
            <v>P</v>
          </cell>
          <cell r="D2230" t="str">
            <v>23094</v>
          </cell>
          <cell r="E2230" t="str">
            <v>90 ELL</v>
          </cell>
          <cell r="F2230">
            <v>2</v>
          </cell>
          <cell r="G2230" t="str">
            <v>CB400100000H00</v>
          </cell>
          <cell r="H2230">
            <v>0.5</v>
          </cell>
          <cell r="I2230" t="str">
            <v>--</v>
          </cell>
          <cell r="J2230">
            <v>1</v>
          </cell>
          <cell r="K2230">
            <v>1</v>
          </cell>
        </row>
        <row r="2231">
          <cell r="A2231" t="str">
            <v>M2</v>
          </cell>
          <cell r="B2231" t="str">
            <v>A5C</v>
          </cell>
          <cell r="C2231" t="str">
            <v>P</v>
          </cell>
          <cell r="D2231" t="str">
            <v>23113</v>
          </cell>
          <cell r="E2231" t="str">
            <v>90 ELL</v>
          </cell>
          <cell r="F2231">
            <v>2</v>
          </cell>
          <cell r="G2231" t="str">
            <v>CB400100000H00</v>
          </cell>
          <cell r="H2231">
            <v>0.5</v>
          </cell>
          <cell r="I2231" t="str">
            <v>--</v>
          </cell>
          <cell r="J2231">
            <v>1</v>
          </cell>
          <cell r="K2231">
            <v>1</v>
          </cell>
        </row>
        <row r="2232">
          <cell r="A2232" t="str">
            <v>M2</v>
          </cell>
          <cell r="B2232" t="str">
            <v>A5C</v>
          </cell>
          <cell r="C2232" t="str">
            <v>P</v>
          </cell>
          <cell r="D2232" t="str">
            <v>23188</v>
          </cell>
          <cell r="E2232" t="str">
            <v>CPLG</v>
          </cell>
          <cell r="F2232">
            <v>2</v>
          </cell>
          <cell r="G2232" t="str">
            <v>CB400500000H00</v>
          </cell>
          <cell r="H2232">
            <v>0.5</v>
          </cell>
          <cell r="I2232" t="str">
            <v>--</v>
          </cell>
          <cell r="J2232">
            <v>1</v>
          </cell>
          <cell r="K2232">
            <v>1</v>
          </cell>
        </row>
        <row r="2233">
          <cell r="A2233" t="str">
            <v>M2</v>
          </cell>
          <cell r="B2233" t="str">
            <v>A5C</v>
          </cell>
          <cell r="C2233" t="str">
            <v>P</v>
          </cell>
          <cell r="D2233" t="str">
            <v>23081</v>
          </cell>
          <cell r="E2233" t="str">
            <v>NPL</v>
          </cell>
          <cell r="F2233">
            <v>2</v>
          </cell>
          <cell r="G2233" t="str">
            <v>CB132108000HVR</v>
          </cell>
          <cell r="H2233">
            <v>0.5</v>
          </cell>
          <cell r="I2233" t="str">
            <v>75mm</v>
          </cell>
          <cell r="J2233">
            <v>1</v>
          </cell>
          <cell r="K2233">
            <v>1</v>
          </cell>
        </row>
        <row r="2234">
          <cell r="A2234" t="str">
            <v>M2</v>
          </cell>
          <cell r="B2234" t="str">
            <v>A5C</v>
          </cell>
          <cell r="C2234" t="str">
            <v>P</v>
          </cell>
          <cell r="D2234" t="str">
            <v>23081</v>
          </cell>
          <cell r="E2234" t="str">
            <v>NPL</v>
          </cell>
          <cell r="F2234">
            <v>2</v>
          </cell>
          <cell r="G2234" t="str">
            <v>CB132108000HWL</v>
          </cell>
          <cell r="H2234">
            <v>0.5</v>
          </cell>
          <cell r="I2234" t="str">
            <v>150mm</v>
          </cell>
          <cell r="J2234">
            <v>1</v>
          </cell>
          <cell r="K2234">
            <v>1</v>
          </cell>
        </row>
        <row r="2235">
          <cell r="A2235" t="str">
            <v>M2</v>
          </cell>
          <cell r="B2235" t="str">
            <v>A5C</v>
          </cell>
          <cell r="C2235" t="str">
            <v>P</v>
          </cell>
          <cell r="D2235" t="str">
            <v>23094</v>
          </cell>
          <cell r="E2235" t="str">
            <v>NPL</v>
          </cell>
          <cell r="F2235">
            <v>2</v>
          </cell>
          <cell r="G2235" t="str">
            <v>CB132108000HWL</v>
          </cell>
          <cell r="H2235">
            <v>0.5</v>
          </cell>
          <cell r="I2235" t="str">
            <v>150mm</v>
          </cell>
          <cell r="J2235">
            <v>1</v>
          </cell>
          <cell r="K2235">
            <v>1</v>
          </cell>
        </row>
        <row r="2236">
          <cell r="A2236" t="str">
            <v>M2</v>
          </cell>
          <cell r="B2236" t="str">
            <v>A5C</v>
          </cell>
          <cell r="C2236" t="str">
            <v>P</v>
          </cell>
          <cell r="D2236" t="str">
            <v>23094</v>
          </cell>
          <cell r="E2236" t="str">
            <v>NPL</v>
          </cell>
          <cell r="F2236">
            <v>2</v>
          </cell>
          <cell r="G2236" t="str">
            <v>CB132108000HVR</v>
          </cell>
          <cell r="H2236">
            <v>0.5</v>
          </cell>
          <cell r="I2236" t="str">
            <v>75mm</v>
          </cell>
          <cell r="J2236">
            <v>1</v>
          </cell>
          <cell r="K2236">
            <v>1</v>
          </cell>
        </row>
        <row r="2237">
          <cell r="A2237" t="str">
            <v>M2</v>
          </cell>
          <cell r="B2237" t="str">
            <v>A5C</v>
          </cell>
          <cell r="C2237" t="str">
            <v>P</v>
          </cell>
          <cell r="D2237" t="str">
            <v>23113</v>
          </cell>
          <cell r="E2237" t="str">
            <v>NPL</v>
          </cell>
          <cell r="F2237">
            <v>2</v>
          </cell>
          <cell r="G2237" t="str">
            <v>CB132108000HVR</v>
          </cell>
          <cell r="H2237">
            <v>0.5</v>
          </cell>
          <cell r="I2237" t="str">
            <v>75mm</v>
          </cell>
          <cell r="J2237">
            <v>1</v>
          </cell>
          <cell r="K2237">
            <v>1</v>
          </cell>
        </row>
        <row r="2238">
          <cell r="A2238" t="str">
            <v>M2</v>
          </cell>
          <cell r="B2238" t="str">
            <v>A5C</v>
          </cell>
          <cell r="C2238" t="str">
            <v>P</v>
          </cell>
          <cell r="D2238" t="str">
            <v>23225</v>
          </cell>
          <cell r="E2238" t="str">
            <v>NPL</v>
          </cell>
          <cell r="F2238">
            <v>2</v>
          </cell>
          <cell r="G2238" t="str">
            <v>CB132108000HWL</v>
          </cell>
          <cell r="H2238">
            <v>0.5</v>
          </cell>
          <cell r="I2238" t="str">
            <v>150mm</v>
          </cell>
          <cell r="J2238">
            <v>1</v>
          </cell>
          <cell r="K2238">
            <v>1</v>
          </cell>
        </row>
        <row r="2239">
          <cell r="A2239" t="str">
            <v>M2</v>
          </cell>
          <cell r="B2239" t="str">
            <v>A5C</v>
          </cell>
          <cell r="C2239" t="str">
            <v>P</v>
          </cell>
          <cell r="D2239" t="str">
            <v>23225</v>
          </cell>
          <cell r="E2239" t="str">
            <v>NPL</v>
          </cell>
          <cell r="F2239">
            <v>2</v>
          </cell>
          <cell r="G2239" t="str">
            <v>CB132108000HVR</v>
          </cell>
          <cell r="H2239">
            <v>0.5</v>
          </cell>
          <cell r="I2239" t="str">
            <v>75mm</v>
          </cell>
          <cell r="J2239">
            <v>1</v>
          </cell>
          <cell r="K2239">
            <v>1</v>
          </cell>
        </row>
        <row r="2240">
          <cell r="A2240" t="str">
            <v>M2</v>
          </cell>
          <cell r="B2240" t="str">
            <v>A5C</v>
          </cell>
          <cell r="C2240" t="str">
            <v>P</v>
          </cell>
          <cell r="D2240" t="str">
            <v>23113</v>
          </cell>
          <cell r="E2240" t="str">
            <v>NPL</v>
          </cell>
          <cell r="F2240">
            <v>2</v>
          </cell>
          <cell r="G2240" t="str">
            <v>CB132108000HWL</v>
          </cell>
          <cell r="H2240">
            <v>0.5</v>
          </cell>
          <cell r="I2240" t="str">
            <v>150mm</v>
          </cell>
          <cell r="J2240">
            <v>1</v>
          </cell>
          <cell r="K2240">
            <v>1</v>
          </cell>
        </row>
        <row r="2241">
          <cell r="A2241" t="str">
            <v>M2</v>
          </cell>
          <cell r="B2241" t="str">
            <v>A5C</v>
          </cell>
          <cell r="C2241" t="str">
            <v>P</v>
          </cell>
          <cell r="D2241" t="str">
            <v>23059</v>
          </cell>
          <cell r="E2241" t="str">
            <v>NPL</v>
          </cell>
          <cell r="F2241">
            <v>2</v>
          </cell>
          <cell r="G2241" t="str">
            <v>CB132108000HWL</v>
          </cell>
          <cell r="H2241">
            <v>0.5</v>
          </cell>
          <cell r="I2241" t="str">
            <v>150mm</v>
          </cell>
          <cell r="J2241">
            <v>1</v>
          </cell>
          <cell r="K2241">
            <v>1</v>
          </cell>
        </row>
        <row r="2242">
          <cell r="A2242" t="str">
            <v>M2</v>
          </cell>
          <cell r="B2242" t="str">
            <v>A5C</v>
          </cell>
          <cell r="C2242" t="str">
            <v>P</v>
          </cell>
          <cell r="D2242" t="str">
            <v>23059</v>
          </cell>
          <cell r="E2242" t="str">
            <v>NPL</v>
          </cell>
          <cell r="F2242">
            <v>2</v>
          </cell>
          <cell r="G2242" t="str">
            <v>CB132108000HVR</v>
          </cell>
          <cell r="H2242">
            <v>0.5</v>
          </cell>
          <cell r="I2242" t="str">
            <v>75mm</v>
          </cell>
          <cell r="J2242">
            <v>1</v>
          </cell>
          <cell r="K2242">
            <v>1</v>
          </cell>
        </row>
        <row r="2243">
          <cell r="A2243" t="str">
            <v>M2</v>
          </cell>
          <cell r="B2243" t="str">
            <v>A5C</v>
          </cell>
          <cell r="C2243" t="str">
            <v>P</v>
          </cell>
          <cell r="D2243" t="str">
            <v>23053</v>
          </cell>
          <cell r="E2243" t="str">
            <v>NPL</v>
          </cell>
          <cell r="F2243">
            <v>2</v>
          </cell>
          <cell r="G2243" t="str">
            <v>CB132108000HWL</v>
          </cell>
          <cell r="H2243">
            <v>0.5</v>
          </cell>
          <cell r="I2243" t="str">
            <v>150mm</v>
          </cell>
          <cell r="J2243">
            <v>1</v>
          </cell>
          <cell r="K2243">
            <v>1</v>
          </cell>
        </row>
        <row r="2244">
          <cell r="A2244" t="str">
            <v>M2</v>
          </cell>
          <cell r="B2244" t="str">
            <v>A5C</v>
          </cell>
          <cell r="C2244" t="str">
            <v>P</v>
          </cell>
          <cell r="D2244" t="str">
            <v>23064</v>
          </cell>
          <cell r="E2244" t="str">
            <v>NPL</v>
          </cell>
          <cell r="F2244">
            <v>2</v>
          </cell>
          <cell r="G2244" t="str">
            <v>CB132108000HWL</v>
          </cell>
          <cell r="H2244">
            <v>0.5</v>
          </cell>
          <cell r="I2244" t="str">
            <v>150mm</v>
          </cell>
          <cell r="J2244">
            <v>1</v>
          </cell>
          <cell r="K2244">
            <v>1</v>
          </cell>
        </row>
        <row r="2245">
          <cell r="A2245" t="str">
            <v>M2</v>
          </cell>
          <cell r="B2245" t="str">
            <v>A5C</v>
          </cell>
          <cell r="C2245" t="str">
            <v>P</v>
          </cell>
          <cell r="D2245" t="str">
            <v>23064</v>
          </cell>
          <cell r="E2245" t="str">
            <v>NPL</v>
          </cell>
          <cell r="F2245">
            <v>2</v>
          </cell>
          <cell r="G2245" t="str">
            <v>CB132108000HVR</v>
          </cell>
          <cell r="H2245">
            <v>0.5</v>
          </cell>
          <cell r="I2245" t="str">
            <v>75mm</v>
          </cell>
          <cell r="J2245">
            <v>1</v>
          </cell>
          <cell r="K2245">
            <v>1</v>
          </cell>
        </row>
        <row r="2246">
          <cell r="A2246" t="str">
            <v>M2</v>
          </cell>
          <cell r="B2246" t="str">
            <v>A5C</v>
          </cell>
          <cell r="C2246" t="str">
            <v>P</v>
          </cell>
          <cell r="D2246" t="str">
            <v>23080</v>
          </cell>
          <cell r="E2246" t="str">
            <v>NPL</v>
          </cell>
          <cell r="F2246">
            <v>2</v>
          </cell>
          <cell r="G2246" t="str">
            <v>CB132108000HWL</v>
          </cell>
          <cell r="H2246">
            <v>0.5</v>
          </cell>
          <cell r="I2246" t="str">
            <v>150mm</v>
          </cell>
          <cell r="J2246">
            <v>1</v>
          </cell>
          <cell r="K2246">
            <v>1</v>
          </cell>
        </row>
        <row r="2247">
          <cell r="A2247" t="str">
            <v>M2</v>
          </cell>
          <cell r="B2247" t="str">
            <v>A5C</v>
          </cell>
          <cell r="C2247" t="str">
            <v>P</v>
          </cell>
          <cell r="D2247" t="str">
            <v>23080</v>
          </cell>
          <cell r="E2247" t="str">
            <v>NPL</v>
          </cell>
          <cell r="F2247">
            <v>2</v>
          </cell>
          <cell r="G2247" t="str">
            <v>CB132108000HVR</v>
          </cell>
          <cell r="H2247">
            <v>0.5</v>
          </cell>
          <cell r="I2247" t="str">
            <v>75mm</v>
          </cell>
          <cell r="J2247">
            <v>1</v>
          </cell>
          <cell r="K2247">
            <v>1</v>
          </cell>
        </row>
        <row r="2248">
          <cell r="A2248" t="str">
            <v>M2</v>
          </cell>
          <cell r="B2248" t="str">
            <v>A5C</v>
          </cell>
          <cell r="C2248" t="str">
            <v>P</v>
          </cell>
          <cell r="D2248" t="str">
            <v>23079</v>
          </cell>
          <cell r="E2248" t="str">
            <v>NPL</v>
          </cell>
          <cell r="F2248">
            <v>2</v>
          </cell>
          <cell r="G2248" t="str">
            <v>CB132108000HVR</v>
          </cell>
          <cell r="H2248">
            <v>0.5</v>
          </cell>
          <cell r="I2248" t="str">
            <v>75mm</v>
          </cell>
          <cell r="J2248">
            <v>1</v>
          </cell>
          <cell r="K2248">
            <v>1</v>
          </cell>
        </row>
        <row r="2249">
          <cell r="A2249" t="str">
            <v>M2</v>
          </cell>
          <cell r="B2249" t="str">
            <v>A5C</v>
          </cell>
          <cell r="C2249" t="str">
            <v>P</v>
          </cell>
          <cell r="D2249" t="str">
            <v>23079</v>
          </cell>
          <cell r="E2249" t="str">
            <v>NPL</v>
          </cell>
          <cell r="F2249">
            <v>2</v>
          </cell>
          <cell r="G2249" t="str">
            <v>CB132108000HWL</v>
          </cell>
          <cell r="H2249">
            <v>0.5</v>
          </cell>
          <cell r="I2249" t="str">
            <v>150mm</v>
          </cell>
          <cell r="J2249">
            <v>1</v>
          </cell>
          <cell r="K2249">
            <v>1</v>
          </cell>
        </row>
        <row r="2250">
          <cell r="A2250" t="str">
            <v>M2</v>
          </cell>
          <cell r="B2250" t="str">
            <v>A5C</v>
          </cell>
          <cell r="C2250" t="str">
            <v>P</v>
          </cell>
          <cell r="D2250" t="str">
            <v>23053</v>
          </cell>
          <cell r="E2250" t="str">
            <v>NPL</v>
          </cell>
          <cell r="F2250">
            <v>2</v>
          </cell>
          <cell r="G2250" t="str">
            <v>CB132108000HVR</v>
          </cell>
          <cell r="H2250">
            <v>0.5</v>
          </cell>
          <cell r="I2250" t="str">
            <v>75mm</v>
          </cell>
          <cell r="J2250">
            <v>1</v>
          </cell>
          <cell r="K2250">
            <v>1</v>
          </cell>
        </row>
        <row r="2251">
          <cell r="A2251" t="str">
            <v>M2</v>
          </cell>
          <cell r="B2251" t="str">
            <v>B2C</v>
          </cell>
          <cell r="C2251" t="str">
            <v>SCL</v>
          </cell>
          <cell r="D2251" t="str">
            <v>TRAP</v>
          </cell>
          <cell r="E2251" t="str">
            <v>90 ELL</v>
          </cell>
          <cell r="F2251">
            <v>2</v>
          </cell>
          <cell r="G2251" t="str">
            <v>CB400100000T00</v>
          </cell>
          <cell r="H2251">
            <v>0.75</v>
          </cell>
          <cell r="I2251" t="str">
            <v>--</v>
          </cell>
          <cell r="J2251">
            <v>12</v>
          </cell>
          <cell r="K2251">
            <v>12</v>
          </cell>
        </row>
        <row r="2252">
          <cell r="A2252" t="str">
            <v>M2</v>
          </cell>
          <cell r="B2252" t="str">
            <v>B2C</v>
          </cell>
          <cell r="C2252" t="str">
            <v>SH</v>
          </cell>
          <cell r="D2252" t="str">
            <v>23612</v>
          </cell>
          <cell r="E2252" t="str">
            <v>90 ELL</v>
          </cell>
          <cell r="F2252">
            <v>2</v>
          </cell>
          <cell r="G2252" t="str">
            <v>CB400100000T00</v>
          </cell>
          <cell r="H2252">
            <v>0.75</v>
          </cell>
          <cell r="I2252" t="str">
            <v>--</v>
          </cell>
          <cell r="J2252">
            <v>1</v>
          </cell>
          <cell r="K2252">
            <v>1</v>
          </cell>
        </row>
        <row r="2253">
          <cell r="A2253" t="str">
            <v>M2</v>
          </cell>
          <cell r="B2253" t="str">
            <v>B2C</v>
          </cell>
          <cell r="C2253" t="str">
            <v>SCH</v>
          </cell>
          <cell r="D2253" t="str">
            <v>23613</v>
          </cell>
          <cell r="E2253" t="str">
            <v>90 ELL</v>
          </cell>
          <cell r="F2253">
            <v>2</v>
          </cell>
          <cell r="G2253" t="str">
            <v>CB400100000T00</v>
          </cell>
          <cell r="H2253">
            <v>0.75</v>
          </cell>
          <cell r="I2253" t="str">
            <v>--</v>
          </cell>
          <cell r="J2253">
            <v>1</v>
          </cell>
          <cell r="K2253">
            <v>1</v>
          </cell>
        </row>
        <row r="2254">
          <cell r="A2254" t="str">
            <v>M2</v>
          </cell>
          <cell r="B2254" t="str">
            <v>B2C</v>
          </cell>
          <cell r="C2254" t="str">
            <v>SH</v>
          </cell>
          <cell r="D2254" t="str">
            <v>24612</v>
          </cell>
          <cell r="E2254" t="str">
            <v>90 ELL</v>
          </cell>
          <cell r="F2254">
            <v>2</v>
          </cell>
          <cell r="G2254" t="str">
            <v>CB400100000T00</v>
          </cell>
          <cell r="H2254">
            <v>0.75</v>
          </cell>
          <cell r="I2254" t="str">
            <v>--</v>
          </cell>
          <cell r="J2254">
            <v>5</v>
          </cell>
          <cell r="K2254">
            <v>5</v>
          </cell>
        </row>
        <row r="2255">
          <cell r="A2255" t="str">
            <v>M2</v>
          </cell>
          <cell r="B2255" t="str">
            <v>B2C</v>
          </cell>
          <cell r="C2255" t="str">
            <v>SCH</v>
          </cell>
          <cell r="D2255" t="str">
            <v>23613</v>
          </cell>
          <cell r="E2255" t="str">
            <v>CAP</v>
          </cell>
          <cell r="F2255">
            <v>2</v>
          </cell>
          <cell r="G2255" t="str">
            <v>CB520700000T00</v>
          </cell>
          <cell r="H2255">
            <v>0.75</v>
          </cell>
          <cell r="I2255" t="str">
            <v>--</v>
          </cell>
          <cell r="J2255">
            <v>1</v>
          </cell>
          <cell r="K2255">
            <v>1</v>
          </cell>
        </row>
        <row r="2256">
          <cell r="A2256" t="str">
            <v>M2</v>
          </cell>
          <cell r="B2256" t="str">
            <v>B2C</v>
          </cell>
          <cell r="C2256" t="str">
            <v>SH</v>
          </cell>
          <cell r="D2256" t="str">
            <v>23601</v>
          </cell>
          <cell r="E2256" t="str">
            <v>CAP</v>
          </cell>
          <cell r="F2256">
            <v>2</v>
          </cell>
          <cell r="G2256" t="str">
            <v>CB520700000T00</v>
          </cell>
          <cell r="H2256">
            <v>0.75</v>
          </cell>
          <cell r="I2256" t="str">
            <v>--</v>
          </cell>
          <cell r="J2256">
            <v>3</v>
          </cell>
          <cell r="K2256">
            <v>3</v>
          </cell>
        </row>
        <row r="2257">
          <cell r="A2257" t="str">
            <v>M2</v>
          </cell>
          <cell r="B2257" t="str">
            <v>B2C</v>
          </cell>
          <cell r="C2257" t="str">
            <v>SH</v>
          </cell>
          <cell r="D2257" t="str">
            <v>24612</v>
          </cell>
          <cell r="E2257" t="str">
            <v>CAP</v>
          </cell>
          <cell r="F2257">
            <v>2</v>
          </cell>
          <cell r="G2257" t="str">
            <v>CB520700000T00</v>
          </cell>
          <cell r="H2257">
            <v>0.75</v>
          </cell>
          <cell r="I2257" t="str">
            <v>--</v>
          </cell>
          <cell r="J2257">
            <v>1</v>
          </cell>
          <cell r="K2257">
            <v>1</v>
          </cell>
        </row>
        <row r="2258">
          <cell r="A2258" t="str">
            <v>M2</v>
          </cell>
          <cell r="B2258" t="str">
            <v>B2C</v>
          </cell>
          <cell r="C2258" t="str">
            <v>SH</v>
          </cell>
          <cell r="D2258" t="str">
            <v>24612</v>
          </cell>
          <cell r="E2258" t="str">
            <v>CPLG</v>
          </cell>
          <cell r="F2258">
            <v>2</v>
          </cell>
          <cell r="G2258" t="str">
            <v>CB400500000T00</v>
          </cell>
          <cell r="H2258">
            <v>0.75</v>
          </cell>
          <cell r="I2258" t="str">
            <v>--</v>
          </cell>
          <cell r="J2258">
            <v>1</v>
          </cell>
          <cell r="K2258">
            <v>1</v>
          </cell>
        </row>
        <row r="2259">
          <cell r="A2259" t="str">
            <v>M2</v>
          </cell>
          <cell r="B2259" t="str">
            <v>B2C</v>
          </cell>
          <cell r="C2259" t="str">
            <v>SCH</v>
          </cell>
          <cell r="D2259" t="str">
            <v>23613</v>
          </cell>
          <cell r="E2259" t="str">
            <v>NPL</v>
          </cell>
          <cell r="F2259">
            <v>2</v>
          </cell>
          <cell r="G2259" t="str">
            <v>CB132108000TVR</v>
          </cell>
          <cell r="H2259">
            <v>0.75</v>
          </cell>
          <cell r="I2259" t="str">
            <v>75mm</v>
          </cell>
          <cell r="J2259">
            <v>1</v>
          </cell>
          <cell r="K2259">
            <v>1</v>
          </cell>
        </row>
        <row r="2260">
          <cell r="A2260" t="str">
            <v>M2</v>
          </cell>
          <cell r="B2260" t="str">
            <v>B2C</v>
          </cell>
          <cell r="C2260" t="str">
            <v>SH</v>
          </cell>
          <cell r="D2260" t="str">
            <v>23601</v>
          </cell>
          <cell r="E2260" t="str">
            <v>NPL</v>
          </cell>
          <cell r="F2260">
            <v>2</v>
          </cell>
          <cell r="G2260" t="str">
            <v>CB132308000TVR</v>
          </cell>
          <cell r="H2260">
            <v>0.75</v>
          </cell>
          <cell r="I2260" t="str">
            <v>75mm</v>
          </cell>
          <cell r="J2260">
            <v>2</v>
          </cell>
          <cell r="K2260">
            <v>2</v>
          </cell>
        </row>
        <row r="2261">
          <cell r="A2261" t="str">
            <v>M2</v>
          </cell>
          <cell r="B2261" t="str">
            <v>B2C</v>
          </cell>
          <cell r="C2261" t="str">
            <v>SH</v>
          </cell>
          <cell r="D2261" t="str">
            <v>24612</v>
          </cell>
          <cell r="E2261" t="str">
            <v>NPL</v>
          </cell>
          <cell r="F2261">
            <v>2</v>
          </cell>
          <cell r="G2261" t="str">
            <v>CB132308000TVR</v>
          </cell>
          <cell r="H2261">
            <v>0.75</v>
          </cell>
          <cell r="I2261" t="str">
            <v>75mm</v>
          </cell>
          <cell r="J2261">
            <v>1</v>
          </cell>
          <cell r="K2261">
            <v>1</v>
          </cell>
        </row>
        <row r="2262">
          <cell r="A2262" t="str">
            <v>M2</v>
          </cell>
          <cell r="B2262" t="str">
            <v>B2C</v>
          </cell>
          <cell r="C2262" t="str">
            <v>SCL</v>
          </cell>
          <cell r="D2262" t="str">
            <v>TRAP</v>
          </cell>
          <cell r="E2262" t="str">
            <v>TEE</v>
          </cell>
          <cell r="F2262">
            <v>2</v>
          </cell>
          <cell r="G2262" t="str">
            <v>CB400300000T00</v>
          </cell>
          <cell r="H2262">
            <v>0.75</v>
          </cell>
          <cell r="I2262" t="str">
            <v>--</v>
          </cell>
          <cell r="J2262">
            <v>2</v>
          </cell>
          <cell r="K2262">
            <v>2</v>
          </cell>
        </row>
        <row r="2263">
          <cell r="A2263" t="str">
            <v>M2</v>
          </cell>
          <cell r="B2263" t="str">
            <v>B2C</v>
          </cell>
          <cell r="C2263" t="str">
            <v>SH</v>
          </cell>
          <cell r="D2263" t="str">
            <v>24612</v>
          </cell>
          <cell r="E2263" t="str">
            <v>TEE</v>
          </cell>
          <cell r="F2263">
            <v>2</v>
          </cell>
          <cell r="G2263" t="str">
            <v>CB400300000T00</v>
          </cell>
          <cell r="H2263">
            <v>0.75</v>
          </cell>
          <cell r="I2263" t="str">
            <v>--</v>
          </cell>
          <cell r="J2263">
            <v>4</v>
          </cell>
          <cell r="K2263">
            <v>4</v>
          </cell>
        </row>
        <row r="2264">
          <cell r="A2264" t="str">
            <v>M2</v>
          </cell>
          <cell r="B2264" t="str">
            <v>B2C</v>
          </cell>
          <cell r="C2264" t="str">
            <v>SCH</v>
          </cell>
          <cell r="D2264" t="str">
            <v>23613</v>
          </cell>
          <cell r="E2264" t="str">
            <v>TEE</v>
          </cell>
          <cell r="F2264">
            <v>2</v>
          </cell>
          <cell r="G2264" t="str">
            <v>CB400300000T00</v>
          </cell>
          <cell r="H2264">
            <v>0.75</v>
          </cell>
          <cell r="I2264" t="str">
            <v>--</v>
          </cell>
          <cell r="J2264">
            <v>1</v>
          </cell>
          <cell r="K2264">
            <v>1</v>
          </cell>
        </row>
        <row r="2265">
          <cell r="A2265" t="str">
            <v>M2</v>
          </cell>
          <cell r="B2265" t="str">
            <v>A5C</v>
          </cell>
          <cell r="C2265" t="str">
            <v>N</v>
          </cell>
          <cell r="D2265" t="str">
            <v>23613</v>
          </cell>
          <cell r="E2265" t="str">
            <v>90 ELL</v>
          </cell>
          <cell r="F2265">
            <v>2</v>
          </cell>
          <cell r="G2265" t="str">
            <v>CB400100000T00</v>
          </cell>
          <cell r="H2265">
            <v>0.75</v>
          </cell>
          <cell r="I2265" t="str">
            <v>--</v>
          </cell>
          <cell r="J2265">
            <v>1</v>
          </cell>
          <cell r="K2265">
            <v>1</v>
          </cell>
        </row>
        <row r="2266">
          <cell r="A2266" t="str">
            <v>M2</v>
          </cell>
          <cell r="B2266" t="str">
            <v>A5C</v>
          </cell>
          <cell r="C2266" t="str">
            <v>N</v>
          </cell>
          <cell r="D2266" t="str">
            <v>23620</v>
          </cell>
          <cell r="E2266" t="str">
            <v>90 ELL</v>
          </cell>
          <cell r="F2266">
            <v>2</v>
          </cell>
          <cell r="G2266" t="str">
            <v>CB400100000T00</v>
          </cell>
          <cell r="H2266">
            <v>0.75</v>
          </cell>
          <cell r="I2266" t="str">
            <v>--</v>
          </cell>
          <cell r="J2266">
            <v>3</v>
          </cell>
          <cell r="K2266">
            <v>3</v>
          </cell>
        </row>
        <row r="2267">
          <cell r="A2267" t="str">
            <v>M2</v>
          </cell>
          <cell r="B2267" t="str">
            <v>A5C</v>
          </cell>
          <cell r="C2267" t="str">
            <v>N</v>
          </cell>
          <cell r="D2267" t="str">
            <v>23619</v>
          </cell>
          <cell r="E2267" t="str">
            <v>90 ELL</v>
          </cell>
          <cell r="F2267">
            <v>2</v>
          </cell>
          <cell r="G2267" t="str">
            <v>CB400100000T00</v>
          </cell>
          <cell r="H2267">
            <v>0.75</v>
          </cell>
          <cell r="I2267" t="str">
            <v>--</v>
          </cell>
          <cell r="J2267">
            <v>3</v>
          </cell>
          <cell r="K2267">
            <v>3</v>
          </cell>
        </row>
        <row r="2268">
          <cell r="A2268" t="str">
            <v>M2</v>
          </cell>
          <cell r="B2268" t="str">
            <v>A5C</v>
          </cell>
          <cell r="C2268" t="str">
            <v>N</v>
          </cell>
          <cell r="D2268" t="str">
            <v>23621</v>
          </cell>
          <cell r="E2268" t="str">
            <v>90 ELL</v>
          </cell>
          <cell r="F2268">
            <v>2</v>
          </cell>
          <cell r="G2268" t="str">
            <v>CB400100000T00</v>
          </cell>
          <cell r="H2268">
            <v>0.75</v>
          </cell>
          <cell r="I2268" t="str">
            <v>--</v>
          </cell>
          <cell r="J2268">
            <v>1</v>
          </cell>
          <cell r="K2268">
            <v>1</v>
          </cell>
        </row>
        <row r="2269">
          <cell r="A2269" t="str">
            <v>M2</v>
          </cell>
          <cell r="B2269" t="str">
            <v>A5C</v>
          </cell>
          <cell r="C2269" t="str">
            <v>N</v>
          </cell>
          <cell r="D2269" t="str">
            <v>23642</v>
          </cell>
          <cell r="E2269" t="str">
            <v>90 ELL</v>
          </cell>
          <cell r="F2269">
            <v>2</v>
          </cell>
          <cell r="G2269" t="str">
            <v>CB400100000T00</v>
          </cell>
          <cell r="H2269">
            <v>0.75</v>
          </cell>
          <cell r="I2269" t="str">
            <v>--</v>
          </cell>
          <cell r="J2269">
            <v>3</v>
          </cell>
          <cell r="K2269">
            <v>3</v>
          </cell>
        </row>
        <row r="2270">
          <cell r="A2270" t="str">
            <v>M2</v>
          </cell>
          <cell r="B2270" t="str">
            <v>A5C</v>
          </cell>
          <cell r="C2270" t="str">
            <v>N</v>
          </cell>
          <cell r="D2270" t="str">
            <v>23647</v>
          </cell>
          <cell r="E2270" t="str">
            <v>90 ELL</v>
          </cell>
          <cell r="F2270">
            <v>2</v>
          </cell>
          <cell r="G2270" t="str">
            <v>CB400100000T00</v>
          </cell>
          <cell r="H2270">
            <v>0.75</v>
          </cell>
          <cell r="I2270" t="str">
            <v>--</v>
          </cell>
          <cell r="J2270">
            <v>1</v>
          </cell>
          <cell r="K2270">
            <v>1</v>
          </cell>
        </row>
        <row r="2271">
          <cell r="A2271" t="str">
            <v>M2</v>
          </cell>
          <cell r="B2271" t="str">
            <v>A5C</v>
          </cell>
          <cell r="C2271" t="str">
            <v>N</v>
          </cell>
          <cell r="D2271" t="str">
            <v>23648</v>
          </cell>
          <cell r="E2271" t="str">
            <v>90 ELL</v>
          </cell>
          <cell r="F2271">
            <v>2</v>
          </cell>
          <cell r="G2271" t="str">
            <v>CB400100000T00</v>
          </cell>
          <cell r="H2271">
            <v>0.75</v>
          </cell>
          <cell r="I2271" t="str">
            <v>--</v>
          </cell>
          <cell r="J2271">
            <v>1</v>
          </cell>
          <cell r="K2271">
            <v>1</v>
          </cell>
        </row>
        <row r="2272">
          <cell r="A2272" t="str">
            <v>M2</v>
          </cell>
          <cell r="B2272" t="str">
            <v>A5C</v>
          </cell>
          <cell r="C2272" t="str">
            <v>N</v>
          </cell>
          <cell r="D2272" t="str">
            <v>24611</v>
          </cell>
          <cell r="E2272" t="str">
            <v>90 ELL</v>
          </cell>
          <cell r="F2272">
            <v>2</v>
          </cell>
          <cell r="G2272" t="str">
            <v>CB400100000T00</v>
          </cell>
          <cell r="H2272">
            <v>0.75</v>
          </cell>
          <cell r="I2272" t="str">
            <v>--</v>
          </cell>
          <cell r="J2272">
            <v>3</v>
          </cell>
          <cell r="K2272">
            <v>3</v>
          </cell>
        </row>
        <row r="2273">
          <cell r="A2273" t="str">
            <v>M2</v>
          </cell>
          <cell r="B2273" t="str">
            <v>A5C</v>
          </cell>
          <cell r="C2273" t="str">
            <v>N</v>
          </cell>
          <cell r="D2273" t="str">
            <v>24612</v>
          </cell>
          <cell r="E2273" t="str">
            <v>90 ELL</v>
          </cell>
          <cell r="F2273">
            <v>2</v>
          </cell>
          <cell r="G2273" t="str">
            <v>CB400100000T00</v>
          </cell>
          <cell r="H2273">
            <v>0.75</v>
          </cell>
          <cell r="I2273" t="str">
            <v>--</v>
          </cell>
          <cell r="J2273">
            <v>3</v>
          </cell>
          <cell r="K2273">
            <v>3</v>
          </cell>
        </row>
        <row r="2274">
          <cell r="A2274" t="str">
            <v>M2</v>
          </cell>
          <cell r="B2274" t="str">
            <v>A5C</v>
          </cell>
          <cell r="C2274" t="str">
            <v>N</v>
          </cell>
          <cell r="D2274" t="str">
            <v>23646</v>
          </cell>
          <cell r="E2274" t="str">
            <v>90 ELL</v>
          </cell>
          <cell r="F2274">
            <v>2</v>
          </cell>
          <cell r="G2274" t="str">
            <v>CB400100000T00</v>
          </cell>
          <cell r="H2274">
            <v>0.75</v>
          </cell>
          <cell r="I2274" t="str">
            <v>--</v>
          </cell>
          <cell r="J2274">
            <v>3</v>
          </cell>
          <cell r="K2274">
            <v>3</v>
          </cell>
        </row>
        <row r="2275">
          <cell r="A2275" t="str">
            <v>M2</v>
          </cell>
          <cell r="B2275" t="str">
            <v>A5C</v>
          </cell>
          <cell r="C2275" t="str">
            <v>P</v>
          </cell>
          <cell r="D2275" t="str">
            <v>23005</v>
          </cell>
          <cell r="E2275" t="str">
            <v>90 ELL</v>
          </cell>
          <cell r="F2275">
            <v>2</v>
          </cell>
          <cell r="G2275" t="str">
            <v>CB400100000T00</v>
          </cell>
          <cell r="H2275">
            <v>0.75</v>
          </cell>
          <cell r="I2275" t="str">
            <v>--</v>
          </cell>
          <cell r="J2275">
            <v>2</v>
          </cell>
          <cell r="K2275">
            <v>2</v>
          </cell>
        </row>
        <row r="2276">
          <cell r="A2276" t="str">
            <v>M2</v>
          </cell>
          <cell r="B2276" t="str">
            <v>A5C</v>
          </cell>
          <cell r="C2276" t="str">
            <v>P</v>
          </cell>
          <cell r="D2276" t="str">
            <v>23011</v>
          </cell>
          <cell r="E2276" t="str">
            <v>90 ELL</v>
          </cell>
          <cell r="F2276">
            <v>2</v>
          </cell>
          <cell r="G2276" t="str">
            <v>CB400100000T00</v>
          </cell>
          <cell r="H2276">
            <v>0.75</v>
          </cell>
          <cell r="I2276" t="str">
            <v>--</v>
          </cell>
          <cell r="J2276">
            <v>2</v>
          </cell>
          <cell r="K2276">
            <v>2</v>
          </cell>
        </row>
        <row r="2277">
          <cell r="A2277" t="str">
            <v>M2</v>
          </cell>
          <cell r="B2277" t="str">
            <v>A5C</v>
          </cell>
          <cell r="C2277" t="str">
            <v>P</v>
          </cell>
          <cell r="D2277" t="str">
            <v>23012</v>
          </cell>
          <cell r="E2277" t="str">
            <v>90 ELL</v>
          </cell>
          <cell r="F2277">
            <v>2</v>
          </cell>
          <cell r="G2277" t="str">
            <v>CB400100000T00</v>
          </cell>
          <cell r="H2277">
            <v>0.75</v>
          </cell>
          <cell r="I2277" t="str">
            <v>--</v>
          </cell>
          <cell r="J2277">
            <v>2</v>
          </cell>
          <cell r="K2277">
            <v>2</v>
          </cell>
        </row>
        <row r="2278">
          <cell r="A2278" t="str">
            <v>M2</v>
          </cell>
          <cell r="B2278" t="str">
            <v>A5C</v>
          </cell>
          <cell r="C2278" t="str">
            <v>P</v>
          </cell>
          <cell r="D2278" t="str">
            <v>23022</v>
          </cell>
          <cell r="E2278" t="str">
            <v>90 ELL</v>
          </cell>
          <cell r="F2278">
            <v>2</v>
          </cell>
          <cell r="G2278" t="str">
            <v>CB400100000T00</v>
          </cell>
          <cell r="H2278">
            <v>0.75</v>
          </cell>
          <cell r="I2278" t="str">
            <v>--</v>
          </cell>
          <cell r="J2278">
            <v>1</v>
          </cell>
          <cell r="K2278">
            <v>1</v>
          </cell>
        </row>
        <row r="2279">
          <cell r="A2279" t="str">
            <v>M2</v>
          </cell>
          <cell r="B2279" t="str">
            <v>A5C</v>
          </cell>
          <cell r="C2279" t="str">
            <v>P</v>
          </cell>
          <cell r="D2279" t="str">
            <v>23023</v>
          </cell>
          <cell r="E2279" t="str">
            <v>90 ELL</v>
          </cell>
          <cell r="F2279">
            <v>2</v>
          </cell>
          <cell r="G2279" t="str">
            <v>CB400100000T00</v>
          </cell>
          <cell r="H2279">
            <v>0.75</v>
          </cell>
          <cell r="I2279" t="str">
            <v>--</v>
          </cell>
          <cell r="J2279">
            <v>2</v>
          </cell>
          <cell r="K2279">
            <v>2</v>
          </cell>
        </row>
        <row r="2280">
          <cell r="A2280" t="str">
            <v>M2</v>
          </cell>
          <cell r="B2280" t="str">
            <v>A5C</v>
          </cell>
          <cell r="C2280" t="str">
            <v>P</v>
          </cell>
          <cell r="D2280" t="str">
            <v>23037</v>
          </cell>
          <cell r="E2280" t="str">
            <v>90 ELL</v>
          </cell>
          <cell r="F2280">
            <v>2</v>
          </cell>
          <cell r="G2280" t="str">
            <v>CB400100000T00</v>
          </cell>
          <cell r="H2280">
            <v>0.75</v>
          </cell>
          <cell r="I2280" t="str">
            <v>--</v>
          </cell>
          <cell r="J2280">
            <v>2</v>
          </cell>
          <cell r="K2280">
            <v>2</v>
          </cell>
        </row>
        <row r="2281">
          <cell r="A2281" t="str">
            <v>M2</v>
          </cell>
          <cell r="B2281" t="str">
            <v>A5C</v>
          </cell>
          <cell r="C2281" t="str">
            <v>P</v>
          </cell>
          <cell r="D2281" t="str">
            <v>23038</v>
          </cell>
          <cell r="E2281" t="str">
            <v>90 ELL</v>
          </cell>
          <cell r="F2281">
            <v>2</v>
          </cell>
          <cell r="G2281" t="str">
            <v>CB400100000T00</v>
          </cell>
          <cell r="H2281">
            <v>0.75</v>
          </cell>
          <cell r="I2281" t="str">
            <v>--</v>
          </cell>
          <cell r="J2281">
            <v>2</v>
          </cell>
          <cell r="K2281">
            <v>2</v>
          </cell>
        </row>
        <row r="2282">
          <cell r="A2282" t="str">
            <v>M2</v>
          </cell>
          <cell r="B2282" t="str">
            <v>A5C</v>
          </cell>
          <cell r="C2282" t="str">
            <v>P</v>
          </cell>
          <cell r="D2282" t="str">
            <v>23047</v>
          </cell>
          <cell r="E2282" t="str">
            <v>90 ELL</v>
          </cell>
          <cell r="F2282">
            <v>2</v>
          </cell>
          <cell r="G2282" t="str">
            <v>CB400100000T00</v>
          </cell>
          <cell r="H2282">
            <v>0.75</v>
          </cell>
          <cell r="I2282" t="str">
            <v>--</v>
          </cell>
          <cell r="J2282">
            <v>2</v>
          </cell>
          <cell r="K2282">
            <v>2</v>
          </cell>
        </row>
        <row r="2283">
          <cell r="A2283" t="str">
            <v>M2</v>
          </cell>
          <cell r="B2283" t="str">
            <v>A5C</v>
          </cell>
          <cell r="C2283" t="str">
            <v>P</v>
          </cell>
          <cell r="D2283" t="str">
            <v>23052</v>
          </cell>
          <cell r="E2283" t="str">
            <v>90 ELL</v>
          </cell>
          <cell r="F2283">
            <v>2</v>
          </cell>
          <cell r="G2283" t="str">
            <v>CB400100000T00</v>
          </cell>
          <cell r="H2283">
            <v>0.75</v>
          </cell>
          <cell r="I2283" t="str">
            <v>--</v>
          </cell>
          <cell r="J2283">
            <v>2</v>
          </cell>
          <cell r="K2283">
            <v>2</v>
          </cell>
        </row>
        <row r="2284">
          <cell r="A2284" t="str">
            <v>M2</v>
          </cell>
          <cell r="B2284" t="str">
            <v>A5C</v>
          </cell>
          <cell r="C2284" t="str">
            <v>P</v>
          </cell>
          <cell r="D2284" t="str">
            <v>23057</v>
          </cell>
          <cell r="E2284" t="str">
            <v>90 ELL</v>
          </cell>
          <cell r="F2284">
            <v>2</v>
          </cell>
          <cell r="G2284" t="str">
            <v>CB400100000T00</v>
          </cell>
          <cell r="H2284">
            <v>0.75</v>
          </cell>
          <cell r="I2284" t="str">
            <v>--</v>
          </cell>
          <cell r="J2284">
            <v>1</v>
          </cell>
          <cell r="K2284">
            <v>1</v>
          </cell>
        </row>
        <row r="2285">
          <cell r="A2285" t="str">
            <v>M2</v>
          </cell>
          <cell r="B2285" t="str">
            <v>A5C</v>
          </cell>
          <cell r="C2285" t="str">
            <v>P</v>
          </cell>
          <cell r="D2285" t="str">
            <v>23058</v>
          </cell>
          <cell r="E2285" t="str">
            <v>90 ELL</v>
          </cell>
          <cell r="F2285">
            <v>2</v>
          </cell>
          <cell r="G2285" t="str">
            <v>CB400100000T00</v>
          </cell>
          <cell r="H2285">
            <v>0.75</v>
          </cell>
          <cell r="I2285" t="str">
            <v>--</v>
          </cell>
          <cell r="J2285">
            <v>2</v>
          </cell>
          <cell r="K2285">
            <v>2</v>
          </cell>
        </row>
        <row r="2286">
          <cell r="A2286" t="str">
            <v>M2</v>
          </cell>
          <cell r="B2286" t="str">
            <v>A5C</v>
          </cell>
          <cell r="C2286" t="str">
            <v>P</v>
          </cell>
          <cell r="D2286" t="str">
            <v>23063</v>
          </cell>
          <cell r="E2286" t="str">
            <v>90 ELL</v>
          </cell>
          <cell r="F2286">
            <v>2</v>
          </cell>
          <cell r="G2286" t="str">
            <v>CB400100000T00</v>
          </cell>
          <cell r="H2286">
            <v>0.75</v>
          </cell>
          <cell r="I2286" t="str">
            <v>--</v>
          </cell>
          <cell r="J2286">
            <v>1</v>
          </cell>
          <cell r="K2286">
            <v>1</v>
          </cell>
        </row>
        <row r="2287">
          <cell r="A2287" t="str">
            <v>M2</v>
          </cell>
          <cell r="B2287" t="str">
            <v>A5C</v>
          </cell>
          <cell r="C2287" t="str">
            <v>P</v>
          </cell>
          <cell r="D2287" t="str">
            <v>23068</v>
          </cell>
          <cell r="E2287" t="str">
            <v>90 ELL</v>
          </cell>
          <cell r="F2287">
            <v>2</v>
          </cell>
          <cell r="G2287" t="str">
            <v>CB400100000T00</v>
          </cell>
          <cell r="H2287">
            <v>0.75</v>
          </cell>
          <cell r="I2287" t="str">
            <v>--</v>
          </cell>
          <cell r="J2287">
            <v>2</v>
          </cell>
          <cell r="K2287">
            <v>2</v>
          </cell>
        </row>
        <row r="2288">
          <cell r="A2288" t="str">
            <v>M2</v>
          </cell>
          <cell r="B2288" t="str">
            <v>A5C</v>
          </cell>
          <cell r="C2288" t="str">
            <v>P</v>
          </cell>
          <cell r="D2288" t="str">
            <v>23072</v>
          </cell>
          <cell r="E2288" t="str">
            <v>90 ELL</v>
          </cell>
          <cell r="F2288">
            <v>2</v>
          </cell>
          <cell r="G2288" t="str">
            <v>CB400100000T00</v>
          </cell>
          <cell r="H2288">
            <v>0.75</v>
          </cell>
          <cell r="I2288" t="str">
            <v>--</v>
          </cell>
          <cell r="J2288">
            <v>1</v>
          </cell>
          <cell r="K2288">
            <v>1</v>
          </cell>
        </row>
        <row r="2289">
          <cell r="A2289" t="str">
            <v>M2</v>
          </cell>
          <cell r="B2289" t="str">
            <v>A5C</v>
          </cell>
          <cell r="C2289" t="str">
            <v>P</v>
          </cell>
          <cell r="D2289" t="str">
            <v>23073</v>
          </cell>
          <cell r="E2289" t="str">
            <v>90 ELL</v>
          </cell>
          <cell r="F2289">
            <v>2</v>
          </cell>
          <cell r="G2289" t="str">
            <v>CB400100000T00</v>
          </cell>
          <cell r="H2289">
            <v>0.75</v>
          </cell>
          <cell r="I2289" t="str">
            <v>--</v>
          </cell>
          <cell r="J2289">
            <v>2</v>
          </cell>
          <cell r="K2289">
            <v>2</v>
          </cell>
        </row>
        <row r="2290">
          <cell r="A2290" t="str">
            <v>M2</v>
          </cell>
          <cell r="B2290" t="str">
            <v>A5C</v>
          </cell>
          <cell r="C2290" t="str">
            <v>P</v>
          </cell>
          <cell r="D2290" t="str">
            <v>23078</v>
          </cell>
          <cell r="E2290" t="str">
            <v>90 ELL</v>
          </cell>
          <cell r="F2290">
            <v>2</v>
          </cell>
          <cell r="G2290" t="str">
            <v>CB400100000T00</v>
          </cell>
          <cell r="H2290">
            <v>0.75</v>
          </cell>
          <cell r="I2290" t="str">
            <v>--</v>
          </cell>
          <cell r="J2290">
            <v>1</v>
          </cell>
          <cell r="K2290">
            <v>1</v>
          </cell>
        </row>
        <row r="2291">
          <cell r="A2291" t="str">
            <v>M2</v>
          </cell>
          <cell r="B2291" t="str">
            <v>A5C</v>
          </cell>
          <cell r="C2291" t="str">
            <v>P</v>
          </cell>
          <cell r="D2291" t="str">
            <v>23081</v>
          </cell>
          <cell r="E2291" t="str">
            <v>90 ELL</v>
          </cell>
          <cell r="F2291">
            <v>2</v>
          </cell>
          <cell r="G2291" t="str">
            <v>CB400100000T00</v>
          </cell>
          <cell r="H2291">
            <v>0.75</v>
          </cell>
          <cell r="I2291" t="str">
            <v>--</v>
          </cell>
          <cell r="J2291">
            <v>17</v>
          </cell>
          <cell r="K2291">
            <v>17</v>
          </cell>
        </row>
        <row r="2292">
          <cell r="A2292" t="str">
            <v>M2</v>
          </cell>
          <cell r="B2292" t="str">
            <v>A5C</v>
          </cell>
          <cell r="C2292" t="str">
            <v>P</v>
          </cell>
          <cell r="D2292" t="str">
            <v>23084</v>
          </cell>
          <cell r="E2292" t="str">
            <v>90 ELL</v>
          </cell>
          <cell r="F2292">
            <v>2</v>
          </cell>
          <cell r="G2292" t="str">
            <v>CB400100000T00</v>
          </cell>
          <cell r="H2292">
            <v>0.75</v>
          </cell>
          <cell r="I2292" t="str">
            <v>--</v>
          </cell>
          <cell r="J2292">
            <v>2</v>
          </cell>
          <cell r="K2292">
            <v>2</v>
          </cell>
        </row>
        <row r="2293">
          <cell r="A2293" t="str">
            <v>M2</v>
          </cell>
          <cell r="B2293" t="str">
            <v>A5C</v>
          </cell>
          <cell r="C2293" t="str">
            <v>P</v>
          </cell>
          <cell r="D2293" t="str">
            <v>23094</v>
          </cell>
          <cell r="E2293" t="str">
            <v>90 ELL</v>
          </cell>
          <cell r="F2293">
            <v>2</v>
          </cell>
          <cell r="G2293" t="str">
            <v>CB400100000T00</v>
          </cell>
          <cell r="H2293">
            <v>0.75</v>
          </cell>
          <cell r="I2293" t="str">
            <v>--</v>
          </cell>
          <cell r="J2293">
            <v>5</v>
          </cell>
          <cell r="K2293">
            <v>5</v>
          </cell>
        </row>
        <row r="2294">
          <cell r="A2294" t="str">
            <v>M2</v>
          </cell>
          <cell r="B2294" t="str">
            <v>A5C</v>
          </cell>
          <cell r="C2294" t="str">
            <v>P</v>
          </cell>
          <cell r="D2294" t="str">
            <v>23094</v>
          </cell>
          <cell r="E2294" t="str">
            <v>90 ELL</v>
          </cell>
          <cell r="F2294">
            <v>2</v>
          </cell>
          <cell r="G2294" t="str">
            <v>CB400100000T00</v>
          </cell>
          <cell r="H2294">
            <v>0.75</v>
          </cell>
          <cell r="I2294" t="str">
            <v>--</v>
          </cell>
          <cell r="J2294">
            <v>4</v>
          </cell>
          <cell r="K2294">
            <v>4</v>
          </cell>
        </row>
        <row r="2295">
          <cell r="A2295" t="str">
            <v>M2</v>
          </cell>
          <cell r="B2295" t="str">
            <v>A5C</v>
          </cell>
          <cell r="C2295" t="str">
            <v>P</v>
          </cell>
          <cell r="D2295" t="str">
            <v>23095</v>
          </cell>
          <cell r="E2295" t="str">
            <v>90 ELL</v>
          </cell>
          <cell r="F2295">
            <v>2</v>
          </cell>
          <cell r="G2295" t="str">
            <v>CB400100000T00</v>
          </cell>
          <cell r="H2295">
            <v>0.75</v>
          </cell>
          <cell r="I2295" t="str">
            <v>--</v>
          </cell>
          <cell r="J2295">
            <v>2</v>
          </cell>
          <cell r="K2295">
            <v>2</v>
          </cell>
        </row>
        <row r="2296">
          <cell r="A2296" t="str">
            <v>M2</v>
          </cell>
          <cell r="B2296" t="str">
            <v>A5C</v>
          </cell>
          <cell r="C2296" t="str">
            <v>P</v>
          </cell>
          <cell r="D2296" t="str">
            <v>23101</v>
          </cell>
          <cell r="E2296" t="str">
            <v>90 ELL</v>
          </cell>
          <cell r="F2296">
            <v>2</v>
          </cell>
          <cell r="G2296" t="str">
            <v>CB400100000T00</v>
          </cell>
          <cell r="H2296">
            <v>0.75</v>
          </cell>
          <cell r="I2296" t="str">
            <v>--</v>
          </cell>
          <cell r="J2296">
            <v>5</v>
          </cell>
          <cell r="K2296">
            <v>5</v>
          </cell>
        </row>
        <row r="2297">
          <cell r="A2297" t="str">
            <v>M2</v>
          </cell>
          <cell r="B2297" t="str">
            <v>A5C</v>
          </cell>
          <cell r="C2297" t="str">
            <v>P</v>
          </cell>
          <cell r="D2297" t="str">
            <v>23105</v>
          </cell>
          <cell r="E2297" t="str">
            <v>90 ELL</v>
          </cell>
          <cell r="F2297">
            <v>2</v>
          </cell>
          <cell r="G2297" t="str">
            <v>CB400100000T00</v>
          </cell>
          <cell r="H2297">
            <v>0.75</v>
          </cell>
          <cell r="I2297" t="str">
            <v>--</v>
          </cell>
          <cell r="J2297">
            <v>5</v>
          </cell>
          <cell r="K2297">
            <v>5</v>
          </cell>
        </row>
        <row r="2298">
          <cell r="A2298" t="str">
            <v>M2</v>
          </cell>
          <cell r="B2298" t="str">
            <v>A5C</v>
          </cell>
          <cell r="C2298" t="str">
            <v>P</v>
          </cell>
          <cell r="D2298" t="str">
            <v>23102</v>
          </cell>
          <cell r="E2298" t="str">
            <v>90 ELL</v>
          </cell>
          <cell r="F2298">
            <v>2</v>
          </cell>
          <cell r="G2298" t="str">
            <v>CB400100000T00</v>
          </cell>
          <cell r="H2298">
            <v>0.75</v>
          </cell>
          <cell r="I2298" t="str">
            <v>--</v>
          </cell>
          <cell r="J2298">
            <v>2</v>
          </cell>
          <cell r="K2298">
            <v>2</v>
          </cell>
        </row>
        <row r="2299">
          <cell r="A2299" t="str">
            <v>M2</v>
          </cell>
          <cell r="B2299" t="str">
            <v>A5C</v>
          </cell>
          <cell r="C2299" t="str">
            <v>P</v>
          </cell>
          <cell r="D2299" t="str">
            <v>23109</v>
          </cell>
          <cell r="E2299" t="str">
            <v>90 ELL</v>
          </cell>
          <cell r="F2299">
            <v>2</v>
          </cell>
          <cell r="G2299" t="str">
            <v>CB400100000T00</v>
          </cell>
          <cell r="H2299">
            <v>0.75</v>
          </cell>
          <cell r="I2299" t="str">
            <v>--</v>
          </cell>
          <cell r="J2299">
            <v>5</v>
          </cell>
          <cell r="K2299">
            <v>5</v>
          </cell>
        </row>
        <row r="2300">
          <cell r="A2300" t="str">
            <v>M2</v>
          </cell>
          <cell r="B2300" t="str">
            <v>A5C</v>
          </cell>
          <cell r="C2300" t="str">
            <v>P</v>
          </cell>
          <cell r="D2300" t="str">
            <v>23113</v>
          </cell>
          <cell r="E2300" t="str">
            <v>90 ELL</v>
          </cell>
          <cell r="F2300">
            <v>2</v>
          </cell>
          <cell r="G2300" t="str">
            <v>CB400100000T00</v>
          </cell>
          <cell r="H2300">
            <v>0.75</v>
          </cell>
          <cell r="I2300" t="str">
            <v>--</v>
          </cell>
          <cell r="J2300">
            <v>4</v>
          </cell>
          <cell r="K2300">
            <v>4</v>
          </cell>
        </row>
        <row r="2301">
          <cell r="A2301" t="str">
            <v>M2</v>
          </cell>
          <cell r="B2301" t="str">
            <v>A5C</v>
          </cell>
          <cell r="C2301" t="str">
            <v>P</v>
          </cell>
          <cell r="D2301" t="str">
            <v>23113</v>
          </cell>
          <cell r="E2301" t="str">
            <v>90 ELL</v>
          </cell>
          <cell r="F2301">
            <v>2</v>
          </cell>
          <cell r="G2301" t="str">
            <v>CB400100000T00</v>
          </cell>
          <cell r="H2301">
            <v>0.75</v>
          </cell>
          <cell r="I2301" t="str">
            <v>--</v>
          </cell>
          <cell r="J2301">
            <v>4</v>
          </cell>
          <cell r="K2301">
            <v>4</v>
          </cell>
        </row>
        <row r="2302">
          <cell r="A2302" t="str">
            <v>M2</v>
          </cell>
          <cell r="B2302" t="str">
            <v>A5C</v>
          </cell>
          <cell r="C2302" t="str">
            <v>P</v>
          </cell>
          <cell r="D2302" t="str">
            <v>23114</v>
          </cell>
          <cell r="E2302" t="str">
            <v>90 ELL</v>
          </cell>
          <cell r="F2302">
            <v>2</v>
          </cell>
          <cell r="G2302" t="str">
            <v>CB400100000T00</v>
          </cell>
          <cell r="H2302">
            <v>0.75</v>
          </cell>
          <cell r="I2302" t="str">
            <v>--</v>
          </cell>
          <cell r="J2302">
            <v>2</v>
          </cell>
          <cell r="K2302">
            <v>2</v>
          </cell>
        </row>
        <row r="2303">
          <cell r="A2303" t="str">
            <v>M2</v>
          </cell>
          <cell r="B2303" t="str">
            <v>A5C</v>
          </cell>
          <cell r="C2303" t="str">
            <v>P</v>
          </cell>
          <cell r="D2303" t="str">
            <v>23117</v>
          </cell>
          <cell r="E2303" t="str">
            <v>90 ELL</v>
          </cell>
          <cell r="F2303">
            <v>2</v>
          </cell>
          <cell r="G2303" t="str">
            <v>CB400100000T00</v>
          </cell>
          <cell r="H2303">
            <v>0.75</v>
          </cell>
          <cell r="I2303" t="str">
            <v>--</v>
          </cell>
          <cell r="J2303">
            <v>2</v>
          </cell>
          <cell r="K2303">
            <v>2</v>
          </cell>
        </row>
        <row r="2304">
          <cell r="A2304" t="str">
            <v>M2</v>
          </cell>
          <cell r="B2304" t="str">
            <v>A5C</v>
          </cell>
          <cell r="C2304" t="str">
            <v>P</v>
          </cell>
          <cell r="D2304" t="str">
            <v>23123</v>
          </cell>
          <cell r="E2304" t="str">
            <v>90 ELL</v>
          </cell>
          <cell r="F2304">
            <v>2</v>
          </cell>
          <cell r="G2304" t="str">
            <v>CB400100000T00</v>
          </cell>
          <cell r="H2304">
            <v>0.75</v>
          </cell>
          <cell r="I2304" t="str">
            <v>--</v>
          </cell>
          <cell r="J2304">
            <v>2</v>
          </cell>
          <cell r="K2304">
            <v>2</v>
          </cell>
        </row>
        <row r="2305">
          <cell r="A2305" t="str">
            <v>M2</v>
          </cell>
          <cell r="B2305" t="str">
            <v>A5C</v>
          </cell>
          <cell r="C2305" t="str">
            <v>P</v>
          </cell>
          <cell r="D2305" t="str">
            <v>23127</v>
          </cell>
          <cell r="E2305" t="str">
            <v>90 ELL</v>
          </cell>
          <cell r="F2305">
            <v>2</v>
          </cell>
          <cell r="G2305" t="str">
            <v>CB400100000T00</v>
          </cell>
          <cell r="H2305">
            <v>0.75</v>
          </cell>
          <cell r="I2305" t="str">
            <v>--</v>
          </cell>
          <cell r="J2305">
            <v>2</v>
          </cell>
          <cell r="K2305">
            <v>2</v>
          </cell>
        </row>
        <row r="2306">
          <cell r="A2306" t="str">
            <v>M2</v>
          </cell>
          <cell r="B2306" t="str">
            <v>A5C</v>
          </cell>
          <cell r="C2306" t="str">
            <v>P</v>
          </cell>
          <cell r="D2306" t="str">
            <v>23133</v>
          </cell>
          <cell r="E2306" t="str">
            <v>90 ELL</v>
          </cell>
          <cell r="F2306">
            <v>2</v>
          </cell>
          <cell r="G2306" t="str">
            <v>CB400100000T00</v>
          </cell>
          <cell r="H2306">
            <v>0.75</v>
          </cell>
          <cell r="I2306" t="str">
            <v>--</v>
          </cell>
          <cell r="J2306">
            <v>4</v>
          </cell>
          <cell r="K2306">
            <v>4</v>
          </cell>
        </row>
        <row r="2307">
          <cell r="A2307" t="str">
            <v>M2</v>
          </cell>
          <cell r="B2307" t="str">
            <v>A5C</v>
          </cell>
          <cell r="C2307" t="str">
            <v>P</v>
          </cell>
          <cell r="D2307" t="str">
            <v>23134</v>
          </cell>
          <cell r="E2307" t="str">
            <v>90 ELL</v>
          </cell>
          <cell r="F2307">
            <v>2</v>
          </cell>
          <cell r="G2307" t="str">
            <v>CB400100000T00</v>
          </cell>
          <cell r="H2307">
            <v>0.75</v>
          </cell>
          <cell r="I2307" t="str">
            <v>--</v>
          </cell>
          <cell r="J2307">
            <v>2</v>
          </cell>
          <cell r="K2307">
            <v>2</v>
          </cell>
        </row>
        <row r="2308">
          <cell r="A2308" t="str">
            <v>M2</v>
          </cell>
          <cell r="B2308" t="str">
            <v>A5C</v>
          </cell>
          <cell r="C2308" t="str">
            <v>P</v>
          </cell>
          <cell r="D2308" t="str">
            <v>23141</v>
          </cell>
          <cell r="E2308" t="str">
            <v>90 ELL</v>
          </cell>
          <cell r="F2308">
            <v>2</v>
          </cell>
          <cell r="G2308" t="str">
            <v>CB400100000T00</v>
          </cell>
          <cell r="H2308">
            <v>0.75</v>
          </cell>
          <cell r="I2308" t="str">
            <v>--</v>
          </cell>
          <cell r="J2308">
            <v>4</v>
          </cell>
          <cell r="K2308">
            <v>4</v>
          </cell>
        </row>
        <row r="2309">
          <cell r="A2309" t="str">
            <v>M2</v>
          </cell>
          <cell r="B2309" t="str">
            <v>A5C</v>
          </cell>
          <cell r="C2309" t="str">
            <v>P</v>
          </cell>
          <cell r="D2309" t="str">
            <v>23141</v>
          </cell>
          <cell r="E2309" t="str">
            <v>90 ELL</v>
          </cell>
          <cell r="F2309">
            <v>2</v>
          </cell>
          <cell r="G2309" t="str">
            <v>CB400100000T00</v>
          </cell>
          <cell r="H2309">
            <v>0.75</v>
          </cell>
          <cell r="I2309" t="str">
            <v>--</v>
          </cell>
          <cell r="J2309">
            <v>12</v>
          </cell>
          <cell r="K2309">
            <v>12</v>
          </cell>
        </row>
        <row r="2310">
          <cell r="A2310" t="str">
            <v>M2</v>
          </cell>
          <cell r="B2310" t="str">
            <v>A5C</v>
          </cell>
          <cell r="C2310" t="str">
            <v>P</v>
          </cell>
          <cell r="D2310" t="str">
            <v>23142</v>
          </cell>
          <cell r="E2310" t="str">
            <v>90 ELL</v>
          </cell>
          <cell r="F2310">
            <v>2</v>
          </cell>
          <cell r="G2310" t="str">
            <v>CB400100000T00</v>
          </cell>
          <cell r="H2310">
            <v>0.75</v>
          </cell>
          <cell r="I2310" t="str">
            <v>--</v>
          </cell>
          <cell r="J2310">
            <v>2</v>
          </cell>
          <cell r="K2310">
            <v>2</v>
          </cell>
        </row>
        <row r="2311">
          <cell r="A2311" t="str">
            <v>M2</v>
          </cell>
          <cell r="B2311" t="str">
            <v>A5C</v>
          </cell>
          <cell r="C2311" t="str">
            <v>P</v>
          </cell>
          <cell r="D2311" t="str">
            <v>23145</v>
          </cell>
          <cell r="E2311" t="str">
            <v>90 ELL</v>
          </cell>
          <cell r="F2311">
            <v>2</v>
          </cell>
          <cell r="G2311" t="str">
            <v>CB400100000T00</v>
          </cell>
          <cell r="H2311">
            <v>0.75</v>
          </cell>
          <cell r="I2311" t="str">
            <v>--</v>
          </cell>
          <cell r="J2311">
            <v>4</v>
          </cell>
          <cell r="K2311">
            <v>4</v>
          </cell>
        </row>
        <row r="2312">
          <cell r="A2312" t="str">
            <v>M2</v>
          </cell>
          <cell r="B2312" t="str">
            <v>A5C</v>
          </cell>
          <cell r="C2312" t="str">
            <v>P</v>
          </cell>
          <cell r="D2312" t="str">
            <v>23146</v>
          </cell>
          <cell r="E2312" t="str">
            <v>90 ELL</v>
          </cell>
          <cell r="F2312">
            <v>2</v>
          </cell>
          <cell r="G2312" t="str">
            <v>CB400100000T00</v>
          </cell>
          <cell r="H2312">
            <v>0.75</v>
          </cell>
          <cell r="I2312" t="str">
            <v>--</v>
          </cell>
          <cell r="J2312">
            <v>2</v>
          </cell>
          <cell r="K2312">
            <v>2</v>
          </cell>
        </row>
        <row r="2313">
          <cell r="A2313" t="str">
            <v>M2</v>
          </cell>
          <cell r="B2313" t="str">
            <v>A5C</v>
          </cell>
          <cell r="C2313" t="str">
            <v>P</v>
          </cell>
          <cell r="D2313" t="str">
            <v>23149</v>
          </cell>
          <cell r="E2313" t="str">
            <v>90 ELL</v>
          </cell>
          <cell r="F2313">
            <v>2</v>
          </cell>
          <cell r="G2313" t="str">
            <v>CB400100000T00</v>
          </cell>
          <cell r="H2313">
            <v>0.75</v>
          </cell>
          <cell r="I2313" t="str">
            <v>--</v>
          </cell>
          <cell r="J2313">
            <v>1</v>
          </cell>
          <cell r="K2313">
            <v>1</v>
          </cell>
        </row>
        <row r="2314">
          <cell r="A2314" t="str">
            <v>M2</v>
          </cell>
          <cell r="B2314" t="str">
            <v>A5C</v>
          </cell>
          <cell r="C2314" t="str">
            <v>P</v>
          </cell>
          <cell r="D2314" t="str">
            <v>23152</v>
          </cell>
          <cell r="E2314" t="str">
            <v>90 ELL</v>
          </cell>
          <cell r="F2314">
            <v>2</v>
          </cell>
          <cell r="G2314" t="str">
            <v>CB400100000T00</v>
          </cell>
          <cell r="H2314">
            <v>0.75</v>
          </cell>
          <cell r="I2314" t="str">
            <v>--</v>
          </cell>
          <cell r="J2314">
            <v>2</v>
          </cell>
          <cell r="K2314">
            <v>2</v>
          </cell>
        </row>
        <row r="2315">
          <cell r="A2315" t="str">
            <v>M2</v>
          </cell>
          <cell r="B2315" t="str">
            <v>A5C</v>
          </cell>
          <cell r="C2315" t="str">
            <v>P</v>
          </cell>
          <cell r="D2315" t="str">
            <v>23157</v>
          </cell>
          <cell r="E2315" t="str">
            <v>90 ELL</v>
          </cell>
          <cell r="F2315">
            <v>2</v>
          </cell>
          <cell r="G2315" t="str">
            <v>CB400100000T00</v>
          </cell>
          <cell r="H2315">
            <v>0.75</v>
          </cell>
          <cell r="I2315" t="str">
            <v>--</v>
          </cell>
          <cell r="J2315">
            <v>2</v>
          </cell>
          <cell r="K2315">
            <v>2</v>
          </cell>
        </row>
        <row r="2316">
          <cell r="A2316" t="str">
            <v>M2</v>
          </cell>
          <cell r="B2316" t="str">
            <v>A5C</v>
          </cell>
          <cell r="C2316" t="str">
            <v>P</v>
          </cell>
          <cell r="D2316" t="str">
            <v>23160</v>
          </cell>
          <cell r="E2316" t="str">
            <v>90 ELL</v>
          </cell>
          <cell r="F2316">
            <v>2</v>
          </cell>
          <cell r="G2316" t="str">
            <v>CB400100000T00</v>
          </cell>
          <cell r="H2316">
            <v>0.75</v>
          </cell>
          <cell r="I2316" t="str">
            <v>--</v>
          </cell>
          <cell r="J2316">
            <v>2</v>
          </cell>
          <cell r="K2316">
            <v>2</v>
          </cell>
        </row>
        <row r="2317">
          <cell r="A2317" t="str">
            <v>M2</v>
          </cell>
          <cell r="B2317" t="str">
            <v>A5C</v>
          </cell>
          <cell r="C2317" t="str">
            <v>P</v>
          </cell>
          <cell r="D2317" t="str">
            <v>23174</v>
          </cell>
          <cell r="E2317" t="str">
            <v>90 ELL</v>
          </cell>
          <cell r="F2317">
            <v>2</v>
          </cell>
          <cell r="G2317" t="str">
            <v>CB400100000T00</v>
          </cell>
          <cell r="H2317">
            <v>0.75</v>
          </cell>
          <cell r="I2317" t="str">
            <v>--</v>
          </cell>
          <cell r="J2317">
            <v>2</v>
          </cell>
          <cell r="K2317">
            <v>2</v>
          </cell>
        </row>
        <row r="2318">
          <cell r="A2318" t="str">
            <v>M2</v>
          </cell>
          <cell r="B2318" t="str">
            <v>A5C</v>
          </cell>
          <cell r="C2318" t="str">
            <v>P</v>
          </cell>
          <cell r="D2318" t="str">
            <v>23188</v>
          </cell>
          <cell r="E2318" t="str">
            <v>90 ELL</v>
          </cell>
          <cell r="F2318">
            <v>2</v>
          </cell>
          <cell r="G2318" t="str">
            <v>CB400100000T00</v>
          </cell>
          <cell r="H2318">
            <v>0.75</v>
          </cell>
          <cell r="I2318" t="str">
            <v>--</v>
          </cell>
          <cell r="J2318">
            <v>7</v>
          </cell>
          <cell r="K2318">
            <v>7</v>
          </cell>
        </row>
        <row r="2319">
          <cell r="A2319" t="str">
            <v>M2</v>
          </cell>
          <cell r="B2319" t="str">
            <v>A5C</v>
          </cell>
          <cell r="C2319" t="str">
            <v>P</v>
          </cell>
          <cell r="D2319" t="str">
            <v>23185</v>
          </cell>
          <cell r="E2319" t="str">
            <v>90 ELL</v>
          </cell>
          <cell r="F2319">
            <v>2</v>
          </cell>
          <cell r="G2319" t="str">
            <v>CB400100000T00</v>
          </cell>
          <cell r="H2319">
            <v>0.75</v>
          </cell>
          <cell r="I2319" t="str">
            <v>--</v>
          </cell>
          <cell r="J2319">
            <v>2</v>
          </cell>
          <cell r="K2319">
            <v>2</v>
          </cell>
        </row>
        <row r="2320">
          <cell r="A2320" t="str">
            <v>M2</v>
          </cell>
          <cell r="B2320" t="str">
            <v>A5C</v>
          </cell>
          <cell r="C2320" t="str">
            <v>P</v>
          </cell>
          <cell r="D2320" t="str">
            <v>23196</v>
          </cell>
          <cell r="E2320" t="str">
            <v>90 ELL</v>
          </cell>
          <cell r="F2320">
            <v>2</v>
          </cell>
          <cell r="G2320" t="str">
            <v>CB400100000T00</v>
          </cell>
          <cell r="H2320">
            <v>0.75</v>
          </cell>
          <cell r="I2320" t="str">
            <v>--</v>
          </cell>
          <cell r="J2320">
            <v>2</v>
          </cell>
          <cell r="K2320">
            <v>2</v>
          </cell>
        </row>
        <row r="2321">
          <cell r="A2321" t="str">
            <v>M2</v>
          </cell>
          <cell r="B2321" t="str">
            <v>A5C</v>
          </cell>
          <cell r="C2321" t="str">
            <v>P</v>
          </cell>
          <cell r="D2321" t="str">
            <v>23225</v>
          </cell>
          <cell r="E2321" t="str">
            <v>90 ELL</v>
          </cell>
          <cell r="F2321">
            <v>2</v>
          </cell>
          <cell r="G2321" t="str">
            <v>CB400100000T00</v>
          </cell>
          <cell r="H2321">
            <v>0.75</v>
          </cell>
          <cell r="I2321" t="str">
            <v>--</v>
          </cell>
          <cell r="J2321">
            <v>10</v>
          </cell>
          <cell r="K2321">
            <v>10</v>
          </cell>
        </row>
        <row r="2322">
          <cell r="A2322" t="str">
            <v>M2</v>
          </cell>
          <cell r="B2322" t="str">
            <v>A5C</v>
          </cell>
          <cell r="C2322" t="str">
            <v>P</v>
          </cell>
          <cell r="D2322" t="str">
            <v>23236</v>
          </cell>
          <cell r="E2322" t="str">
            <v>90 ELL</v>
          </cell>
          <cell r="F2322">
            <v>2</v>
          </cell>
          <cell r="G2322" t="str">
            <v>CB400100000T00</v>
          </cell>
          <cell r="H2322">
            <v>0.75</v>
          </cell>
          <cell r="I2322" t="str">
            <v>--</v>
          </cell>
          <cell r="J2322">
            <v>2</v>
          </cell>
          <cell r="K2322">
            <v>2</v>
          </cell>
        </row>
        <row r="2323">
          <cell r="A2323" t="str">
            <v>M2</v>
          </cell>
          <cell r="B2323" t="str">
            <v>A5C</v>
          </cell>
          <cell r="C2323" t="str">
            <v>P</v>
          </cell>
          <cell r="D2323" t="str">
            <v>23234</v>
          </cell>
          <cell r="E2323" t="str">
            <v>90 ELL</v>
          </cell>
          <cell r="F2323">
            <v>2</v>
          </cell>
          <cell r="G2323" t="str">
            <v>CB400100000T00</v>
          </cell>
          <cell r="H2323">
            <v>0.75</v>
          </cell>
          <cell r="I2323" t="str">
            <v>--</v>
          </cell>
          <cell r="J2323">
            <v>5</v>
          </cell>
          <cell r="K2323">
            <v>5</v>
          </cell>
        </row>
        <row r="2324">
          <cell r="A2324" t="str">
            <v>M2</v>
          </cell>
          <cell r="B2324" t="str">
            <v>A5C</v>
          </cell>
          <cell r="C2324" t="str">
            <v>P</v>
          </cell>
          <cell r="D2324" t="str">
            <v>23238</v>
          </cell>
          <cell r="E2324" t="str">
            <v>90 ELL</v>
          </cell>
          <cell r="F2324">
            <v>2</v>
          </cell>
          <cell r="G2324" t="str">
            <v>CB400100000T00</v>
          </cell>
          <cell r="H2324">
            <v>0.75</v>
          </cell>
          <cell r="I2324" t="str">
            <v>--</v>
          </cell>
          <cell r="J2324">
            <v>5</v>
          </cell>
          <cell r="K2324">
            <v>5</v>
          </cell>
        </row>
        <row r="2325">
          <cell r="A2325" t="str">
            <v>M2</v>
          </cell>
          <cell r="B2325" t="str">
            <v>A5C</v>
          </cell>
          <cell r="C2325" t="str">
            <v>P</v>
          </cell>
          <cell r="D2325" t="str">
            <v>23246</v>
          </cell>
          <cell r="E2325" t="str">
            <v>90 ELL</v>
          </cell>
          <cell r="F2325">
            <v>2</v>
          </cell>
          <cell r="G2325" t="str">
            <v>CB400100000T00</v>
          </cell>
          <cell r="H2325">
            <v>0.75</v>
          </cell>
          <cell r="I2325" t="str">
            <v>--</v>
          </cell>
          <cell r="J2325">
            <v>2</v>
          </cell>
          <cell r="K2325">
            <v>2</v>
          </cell>
        </row>
        <row r="2326">
          <cell r="A2326" t="str">
            <v>M2</v>
          </cell>
          <cell r="B2326" t="str">
            <v>A5C</v>
          </cell>
          <cell r="C2326" t="str">
            <v>P</v>
          </cell>
          <cell r="D2326" t="str">
            <v>23247</v>
          </cell>
          <cell r="E2326" t="str">
            <v>90 ELL</v>
          </cell>
          <cell r="F2326">
            <v>2</v>
          </cell>
          <cell r="G2326" t="str">
            <v>CB400100000T00</v>
          </cell>
          <cell r="H2326">
            <v>0.75</v>
          </cell>
          <cell r="I2326" t="str">
            <v>--</v>
          </cell>
          <cell r="J2326">
            <v>10</v>
          </cell>
          <cell r="K2326">
            <v>10</v>
          </cell>
        </row>
        <row r="2327">
          <cell r="A2327" t="str">
            <v>M2</v>
          </cell>
          <cell r="B2327" t="str">
            <v>A5C</v>
          </cell>
          <cell r="C2327" t="str">
            <v>P</v>
          </cell>
          <cell r="D2327" t="str">
            <v>24014</v>
          </cell>
          <cell r="E2327" t="str">
            <v>90 ELL</v>
          </cell>
          <cell r="F2327">
            <v>2</v>
          </cell>
          <cell r="G2327" t="str">
            <v>CB400100000T00</v>
          </cell>
          <cell r="H2327">
            <v>0.75</v>
          </cell>
          <cell r="I2327" t="str">
            <v>--</v>
          </cell>
          <cell r="J2327">
            <v>2</v>
          </cell>
          <cell r="K2327">
            <v>2</v>
          </cell>
        </row>
        <row r="2328">
          <cell r="A2328" t="str">
            <v>M2</v>
          </cell>
          <cell r="B2328" t="str">
            <v>A5C</v>
          </cell>
          <cell r="C2328" t="str">
            <v>P</v>
          </cell>
          <cell r="D2328" t="str">
            <v>24024</v>
          </cell>
          <cell r="E2328" t="str">
            <v>90 ELL</v>
          </cell>
          <cell r="F2328">
            <v>2</v>
          </cell>
          <cell r="G2328" t="str">
            <v>CB400100000T00</v>
          </cell>
          <cell r="H2328">
            <v>0.75</v>
          </cell>
          <cell r="I2328" t="str">
            <v>--</v>
          </cell>
          <cell r="J2328">
            <v>7</v>
          </cell>
          <cell r="K2328">
            <v>7</v>
          </cell>
        </row>
        <row r="2329">
          <cell r="A2329" t="str">
            <v>M2</v>
          </cell>
          <cell r="B2329" t="str">
            <v>A5C</v>
          </cell>
          <cell r="C2329" t="str">
            <v>N</v>
          </cell>
          <cell r="D2329" t="str">
            <v>24613</v>
          </cell>
          <cell r="E2329" t="str">
            <v>90 ELL</v>
          </cell>
          <cell r="F2329">
            <v>2</v>
          </cell>
          <cell r="G2329" t="str">
            <v>CB400100000T00</v>
          </cell>
          <cell r="H2329">
            <v>0.75</v>
          </cell>
          <cell r="I2329" t="str">
            <v>--</v>
          </cell>
          <cell r="J2329">
            <v>5</v>
          </cell>
          <cell r="K2329">
            <v>5</v>
          </cell>
        </row>
        <row r="2330">
          <cell r="A2330" t="str">
            <v>M2</v>
          </cell>
          <cell r="B2330" t="str">
            <v>A5C</v>
          </cell>
          <cell r="C2330" t="str">
            <v>N</v>
          </cell>
          <cell r="D2330" t="str">
            <v>24614</v>
          </cell>
          <cell r="E2330" t="str">
            <v>90 ELL</v>
          </cell>
          <cell r="F2330">
            <v>2</v>
          </cell>
          <cell r="G2330" t="str">
            <v>CB400100000T00</v>
          </cell>
          <cell r="H2330">
            <v>0.75</v>
          </cell>
          <cell r="I2330" t="str">
            <v>--</v>
          </cell>
          <cell r="J2330">
            <v>3</v>
          </cell>
          <cell r="K2330">
            <v>3</v>
          </cell>
        </row>
        <row r="2331">
          <cell r="A2331" t="str">
            <v>M2</v>
          </cell>
          <cell r="B2331" t="str">
            <v>A5C</v>
          </cell>
          <cell r="C2331" t="str">
            <v>P</v>
          </cell>
          <cell r="D2331" t="str">
            <v>23110</v>
          </cell>
          <cell r="E2331" t="str">
            <v>90 ELL</v>
          </cell>
          <cell r="F2331">
            <v>2</v>
          </cell>
          <cell r="G2331" t="str">
            <v>CB400100000T00</v>
          </cell>
          <cell r="H2331">
            <v>0.75</v>
          </cell>
          <cell r="I2331" t="str">
            <v>--</v>
          </cell>
          <cell r="J2331">
            <v>2</v>
          </cell>
          <cell r="K2331">
            <v>2</v>
          </cell>
        </row>
        <row r="2332">
          <cell r="A2332" t="str">
            <v>M2</v>
          </cell>
          <cell r="B2332" t="str">
            <v>A5C</v>
          </cell>
          <cell r="C2332" t="str">
            <v>P</v>
          </cell>
          <cell r="D2332" t="str">
            <v>23164</v>
          </cell>
          <cell r="E2332" t="str">
            <v>90 ELL</v>
          </cell>
          <cell r="F2332">
            <v>2</v>
          </cell>
          <cell r="G2332" t="str">
            <v>CB400100000T00</v>
          </cell>
          <cell r="H2332">
            <v>0.75</v>
          </cell>
          <cell r="I2332" t="str">
            <v>--</v>
          </cell>
          <cell r="J2332">
            <v>2</v>
          </cell>
          <cell r="K2332">
            <v>2</v>
          </cell>
        </row>
        <row r="2333">
          <cell r="A2333" t="str">
            <v>M2</v>
          </cell>
          <cell r="B2333" t="str">
            <v>A5C</v>
          </cell>
          <cell r="C2333" t="str">
            <v>P</v>
          </cell>
          <cell r="D2333" t="str">
            <v>23240</v>
          </cell>
          <cell r="E2333" t="str">
            <v>90 ELL</v>
          </cell>
          <cell r="F2333">
            <v>2</v>
          </cell>
          <cell r="G2333" t="str">
            <v>CB400100000T00</v>
          </cell>
          <cell r="H2333">
            <v>0.75</v>
          </cell>
          <cell r="I2333" t="str">
            <v>--</v>
          </cell>
          <cell r="J2333">
            <v>2</v>
          </cell>
          <cell r="K2333">
            <v>2</v>
          </cell>
        </row>
        <row r="2334">
          <cell r="A2334" t="str">
            <v>M2</v>
          </cell>
          <cell r="B2334" t="str">
            <v>A5C</v>
          </cell>
          <cell r="C2334" t="str">
            <v>P</v>
          </cell>
          <cell r="D2334" t="str">
            <v>24021</v>
          </cell>
          <cell r="E2334" t="str">
            <v>90 ELL</v>
          </cell>
          <cell r="F2334">
            <v>2</v>
          </cell>
          <cell r="G2334" t="str">
            <v>CB400100000T00</v>
          </cell>
          <cell r="H2334">
            <v>0.75</v>
          </cell>
          <cell r="I2334" t="str">
            <v>--</v>
          </cell>
          <cell r="J2334">
            <v>2</v>
          </cell>
          <cell r="K2334">
            <v>2</v>
          </cell>
        </row>
        <row r="2335">
          <cell r="A2335" t="str">
            <v>M2</v>
          </cell>
          <cell r="B2335" t="str">
            <v>A5C</v>
          </cell>
          <cell r="C2335" t="str">
            <v>P</v>
          </cell>
          <cell r="D2335" t="str">
            <v>23148</v>
          </cell>
          <cell r="E2335" t="str">
            <v>CAP</v>
          </cell>
          <cell r="F2335">
            <v>2</v>
          </cell>
          <cell r="G2335" t="str">
            <v>CB520700000T00</v>
          </cell>
          <cell r="H2335">
            <v>0.75</v>
          </cell>
          <cell r="I2335" t="str">
            <v>--</v>
          </cell>
          <cell r="J2335">
            <v>2</v>
          </cell>
          <cell r="K2335">
            <v>2</v>
          </cell>
        </row>
        <row r="2336">
          <cell r="A2336" t="str">
            <v>M2</v>
          </cell>
          <cell r="B2336" t="str">
            <v>A5C</v>
          </cell>
          <cell r="C2336" t="str">
            <v>N</v>
          </cell>
          <cell r="D2336" t="str">
            <v>23620</v>
          </cell>
          <cell r="E2336" t="str">
            <v>CAP</v>
          </cell>
          <cell r="F2336">
            <v>2</v>
          </cell>
          <cell r="G2336" t="str">
            <v>CB520700000T00</v>
          </cell>
          <cell r="H2336">
            <v>0.75</v>
          </cell>
          <cell r="I2336" t="str">
            <v>--</v>
          </cell>
          <cell r="J2336">
            <v>1</v>
          </cell>
          <cell r="K2336">
            <v>1</v>
          </cell>
        </row>
        <row r="2337">
          <cell r="A2337" t="str">
            <v>M2</v>
          </cell>
          <cell r="B2337" t="str">
            <v>A5C</v>
          </cell>
          <cell r="C2337" t="str">
            <v>N</v>
          </cell>
          <cell r="D2337" t="str">
            <v>23621</v>
          </cell>
          <cell r="E2337" t="str">
            <v>CAP</v>
          </cell>
          <cell r="F2337">
            <v>2</v>
          </cell>
          <cell r="G2337" t="str">
            <v>CB520700000T00</v>
          </cell>
          <cell r="H2337">
            <v>0.75</v>
          </cell>
          <cell r="I2337" t="str">
            <v>--</v>
          </cell>
          <cell r="J2337">
            <v>1</v>
          </cell>
          <cell r="K2337">
            <v>1</v>
          </cell>
        </row>
        <row r="2338">
          <cell r="A2338" t="str">
            <v>M2</v>
          </cell>
          <cell r="B2338" t="str">
            <v>A5C</v>
          </cell>
          <cell r="C2338" t="str">
            <v>N</v>
          </cell>
          <cell r="D2338" t="str">
            <v>23632</v>
          </cell>
          <cell r="E2338" t="str">
            <v>CAP</v>
          </cell>
          <cell r="F2338">
            <v>2</v>
          </cell>
          <cell r="G2338" t="str">
            <v>CB520700000T00</v>
          </cell>
          <cell r="H2338">
            <v>0.75</v>
          </cell>
          <cell r="I2338" t="str">
            <v>--</v>
          </cell>
          <cell r="J2338">
            <v>1</v>
          </cell>
          <cell r="K2338">
            <v>1</v>
          </cell>
        </row>
        <row r="2339">
          <cell r="A2339" t="str">
            <v>M2</v>
          </cell>
          <cell r="B2339" t="str">
            <v>A5C</v>
          </cell>
          <cell r="C2339" t="str">
            <v>N</v>
          </cell>
          <cell r="D2339" t="str">
            <v>23634</v>
          </cell>
          <cell r="E2339" t="str">
            <v>CAP</v>
          </cell>
          <cell r="F2339">
            <v>2</v>
          </cell>
          <cell r="G2339" t="str">
            <v>CB520700000T00</v>
          </cell>
          <cell r="H2339">
            <v>0.75</v>
          </cell>
          <cell r="I2339" t="str">
            <v>--</v>
          </cell>
          <cell r="J2339">
            <v>1</v>
          </cell>
          <cell r="K2339">
            <v>1</v>
          </cell>
        </row>
        <row r="2340">
          <cell r="A2340" t="str">
            <v>M2</v>
          </cell>
          <cell r="B2340" t="str">
            <v>A5C</v>
          </cell>
          <cell r="C2340" t="str">
            <v>N</v>
          </cell>
          <cell r="D2340" t="str">
            <v>23642</v>
          </cell>
          <cell r="E2340" t="str">
            <v>CAP</v>
          </cell>
          <cell r="F2340">
            <v>2</v>
          </cell>
          <cell r="G2340" t="str">
            <v>CB520700000T00</v>
          </cell>
          <cell r="H2340">
            <v>0.75</v>
          </cell>
          <cell r="I2340" t="str">
            <v>--</v>
          </cell>
          <cell r="J2340">
            <v>1</v>
          </cell>
          <cell r="K2340">
            <v>1</v>
          </cell>
        </row>
        <row r="2341">
          <cell r="A2341" t="str">
            <v>M2</v>
          </cell>
          <cell r="B2341" t="str">
            <v>A5C</v>
          </cell>
          <cell r="C2341" t="str">
            <v>N</v>
          </cell>
          <cell r="D2341" t="str">
            <v>23636</v>
          </cell>
          <cell r="E2341" t="str">
            <v>CAP</v>
          </cell>
          <cell r="F2341">
            <v>2</v>
          </cell>
          <cell r="G2341" t="str">
            <v>CB520700000T00</v>
          </cell>
          <cell r="H2341">
            <v>0.75</v>
          </cell>
          <cell r="I2341" t="str">
            <v>--</v>
          </cell>
          <cell r="J2341">
            <v>1</v>
          </cell>
          <cell r="K2341">
            <v>1</v>
          </cell>
        </row>
        <row r="2342">
          <cell r="A2342" t="str">
            <v>M2</v>
          </cell>
          <cell r="B2342" t="str">
            <v>A5C</v>
          </cell>
          <cell r="C2342" t="str">
            <v>N</v>
          </cell>
          <cell r="D2342" t="str">
            <v>23639</v>
          </cell>
          <cell r="E2342" t="str">
            <v>CAP</v>
          </cell>
          <cell r="F2342">
            <v>2</v>
          </cell>
          <cell r="G2342" t="str">
            <v>CB520700000T00</v>
          </cell>
          <cell r="H2342">
            <v>0.75</v>
          </cell>
          <cell r="I2342" t="str">
            <v>--</v>
          </cell>
          <cell r="J2342">
            <v>1</v>
          </cell>
          <cell r="K2342">
            <v>1</v>
          </cell>
        </row>
        <row r="2343">
          <cell r="A2343" t="str">
            <v>M2</v>
          </cell>
          <cell r="B2343" t="str">
            <v>A5C</v>
          </cell>
          <cell r="C2343" t="str">
            <v>N</v>
          </cell>
          <cell r="D2343" t="str">
            <v>24611</v>
          </cell>
          <cell r="E2343" t="str">
            <v>CAP</v>
          </cell>
          <cell r="F2343">
            <v>2</v>
          </cell>
          <cell r="G2343" t="str">
            <v>CB520700000T00</v>
          </cell>
          <cell r="H2343">
            <v>0.75</v>
          </cell>
          <cell r="I2343" t="str">
            <v>--</v>
          </cell>
          <cell r="J2343">
            <v>1</v>
          </cell>
          <cell r="K2343">
            <v>1</v>
          </cell>
        </row>
        <row r="2344">
          <cell r="A2344" t="str">
            <v>M2</v>
          </cell>
          <cell r="B2344" t="str">
            <v>A5C</v>
          </cell>
          <cell r="C2344" t="str">
            <v>N</v>
          </cell>
          <cell r="D2344" t="str">
            <v>23646</v>
          </cell>
          <cell r="E2344" t="str">
            <v>CAP</v>
          </cell>
          <cell r="F2344">
            <v>2</v>
          </cell>
          <cell r="G2344" t="str">
            <v>CB520700000T00</v>
          </cell>
          <cell r="H2344">
            <v>0.75</v>
          </cell>
          <cell r="I2344" t="str">
            <v>--</v>
          </cell>
          <cell r="J2344">
            <v>1</v>
          </cell>
          <cell r="K2344">
            <v>1</v>
          </cell>
        </row>
        <row r="2345">
          <cell r="A2345" t="str">
            <v>M2</v>
          </cell>
          <cell r="B2345" t="str">
            <v>A5C</v>
          </cell>
          <cell r="C2345" t="str">
            <v>N</v>
          </cell>
          <cell r="D2345" t="str">
            <v>24613</v>
          </cell>
          <cell r="E2345" t="str">
            <v>CAP</v>
          </cell>
          <cell r="F2345">
            <v>2</v>
          </cell>
          <cell r="G2345" t="str">
            <v>CB520700000T00</v>
          </cell>
          <cell r="H2345">
            <v>0.75</v>
          </cell>
          <cell r="I2345" t="str">
            <v>--</v>
          </cell>
          <cell r="J2345">
            <v>1</v>
          </cell>
          <cell r="K2345">
            <v>1</v>
          </cell>
        </row>
        <row r="2346">
          <cell r="A2346" t="str">
            <v>M2</v>
          </cell>
          <cell r="B2346" t="str">
            <v>A5C</v>
          </cell>
          <cell r="C2346" t="str">
            <v>N</v>
          </cell>
          <cell r="D2346" t="str">
            <v>24614</v>
          </cell>
          <cell r="E2346" t="str">
            <v>CAP</v>
          </cell>
          <cell r="F2346">
            <v>2</v>
          </cell>
          <cell r="G2346" t="str">
            <v>CB520700000T00</v>
          </cell>
          <cell r="H2346">
            <v>0.75</v>
          </cell>
          <cell r="I2346" t="str">
            <v>--</v>
          </cell>
          <cell r="J2346">
            <v>1</v>
          </cell>
          <cell r="K2346">
            <v>1</v>
          </cell>
        </row>
        <row r="2347">
          <cell r="A2347" t="str">
            <v>M2</v>
          </cell>
          <cell r="B2347" t="str">
            <v>A5C</v>
          </cell>
          <cell r="C2347" t="str">
            <v>P</v>
          </cell>
          <cell r="D2347" t="str">
            <v>23006</v>
          </cell>
          <cell r="E2347" t="str">
            <v>CAP</v>
          </cell>
          <cell r="F2347">
            <v>2</v>
          </cell>
          <cell r="G2347" t="str">
            <v>CB520700000T00</v>
          </cell>
          <cell r="H2347">
            <v>0.75</v>
          </cell>
          <cell r="I2347" t="str">
            <v>--</v>
          </cell>
          <cell r="J2347">
            <v>2</v>
          </cell>
          <cell r="K2347">
            <v>2</v>
          </cell>
        </row>
        <row r="2348">
          <cell r="A2348" t="str">
            <v>M2</v>
          </cell>
          <cell r="B2348" t="str">
            <v>A5C</v>
          </cell>
          <cell r="C2348" t="str">
            <v>P</v>
          </cell>
          <cell r="D2348" t="str">
            <v>23037</v>
          </cell>
          <cell r="E2348" t="str">
            <v>CAP</v>
          </cell>
          <cell r="F2348">
            <v>2</v>
          </cell>
          <cell r="G2348" t="str">
            <v>CB520700000T00</v>
          </cell>
          <cell r="H2348">
            <v>0.75</v>
          </cell>
          <cell r="I2348" t="str">
            <v>--</v>
          </cell>
          <cell r="J2348">
            <v>1</v>
          </cell>
          <cell r="K2348">
            <v>1</v>
          </cell>
        </row>
        <row r="2349">
          <cell r="A2349" t="str">
            <v>M2</v>
          </cell>
          <cell r="B2349" t="str">
            <v>A5C</v>
          </cell>
          <cell r="C2349" t="str">
            <v>P</v>
          </cell>
          <cell r="D2349" t="str">
            <v>23035</v>
          </cell>
          <cell r="E2349" t="str">
            <v>CAP</v>
          </cell>
          <cell r="F2349">
            <v>2</v>
          </cell>
          <cell r="G2349" t="str">
            <v>CB520700000T00</v>
          </cell>
          <cell r="H2349">
            <v>0.75</v>
          </cell>
          <cell r="I2349" t="str">
            <v>--</v>
          </cell>
          <cell r="J2349">
            <v>1</v>
          </cell>
          <cell r="K2349">
            <v>1</v>
          </cell>
        </row>
        <row r="2350">
          <cell r="A2350" t="str">
            <v>M2</v>
          </cell>
          <cell r="B2350" t="str">
            <v>A5C</v>
          </cell>
          <cell r="C2350" t="str">
            <v>P</v>
          </cell>
          <cell r="D2350" t="str">
            <v>23052</v>
          </cell>
          <cell r="E2350" t="str">
            <v>CAP</v>
          </cell>
          <cell r="F2350">
            <v>2</v>
          </cell>
          <cell r="G2350" t="str">
            <v>CB520700000T00</v>
          </cell>
          <cell r="H2350">
            <v>0.75</v>
          </cell>
          <cell r="I2350" t="str">
            <v>--</v>
          </cell>
          <cell r="J2350">
            <v>1</v>
          </cell>
          <cell r="K2350">
            <v>1</v>
          </cell>
        </row>
        <row r="2351">
          <cell r="A2351" t="str">
            <v>M2</v>
          </cell>
          <cell r="B2351" t="str">
            <v>A5C</v>
          </cell>
          <cell r="C2351" t="str">
            <v>P</v>
          </cell>
          <cell r="D2351" t="str">
            <v>23063</v>
          </cell>
          <cell r="E2351" t="str">
            <v>CAP</v>
          </cell>
          <cell r="F2351">
            <v>2</v>
          </cell>
          <cell r="G2351" t="str">
            <v>CB520700000T00</v>
          </cell>
          <cell r="H2351">
            <v>0.75</v>
          </cell>
          <cell r="I2351" t="str">
            <v>--</v>
          </cell>
          <cell r="J2351">
            <v>1</v>
          </cell>
          <cell r="K2351">
            <v>1</v>
          </cell>
        </row>
        <row r="2352">
          <cell r="A2352" t="str">
            <v>M2</v>
          </cell>
          <cell r="B2352" t="str">
            <v>A5C</v>
          </cell>
          <cell r="C2352" t="str">
            <v>P</v>
          </cell>
          <cell r="D2352" t="str">
            <v>23078</v>
          </cell>
          <cell r="E2352" t="str">
            <v>CAP</v>
          </cell>
          <cell r="F2352">
            <v>2</v>
          </cell>
          <cell r="G2352" t="str">
            <v>CB520700000T00</v>
          </cell>
          <cell r="H2352">
            <v>0.75</v>
          </cell>
          <cell r="I2352" t="str">
            <v>--</v>
          </cell>
          <cell r="J2352">
            <v>1</v>
          </cell>
          <cell r="K2352">
            <v>1</v>
          </cell>
        </row>
        <row r="2353">
          <cell r="A2353" t="str">
            <v>M2</v>
          </cell>
          <cell r="B2353" t="str">
            <v>A5C</v>
          </cell>
          <cell r="C2353" t="str">
            <v>P</v>
          </cell>
          <cell r="D2353" t="str">
            <v>23081</v>
          </cell>
          <cell r="E2353" t="str">
            <v>CAP</v>
          </cell>
          <cell r="F2353">
            <v>2</v>
          </cell>
          <cell r="G2353" t="str">
            <v>CB520700000T00</v>
          </cell>
          <cell r="H2353">
            <v>0.75</v>
          </cell>
          <cell r="I2353" t="str">
            <v>--</v>
          </cell>
          <cell r="J2353">
            <v>1</v>
          </cell>
          <cell r="K2353">
            <v>1</v>
          </cell>
        </row>
        <row r="2354">
          <cell r="A2354" t="str">
            <v>M2</v>
          </cell>
          <cell r="B2354" t="str">
            <v>A5C</v>
          </cell>
          <cell r="C2354" t="str">
            <v>P</v>
          </cell>
          <cell r="D2354" t="str">
            <v>23082</v>
          </cell>
          <cell r="E2354" t="str">
            <v>CAP</v>
          </cell>
          <cell r="F2354">
            <v>2</v>
          </cell>
          <cell r="G2354" t="str">
            <v>CB520700000T00</v>
          </cell>
          <cell r="H2354">
            <v>0.75</v>
          </cell>
          <cell r="I2354" t="str">
            <v>--</v>
          </cell>
          <cell r="J2354">
            <v>2</v>
          </cell>
          <cell r="K2354">
            <v>2</v>
          </cell>
        </row>
        <row r="2355">
          <cell r="A2355" t="str">
            <v>M2</v>
          </cell>
          <cell r="B2355" t="str">
            <v>A5C</v>
          </cell>
          <cell r="C2355" t="str">
            <v>P</v>
          </cell>
          <cell r="D2355" t="str">
            <v>23083</v>
          </cell>
          <cell r="E2355" t="str">
            <v>CAP</v>
          </cell>
          <cell r="F2355">
            <v>2</v>
          </cell>
          <cell r="G2355" t="str">
            <v>CB520700000T00</v>
          </cell>
          <cell r="H2355">
            <v>0.75</v>
          </cell>
          <cell r="I2355" t="str">
            <v>--</v>
          </cell>
          <cell r="J2355">
            <v>1</v>
          </cell>
          <cell r="K2355">
            <v>1</v>
          </cell>
        </row>
        <row r="2356">
          <cell r="A2356" t="str">
            <v>M2</v>
          </cell>
          <cell r="B2356" t="str">
            <v>A5C</v>
          </cell>
          <cell r="C2356" t="str">
            <v>P</v>
          </cell>
          <cell r="D2356" t="str">
            <v>23085</v>
          </cell>
          <cell r="E2356" t="str">
            <v>CAP</v>
          </cell>
          <cell r="F2356">
            <v>2</v>
          </cell>
          <cell r="G2356" t="str">
            <v>CB520700000T00</v>
          </cell>
          <cell r="H2356">
            <v>0.75</v>
          </cell>
          <cell r="I2356" t="str">
            <v>--</v>
          </cell>
          <cell r="J2356">
            <v>2</v>
          </cell>
          <cell r="K2356">
            <v>2</v>
          </cell>
        </row>
        <row r="2357">
          <cell r="A2357" t="str">
            <v>M2</v>
          </cell>
          <cell r="B2357" t="str">
            <v>A5C</v>
          </cell>
          <cell r="C2357" t="str">
            <v>P</v>
          </cell>
          <cell r="D2357" t="str">
            <v>23094</v>
          </cell>
          <cell r="E2357" t="str">
            <v>CAP</v>
          </cell>
          <cell r="F2357">
            <v>2</v>
          </cell>
          <cell r="G2357" t="str">
            <v>CB520700000T00</v>
          </cell>
          <cell r="H2357">
            <v>0.75</v>
          </cell>
          <cell r="I2357" t="str">
            <v>--</v>
          </cell>
          <cell r="J2357">
            <v>3</v>
          </cell>
          <cell r="K2357">
            <v>3</v>
          </cell>
        </row>
        <row r="2358">
          <cell r="A2358" t="str">
            <v>M2</v>
          </cell>
          <cell r="B2358" t="str">
            <v>A5C</v>
          </cell>
          <cell r="C2358" t="str">
            <v>P</v>
          </cell>
          <cell r="D2358" t="str">
            <v>23096</v>
          </cell>
          <cell r="E2358" t="str">
            <v>CAP</v>
          </cell>
          <cell r="F2358">
            <v>2</v>
          </cell>
          <cell r="G2358" t="str">
            <v>CB520700000T00</v>
          </cell>
          <cell r="H2358">
            <v>0.75</v>
          </cell>
          <cell r="I2358" t="str">
            <v>--</v>
          </cell>
          <cell r="J2358">
            <v>3</v>
          </cell>
          <cell r="K2358">
            <v>3</v>
          </cell>
        </row>
        <row r="2359">
          <cell r="A2359" t="str">
            <v>M2</v>
          </cell>
          <cell r="B2359" t="str">
            <v>A5C</v>
          </cell>
          <cell r="C2359" t="str">
            <v>P</v>
          </cell>
          <cell r="D2359" t="str">
            <v>23104</v>
          </cell>
          <cell r="E2359" t="str">
            <v>CAP</v>
          </cell>
          <cell r="F2359">
            <v>2</v>
          </cell>
          <cell r="G2359" t="str">
            <v>CB520700000T00</v>
          </cell>
          <cell r="H2359">
            <v>0.75</v>
          </cell>
          <cell r="I2359" t="str">
            <v>--</v>
          </cell>
          <cell r="J2359">
            <v>1</v>
          </cell>
          <cell r="K2359">
            <v>1</v>
          </cell>
        </row>
        <row r="2360">
          <cell r="A2360" t="str">
            <v>M2</v>
          </cell>
          <cell r="B2360" t="str">
            <v>A5C</v>
          </cell>
          <cell r="C2360" t="str">
            <v>P</v>
          </cell>
          <cell r="D2360" t="str">
            <v>23103</v>
          </cell>
          <cell r="E2360" t="str">
            <v>CAP</v>
          </cell>
          <cell r="F2360">
            <v>2</v>
          </cell>
          <cell r="G2360" t="str">
            <v>CB520700000T00</v>
          </cell>
          <cell r="H2360">
            <v>0.75</v>
          </cell>
          <cell r="I2360" t="str">
            <v>--</v>
          </cell>
          <cell r="J2360">
            <v>2</v>
          </cell>
          <cell r="K2360">
            <v>2</v>
          </cell>
        </row>
        <row r="2361">
          <cell r="A2361" t="str">
            <v>M2</v>
          </cell>
          <cell r="B2361" t="str">
            <v>A5C</v>
          </cell>
          <cell r="C2361" t="str">
            <v>P</v>
          </cell>
          <cell r="D2361" t="str">
            <v>23104</v>
          </cell>
          <cell r="E2361" t="str">
            <v>CAP</v>
          </cell>
          <cell r="F2361">
            <v>2</v>
          </cell>
          <cell r="G2361" t="str">
            <v>CB520700000T00</v>
          </cell>
          <cell r="H2361">
            <v>0.75</v>
          </cell>
          <cell r="I2361" t="str">
            <v>--</v>
          </cell>
          <cell r="J2361">
            <v>1</v>
          </cell>
          <cell r="K2361">
            <v>1</v>
          </cell>
        </row>
        <row r="2362">
          <cell r="A2362" t="str">
            <v>M2</v>
          </cell>
          <cell r="B2362" t="str">
            <v>A5C</v>
          </cell>
          <cell r="C2362" t="str">
            <v>P</v>
          </cell>
          <cell r="D2362" t="str">
            <v>23108</v>
          </cell>
          <cell r="E2362" t="str">
            <v>CAP</v>
          </cell>
          <cell r="F2362">
            <v>2</v>
          </cell>
          <cell r="G2362" t="str">
            <v>CB520700000T00</v>
          </cell>
          <cell r="H2362">
            <v>0.75</v>
          </cell>
          <cell r="I2362" t="str">
            <v>--</v>
          </cell>
          <cell r="J2362">
            <v>1</v>
          </cell>
          <cell r="K2362">
            <v>1</v>
          </cell>
        </row>
        <row r="2363">
          <cell r="A2363" t="str">
            <v>M2</v>
          </cell>
          <cell r="B2363" t="str">
            <v>A5C</v>
          </cell>
          <cell r="C2363" t="str">
            <v>P</v>
          </cell>
          <cell r="D2363" t="str">
            <v>23108</v>
          </cell>
          <cell r="E2363" t="str">
            <v>CAP</v>
          </cell>
          <cell r="F2363">
            <v>2</v>
          </cell>
          <cell r="G2363" t="str">
            <v>CB520700000T00</v>
          </cell>
          <cell r="H2363">
            <v>0.75</v>
          </cell>
          <cell r="I2363" t="str">
            <v>--</v>
          </cell>
          <cell r="J2363">
            <v>1</v>
          </cell>
          <cell r="K2363">
            <v>1</v>
          </cell>
        </row>
        <row r="2364">
          <cell r="A2364" t="str">
            <v>M2</v>
          </cell>
          <cell r="B2364" t="str">
            <v>A5C</v>
          </cell>
          <cell r="C2364" t="str">
            <v>P</v>
          </cell>
          <cell r="D2364" t="str">
            <v>23111</v>
          </cell>
          <cell r="E2364" t="str">
            <v>CAP</v>
          </cell>
          <cell r="F2364">
            <v>2</v>
          </cell>
          <cell r="G2364" t="str">
            <v>CB520700000T00</v>
          </cell>
          <cell r="H2364">
            <v>0.75</v>
          </cell>
          <cell r="I2364" t="str">
            <v>--</v>
          </cell>
          <cell r="J2364">
            <v>2</v>
          </cell>
          <cell r="K2364">
            <v>2</v>
          </cell>
        </row>
        <row r="2365">
          <cell r="A2365" t="str">
            <v>M2</v>
          </cell>
          <cell r="B2365" t="str">
            <v>A5C</v>
          </cell>
          <cell r="C2365" t="str">
            <v>P</v>
          </cell>
          <cell r="D2365" t="str">
            <v>23112</v>
          </cell>
          <cell r="E2365" t="str">
            <v>CAP</v>
          </cell>
          <cell r="F2365">
            <v>2</v>
          </cell>
          <cell r="G2365" t="str">
            <v>CB520700000T00</v>
          </cell>
          <cell r="H2365">
            <v>0.75</v>
          </cell>
          <cell r="I2365" t="str">
            <v>--</v>
          </cell>
          <cell r="J2365">
            <v>1</v>
          </cell>
          <cell r="K2365">
            <v>1</v>
          </cell>
        </row>
        <row r="2366">
          <cell r="A2366" t="str">
            <v>M2</v>
          </cell>
          <cell r="B2366" t="str">
            <v>A5C</v>
          </cell>
          <cell r="C2366" t="str">
            <v>P</v>
          </cell>
          <cell r="D2366" t="str">
            <v>23112</v>
          </cell>
          <cell r="E2366" t="str">
            <v>CAP</v>
          </cell>
          <cell r="F2366">
            <v>2</v>
          </cell>
          <cell r="G2366" t="str">
            <v>CB520700000T00</v>
          </cell>
          <cell r="H2366">
            <v>0.75</v>
          </cell>
          <cell r="I2366" t="str">
            <v>--</v>
          </cell>
          <cell r="J2366">
            <v>1</v>
          </cell>
          <cell r="K2366">
            <v>1</v>
          </cell>
        </row>
        <row r="2367">
          <cell r="A2367" t="str">
            <v>M2</v>
          </cell>
          <cell r="B2367" t="str">
            <v>A5C</v>
          </cell>
          <cell r="C2367" t="str">
            <v>P</v>
          </cell>
          <cell r="D2367" t="str">
            <v>23113</v>
          </cell>
          <cell r="E2367" t="str">
            <v>CAP</v>
          </cell>
          <cell r="F2367">
            <v>2</v>
          </cell>
          <cell r="G2367" t="str">
            <v>CB520700000T00</v>
          </cell>
          <cell r="H2367">
            <v>0.75</v>
          </cell>
          <cell r="I2367" t="str">
            <v>--</v>
          </cell>
          <cell r="J2367">
            <v>1</v>
          </cell>
          <cell r="K2367">
            <v>1</v>
          </cell>
        </row>
        <row r="2368">
          <cell r="A2368" t="str">
            <v>M2</v>
          </cell>
          <cell r="B2368" t="str">
            <v>A5C</v>
          </cell>
          <cell r="C2368" t="str">
            <v>P</v>
          </cell>
          <cell r="D2368" t="str">
            <v>23116</v>
          </cell>
          <cell r="E2368" t="str">
            <v>CAP</v>
          </cell>
          <cell r="F2368">
            <v>2</v>
          </cell>
          <cell r="G2368" t="str">
            <v>CB520700000T00</v>
          </cell>
          <cell r="H2368">
            <v>0.75</v>
          </cell>
          <cell r="I2368" t="str">
            <v>--</v>
          </cell>
          <cell r="J2368">
            <v>2</v>
          </cell>
          <cell r="K2368">
            <v>2</v>
          </cell>
        </row>
        <row r="2369">
          <cell r="A2369" t="str">
            <v>M2</v>
          </cell>
          <cell r="B2369" t="str">
            <v>A5C</v>
          </cell>
          <cell r="C2369" t="str">
            <v>P</v>
          </cell>
          <cell r="D2369" t="str">
            <v>23121</v>
          </cell>
          <cell r="E2369" t="str">
            <v>CAP</v>
          </cell>
          <cell r="F2369">
            <v>2</v>
          </cell>
          <cell r="G2369" t="str">
            <v>CB520700000T00</v>
          </cell>
          <cell r="H2369">
            <v>0.75</v>
          </cell>
          <cell r="I2369" t="str">
            <v>--</v>
          </cell>
          <cell r="J2369">
            <v>2</v>
          </cell>
          <cell r="K2369">
            <v>2</v>
          </cell>
        </row>
        <row r="2370">
          <cell r="A2370" t="str">
            <v>M2</v>
          </cell>
          <cell r="B2370" t="str">
            <v>A5C</v>
          </cell>
          <cell r="C2370" t="str">
            <v>P</v>
          </cell>
          <cell r="D2370" t="str">
            <v>23122</v>
          </cell>
          <cell r="E2370" t="str">
            <v>CAP</v>
          </cell>
          <cell r="F2370">
            <v>2</v>
          </cell>
          <cell r="G2370" t="str">
            <v>CB520700000T00</v>
          </cell>
          <cell r="H2370">
            <v>0.75</v>
          </cell>
          <cell r="I2370" t="str">
            <v>--</v>
          </cell>
          <cell r="J2370">
            <v>1</v>
          </cell>
          <cell r="K2370">
            <v>1</v>
          </cell>
        </row>
        <row r="2371">
          <cell r="A2371" t="str">
            <v>M2</v>
          </cell>
          <cell r="B2371" t="str">
            <v>A5C</v>
          </cell>
          <cell r="C2371" t="str">
            <v>P</v>
          </cell>
          <cell r="D2371" t="str">
            <v>23135</v>
          </cell>
          <cell r="E2371" t="str">
            <v>CAP</v>
          </cell>
          <cell r="F2371">
            <v>2</v>
          </cell>
          <cell r="G2371" t="str">
            <v>CB520700000T00</v>
          </cell>
          <cell r="H2371">
            <v>0.75</v>
          </cell>
          <cell r="I2371" t="str">
            <v>--</v>
          </cell>
          <cell r="J2371">
            <v>3</v>
          </cell>
          <cell r="K2371">
            <v>3</v>
          </cell>
        </row>
        <row r="2372">
          <cell r="A2372" t="str">
            <v>M2</v>
          </cell>
          <cell r="B2372" t="str">
            <v>A5C</v>
          </cell>
          <cell r="C2372" t="str">
            <v>P</v>
          </cell>
          <cell r="D2372" t="str">
            <v>23141</v>
          </cell>
          <cell r="E2372" t="str">
            <v>CAP</v>
          </cell>
          <cell r="F2372">
            <v>2</v>
          </cell>
          <cell r="G2372" t="str">
            <v>CB520700000T00</v>
          </cell>
          <cell r="H2372">
            <v>0.75</v>
          </cell>
          <cell r="I2372" t="str">
            <v>--</v>
          </cell>
          <cell r="J2372">
            <v>1</v>
          </cell>
          <cell r="K2372">
            <v>1</v>
          </cell>
        </row>
        <row r="2373">
          <cell r="A2373" t="str">
            <v>M2</v>
          </cell>
          <cell r="B2373" t="str">
            <v>A5C</v>
          </cell>
          <cell r="C2373" t="str">
            <v>P</v>
          </cell>
          <cell r="D2373" t="str">
            <v>23144</v>
          </cell>
          <cell r="E2373" t="str">
            <v>CAP</v>
          </cell>
          <cell r="F2373">
            <v>2</v>
          </cell>
          <cell r="G2373" t="str">
            <v>CB520700000T00</v>
          </cell>
          <cell r="H2373">
            <v>0.75</v>
          </cell>
          <cell r="I2373" t="str">
            <v>--</v>
          </cell>
          <cell r="J2373">
            <v>2</v>
          </cell>
          <cell r="K2373">
            <v>2</v>
          </cell>
        </row>
        <row r="2374">
          <cell r="A2374" t="str">
            <v>M2</v>
          </cell>
          <cell r="B2374" t="str">
            <v>A5C</v>
          </cell>
          <cell r="C2374" t="str">
            <v>P</v>
          </cell>
          <cell r="D2374" t="str">
            <v>23152</v>
          </cell>
          <cell r="E2374" t="str">
            <v>CAP</v>
          </cell>
          <cell r="F2374">
            <v>2</v>
          </cell>
          <cell r="G2374" t="str">
            <v>CB520700000T00</v>
          </cell>
          <cell r="H2374">
            <v>0.75</v>
          </cell>
          <cell r="I2374" t="str">
            <v>--</v>
          </cell>
          <cell r="J2374">
            <v>1</v>
          </cell>
          <cell r="K2374">
            <v>1</v>
          </cell>
        </row>
        <row r="2375">
          <cell r="A2375" t="str">
            <v>M2</v>
          </cell>
          <cell r="B2375" t="str">
            <v>A5C</v>
          </cell>
          <cell r="C2375" t="str">
            <v>P</v>
          </cell>
          <cell r="D2375" t="str">
            <v>23160</v>
          </cell>
          <cell r="E2375" t="str">
            <v>CAP</v>
          </cell>
          <cell r="F2375">
            <v>2</v>
          </cell>
          <cell r="G2375" t="str">
            <v>CB520700000T00</v>
          </cell>
          <cell r="H2375">
            <v>0.75</v>
          </cell>
          <cell r="I2375" t="str">
            <v>--</v>
          </cell>
          <cell r="J2375">
            <v>1</v>
          </cell>
          <cell r="K2375">
            <v>1</v>
          </cell>
        </row>
        <row r="2376">
          <cell r="A2376" t="str">
            <v>M2</v>
          </cell>
          <cell r="B2376" t="str">
            <v>A5C</v>
          </cell>
          <cell r="C2376" t="str">
            <v>P</v>
          </cell>
          <cell r="D2376" t="str">
            <v>23174</v>
          </cell>
          <cell r="E2376" t="str">
            <v>CAP</v>
          </cell>
          <cell r="F2376">
            <v>2</v>
          </cell>
          <cell r="G2376" t="str">
            <v>CB520700000T00</v>
          </cell>
          <cell r="H2376">
            <v>0.75</v>
          </cell>
          <cell r="I2376" t="str">
            <v>--</v>
          </cell>
          <cell r="J2376">
            <v>1</v>
          </cell>
          <cell r="K2376">
            <v>1</v>
          </cell>
        </row>
        <row r="2377">
          <cell r="A2377" t="str">
            <v>M2</v>
          </cell>
          <cell r="B2377" t="str">
            <v>A5C</v>
          </cell>
          <cell r="C2377" t="str">
            <v>P</v>
          </cell>
          <cell r="D2377" t="str">
            <v>23181</v>
          </cell>
          <cell r="E2377" t="str">
            <v>CAP</v>
          </cell>
          <cell r="F2377">
            <v>2</v>
          </cell>
          <cell r="G2377" t="str">
            <v>CB520700000T00</v>
          </cell>
          <cell r="H2377">
            <v>0.75</v>
          </cell>
          <cell r="I2377" t="str">
            <v>--</v>
          </cell>
          <cell r="J2377">
            <v>1</v>
          </cell>
          <cell r="K2377">
            <v>1</v>
          </cell>
        </row>
        <row r="2378">
          <cell r="A2378" t="str">
            <v>M2</v>
          </cell>
          <cell r="B2378" t="str">
            <v>A5C</v>
          </cell>
          <cell r="C2378" t="str">
            <v>P</v>
          </cell>
          <cell r="D2378" t="str">
            <v>23188</v>
          </cell>
          <cell r="E2378" t="str">
            <v>CAP</v>
          </cell>
          <cell r="F2378">
            <v>2</v>
          </cell>
          <cell r="G2378" t="str">
            <v>CB520700000T00</v>
          </cell>
          <cell r="H2378">
            <v>0.75</v>
          </cell>
          <cell r="I2378" t="str">
            <v>--</v>
          </cell>
          <cell r="J2378">
            <v>3</v>
          </cell>
          <cell r="K2378">
            <v>3</v>
          </cell>
        </row>
        <row r="2379">
          <cell r="A2379" t="str">
            <v>M2</v>
          </cell>
          <cell r="B2379" t="str">
            <v>A5C</v>
          </cell>
          <cell r="C2379" t="str">
            <v>P</v>
          </cell>
          <cell r="D2379" t="str">
            <v>23192</v>
          </cell>
          <cell r="E2379" t="str">
            <v>CAP</v>
          </cell>
          <cell r="F2379">
            <v>2</v>
          </cell>
          <cell r="G2379" t="str">
            <v>CB520700000T00</v>
          </cell>
          <cell r="H2379">
            <v>0.75</v>
          </cell>
          <cell r="I2379" t="str">
            <v>--</v>
          </cell>
          <cell r="J2379">
            <v>1</v>
          </cell>
          <cell r="K2379">
            <v>1</v>
          </cell>
        </row>
        <row r="2380">
          <cell r="A2380" t="str">
            <v>M2</v>
          </cell>
          <cell r="B2380" t="str">
            <v>A5C</v>
          </cell>
          <cell r="C2380" t="str">
            <v>P</v>
          </cell>
          <cell r="D2380" t="str">
            <v>23213</v>
          </cell>
          <cell r="E2380" t="str">
            <v>CAP</v>
          </cell>
          <cell r="F2380">
            <v>2</v>
          </cell>
          <cell r="G2380" t="str">
            <v>CB520700000T00</v>
          </cell>
          <cell r="H2380">
            <v>0.75</v>
          </cell>
          <cell r="I2380" t="str">
            <v>--</v>
          </cell>
          <cell r="J2380">
            <v>1</v>
          </cell>
          <cell r="K2380">
            <v>1</v>
          </cell>
        </row>
        <row r="2381">
          <cell r="A2381" t="str">
            <v>M2</v>
          </cell>
          <cell r="B2381" t="str">
            <v>A5C</v>
          </cell>
          <cell r="C2381" t="str">
            <v>P</v>
          </cell>
          <cell r="D2381" t="str">
            <v>23214</v>
          </cell>
          <cell r="E2381" t="str">
            <v>CAP</v>
          </cell>
          <cell r="F2381">
            <v>2</v>
          </cell>
          <cell r="G2381" t="str">
            <v>CB520700000T00</v>
          </cell>
          <cell r="H2381">
            <v>0.75</v>
          </cell>
          <cell r="I2381" t="str">
            <v>--</v>
          </cell>
          <cell r="J2381">
            <v>1</v>
          </cell>
          <cell r="K2381">
            <v>1</v>
          </cell>
        </row>
        <row r="2382">
          <cell r="A2382" t="str">
            <v>M2</v>
          </cell>
          <cell r="B2382" t="str">
            <v>A5C</v>
          </cell>
          <cell r="C2382" t="str">
            <v>P</v>
          </cell>
          <cell r="D2382" t="str">
            <v>23226</v>
          </cell>
          <cell r="E2382" t="str">
            <v>CAP</v>
          </cell>
          <cell r="F2382">
            <v>2</v>
          </cell>
          <cell r="G2382" t="str">
            <v>CB520700000T00</v>
          </cell>
          <cell r="H2382">
            <v>0.75</v>
          </cell>
          <cell r="I2382" t="str">
            <v>--</v>
          </cell>
          <cell r="J2382">
            <v>1</v>
          </cell>
          <cell r="K2382">
            <v>1</v>
          </cell>
        </row>
        <row r="2383">
          <cell r="A2383" t="str">
            <v>M2</v>
          </cell>
          <cell r="B2383" t="str">
            <v>A5C</v>
          </cell>
          <cell r="C2383" t="str">
            <v>P</v>
          </cell>
          <cell r="D2383" t="str">
            <v>23231</v>
          </cell>
          <cell r="E2383" t="str">
            <v>CAP</v>
          </cell>
          <cell r="F2383">
            <v>2</v>
          </cell>
          <cell r="G2383" t="str">
            <v>CB520700000T00</v>
          </cell>
          <cell r="H2383">
            <v>0.75</v>
          </cell>
          <cell r="I2383" t="str">
            <v>--</v>
          </cell>
          <cell r="J2383">
            <v>1</v>
          </cell>
          <cell r="K2383">
            <v>1</v>
          </cell>
        </row>
        <row r="2384">
          <cell r="A2384" t="str">
            <v>M2</v>
          </cell>
          <cell r="B2384" t="str">
            <v>A5C</v>
          </cell>
          <cell r="C2384" t="str">
            <v>P</v>
          </cell>
          <cell r="D2384" t="str">
            <v>23232</v>
          </cell>
          <cell r="E2384" t="str">
            <v>CAP</v>
          </cell>
          <cell r="F2384">
            <v>2</v>
          </cell>
          <cell r="G2384" t="str">
            <v>CB520700000T00</v>
          </cell>
          <cell r="H2384">
            <v>0.75</v>
          </cell>
          <cell r="I2384" t="str">
            <v>--</v>
          </cell>
          <cell r="J2384">
            <v>2</v>
          </cell>
          <cell r="K2384">
            <v>2</v>
          </cell>
        </row>
        <row r="2385">
          <cell r="A2385" t="str">
            <v>M2</v>
          </cell>
          <cell r="B2385" t="str">
            <v>A5C</v>
          </cell>
          <cell r="C2385" t="str">
            <v>P</v>
          </cell>
          <cell r="D2385" t="str">
            <v>23229</v>
          </cell>
          <cell r="E2385" t="str">
            <v>CAP</v>
          </cell>
          <cell r="F2385">
            <v>2</v>
          </cell>
          <cell r="G2385" t="str">
            <v>CB520700000T00</v>
          </cell>
          <cell r="H2385">
            <v>0.75</v>
          </cell>
          <cell r="I2385" t="str">
            <v>--</v>
          </cell>
          <cell r="J2385">
            <v>1</v>
          </cell>
          <cell r="K2385">
            <v>1</v>
          </cell>
        </row>
        <row r="2386">
          <cell r="A2386" t="str">
            <v>M2</v>
          </cell>
          <cell r="B2386" t="str">
            <v>A5C</v>
          </cell>
          <cell r="C2386" t="str">
            <v>P</v>
          </cell>
          <cell r="D2386" t="str">
            <v>23245</v>
          </cell>
          <cell r="E2386" t="str">
            <v>CAP</v>
          </cell>
          <cell r="F2386">
            <v>2</v>
          </cell>
          <cell r="G2386" t="str">
            <v>CB520700000T00</v>
          </cell>
          <cell r="H2386">
            <v>0.75</v>
          </cell>
          <cell r="I2386" t="str">
            <v>--</v>
          </cell>
          <cell r="J2386">
            <v>1</v>
          </cell>
          <cell r="K2386">
            <v>1</v>
          </cell>
        </row>
        <row r="2387">
          <cell r="A2387" t="str">
            <v>M2</v>
          </cell>
          <cell r="B2387" t="str">
            <v>A5C</v>
          </cell>
          <cell r="C2387" t="str">
            <v>P</v>
          </cell>
          <cell r="D2387" t="str">
            <v>23247</v>
          </cell>
          <cell r="E2387" t="str">
            <v>CAP</v>
          </cell>
          <cell r="F2387">
            <v>2</v>
          </cell>
          <cell r="G2387" t="str">
            <v>CB520700000T00</v>
          </cell>
          <cell r="H2387">
            <v>0.75</v>
          </cell>
          <cell r="I2387" t="str">
            <v>--</v>
          </cell>
          <cell r="J2387">
            <v>1</v>
          </cell>
          <cell r="K2387">
            <v>1</v>
          </cell>
        </row>
        <row r="2388">
          <cell r="A2388" t="str">
            <v>M2</v>
          </cell>
          <cell r="B2388" t="str">
            <v>A5C</v>
          </cell>
          <cell r="C2388" t="str">
            <v>P</v>
          </cell>
          <cell r="D2388" t="str">
            <v>23248</v>
          </cell>
          <cell r="E2388" t="str">
            <v>CAP</v>
          </cell>
          <cell r="F2388">
            <v>2</v>
          </cell>
          <cell r="G2388" t="str">
            <v>CB520700000T00</v>
          </cell>
          <cell r="H2388">
            <v>0.75</v>
          </cell>
          <cell r="I2388" t="str">
            <v>--</v>
          </cell>
          <cell r="J2388">
            <v>1</v>
          </cell>
          <cell r="K2388">
            <v>1</v>
          </cell>
        </row>
        <row r="2389">
          <cell r="A2389" t="str">
            <v>M2</v>
          </cell>
          <cell r="B2389" t="str">
            <v>A5C</v>
          </cell>
          <cell r="C2389" t="str">
            <v>P</v>
          </cell>
          <cell r="D2389" t="str">
            <v>23251</v>
          </cell>
          <cell r="E2389" t="str">
            <v>CAP</v>
          </cell>
          <cell r="F2389">
            <v>2</v>
          </cell>
          <cell r="G2389" t="str">
            <v>CB520700000T00</v>
          </cell>
          <cell r="H2389">
            <v>0.75</v>
          </cell>
          <cell r="I2389" t="str">
            <v>--</v>
          </cell>
          <cell r="J2389">
            <v>1</v>
          </cell>
          <cell r="K2389">
            <v>1</v>
          </cell>
        </row>
        <row r="2390">
          <cell r="A2390" t="str">
            <v>M2</v>
          </cell>
          <cell r="B2390" t="str">
            <v>A5C</v>
          </cell>
          <cell r="C2390" t="str">
            <v>P</v>
          </cell>
          <cell r="D2390" t="str">
            <v>23252</v>
          </cell>
          <cell r="E2390" t="str">
            <v>CAP</v>
          </cell>
          <cell r="F2390">
            <v>2</v>
          </cell>
          <cell r="G2390" t="str">
            <v>CB520700000T00</v>
          </cell>
          <cell r="H2390">
            <v>0.75</v>
          </cell>
          <cell r="I2390" t="str">
            <v>--</v>
          </cell>
          <cell r="J2390">
            <v>1</v>
          </cell>
          <cell r="K2390">
            <v>1</v>
          </cell>
        </row>
        <row r="2391">
          <cell r="A2391" t="str">
            <v>M2</v>
          </cell>
          <cell r="B2391" t="str">
            <v>A5C</v>
          </cell>
          <cell r="C2391" t="str">
            <v>P</v>
          </cell>
          <cell r="D2391" t="str">
            <v>23254</v>
          </cell>
          <cell r="E2391" t="str">
            <v>CAP</v>
          </cell>
          <cell r="F2391">
            <v>2</v>
          </cell>
          <cell r="G2391" t="str">
            <v>CB520700000T00</v>
          </cell>
          <cell r="H2391">
            <v>0.75</v>
          </cell>
          <cell r="I2391" t="str">
            <v>--</v>
          </cell>
          <cell r="J2391">
            <v>2</v>
          </cell>
          <cell r="K2391">
            <v>2</v>
          </cell>
        </row>
        <row r="2392">
          <cell r="A2392" t="str">
            <v>M2</v>
          </cell>
          <cell r="B2392" t="str">
            <v>A5C</v>
          </cell>
          <cell r="C2392" t="str">
            <v>P</v>
          </cell>
          <cell r="D2392" t="str">
            <v>23258</v>
          </cell>
          <cell r="E2392" t="str">
            <v>CAP</v>
          </cell>
          <cell r="F2392">
            <v>2</v>
          </cell>
          <cell r="G2392" t="str">
            <v>CB520700000T00</v>
          </cell>
          <cell r="H2392">
            <v>0.75</v>
          </cell>
          <cell r="I2392" t="str">
            <v>--</v>
          </cell>
          <cell r="J2392">
            <v>1</v>
          </cell>
          <cell r="K2392">
            <v>1</v>
          </cell>
        </row>
        <row r="2393">
          <cell r="A2393" t="str">
            <v>M2</v>
          </cell>
          <cell r="B2393" t="str">
            <v>A5C</v>
          </cell>
          <cell r="C2393" t="str">
            <v>P</v>
          </cell>
          <cell r="D2393" t="str">
            <v>24020</v>
          </cell>
          <cell r="E2393" t="str">
            <v>CAP</v>
          </cell>
          <cell r="F2393">
            <v>2</v>
          </cell>
          <cell r="G2393" t="str">
            <v>CB520700000T00</v>
          </cell>
          <cell r="H2393">
            <v>0.75</v>
          </cell>
          <cell r="I2393" t="str">
            <v>--</v>
          </cell>
          <cell r="J2393">
            <v>1</v>
          </cell>
          <cell r="K2393">
            <v>1</v>
          </cell>
        </row>
        <row r="2394">
          <cell r="A2394" t="str">
            <v>M2</v>
          </cell>
          <cell r="B2394" t="str">
            <v>A5C</v>
          </cell>
          <cell r="C2394" t="str">
            <v>P</v>
          </cell>
          <cell r="D2394" t="str">
            <v>24024</v>
          </cell>
          <cell r="E2394" t="str">
            <v>CAP</v>
          </cell>
          <cell r="F2394">
            <v>2</v>
          </cell>
          <cell r="G2394" t="str">
            <v>CB520700000T00</v>
          </cell>
          <cell r="H2394">
            <v>0.75</v>
          </cell>
          <cell r="I2394" t="str">
            <v>--</v>
          </cell>
          <cell r="J2394">
            <v>2</v>
          </cell>
          <cell r="K2394">
            <v>2</v>
          </cell>
        </row>
        <row r="2395">
          <cell r="A2395" t="str">
            <v>M2</v>
          </cell>
          <cell r="B2395" t="str">
            <v>A5C</v>
          </cell>
          <cell r="C2395" t="str">
            <v>TRIM</v>
          </cell>
          <cell r="D2395" t="str">
            <v>V-2315</v>
          </cell>
          <cell r="E2395" t="str">
            <v>CAP</v>
          </cell>
          <cell r="F2395">
            <v>2</v>
          </cell>
          <cell r="G2395" t="str">
            <v>CB520700000T00</v>
          </cell>
          <cell r="H2395">
            <v>0.75</v>
          </cell>
          <cell r="I2395" t="str">
            <v>--</v>
          </cell>
          <cell r="J2395">
            <v>2</v>
          </cell>
          <cell r="K2395">
            <v>2</v>
          </cell>
        </row>
        <row r="2396">
          <cell r="A2396" t="str">
            <v>M2</v>
          </cell>
          <cell r="B2396" t="str">
            <v>A5C</v>
          </cell>
          <cell r="C2396" t="str">
            <v>TRIM</v>
          </cell>
          <cell r="D2396" t="str">
            <v>V-2316</v>
          </cell>
          <cell r="E2396" t="str">
            <v>CAP</v>
          </cell>
          <cell r="F2396">
            <v>2</v>
          </cell>
          <cell r="G2396" t="str">
            <v>CB520700000T00</v>
          </cell>
          <cell r="H2396">
            <v>0.75</v>
          </cell>
          <cell r="I2396" t="str">
            <v>--</v>
          </cell>
          <cell r="J2396">
            <v>2</v>
          </cell>
          <cell r="K2396">
            <v>2</v>
          </cell>
        </row>
        <row r="2397">
          <cell r="A2397" t="str">
            <v>M2</v>
          </cell>
          <cell r="B2397" t="str">
            <v>A5C</v>
          </cell>
          <cell r="C2397" t="str">
            <v>TRIM</v>
          </cell>
          <cell r="D2397" t="str">
            <v>V-2317</v>
          </cell>
          <cell r="E2397" t="str">
            <v>CAP</v>
          </cell>
          <cell r="F2397">
            <v>2</v>
          </cell>
          <cell r="G2397" t="str">
            <v>CB520700000T00</v>
          </cell>
          <cell r="H2397">
            <v>0.75</v>
          </cell>
          <cell r="I2397" t="str">
            <v>--</v>
          </cell>
          <cell r="J2397">
            <v>2</v>
          </cell>
          <cell r="K2397">
            <v>2</v>
          </cell>
        </row>
        <row r="2398">
          <cell r="A2398" t="str">
            <v>M2</v>
          </cell>
          <cell r="B2398" t="str">
            <v>A5C</v>
          </cell>
          <cell r="C2398" t="str">
            <v>TRIM</v>
          </cell>
          <cell r="D2398" t="str">
            <v>V-2319</v>
          </cell>
          <cell r="E2398" t="str">
            <v>CAP</v>
          </cell>
          <cell r="F2398">
            <v>2</v>
          </cell>
          <cell r="G2398" t="str">
            <v>CB520700000T00</v>
          </cell>
          <cell r="H2398">
            <v>0.75</v>
          </cell>
          <cell r="I2398" t="str">
            <v>--</v>
          </cell>
          <cell r="J2398">
            <v>2</v>
          </cell>
          <cell r="K2398">
            <v>2</v>
          </cell>
        </row>
        <row r="2399">
          <cell r="A2399" t="str">
            <v>M2</v>
          </cell>
          <cell r="B2399" t="str">
            <v>A5C</v>
          </cell>
          <cell r="C2399" t="str">
            <v>TRIM</v>
          </cell>
          <cell r="D2399" t="str">
            <v>V-2320</v>
          </cell>
          <cell r="E2399" t="str">
            <v>CAP</v>
          </cell>
          <cell r="F2399">
            <v>2</v>
          </cell>
          <cell r="G2399" t="str">
            <v>CB520700000T00</v>
          </cell>
          <cell r="H2399">
            <v>0.75</v>
          </cell>
          <cell r="I2399" t="str">
            <v>--</v>
          </cell>
          <cell r="J2399">
            <v>2</v>
          </cell>
          <cell r="K2399">
            <v>2</v>
          </cell>
        </row>
        <row r="2400">
          <cell r="A2400" t="str">
            <v>M2</v>
          </cell>
          <cell r="B2400" t="str">
            <v>A5C</v>
          </cell>
          <cell r="C2400" t="str">
            <v>TRIM</v>
          </cell>
          <cell r="D2400" t="str">
            <v>V-2321</v>
          </cell>
          <cell r="E2400" t="str">
            <v>CAP</v>
          </cell>
          <cell r="F2400">
            <v>2</v>
          </cell>
          <cell r="G2400" t="str">
            <v>CB520700000T00</v>
          </cell>
          <cell r="H2400">
            <v>0.75</v>
          </cell>
          <cell r="I2400" t="str">
            <v>--</v>
          </cell>
          <cell r="J2400">
            <v>2</v>
          </cell>
          <cell r="K2400">
            <v>2</v>
          </cell>
        </row>
        <row r="2401">
          <cell r="A2401" t="str">
            <v>M2</v>
          </cell>
          <cell r="B2401" t="str">
            <v>A5C</v>
          </cell>
          <cell r="C2401" t="str">
            <v>TRIM</v>
          </cell>
          <cell r="D2401" t="str">
            <v>V-2318</v>
          </cell>
          <cell r="E2401" t="str">
            <v>CAP</v>
          </cell>
          <cell r="F2401">
            <v>2</v>
          </cell>
          <cell r="G2401" t="str">
            <v>CB520700000T00</v>
          </cell>
          <cell r="H2401">
            <v>0.75</v>
          </cell>
          <cell r="I2401" t="str">
            <v>--</v>
          </cell>
          <cell r="J2401">
            <v>2</v>
          </cell>
          <cell r="K2401">
            <v>2</v>
          </cell>
        </row>
        <row r="2402">
          <cell r="A2402" t="str">
            <v>M2</v>
          </cell>
          <cell r="B2402" t="str">
            <v>A5C</v>
          </cell>
          <cell r="C2402" t="str">
            <v>TRIM</v>
          </cell>
          <cell r="D2402" t="str">
            <v>V-2323</v>
          </cell>
          <cell r="E2402" t="str">
            <v>CAP</v>
          </cell>
          <cell r="F2402">
            <v>2</v>
          </cell>
          <cell r="G2402" t="str">
            <v>CB520700000T00</v>
          </cell>
          <cell r="H2402">
            <v>0.75</v>
          </cell>
          <cell r="I2402" t="str">
            <v>--</v>
          </cell>
          <cell r="J2402">
            <v>2</v>
          </cell>
          <cell r="K2402">
            <v>2</v>
          </cell>
        </row>
        <row r="2403">
          <cell r="A2403" t="str">
            <v>M2</v>
          </cell>
          <cell r="B2403" t="str">
            <v>A5C</v>
          </cell>
          <cell r="C2403" t="str">
            <v>TRIM</v>
          </cell>
          <cell r="D2403" t="str">
            <v>V-2333</v>
          </cell>
          <cell r="E2403" t="str">
            <v>CAP</v>
          </cell>
          <cell r="F2403">
            <v>2</v>
          </cell>
          <cell r="G2403" t="str">
            <v>CB520700000T00</v>
          </cell>
          <cell r="H2403">
            <v>0.75</v>
          </cell>
          <cell r="I2403" t="str">
            <v>--</v>
          </cell>
          <cell r="J2403">
            <v>2</v>
          </cell>
          <cell r="K2403">
            <v>2</v>
          </cell>
        </row>
        <row r="2404">
          <cell r="A2404" t="str">
            <v>M2</v>
          </cell>
          <cell r="B2404" t="str">
            <v>A5C</v>
          </cell>
          <cell r="C2404" t="str">
            <v>TRIM</v>
          </cell>
          <cell r="D2404" t="str">
            <v>V-2327</v>
          </cell>
          <cell r="E2404" t="str">
            <v>CAP</v>
          </cell>
          <cell r="F2404">
            <v>2</v>
          </cell>
          <cell r="G2404" t="str">
            <v>CB520700000T00</v>
          </cell>
          <cell r="H2404">
            <v>0.75</v>
          </cell>
          <cell r="I2404" t="str">
            <v>--</v>
          </cell>
          <cell r="J2404">
            <v>2</v>
          </cell>
          <cell r="K2404">
            <v>2</v>
          </cell>
        </row>
        <row r="2405">
          <cell r="A2405" t="str">
            <v>M2</v>
          </cell>
          <cell r="B2405" t="str">
            <v>A5C</v>
          </cell>
          <cell r="C2405" t="str">
            <v>TRIM</v>
          </cell>
          <cell r="D2405" t="str">
            <v>V-2332</v>
          </cell>
          <cell r="E2405" t="str">
            <v>CAP</v>
          </cell>
          <cell r="F2405">
            <v>2</v>
          </cell>
          <cell r="G2405" t="str">
            <v>CB520700000T00</v>
          </cell>
          <cell r="H2405">
            <v>0.75</v>
          </cell>
          <cell r="I2405" t="str">
            <v>--</v>
          </cell>
          <cell r="J2405">
            <v>2</v>
          </cell>
          <cell r="K2405">
            <v>2</v>
          </cell>
        </row>
        <row r="2406">
          <cell r="A2406" t="str">
            <v>M2</v>
          </cell>
          <cell r="B2406" t="str">
            <v>A5C</v>
          </cell>
          <cell r="C2406" t="str">
            <v>N</v>
          </cell>
          <cell r="D2406" t="str">
            <v>23613</v>
          </cell>
          <cell r="E2406" t="str">
            <v>CAP</v>
          </cell>
          <cell r="F2406">
            <v>2</v>
          </cell>
          <cell r="G2406" t="str">
            <v>CB520700000T00</v>
          </cell>
          <cell r="H2406">
            <v>0.75</v>
          </cell>
          <cell r="I2406" t="str">
            <v>--</v>
          </cell>
          <cell r="J2406">
            <v>1</v>
          </cell>
          <cell r="K2406">
            <v>1</v>
          </cell>
        </row>
        <row r="2407">
          <cell r="A2407" t="str">
            <v>M2</v>
          </cell>
          <cell r="B2407" t="str">
            <v>A5C</v>
          </cell>
          <cell r="C2407" t="str">
            <v>N</v>
          </cell>
          <cell r="D2407" t="str">
            <v>23619</v>
          </cell>
          <cell r="E2407" t="str">
            <v>CAP</v>
          </cell>
          <cell r="F2407">
            <v>2</v>
          </cell>
          <cell r="G2407" t="str">
            <v>CB520700000T00</v>
          </cell>
          <cell r="H2407">
            <v>0.75</v>
          </cell>
          <cell r="I2407" t="str">
            <v>--</v>
          </cell>
          <cell r="J2407">
            <v>1</v>
          </cell>
          <cell r="K2407">
            <v>1</v>
          </cell>
        </row>
        <row r="2408">
          <cell r="A2408" t="str">
            <v>M2</v>
          </cell>
          <cell r="B2408" t="str">
            <v>A5C</v>
          </cell>
          <cell r="C2408" t="str">
            <v>N</v>
          </cell>
          <cell r="D2408" t="str">
            <v>23637</v>
          </cell>
          <cell r="E2408" t="str">
            <v>CAP</v>
          </cell>
          <cell r="F2408">
            <v>2</v>
          </cell>
          <cell r="G2408" t="str">
            <v>CB520700000T00</v>
          </cell>
          <cell r="H2408">
            <v>0.75</v>
          </cell>
          <cell r="I2408" t="str">
            <v>--</v>
          </cell>
          <cell r="J2408">
            <v>1</v>
          </cell>
          <cell r="K2408">
            <v>1</v>
          </cell>
        </row>
        <row r="2409">
          <cell r="A2409" t="str">
            <v>M2</v>
          </cell>
          <cell r="B2409" t="str">
            <v>A5C</v>
          </cell>
          <cell r="C2409" t="str">
            <v>N</v>
          </cell>
          <cell r="D2409" t="str">
            <v>23638</v>
          </cell>
          <cell r="E2409" t="str">
            <v>CAP</v>
          </cell>
          <cell r="F2409">
            <v>2</v>
          </cell>
          <cell r="G2409" t="str">
            <v>CB520700000T00</v>
          </cell>
          <cell r="H2409">
            <v>0.75</v>
          </cell>
          <cell r="I2409" t="str">
            <v>--</v>
          </cell>
          <cell r="J2409">
            <v>1</v>
          </cell>
          <cell r="K2409">
            <v>1</v>
          </cell>
        </row>
        <row r="2410">
          <cell r="A2410" t="str">
            <v>M2</v>
          </cell>
          <cell r="B2410" t="str">
            <v>A5C</v>
          </cell>
          <cell r="C2410" t="str">
            <v>N</v>
          </cell>
          <cell r="D2410" t="str">
            <v>23640</v>
          </cell>
          <cell r="E2410" t="str">
            <v>CAP</v>
          </cell>
          <cell r="F2410">
            <v>2</v>
          </cell>
          <cell r="G2410" t="str">
            <v>CB520700000T00</v>
          </cell>
          <cell r="H2410">
            <v>0.75</v>
          </cell>
          <cell r="I2410" t="str">
            <v>--</v>
          </cell>
          <cell r="J2410">
            <v>1</v>
          </cell>
          <cell r="K2410">
            <v>1</v>
          </cell>
        </row>
        <row r="2411">
          <cell r="A2411" t="str">
            <v>M2</v>
          </cell>
          <cell r="B2411" t="str">
            <v>A5C</v>
          </cell>
          <cell r="C2411" t="str">
            <v>N</v>
          </cell>
          <cell r="D2411" t="str">
            <v>24612</v>
          </cell>
          <cell r="E2411" t="str">
            <v>CAP</v>
          </cell>
          <cell r="F2411">
            <v>2</v>
          </cell>
          <cell r="G2411" t="str">
            <v>CB520700000T00</v>
          </cell>
          <cell r="H2411">
            <v>0.75</v>
          </cell>
          <cell r="I2411" t="str">
            <v>--</v>
          </cell>
          <cell r="J2411">
            <v>1</v>
          </cell>
          <cell r="K2411">
            <v>1</v>
          </cell>
        </row>
        <row r="2412">
          <cell r="A2412" t="str">
            <v>M2</v>
          </cell>
          <cell r="B2412" t="str">
            <v>A5C</v>
          </cell>
          <cell r="C2412" t="str">
            <v>P</v>
          </cell>
          <cell r="D2412" t="str">
            <v>23035</v>
          </cell>
          <cell r="E2412" t="str">
            <v>CAP</v>
          </cell>
          <cell r="F2412">
            <v>2</v>
          </cell>
          <cell r="G2412" t="str">
            <v>CB520700000T00</v>
          </cell>
          <cell r="H2412">
            <v>0.75</v>
          </cell>
          <cell r="I2412" t="str">
            <v>--</v>
          </cell>
          <cell r="J2412">
            <v>2</v>
          </cell>
          <cell r="K2412">
            <v>2</v>
          </cell>
        </row>
        <row r="2413">
          <cell r="A2413" t="str">
            <v>M2</v>
          </cell>
          <cell r="B2413" t="str">
            <v>A5C</v>
          </cell>
          <cell r="C2413" t="str">
            <v>P</v>
          </cell>
          <cell r="D2413" t="str">
            <v>23107</v>
          </cell>
          <cell r="E2413" t="str">
            <v>CAP</v>
          </cell>
          <cell r="F2413">
            <v>2</v>
          </cell>
          <cell r="G2413" t="str">
            <v>CB520700000T00</v>
          </cell>
          <cell r="H2413">
            <v>0.75</v>
          </cell>
          <cell r="I2413" t="str">
            <v>--</v>
          </cell>
          <cell r="J2413">
            <v>2</v>
          </cell>
          <cell r="K2413">
            <v>2</v>
          </cell>
        </row>
        <row r="2414">
          <cell r="A2414" t="str">
            <v>M2</v>
          </cell>
          <cell r="B2414" t="str">
            <v>A5C</v>
          </cell>
          <cell r="C2414" t="str">
            <v>P</v>
          </cell>
          <cell r="D2414" t="str">
            <v>23124</v>
          </cell>
          <cell r="E2414" t="str">
            <v>CAP</v>
          </cell>
          <cell r="F2414">
            <v>2</v>
          </cell>
          <cell r="G2414" t="str">
            <v>CB520700000T00</v>
          </cell>
          <cell r="H2414">
            <v>0.75</v>
          </cell>
          <cell r="I2414" t="str">
            <v>--</v>
          </cell>
          <cell r="J2414">
            <v>2</v>
          </cell>
          <cell r="K2414">
            <v>2</v>
          </cell>
        </row>
        <row r="2415">
          <cell r="A2415" t="str">
            <v>M2</v>
          </cell>
          <cell r="B2415" t="str">
            <v>A5C</v>
          </cell>
          <cell r="C2415" t="str">
            <v>P</v>
          </cell>
          <cell r="D2415" t="str">
            <v>23212</v>
          </cell>
          <cell r="E2415" t="str">
            <v>CAP</v>
          </cell>
          <cell r="F2415">
            <v>2</v>
          </cell>
          <cell r="G2415" t="str">
            <v>CB520700000T00</v>
          </cell>
          <cell r="H2415">
            <v>0.75</v>
          </cell>
          <cell r="I2415" t="str">
            <v>--</v>
          </cell>
          <cell r="J2415">
            <v>1</v>
          </cell>
          <cell r="K2415">
            <v>1</v>
          </cell>
        </row>
        <row r="2416">
          <cell r="A2416" t="str">
            <v>M2</v>
          </cell>
          <cell r="B2416" t="str">
            <v>A5C</v>
          </cell>
          <cell r="C2416" t="str">
            <v>P</v>
          </cell>
          <cell r="D2416" t="str">
            <v>23230</v>
          </cell>
          <cell r="E2416" t="str">
            <v>CAP</v>
          </cell>
          <cell r="F2416">
            <v>2</v>
          </cell>
          <cell r="G2416" t="str">
            <v>CB520700000T00</v>
          </cell>
          <cell r="H2416">
            <v>0.75</v>
          </cell>
          <cell r="I2416" t="str">
            <v>--</v>
          </cell>
          <cell r="J2416">
            <v>1</v>
          </cell>
          <cell r="K2416">
            <v>1</v>
          </cell>
        </row>
        <row r="2417">
          <cell r="A2417" t="str">
            <v>M2</v>
          </cell>
          <cell r="B2417" t="str">
            <v>A5C</v>
          </cell>
          <cell r="C2417" t="str">
            <v>P</v>
          </cell>
          <cell r="D2417" t="str">
            <v>23253</v>
          </cell>
          <cell r="E2417" t="str">
            <v>CAP</v>
          </cell>
          <cell r="F2417">
            <v>2</v>
          </cell>
          <cell r="G2417" t="str">
            <v>CB520700000T00</v>
          </cell>
          <cell r="H2417">
            <v>0.75</v>
          </cell>
          <cell r="I2417" t="str">
            <v>--</v>
          </cell>
          <cell r="J2417">
            <v>1</v>
          </cell>
          <cell r="K2417">
            <v>1</v>
          </cell>
        </row>
        <row r="2418">
          <cell r="A2418" t="str">
            <v>M2</v>
          </cell>
          <cell r="B2418" t="str">
            <v>A5C</v>
          </cell>
          <cell r="C2418" t="str">
            <v>P</v>
          </cell>
          <cell r="D2418" t="str">
            <v>24006</v>
          </cell>
          <cell r="E2418" t="str">
            <v>CAP</v>
          </cell>
          <cell r="F2418">
            <v>2</v>
          </cell>
          <cell r="G2418" t="str">
            <v>CB520700000T00</v>
          </cell>
          <cell r="H2418">
            <v>0.75</v>
          </cell>
          <cell r="I2418" t="str">
            <v>--</v>
          </cell>
          <cell r="J2418">
            <v>1</v>
          </cell>
          <cell r="K2418">
            <v>1</v>
          </cell>
        </row>
        <row r="2419">
          <cell r="A2419" t="str">
            <v>M2</v>
          </cell>
          <cell r="B2419" t="str">
            <v>A5C</v>
          </cell>
          <cell r="C2419" t="str">
            <v>P</v>
          </cell>
          <cell r="D2419" t="str">
            <v>24007</v>
          </cell>
          <cell r="E2419" t="str">
            <v>CAP</v>
          </cell>
          <cell r="F2419">
            <v>2</v>
          </cell>
          <cell r="G2419" t="str">
            <v>CB520700000T00</v>
          </cell>
          <cell r="H2419">
            <v>0.75</v>
          </cell>
          <cell r="I2419" t="str">
            <v>--</v>
          </cell>
          <cell r="J2419">
            <v>1</v>
          </cell>
          <cell r="K2419">
            <v>1</v>
          </cell>
        </row>
        <row r="2420">
          <cell r="A2420" t="str">
            <v>M2</v>
          </cell>
          <cell r="B2420" t="str">
            <v>A5C</v>
          </cell>
          <cell r="C2420" t="str">
            <v>P</v>
          </cell>
          <cell r="D2420" t="str">
            <v>24008</v>
          </cell>
          <cell r="E2420" t="str">
            <v>CAP</v>
          </cell>
          <cell r="F2420">
            <v>2</v>
          </cell>
          <cell r="G2420" t="str">
            <v>CB520700000T00</v>
          </cell>
          <cell r="H2420">
            <v>0.75</v>
          </cell>
          <cell r="I2420" t="str">
            <v>--</v>
          </cell>
          <cell r="J2420">
            <v>2</v>
          </cell>
          <cell r="K2420">
            <v>2</v>
          </cell>
        </row>
        <row r="2421">
          <cell r="A2421" t="str">
            <v>M2</v>
          </cell>
          <cell r="B2421" t="str">
            <v>A5C</v>
          </cell>
          <cell r="C2421" t="str">
            <v>P</v>
          </cell>
          <cell r="D2421" t="str">
            <v>99003</v>
          </cell>
          <cell r="E2421" t="str">
            <v>CAP</v>
          </cell>
          <cell r="F2421">
            <v>2</v>
          </cell>
          <cell r="G2421" t="str">
            <v>CB520700000T00</v>
          </cell>
          <cell r="H2421">
            <v>0.75</v>
          </cell>
          <cell r="I2421" t="str">
            <v>--</v>
          </cell>
          <cell r="J2421">
            <v>2</v>
          </cell>
          <cell r="K2421">
            <v>2</v>
          </cell>
        </row>
        <row r="2422">
          <cell r="A2422" t="str">
            <v>M2</v>
          </cell>
          <cell r="B2422" t="str">
            <v>A5C</v>
          </cell>
          <cell r="C2422" t="str">
            <v>P</v>
          </cell>
          <cell r="D2422" t="str">
            <v>99003</v>
          </cell>
          <cell r="E2422" t="str">
            <v>CAP</v>
          </cell>
          <cell r="F2422">
            <v>2</v>
          </cell>
          <cell r="G2422" t="str">
            <v>CB520700000T00</v>
          </cell>
          <cell r="H2422">
            <v>0.75</v>
          </cell>
          <cell r="I2422" t="str">
            <v>--</v>
          </cell>
          <cell r="J2422">
            <v>1</v>
          </cell>
          <cell r="K2422">
            <v>1</v>
          </cell>
        </row>
        <row r="2423">
          <cell r="A2423" t="str">
            <v>M2</v>
          </cell>
          <cell r="B2423" t="str">
            <v>A5C</v>
          </cell>
          <cell r="C2423" t="str">
            <v>TRIM</v>
          </cell>
          <cell r="D2423" t="str">
            <v>V-2301</v>
          </cell>
          <cell r="E2423" t="str">
            <v>CAP</v>
          </cell>
          <cell r="F2423">
            <v>2</v>
          </cell>
          <cell r="G2423" t="str">
            <v>CB520700000T00</v>
          </cell>
          <cell r="H2423">
            <v>0.75</v>
          </cell>
          <cell r="I2423" t="str">
            <v>--</v>
          </cell>
          <cell r="J2423">
            <v>2</v>
          </cell>
          <cell r="K2423">
            <v>2</v>
          </cell>
        </row>
        <row r="2424">
          <cell r="A2424" t="str">
            <v>M2</v>
          </cell>
          <cell r="B2424" t="str">
            <v>A5C</v>
          </cell>
          <cell r="C2424" t="str">
            <v>TRIM</v>
          </cell>
          <cell r="D2424" t="str">
            <v>V-2324</v>
          </cell>
          <cell r="E2424" t="str">
            <v>CAP</v>
          </cell>
          <cell r="F2424">
            <v>2</v>
          </cell>
          <cell r="G2424" t="str">
            <v>CB520700000T00</v>
          </cell>
          <cell r="H2424">
            <v>0.75</v>
          </cell>
          <cell r="I2424" t="str">
            <v>--</v>
          </cell>
          <cell r="J2424">
            <v>2</v>
          </cell>
          <cell r="K2424">
            <v>2</v>
          </cell>
        </row>
        <row r="2425">
          <cell r="A2425" t="str">
            <v>M2</v>
          </cell>
          <cell r="B2425" t="str">
            <v>A5C</v>
          </cell>
          <cell r="C2425" t="str">
            <v>TRIM</v>
          </cell>
          <cell r="D2425" t="str">
            <v>V-2326</v>
          </cell>
          <cell r="E2425" t="str">
            <v>CAP</v>
          </cell>
          <cell r="F2425">
            <v>2</v>
          </cell>
          <cell r="G2425" t="str">
            <v>CB520700000T00</v>
          </cell>
          <cell r="H2425">
            <v>0.75</v>
          </cell>
          <cell r="I2425" t="str">
            <v>--</v>
          </cell>
          <cell r="J2425">
            <v>2</v>
          </cell>
          <cell r="K2425">
            <v>2</v>
          </cell>
        </row>
        <row r="2426">
          <cell r="A2426" t="str">
            <v>M2</v>
          </cell>
          <cell r="B2426" t="str">
            <v>A5C</v>
          </cell>
          <cell r="C2426" t="str">
            <v>TRIM</v>
          </cell>
          <cell r="D2426" t="str">
            <v>V-2328</v>
          </cell>
          <cell r="E2426" t="str">
            <v>CAP</v>
          </cell>
          <cell r="F2426">
            <v>2</v>
          </cell>
          <cell r="G2426" t="str">
            <v>CB520700000T00</v>
          </cell>
          <cell r="H2426">
            <v>0.75</v>
          </cell>
          <cell r="I2426" t="str">
            <v>--</v>
          </cell>
          <cell r="J2426">
            <v>2</v>
          </cell>
          <cell r="K2426">
            <v>2</v>
          </cell>
        </row>
        <row r="2427">
          <cell r="A2427" t="str">
            <v>M2</v>
          </cell>
          <cell r="B2427" t="str">
            <v>A5C</v>
          </cell>
          <cell r="C2427" t="str">
            <v>TRIM</v>
          </cell>
          <cell r="D2427" t="str">
            <v>V-2329</v>
          </cell>
          <cell r="E2427" t="str">
            <v>CAP</v>
          </cell>
          <cell r="F2427">
            <v>2</v>
          </cell>
          <cell r="G2427" t="str">
            <v>CB520700000T00</v>
          </cell>
          <cell r="H2427">
            <v>0.75</v>
          </cell>
          <cell r="I2427" t="str">
            <v>--</v>
          </cell>
          <cell r="J2427">
            <v>2</v>
          </cell>
          <cell r="K2427">
            <v>2</v>
          </cell>
        </row>
        <row r="2428">
          <cell r="A2428" t="str">
            <v>M2</v>
          </cell>
          <cell r="B2428" t="str">
            <v>A5C</v>
          </cell>
          <cell r="C2428" t="str">
            <v>TRIM</v>
          </cell>
          <cell r="D2428" t="str">
            <v>V-2330</v>
          </cell>
          <cell r="E2428" t="str">
            <v>CAP</v>
          </cell>
          <cell r="F2428">
            <v>2</v>
          </cell>
          <cell r="G2428" t="str">
            <v>CB520700000T00</v>
          </cell>
          <cell r="H2428">
            <v>0.75</v>
          </cell>
          <cell r="I2428" t="str">
            <v>--</v>
          </cell>
          <cell r="J2428">
            <v>2</v>
          </cell>
          <cell r="K2428">
            <v>2</v>
          </cell>
        </row>
        <row r="2429">
          <cell r="A2429" t="str">
            <v>M2</v>
          </cell>
          <cell r="B2429" t="str">
            <v>A5C</v>
          </cell>
          <cell r="C2429" t="str">
            <v>TRIM</v>
          </cell>
          <cell r="D2429" t="str">
            <v>V-2331</v>
          </cell>
          <cell r="E2429" t="str">
            <v>CAP</v>
          </cell>
          <cell r="F2429">
            <v>2</v>
          </cell>
          <cell r="G2429" t="str">
            <v>CB520700000T00</v>
          </cell>
          <cell r="H2429">
            <v>0.75</v>
          </cell>
          <cell r="I2429" t="str">
            <v>--</v>
          </cell>
          <cell r="J2429">
            <v>2</v>
          </cell>
          <cell r="K2429">
            <v>2</v>
          </cell>
        </row>
        <row r="2430">
          <cell r="A2430" t="str">
            <v>M2</v>
          </cell>
          <cell r="B2430" t="str">
            <v>A5C</v>
          </cell>
          <cell r="C2430" t="str">
            <v>TRIM</v>
          </cell>
          <cell r="D2430" t="str">
            <v>V-2351</v>
          </cell>
          <cell r="E2430" t="str">
            <v>CAP</v>
          </cell>
          <cell r="F2430">
            <v>2</v>
          </cell>
          <cell r="G2430" t="str">
            <v>CB520700000T00</v>
          </cell>
          <cell r="H2430">
            <v>0.75</v>
          </cell>
          <cell r="I2430" t="str">
            <v>--</v>
          </cell>
          <cell r="J2430">
            <v>2</v>
          </cell>
          <cell r="K2430">
            <v>2</v>
          </cell>
        </row>
        <row r="2431">
          <cell r="A2431" t="str">
            <v>M2</v>
          </cell>
          <cell r="B2431" t="str">
            <v>A5C</v>
          </cell>
          <cell r="C2431" t="str">
            <v>P</v>
          </cell>
          <cell r="D2431" t="str">
            <v>23081</v>
          </cell>
          <cell r="E2431" t="str">
            <v>CPLG</v>
          </cell>
          <cell r="F2431">
            <v>2</v>
          </cell>
          <cell r="G2431" t="str">
            <v>CB400500000T00</v>
          </cell>
          <cell r="H2431">
            <v>0.75</v>
          </cell>
          <cell r="I2431" t="str">
            <v>--</v>
          </cell>
          <cell r="J2431">
            <v>1</v>
          </cell>
          <cell r="K2431">
            <v>1</v>
          </cell>
        </row>
        <row r="2432">
          <cell r="A2432" t="str">
            <v>M2</v>
          </cell>
          <cell r="B2432" t="str">
            <v>A5C</v>
          </cell>
          <cell r="C2432" t="str">
            <v>P</v>
          </cell>
          <cell r="D2432" t="str">
            <v>23144</v>
          </cell>
          <cell r="E2432" t="str">
            <v>CPLG</v>
          </cell>
          <cell r="F2432">
            <v>2</v>
          </cell>
          <cell r="G2432" t="str">
            <v>CB400500000T00</v>
          </cell>
          <cell r="H2432">
            <v>0.75</v>
          </cell>
          <cell r="I2432" t="str">
            <v>--</v>
          </cell>
          <cell r="J2432">
            <v>2</v>
          </cell>
          <cell r="K2432">
            <v>2</v>
          </cell>
        </row>
        <row r="2433">
          <cell r="A2433" t="str">
            <v>M2</v>
          </cell>
          <cell r="B2433" t="str">
            <v>A5C</v>
          </cell>
          <cell r="C2433" t="str">
            <v>P</v>
          </cell>
          <cell r="D2433" t="str">
            <v>23225</v>
          </cell>
          <cell r="E2433" t="str">
            <v>CPLG</v>
          </cell>
          <cell r="F2433">
            <v>2</v>
          </cell>
          <cell r="G2433" t="str">
            <v>CB400500000T00</v>
          </cell>
          <cell r="H2433">
            <v>0.75</v>
          </cell>
          <cell r="I2433" t="str">
            <v>--</v>
          </cell>
          <cell r="J2433">
            <v>1</v>
          </cell>
          <cell r="K2433">
            <v>1</v>
          </cell>
        </row>
        <row r="2434">
          <cell r="A2434" t="str">
            <v>M2</v>
          </cell>
          <cell r="B2434" t="str">
            <v>A5C</v>
          </cell>
          <cell r="C2434" t="str">
            <v>P</v>
          </cell>
          <cell r="D2434" t="str">
            <v>23148</v>
          </cell>
          <cell r="E2434" t="str">
            <v>CPLG</v>
          </cell>
          <cell r="F2434">
            <v>2</v>
          </cell>
          <cell r="G2434" t="str">
            <v>CB400500000T00</v>
          </cell>
          <cell r="H2434">
            <v>0.75</v>
          </cell>
          <cell r="I2434" t="str">
            <v>--</v>
          </cell>
          <cell r="J2434">
            <v>2</v>
          </cell>
          <cell r="K2434">
            <v>2</v>
          </cell>
        </row>
        <row r="2435">
          <cell r="A2435" t="str">
            <v>M2</v>
          </cell>
          <cell r="B2435" t="str">
            <v>A5C</v>
          </cell>
          <cell r="C2435" t="str">
            <v>P</v>
          </cell>
          <cell r="D2435" t="str">
            <v>23247</v>
          </cell>
          <cell r="E2435" t="str">
            <v>CPLG</v>
          </cell>
          <cell r="F2435">
            <v>2</v>
          </cell>
          <cell r="G2435" t="str">
            <v>CB400500000T00</v>
          </cell>
          <cell r="H2435">
            <v>0.75</v>
          </cell>
          <cell r="I2435" t="str">
            <v>--</v>
          </cell>
          <cell r="J2435">
            <v>1</v>
          </cell>
          <cell r="K2435">
            <v>1</v>
          </cell>
        </row>
        <row r="2436">
          <cell r="A2436" t="str">
            <v>M2</v>
          </cell>
          <cell r="B2436" t="str">
            <v>A5C</v>
          </cell>
          <cell r="C2436" t="str">
            <v>P</v>
          </cell>
          <cell r="D2436" t="str">
            <v>24024</v>
          </cell>
          <cell r="E2436" t="str">
            <v>CPLG</v>
          </cell>
          <cell r="F2436">
            <v>2</v>
          </cell>
          <cell r="G2436" t="str">
            <v>CB400500000T00</v>
          </cell>
          <cell r="H2436">
            <v>0.75</v>
          </cell>
          <cell r="I2436" t="str">
            <v>--</v>
          </cell>
          <cell r="J2436">
            <v>5</v>
          </cell>
          <cell r="K2436">
            <v>5</v>
          </cell>
        </row>
        <row r="2437">
          <cell r="A2437" t="str">
            <v>M2</v>
          </cell>
          <cell r="B2437" t="str">
            <v>A5C</v>
          </cell>
          <cell r="C2437" t="str">
            <v>P</v>
          </cell>
          <cell r="D2437" t="str">
            <v>23063</v>
          </cell>
          <cell r="E2437" t="str">
            <v>E SWG</v>
          </cell>
          <cell r="F2437">
            <v>2</v>
          </cell>
          <cell r="G2437" t="str">
            <v>CB162108080T0H</v>
          </cell>
          <cell r="H2437">
            <v>0.75</v>
          </cell>
          <cell r="I2437">
            <v>0.5</v>
          </cell>
          <cell r="J2437">
            <v>2</v>
          </cell>
          <cell r="K2437">
            <v>2</v>
          </cell>
        </row>
        <row r="2438">
          <cell r="A2438" t="str">
            <v>M2</v>
          </cell>
          <cell r="B2438" t="str">
            <v>A5C</v>
          </cell>
          <cell r="C2438" t="str">
            <v>P</v>
          </cell>
          <cell r="D2438" t="str">
            <v>23078</v>
          </cell>
          <cell r="E2438" t="str">
            <v>E SWG</v>
          </cell>
          <cell r="F2438">
            <v>2</v>
          </cell>
          <cell r="G2438" t="str">
            <v>CB162108080T0H</v>
          </cell>
          <cell r="H2438">
            <v>0.75</v>
          </cell>
          <cell r="I2438">
            <v>0.5</v>
          </cell>
          <cell r="J2438">
            <v>2</v>
          </cell>
          <cell r="K2438">
            <v>2</v>
          </cell>
        </row>
        <row r="2439">
          <cell r="A2439" t="str">
            <v>M2</v>
          </cell>
          <cell r="B2439" t="str">
            <v>A5C</v>
          </cell>
          <cell r="C2439" t="str">
            <v>P</v>
          </cell>
          <cell r="D2439" t="str">
            <v>23094</v>
          </cell>
          <cell r="E2439" t="str">
            <v>E SWG</v>
          </cell>
          <cell r="F2439">
            <v>2</v>
          </cell>
          <cell r="G2439" t="str">
            <v>CB162108080T0H</v>
          </cell>
          <cell r="H2439">
            <v>0.75</v>
          </cell>
          <cell r="I2439">
            <v>0.5</v>
          </cell>
          <cell r="J2439">
            <v>2</v>
          </cell>
          <cell r="K2439">
            <v>2</v>
          </cell>
        </row>
        <row r="2440">
          <cell r="A2440" t="str">
            <v>M2</v>
          </cell>
          <cell r="B2440" t="str">
            <v>A5C</v>
          </cell>
          <cell r="C2440" t="str">
            <v>P</v>
          </cell>
          <cell r="D2440" t="str">
            <v>23113</v>
          </cell>
          <cell r="E2440" t="str">
            <v>E SWG</v>
          </cell>
          <cell r="F2440">
            <v>2</v>
          </cell>
          <cell r="G2440" t="str">
            <v>CB162108080T0H</v>
          </cell>
          <cell r="H2440">
            <v>0.75</v>
          </cell>
          <cell r="I2440">
            <v>0.5</v>
          </cell>
          <cell r="J2440">
            <v>2</v>
          </cell>
          <cell r="K2440">
            <v>2</v>
          </cell>
        </row>
        <row r="2441">
          <cell r="A2441" t="str">
            <v>M2</v>
          </cell>
          <cell r="B2441" t="str">
            <v>A5C</v>
          </cell>
          <cell r="C2441" t="str">
            <v>P</v>
          </cell>
          <cell r="D2441" t="str">
            <v>23188</v>
          </cell>
          <cell r="E2441" t="str">
            <v>E SWG</v>
          </cell>
          <cell r="F2441">
            <v>2</v>
          </cell>
          <cell r="G2441" t="str">
            <v>CB162108080T0H</v>
          </cell>
          <cell r="H2441">
            <v>0.75</v>
          </cell>
          <cell r="I2441">
            <v>0.5</v>
          </cell>
          <cell r="J2441">
            <v>1</v>
          </cell>
          <cell r="K2441">
            <v>1</v>
          </cell>
        </row>
        <row r="2442">
          <cell r="A2442" t="str">
            <v>M2</v>
          </cell>
          <cell r="B2442" t="str">
            <v>A5C</v>
          </cell>
          <cell r="C2442" t="str">
            <v>N</v>
          </cell>
          <cell r="D2442" t="str">
            <v>23632</v>
          </cell>
          <cell r="E2442" t="str">
            <v>NPL</v>
          </cell>
          <cell r="F2442">
            <v>2</v>
          </cell>
          <cell r="G2442" t="str">
            <v>CB132108000TVR</v>
          </cell>
          <cell r="H2442">
            <v>0.75</v>
          </cell>
          <cell r="I2442" t="str">
            <v>75mm</v>
          </cell>
          <cell r="J2442">
            <v>1</v>
          </cell>
          <cell r="K2442">
            <v>1</v>
          </cell>
        </row>
        <row r="2443">
          <cell r="A2443" t="str">
            <v>M2</v>
          </cell>
          <cell r="B2443" t="str">
            <v>A5C</v>
          </cell>
          <cell r="C2443" t="str">
            <v>N</v>
          </cell>
          <cell r="D2443" t="str">
            <v>23637</v>
          </cell>
          <cell r="E2443" t="str">
            <v>NPL</v>
          </cell>
          <cell r="F2443">
            <v>2</v>
          </cell>
          <cell r="G2443" t="str">
            <v>CB132108000TVR</v>
          </cell>
          <cell r="H2443">
            <v>0.75</v>
          </cell>
          <cell r="I2443" t="str">
            <v>75mm</v>
          </cell>
          <cell r="J2443">
            <v>1</v>
          </cell>
          <cell r="K2443">
            <v>1</v>
          </cell>
        </row>
        <row r="2444">
          <cell r="A2444" t="str">
            <v>M2</v>
          </cell>
          <cell r="B2444" t="str">
            <v>A5C</v>
          </cell>
          <cell r="C2444" t="str">
            <v>N</v>
          </cell>
          <cell r="D2444" t="str">
            <v>23640</v>
          </cell>
          <cell r="E2444" t="str">
            <v>NPL</v>
          </cell>
          <cell r="F2444">
            <v>2</v>
          </cell>
          <cell r="G2444" t="str">
            <v>CB132108000TVR</v>
          </cell>
          <cell r="H2444">
            <v>0.75</v>
          </cell>
          <cell r="I2444" t="str">
            <v>75mm</v>
          </cell>
          <cell r="J2444">
            <v>1</v>
          </cell>
          <cell r="K2444">
            <v>1</v>
          </cell>
        </row>
        <row r="2445">
          <cell r="A2445" t="str">
            <v>M2</v>
          </cell>
          <cell r="B2445" t="str">
            <v>A5C</v>
          </cell>
          <cell r="C2445" t="str">
            <v>P</v>
          </cell>
          <cell r="D2445" t="str">
            <v>23121</v>
          </cell>
          <cell r="E2445" t="str">
            <v>NPL</v>
          </cell>
          <cell r="F2445">
            <v>2</v>
          </cell>
          <cell r="G2445" t="str">
            <v>CB132108000TVR</v>
          </cell>
          <cell r="H2445">
            <v>0.75</v>
          </cell>
          <cell r="I2445" t="str">
            <v>75mm</v>
          </cell>
          <cell r="J2445">
            <v>2</v>
          </cell>
          <cell r="K2445">
            <v>2</v>
          </cell>
        </row>
        <row r="2446">
          <cell r="A2446" t="str">
            <v>M2</v>
          </cell>
          <cell r="B2446" t="str">
            <v>A5C</v>
          </cell>
          <cell r="C2446" t="str">
            <v>P</v>
          </cell>
          <cell r="D2446" t="str">
            <v>23181</v>
          </cell>
          <cell r="E2446" t="str">
            <v>NPL</v>
          </cell>
          <cell r="F2446">
            <v>2</v>
          </cell>
          <cell r="G2446" t="str">
            <v>CB132108000TVR</v>
          </cell>
          <cell r="H2446">
            <v>0.75</v>
          </cell>
          <cell r="I2446" t="str">
            <v>75mm</v>
          </cell>
          <cell r="J2446">
            <v>1</v>
          </cell>
          <cell r="K2446">
            <v>1</v>
          </cell>
        </row>
        <row r="2447">
          <cell r="A2447" t="str">
            <v>M2</v>
          </cell>
          <cell r="B2447" t="str">
            <v>A5C</v>
          </cell>
          <cell r="C2447" t="str">
            <v>P</v>
          </cell>
          <cell r="D2447" t="str">
            <v>23214</v>
          </cell>
          <cell r="E2447" t="str">
            <v>NPL</v>
          </cell>
          <cell r="F2447">
            <v>2</v>
          </cell>
          <cell r="G2447" t="str">
            <v>CB132308000TVR</v>
          </cell>
          <cell r="H2447">
            <v>0.75</v>
          </cell>
          <cell r="I2447" t="str">
            <v>75mm</v>
          </cell>
          <cell r="J2447">
            <v>1</v>
          </cell>
          <cell r="K2447">
            <v>1</v>
          </cell>
        </row>
        <row r="2448">
          <cell r="A2448" t="str">
            <v>M2</v>
          </cell>
          <cell r="B2448" t="str">
            <v>A5C</v>
          </cell>
          <cell r="C2448" t="str">
            <v>TRIM</v>
          </cell>
          <cell r="D2448" t="str">
            <v>V-2315</v>
          </cell>
          <cell r="E2448" t="str">
            <v>NPL</v>
          </cell>
          <cell r="F2448">
            <v>2</v>
          </cell>
          <cell r="G2448" t="str">
            <v>CB132108000TVR</v>
          </cell>
          <cell r="H2448">
            <v>0.75</v>
          </cell>
          <cell r="I2448" t="str">
            <v>75mm</v>
          </cell>
          <cell r="J2448">
            <v>2</v>
          </cell>
          <cell r="K2448">
            <v>2</v>
          </cell>
        </row>
        <row r="2449">
          <cell r="A2449" t="str">
            <v>M2</v>
          </cell>
          <cell r="B2449" t="str">
            <v>A5C</v>
          </cell>
          <cell r="C2449" t="str">
            <v>TRIM</v>
          </cell>
          <cell r="D2449" t="str">
            <v>V-2318</v>
          </cell>
          <cell r="E2449" t="str">
            <v>NPL</v>
          </cell>
          <cell r="F2449">
            <v>2</v>
          </cell>
          <cell r="G2449" t="str">
            <v>CB132108000TVR</v>
          </cell>
          <cell r="H2449">
            <v>0.75</v>
          </cell>
          <cell r="I2449" t="str">
            <v>75mm</v>
          </cell>
          <cell r="J2449">
            <v>2</v>
          </cell>
          <cell r="K2449">
            <v>2</v>
          </cell>
        </row>
        <row r="2450">
          <cell r="A2450" t="str">
            <v>M2</v>
          </cell>
          <cell r="B2450" t="str">
            <v>A5C</v>
          </cell>
          <cell r="C2450" t="str">
            <v>TRIM</v>
          </cell>
          <cell r="D2450" t="str">
            <v>V-2319</v>
          </cell>
          <cell r="E2450" t="str">
            <v>NPL</v>
          </cell>
          <cell r="F2450">
            <v>2</v>
          </cell>
          <cell r="G2450" t="str">
            <v>CB132108000TVR</v>
          </cell>
          <cell r="H2450">
            <v>0.75</v>
          </cell>
          <cell r="I2450" t="str">
            <v>75mm</v>
          </cell>
          <cell r="J2450">
            <v>2</v>
          </cell>
          <cell r="K2450">
            <v>2</v>
          </cell>
        </row>
        <row r="2451">
          <cell r="A2451" t="str">
            <v>M2</v>
          </cell>
          <cell r="B2451" t="str">
            <v>A5C</v>
          </cell>
          <cell r="C2451" t="str">
            <v>TRIM</v>
          </cell>
          <cell r="D2451" t="str">
            <v>V-2320</v>
          </cell>
          <cell r="E2451" t="str">
            <v>NPL</v>
          </cell>
          <cell r="F2451">
            <v>2</v>
          </cell>
          <cell r="G2451" t="str">
            <v>CB132108000TVR</v>
          </cell>
          <cell r="H2451">
            <v>0.75</v>
          </cell>
          <cell r="I2451" t="str">
            <v>75mm</v>
          </cell>
          <cell r="J2451">
            <v>2</v>
          </cell>
          <cell r="K2451">
            <v>2</v>
          </cell>
        </row>
        <row r="2452">
          <cell r="A2452" t="str">
            <v>M2</v>
          </cell>
          <cell r="B2452" t="str">
            <v>A5C</v>
          </cell>
          <cell r="C2452" t="str">
            <v>TRIM</v>
          </cell>
          <cell r="D2452" t="str">
            <v>V-2316</v>
          </cell>
          <cell r="E2452" t="str">
            <v>NPL</v>
          </cell>
          <cell r="F2452">
            <v>2</v>
          </cell>
          <cell r="G2452" t="str">
            <v>CB132108000TVR</v>
          </cell>
          <cell r="H2452">
            <v>0.75</v>
          </cell>
          <cell r="I2452" t="str">
            <v>75mm</v>
          </cell>
          <cell r="J2452">
            <v>2</v>
          </cell>
          <cell r="K2452">
            <v>2</v>
          </cell>
        </row>
        <row r="2453">
          <cell r="A2453" t="str">
            <v>M2</v>
          </cell>
          <cell r="B2453" t="str">
            <v>A5C</v>
          </cell>
          <cell r="C2453" t="str">
            <v>TRIM</v>
          </cell>
          <cell r="D2453" t="str">
            <v>V-2317</v>
          </cell>
          <cell r="E2453" t="str">
            <v>NPL</v>
          </cell>
          <cell r="F2453">
            <v>2</v>
          </cell>
          <cell r="G2453" t="str">
            <v>CB132108000TVR</v>
          </cell>
          <cell r="H2453">
            <v>0.75</v>
          </cell>
          <cell r="I2453" t="str">
            <v>75mm</v>
          </cell>
          <cell r="J2453">
            <v>2</v>
          </cell>
          <cell r="K2453">
            <v>2</v>
          </cell>
        </row>
        <row r="2454">
          <cell r="A2454" t="str">
            <v>M2</v>
          </cell>
          <cell r="B2454" t="str">
            <v>A5C</v>
          </cell>
          <cell r="C2454" t="str">
            <v>TRIM</v>
          </cell>
          <cell r="D2454" t="str">
            <v>V-2323</v>
          </cell>
          <cell r="E2454" t="str">
            <v>NPL</v>
          </cell>
          <cell r="F2454">
            <v>2</v>
          </cell>
          <cell r="G2454" t="str">
            <v>CB132108000TVR</v>
          </cell>
          <cell r="H2454">
            <v>0.75</v>
          </cell>
          <cell r="I2454" t="str">
            <v>75mm</v>
          </cell>
          <cell r="J2454">
            <v>2</v>
          </cell>
          <cell r="K2454">
            <v>2</v>
          </cell>
        </row>
        <row r="2455">
          <cell r="A2455" t="str">
            <v>M2</v>
          </cell>
          <cell r="B2455" t="str">
            <v>A5C</v>
          </cell>
          <cell r="C2455" t="str">
            <v>TRIM</v>
          </cell>
          <cell r="D2455" t="str">
            <v>V-2321</v>
          </cell>
          <cell r="E2455" t="str">
            <v>NPL</v>
          </cell>
          <cell r="F2455">
            <v>2</v>
          </cell>
          <cell r="G2455" t="str">
            <v>CB132108000TVR</v>
          </cell>
          <cell r="H2455">
            <v>0.75</v>
          </cell>
          <cell r="I2455" t="str">
            <v>75mm</v>
          </cell>
          <cell r="J2455">
            <v>2</v>
          </cell>
          <cell r="K2455">
            <v>2</v>
          </cell>
        </row>
        <row r="2456">
          <cell r="A2456" t="str">
            <v>M2</v>
          </cell>
          <cell r="B2456" t="str">
            <v>A5C</v>
          </cell>
          <cell r="C2456" t="str">
            <v>TRIM</v>
          </cell>
          <cell r="D2456" t="str">
            <v>V-2330</v>
          </cell>
          <cell r="E2456" t="str">
            <v>NPL</v>
          </cell>
          <cell r="F2456">
            <v>2</v>
          </cell>
          <cell r="G2456" t="str">
            <v>CB132108000TVR</v>
          </cell>
          <cell r="H2456">
            <v>0.75</v>
          </cell>
          <cell r="I2456" t="str">
            <v>75mm</v>
          </cell>
          <cell r="J2456">
            <v>2</v>
          </cell>
          <cell r="K2456">
            <v>2</v>
          </cell>
        </row>
        <row r="2457">
          <cell r="A2457" t="str">
            <v>M2</v>
          </cell>
          <cell r="B2457" t="str">
            <v>A5C</v>
          </cell>
          <cell r="C2457" t="str">
            <v>TRIM</v>
          </cell>
          <cell r="D2457" t="str">
            <v>V-2324</v>
          </cell>
          <cell r="E2457" t="str">
            <v>NPL</v>
          </cell>
          <cell r="F2457">
            <v>2</v>
          </cell>
          <cell r="G2457" t="str">
            <v>CB132108000TVR</v>
          </cell>
          <cell r="H2457">
            <v>0.75</v>
          </cell>
          <cell r="I2457" t="str">
            <v>75mm</v>
          </cell>
          <cell r="J2457">
            <v>2</v>
          </cell>
          <cell r="K2457">
            <v>2</v>
          </cell>
        </row>
        <row r="2458">
          <cell r="A2458" t="str">
            <v>M2</v>
          </cell>
          <cell r="B2458" t="str">
            <v>A5C</v>
          </cell>
          <cell r="C2458" t="str">
            <v>TRIM</v>
          </cell>
          <cell r="D2458" t="str">
            <v>V-2331</v>
          </cell>
          <cell r="E2458" t="str">
            <v>NPL</v>
          </cell>
          <cell r="F2458">
            <v>2</v>
          </cell>
          <cell r="G2458" t="str">
            <v>CB132108000TVR</v>
          </cell>
          <cell r="H2458">
            <v>0.75</v>
          </cell>
          <cell r="I2458" t="str">
            <v>75mm</v>
          </cell>
          <cell r="J2458">
            <v>2</v>
          </cell>
          <cell r="K2458">
            <v>2</v>
          </cell>
        </row>
        <row r="2459">
          <cell r="A2459" t="str">
            <v>M2</v>
          </cell>
          <cell r="B2459" t="str">
            <v>A5C</v>
          </cell>
          <cell r="C2459" t="str">
            <v>TRIM</v>
          </cell>
          <cell r="D2459" t="str">
            <v>V-2332</v>
          </cell>
          <cell r="E2459" t="str">
            <v>NPL</v>
          </cell>
          <cell r="F2459">
            <v>2</v>
          </cell>
          <cell r="G2459" t="str">
            <v>CB132108000TVR</v>
          </cell>
          <cell r="H2459">
            <v>0.75</v>
          </cell>
          <cell r="I2459" t="str">
            <v>75mm</v>
          </cell>
          <cell r="J2459">
            <v>2</v>
          </cell>
          <cell r="K2459">
            <v>2</v>
          </cell>
        </row>
        <row r="2460">
          <cell r="A2460" t="str">
            <v>M2</v>
          </cell>
          <cell r="B2460" t="str">
            <v>A5C</v>
          </cell>
          <cell r="C2460" t="str">
            <v>TRIM</v>
          </cell>
          <cell r="D2460" t="str">
            <v>V-2333</v>
          </cell>
          <cell r="E2460" t="str">
            <v>NPL</v>
          </cell>
          <cell r="F2460">
            <v>2</v>
          </cell>
          <cell r="G2460" t="str">
            <v>CB132108000TVR</v>
          </cell>
          <cell r="H2460">
            <v>0.75</v>
          </cell>
          <cell r="I2460" t="str">
            <v>75mm</v>
          </cell>
          <cell r="J2460">
            <v>2</v>
          </cell>
          <cell r="K2460">
            <v>2</v>
          </cell>
        </row>
        <row r="2461">
          <cell r="A2461" t="str">
            <v>M2</v>
          </cell>
          <cell r="B2461" t="str">
            <v>A5C</v>
          </cell>
          <cell r="C2461" t="str">
            <v>N</v>
          </cell>
          <cell r="D2461" t="str">
            <v>23613</v>
          </cell>
          <cell r="E2461" t="str">
            <v>NPL</v>
          </cell>
          <cell r="F2461">
            <v>2</v>
          </cell>
          <cell r="G2461" t="str">
            <v>CB132108000TVR</v>
          </cell>
          <cell r="H2461">
            <v>0.75</v>
          </cell>
          <cell r="I2461" t="str">
            <v>75mm</v>
          </cell>
          <cell r="J2461">
            <v>1</v>
          </cell>
          <cell r="K2461">
            <v>1</v>
          </cell>
        </row>
        <row r="2462">
          <cell r="A2462" t="str">
            <v>M2</v>
          </cell>
          <cell r="B2462" t="str">
            <v>A5C</v>
          </cell>
          <cell r="C2462" t="str">
            <v>N</v>
          </cell>
          <cell r="D2462" t="str">
            <v>23621</v>
          </cell>
          <cell r="E2462" t="str">
            <v>NPL</v>
          </cell>
          <cell r="F2462">
            <v>2</v>
          </cell>
          <cell r="G2462" t="str">
            <v>CB132108000TVR</v>
          </cell>
          <cell r="H2462">
            <v>0.75</v>
          </cell>
          <cell r="I2462" t="str">
            <v>75mm</v>
          </cell>
          <cell r="J2462">
            <v>1</v>
          </cell>
          <cell r="K2462">
            <v>1</v>
          </cell>
        </row>
        <row r="2463">
          <cell r="A2463" t="str">
            <v>M2</v>
          </cell>
          <cell r="B2463" t="str">
            <v>A5C</v>
          </cell>
          <cell r="C2463" t="str">
            <v>N</v>
          </cell>
          <cell r="D2463" t="str">
            <v>23636</v>
          </cell>
          <cell r="E2463" t="str">
            <v>NPL</v>
          </cell>
          <cell r="F2463">
            <v>2</v>
          </cell>
          <cell r="G2463" t="str">
            <v>CB132108000TVR</v>
          </cell>
          <cell r="H2463">
            <v>0.75</v>
          </cell>
          <cell r="I2463" t="str">
            <v>75mm</v>
          </cell>
          <cell r="J2463">
            <v>1</v>
          </cell>
          <cell r="K2463">
            <v>1</v>
          </cell>
        </row>
        <row r="2464">
          <cell r="A2464" t="str">
            <v>M2</v>
          </cell>
          <cell r="B2464" t="str">
            <v>A5C</v>
          </cell>
          <cell r="C2464" t="str">
            <v>N</v>
          </cell>
          <cell r="D2464" t="str">
            <v>23638</v>
          </cell>
          <cell r="E2464" t="str">
            <v>NPL</v>
          </cell>
          <cell r="F2464">
            <v>2</v>
          </cell>
          <cell r="G2464" t="str">
            <v>CB132108000TVR</v>
          </cell>
          <cell r="H2464">
            <v>0.75</v>
          </cell>
          <cell r="I2464" t="str">
            <v>75mm</v>
          </cell>
          <cell r="J2464">
            <v>1</v>
          </cell>
          <cell r="K2464">
            <v>1</v>
          </cell>
        </row>
        <row r="2465">
          <cell r="A2465" t="str">
            <v>M2</v>
          </cell>
          <cell r="B2465" t="str">
            <v>A5C</v>
          </cell>
          <cell r="C2465" t="str">
            <v>N</v>
          </cell>
          <cell r="D2465" t="str">
            <v>23639</v>
          </cell>
          <cell r="E2465" t="str">
            <v>NPL</v>
          </cell>
          <cell r="F2465">
            <v>2</v>
          </cell>
          <cell r="G2465" t="str">
            <v>CB132108000TVR</v>
          </cell>
          <cell r="H2465">
            <v>0.75</v>
          </cell>
          <cell r="I2465" t="str">
            <v>75mm</v>
          </cell>
          <cell r="J2465">
            <v>1</v>
          </cell>
          <cell r="K2465">
            <v>1</v>
          </cell>
        </row>
        <row r="2466">
          <cell r="A2466" t="str">
            <v>M2</v>
          </cell>
          <cell r="B2466" t="str">
            <v>A5C</v>
          </cell>
          <cell r="C2466" t="str">
            <v>N</v>
          </cell>
          <cell r="D2466" t="str">
            <v>24613</v>
          </cell>
          <cell r="E2466" t="str">
            <v>NPL</v>
          </cell>
          <cell r="F2466">
            <v>2</v>
          </cell>
          <cell r="G2466" t="str">
            <v>CB132308000TVR</v>
          </cell>
          <cell r="H2466">
            <v>0.75</v>
          </cell>
          <cell r="I2466" t="str">
            <v>75mm</v>
          </cell>
          <cell r="J2466">
            <v>3</v>
          </cell>
          <cell r="K2466">
            <v>3</v>
          </cell>
        </row>
        <row r="2467">
          <cell r="A2467" t="str">
            <v>M2</v>
          </cell>
          <cell r="B2467" t="str">
            <v>A5C</v>
          </cell>
          <cell r="C2467" t="str">
            <v>P</v>
          </cell>
          <cell r="D2467" t="str">
            <v>23082</v>
          </cell>
          <cell r="E2467" t="str">
            <v>NPL</v>
          </cell>
          <cell r="F2467">
            <v>2</v>
          </cell>
          <cell r="G2467" t="str">
            <v>CB132108000TVR</v>
          </cell>
          <cell r="H2467">
            <v>0.75</v>
          </cell>
          <cell r="I2467" t="str">
            <v>75mm</v>
          </cell>
          <cell r="J2467">
            <v>2</v>
          </cell>
          <cell r="K2467">
            <v>2</v>
          </cell>
        </row>
        <row r="2468">
          <cell r="A2468" t="str">
            <v>M2</v>
          </cell>
          <cell r="B2468" t="str">
            <v>A5C</v>
          </cell>
          <cell r="C2468" t="str">
            <v>P</v>
          </cell>
          <cell r="D2468" t="str">
            <v>23212</v>
          </cell>
          <cell r="E2468" t="str">
            <v>NPL</v>
          </cell>
          <cell r="F2468">
            <v>2</v>
          </cell>
          <cell r="G2468" t="str">
            <v>CB132308000TVR</v>
          </cell>
          <cell r="H2468">
            <v>0.75</v>
          </cell>
          <cell r="I2468" t="str">
            <v>75mm</v>
          </cell>
          <cell r="J2468">
            <v>1</v>
          </cell>
          <cell r="K2468">
            <v>1</v>
          </cell>
        </row>
        <row r="2469">
          <cell r="A2469" t="str">
            <v>M2</v>
          </cell>
          <cell r="B2469" t="str">
            <v>A5C</v>
          </cell>
          <cell r="C2469" t="str">
            <v>P</v>
          </cell>
          <cell r="D2469" t="str">
            <v>24006</v>
          </cell>
          <cell r="E2469" t="str">
            <v>NPL</v>
          </cell>
          <cell r="F2469">
            <v>2</v>
          </cell>
          <cell r="G2469" t="str">
            <v>CB132308000TVR</v>
          </cell>
          <cell r="H2469">
            <v>0.75</v>
          </cell>
          <cell r="I2469" t="str">
            <v>75mm</v>
          </cell>
          <cell r="J2469">
            <v>1</v>
          </cell>
          <cell r="K2469">
            <v>1</v>
          </cell>
        </row>
        <row r="2470">
          <cell r="A2470" t="str">
            <v>M2</v>
          </cell>
          <cell r="B2470" t="str">
            <v>A5C</v>
          </cell>
          <cell r="C2470" t="str">
            <v>TRIM</v>
          </cell>
          <cell r="D2470" t="str">
            <v>V-2301</v>
          </cell>
          <cell r="E2470" t="str">
            <v>NPL</v>
          </cell>
          <cell r="F2470">
            <v>2</v>
          </cell>
          <cell r="G2470" t="str">
            <v>CB132108000TVR</v>
          </cell>
          <cell r="H2470">
            <v>0.75</v>
          </cell>
          <cell r="I2470" t="str">
            <v>75mm</v>
          </cell>
          <cell r="J2470">
            <v>2</v>
          </cell>
          <cell r="K2470">
            <v>2</v>
          </cell>
        </row>
        <row r="2471">
          <cell r="A2471" t="str">
            <v>M2</v>
          </cell>
          <cell r="B2471" t="str">
            <v>A5C</v>
          </cell>
          <cell r="C2471" t="str">
            <v>TRIM</v>
          </cell>
          <cell r="D2471" t="str">
            <v>V-2329</v>
          </cell>
          <cell r="E2471" t="str">
            <v>NPL</v>
          </cell>
          <cell r="F2471">
            <v>2</v>
          </cell>
          <cell r="G2471" t="str">
            <v>CB132108000TVR</v>
          </cell>
          <cell r="H2471">
            <v>0.75</v>
          </cell>
          <cell r="I2471" t="str">
            <v>75mm</v>
          </cell>
          <cell r="J2471">
            <v>2</v>
          </cell>
          <cell r="K2471">
            <v>2</v>
          </cell>
        </row>
        <row r="2472">
          <cell r="A2472" t="str">
            <v>M2</v>
          </cell>
          <cell r="B2472" t="str">
            <v>A5C</v>
          </cell>
          <cell r="C2472" t="str">
            <v>P</v>
          </cell>
          <cell r="D2472" t="str">
            <v>23094</v>
          </cell>
          <cell r="E2472" t="str">
            <v>R TEE</v>
          </cell>
          <cell r="F2472">
            <v>2</v>
          </cell>
          <cell r="G2472" t="str">
            <v>CB400400000T0H</v>
          </cell>
          <cell r="H2472">
            <v>0.75</v>
          </cell>
          <cell r="I2472">
            <v>0.5</v>
          </cell>
          <cell r="J2472">
            <v>2</v>
          </cell>
          <cell r="K2472">
            <v>2</v>
          </cell>
        </row>
        <row r="2473">
          <cell r="A2473" t="str">
            <v>M2</v>
          </cell>
          <cell r="B2473" t="str">
            <v>A5C</v>
          </cell>
          <cell r="C2473" t="str">
            <v>P</v>
          </cell>
          <cell r="D2473" t="str">
            <v>23113</v>
          </cell>
          <cell r="E2473" t="str">
            <v>R TEE</v>
          </cell>
          <cell r="F2473">
            <v>2</v>
          </cell>
          <cell r="G2473" t="str">
            <v>CB400400000T0H</v>
          </cell>
          <cell r="H2473">
            <v>0.75</v>
          </cell>
          <cell r="I2473">
            <v>0.5</v>
          </cell>
          <cell r="J2473">
            <v>2</v>
          </cell>
          <cell r="K2473">
            <v>2</v>
          </cell>
        </row>
        <row r="2474">
          <cell r="A2474" t="str">
            <v>M2</v>
          </cell>
          <cell r="B2474" t="str">
            <v>A5C</v>
          </cell>
          <cell r="C2474" t="str">
            <v>N</v>
          </cell>
          <cell r="D2474" t="str">
            <v>23613</v>
          </cell>
          <cell r="E2474" t="str">
            <v>TEE</v>
          </cell>
          <cell r="F2474">
            <v>2</v>
          </cell>
          <cell r="G2474" t="str">
            <v>CB400300000T00</v>
          </cell>
          <cell r="H2474">
            <v>0.75</v>
          </cell>
          <cell r="I2474" t="str">
            <v>--</v>
          </cell>
          <cell r="J2474">
            <v>3</v>
          </cell>
          <cell r="K2474">
            <v>3</v>
          </cell>
        </row>
        <row r="2475">
          <cell r="A2475" t="str">
            <v>M2</v>
          </cell>
          <cell r="B2475" t="str">
            <v>A5C</v>
          </cell>
          <cell r="C2475" t="str">
            <v>N</v>
          </cell>
          <cell r="D2475" t="str">
            <v>23619</v>
          </cell>
          <cell r="E2475" t="str">
            <v>TEE</v>
          </cell>
          <cell r="F2475">
            <v>2</v>
          </cell>
          <cell r="G2475" t="str">
            <v>CB400300000T00</v>
          </cell>
          <cell r="H2475">
            <v>0.75</v>
          </cell>
          <cell r="I2475" t="str">
            <v>--</v>
          </cell>
          <cell r="J2475">
            <v>4</v>
          </cell>
          <cell r="K2475">
            <v>4</v>
          </cell>
        </row>
        <row r="2476">
          <cell r="A2476" t="str">
            <v>M2</v>
          </cell>
          <cell r="B2476" t="str">
            <v>A5C</v>
          </cell>
          <cell r="C2476" t="str">
            <v>N</v>
          </cell>
          <cell r="D2476" t="str">
            <v>23620</v>
          </cell>
          <cell r="E2476" t="str">
            <v>TEE</v>
          </cell>
          <cell r="F2476">
            <v>2</v>
          </cell>
          <cell r="G2476" t="str">
            <v>CB400300000T00</v>
          </cell>
          <cell r="H2476">
            <v>0.75</v>
          </cell>
          <cell r="I2476" t="str">
            <v>--</v>
          </cell>
          <cell r="J2476">
            <v>4</v>
          </cell>
          <cell r="K2476">
            <v>4</v>
          </cell>
        </row>
        <row r="2477">
          <cell r="A2477" t="str">
            <v>M2</v>
          </cell>
          <cell r="B2477" t="str">
            <v>A5C</v>
          </cell>
          <cell r="C2477" t="str">
            <v>N</v>
          </cell>
          <cell r="D2477" t="str">
            <v>23642</v>
          </cell>
          <cell r="E2477" t="str">
            <v>TEE</v>
          </cell>
          <cell r="F2477">
            <v>2</v>
          </cell>
          <cell r="G2477" t="str">
            <v>CB400300000T00</v>
          </cell>
          <cell r="H2477">
            <v>0.75</v>
          </cell>
          <cell r="I2477" t="str">
            <v>--</v>
          </cell>
          <cell r="J2477">
            <v>4</v>
          </cell>
          <cell r="K2477">
            <v>4</v>
          </cell>
        </row>
        <row r="2478">
          <cell r="A2478" t="str">
            <v>M2</v>
          </cell>
          <cell r="B2478" t="str">
            <v>A5C</v>
          </cell>
          <cell r="C2478" t="str">
            <v>N</v>
          </cell>
          <cell r="D2478" t="str">
            <v>23646</v>
          </cell>
          <cell r="E2478" t="str">
            <v>TEE</v>
          </cell>
          <cell r="F2478">
            <v>2</v>
          </cell>
          <cell r="G2478" t="str">
            <v>CB400300000T00</v>
          </cell>
          <cell r="H2478">
            <v>0.75</v>
          </cell>
          <cell r="I2478" t="str">
            <v>--</v>
          </cell>
          <cell r="J2478">
            <v>4</v>
          </cell>
          <cell r="K2478">
            <v>4</v>
          </cell>
        </row>
        <row r="2479">
          <cell r="A2479" t="str">
            <v>M2</v>
          </cell>
          <cell r="B2479" t="str">
            <v>A5C</v>
          </cell>
          <cell r="C2479" t="str">
            <v>N</v>
          </cell>
          <cell r="D2479" t="str">
            <v>24611</v>
          </cell>
          <cell r="E2479" t="str">
            <v>TEE</v>
          </cell>
          <cell r="F2479">
            <v>2</v>
          </cell>
          <cell r="G2479" t="str">
            <v>CB400300000T00</v>
          </cell>
          <cell r="H2479">
            <v>0.75</v>
          </cell>
          <cell r="I2479" t="str">
            <v>--</v>
          </cell>
          <cell r="J2479">
            <v>3</v>
          </cell>
          <cell r="K2479">
            <v>3</v>
          </cell>
        </row>
        <row r="2480">
          <cell r="A2480" t="str">
            <v>M2</v>
          </cell>
          <cell r="B2480" t="str">
            <v>A5C</v>
          </cell>
          <cell r="C2480" t="str">
            <v>N</v>
          </cell>
          <cell r="D2480" t="str">
            <v>24612</v>
          </cell>
          <cell r="E2480" t="str">
            <v>TEE</v>
          </cell>
          <cell r="F2480">
            <v>2</v>
          </cell>
          <cell r="G2480" t="str">
            <v>CB400300000T00</v>
          </cell>
          <cell r="H2480">
            <v>0.75</v>
          </cell>
          <cell r="I2480" t="str">
            <v>--</v>
          </cell>
          <cell r="J2480">
            <v>4</v>
          </cell>
          <cell r="K2480">
            <v>4</v>
          </cell>
        </row>
        <row r="2481">
          <cell r="A2481" t="str">
            <v>M2</v>
          </cell>
          <cell r="B2481" t="str">
            <v>A5C</v>
          </cell>
          <cell r="C2481" t="str">
            <v>N</v>
          </cell>
          <cell r="D2481" t="str">
            <v>24613</v>
          </cell>
          <cell r="E2481" t="str">
            <v>TEE</v>
          </cell>
          <cell r="F2481">
            <v>2</v>
          </cell>
          <cell r="G2481" t="str">
            <v>CB400300000T00</v>
          </cell>
          <cell r="H2481">
            <v>0.75</v>
          </cell>
          <cell r="I2481" t="str">
            <v>--</v>
          </cell>
          <cell r="J2481">
            <v>2</v>
          </cell>
          <cell r="K2481">
            <v>2</v>
          </cell>
        </row>
        <row r="2482">
          <cell r="A2482" t="str">
            <v>M2</v>
          </cell>
          <cell r="B2482" t="str">
            <v>A5C</v>
          </cell>
          <cell r="C2482" t="str">
            <v>N</v>
          </cell>
          <cell r="D2482" t="str">
            <v>24614</v>
          </cell>
          <cell r="E2482" t="str">
            <v>TEE</v>
          </cell>
          <cell r="F2482">
            <v>2</v>
          </cell>
          <cell r="G2482" t="str">
            <v>CB400300000T00</v>
          </cell>
          <cell r="H2482">
            <v>0.75</v>
          </cell>
          <cell r="I2482" t="str">
            <v>--</v>
          </cell>
          <cell r="J2482">
            <v>4</v>
          </cell>
          <cell r="K2482">
            <v>4</v>
          </cell>
        </row>
        <row r="2483">
          <cell r="A2483" t="str">
            <v>M2</v>
          </cell>
          <cell r="B2483" t="str">
            <v>A5C</v>
          </cell>
          <cell r="C2483" t="str">
            <v>P</v>
          </cell>
          <cell r="D2483" t="str">
            <v>23081</v>
          </cell>
          <cell r="E2483" t="str">
            <v>TEE</v>
          </cell>
          <cell r="F2483">
            <v>2</v>
          </cell>
          <cell r="G2483" t="str">
            <v>CB400300000T00</v>
          </cell>
          <cell r="H2483">
            <v>0.75</v>
          </cell>
          <cell r="I2483" t="str">
            <v>--</v>
          </cell>
          <cell r="J2483">
            <v>3</v>
          </cell>
          <cell r="K2483">
            <v>3</v>
          </cell>
        </row>
        <row r="2484">
          <cell r="A2484" t="str">
            <v>M2</v>
          </cell>
          <cell r="B2484" t="str">
            <v>A5C</v>
          </cell>
          <cell r="C2484" t="str">
            <v>P</v>
          </cell>
          <cell r="D2484" t="str">
            <v>23094</v>
          </cell>
          <cell r="E2484" t="str">
            <v>TEE</v>
          </cell>
          <cell r="F2484">
            <v>2</v>
          </cell>
          <cell r="G2484" t="str">
            <v>CB400300000T00</v>
          </cell>
          <cell r="H2484">
            <v>0.75</v>
          </cell>
          <cell r="I2484" t="str">
            <v>--</v>
          </cell>
          <cell r="J2484">
            <v>2</v>
          </cell>
          <cell r="K2484">
            <v>2</v>
          </cell>
        </row>
        <row r="2485">
          <cell r="A2485" t="str">
            <v>M2</v>
          </cell>
          <cell r="B2485" t="str">
            <v>A5C</v>
          </cell>
          <cell r="C2485" t="str">
            <v>P</v>
          </cell>
          <cell r="D2485" t="str">
            <v>23094</v>
          </cell>
          <cell r="E2485" t="str">
            <v>TEE</v>
          </cell>
          <cell r="F2485">
            <v>2</v>
          </cell>
          <cell r="G2485" t="str">
            <v>CB400300000T00</v>
          </cell>
          <cell r="H2485">
            <v>0.75</v>
          </cell>
          <cell r="I2485" t="str">
            <v>--</v>
          </cell>
          <cell r="J2485">
            <v>8</v>
          </cell>
          <cell r="K2485">
            <v>8</v>
          </cell>
        </row>
        <row r="2486">
          <cell r="A2486" t="str">
            <v>M2</v>
          </cell>
          <cell r="B2486" t="str">
            <v>A5C</v>
          </cell>
          <cell r="C2486" t="str">
            <v>P</v>
          </cell>
          <cell r="D2486" t="str">
            <v>23101</v>
          </cell>
          <cell r="E2486" t="str">
            <v>TEE</v>
          </cell>
          <cell r="F2486">
            <v>2</v>
          </cell>
          <cell r="G2486" t="str">
            <v>CB400300000T00</v>
          </cell>
          <cell r="H2486">
            <v>0.75</v>
          </cell>
          <cell r="I2486" t="str">
            <v>--</v>
          </cell>
          <cell r="J2486">
            <v>2</v>
          </cell>
          <cell r="K2486">
            <v>2</v>
          </cell>
        </row>
        <row r="2487">
          <cell r="A2487" t="str">
            <v>M2</v>
          </cell>
          <cell r="B2487" t="str">
            <v>A5C</v>
          </cell>
          <cell r="C2487" t="str">
            <v>P</v>
          </cell>
          <cell r="D2487" t="str">
            <v>23096</v>
          </cell>
          <cell r="E2487" t="str">
            <v>TEE</v>
          </cell>
          <cell r="F2487">
            <v>2</v>
          </cell>
          <cell r="G2487" t="str">
            <v>CB400300000T00</v>
          </cell>
          <cell r="H2487">
            <v>0.75</v>
          </cell>
          <cell r="I2487" t="str">
            <v>--</v>
          </cell>
          <cell r="J2487">
            <v>2</v>
          </cell>
          <cell r="K2487">
            <v>2</v>
          </cell>
        </row>
        <row r="2488">
          <cell r="A2488" t="str">
            <v>M2</v>
          </cell>
          <cell r="B2488" t="str">
            <v>A5C</v>
          </cell>
          <cell r="C2488" t="str">
            <v>P</v>
          </cell>
          <cell r="D2488" t="str">
            <v>23105</v>
          </cell>
          <cell r="E2488" t="str">
            <v>TEE</v>
          </cell>
          <cell r="F2488">
            <v>2</v>
          </cell>
          <cell r="G2488" t="str">
            <v>CB400300000T00</v>
          </cell>
          <cell r="H2488">
            <v>0.75</v>
          </cell>
          <cell r="I2488" t="str">
            <v>--</v>
          </cell>
          <cell r="J2488">
            <v>2</v>
          </cell>
          <cell r="K2488">
            <v>2</v>
          </cell>
        </row>
        <row r="2489">
          <cell r="A2489" t="str">
            <v>M2</v>
          </cell>
          <cell r="B2489" t="str">
            <v>A5C</v>
          </cell>
          <cell r="C2489" t="str">
            <v>P</v>
          </cell>
          <cell r="D2489" t="str">
            <v>23109</v>
          </cell>
          <cell r="E2489" t="str">
            <v>TEE</v>
          </cell>
          <cell r="F2489">
            <v>2</v>
          </cell>
          <cell r="G2489" t="str">
            <v>CB400300000T00</v>
          </cell>
          <cell r="H2489">
            <v>0.75</v>
          </cell>
          <cell r="I2489" t="str">
            <v>--</v>
          </cell>
          <cell r="J2489">
            <v>2</v>
          </cell>
          <cell r="K2489">
            <v>2</v>
          </cell>
        </row>
        <row r="2490">
          <cell r="A2490" t="str">
            <v>M2</v>
          </cell>
          <cell r="B2490" t="str">
            <v>A5C</v>
          </cell>
          <cell r="C2490" t="str">
            <v>P</v>
          </cell>
          <cell r="D2490" t="str">
            <v>23124</v>
          </cell>
          <cell r="E2490" t="str">
            <v>TEE</v>
          </cell>
          <cell r="F2490">
            <v>2</v>
          </cell>
          <cell r="G2490" t="str">
            <v>CB400300000T00</v>
          </cell>
          <cell r="H2490">
            <v>0.75</v>
          </cell>
          <cell r="I2490" t="str">
            <v>--</v>
          </cell>
          <cell r="J2490">
            <v>2</v>
          </cell>
          <cell r="K2490">
            <v>2</v>
          </cell>
        </row>
        <row r="2491">
          <cell r="A2491" t="str">
            <v>M2</v>
          </cell>
          <cell r="B2491" t="str">
            <v>A5C</v>
          </cell>
          <cell r="C2491" t="str">
            <v>P</v>
          </cell>
          <cell r="D2491" t="str">
            <v>23133</v>
          </cell>
          <cell r="E2491" t="str">
            <v>TEE</v>
          </cell>
          <cell r="F2491">
            <v>2</v>
          </cell>
          <cell r="G2491" t="str">
            <v>CB400300000T00</v>
          </cell>
          <cell r="H2491">
            <v>0.75</v>
          </cell>
          <cell r="I2491" t="str">
            <v>--</v>
          </cell>
          <cell r="J2491">
            <v>2</v>
          </cell>
          <cell r="K2491">
            <v>2</v>
          </cell>
        </row>
        <row r="2492">
          <cell r="A2492" t="str">
            <v>M2</v>
          </cell>
          <cell r="B2492" t="str">
            <v>A5C</v>
          </cell>
          <cell r="C2492" t="str">
            <v>P</v>
          </cell>
          <cell r="D2492" t="str">
            <v>23135</v>
          </cell>
          <cell r="E2492" t="str">
            <v>TEE</v>
          </cell>
          <cell r="F2492">
            <v>2</v>
          </cell>
          <cell r="G2492" t="str">
            <v>CB400300000T00</v>
          </cell>
          <cell r="H2492">
            <v>0.75</v>
          </cell>
          <cell r="I2492" t="str">
            <v>--</v>
          </cell>
          <cell r="J2492">
            <v>2</v>
          </cell>
          <cell r="K2492">
            <v>2</v>
          </cell>
        </row>
        <row r="2493">
          <cell r="A2493" t="str">
            <v>M2</v>
          </cell>
          <cell r="B2493" t="str">
            <v>A5C</v>
          </cell>
          <cell r="C2493" t="str">
            <v>P</v>
          </cell>
          <cell r="D2493" t="str">
            <v>23141</v>
          </cell>
          <cell r="E2493" t="str">
            <v>TEE</v>
          </cell>
          <cell r="F2493">
            <v>2</v>
          </cell>
          <cell r="G2493" t="str">
            <v>CB400300000T00</v>
          </cell>
          <cell r="H2493">
            <v>0.75</v>
          </cell>
          <cell r="I2493" t="str">
            <v>--</v>
          </cell>
          <cell r="J2493">
            <v>2</v>
          </cell>
          <cell r="K2493">
            <v>2</v>
          </cell>
        </row>
        <row r="2494">
          <cell r="A2494" t="str">
            <v>M2</v>
          </cell>
          <cell r="B2494" t="str">
            <v>A5C</v>
          </cell>
          <cell r="C2494" t="str">
            <v>P</v>
          </cell>
          <cell r="D2494" t="str">
            <v>23145</v>
          </cell>
          <cell r="E2494" t="str">
            <v>TEE</v>
          </cell>
          <cell r="F2494">
            <v>2</v>
          </cell>
          <cell r="G2494" t="str">
            <v>CB400300000T00</v>
          </cell>
          <cell r="H2494">
            <v>0.75</v>
          </cell>
          <cell r="I2494" t="str">
            <v>--</v>
          </cell>
          <cell r="J2494">
            <v>2</v>
          </cell>
          <cell r="K2494">
            <v>2</v>
          </cell>
        </row>
        <row r="2495">
          <cell r="A2495" t="str">
            <v>M2</v>
          </cell>
          <cell r="B2495" t="str">
            <v>A5C</v>
          </cell>
          <cell r="C2495" t="str">
            <v>P</v>
          </cell>
          <cell r="D2495" t="str">
            <v>23225</v>
          </cell>
          <cell r="E2495" t="str">
            <v>TEE</v>
          </cell>
          <cell r="F2495">
            <v>2</v>
          </cell>
          <cell r="G2495" t="str">
            <v>CB400300000T00</v>
          </cell>
          <cell r="H2495">
            <v>0.75</v>
          </cell>
          <cell r="I2495" t="str">
            <v>--</v>
          </cell>
          <cell r="J2495">
            <v>3</v>
          </cell>
          <cell r="K2495">
            <v>3</v>
          </cell>
        </row>
        <row r="2496">
          <cell r="A2496" t="str">
            <v>M2</v>
          </cell>
          <cell r="B2496" t="str">
            <v>A5C</v>
          </cell>
          <cell r="C2496" t="str">
            <v>P</v>
          </cell>
          <cell r="D2496" t="str">
            <v>23234</v>
          </cell>
          <cell r="E2496" t="str">
            <v>TEE</v>
          </cell>
          <cell r="F2496">
            <v>2</v>
          </cell>
          <cell r="G2496" t="str">
            <v>CB400300000T00</v>
          </cell>
          <cell r="H2496">
            <v>0.75</v>
          </cell>
          <cell r="I2496" t="str">
            <v>--</v>
          </cell>
          <cell r="J2496">
            <v>2</v>
          </cell>
          <cell r="K2496">
            <v>2</v>
          </cell>
        </row>
        <row r="2497">
          <cell r="A2497" t="str">
            <v>M2</v>
          </cell>
          <cell r="B2497" t="str">
            <v>A5C</v>
          </cell>
          <cell r="C2497" t="str">
            <v>P</v>
          </cell>
          <cell r="D2497" t="str">
            <v>23247</v>
          </cell>
          <cell r="E2497" t="str">
            <v>TEE</v>
          </cell>
          <cell r="F2497">
            <v>2</v>
          </cell>
          <cell r="G2497" t="str">
            <v>CB400300000T00</v>
          </cell>
          <cell r="H2497">
            <v>0.75</v>
          </cell>
          <cell r="I2497" t="str">
            <v>--</v>
          </cell>
          <cell r="J2497">
            <v>2</v>
          </cell>
          <cell r="K2497">
            <v>2</v>
          </cell>
        </row>
        <row r="2498">
          <cell r="A2498" t="str">
            <v>M2</v>
          </cell>
          <cell r="B2498" t="str">
            <v>A5C</v>
          </cell>
          <cell r="C2498" t="str">
            <v>N</v>
          </cell>
          <cell r="D2498" t="str">
            <v>23621</v>
          </cell>
          <cell r="E2498" t="str">
            <v>TEE</v>
          </cell>
          <cell r="F2498">
            <v>2</v>
          </cell>
          <cell r="G2498" t="str">
            <v>CB400300000T00</v>
          </cell>
          <cell r="H2498">
            <v>0.75</v>
          </cell>
          <cell r="I2498" t="str">
            <v>--</v>
          </cell>
          <cell r="J2498">
            <v>1</v>
          </cell>
          <cell r="K2498">
            <v>1</v>
          </cell>
        </row>
        <row r="2499">
          <cell r="A2499" t="str">
            <v>M2</v>
          </cell>
          <cell r="B2499" t="str">
            <v>A5C</v>
          </cell>
          <cell r="C2499" t="str">
            <v>N</v>
          </cell>
          <cell r="D2499" t="str">
            <v>23647</v>
          </cell>
          <cell r="E2499" t="str">
            <v>TEE</v>
          </cell>
          <cell r="F2499">
            <v>2</v>
          </cell>
          <cell r="G2499" t="str">
            <v>CB400300000T00</v>
          </cell>
          <cell r="H2499">
            <v>0.75</v>
          </cell>
          <cell r="I2499" t="str">
            <v>--</v>
          </cell>
          <cell r="J2499">
            <v>1</v>
          </cell>
          <cell r="K2499">
            <v>1</v>
          </cell>
        </row>
        <row r="2500">
          <cell r="A2500" t="str">
            <v>M2</v>
          </cell>
          <cell r="B2500" t="str">
            <v>A5C</v>
          </cell>
          <cell r="C2500" t="str">
            <v>P</v>
          </cell>
          <cell r="D2500" t="str">
            <v>23085</v>
          </cell>
          <cell r="E2500" t="str">
            <v>TEE</v>
          </cell>
          <cell r="F2500">
            <v>2</v>
          </cell>
          <cell r="G2500" t="str">
            <v>CB400300000T00</v>
          </cell>
          <cell r="H2500">
            <v>0.75</v>
          </cell>
          <cell r="I2500" t="str">
            <v>--</v>
          </cell>
          <cell r="J2500">
            <v>2</v>
          </cell>
          <cell r="K2500">
            <v>2</v>
          </cell>
        </row>
        <row r="2501">
          <cell r="A2501" t="str">
            <v>M2</v>
          </cell>
          <cell r="B2501" t="str">
            <v>A5C</v>
          </cell>
          <cell r="C2501" t="str">
            <v>P</v>
          </cell>
          <cell r="D2501" t="str">
            <v>23113</v>
          </cell>
          <cell r="E2501" t="str">
            <v>TEE</v>
          </cell>
          <cell r="F2501">
            <v>2</v>
          </cell>
          <cell r="G2501" t="str">
            <v>CB400300000T00</v>
          </cell>
          <cell r="H2501">
            <v>0.75</v>
          </cell>
          <cell r="I2501" t="str">
            <v>--</v>
          </cell>
          <cell r="J2501">
            <v>1</v>
          </cell>
          <cell r="K2501">
            <v>1</v>
          </cell>
        </row>
        <row r="2502">
          <cell r="A2502" t="str">
            <v>M2</v>
          </cell>
          <cell r="B2502" t="str">
            <v>A5C</v>
          </cell>
          <cell r="C2502" t="str">
            <v>P</v>
          </cell>
          <cell r="D2502" t="str">
            <v>23113</v>
          </cell>
          <cell r="E2502" t="str">
            <v>TEE</v>
          </cell>
          <cell r="F2502">
            <v>2</v>
          </cell>
          <cell r="G2502" t="str">
            <v>CB400300000T00</v>
          </cell>
          <cell r="H2502">
            <v>0.75</v>
          </cell>
          <cell r="I2502" t="str">
            <v>--</v>
          </cell>
          <cell r="J2502">
            <v>2</v>
          </cell>
          <cell r="K2502">
            <v>2</v>
          </cell>
        </row>
        <row r="2503">
          <cell r="A2503" t="str">
            <v>M2</v>
          </cell>
          <cell r="B2503" t="str">
            <v>A5C</v>
          </cell>
          <cell r="C2503" t="str">
            <v>P</v>
          </cell>
          <cell r="D2503" t="str">
            <v>23141</v>
          </cell>
          <cell r="E2503" t="str">
            <v>TEE</v>
          </cell>
          <cell r="F2503">
            <v>2</v>
          </cell>
          <cell r="G2503" t="str">
            <v>CB400300000T00</v>
          </cell>
          <cell r="H2503">
            <v>0.75</v>
          </cell>
          <cell r="I2503" t="str">
            <v>--</v>
          </cell>
          <cell r="J2503">
            <v>5</v>
          </cell>
          <cell r="K2503">
            <v>5</v>
          </cell>
        </row>
        <row r="2504">
          <cell r="A2504" t="str">
            <v>M2</v>
          </cell>
          <cell r="B2504" t="str">
            <v>A5C</v>
          </cell>
          <cell r="C2504" t="str">
            <v>P</v>
          </cell>
          <cell r="D2504" t="str">
            <v>23188</v>
          </cell>
          <cell r="E2504" t="str">
            <v>TEE</v>
          </cell>
          <cell r="F2504">
            <v>2</v>
          </cell>
          <cell r="G2504" t="str">
            <v>CB400300000T00</v>
          </cell>
          <cell r="H2504">
            <v>0.75</v>
          </cell>
          <cell r="I2504" t="str">
            <v>--</v>
          </cell>
          <cell r="J2504">
            <v>5</v>
          </cell>
          <cell r="K2504">
            <v>5</v>
          </cell>
        </row>
        <row r="2505">
          <cell r="A2505" t="str">
            <v>M2</v>
          </cell>
          <cell r="B2505" t="str">
            <v>A5C</v>
          </cell>
          <cell r="C2505" t="str">
            <v>P</v>
          </cell>
          <cell r="D2505" t="str">
            <v>23238</v>
          </cell>
          <cell r="E2505" t="str">
            <v>TEE</v>
          </cell>
          <cell r="F2505">
            <v>2</v>
          </cell>
          <cell r="G2505" t="str">
            <v>CB400300000T00</v>
          </cell>
          <cell r="H2505">
            <v>0.75</v>
          </cell>
          <cell r="I2505" t="str">
            <v>--</v>
          </cell>
          <cell r="J2505">
            <v>2</v>
          </cell>
          <cell r="K2505">
            <v>2</v>
          </cell>
        </row>
        <row r="2506">
          <cell r="A2506" t="str">
            <v>M2</v>
          </cell>
          <cell r="B2506" t="str">
            <v>A5C</v>
          </cell>
          <cell r="C2506" t="str">
            <v>P</v>
          </cell>
          <cell r="D2506" t="str">
            <v>24024</v>
          </cell>
          <cell r="E2506" t="str">
            <v>TEE</v>
          </cell>
          <cell r="F2506">
            <v>2</v>
          </cell>
          <cell r="G2506" t="str">
            <v>CB400300000T00</v>
          </cell>
          <cell r="H2506">
            <v>0.75</v>
          </cell>
          <cell r="I2506" t="str">
            <v>--</v>
          </cell>
          <cell r="J2506">
            <v>5</v>
          </cell>
          <cell r="K2506">
            <v>5</v>
          </cell>
        </row>
        <row r="2507">
          <cell r="A2507" t="str">
            <v>M2</v>
          </cell>
          <cell r="B2507" t="str">
            <v>A5C</v>
          </cell>
          <cell r="C2507" t="str">
            <v>P</v>
          </cell>
          <cell r="D2507" t="str">
            <v>23059</v>
          </cell>
          <cell r="E2507" t="str">
            <v>90 ELL</v>
          </cell>
          <cell r="F2507">
            <v>2</v>
          </cell>
          <cell r="G2507" t="str">
            <v>CB400100000T00</v>
          </cell>
          <cell r="H2507">
            <v>0.75</v>
          </cell>
          <cell r="I2507" t="str">
            <v>--</v>
          </cell>
          <cell r="J2507">
            <v>13</v>
          </cell>
          <cell r="K2507">
            <v>13</v>
          </cell>
        </row>
        <row r="2508">
          <cell r="A2508" t="str">
            <v>M2</v>
          </cell>
          <cell r="B2508" t="str">
            <v>A5C</v>
          </cell>
          <cell r="C2508" t="str">
            <v>P</v>
          </cell>
          <cell r="D2508" t="str">
            <v>23183</v>
          </cell>
          <cell r="E2508" t="str">
            <v>90 ELL</v>
          </cell>
          <cell r="F2508">
            <v>2</v>
          </cell>
          <cell r="G2508" t="str">
            <v>CB400100000T00</v>
          </cell>
          <cell r="H2508">
            <v>0.75</v>
          </cell>
          <cell r="I2508" t="str">
            <v>--</v>
          </cell>
          <cell r="J2508">
            <v>5</v>
          </cell>
          <cell r="K2508">
            <v>5</v>
          </cell>
        </row>
        <row r="2509">
          <cell r="A2509" t="str">
            <v>M2</v>
          </cell>
          <cell r="B2509" t="str">
            <v>A5C</v>
          </cell>
          <cell r="C2509" t="str">
            <v>P</v>
          </cell>
          <cell r="D2509" t="str">
            <v>23059</v>
          </cell>
          <cell r="E2509" t="str">
            <v>CAP</v>
          </cell>
          <cell r="F2509">
            <v>2</v>
          </cell>
          <cell r="G2509" t="str">
            <v>CB520700000T00</v>
          </cell>
          <cell r="H2509">
            <v>0.75</v>
          </cell>
          <cell r="I2509" t="str">
            <v>--</v>
          </cell>
          <cell r="J2509">
            <v>2</v>
          </cell>
          <cell r="K2509">
            <v>2</v>
          </cell>
        </row>
        <row r="2510">
          <cell r="A2510" t="str">
            <v>M2</v>
          </cell>
          <cell r="B2510" t="str">
            <v>A5C</v>
          </cell>
          <cell r="C2510" t="str">
            <v>P</v>
          </cell>
          <cell r="D2510" t="str">
            <v>23059</v>
          </cell>
          <cell r="E2510" t="str">
            <v>CAP</v>
          </cell>
          <cell r="F2510">
            <v>2</v>
          </cell>
          <cell r="G2510" t="str">
            <v>CB520700000T00</v>
          </cell>
          <cell r="H2510">
            <v>0.75</v>
          </cell>
          <cell r="I2510" t="str">
            <v>--</v>
          </cell>
          <cell r="J2510">
            <v>1</v>
          </cell>
          <cell r="K2510">
            <v>1</v>
          </cell>
        </row>
        <row r="2511">
          <cell r="A2511" t="str">
            <v>M2</v>
          </cell>
          <cell r="B2511" t="str">
            <v>A5C</v>
          </cell>
          <cell r="C2511" t="str">
            <v>P</v>
          </cell>
          <cell r="D2511" t="str">
            <v>23264</v>
          </cell>
          <cell r="E2511" t="str">
            <v>CAP</v>
          </cell>
          <cell r="F2511">
            <v>2</v>
          </cell>
          <cell r="G2511" t="str">
            <v>CB520700000T00</v>
          </cell>
          <cell r="H2511">
            <v>0.75</v>
          </cell>
          <cell r="I2511" t="str">
            <v>--</v>
          </cell>
          <cell r="J2511">
            <v>1</v>
          </cell>
          <cell r="K2511">
            <v>1</v>
          </cell>
        </row>
        <row r="2512">
          <cell r="A2512" t="str">
            <v>M2</v>
          </cell>
          <cell r="B2512" t="str">
            <v>A5C</v>
          </cell>
          <cell r="C2512" t="str">
            <v>TRIM</v>
          </cell>
          <cell r="D2512" t="str">
            <v>V-2352</v>
          </cell>
          <cell r="E2512" t="str">
            <v>CAP</v>
          </cell>
          <cell r="F2512">
            <v>2</v>
          </cell>
          <cell r="G2512" t="str">
            <v>CB520700000T00</v>
          </cell>
          <cell r="H2512">
            <v>0.75</v>
          </cell>
          <cell r="I2512" t="str">
            <v>--</v>
          </cell>
          <cell r="J2512">
            <v>2</v>
          </cell>
          <cell r="K2512">
            <v>2</v>
          </cell>
        </row>
        <row r="2513">
          <cell r="A2513" t="str">
            <v>M2</v>
          </cell>
          <cell r="B2513" t="str">
            <v>A5C</v>
          </cell>
          <cell r="C2513" t="str">
            <v>P</v>
          </cell>
          <cell r="D2513" t="str">
            <v>23059</v>
          </cell>
          <cell r="E2513" t="str">
            <v>CPLG</v>
          </cell>
          <cell r="F2513">
            <v>2</v>
          </cell>
          <cell r="G2513" t="str">
            <v>CB400500000T00</v>
          </cell>
          <cell r="H2513">
            <v>0.75</v>
          </cell>
          <cell r="I2513" t="str">
            <v>--</v>
          </cell>
          <cell r="J2513">
            <v>1</v>
          </cell>
          <cell r="K2513">
            <v>1</v>
          </cell>
        </row>
        <row r="2514">
          <cell r="A2514" t="str">
            <v>M2</v>
          </cell>
          <cell r="B2514" t="str">
            <v>A5C</v>
          </cell>
          <cell r="C2514" t="str">
            <v>P</v>
          </cell>
          <cell r="D2514" t="str">
            <v>23183</v>
          </cell>
          <cell r="E2514" t="str">
            <v>CPLG</v>
          </cell>
          <cell r="F2514">
            <v>2</v>
          </cell>
          <cell r="G2514" t="str">
            <v>CB400500000T00</v>
          </cell>
          <cell r="H2514">
            <v>0.75</v>
          </cell>
          <cell r="I2514" t="str">
            <v>--</v>
          </cell>
          <cell r="J2514">
            <v>1</v>
          </cell>
          <cell r="K2514">
            <v>1</v>
          </cell>
        </row>
        <row r="2515">
          <cell r="A2515" t="str">
            <v>M2</v>
          </cell>
          <cell r="B2515" t="str">
            <v>A5C</v>
          </cell>
          <cell r="C2515" t="str">
            <v>P</v>
          </cell>
          <cell r="D2515" t="str">
            <v>23059</v>
          </cell>
          <cell r="E2515" t="str">
            <v>TEE</v>
          </cell>
          <cell r="F2515">
            <v>2</v>
          </cell>
          <cell r="G2515" t="str">
            <v>CB400300000T00</v>
          </cell>
          <cell r="H2515">
            <v>0.75</v>
          </cell>
          <cell r="I2515" t="str">
            <v>--</v>
          </cell>
          <cell r="J2515">
            <v>2</v>
          </cell>
          <cell r="K2515">
            <v>2</v>
          </cell>
        </row>
        <row r="2516">
          <cell r="A2516" t="str">
            <v>M2</v>
          </cell>
          <cell r="B2516" t="str">
            <v>A5C</v>
          </cell>
          <cell r="C2516" t="str">
            <v>P</v>
          </cell>
          <cell r="D2516" t="str">
            <v>23018</v>
          </cell>
          <cell r="E2516" t="str">
            <v>90 ELL</v>
          </cell>
          <cell r="F2516">
            <v>2</v>
          </cell>
          <cell r="G2516" t="str">
            <v>CB400100000T00</v>
          </cell>
          <cell r="H2516">
            <v>0.75</v>
          </cell>
          <cell r="I2516" t="str">
            <v>--</v>
          </cell>
          <cell r="J2516">
            <v>2</v>
          </cell>
          <cell r="K2516">
            <v>2</v>
          </cell>
        </row>
        <row r="2517">
          <cell r="A2517" t="str">
            <v>M2</v>
          </cell>
          <cell r="B2517" t="str">
            <v>A5C</v>
          </cell>
          <cell r="C2517" t="str">
            <v>P</v>
          </cell>
          <cell r="D2517" t="str">
            <v>23018</v>
          </cell>
          <cell r="E2517" t="str">
            <v>90 ELL</v>
          </cell>
          <cell r="F2517">
            <v>2</v>
          </cell>
          <cell r="G2517" t="str">
            <v>CB400100000T00</v>
          </cell>
          <cell r="H2517">
            <v>0.75</v>
          </cell>
          <cell r="I2517" t="str">
            <v>--</v>
          </cell>
          <cell r="J2517">
            <v>1</v>
          </cell>
          <cell r="K2517">
            <v>1</v>
          </cell>
        </row>
        <row r="2518">
          <cell r="A2518" t="str">
            <v>M2</v>
          </cell>
          <cell r="B2518" t="str">
            <v>A5C</v>
          </cell>
          <cell r="C2518" t="str">
            <v>P</v>
          </cell>
          <cell r="D2518" t="str">
            <v>23027</v>
          </cell>
          <cell r="E2518" t="str">
            <v>90 ELL</v>
          </cell>
          <cell r="F2518">
            <v>2</v>
          </cell>
          <cell r="G2518" t="str">
            <v>CB400100000T00</v>
          </cell>
          <cell r="H2518">
            <v>0.75</v>
          </cell>
          <cell r="I2518" t="str">
            <v>--</v>
          </cell>
          <cell r="J2518">
            <v>1</v>
          </cell>
          <cell r="K2518">
            <v>1</v>
          </cell>
        </row>
        <row r="2519">
          <cell r="A2519" t="str">
            <v>M2</v>
          </cell>
          <cell r="B2519" t="str">
            <v>A5C</v>
          </cell>
          <cell r="C2519" t="str">
            <v>P</v>
          </cell>
          <cell r="D2519" t="str">
            <v>23032</v>
          </cell>
          <cell r="E2519" t="str">
            <v>90 ELL</v>
          </cell>
          <cell r="F2519">
            <v>2</v>
          </cell>
          <cell r="G2519" t="str">
            <v>CB400100000T00</v>
          </cell>
          <cell r="H2519">
            <v>0.75</v>
          </cell>
          <cell r="I2519" t="str">
            <v>--</v>
          </cell>
          <cell r="J2519">
            <v>2</v>
          </cell>
          <cell r="K2519">
            <v>2</v>
          </cell>
        </row>
        <row r="2520">
          <cell r="A2520" t="str">
            <v>M2</v>
          </cell>
          <cell r="B2520" t="str">
            <v>A5C</v>
          </cell>
          <cell r="C2520" t="str">
            <v>P</v>
          </cell>
          <cell r="D2520" t="str">
            <v>23048</v>
          </cell>
          <cell r="E2520" t="str">
            <v>90 ELL</v>
          </cell>
          <cell r="F2520">
            <v>2</v>
          </cell>
          <cell r="G2520" t="str">
            <v>CB400100000T00</v>
          </cell>
          <cell r="H2520">
            <v>0.75</v>
          </cell>
          <cell r="I2520" t="str">
            <v>--</v>
          </cell>
          <cell r="J2520">
            <v>4</v>
          </cell>
          <cell r="K2520">
            <v>4</v>
          </cell>
        </row>
        <row r="2521">
          <cell r="A2521" t="str">
            <v>M2</v>
          </cell>
          <cell r="B2521" t="str">
            <v>A5C</v>
          </cell>
          <cell r="C2521" t="str">
            <v>P</v>
          </cell>
          <cell r="D2521" t="str">
            <v>23048</v>
          </cell>
          <cell r="E2521" t="str">
            <v>90 ELL</v>
          </cell>
          <cell r="F2521">
            <v>2</v>
          </cell>
          <cell r="G2521" t="str">
            <v>CB400100000T00</v>
          </cell>
          <cell r="H2521">
            <v>0.75</v>
          </cell>
          <cell r="I2521" t="str">
            <v>--</v>
          </cell>
          <cell r="J2521">
            <v>7</v>
          </cell>
          <cell r="K2521">
            <v>7</v>
          </cell>
        </row>
        <row r="2522">
          <cell r="A2522" t="str">
            <v>M2</v>
          </cell>
          <cell r="B2522" t="str">
            <v>A5C</v>
          </cell>
          <cell r="C2522" t="str">
            <v>P</v>
          </cell>
          <cell r="D2522" t="str">
            <v>23053</v>
          </cell>
          <cell r="E2522" t="str">
            <v>90 ELL</v>
          </cell>
          <cell r="F2522">
            <v>2</v>
          </cell>
          <cell r="G2522" t="str">
            <v>CB400100000T00</v>
          </cell>
          <cell r="H2522">
            <v>0.75</v>
          </cell>
          <cell r="I2522" t="str">
            <v>--</v>
          </cell>
          <cell r="J2522">
            <v>14</v>
          </cell>
          <cell r="K2522">
            <v>14</v>
          </cell>
        </row>
        <row r="2523">
          <cell r="A2523" t="str">
            <v>M2</v>
          </cell>
          <cell r="B2523" t="str">
            <v>A5C</v>
          </cell>
          <cell r="C2523" t="str">
            <v>P</v>
          </cell>
          <cell r="D2523" t="str">
            <v>23065</v>
          </cell>
          <cell r="E2523" t="str">
            <v>90 ELL</v>
          </cell>
          <cell r="F2523">
            <v>2</v>
          </cell>
          <cell r="G2523" t="str">
            <v>CB400100000T00</v>
          </cell>
          <cell r="H2523">
            <v>0.75</v>
          </cell>
          <cell r="I2523" t="str">
            <v>--</v>
          </cell>
          <cell r="J2523">
            <v>6</v>
          </cell>
          <cell r="K2523">
            <v>6</v>
          </cell>
        </row>
        <row r="2524">
          <cell r="A2524" t="str">
            <v>M2</v>
          </cell>
          <cell r="B2524" t="str">
            <v>A5C</v>
          </cell>
          <cell r="C2524" t="str">
            <v>P</v>
          </cell>
          <cell r="D2524" t="str">
            <v>23079</v>
          </cell>
          <cell r="E2524" t="str">
            <v>90 ELL</v>
          </cell>
          <cell r="F2524">
            <v>2</v>
          </cell>
          <cell r="G2524" t="str">
            <v>CB400100000T00</v>
          </cell>
          <cell r="H2524">
            <v>0.75</v>
          </cell>
          <cell r="I2524" t="str">
            <v>--</v>
          </cell>
          <cell r="J2524">
            <v>13</v>
          </cell>
          <cell r="K2524">
            <v>13</v>
          </cell>
        </row>
        <row r="2525">
          <cell r="A2525" t="str">
            <v>M2</v>
          </cell>
          <cell r="B2525" t="str">
            <v>A5C</v>
          </cell>
          <cell r="C2525" t="str">
            <v>P</v>
          </cell>
          <cell r="D2525" t="str">
            <v>23155</v>
          </cell>
          <cell r="E2525" t="str">
            <v>90 ELL</v>
          </cell>
          <cell r="F2525">
            <v>2</v>
          </cell>
          <cell r="G2525" t="str">
            <v>CB400100000T00</v>
          </cell>
          <cell r="H2525">
            <v>0.75</v>
          </cell>
          <cell r="I2525" t="str">
            <v>--</v>
          </cell>
          <cell r="J2525">
            <v>7</v>
          </cell>
          <cell r="K2525">
            <v>7</v>
          </cell>
        </row>
        <row r="2526">
          <cell r="A2526" t="str">
            <v>M2</v>
          </cell>
          <cell r="B2526" t="str">
            <v>A5C</v>
          </cell>
          <cell r="C2526" t="str">
            <v>P</v>
          </cell>
          <cell r="D2526" t="str">
            <v>23163</v>
          </cell>
          <cell r="E2526" t="str">
            <v>90 ELL</v>
          </cell>
          <cell r="F2526">
            <v>2</v>
          </cell>
          <cell r="G2526" t="str">
            <v>CB400100000T00</v>
          </cell>
          <cell r="H2526">
            <v>0.75</v>
          </cell>
          <cell r="I2526" t="str">
            <v>--</v>
          </cell>
          <cell r="J2526">
            <v>6</v>
          </cell>
          <cell r="K2526">
            <v>6</v>
          </cell>
        </row>
        <row r="2527">
          <cell r="A2527" t="str">
            <v>M2</v>
          </cell>
          <cell r="B2527" t="str">
            <v>A5C</v>
          </cell>
          <cell r="C2527" t="str">
            <v>P</v>
          </cell>
          <cell r="D2527" t="str">
            <v>23173</v>
          </cell>
          <cell r="E2527" t="str">
            <v>90 ELL</v>
          </cell>
          <cell r="F2527">
            <v>2</v>
          </cell>
          <cell r="G2527" t="str">
            <v>CB400100000T00</v>
          </cell>
          <cell r="H2527">
            <v>0.75</v>
          </cell>
          <cell r="I2527" t="str">
            <v>--</v>
          </cell>
          <cell r="J2527">
            <v>10</v>
          </cell>
          <cell r="K2527">
            <v>10</v>
          </cell>
        </row>
        <row r="2528">
          <cell r="A2528" t="str">
            <v>M2</v>
          </cell>
          <cell r="B2528" t="str">
            <v>A5C</v>
          </cell>
          <cell r="C2528" t="str">
            <v>P</v>
          </cell>
          <cell r="D2528" t="str">
            <v>23180</v>
          </cell>
          <cell r="E2528" t="str">
            <v>90 ELL</v>
          </cell>
          <cell r="F2528">
            <v>2</v>
          </cell>
          <cell r="G2528" t="str">
            <v>CB400100000T00</v>
          </cell>
          <cell r="H2528">
            <v>0.75</v>
          </cell>
          <cell r="I2528" t="str">
            <v>--</v>
          </cell>
          <cell r="J2528">
            <v>10</v>
          </cell>
          <cell r="K2528">
            <v>10</v>
          </cell>
        </row>
        <row r="2529">
          <cell r="A2529" t="str">
            <v>M2</v>
          </cell>
          <cell r="B2529" t="str">
            <v>A5C</v>
          </cell>
          <cell r="C2529" t="str">
            <v>P</v>
          </cell>
          <cell r="D2529" t="str">
            <v>23184</v>
          </cell>
          <cell r="E2529" t="str">
            <v>90 ELL</v>
          </cell>
          <cell r="F2529">
            <v>2</v>
          </cell>
          <cell r="G2529" t="str">
            <v>CB400100000T00</v>
          </cell>
          <cell r="H2529">
            <v>0.75</v>
          </cell>
          <cell r="I2529" t="str">
            <v>--</v>
          </cell>
          <cell r="J2529">
            <v>5</v>
          </cell>
          <cell r="K2529">
            <v>5</v>
          </cell>
        </row>
        <row r="2530">
          <cell r="A2530" t="str">
            <v>M2</v>
          </cell>
          <cell r="B2530" t="str">
            <v>A5C</v>
          </cell>
          <cell r="C2530" t="str">
            <v>P</v>
          </cell>
          <cell r="D2530" t="str">
            <v>23191</v>
          </cell>
          <cell r="E2530" t="str">
            <v>90 ELL</v>
          </cell>
          <cell r="F2530">
            <v>2</v>
          </cell>
          <cell r="G2530" t="str">
            <v>CB400100000T00</v>
          </cell>
          <cell r="H2530">
            <v>0.75</v>
          </cell>
          <cell r="I2530" t="str">
            <v>--</v>
          </cell>
          <cell r="J2530">
            <v>10</v>
          </cell>
          <cell r="K2530">
            <v>10</v>
          </cell>
        </row>
        <row r="2531">
          <cell r="A2531" t="str">
            <v>M2</v>
          </cell>
          <cell r="B2531" t="str">
            <v>A5C</v>
          </cell>
          <cell r="C2531" t="str">
            <v>P</v>
          </cell>
          <cell r="D2531" t="str">
            <v>23193</v>
          </cell>
          <cell r="E2531" t="str">
            <v>90 ELL</v>
          </cell>
          <cell r="F2531">
            <v>2</v>
          </cell>
          <cell r="G2531" t="str">
            <v>CB400100000T00</v>
          </cell>
          <cell r="H2531">
            <v>0.75</v>
          </cell>
          <cell r="I2531" t="str">
            <v>--</v>
          </cell>
          <cell r="J2531">
            <v>4</v>
          </cell>
          <cell r="K2531">
            <v>4</v>
          </cell>
        </row>
        <row r="2532">
          <cell r="A2532" t="str">
            <v>M2</v>
          </cell>
          <cell r="B2532" t="str">
            <v>A5C</v>
          </cell>
          <cell r="C2532" t="str">
            <v>P</v>
          </cell>
          <cell r="D2532" t="str">
            <v>23224</v>
          </cell>
          <cell r="E2532" t="str">
            <v>90 ELL</v>
          </cell>
          <cell r="F2532">
            <v>2</v>
          </cell>
          <cell r="G2532" t="str">
            <v>CB400100000T00</v>
          </cell>
          <cell r="H2532">
            <v>0.75</v>
          </cell>
          <cell r="I2532" t="str">
            <v>--</v>
          </cell>
          <cell r="J2532">
            <v>2</v>
          </cell>
          <cell r="K2532">
            <v>2</v>
          </cell>
        </row>
        <row r="2533">
          <cell r="A2533" t="str">
            <v>M2</v>
          </cell>
          <cell r="B2533" t="str">
            <v>A5C</v>
          </cell>
          <cell r="C2533" t="str">
            <v>P</v>
          </cell>
          <cell r="D2533" t="str">
            <v>24016</v>
          </cell>
          <cell r="E2533" t="str">
            <v>90 ELL</v>
          </cell>
          <cell r="F2533">
            <v>2</v>
          </cell>
          <cell r="G2533" t="str">
            <v>CB400100000T00</v>
          </cell>
          <cell r="H2533">
            <v>0.75</v>
          </cell>
          <cell r="I2533" t="str">
            <v>--</v>
          </cell>
          <cell r="J2533">
            <v>6</v>
          </cell>
          <cell r="K2533">
            <v>6</v>
          </cell>
        </row>
        <row r="2534">
          <cell r="A2534" t="str">
            <v>M2</v>
          </cell>
          <cell r="B2534" t="str">
            <v>A5C</v>
          </cell>
          <cell r="C2534" t="str">
            <v>P</v>
          </cell>
          <cell r="D2534" t="str">
            <v>24017</v>
          </cell>
          <cell r="E2534" t="str">
            <v>90 ELL</v>
          </cell>
          <cell r="F2534">
            <v>2</v>
          </cell>
          <cell r="G2534" t="str">
            <v>CB400100000T00</v>
          </cell>
          <cell r="H2534">
            <v>0.75</v>
          </cell>
          <cell r="I2534" t="str">
            <v>--</v>
          </cell>
          <cell r="J2534">
            <v>4</v>
          </cell>
          <cell r="K2534">
            <v>4</v>
          </cell>
        </row>
        <row r="2535">
          <cell r="A2535" t="str">
            <v>M2</v>
          </cell>
          <cell r="B2535" t="str">
            <v>A5C</v>
          </cell>
          <cell r="C2535" t="str">
            <v>TRIM</v>
          </cell>
          <cell r="D2535" t="str">
            <v>C-2302</v>
          </cell>
          <cell r="E2535" t="str">
            <v>90 ELL</v>
          </cell>
          <cell r="F2535">
            <v>2</v>
          </cell>
          <cell r="G2535" t="str">
            <v>CB400100000T00</v>
          </cell>
          <cell r="H2535">
            <v>0.75</v>
          </cell>
          <cell r="I2535" t="str">
            <v>--</v>
          </cell>
          <cell r="J2535">
            <v>1</v>
          </cell>
          <cell r="K2535">
            <v>1</v>
          </cell>
        </row>
        <row r="2536">
          <cell r="A2536" t="str">
            <v>M2</v>
          </cell>
          <cell r="B2536" t="str">
            <v>A5C</v>
          </cell>
          <cell r="C2536" t="str">
            <v>TRIM</v>
          </cell>
          <cell r="D2536" t="str">
            <v>C-2304</v>
          </cell>
          <cell r="E2536" t="str">
            <v>90 ELL</v>
          </cell>
          <cell r="F2536">
            <v>2</v>
          </cell>
          <cell r="G2536" t="str">
            <v>CB400100000T00</v>
          </cell>
          <cell r="H2536">
            <v>0.75</v>
          </cell>
          <cell r="I2536" t="str">
            <v>--</v>
          </cell>
          <cell r="J2536">
            <v>1</v>
          </cell>
          <cell r="K2536">
            <v>1</v>
          </cell>
        </row>
        <row r="2537">
          <cell r="A2537" t="str">
            <v>M2</v>
          </cell>
          <cell r="B2537" t="str">
            <v>A5C</v>
          </cell>
          <cell r="C2537" t="str">
            <v>TRIM</v>
          </cell>
          <cell r="D2537" t="str">
            <v>C-2303</v>
          </cell>
          <cell r="E2537" t="str">
            <v>90 ELL</v>
          </cell>
          <cell r="F2537">
            <v>2</v>
          </cell>
          <cell r="G2537" t="str">
            <v>CB400100000T00</v>
          </cell>
          <cell r="H2537">
            <v>0.75</v>
          </cell>
          <cell r="I2537" t="str">
            <v>--</v>
          </cell>
          <cell r="J2537">
            <v>1</v>
          </cell>
          <cell r="K2537">
            <v>1</v>
          </cell>
        </row>
        <row r="2538">
          <cell r="A2538" t="str">
            <v>M2</v>
          </cell>
          <cell r="B2538" t="str">
            <v>A5C</v>
          </cell>
          <cell r="C2538" t="str">
            <v>TRIM</v>
          </cell>
          <cell r="D2538" t="str">
            <v>C-2305</v>
          </cell>
          <cell r="E2538" t="str">
            <v>90 ELL</v>
          </cell>
          <cell r="F2538">
            <v>2</v>
          </cell>
          <cell r="G2538" t="str">
            <v>CB400100000T00</v>
          </cell>
          <cell r="H2538">
            <v>0.75</v>
          </cell>
          <cell r="I2538" t="str">
            <v>--</v>
          </cell>
          <cell r="J2538">
            <v>1</v>
          </cell>
          <cell r="K2538">
            <v>1</v>
          </cell>
        </row>
        <row r="2539">
          <cell r="A2539" t="str">
            <v>M2</v>
          </cell>
          <cell r="B2539" t="str">
            <v>A5C</v>
          </cell>
          <cell r="C2539" t="str">
            <v>TRIM</v>
          </cell>
          <cell r="D2539" t="str">
            <v>C-2306</v>
          </cell>
          <cell r="E2539" t="str">
            <v>90 ELL</v>
          </cell>
          <cell r="F2539">
            <v>2</v>
          </cell>
          <cell r="G2539" t="str">
            <v>CB400100000T00</v>
          </cell>
          <cell r="H2539">
            <v>0.75</v>
          </cell>
          <cell r="I2539" t="str">
            <v>--</v>
          </cell>
          <cell r="J2539">
            <v>1</v>
          </cell>
          <cell r="K2539">
            <v>1</v>
          </cell>
        </row>
        <row r="2540">
          <cell r="A2540" t="str">
            <v>M2</v>
          </cell>
          <cell r="B2540" t="str">
            <v>A5C</v>
          </cell>
          <cell r="C2540" t="str">
            <v>P</v>
          </cell>
          <cell r="D2540" t="str">
            <v>23028</v>
          </cell>
          <cell r="E2540" t="str">
            <v>90 ELL</v>
          </cell>
          <cell r="F2540">
            <v>2</v>
          </cell>
          <cell r="G2540" t="str">
            <v>CB400100000T00</v>
          </cell>
          <cell r="H2540">
            <v>0.75</v>
          </cell>
          <cell r="I2540" t="str">
            <v>--</v>
          </cell>
          <cell r="J2540">
            <v>13</v>
          </cell>
          <cell r="K2540">
            <v>13</v>
          </cell>
        </row>
        <row r="2541">
          <cell r="A2541" t="str">
            <v>M2</v>
          </cell>
          <cell r="B2541" t="str">
            <v>A5C</v>
          </cell>
          <cell r="C2541" t="str">
            <v>P</v>
          </cell>
          <cell r="D2541" t="str">
            <v>23053</v>
          </cell>
          <cell r="E2541" t="str">
            <v>90 ELL</v>
          </cell>
          <cell r="F2541">
            <v>2</v>
          </cell>
          <cell r="G2541" t="str">
            <v>CB400100000T00</v>
          </cell>
          <cell r="H2541">
            <v>0.75</v>
          </cell>
          <cell r="I2541" t="str">
            <v>--</v>
          </cell>
          <cell r="J2541">
            <v>1</v>
          </cell>
          <cell r="K2541">
            <v>1</v>
          </cell>
        </row>
        <row r="2542">
          <cell r="A2542" t="str">
            <v>M2</v>
          </cell>
          <cell r="B2542" t="str">
            <v>A5C</v>
          </cell>
          <cell r="C2542" t="str">
            <v>P</v>
          </cell>
          <cell r="D2542" t="str">
            <v>23080</v>
          </cell>
          <cell r="E2542" t="str">
            <v>90 ELL</v>
          </cell>
          <cell r="F2542">
            <v>2</v>
          </cell>
          <cell r="G2542" t="str">
            <v>CB400100000T00</v>
          </cell>
          <cell r="H2542">
            <v>0.75</v>
          </cell>
          <cell r="I2542" t="str">
            <v>--</v>
          </cell>
          <cell r="J2542">
            <v>13</v>
          </cell>
          <cell r="K2542">
            <v>13</v>
          </cell>
        </row>
        <row r="2543">
          <cell r="A2543" t="str">
            <v>M2</v>
          </cell>
          <cell r="B2543" t="str">
            <v>A5C</v>
          </cell>
          <cell r="C2543" t="str">
            <v>P</v>
          </cell>
          <cell r="D2543" t="str">
            <v>23176</v>
          </cell>
          <cell r="E2543" t="str">
            <v>90 ELL</v>
          </cell>
          <cell r="F2543">
            <v>2</v>
          </cell>
          <cell r="G2543" t="str">
            <v>CB400100000T00</v>
          </cell>
          <cell r="H2543">
            <v>0.75</v>
          </cell>
          <cell r="I2543" t="str">
            <v>--</v>
          </cell>
          <cell r="J2543">
            <v>4</v>
          </cell>
          <cell r="K2543">
            <v>4</v>
          </cell>
        </row>
        <row r="2544">
          <cell r="A2544" t="str">
            <v>M2</v>
          </cell>
          <cell r="B2544" t="str">
            <v>A5C</v>
          </cell>
          <cell r="C2544" t="str">
            <v>P</v>
          </cell>
          <cell r="D2544" t="str">
            <v>23219</v>
          </cell>
          <cell r="E2544" t="str">
            <v>90 ELL</v>
          </cell>
          <cell r="F2544">
            <v>2</v>
          </cell>
          <cell r="G2544" t="str">
            <v>CB400100000T00</v>
          </cell>
          <cell r="H2544">
            <v>0.75</v>
          </cell>
          <cell r="I2544" t="str">
            <v>--</v>
          </cell>
          <cell r="J2544">
            <v>5</v>
          </cell>
          <cell r="K2544">
            <v>5</v>
          </cell>
        </row>
        <row r="2545">
          <cell r="A2545" t="str">
            <v>M2</v>
          </cell>
          <cell r="B2545" t="str">
            <v>A5C</v>
          </cell>
          <cell r="C2545" t="str">
            <v>P</v>
          </cell>
          <cell r="D2545" t="str">
            <v>24018</v>
          </cell>
          <cell r="E2545" t="str">
            <v>90 ELL</v>
          </cell>
          <cell r="F2545">
            <v>2</v>
          </cell>
          <cell r="G2545" t="str">
            <v>CB400100000T00</v>
          </cell>
          <cell r="H2545">
            <v>0.75</v>
          </cell>
          <cell r="I2545" t="str">
            <v>--</v>
          </cell>
          <cell r="J2545">
            <v>8</v>
          </cell>
          <cell r="K2545">
            <v>8</v>
          </cell>
        </row>
        <row r="2546">
          <cell r="A2546" t="str">
            <v>M2</v>
          </cell>
          <cell r="B2546" t="str">
            <v>A5C</v>
          </cell>
          <cell r="C2546" t="str">
            <v>TRIM</v>
          </cell>
          <cell r="D2546" t="str">
            <v>V-2310</v>
          </cell>
          <cell r="E2546" t="str">
            <v>CAP</v>
          </cell>
          <cell r="F2546">
            <v>2</v>
          </cell>
          <cell r="G2546" t="str">
            <v>CB520700000T00</v>
          </cell>
          <cell r="H2546">
            <v>0.75</v>
          </cell>
          <cell r="I2546" t="str">
            <v>--</v>
          </cell>
          <cell r="J2546">
            <v>2</v>
          </cell>
          <cell r="K2546">
            <v>2</v>
          </cell>
        </row>
        <row r="2547">
          <cell r="A2547" t="str">
            <v>M2</v>
          </cell>
          <cell r="B2547" t="str">
            <v>A5C</v>
          </cell>
          <cell r="C2547" t="str">
            <v>P</v>
          </cell>
          <cell r="D2547" t="str">
            <v>23018</v>
          </cell>
          <cell r="E2547" t="str">
            <v>CAP</v>
          </cell>
          <cell r="F2547">
            <v>2</v>
          </cell>
          <cell r="G2547" t="str">
            <v>CB520700000T00</v>
          </cell>
          <cell r="H2547">
            <v>0.75</v>
          </cell>
          <cell r="I2547" t="str">
            <v>--</v>
          </cell>
          <cell r="J2547">
            <v>1</v>
          </cell>
          <cell r="K2547">
            <v>1</v>
          </cell>
        </row>
        <row r="2548">
          <cell r="A2548" t="str">
            <v>M2</v>
          </cell>
          <cell r="B2548" t="str">
            <v>A5C</v>
          </cell>
          <cell r="C2548" t="str">
            <v>P</v>
          </cell>
          <cell r="D2548" t="str">
            <v>23019</v>
          </cell>
          <cell r="E2548" t="str">
            <v>CAP</v>
          </cell>
          <cell r="F2548">
            <v>2</v>
          </cell>
          <cell r="G2548" t="str">
            <v>CB520700000T00</v>
          </cell>
          <cell r="H2548">
            <v>0.75</v>
          </cell>
          <cell r="I2548" t="str">
            <v>--</v>
          </cell>
          <cell r="J2548">
            <v>2</v>
          </cell>
          <cell r="K2548">
            <v>2</v>
          </cell>
        </row>
        <row r="2549">
          <cell r="A2549" t="str">
            <v>M2</v>
          </cell>
          <cell r="B2549" t="str">
            <v>A5C</v>
          </cell>
          <cell r="C2549" t="str">
            <v>P</v>
          </cell>
          <cell r="D2549" t="str">
            <v>23019</v>
          </cell>
          <cell r="E2549" t="str">
            <v>CAP</v>
          </cell>
          <cell r="F2549">
            <v>2</v>
          </cell>
          <cell r="G2549" t="str">
            <v>CB520700000T00</v>
          </cell>
          <cell r="H2549">
            <v>0.75</v>
          </cell>
          <cell r="I2549" t="str">
            <v>--</v>
          </cell>
          <cell r="J2549">
            <v>1</v>
          </cell>
          <cell r="K2549">
            <v>1</v>
          </cell>
        </row>
        <row r="2550">
          <cell r="A2550" t="str">
            <v>M2</v>
          </cell>
          <cell r="B2550" t="str">
            <v>A5C</v>
          </cell>
          <cell r="C2550" t="str">
            <v>P</v>
          </cell>
          <cell r="D2550" t="str">
            <v>23020</v>
          </cell>
          <cell r="E2550" t="str">
            <v>CAP</v>
          </cell>
          <cell r="F2550">
            <v>2</v>
          </cell>
          <cell r="G2550" t="str">
            <v>CB520700000T00</v>
          </cell>
          <cell r="H2550">
            <v>0.75</v>
          </cell>
          <cell r="I2550" t="str">
            <v>--</v>
          </cell>
          <cell r="J2550">
            <v>1</v>
          </cell>
          <cell r="K2550">
            <v>1</v>
          </cell>
        </row>
        <row r="2551">
          <cell r="A2551" t="str">
            <v>M2</v>
          </cell>
          <cell r="B2551" t="str">
            <v>A5C</v>
          </cell>
          <cell r="C2551" t="str">
            <v>P</v>
          </cell>
          <cell r="D2551" t="str">
            <v>23024</v>
          </cell>
          <cell r="E2551" t="str">
            <v>CAP</v>
          </cell>
          <cell r="F2551">
            <v>2</v>
          </cell>
          <cell r="G2551" t="str">
            <v>CB520700000T00</v>
          </cell>
          <cell r="H2551">
            <v>0.75</v>
          </cell>
          <cell r="I2551" t="str">
            <v>--</v>
          </cell>
          <cell r="J2551">
            <v>2</v>
          </cell>
          <cell r="K2551">
            <v>2</v>
          </cell>
        </row>
        <row r="2552">
          <cell r="A2552" t="str">
            <v>M2</v>
          </cell>
          <cell r="B2552" t="str">
            <v>A5C</v>
          </cell>
          <cell r="C2552" t="str">
            <v>P</v>
          </cell>
          <cell r="D2552" t="str">
            <v>23027</v>
          </cell>
          <cell r="E2552" t="str">
            <v>CAP</v>
          </cell>
          <cell r="F2552">
            <v>2</v>
          </cell>
          <cell r="G2552" t="str">
            <v>CB520700000T00</v>
          </cell>
          <cell r="H2552">
            <v>0.75</v>
          </cell>
          <cell r="I2552" t="str">
            <v>--</v>
          </cell>
          <cell r="J2552">
            <v>1</v>
          </cell>
          <cell r="K2552">
            <v>1</v>
          </cell>
        </row>
        <row r="2553">
          <cell r="A2553" t="str">
            <v>M2</v>
          </cell>
          <cell r="B2553" t="str">
            <v>A5C</v>
          </cell>
          <cell r="C2553" t="str">
            <v>P</v>
          </cell>
          <cell r="D2553" t="str">
            <v>23028</v>
          </cell>
          <cell r="E2553" t="str">
            <v>CAP</v>
          </cell>
          <cell r="F2553">
            <v>2</v>
          </cell>
          <cell r="G2553" t="str">
            <v>CB520700000T00</v>
          </cell>
          <cell r="H2553">
            <v>0.75</v>
          </cell>
          <cell r="I2553" t="str">
            <v>--</v>
          </cell>
          <cell r="J2553">
            <v>1</v>
          </cell>
          <cell r="K2553">
            <v>1</v>
          </cell>
        </row>
        <row r="2554">
          <cell r="A2554" t="str">
            <v>M2</v>
          </cell>
          <cell r="B2554" t="str">
            <v>A5C</v>
          </cell>
          <cell r="C2554" t="str">
            <v>P</v>
          </cell>
          <cell r="D2554" t="str">
            <v>23029</v>
          </cell>
          <cell r="E2554" t="str">
            <v>CAP</v>
          </cell>
          <cell r="F2554">
            <v>2</v>
          </cell>
          <cell r="G2554" t="str">
            <v>CB520700000T00</v>
          </cell>
          <cell r="H2554">
            <v>0.75</v>
          </cell>
          <cell r="I2554" t="str">
            <v>--</v>
          </cell>
          <cell r="J2554">
            <v>2</v>
          </cell>
          <cell r="K2554">
            <v>2</v>
          </cell>
        </row>
        <row r="2555">
          <cell r="A2555" t="str">
            <v>M2</v>
          </cell>
          <cell r="B2555" t="str">
            <v>A5C</v>
          </cell>
          <cell r="C2555" t="str">
            <v>P</v>
          </cell>
          <cell r="D2555" t="str">
            <v>23029</v>
          </cell>
          <cell r="E2555" t="str">
            <v>CAP</v>
          </cell>
          <cell r="F2555">
            <v>2</v>
          </cell>
          <cell r="G2555" t="str">
            <v>CB520700000T00</v>
          </cell>
          <cell r="H2555">
            <v>0.75</v>
          </cell>
          <cell r="I2555" t="str">
            <v>--</v>
          </cell>
          <cell r="J2555">
            <v>1</v>
          </cell>
          <cell r="K2555">
            <v>1</v>
          </cell>
        </row>
        <row r="2556">
          <cell r="A2556" t="str">
            <v>M2</v>
          </cell>
          <cell r="B2556" t="str">
            <v>A5C</v>
          </cell>
          <cell r="C2556" t="str">
            <v>P</v>
          </cell>
          <cell r="D2556" t="str">
            <v>23039</v>
          </cell>
          <cell r="E2556" t="str">
            <v>CAP</v>
          </cell>
          <cell r="F2556">
            <v>2</v>
          </cell>
          <cell r="G2556" t="str">
            <v>CB520700000T00</v>
          </cell>
          <cell r="H2556">
            <v>0.75</v>
          </cell>
          <cell r="I2556" t="str">
            <v>--</v>
          </cell>
          <cell r="J2556">
            <v>1</v>
          </cell>
          <cell r="K2556">
            <v>1</v>
          </cell>
        </row>
        <row r="2557">
          <cell r="A2557" t="str">
            <v>M2</v>
          </cell>
          <cell r="B2557" t="str">
            <v>A5C</v>
          </cell>
          <cell r="C2557" t="str">
            <v>P</v>
          </cell>
          <cell r="D2557" t="str">
            <v>23039</v>
          </cell>
          <cell r="E2557" t="str">
            <v>CAP</v>
          </cell>
          <cell r="F2557">
            <v>2</v>
          </cell>
          <cell r="G2557" t="str">
            <v>CB520700000T00</v>
          </cell>
          <cell r="H2557">
            <v>0.75</v>
          </cell>
          <cell r="I2557" t="str">
            <v>--</v>
          </cell>
          <cell r="J2557">
            <v>2</v>
          </cell>
          <cell r="K2557">
            <v>2</v>
          </cell>
        </row>
        <row r="2558">
          <cell r="A2558" t="str">
            <v>M2</v>
          </cell>
          <cell r="B2558" t="str">
            <v>A5C</v>
          </cell>
          <cell r="C2558" t="str">
            <v>P</v>
          </cell>
          <cell r="D2558" t="str">
            <v>23048</v>
          </cell>
          <cell r="E2558" t="str">
            <v>CAP</v>
          </cell>
          <cell r="F2558">
            <v>2</v>
          </cell>
          <cell r="G2558" t="str">
            <v>CB520700000T00</v>
          </cell>
          <cell r="H2558">
            <v>0.75</v>
          </cell>
          <cell r="I2558" t="str">
            <v>--</v>
          </cell>
          <cell r="J2558">
            <v>2</v>
          </cell>
          <cell r="K2558">
            <v>2</v>
          </cell>
        </row>
        <row r="2559">
          <cell r="A2559" t="str">
            <v>M2</v>
          </cell>
          <cell r="B2559" t="str">
            <v>A5C</v>
          </cell>
          <cell r="C2559" t="str">
            <v>P</v>
          </cell>
          <cell r="D2559" t="str">
            <v>23048</v>
          </cell>
          <cell r="E2559" t="str">
            <v>CAP</v>
          </cell>
          <cell r="F2559">
            <v>2</v>
          </cell>
          <cell r="G2559" t="str">
            <v>CB520700000T00</v>
          </cell>
          <cell r="H2559">
            <v>0.75</v>
          </cell>
          <cell r="I2559" t="str">
            <v>--</v>
          </cell>
          <cell r="J2559">
            <v>1</v>
          </cell>
          <cell r="K2559">
            <v>1</v>
          </cell>
        </row>
        <row r="2560">
          <cell r="A2560" t="str">
            <v>M2</v>
          </cell>
          <cell r="B2560" t="str">
            <v>A5C</v>
          </cell>
          <cell r="C2560" t="str">
            <v>P</v>
          </cell>
          <cell r="D2560" t="str">
            <v>23051</v>
          </cell>
          <cell r="E2560" t="str">
            <v>CAP</v>
          </cell>
          <cell r="F2560">
            <v>2</v>
          </cell>
          <cell r="G2560" t="str">
            <v>CB520700000T00</v>
          </cell>
          <cell r="H2560">
            <v>0.75</v>
          </cell>
          <cell r="I2560" t="str">
            <v>--</v>
          </cell>
          <cell r="J2560">
            <v>2</v>
          </cell>
          <cell r="K2560">
            <v>2</v>
          </cell>
        </row>
        <row r="2561">
          <cell r="A2561" t="str">
            <v>M2</v>
          </cell>
          <cell r="B2561" t="str">
            <v>A5C</v>
          </cell>
          <cell r="C2561" t="str">
            <v>P</v>
          </cell>
          <cell r="D2561" t="str">
            <v>23053</v>
          </cell>
          <cell r="E2561" t="str">
            <v>CAP</v>
          </cell>
          <cell r="F2561">
            <v>2</v>
          </cell>
          <cell r="G2561" t="str">
            <v>CB520700000T00</v>
          </cell>
          <cell r="H2561">
            <v>0.75</v>
          </cell>
          <cell r="I2561" t="str">
            <v>--</v>
          </cell>
          <cell r="J2561">
            <v>2</v>
          </cell>
          <cell r="K2561">
            <v>2</v>
          </cell>
        </row>
        <row r="2562">
          <cell r="A2562" t="str">
            <v>M2</v>
          </cell>
          <cell r="B2562" t="str">
            <v>A5C</v>
          </cell>
          <cell r="C2562" t="str">
            <v>P</v>
          </cell>
          <cell r="D2562" t="str">
            <v>23053</v>
          </cell>
          <cell r="E2562" t="str">
            <v>CAP</v>
          </cell>
          <cell r="F2562">
            <v>2</v>
          </cell>
          <cell r="G2562" t="str">
            <v>CB520700000T00</v>
          </cell>
          <cell r="H2562">
            <v>0.75</v>
          </cell>
          <cell r="I2562" t="str">
            <v>--</v>
          </cell>
          <cell r="J2562">
            <v>1</v>
          </cell>
          <cell r="K2562">
            <v>1</v>
          </cell>
        </row>
        <row r="2563">
          <cell r="A2563" t="str">
            <v>M2</v>
          </cell>
          <cell r="B2563" t="str">
            <v>A5C</v>
          </cell>
          <cell r="C2563" t="str">
            <v>P</v>
          </cell>
          <cell r="D2563" t="str">
            <v>23064</v>
          </cell>
          <cell r="E2563" t="str">
            <v>CAP</v>
          </cell>
          <cell r="F2563">
            <v>2</v>
          </cell>
          <cell r="G2563" t="str">
            <v>CB520700000T00</v>
          </cell>
          <cell r="H2563">
            <v>0.75</v>
          </cell>
          <cell r="I2563" t="str">
            <v>--</v>
          </cell>
          <cell r="J2563">
            <v>2</v>
          </cell>
          <cell r="K2563">
            <v>2</v>
          </cell>
        </row>
        <row r="2564">
          <cell r="A2564" t="str">
            <v>M2</v>
          </cell>
          <cell r="B2564" t="str">
            <v>A5C</v>
          </cell>
          <cell r="C2564" t="str">
            <v>P</v>
          </cell>
          <cell r="D2564" t="str">
            <v>23064</v>
          </cell>
          <cell r="E2564" t="str">
            <v>CAP</v>
          </cell>
          <cell r="F2564">
            <v>2</v>
          </cell>
          <cell r="G2564" t="str">
            <v>CB520700000T00</v>
          </cell>
          <cell r="H2564">
            <v>0.75</v>
          </cell>
          <cell r="I2564" t="str">
            <v>--</v>
          </cell>
          <cell r="J2564">
            <v>1</v>
          </cell>
          <cell r="K2564">
            <v>1</v>
          </cell>
        </row>
        <row r="2565">
          <cell r="A2565" t="str">
            <v>M2</v>
          </cell>
          <cell r="B2565" t="str">
            <v>A5C</v>
          </cell>
          <cell r="C2565" t="str">
            <v>P</v>
          </cell>
          <cell r="D2565" t="str">
            <v>23079</v>
          </cell>
          <cell r="E2565" t="str">
            <v>CAP</v>
          </cell>
          <cell r="F2565">
            <v>2</v>
          </cell>
          <cell r="G2565" t="str">
            <v>CB520700000T00</v>
          </cell>
          <cell r="H2565">
            <v>0.75</v>
          </cell>
          <cell r="I2565" t="str">
            <v>--</v>
          </cell>
          <cell r="J2565">
            <v>2</v>
          </cell>
          <cell r="K2565">
            <v>2</v>
          </cell>
        </row>
        <row r="2566">
          <cell r="A2566" t="str">
            <v>M2</v>
          </cell>
          <cell r="B2566" t="str">
            <v>A5C</v>
          </cell>
          <cell r="C2566" t="str">
            <v>P</v>
          </cell>
          <cell r="D2566" t="str">
            <v>23080</v>
          </cell>
          <cell r="E2566" t="str">
            <v>CAP</v>
          </cell>
          <cell r="F2566">
            <v>2</v>
          </cell>
          <cell r="G2566" t="str">
            <v>CB520700000T00</v>
          </cell>
          <cell r="H2566">
            <v>0.75</v>
          </cell>
          <cell r="I2566" t="str">
            <v>--</v>
          </cell>
          <cell r="J2566">
            <v>1</v>
          </cell>
          <cell r="K2566">
            <v>1</v>
          </cell>
        </row>
        <row r="2567">
          <cell r="A2567" t="str">
            <v>M2</v>
          </cell>
          <cell r="B2567" t="str">
            <v>A5C</v>
          </cell>
          <cell r="C2567" t="str">
            <v>P</v>
          </cell>
          <cell r="D2567" t="str">
            <v>23089</v>
          </cell>
          <cell r="E2567" t="str">
            <v>CAP</v>
          </cell>
          <cell r="F2567">
            <v>2</v>
          </cell>
          <cell r="G2567" t="str">
            <v>CB520700000T00</v>
          </cell>
          <cell r="H2567">
            <v>0.75</v>
          </cell>
          <cell r="I2567" t="str">
            <v>--</v>
          </cell>
          <cell r="J2567">
            <v>2</v>
          </cell>
          <cell r="K2567">
            <v>2</v>
          </cell>
        </row>
        <row r="2568">
          <cell r="A2568" t="str">
            <v>M2</v>
          </cell>
          <cell r="B2568" t="str">
            <v>A5C</v>
          </cell>
          <cell r="C2568" t="str">
            <v>P</v>
          </cell>
          <cell r="D2568" t="str">
            <v>23091</v>
          </cell>
          <cell r="E2568" t="str">
            <v>CAP</v>
          </cell>
          <cell r="F2568">
            <v>2</v>
          </cell>
          <cell r="G2568" t="str">
            <v>CB520700000T00</v>
          </cell>
          <cell r="H2568">
            <v>0.75</v>
          </cell>
          <cell r="I2568" t="str">
            <v>--</v>
          </cell>
          <cell r="J2568">
            <v>2</v>
          </cell>
          <cell r="K2568">
            <v>2</v>
          </cell>
        </row>
        <row r="2569">
          <cell r="A2569" t="str">
            <v>M2</v>
          </cell>
          <cell r="B2569" t="str">
            <v>A5C</v>
          </cell>
          <cell r="C2569" t="str">
            <v>P</v>
          </cell>
          <cell r="D2569" t="str">
            <v>23128</v>
          </cell>
          <cell r="E2569" t="str">
            <v>CAP</v>
          </cell>
          <cell r="F2569">
            <v>2</v>
          </cell>
          <cell r="G2569" t="str">
            <v>CB520700000T00</v>
          </cell>
          <cell r="H2569">
            <v>0.75</v>
          </cell>
          <cell r="I2569" t="str">
            <v>--</v>
          </cell>
          <cell r="J2569">
            <v>2</v>
          </cell>
          <cell r="K2569">
            <v>2</v>
          </cell>
        </row>
        <row r="2570">
          <cell r="A2570" t="str">
            <v>M2</v>
          </cell>
          <cell r="B2570" t="str">
            <v>A5C</v>
          </cell>
          <cell r="C2570" t="str">
            <v>P</v>
          </cell>
          <cell r="D2570" t="str">
            <v>23130</v>
          </cell>
          <cell r="E2570" t="str">
            <v>CAP</v>
          </cell>
          <cell r="F2570">
            <v>2</v>
          </cell>
          <cell r="G2570" t="str">
            <v>CB520700000T00</v>
          </cell>
          <cell r="H2570">
            <v>0.75</v>
          </cell>
          <cell r="I2570" t="str">
            <v>--</v>
          </cell>
          <cell r="J2570">
            <v>2</v>
          </cell>
          <cell r="K2570">
            <v>2</v>
          </cell>
        </row>
        <row r="2571">
          <cell r="A2571" t="str">
            <v>M2</v>
          </cell>
          <cell r="B2571" t="str">
            <v>A5C</v>
          </cell>
          <cell r="C2571" t="str">
            <v>P</v>
          </cell>
          <cell r="D2571" t="str">
            <v>24016</v>
          </cell>
          <cell r="E2571" t="str">
            <v>CAP</v>
          </cell>
          <cell r="F2571">
            <v>2</v>
          </cell>
          <cell r="G2571" t="str">
            <v>CB520700000T00</v>
          </cell>
          <cell r="H2571">
            <v>0.75</v>
          </cell>
          <cell r="I2571" t="str">
            <v>--</v>
          </cell>
          <cell r="J2571">
            <v>1</v>
          </cell>
          <cell r="K2571">
            <v>1</v>
          </cell>
        </row>
        <row r="2572">
          <cell r="A2572" t="str">
            <v>M2</v>
          </cell>
          <cell r="B2572" t="str">
            <v>A5C</v>
          </cell>
          <cell r="C2572" t="str">
            <v>P</v>
          </cell>
          <cell r="D2572" t="str">
            <v>24017</v>
          </cell>
          <cell r="E2572" t="str">
            <v>CAP</v>
          </cell>
          <cell r="F2572">
            <v>2</v>
          </cell>
          <cell r="G2572" t="str">
            <v>CB520700000T00</v>
          </cell>
          <cell r="H2572">
            <v>0.75</v>
          </cell>
          <cell r="I2572" t="str">
            <v>--</v>
          </cell>
          <cell r="J2572">
            <v>2</v>
          </cell>
          <cell r="K2572">
            <v>2</v>
          </cell>
        </row>
        <row r="2573">
          <cell r="A2573" t="str">
            <v>M2</v>
          </cell>
          <cell r="B2573" t="str">
            <v>A5C</v>
          </cell>
          <cell r="C2573" t="str">
            <v>P</v>
          </cell>
          <cell r="D2573" t="str">
            <v>24018</v>
          </cell>
          <cell r="E2573" t="str">
            <v>CAP</v>
          </cell>
          <cell r="F2573">
            <v>2</v>
          </cell>
          <cell r="G2573" t="str">
            <v>CB520700000T00</v>
          </cell>
          <cell r="H2573">
            <v>0.75</v>
          </cell>
          <cell r="I2573" t="str">
            <v>--</v>
          </cell>
          <cell r="J2573">
            <v>1</v>
          </cell>
          <cell r="K2573">
            <v>1</v>
          </cell>
        </row>
        <row r="2574">
          <cell r="A2574" t="str">
            <v>M2</v>
          </cell>
          <cell r="B2574" t="str">
            <v>A5C</v>
          </cell>
          <cell r="C2574" t="str">
            <v>TRIM</v>
          </cell>
          <cell r="D2574" t="str">
            <v>C-2302</v>
          </cell>
          <cell r="E2574" t="str">
            <v>CAP</v>
          </cell>
          <cell r="F2574">
            <v>2</v>
          </cell>
          <cell r="G2574" t="str">
            <v>CB520700000T00</v>
          </cell>
          <cell r="H2574">
            <v>0.75</v>
          </cell>
          <cell r="I2574" t="str">
            <v>--</v>
          </cell>
          <cell r="J2574">
            <v>2</v>
          </cell>
          <cell r="K2574">
            <v>2</v>
          </cell>
        </row>
        <row r="2575">
          <cell r="A2575" t="str">
            <v>M2</v>
          </cell>
          <cell r="B2575" t="str">
            <v>A5C</v>
          </cell>
          <cell r="C2575" t="str">
            <v>TRIM</v>
          </cell>
          <cell r="D2575" t="str">
            <v>C-2303</v>
          </cell>
          <cell r="E2575" t="str">
            <v>CAP</v>
          </cell>
          <cell r="F2575">
            <v>2</v>
          </cell>
          <cell r="G2575" t="str">
            <v>CB520700000T00</v>
          </cell>
          <cell r="H2575">
            <v>0.75</v>
          </cell>
          <cell r="I2575" t="str">
            <v>--</v>
          </cell>
          <cell r="J2575">
            <v>2</v>
          </cell>
          <cell r="K2575">
            <v>2</v>
          </cell>
        </row>
        <row r="2576">
          <cell r="A2576" t="str">
            <v>M2</v>
          </cell>
          <cell r="B2576" t="str">
            <v>A5C</v>
          </cell>
          <cell r="C2576" t="str">
            <v>TRIM</v>
          </cell>
          <cell r="D2576" t="str">
            <v>C-2304</v>
          </cell>
          <cell r="E2576" t="str">
            <v>CAP</v>
          </cell>
          <cell r="F2576">
            <v>2</v>
          </cell>
          <cell r="G2576" t="str">
            <v>CB520700000T00</v>
          </cell>
          <cell r="H2576">
            <v>0.75</v>
          </cell>
          <cell r="I2576" t="str">
            <v>--</v>
          </cell>
          <cell r="J2576">
            <v>2</v>
          </cell>
          <cell r="K2576">
            <v>2</v>
          </cell>
        </row>
        <row r="2577">
          <cell r="A2577" t="str">
            <v>M2</v>
          </cell>
          <cell r="B2577" t="str">
            <v>A5C</v>
          </cell>
          <cell r="C2577" t="str">
            <v>TRIM</v>
          </cell>
          <cell r="D2577" t="str">
            <v>C-2305</v>
          </cell>
          <cell r="E2577" t="str">
            <v>CAP</v>
          </cell>
          <cell r="F2577">
            <v>2</v>
          </cell>
          <cell r="G2577" t="str">
            <v>CB520700000T00</v>
          </cell>
          <cell r="H2577">
            <v>0.75</v>
          </cell>
          <cell r="I2577" t="str">
            <v>--</v>
          </cell>
          <cell r="J2577">
            <v>2</v>
          </cell>
          <cell r="K2577">
            <v>2</v>
          </cell>
        </row>
        <row r="2578">
          <cell r="A2578" t="str">
            <v>M2</v>
          </cell>
          <cell r="B2578" t="str">
            <v>A5C</v>
          </cell>
          <cell r="C2578" t="str">
            <v>TRIM</v>
          </cell>
          <cell r="D2578" t="str">
            <v>C-2306</v>
          </cell>
          <cell r="E2578" t="str">
            <v>CAP</v>
          </cell>
          <cell r="F2578">
            <v>2</v>
          </cell>
          <cell r="G2578" t="str">
            <v>CB520700000T00</v>
          </cell>
          <cell r="H2578">
            <v>0.75</v>
          </cell>
          <cell r="I2578" t="str">
            <v>--</v>
          </cell>
          <cell r="J2578">
            <v>2</v>
          </cell>
          <cell r="K2578">
            <v>2</v>
          </cell>
        </row>
        <row r="2579">
          <cell r="A2579" t="str">
            <v>M2</v>
          </cell>
          <cell r="B2579" t="str">
            <v>A5C</v>
          </cell>
          <cell r="C2579" t="str">
            <v>TRIM</v>
          </cell>
          <cell r="D2579" t="str">
            <v>V-2302</v>
          </cell>
          <cell r="E2579" t="str">
            <v>CAP</v>
          </cell>
          <cell r="F2579">
            <v>2</v>
          </cell>
          <cell r="G2579" t="str">
            <v>CB520700000T00</v>
          </cell>
          <cell r="H2579">
            <v>0.75</v>
          </cell>
          <cell r="I2579" t="str">
            <v>--</v>
          </cell>
          <cell r="J2579">
            <v>2</v>
          </cell>
          <cell r="K2579">
            <v>2</v>
          </cell>
        </row>
        <row r="2580">
          <cell r="A2580" t="str">
            <v>M2</v>
          </cell>
          <cell r="B2580" t="str">
            <v>A5C</v>
          </cell>
          <cell r="C2580" t="str">
            <v>TRIM</v>
          </cell>
          <cell r="D2580" t="str">
            <v>V-2304</v>
          </cell>
          <cell r="E2580" t="str">
            <v>CAP</v>
          </cell>
          <cell r="F2580">
            <v>2</v>
          </cell>
          <cell r="G2580" t="str">
            <v>CB520700000T00</v>
          </cell>
          <cell r="H2580">
            <v>0.75</v>
          </cell>
          <cell r="I2580" t="str">
            <v>--</v>
          </cell>
          <cell r="J2580">
            <v>2</v>
          </cell>
          <cell r="K2580">
            <v>2</v>
          </cell>
        </row>
        <row r="2581">
          <cell r="A2581" t="str">
            <v>M2</v>
          </cell>
          <cell r="B2581" t="str">
            <v>A5C</v>
          </cell>
          <cell r="C2581" t="str">
            <v>TRIM</v>
          </cell>
          <cell r="D2581" t="str">
            <v>V-2306</v>
          </cell>
          <cell r="E2581" t="str">
            <v>CAP</v>
          </cell>
          <cell r="F2581">
            <v>2</v>
          </cell>
          <cell r="G2581" t="str">
            <v>CB520700000T00</v>
          </cell>
          <cell r="H2581">
            <v>0.75</v>
          </cell>
          <cell r="I2581" t="str">
            <v>--</v>
          </cell>
          <cell r="J2581">
            <v>2</v>
          </cell>
          <cell r="K2581">
            <v>2</v>
          </cell>
        </row>
        <row r="2582">
          <cell r="A2582" t="str">
            <v>M2</v>
          </cell>
          <cell r="B2582" t="str">
            <v>A5C</v>
          </cell>
          <cell r="C2582" t="str">
            <v>TRIM</v>
          </cell>
          <cell r="D2582" t="str">
            <v>V-2308</v>
          </cell>
          <cell r="E2582" t="str">
            <v>CAP</v>
          </cell>
          <cell r="F2582">
            <v>2</v>
          </cell>
          <cell r="G2582" t="str">
            <v>CB520700000T00</v>
          </cell>
          <cell r="H2582">
            <v>0.75</v>
          </cell>
          <cell r="I2582" t="str">
            <v>--</v>
          </cell>
          <cell r="J2582">
            <v>2</v>
          </cell>
          <cell r="K2582">
            <v>2</v>
          </cell>
        </row>
        <row r="2583">
          <cell r="A2583" t="str">
            <v>M2</v>
          </cell>
          <cell r="B2583" t="str">
            <v>A5C</v>
          </cell>
          <cell r="C2583" t="str">
            <v>TRIM</v>
          </cell>
          <cell r="D2583" t="str">
            <v>V-2325</v>
          </cell>
          <cell r="E2583" t="str">
            <v>CAP</v>
          </cell>
          <cell r="F2583">
            <v>2</v>
          </cell>
          <cell r="G2583" t="str">
            <v>CB520700000T00</v>
          </cell>
          <cell r="H2583">
            <v>0.75</v>
          </cell>
          <cell r="I2583" t="str">
            <v>--</v>
          </cell>
          <cell r="J2583">
            <v>2</v>
          </cell>
          <cell r="K2583">
            <v>2</v>
          </cell>
        </row>
        <row r="2584">
          <cell r="A2584" t="str">
            <v>M2</v>
          </cell>
          <cell r="B2584" t="str">
            <v>A5C</v>
          </cell>
          <cell r="C2584" t="str">
            <v>TRIM</v>
          </cell>
          <cell r="D2584" t="str">
            <v>V-2403</v>
          </cell>
          <cell r="E2584" t="str">
            <v>CAP</v>
          </cell>
          <cell r="F2584">
            <v>2</v>
          </cell>
          <cell r="G2584" t="str">
            <v>CB520700000T00</v>
          </cell>
          <cell r="H2584">
            <v>0.75</v>
          </cell>
          <cell r="I2584" t="str">
            <v>--</v>
          </cell>
          <cell r="J2584">
            <v>2</v>
          </cell>
          <cell r="K2584">
            <v>2</v>
          </cell>
        </row>
        <row r="2585">
          <cell r="A2585" t="str">
            <v>M2</v>
          </cell>
          <cell r="B2585" t="str">
            <v>A5C</v>
          </cell>
          <cell r="C2585" t="str">
            <v>P</v>
          </cell>
          <cell r="D2585" t="str">
            <v>23024</v>
          </cell>
          <cell r="E2585" t="str">
            <v>CAP</v>
          </cell>
          <cell r="F2585">
            <v>2</v>
          </cell>
          <cell r="G2585" t="str">
            <v>CB520700000T00</v>
          </cell>
          <cell r="H2585">
            <v>0.75</v>
          </cell>
          <cell r="I2585" t="str">
            <v>--</v>
          </cell>
          <cell r="J2585">
            <v>1</v>
          </cell>
          <cell r="K2585">
            <v>1</v>
          </cell>
        </row>
        <row r="2586">
          <cell r="A2586" t="str">
            <v>M2</v>
          </cell>
          <cell r="B2586" t="str">
            <v>A5C</v>
          </cell>
          <cell r="C2586" t="str">
            <v>P</v>
          </cell>
          <cell r="D2586" t="str">
            <v>23033</v>
          </cell>
          <cell r="E2586" t="str">
            <v>CAP</v>
          </cell>
          <cell r="F2586">
            <v>2</v>
          </cell>
          <cell r="G2586" t="str">
            <v>CB520700000T00</v>
          </cell>
          <cell r="H2586">
            <v>0.75</v>
          </cell>
          <cell r="I2586" t="str">
            <v>--</v>
          </cell>
          <cell r="J2586">
            <v>2</v>
          </cell>
          <cell r="K2586">
            <v>2</v>
          </cell>
        </row>
        <row r="2587">
          <cell r="A2587" t="str">
            <v>M2</v>
          </cell>
          <cell r="B2587" t="str">
            <v>A5C</v>
          </cell>
          <cell r="C2587" t="str">
            <v>P</v>
          </cell>
          <cell r="D2587" t="str">
            <v>23054</v>
          </cell>
          <cell r="E2587" t="str">
            <v>CAP</v>
          </cell>
          <cell r="F2587">
            <v>2</v>
          </cell>
          <cell r="G2587" t="str">
            <v>CB520700000T00</v>
          </cell>
          <cell r="H2587">
            <v>0.75</v>
          </cell>
          <cell r="I2587" t="str">
            <v>--</v>
          </cell>
          <cell r="J2587">
            <v>1</v>
          </cell>
          <cell r="K2587">
            <v>1</v>
          </cell>
        </row>
        <row r="2588">
          <cell r="A2588" t="str">
            <v>M2</v>
          </cell>
          <cell r="B2588" t="str">
            <v>A5C</v>
          </cell>
          <cell r="C2588" t="str">
            <v>P</v>
          </cell>
          <cell r="D2588" t="str">
            <v>23074</v>
          </cell>
          <cell r="E2588" t="str">
            <v>CAP</v>
          </cell>
          <cell r="F2588">
            <v>2</v>
          </cell>
          <cell r="G2588" t="str">
            <v>CB520700000T00</v>
          </cell>
          <cell r="H2588">
            <v>0.75</v>
          </cell>
          <cell r="I2588" t="str">
            <v>--</v>
          </cell>
          <cell r="J2588">
            <v>2</v>
          </cell>
          <cell r="K2588">
            <v>2</v>
          </cell>
        </row>
        <row r="2589">
          <cell r="A2589" t="str">
            <v>M2</v>
          </cell>
          <cell r="B2589" t="str">
            <v>A5C</v>
          </cell>
          <cell r="C2589" t="str">
            <v>P</v>
          </cell>
          <cell r="D2589" t="str">
            <v>23079</v>
          </cell>
          <cell r="E2589" t="str">
            <v>CAP</v>
          </cell>
          <cell r="F2589">
            <v>2</v>
          </cell>
          <cell r="G2589" t="str">
            <v>CB520700000T00</v>
          </cell>
          <cell r="H2589">
            <v>0.75</v>
          </cell>
          <cell r="I2589" t="str">
            <v>--</v>
          </cell>
          <cell r="J2589">
            <v>1</v>
          </cell>
          <cell r="K2589">
            <v>1</v>
          </cell>
        </row>
        <row r="2590">
          <cell r="A2590" t="str">
            <v>M2</v>
          </cell>
          <cell r="B2590" t="str">
            <v>A5C</v>
          </cell>
          <cell r="C2590" t="str">
            <v>P</v>
          </cell>
          <cell r="D2590" t="str">
            <v>23223</v>
          </cell>
          <cell r="E2590" t="str">
            <v>CAP</v>
          </cell>
          <cell r="F2590">
            <v>2</v>
          </cell>
          <cell r="G2590" t="str">
            <v>CB520700000T00</v>
          </cell>
          <cell r="H2590">
            <v>0.75</v>
          </cell>
          <cell r="I2590" t="str">
            <v>--</v>
          </cell>
          <cell r="J2590">
            <v>1</v>
          </cell>
          <cell r="K2590">
            <v>1</v>
          </cell>
        </row>
        <row r="2591">
          <cell r="A2591" t="str">
            <v>M2</v>
          </cell>
          <cell r="B2591" t="str">
            <v>A5C</v>
          </cell>
          <cell r="C2591" t="str">
            <v>TRIM</v>
          </cell>
          <cell r="D2591" t="str">
            <v>V-2313</v>
          </cell>
          <cell r="E2591" t="str">
            <v>CAP</v>
          </cell>
          <cell r="F2591">
            <v>2</v>
          </cell>
          <cell r="G2591" t="str">
            <v>CB520700000T00</v>
          </cell>
          <cell r="H2591">
            <v>0.75</v>
          </cell>
          <cell r="I2591" t="str">
            <v>--</v>
          </cell>
          <cell r="J2591">
            <v>2</v>
          </cell>
          <cell r="K2591">
            <v>2</v>
          </cell>
        </row>
        <row r="2592">
          <cell r="A2592" t="str">
            <v>M2</v>
          </cell>
          <cell r="B2592" t="str">
            <v>A5C</v>
          </cell>
          <cell r="C2592" t="str">
            <v>P</v>
          </cell>
          <cell r="D2592" t="str">
            <v>23048</v>
          </cell>
          <cell r="E2592" t="str">
            <v>CPLG</v>
          </cell>
          <cell r="F2592">
            <v>2</v>
          </cell>
          <cell r="G2592" t="str">
            <v>CB400500000T00</v>
          </cell>
          <cell r="H2592">
            <v>0.75</v>
          </cell>
          <cell r="I2592" t="str">
            <v>--</v>
          </cell>
          <cell r="J2592">
            <v>2</v>
          </cell>
          <cell r="K2592">
            <v>2</v>
          </cell>
        </row>
        <row r="2593">
          <cell r="A2593" t="str">
            <v>M2</v>
          </cell>
          <cell r="B2593" t="str">
            <v>A5C</v>
          </cell>
          <cell r="C2593" t="str">
            <v>P</v>
          </cell>
          <cell r="D2593" t="str">
            <v>23080</v>
          </cell>
          <cell r="E2593" t="str">
            <v>CPLG</v>
          </cell>
          <cell r="F2593">
            <v>2</v>
          </cell>
          <cell r="G2593" t="str">
            <v>CB400500000T00</v>
          </cell>
          <cell r="H2593">
            <v>0.75</v>
          </cell>
          <cell r="I2593" t="str">
            <v>--</v>
          </cell>
          <cell r="J2593">
            <v>7</v>
          </cell>
          <cell r="K2593">
            <v>7</v>
          </cell>
        </row>
        <row r="2594">
          <cell r="A2594" t="str">
            <v>M2</v>
          </cell>
          <cell r="B2594" t="str">
            <v>A5C</v>
          </cell>
          <cell r="C2594" t="str">
            <v>P</v>
          </cell>
          <cell r="D2594" t="str">
            <v>23155</v>
          </cell>
          <cell r="E2594" t="str">
            <v>CPLG</v>
          </cell>
          <cell r="F2594">
            <v>2</v>
          </cell>
          <cell r="G2594" t="str">
            <v>CB400500000T00</v>
          </cell>
          <cell r="H2594">
            <v>0.75</v>
          </cell>
          <cell r="I2594" t="str">
            <v>--</v>
          </cell>
          <cell r="J2594">
            <v>2</v>
          </cell>
          <cell r="K2594">
            <v>2</v>
          </cell>
        </row>
        <row r="2595">
          <cell r="A2595" t="str">
            <v>M2</v>
          </cell>
          <cell r="B2595" t="str">
            <v>A5C</v>
          </cell>
          <cell r="C2595" t="str">
            <v>P</v>
          </cell>
          <cell r="D2595" t="str">
            <v>23163</v>
          </cell>
          <cell r="E2595" t="str">
            <v>CPLG</v>
          </cell>
          <cell r="F2595">
            <v>2</v>
          </cell>
          <cell r="G2595" t="str">
            <v>CB400500000T00</v>
          </cell>
          <cell r="H2595">
            <v>0.75</v>
          </cell>
          <cell r="I2595" t="str">
            <v>--</v>
          </cell>
          <cell r="J2595">
            <v>1</v>
          </cell>
          <cell r="K2595">
            <v>1</v>
          </cell>
        </row>
        <row r="2596">
          <cell r="A2596" t="str">
            <v>M2</v>
          </cell>
          <cell r="B2596" t="str">
            <v>A5C</v>
          </cell>
          <cell r="C2596" t="str">
            <v>P</v>
          </cell>
          <cell r="D2596" t="str">
            <v>23193</v>
          </cell>
          <cell r="E2596" t="str">
            <v>CPLG</v>
          </cell>
          <cell r="F2596">
            <v>2</v>
          </cell>
          <cell r="G2596" t="str">
            <v>CB400500000T00</v>
          </cell>
          <cell r="H2596">
            <v>0.75</v>
          </cell>
          <cell r="I2596" t="str">
            <v>--</v>
          </cell>
          <cell r="J2596">
            <v>1</v>
          </cell>
          <cell r="K2596">
            <v>1</v>
          </cell>
        </row>
        <row r="2597">
          <cell r="A2597" t="str">
            <v>M2</v>
          </cell>
          <cell r="B2597" t="str">
            <v>A5C</v>
          </cell>
          <cell r="C2597" t="str">
            <v>P</v>
          </cell>
          <cell r="D2597" t="str">
            <v>23219</v>
          </cell>
          <cell r="E2597" t="str">
            <v>CPLG</v>
          </cell>
          <cell r="F2597">
            <v>2</v>
          </cell>
          <cell r="G2597" t="str">
            <v>CB400500000T00</v>
          </cell>
          <cell r="H2597">
            <v>0.75</v>
          </cell>
          <cell r="I2597" t="str">
            <v>--</v>
          </cell>
          <cell r="J2597">
            <v>2</v>
          </cell>
          <cell r="K2597">
            <v>2</v>
          </cell>
        </row>
        <row r="2598">
          <cell r="A2598" t="str">
            <v>M2</v>
          </cell>
          <cell r="B2598" t="str">
            <v>A5C</v>
          </cell>
          <cell r="C2598" t="str">
            <v>P</v>
          </cell>
          <cell r="D2598" t="str">
            <v>24016</v>
          </cell>
          <cell r="E2598" t="str">
            <v>CPLG</v>
          </cell>
          <cell r="F2598">
            <v>2</v>
          </cell>
          <cell r="G2598" t="str">
            <v>CB400500000T00</v>
          </cell>
          <cell r="H2598">
            <v>0.75</v>
          </cell>
          <cell r="I2598" t="str">
            <v>--</v>
          </cell>
          <cell r="J2598">
            <v>7</v>
          </cell>
          <cell r="K2598">
            <v>7</v>
          </cell>
        </row>
        <row r="2599">
          <cell r="A2599" t="str">
            <v>M2</v>
          </cell>
          <cell r="B2599" t="str">
            <v>A5C</v>
          </cell>
          <cell r="C2599" t="str">
            <v>P</v>
          </cell>
          <cell r="D2599" t="str">
            <v>24017</v>
          </cell>
          <cell r="E2599" t="str">
            <v>CPLG</v>
          </cell>
          <cell r="F2599">
            <v>2</v>
          </cell>
          <cell r="G2599" t="str">
            <v>CB400500000T00</v>
          </cell>
          <cell r="H2599">
            <v>0.75</v>
          </cell>
          <cell r="I2599" t="str">
            <v>--</v>
          </cell>
          <cell r="J2599">
            <v>1</v>
          </cell>
          <cell r="K2599">
            <v>1</v>
          </cell>
        </row>
        <row r="2600">
          <cell r="A2600" t="str">
            <v>M2</v>
          </cell>
          <cell r="B2600" t="str">
            <v>A5C</v>
          </cell>
          <cell r="C2600" t="str">
            <v>P</v>
          </cell>
          <cell r="D2600" t="str">
            <v>24018</v>
          </cell>
          <cell r="E2600" t="str">
            <v>CPLG</v>
          </cell>
          <cell r="F2600">
            <v>2</v>
          </cell>
          <cell r="G2600" t="str">
            <v>CB400500000T00</v>
          </cell>
          <cell r="H2600">
            <v>0.75</v>
          </cell>
          <cell r="I2600" t="str">
            <v>--</v>
          </cell>
          <cell r="J2600">
            <v>8</v>
          </cell>
          <cell r="K2600">
            <v>8</v>
          </cell>
        </row>
        <row r="2601">
          <cell r="A2601" t="str">
            <v>M2</v>
          </cell>
          <cell r="B2601" t="str">
            <v>A5C</v>
          </cell>
          <cell r="C2601" t="str">
            <v>P</v>
          </cell>
          <cell r="D2601" t="str">
            <v>23028</v>
          </cell>
          <cell r="E2601" t="str">
            <v>CPLG</v>
          </cell>
          <cell r="F2601">
            <v>2</v>
          </cell>
          <cell r="G2601" t="str">
            <v>CB400500000T00</v>
          </cell>
          <cell r="H2601">
            <v>0.75</v>
          </cell>
          <cell r="I2601" t="str">
            <v>--</v>
          </cell>
          <cell r="J2601">
            <v>5</v>
          </cell>
          <cell r="K2601">
            <v>5</v>
          </cell>
        </row>
        <row r="2602">
          <cell r="A2602" t="str">
            <v>M2</v>
          </cell>
          <cell r="B2602" t="str">
            <v>A5C</v>
          </cell>
          <cell r="C2602" t="str">
            <v>P</v>
          </cell>
          <cell r="D2602" t="str">
            <v>23079</v>
          </cell>
          <cell r="E2602" t="str">
            <v>CPLG</v>
          </cell>
          <cell r="F2602">
            <v>2</v>
          </cell>
          <cell r="G2602" t="str">
            <v>CB400500000T00</v>
          </cell>
          <cell r="H2602">
            <v>0.75</v>
          </cell>
          <cell r="I2602" t="str">
            <v>--</v>
          </cell>
          <cell r="J2602">
            <v>1</v>
          </cell>
          <cell r="K2602">
            <v>1</v>
          </cell>
        </row>
        <row r="2603">
          <cell r="A2603" t="str">
            <v>M2</v>
          </cell>
          <cell r="B2603" t="str">
            <v>A5C</v>
          </cell>
          <cell r="C2603" t="str">
            <v>P</v>
          </cell>
          <cell r="D2603" t="str">
            <v>23053</v>
          </cell>
          <cell r="E2603" t="str">
            <v>NPL</v>
          </cell>
          <cell r="F2603">
            <v>2</v>
          </cell>
          <cell r="G2603" t="str">
            <v>CB132108000TVR</v>
          </cell>
          <cell r="H2603">
            <v>0.75</v>
          </cell>
          <cell r="I2603" t="str">
            <v>75mm</v>
          </cell>
          <cell r="J2603">
            <v>1</v>
          </cell>
          <cell r="K2603">
            <v>1</v>
          </cell>
        </row>
        <row r="2604">
          <cell r="A2604" t="str">
            <v>M2</v>
          </cell>
          <cell r="B2604" t="str">
            <v>A5C</v>
          </cell>
          <cell r="C2604" t="str">
            <v>P</v>
          </cell>
          <cell r="D2604" t="str">
            <v>23051</v>
          </cell>
          <cell r="E2604" t="str">
            <v>NPL</v>
          </cell>
          <cell r="F2604">
            <v>2</v>
          </cell>
          <cell r="G2604" t="str">
            <v>CB132108000TVR</v>
          </cell>
          <cell r="H2604">
            <v>0.75</v>
          </cell>
          <cell r="I2604" t="str">
            <v>75mm</v>
          </cell>
          <cell r="J2604">
            <v>2</v>
          </cell>
          <cell r="K2604">
            <v>2</v>
          </cell>
        </row>
        <row r="2605">
          <cell r="A2605" t="str">
            <v>M2</v>
          </cell>
          <cell r="B2605" t="str">
            <v>A5C</v>
          </cell>
          <cell r="C2605" t="str">
            <v>P</v>
          </cell>
          <cell r="D2605" t="str">
            <v>23053</v>
          </cell>
          <cell r="E2605" t="str">
            <v>NPL</v>
          </cell>
          <cell r="F2605">
            <v>2</v>
          </cell>
          <cell r="G2605" t="str">
            <v>CB132108000TVR</v>
          </cell>
          <cell r="H2605">
            <v>0.75</v>
          </cell>
          <cell r="I2605" t="str">
            <v>75mm</v>
          </cell>
          <cell r="J2605">
            <v>2</v>
          </cell>
          <cell r="K2605">
            <v>2</v>
          </cell>
        </row>
        <row r="2606">
          <cell r="A2606" t="str">
            <v>M2</v>
          </cell>
          <cell r="B2606" t="str">
            <v>A5C</v>
          </cell>
          <cell r="C2606" t="str">
            <v>TRIM</v>
          </cell>
          <cell r="D2606" t="str">
            <v>C-2302</v>
          </cell>
          <cell r="E2606" t="str">
            <v>NPL</v>
          </cell>
          <cell r="F2606">
            <v>2</v>
          </cell>
          <cell r="G2606" t="str">
            <v>CB132108000TVR</v>
          </cell>
          <cell r="H2606">
            <v>0.75</v>
          </cell>
          <cell r="I2606" t="str">
            <v>75mm</v>
          </cell>
          <cell r="J2606">
            <v>2</v>
          </cell>
          <cell r="K2606">
            <v>2</v>
          </cell>
        </row>
        <row r="2607">
          <cell r="A2607" t="str">
            <v>M2</v>
          </cell>
          <cell r="B2607" t="str">
            <v>A5C</v>
          </cell>
          <cell r="C2607" t="str">
            <v>TRIM</v>
          </cell>
          <cell r="D2607" t="str">
            <v>C-2303</v>
          </cell>
          <cell r="E2607" t="str">
            <v>NPL</v>
          </cell>
          <cell r="F2607">
            <v>2</v>
          </cell>
          <cell r="G2607" t="str">
            <v>CB132108000TVR</v>
          </cell>
          <cell r="H2607">
            <v>0.75</v>
          </cell>
          <cell r="I2607" t="str">
            <v>75mm</v>
          </cell>
          <cell r="J2607">
            <v>2</v>
          </cell>
          <cell r="K2607">
            <v>2</v>
          </cell>
        </row>
        <row r="2608">
          <cell r="A2608" t="str">
            <v>M2</v>
          </cell>
          <cell r="B2608" t="str">
            <v>A5C</v>
          </cell>
          <cell r="C2608" t="str">
            <v>TRIM</v>
          </cell>
          <cell r="D2608" t="str">
            <v>C-2304</v>
          </cell>
          <cell r="E2608" t="str">
            <v>NPL</v>
          </cell>
          <cell r="F2608">
            <v>2</v>
          </cell>
          <cell r="G2608" t="str">
            <v>CB132108000TVR</v>
          </cell>
          <cell r="H2608">
            <v>0.75</v>
          </cell>
          <cell r="I2608" t="str">
            <v>75mm</v>
          </cell>
          <cell r="J2608">
            <v>2</v>
          </cell>
          <cell r="K2608">
            <v>2</v>
          </cell>
        </row>
        <row r="2609">
          <cell r="A2609" t="str">
            <v>M2</v>
          </cell>
          <cell r="B2609" t="str">
            <v>A5C</v>
          </cell>
          <cell r="C2609" t="str">
            <v>TRIM</v>
          </cell>
          <cell r="D2609" t="str">
            <v>C-2305</v>
          </cell>
          <cell r="E2609" t="str">
            <v>NPL</v>
          </cell>
          <cell r="F2609">
            <v>2</v>
          </cell>
          <cell r="G2609" t="str">
            <v>CB132108000TVR</v>
          </cell>
          <cell r="H2609">
            <v>0.75</v>
          </cell>
          <cell r="I2609" t="str">
            <v>75mm</v>
          </cell>
          <cell r="J2609">
            <v>2</v>
          </cell>
          <cell r="K2609">
            <v>2</v>
          </cell>
        </row>
        <row r="2610">
          <cell r="A2610" t="str">
            <v>M2</v>
          </cell>
          <cell r="B2610" t="str">
            <v>A5C</v>
          </cell>
          <cell r="C2610" t="str">
            <v>TRIM</v>
          </cell>
          <cell r="D2610" t="str">
            <v>C-2306</v>
          </cell>
          <cell r="E2610" t="str">
            <v>NPL</v>
          </cell>
          <cell r="F2610">
            <v>2</v>
          </cell>
          <cell r="G2610" t="str">
            <v>CB132108000TVR</v>
          </cell>
          <cell r="H2610">
            <v>0.75</v>
          </cell>
          <cell r="I2610" t="str">
            <v>75mm</v>
          </cell>
          <cell r="J2610">
            <v>2</v>
          </cell>
          <cell r="K2610">
            <v>2</v>
          </cell>
        </row>
        <row r="2611">
          <cell r="A2611" t="str">
            <v>M2</v>
          </cell>
          <cell r="B2611" t="str">
            <v>A5C</v>
          </cell>
          <cell r="C2611" t="str">
            <v>TRIM</v>
          </cell>
          <cell r="D2611" t="str">
            <v>V-2306</v>
          </cell>
          <cell r="E2611" t="str">
            <v>NPL</v>
          </cell>
          <cell r="F2611">
            <v>2</v>
          </cell>
          <cell r="G2611" t="str">
            <v>CB132108000TVR</v>
          </cell>
          <cell r="H2611">
            <v>0.75</v>
          </cell>
          <cell r="I2611" t="str">
            <v>75mm</v>
          </cell>
          <cell r="J2611">
            <v>2</v>
          </cell>
          <cell r="K2611">
            <v>2</v>
          </cell>
        </row>
        <row r="2612">
          <cell r="A2612" t="str">
            <v>M2</v>
          </cell>
          <cell r="B2612" t="str">
            <v>A5C</v>
          </cell>
          <cell r="C2612" t="str">
            <v>TRIM</v>
          </cell>
          <cell r="D2612" t="str">
            <v>V-2308</v>
          </cell>
          <cell r="E2612" t="str">
            <v>NPL</v>
          </cell>
          <cell r="F2612">
            <v>2</v>
          </cell>
          <cell r="G2612" t="str">
            <v>CB132108000TVR</v>
          </cell>
          <cell r="H2612">
            <v>0.75</v>
          </cell>
          <cell r="I2612" t="str">
            <v>75mm</v>
          </cell>
          <cell r="J2612">
            <v>2</v>
          </cell>
          <cell r="K2612">
            <v>2</v>
          </cell>
        </row>
        <row r="2613">
          <cell r="A2613" t="str">
            <v>M2</v>
          </cell>
          <cell r="B2613" t="str">
            <v>A5C</v>
          </cell>
          <cell r="C2613" t="str">
            <v>TRIM</v>
          </cell>
          <cell r="D2613" t="str">
            <v>V-2310</v>
          </cell>
          <cell r="E2613" t="str">
            <v>NPL</v>
          </cell>
          <cell r="F2613">
            <v>2</v>
          </cell>
          <cell r="G2613" t="str">
            <v>CB132108000TVR</v>
          </cell>
          <cell r="H2613">
            <v>0.75</v>
          </cell>
          <cell r="I2613" t="str">
            <v>75mm</v>
          </cell>
          <cell r="J2613">
            <v>2</v>
          </cell>
          <cell r="K2613">
            <v>2</v>
          </cell>
        </row>
        <row r="2614">
          <cell r="A2614" t="str">
            <v>M2</v>
          </cell>
          <cell r="B2614" t="str">
            <v>A5C</v>
          </cell>
          <cell r="C2614" t="str">
            <v>TRIM</v>
          </cell>
          <cell r="D2614" t="str">
            <v>V-2313</v>
          </cell>
          <cell r="E2614" t="str">
            <v>NPL</v>
          </cell>
          <cell r="F2614">
            <v>2</v>
          </cell>
          <cell r="G2614" t="str">
            <v>CB132108000TVR</v>
          </cell>
          <cell r="H2614">
            <v>0.75</v>
          </cell>
          <cell r="I2614" t="str">
            <v>75mm</v>
          </cell>
          <cell r="J2614">
            <v>2</v>
          </cell>
          <cell r="K2614">
            <v>2</v>
          </cell>
        </row>
        <row r="2615">
          <cell r="A2615" t="str">
            <v>M2</v>
          </cell>
          <cell r="B2615" t="str">
            <v>A5C</v>
          </cell>
          <cell r="C2615" t="str">
            <v>TRIM</v>
          </cell>
          <cell r="D2615" t="str">
            <v>V-2302</v>
          </cell>
          <cell r="E2615" t="str">
            <v>NPL</v>
          </cell>
          <cell r="F2615">
            <v>2</v>
          </cell>
          <cell r="G2615" t="str">
            <v>CB132108000TVR</v>
          </cell>
          <cell r="H2615">
            <v>0.75</v>
          </cell>
          <cell r="I2615" t="str">
            <v>75mm</v>
          </cell>
          <cell r="J2615">
            <v>2</v>
          </cell>
          <cell r="K2615">
            <v>2</v>
          </cell>
        </row>
        <row r="2616">
          <cell r="A2616" t="str">
            <v>M2</v>
          </cell>
          <cell r="B2616" t="str">
            <v>A5C</v>
          </cell>
          <cell r="C2616" t="str">
            <v>TRIM</v>
          </cell>
          <cell r="D2616" t="str">
            <v>V-2304</v>
          </cell>
          <cell r="E2616" t="str">
            <v>NPL</v>
          </cell>
          <cell r="F2616">
            <v>2</v>
          </cell>
          <cell r="G2616" t="str">
            <v>CB132108000TVR</v>
          </cell>
          <cell r="H2616">
            <v>0.75</v>
          </cell>
          <cell r="I2616" t="str">
            <v>75mm</v>
          </cell>
          <cell r="J2616">
            <v>2</v>
          </cell>
          <cell r="K2616">
            <v>2</v>
          </cell>
        </row>
        <row r="2617">
          <cell r="A2617" t="str">
            <v>M2</v>
          </cell>
          <cell r="B2617" t="str">
            <v>A5C</v>
          </cell>
          <cell r="C2617" t="str">
            <v>TRIM</v>
          </cell>
          <cell r="D2617" t="str">
            <v>V-2325</v>
          </cell>
          <cell r="E2617" t="str">
            <v>NPL</v>
          </cell>
          <cell r="F2617">
            <v>2</v>
          </cell>
          <cell r="G2617" t="str">
            <v>CB132108000TVR</v>
          </cell>
          <cell r="H2617">
            <v>0.75</v>
          </cell>
          <cell r="I2617" t="str">
            <v>75mm</v>
          </cell>
          <cell r="J2617">
            <v>2</v>
          </cell>
          <cell r="K2617">
            <v>2</v>
          </cell>
        </row>
        <row r="2618">
          <cell r="A2618" t="str">
            <v>M2</v>
          </cell>
          <cell r="B2618" t="str">
            <v>A5C</v>
          </cell>
          <cell r="C2618" t="str">
            <v>P</v>
          </cell>
          <cell r="D2618" t="str">
            <v>23028</v>
          </cell>
          <cell r="E2618" t="str">
            <v>TEE</v>
          </cell>
          <cell r="F2618">
            <v>2</v>
          </cell>
          <cell r="G2618" t="str">
            <v>CB400300000T00</v>
          </cell>
          <cell r="H2618">
            <v>0.75</v>
          </cell>
          <cell r="I2618" t="str">
            <v>--</v>
          </cell>
          <cell r="J2618">
            <v>4</v>
          </cell>
          <cell r="K2618">
            <v>4</v>
          </cell>
        </row>
        <row r="2619">
          <cell r="A2619" t="str">
            <v>M2</v>
          </cell>
          <cell r="B2619" t="str">
            <v>A5C</v>
          </cell>
          <cell r="C2619" t="str">
            <v>P</v>
          </cell>
          <cell r="D2619" t="str">
            <v>23048</v>
          </cell>
          <cell r="E2619" t="str">
            <v>TEE</v>
          </cell>
          <cell r="F2619">
            <v>2</v>
          </cell>
          <cell r="G2619" t="str">
            <v>CB400300000T00</v>
          </cell>
          <cell r="H2619">
            <v>0.75</v>
          </cell>
          <cell r="I2619" t="str">
            <v>--</v>
          </cell>
          <cell r="J2619">
            <v>3</v>
          </cell>
          <cell r="K2619">
            <v>3</v>
          </cell>
        </row>
        <row r="2620">
          <cell r="A2620" t="str">
            <v>M2</v>
          </cell>
          <cell r="B2620" t="str">
            <v>A5C</v>
          </cell>
          <cell r="C2620" t="str">
            <v>P</v>
          </cell>
          <cell r="D2620" t="str">
            <v>23080</v>
          </cell>
          <cell r="E2620" t="str">
            <v>TEE</v>
          </cell>
          <cell r="F2620">
            <v>2</v>
          </cell>
          <cell r="G2620" t="str">
            <v>CB400300000T00</v>
          </cell>
          <cell r="H2620">
            <v>0.75</v>
          </cell>
          <cell r="I2620" t="str">
            <v>--</v>
          </cell>
          <cell r="J2620">
            <v>3</v>
          </cell>
          <cell r="K2620">
            <v>3</v>
          </cell>
        </row>
        <row r="2621">
          <cell r="A2621" t="str">
            <v>M2</v>
          </cell>
          <cell r="B2621" t="str">
            <v>A5C</v>
          </cell>
          <cell r="C2621" t="str">
            <v>P</v>
          </cell>
          <cell r="D2621" t="str">
            <v>23079</v>
          </cell>
          <cell r="E2621" t="str">
            <v>TEE</v>
          </cell>
          <cell r="F2621">
            <v>2</v>
          </cell>
          <cell r="G2621" t="str">
            <v>CB400300000T00</v>
          </cell>
          <cell r="H2621">
            <v>0.75</v>
          </cell>
          <cell r="I2621" t="str">
            <v>--</v>
          </cell>
          <cell r="J2621">
            <v>2</v>
          </cell>
          <cell r="K2621">
            <v>2</v>
          </cell>
        </row>
        <row r="2622">
          <cell r="A2622" t="str">
            <v>M2</v>
          </cell>
          <cell r="B2622" t="str">
            <v>A5C</v>
          </cell>
          <cell r="C2622" t="str">
            <v>P</v>
          </cell>
          <cell r="D2622" t="str">
            <v>23091</v>
          </cell>
          <cell r="E2622" t="str">
            <v>TEE</v>
          </cell>
          <cell r="F2622">
            <v>2</v>
          </cell>
          <cell r="G2622" t="str">
            <v>CB400300000T00</v>
          </cell>
          <cell r="H2622">
            <v>0.75</v>
          </cell>
          <cell r="I2622" t="str">
            <v>--</v>
          </cell>
          <cell r="J2622">
            <v>2</v>
          </cell>
          <cell r="K2622">
            <v>2</v>
          </cell>
        </row>
        <row r="2623">
          <cell r="A2623" t="str">
            <v>M2</v>
          </cell>
          <cell r="B2623" t="str">
            <v>A5C</v>
          </cell>
          <cell r="C2623" t="str">
            <v>P</v>
          </cell>
          <cell r="D2623" t="str">
            <v>23173</v>
          </cell>
          <cell r="E2623" t="str">
            <v>TEE</v>
          </cell>
          <cell r="F2623">
            <v>2</v>
          </cell>
          <cell r="G2623" t="str">
            <v>CB400300000T00</v>
          </cell>
          <cell r="H2623">
            <v>0.75</v>
          </cell>
          <cell r="I2623" t="str">
            <v>--</v>
          </cell>
          <cell r="J2623">
            <v>2</v>
          </cell>
          <cell r="K2623">
            <v>2</v>
          </cell>
        </row>
        <row r="2624">
          <cell r="A2624" t="str">
            <v>M2</v>
          </cell>
          <cell r="B2624" t="str">
            <v>A5C</v>
          </cell>
          <cell r="C2624" t="str">
            <v>P</v>
          </cell>
          <cell r="D2624" t="str">
            <v>23191</v>
          </cell>
          <cell r="E2624" t="str">
            <v>TEE</v>
          </cell>
          <cell r="F2624">
            <v>2</v>
          </cell>
          <cell r="G2624" t="str">
            <v>CB400300000T00</v>
          </cell>
          <cell r="H2624">
            <v>0.75</v>
          </cell>
          <cell r="I2624" t="str">
            <v>--</v>
          </cell>
          <cell r="J2624">
            <v>2</v>
          </cell>
          <cell r="K2624">
            <v>2</v>
          </cell>
        </row>
        <row r="2625">
          <cell r="A2625" t="str">
            <v>M2</v>
          </cell>
          <cell r="B2625" t="str">
            <v>A5C</v>
          </cell>
          <cell r="C2625" t="str">
            <v>P</v>
          </cell>
          <cell r="D2625" t="str">
            <v>24016</v>
          </cell>
          <cell r="E2625" t="str">
            <v>TEE</v>
          </cell>
          <cell r="F2625">
            <v>2</v>
          </cell>
          <cell r="G2625" t="str">
            <v>CB400300000T00</v>
          </cell>
          <cell r="H2625">
            <v>0.75</v>
          </cell>
          <cell r="I2625" t="str">
            <v>--</v>
          </cell>
          <cell r="J2625">
            <v>4</v>
          </cell>
          <cell r="K2625">
            <v>4</v>
          </cell>
        </row>
        <row r="2626">
          <cell r="A2626" t="str">
            <v>M2</v>
          </cell>
          <cell r="B2626" t="str">
            <v>A5C</v>
          </cell>
          <cell r="C2626" t="str">
            <v>P</v>
          </cell>
          <cell r="D2626" t="str">
            <v>24018</v>
          </cell>
          <cell r="E2626" t="str">
            <v>TEE</v>
          </cell>
          <cell r="F2626">
            <v>2</v>
          </cell>
          <cell r="G2626" t="str">
            <v>CB400300000T00</v>
          </cell>
          <cell r="H2626">
            <v>0.75</v>
          </cell>
          <cell r="I2626" t="str">
            <v>--</v>
          </cell>
          <cell r="J2626">
            <v>4</v>
          </cell>
          <cell r="K2626">
            <v>4</v>
          </cell>
        </row>
        <row r="2627">
          <cell r="A2627" t="str">
            <v>M2</v>
          </cell>
          <cell r="B2627" t="str">
            <v>A5C</v>
          </cell>
          <cell r="C2627" t="str">
            <v>TRIM</v>
          </cell>
          <cell r="D2627" t="str">
            <v>C-2303</v>
          </cell>
          <cell r="E2627" t="str">
            <v>TEE</v>
          </cell>
          <cell r="F2627">
            <v>2</v>
          </cell>
          <cell r="G2627" t="str">
            <v>CB400300000T00</v>
          </cell>
          <cell r="H2627">
            <v>0.75</v>
          </cell>
          <cell r="I2627" t="str">
            <v>--</v>
          </cell>
          <cell r="J2627">
            <v>1</v>
          </cell>
          <cell r="K2627">
            <v>1</v>
          </cell>
        </row>
        <row r="2628">
          <cell r="A2628" t="str">
            <v>M2</v>
          </cell>
          <cell r="B2628" t="str">
            <v>A5C</v>
          </cell>
          <cell r="C2628" t="str">
            <v>TRIM</v>
          </cell>
          <cell r="D2628" t="str">
            <v>C-2304</v>
          </cell>
          <cell r="E2628" t="str">
            <v>TEE</v>
          </cell>
          <cell r="F2628">
            <v>2</v>
          </cell>
          <cell r="G2628" t="str">
            <v>CB400300000T00</v>
          </cell>
          <cell r="H2628">
            <v>0.75</v>
          </cell>
          <cell r="I2628" t="str">
            <v>--</v>
          </cell>
          <cell r="J2628">
            <v>1</v>
          </cell>
          <cell r="K2628">
            <v>1</v>
          </cell>
        </row>
        <row r="2629">
          <cell r="A2629" t="str">
            <v>M2</v>
          </cell>
          <cell r="B2629" t="str">
            <v>A5C</v>
          </cell>
          <cell r="C2629" t="str">
            <v>TRIM</v>
          </cell>
          <cell r="D2629" t="str">
            <v>C-2305</v>
          </cell>
          <cell r="E2629" t="str">
            <v>TEE</v>
          </cell>
          <cell r="F2629">
            <v>2</v>
          </cell>
          <cell r="G2629" t="str">
            <v>CB400300000T00</v>
          </cell>
          <cell r="H2629">
            <v>0.75</v>
          </cell>
          <cell r="I2629" t="str">
            <v>--</v>
          </cell>
          <cell r="J2629">
            <v>1</v>
          </cell>
          <cell r="K2629">
            <v>1</v>
          </cell>
        </row>
        <row r="2630">
          <cell r="A2630" t="str">
            <v>M2</v>
          </cell>
          <cell r="B2630" t="str">
            <v>A5C</v>
          </cell>
          <cell r="C2630" t="str">
            <v>TRIM</v>
          </cell>
          <cell r="D2630" t="str">
            <v>C-2306</v>
          </cell>
          <cell r="E2630" t="str">
            <v>TEE</v>
          </cell>
          <cell r="F2630">
            <v>2</v>
          </cell>
          <cell r="G2630" t="str">
            <v>CB400300000T00</v>
          </cell>
          <cell r="H2630">
            <v>0.75</v>
          </cell>
          <cell r="I2630" t="str">
            <v>--</v>
          </cell>
          <cell r="J2630">
            <v>1</v>
          </cell>
          <cell r="K2630">
            <v>1</v>
          </cell>
        </row>
        <row r="2631">
          <cell r="A2631" t="str">
            <v>M2</v>
          </cell>
          <cell r="B2631" t="str">
            <v>A5C</v>
          </cell>
          <cell r="C2631" t="str">
            <v>P</v>
          </cell>
          <cell r="D2631" t="str">
            <v>23053</v>
          </cell>
          <cell r="E2631" t="str">
            <v>TEE</v>
          </cell>
          <cell r="F2631">
            <v>2</v>
          </cell>
          <cell r="G2631" t="str">
            <v>CB400300000T00</v>
          </cell>
          <cell r="H2631">
            <v>0.75</v>
          </cell>
          <cell r="I2631" t="str">
            <v>--</v>
          </cell>
          <cell r="J2631">
            <v>4</v>
          </cell>
          <cell r="K2631">
            <v>4</v>
          </cell>
        </row>
        <row r="2632">
          <cell r="A2632" t="str">
            <v>M2</v>
          </cell>
          <cell r="B2632" t="str">
            <v>A5C</v>
          </cell>
          <cell r="C2632" t="str">
            <v>P</v>
          </cell>
          <cell r="D2632" t="str">
            <v>23130</v>
          </cell>
          <cell r="E2632" t="str">
            <v>TEE</v>
          </cell>
          <cell r="F2632">
            <v>2</v>
          </cell>
          <cell r="G2632" t="str">
            <v>CB400300000T00</v>
          </cell>
          <cell r="H2632">
            <v>0.75</v>
          </cell>
          <cell r="I2632" t="str">
            <v>--</v>
          </cell>
          <cell r="J2632">
            <v>2</v>
          </cell>
          <cell r="K2632">
            <v>2</v>
          </cell>
        </row>
        <row r="2633">
          <cell r="A2633" t="str">
            <v>M2</v>
          </cell>
          <cell r="B2633" t="str">
            <v>A5C</v>
          </cell>
          <cell r="C2633" t="str">
            <v>P</v>
          </cell>
          <cell r="D2633" t="str">
            <v>23180</v>
          </cell>
          <cell r="E2633" t="str">
            <v>TEE</v>
          </cell>
          <cell r="F2633">
            <v>2</v>
          </cell>
          <cell r="G2633" t="str">
            <v>CB400300000T00</v>
          </cell>
          <cell r="H2633">
            <v>0.75</v>
          </cell>
          <cell r="I2633" t="str">
            <v>--</v>
          </cell>
          <cell r="J2633">
            <v>2</v>
          </cell>
          <cell r="K2633">
            <v>2</v>
          </cell>
        </row>
        <row r="2634">
          <cell r="A2634" t="str">
            <v>M2</v>
          </cell>
          <cell r="B2634" t="str">
            <v>A5C</v>
          </cell>
          <cell r="C2634" t="str">
            <v>P</v>
          </cell>
          <cell r="D2634" t="str">
            <v>24017</v>
          </cell>
          <cell r="E2634" t="str">
            <v>TEE</v>
          </cell>
          <cell r="F2634">
            <v>2</v>
          </cell>
          <cell r="G2634" t="str">
            <v>CB400300000T00</v>
          </cell>
          <cell r="H2634">
            <v>0.75</v>
          </cell>
          <cell r="I2634" t="str">
            <v>--</v>
          </cell>
          <cell r="J2634">
            <v>5</v>
          </cell>
          <cell r="K2634">
            <v>5</v>
          </cell>
        </row>
        <row r="2635">
          <cell r="A2635" t="str">
            <v>M2</v>
          </cell>
          <cell r="B2635" t="str">
            <v>A5C</v>
          </cell>
          <cell r="C2635" t="str">
            <v>TRIM</v>
          </cell>
          <cell r="D2635" t="str">
            <v>C-2302</v>
          </cell>
          <cell r="E2635" t="str">
            <v>TEE</v>
          </cell>
          <cell r="F2635">
            <v>2</v>
          </cell>
          <cell r="G2635" t="str">
            <v>CB400300000T00</v>
          </cell>
          <cell r="H2635">
            <v>0.75</v>
          </cell>
          <cell r="I2635" t="str">
            <v>--</v>
          </cell>
          <cell r="J2635">
            <v>1</v>
          </cell>
          <cell r="K2635">
            <v>1</v>
          </cell>
        </row>
        <row r="2636">
          <cell r="A2636" t="str">
            <v>M2</v>
          </cell>
          <cell r="B2636" t="str">
            <v>A5C</v>
          </cell>
          <cell r="C2636" t="str">
            <v>P</v>
          </cell>
          <cell r="D2636" t="str">
            <v>23014</v>
          </cell>
          <cell r="E2636" t="str">
            <v>90 ELL</v>
          </cell>
          <cell r="F2636">
            <v>2</v>
          </cell>
          <cell r="G2636" t="str">
            <v>CB400100000T00</v>
          </cell>
          <cell r="H2636">
            <v>0.75</v>
          </cell>
          <cell r="I2636" t="str">
            <v>--</v>
          </cell>
          <cell r="J2636">
            <v>4</v>
          </cell>
          <cell r="K2636">
            <v>4</v>
          </cell>
        </row>
        <row r="2637">
          <cell r="A2637" t="str">
            <v>M2</v>
          </cell>
          <cell r="B2637" t="str">
            <v>A5C</v>
          </cell>
          <cell r="C2637" t="str">
            <v>P</v>
          </cell>
          <cell r="D2637" t="str">
            <v>23156</v>
          </cell>
          <cell r="E2637" t="str">
            <v>90 ELL</v>
          </cell>
          <cell r="F2637">
            <v>2</v>
          </cell>
          <cell r="G2637" t="str">
            <v>CB400100000T00</v>
          </cell>
          <cell r="H2637">
            <v>0.75</v>
          </cell>
          <cell r="I2637" t="str">
            <v>--</v>
          </cell>
          <cell r="J2637">
            <v>12</v>
          </cell>
          <cell r="K2637">
            <v>12</v>
          </cell>
        </row>
        <row r="2638">
          <cell r="A2638" t="str">
            <v>M2</v>
          </cell>
          <cell r="B2638" t="str">
            <v>A5C</v>
          </cell>
          <cell r="C2638" t="str">
            <v>P</v>
          </cell>
          <cell r="D2638" t="str">
            <v>24027</v>
          </cell>
          <cell r="E2638" t="str">
            <v>90 ELL</v>
          </cell>
          <cell r="F2638">
            <v>2</v>
          </cell>
          <cell r="G2638" t="str">
            <v>CB400100000T00</v>
          </cell>
          <cell r="H2638">
            <v>0.75</v>
          </cell>
          <cell r="I2638" t="str">
            <v>--</v>
          </cell>
          <cell r="J2638">
            <v>2</v>
          </cell>
          <cell r="K2638">
            <v>2</v>
          </cell>
        </row>
        <row r="2639">
          <cell r="A2639" t="str">
            <v>M2</v>
          </cell>
          <cell r="B2639" t="str">
            <v>A5C</v>
          </cell>
          <cell r="C2639" t="str">
            <v>P</v>
          </cell>
          <cell r="D2639" t="str">
            <v>24029</v>
          </cell>
          <cell r="E2639" t="str">
            <v>90 ELL</v>
          </cell>
          <cell r="F2639">
            <v>2</v>
          </cell>
          <cell r="G2639" t="str">
            <v>CB400100000T00</v>
          </cell>
          <cell r="H2639">
            <v>0.75</v>
          </cell>
          <cell r="I2639" t="str">
            <v>--</v>
          </cell>
          <cell r="J2639">
            <v>8</v>
          </cell>
          <cell r="K2639">
            <v>8</v>
          </cell>
        </row>
        <row r="2640">
          <cell r="A2640" t="str">
            <v>M2</v>
          </cell>
          <cell r="B2640" t="str">
            <v>A5C</v>
          </cell>
          <cell r="C2640" t="str">
            <v>P</v>
          </cell>
          <cell r="D2640" t="str">
            <v>24031</v>
          </cell>
          <cell r="E2640" t="str">
            <v>90 ELL</v>
          </cell>
          <cell r="F2640">
            <v>2</v>
          </cell>
          <cell r="G2640" t="str">
            <v>CB400100000T00</v>
          </cell>
          <cell r="H2640">
            <v>0.75</v>
          </cell>
          <cell r="I2640" t="str">
            <v>--</v>
          </cell>
          <cell r="J2640">
            <v>3</v>
          </cell>
          <cell r="K2640">
            <v>3</v>
          </cell>
        </row>
        <row r="2641">
          <cell r="A2641" t="str">
            <v>M2</v>
          </cell>
          <cell r="B2641" t="str">
            <v>A5C</v>
          </cell>
          <cell r="C2641" t="str">
            <v>P</v>
          </cell>
          <cell r="D2641" t="str">
            <v>24033</v>
          </cell>
          <cell r="E2641" t="str">
            <v>90 ELL</v>
          </cell>
          <cell r="F2641">
            <v>2</v>
          </cell>
          <cell r="G2641" t="str">
            <v>CB400100000T00</v>
          </cell>
          <cell r="H2641">
            <v>0.75</v>
          </cell>
          <cell r="I2641" t="str">
            <v>--</v>
          </cell>
          <cell r="J2641">
            <v>2</v>
          </cell>
          <cell r="K2641">
            <v>2</v>
          </cell>
        </row>
        <row r="2642">
          <cell r="A2642" t="str">
            <v>M2</v>
          </cell>
          <cell r="B2642" t="str">
            <v>A5C</v>
          </cell>
          <cell r="C2642" t="str">
            <v>P</v>
          </cell>
          <cell r="D2642" t="str">
            <v>99004</v>
          </cell>
          <cell r="E2642" t="str">
            <v>90 ELL</v>
          </cell>
          <cell r="F2642">
            <v>2</v>
          </cell>
          <cell r="G2642" t="str">
            <v>CB400100000T00</v>
          </cell>
          <cell r="H2642">
            <v>0.75</v>
          </cell>
          <cell r="I2642" t="str">
            <v>--</v>
          </cell>
          <cell r="J2642">
            <v>6</v>
          </cell>
          <cell r="K2642">
            <v>6</v>
          </cell>
        </row>
        <row r="2643">
          <cell r="A2643" t="str">
            <v>M2</v>
          </cell>
          <cell r="B2643" t="str">
            <v>A5C</v>
          </cell>
          <cell r="C2643" t="str">
            <v>TRIM</v>
          </cell>
          <cell r="D2643" t="str">
            <v>C-2301</v>
          </cell>
          <cell r="E2643" t="str">
            <v>90 ELL</v>
          </cell>
          <cell r="F2643">
            <v>2</v>
          </cell>
          <cell r="G2643" t="str">
            <v>CB400100000T00</v>
          </cell>
          <cell r="H2643">
            <v>0.75</v>
          </cell>
          <cell r="I2643" t="str">
            <v>--</v>
          </cell>
          <cell r="J2643">
            <v>1</v>
          </cell>
          <cell r="K2643">
            <v>1</v>
          </cell>
        </row>
        <row r="2644">
          <cell r="A2644" t="str">
            <v>M2</v>
          </cell>
          <cell r="B2644" t="str">
            <v>A5C</v>
          </cell>
          <cell r="C2644" t="str">
            <v>P</v>
          </cell>
          <cell r="D2644" t="str">
            <v>24003</v>
          </cell>
          <cell r="E2644" t="str">
            <v>90 ELL</v>
          </cell>
          <cell r="F2644">
            <v>2</v>
          </cell>
          <cell r="G2644" t="str">
            <v>CB400100000T00</v>
          </cell>
          <cell r="H2644">
            <v>0.75</v>
          </cell>
          <cell r="I2644" t="str">
            <v>--</v>
          </cell>
          <cell r="J2644">
            <v>2</v>
          </cell>
          <cell r="K2644">
            <v>2</v>
          </cell>
        </row>
        <row r="2645">
          <cell r="A2645" t="str">
            <v>M2</v>
          </cell>
          <cell r="B2645" t="str">
            <v>A5C</v>
          </cell>
          <cell r="C2645" t="str">
            <v>P</v>
          </cell>
          <cell r="D2645" t="str">
            <v>23156</v>
          </cell>
          <cell r="E2645" t="str">
            <v>CAP</v>
          </cell>
          <cell r="F2645">
            <v>2</v>
          </cell>
          <cell r="G2645" t="str">
            <v>CB520700000T00</v>
          </cell>
          <cell r="H2645">
            <v>0.75</v>
          </cell>
          <cell r="I2645" t="str">
            <v>--</v>
          </cell>
          <cell r="J2645">
            <v>1</v>
          </cell>
          <cell r="K2645">
            <v>1</v>
          </cell>
        </row>
        <row r="2646">
          <cell r="A2646" t="str">
            <v>M2</v>
          </cell>
          <cell r="B2646" t="str">
            <v>A5C</v>
          </cell>
          <cell r="C2646" t="str">
            <v>P</v>
          </cell>
          <cell r="D2646" t="str">
            <v>24001</v>
          </cell>
          <cell r="E2646" t="str">
            <v>CAP</v>
          </cell>
          <cell r="F2646">
            <v>2</v>
          </cell>
          <cell r="G2646" t="str">
            <v>CB520700000T00</v>
          </cell>
          <cell r="H2646">
            <v>0.75</v>
          </cell>
          <cell r="I2646" t="str">
            <v>--</v>
          </cell>
          <cell r="J2646">
            <v>2</v>
          </cell>
          <cell r="K2646">
            <v>2</v>
          </cell>
        </row>
        <row r="2647">
          <cell r="A2647" t="str">
            <v>M2</v>
          </cell>
          <cell r="B2647" t="str">
            <v>A5C</v>
          </cell>
          <cell r="C2647" t="str">
            <v>P</v>
          </cell>
          <cell r="D2647" t="str">
            <v>24002</v>
          </cell>
          <cell r="E2647" t="str">
            <v>CAP</v>
          </cell>
          <cell r="F2647">
            <v>2</v>
          </cell>
          <cell r="G2647" t="str">
            <v>CB520700000T00</v>
          </cell>
          <cell r="H2647">
            <v>0.75</v>
          </cell>
          <cell r="I2647" t="str">
            <v>--</v>
          </cell>
          <cell r="J2647">
            <v>1</v>
          </cell>
          <cell r="K2647">
            <v>1</v>
          </cell>
        </row>
        <row r="2648">
          <cell r="A2648" t="str">
            <v>M2</v>
          </cell>
          <cell r="B2648" t="str">
            <v>A5C</v>
          </cell>
          <cell r="C2648" t="str">
            <v>P</v>
          </cell>
          <cell r="D2648" t="str">
            <v>24004</v>
          </cell>
          <cell r="E2648" t="str">
            <v>CAP</v>
          </cell>
          <cell r="F2648">
            <v>2</v>
          </cell>
          <cell r="G2648" t="str">
            <v>CB520700000T00</v>
          </cell>
          <cell r="H2648">
            <v>0.75</v>
          </cell>
          <cell r="I2648" t="str">
            <v>--</v>
          </cell>
          <cell r="J2648">
            <v>3</v>
          </cell>
          <cell r="K2648">
            <v>3</v>
          </cell>
        </row>
        <row r="2649">
          <cell r="A2649" t="str">
            <v>M2</v>
          </cell>
          <cell r="B2649" t="str">
            <v>A5C</v>
          </cell>
          <cell r="C2649" t="str">
            <v>P</v>
          </cell>
          <cell r="D2649" t="str">
            <v>24026</v>
          </cell>
          <cell r="E2649" t="str">
            <v>CAP</v>
          </cell>
          <cell r="F2649">
            <v>2</v>
          </cell>
          <cell r="G2649" t="str">
            <v>CB520700000T00</v>
          </cell>
          <cell r="H2649">
            <v>0.75</v>
          </cell>
          <cell r="I2649" t="str">
            <v>--</v>
          </cell>
          <cell r="J2649">
            <v>1</v>
          </cell>
          <cell r="K2649">
            <v>1</v>
          </cell>
        </row>
        <row r="2650">
          <cell r="A2650" t="str">
            <v>M2</v>
          </cell>
          <cell r="B2650" t="str">
            <v>A5C</v>
          </cell>
          <cell r="C2650" t="str">
            <v>P</v>
          </cell>
          <cell r="D2650" t="str">
            <v>24029</v>
          </cell>
          <cell r="E2650" t="str">
            <v>CAP</v>
          </cell>
          <cell r="F2650">
            <v>2</v>
          </cell>
          <cell r="G2650" t="str">
            <v>CB520700000T00</v>
          </cell>
          <cell r="H2650">
            <v>0.75</v>
          </cell>
          <cell r="I2650" t="str">
            <v>--</v>
          </cell>
          <cell r="J2650">
            <v>2</v>
          </cell>
          <cell r="K2650">
            <v>2</v>
          </cell>
        </row>
        <row r="2651">
          <cell r="A2651" t="str">
            <v>M2</v>
          </cell>
          <cell r="B2651" t="str">
            <v>A5C</v>
          </cell>
          <cell r="C2651" t="str">
            <v>P</v>
          </cell>
          <cell r="D2651" t="str">
            <v>99004</v>
          </cell>
          <cell r="E2651" t="str">
            <v>CAP</v>
          </cell>
          <cell r="F2651">
            <v>2</v>
          </cell>
          <cell r="G2651" t="str">
            <v>CB520700000T00</v>
          </cell>
          <cell r="H2651">
            <v>0.75</v>
          </cell>
          <cell r="I2651" t="str">
            <v>--</v>
          </cell>
          <cell r="J2651">
            <v>1</v>
          </cell>
          <cell r="K2651">
            <v>1</v>
          </cell>
        </row>
        <row r="2652">
          <cell r="A2652" t="str">
            <v>M2</v>
          </cell>
          <cell r="B2652" t="str">
            <v>A5C</v>
          </cell>
          <cell r="C2652" t="str">
            <v>TRIM</v>
          </cell>
          <cell r="D2652" t="str">
            <v>C-2301</v>
          </cell>
          <cell r="E2652" t="str">
            <v>CAP</v>
          </cell>
          <cell r="F2652">
            <v>2</v>
          </cell>
          <cell r="G2652" t="str">
            <v>CB520700000T00</v>
          </cell>
          <cell r="H2652">
            <v>0.75</v>
          </cell>
          <cell r="I2652" t="str">
            <v>--</v>
          </cell>
          <cell r="J2652">
            <v>2</v>
          </cell>
          <cell r="K2652">
            <v>2</v>
          </cell>
        </row>
        <row r="2653">
          <cell r="A2653" t="str">
            <v>M2</v>
          </cell>
          <cell r="B2653" t="str">
            <v>A5C</v>
          </cell>
          <cell r="C2653" t="str">
            <v>TRIM</v>
          </cell>
          <cell r="D2653" t="str">
            <v>R-2401</v>
          </cell>
          <cell r="E2653" t="str">
            <v>CAP</v>
          </cell>
          <cell r="F2653">
            <v>2</v>
          </cell>
          <cell r="G2653" t="str">
            <v>CB520700000T00</v>
          </cell>
          <cell r="H2653">
            <v>0.75</v>
          </cell>
          <cell r="I2653" t="str">
            <v>--</v>
          </cell>
          <cell r="J2653">
            <v>2</v>
          </cell>
          <cell r="K2653">
            <v>2</v>
          </cell>
        </row>
        <row r="2654">
          <cell r="A2654" t="str">
            <v>M2</v>
          </cell>
          <cell r="B2654" t="str">
            <v>A5C</v>
          </cell>
          <cell r="C2654" t="str">
            <v>TRIM</v>
          </cell>
          <cell r="D2654" t="str">
            <v>V-2404</v>
          </cell>
          <cell r="E2654" t="str">
            <v>CAP</v>
          </cell>
          <cell r="F2654">
            <v>2</v>
          </cell>
          <cell r="G2654" t="str">
            <v>CB520700000T00</v>
          </cell>
          <cell r="H2654">
            <v>0.75</v>
          </cell>
          <cell r="I2654" t="str">
            <v>--</v>
          </cell>
          <cell r="J2654">
            <v>2</v>
          </cell>
          <cell r="K2654">
            <v>2</v>
          </cell>
        </row>
        <row r="2655">
          <cell r="A2655" t="str">
            <v>M2</v>
          </cell>
          <cell r="B2655" t="str">
            <v>A5C</v>
          </cell>
          <cell r="C2655" t="str">
            <v>TRIM</v>
          </cell>
          <cell r="D2655" t="str">
            <v>V-2401</v>
          </cell>
          <cell r="E2655" t="str">
            <v>CAP</v>
          </cell>
          <cell r="F2655">
            <v>2</v>
          </cell>
          <cell r="G2655" t="str">
            <v>CB520700000T00</v>
          </cell>
          <cell r="H2655">
            <v>0.75</v>
          </cell>
          <cell r="I2655" t="str">
            <v>--</v>
          </cell>
          <cell r="J2655">
            <v>2</v>
          </cell>
          <cell r="K2655">
            <v>2</v>
          </cell>
        </row>
        <row r="2656">
          <cell r="A2656" t="str">
            <v>M2</v>
          </cell>
          <cell r="B2656" t="str">
            <v>A5C</v>
          </cell>
          <cell r="C2656" t="str">
            <v>P</v>
          </cell>
          <cell r="D2656" t="str">
            <v>23013</v>
          </cell>
          <cell r="E2656" t="str">
            <v>CAP</v>
          </cell>
          <cell r="F2656">
            <v>2</v>
          </cell>
          <cell r="G2656" t="str">
            <v>CB520700000T00</v>
          </cell>
          <cell r="H2656">
            <v>0.75</v>
          </cell>
          <cell r="I2656" t="str">
            <v>--</v>
          </cell>
          <cell r="J2656">
            <v>2</v>
          </cell>
          <cell r="K2656">
            <v>2</v>
          </cell>
        </row>
        <row r="2657">
          <cell r="A2657" t="str">
            <v>M2</v>
          </cell>
          <cell r="B2657" t="str">
            <v>A5C</v>
          </cell>
          <cell r="C2657" t="str">
            <v>P</v>
          </cell>
          <cell r="D2657" t="str">
            <v>24025</v>
          </cell>
          <cell r="E2657" t="str">
            <v>CAP</v>
          </cell>
          <cell r="F2657">
            <v>2</v>
          </cell>
          <cell r="G2657" t="str">
            <v>CB520700000T00</v>
          </cell>
          <cell r="H2657">
            <v>0.75</v>
          </cell>
          <cell r="I2657" t="str">
            <v>--</v>
          </cell>
          <cell r="J2657">
            <v>2</v>
          </cell>
          <cell r="K2657">
            <v>2</v>
          </cell>
        </row>
        <row r="2658">
          <cell r="A2658" t="str">
            <v>M2</v>
          </cell>
          <cell r="B2658" t="str">
            <v>A5C</v>
          </cell>
          <cell r="C2658" t="str">
            <v>P</v>
          </cell>
          <cell r="D2658" t="str">
            <v>24004</v>
          </cell>
          <cell r="E2658" t="str">
            <v>CPLG</v>
          </cell>
          <cell r="F2658">
            <v>2</v>
          </cell>
          <cell r="G2658" t="str">
            <v>CB400500000T00</v>
          </cell>
          <cell r="H2658">
            <v>0.75</v>
          </cell>
          <cell r="I2658" t="str">
            <v>--</v>
          </cell>
          <cell r="J2658">
            <v>2</v>
          </cell>
          <cell r="K2658">
            <v>2</v>
          </cell>
        </row>
        <row r="2659">
          <cell r="A2659" t="str">
            <v>M2</v>
          </cell>
          <cell r="B2659" t="str">
            <v>A5C</v>
          </cell>
          <cell r="C2659" t="str">
            <v>P</v>
          </cell>
          <cell r="D2659" t="str">
            <v>24031</v>
          </cell>
          <cell r="E2659" t="str">
            <v>CPLG</v>
          </cell>
          <cell r="F2659">
            <v>2</v>
          </cell>
          <cell r="G2659" t="str">
            <v>CB400500000T00</v>
          </cell>
          <cell r="H2659">
            <v>0.75</v>
          </cell>
          <cell r="I2659" t="str">
            <v>--</v>
          </cell>
          <cell r="J2659">
            <v>1</v>
          </cell>
          <cell r="K2659">
            <v>1</v>
          </cell>
        </row>
        <row r="2660">
          <cell r="A2660" t="str">
            <v>M2</v>
          </cell>
          <cell r="B2660" t="str">
            <v>A5C</v>
          </cell>
          <cell r="C2660" t="str">
            <v>P</v>
          </cell>
          <cell r="D2660" t="str">
            <v>99004</v>
          </cell>
          <cell r="E2660" t="str">
            <v>CPLG</v>
          </cell>
          <cell r="F2660">
            <v>2</v>
          </cell>
          <cell r="G2660" t="str">
            <v>CB400500000T00</v>
          </cell>
          <cell r="H2660">
            <v>0.75</v>
          </cell>
          <cell r="I2660" t="str">
            <v>--</v>
          </cell>
          <cell r="J2660">
            <v>1</v>
          </cell>
          <cell r="K2660">
            <v>1</v>
          </cell>
        </row>
        <row r="2661">
          <cell r="A2661" t="str">
            <v>M2</v>
          </cell>
          <cell r="B2661" t="str">
            <v>A5C</v>
          </cell>
          <cell r="C2661" t="str">
            <v>P</v>
          </cell>
          <cell r="D2661" t="str">
            <v>23156</v>
          </cell>
          <cell r="E2661" t="str">
            <v>CPLG</v>
          </cell>
          <cell r="F2661">
            <v>2</v>
          </cell>
          <cell r="G2661" t="str">
            <v>CB400500000T00</v>
          </cell>
          <cell r="H2661">
            <v>0.75</v>
          </cell>
          <cell r="I2661" t="str">
            <v>--</v>
          </cell>
          <cell r="J2661">
            <v>6</v>
          </cell>
          <cell r="K2661">
            <v>6</v>
          </cell>
        </row>
        <row r="2662">
          <cell r="A2662" t="str">
            <v>M2</v>
          </cell>
          <cell r="B2662" t="str">
            <v>A5C</v>
          </cell>
          <cell r="C2662" t="str">
            <v>P</v>
          </cell>
          <cell r="D2662" t="str">
            <v>24029</v>
          </cell>
          <cell r="E2662" t="str">
            <v>CPLG</v>
          </cell>
          <cell r="F2662">
            <v>2</v>
          </cell>
          <cell r="G2662" t="str">
            <v>CB400500000T00</v>
          </cell>
          <cell r="H2662">
            <v>0.75</v>
          </cell>
          <cell r="I2662" t="str">
            <v>--</v>
          </cell>
          <cell r="J2662">
            <v>1</v>
          </cell>
          <cell r="K2662">
            <v>1</v>
          </cell>
        </row>
        <row r="2663">
          <cell r="A2663" t="str">
            <v>M2</v>
          </cell>
          <cell r="B2663" t="str">
            <v>A5C</v>
          </cell>
          <cell r="C2663" t="str">
            <v>P</v>
          </cell>
          <cell r="D2663" t="str">
            <v>24033</v>
          </cell>
          <cell r="E2663" t="str">
            <v>CPLG</v>
          </cell>
          <cell r="F2663">
            <v>2</v>
          </cell>
          <cell r="G2663" t="str">
            <v>CB400500000T00</v>
          </cell>
          <cell r="H2663">
            <v>0.75</v>
          </cell>
          <cell r="I2663" t="str">
            <v>--</v>
          </cell>
          <cell r="J2663">
            <v>1</v>
          </cell>
          <cell r="K2663">
            <v>1</v>
          </cell>
        </row>
        <row r="2664">
          <cell r="A2664" t="str">
            <v>M2</v>
          </cell>
          <cell r="B2664" t="str">
            <v>A5C</v>
          </cell>
          <cell r="C2664" t="str">
            <v>TRIM</v>
          </cell>
          <cell r="D2664" t="str">
            <v>C-2301</v>
          </cell>
          <cell r="E2664" t="str">
            <v>NPL</v>
          </cell>
          <cell r="F2664">
            <v>2</v>
          </cell>
          <cell r="G2664" t="str">
            <v>CB132108000TVR</v>
          </cell>
          <cell r="H2664">
            <v>0.75</v>
          </cell>
          <cell r="I2664" t="str">
            <v>75mm</v>
          </cell>
          <cell r="J2664">
            <v>2</v>
          </cell>
          <cell r="K2664">
            <v>2</v>
          </cell>
        </row>
        <row r="2665">
          <cell r="A2665" t="str">
            <v>M2</v>
          </cell>
          <cell r="B2665" t="str">
            <v>A5C</v>
          </cell>
          <cell r="C2665" t="str">
            <v>P</v>
          </cell>
          <cell r="D2665" t="str">
            <v>23156</v>
          </cell>
          <cell r="E2665" t="str">
            <v>TEE</v>
          </cell>
          <cell r="F2665">
            <v>2</v>
          </cell>
          <cell r="G2665" t="str">
            <v>CB400300000T00</v>
          </cell>
          <cell r="H2665">
            <v>0.75</v>
          </cell>
          <cell r="I2665" t="str">
            <v>--</v>
          </cell>
          <cell r="J2665">
            <v>4</v>
          </cell>
          <cell r="K2665">
            <v>4</v>
          </cell>
        </row>
        <row r="2666">
          <cell r="A2666" t="str">
            <v>M2</v>
          </cell>
          <cell r="B2666" t="str">
            <v>A5C</v>
          </cell>
          <cell r="C2666" t="str">
            <v>P</v>
          </cell>
          <cell r="D2666" t="str">
            <v>24029</v>
          </cell>
          <cell r="E2666" t="str">
            <v>TEE</v>
          </cell>
          <cell r="F2666">
            <v>2</v>
          </cell>
          <cell r="G2666" t="str">
            <v>CB400300000T00</v>
          </cell>
          <cell r="H2666">
            <v>0.75</v>
          </cell>
          <cell r="I2666" t="str">
            <v>--</v>
          </cell>
          <cell r="J2666">
            <v>5</v>
          </cell>
          <cell r="K2666">
            <v>5</v>
          </cell>
        </row>
        <row r="2667">
          <cell r="A2667" t="str">
            <v>M2</v>
          </cell>
          <cell r="B2667" t="str">
            <v>A5C</v>
          </cell>
          <cell r="C2667" t="str">
            <v>P</v>
          </cell>
          <cell r="D2667" t="str">
            <v>99004</v>
          </cell>
          <cell r="E2667" t="str">
            <v>TEE</v>
          </cell>
          <cell r="F2667">
            <v>2</v>
          </cell>
          <cell r="G2667" t="str">
            <v>CB400300000T00</v>
          </cell>
          <cell r="H2667">
            <v>0.75</v>
          </cell>
          <cell r="I2667" t="str">
            <v>--</v>
          </cell>
          <cell r="J2667">
            <v>4</v>
          </cell>
          <cell r="K2667">
            <v>4</v>
          </cell>
        </row>
        <row r="2668">
          <cell r="A2668" t="str">
            <v>M2</v>
          </cell>
          <cell r="B2668" t="str">
            <v>A5C</v>
          </cell>
          <cell r="C2668" t="str">
            <v>TRIM</v>
          </cell>
          <cell r="D2668" t="str">
            <v>C-2301</v>
          </cell>
          <cell r="E2668" t="str">
            <v>TEE</v>
          </cell>
          <cell r="F2668">
            <v>2</v>
          </cell>
          <cell r="G2668" t="str">
            <v>CB400300000T00</v>
          </cell>
          <cell r="H2668">
            <v>0.75</v>
          </cell>
          <cell r="I2668" t="str">
            <v>--</v>
          </cell>
          <cell r="J2668">
            <v>1</v>
          </cell>
          <cell r="K2668">
            <v>1</v>
          </cell>
        </row>
        <row r="2669">
          <cell r="A2669" t="str">
            <v>M2</v>
          </cell>
          <cell r="B2669" t="str">
            <v>B2C</v>
          </cell>
          <cell r="C2669" t="str">
            <v>SH</v>
          </cell>
          <cell r="D2669" t="str">
            <v>23613</v>
          </cell>
          <cell r="E2669" t="str">
            <v>90 ELL</v>
          </cell>
          <cell r="F2669">
            <v>2</v>
          </cell>
          <cell r="G2669" t="str">
            <v>CB400100000100</v>
          </cell>
          <cell r="H2669">
            <v>1</v>
          </cell>
          <cell r="I2669" t="str">
            <v>--</v>
          </cell>
          <cell r="J2669">
            <v>2</v>
          </cell>
          <cell r="K2669">
            <v>2</v>
          </cell>
        </row>
        <row r="2670">
          <cell r="A2670" t="str">
            <v>M2</v>
          </cell>
          <cell r="B2670" t="str">
            <v>B2C</v>
          </cell>
          <cell r="C2670" t="str">
            <v>SH</v>
          </cell>
          <cell r="D2670" t="str">
            <v>24612</v>
          </cell>
          <cell r="E2670" t="str">
            <v>C SWG</v>
          </cell>
          <cell r="F2670">
            <v>2</v>
          </cell>
          <cell r="G2670" t="str">
            <v>CB16110808010T</v>
          </cell>
          <cell r="H2670">
            <v>1</v>
          </cell>
          <cell r="I2670">
            <v>0.75</v>
          </cell>
          <cell r="J2670">
            <v>1</v>
          </cell>
          <cell r="K2670">
            <v>1</v>
          </cell>
        </row>
        <row r="2671">
          <cell r="A2671" t="str">
            <v>M2</v>
          </cell>
          <cell r="B2671" t="str">
            <v>A5C</v>
          </cell>
          <cell r="C2671" t="str">
            <v>N</v>
          </cell>
          <cell r="D2671" t="str">
            <v>23631</v>
          </cell>
          <cell r="E2671" t="str">
            <v>90 ELL</v>
          </cell>
          <cell r="F2671">
            <v>2</v>
          </cell>
          <cell r="G2671" t="str">
            <v>CB400100000100</v>
          </cell>
          <cell r="H2671">
            <v>1</v>
          </cell>
          <cell r="I2671" t="str">
            <v>--</v>
          </cell>
          <cell r="J2671">
            <v>2</v>
          </cell>
          <cell r="K2671">
            <v>2</v>
          </cell>
        </row>
        <row r="2672">
          <cell r="A2672" t="str">
            <v>M2</v>
          </cell>
          <cell r="B2672" t="str">
            <v>A5C</v>
          </cell>
          <cell r="C2672" t="str">
            <v>N</v>
          </cell>
          <cell r="D2672" t="str">
            <v>23632</v>
          </cell>
          <cell r="E2672" t="str">
            <v>90 ELL</v>
          </cell>
          <cell r="F2672">
            <v>2</v>
          </cell>
          <cell r="G2672" t="str">
            <v>CB400100000100</v>
          </cell>
          <cell r="H2672">
            <v>1</v>
          </cell>
          <cell r="I2672" t="str">
            <v>--</v>
          </cell>
          <cell r="J2672">
            <v>3</v>
          </cell>
          <cell r="K2672">
            <v>3</v>
          </cell>
        </row>
        <row r="2673">
          <cell r="A2673" t="str">
            <v>M2</v>
          </cell>
          <cell r="B2673" t="str">
            <v>A5C</v>
          </cell>
          <cell r="C2673" t="str">
            <v>N</v>
          </cell>
          <cell r="D2673" t="str">
            <v>23634</v>
          </cell>
          <cell r="E2673" t="str">
            <v>90 ELL</v>
          </cell>
          <cell r="F2673">
            <v>2</v>
          </cell>
          <cell r="G2673" t="str">
            <v>CB400100000100</v>
          </cell>
          <cell r="H2673">
            <v>1</v>
          </cell>
          <cell r="I2673" t="str">
            <v>--</v>
          </cell>
          <cell r="J2673">
            <v>3</v>
          </cell>
          <cell r="K2673">
            <v>3</v>
          </cell>
        </row>
        <row r="2674">
          <cell r="A2674" t="str">
            <v>M2</v>
          </cell>
          <cell r="B2674" t="str">
            <v>A5C</v>
          </cell>
          <cell r="C2674" t="str">
            <v>N</v>
          </cell>
          <cell r="D2674" t="str">
            <v>23640</v>
          </cell>
          <cell r="E2674" t="str">
            <v>90 ELL</v>
          </cell>
          <cell r="F2674">
            <v>2</v>
          </cell>
          <cell r="G2674" t="str">
            <v>CB400100000100</v>
          </cell>
          <cell r="H2674">
            <v>1</v>
          </cell>
          <cell r="I2674" t="str">
            <v>--</v>
          </cell>
          <cell r="J2674">
            <v>3</v>
          </cell>
          <cell r="K2674">
            <v>3</v>
          </cell>
        </row>
        <row r="2675">
          <cell r="A2675" t="str">
            <v>M2</v>
          </cell>
          <cell r="B2675" t="str">
            <v>A5C</v>
          </cell>
          <cell r="C2675" t="str">
            <v>N</v>
          </cell>
          <cell r="D2675" t="str">
            <v>23633</v>
          </cell>
          <cell r="E2675" t="str">
            <v>90 ELL</v>
          </cell>
          <cell r="F2675">
            <v>2</v>
          </cell>
          <cell r="G2675" t="str">
            <v>CB400100000100</v>
          </cell>
          <cell r="H2675">
            <v>1</v>
          </cell>
          <cell r="I2675" t="str">
            <v>--</v>
          </cell>
          <cell r="J2675">
            <v>3</v>
          </cell>
          <cell r="K2675">
            <v>3</v>
          </cell>
        </row>
        <row r="2676">
          <cell r="A2676" t="str">
            <v>M2</v>
          </cell>
          <cell r="B2676" t="str">
            <v>A5C</v>
          </cell>
          <cell r="C2676" t="str">
            <v>N</v>
          </cell>
          <cell r="D2676" t="str">
            <v>23636</v>
          </cell>
          <cell r="E2676" t="str">
            <v>90 ELL</v>
          </cell>
          <cell r="F2676">
            <v>2</v>
          </cell>
          <cell r="G2676" t="str">
            <v>CB400100000100</v>
          </cell>
          <cell r="H2676">
            <v>1</v>
          </cell>
          <cell r="I2676" t="str">
            <v>--</v>
          </cell>
          <cell r="J2676">
            <v>3</v>
          </cell>
          <cell r="K2676">
            <v>3</v>
          </cell>
        </row>
        <row r="2677">
          <cell r="A2677" t="str">
            <v>M2</v>
          </cell>
          <cell r="B2677" t="str">
            <v>A5C</v>
          </cell>
          <cell r="C2677" t="str">
            <v>N</v>
          </cell>
          <cell r="D2677" t="str">
            <v>23639</v>
          </cell>
          <cell r="E2677" t="str">
            <v>90 ELL</v>
          </cell>
          <cell r="F2677">
            <v>2</v>
          </cell>
          <cell r="G2677" t="str">
            <v>CB400100000100</v>
          </cell>
          <cell r="H2677">
            <v>1</v>
          </cell>
          <cell r="I2677" t="str">
            <v>--</v>
          </cell>
          <cell r="J2677">
            <v>2</v>
          </cell>
          <cell r="K2677">
            <v>2</v>
          </cell>
        </row>
        <row r="2678">
          <cell r="A2678" t="str">
            <v>M2</v>
          </cell>
          <cell r="B2678" t="str">
            <v>A5C</v>
          </cell>
          <cell r="C2678" t="str">
            <v>P</v>
          </cell>
          <cell r="D2678" t="str">
            <v>23006</v>
          </cell>
          <cell r="E2678" t="str">
            <v>90 ELL</v>
          </cell>
          <cell r="F2678">
            <v>2</v>
          </cell>
          <cell r="G2678" t="str">
            <v>CB400100000100</v>
          </cell>
          <cell r="H2678">
            <v>1</v>
          </cell>
          <cell r="I2678" t="str">
            <v>--</v>
          </cell>
          <cell r="J2678">
            <v>2</v>
          </cell>
          <cell r="K2678">
            <v>2</v>
          </cell>
        </row>
        <row r="2679">
          <cell r="A2679" t="str">
            <v>M2</v>
          </cell>
          <cell r="B2679" t="str">
            <v>A5C</v>
          </cell>
          <cell r="C2679" t="str">
            <v>P</v>
          </cell>
          <cell r="D2679" t="str">
            <v>23037</v>
          </cell>
          <cell r="E2679" t="str">
            <v>90 ELL</v>
          </cell>
          <cell r="F2679">
            <v>2</v>
          </cell>
          <cell r="G2679" t="str">
            <v>CB400100000100</v>
          </cell>
          <cell r="H2679">
            <v>1</v>
          </cell>
          <cell r="I2679" t="str">
            <v>--</v>
          </cell>
          <cell r="J2679">
            <v>2</v>
          </cell>
          <cell r="K2679">
            <v>2</v>
          </cell>
        </row>
        <row r="2680">
          <cell r="A2680" t="str">
            <v>M2</v>
          </cell>
          <cell r="B2680" t="str">
            <v>A5C</v>
          </cell>
          <cell r="C2680" t="str">
            <v>P</v>
          </cell>
          <cell r="D2680" t="str">
            <v>23052</v>
          </cell>
          <cell r="E2680" t="str">
            <v>90 ELL</v>
          </cell>
          <cell r="F2680">
            <v>2</v>
          </cell>
          <cell r="G2680" t="str">
            <v>CB400100000100</v>
          </cell>
          <cell r="H2680">
            <v>1</v>
          </cell>
          <cell r="I2680" t="str">
            <v>--</v>
          </cell>
          <cell r="J2680">
            <v>2</v>
          </cell>
          <cell r="K2680">
            <v>2</v>
          </cell>
        </row>
        <row r="2681">
          <cell r="A2681" t="str">
            <v>M2</v>
          </cell>
          <cell r="B2681" t="str">
            <v>A5C</v>
          </cell>
          <cell r="C2681" t="str">
            <v>P</v>
          </cell>
          <cell r="D2681" t="str">
            <v>23063</v>
          </cell>
          <cell r="E2681" t="str">
            <v>90 ELL</v>
          </cell>
          <cell r="F2681">
            <v>2</v>
          </cell>
          <cell r="G2681" t="str">
            <v>CB400100000100</v>
          </cell>
          <cell r="H2681">
            <v>1</v>
          </cell>
          <cell r="I2681" t="str">
            <v>--</v>
          </cell>
          <cell r="J2681">
            <v>2</v>
          </cell>
          <cell r="K2681">
            <v>2</v>
          </cell>
        </row>
        <row r="2682">
          <cell r="A2682" t="str">
            <v>M2</v>
          </cell>
          <cell r="B2682" t="str">
            <v>A5C</v>
          </cell>
          <cell r="C2682" t="str">
            <v>P</v>
          </cell>
          <cell r="D2682" t="str">
            <v>23078</v>
          </cell>
          <cell r="E2682" t="str">
            <v>90 ELL</v>
          </cell>
          <cell r="F2682">
            <v>2</v>
          </cell>
          <cell r="G2682" t="str">
            <v>CB400100000100</v>
          </cell>
          <cell r="H2682">
            <v>1</v>
          </cell>
          <cell r="I2682" t="str">
            <v>--</v>
          </cell>
          <cell r="J2682">
            <v>2</v>
          </cell>
          <cell r="K2682">
            <v>2</v>
          </cell>
        </row>
        <row r="2683">
          <cell r="A2683" t="str">
            <v>M2</v>
          </cell>
          <cell r="B2683" t="str">
            <v>A5C</v>
          </cell>
          <cell r="C2683" t="str">
            <v>P</v>
          </cell>
          <cell r="D2683" t="str">
            <v>23083</v>
          </cell>
          <cell r="E2683" t="str">
            <v>90 ELL</v>
          </cell>
          <cell r="F2683">
            <v>2</v>
          </cell>
          <cell r="G2683" t="str">
            <v>CB400100000100</v>
          </cell>
          <cell r="H2683">
            <v>1</v>
          </cell>
          <cell r="I2683" t="str">
            <v>--</v>
          </cell>
          <cell r="J2683">
            <v>6</v>
          </cell>
          <cell r="K2683">
            <v>6</v>
          </cell>
        </row>
        <row r="2684">
          <cell r="A2684" t="str">
            <v>M2</v>
          </cell>
          <cell r="B2684" t="str">
            <v>A5C</v>
          </cell>
          <cell r="C2684" t="str">
            <v>P</v>
          </cell>
          <cell r="D2684" t="str">
            <v>23104</v>
          </cell>
          <cell r="E2684" t="str">
            <v>90 ELL</v>
          </cell>
          <cell r="F2684">
            <v>2</v>
          </cell>
          <cell r="G2684" t="str">
            <v>CB400100000100</v>
          </cell>
          <cell r="H2684">
            <v>1</v>
          </cell>
          <cell r="I2684" t="str">
            <v>--</v>
          </cell>
          <cell r="J2684">
            <v>3</v>
          </cell>
          <cell r="K2684">
            <v>3</v>
          </cell>
        </row>
        <row r="2685">
          <cell r="A2685" t="str">
            <v>M2</v>
          </cell>
          <cell r="B2685" t="str">
            <v>A5C</v>
          </cell>
          <cell r="C2685" t="str">
            <v>P</v>
          </cell>
          <cell r="D2685" t="str">
            <v>23104</v>
          </cell>
          <cell r="E2685" t="str">
            <v>90 ELL</v>
          </cell>
          <cell r="F2685">
            <v>2</v>
          </cell>
          <cell r="G2685" t="str">
            <v>CB400100000100</v>
          </cell>
          <cell r="H2685">
            <v>1</v>
          </cell>
          <cell r="I2685" t="str">
            <v>--</v>
          </cell>
          <cell r="J2685">
            <v>2</v>
          </cell>
          <cell r="K2685">
            <v>2</v>
          </cell>
        </row>
        <row r="2686">
          <cell r="A2686" t="str">
            <v>M2</v>
          </cell>
          <cell r="B2686" t="str">
            <v>A5C</v>
          </cell>
          <cell r="C2686" t="str">
            <v>P</v>
          </cell>
          <cell r="D2686" t="str">
            <v>23108</v>
          </cell>
          <cell r="E2686" t="str">
            <v>90 ELL</v>
          </cell>
          <cell r="F2686">
            <v>2</v>
          </cell>
          <cell r="G2686" t="str">
            <v>CB400100000100</v>
          </cell>
          <cell r="H2686">
            <v>1</v>
          </cell>
          <cell r="I2686" t="str">
            <v>--</v>
          </cell>
          <cell r="J2686">
            <v>3</v>
          </cell>
          <cell r="K2686">
            <v>3</v>
          </cell>
        </row>
        <row r="2687">
          <cell r="A2687" t="str">
            <v>M2</v>
          </cell>
          <cell r="B2687" t="str">
            <v>A5C</v>
          </cell>
          <cell r="C2687" t="str">
            <v>P</v>
          </cell>
          <cell r="D2687" t="str">
            <v>23112</v>
          </cell>
          <cell r="E2687" t="str">
            <v>90 ELL</v>
          </cell>
          <cell r="F2687">
            <v>2</v>
          </cell>
          <cell r="G2687" t="str">
            <v>CB400100000100</v>
          </cell>
          <cell r="H2687">
            <v>1</v>
          </cell>
          <cell r="I2687" t="str">
            <v>--</v>
          </cell>
          <cell r="J2687">
            <v>2</v>
          </cell>
          <cell r="K2687">
            <v>2</v>
          </cell>
        </row>
        <row r="2688">
          <cell r="A2688" t="str">
            <v>M2</v>
          </cell>
          <cell r="B2688" t="str">
            <v>A5C</v>
          </cell>
          <cell r="C2688" t="str">
            <v>P</v>
          </cell>
          <cell r="D2688" t="str">
            <v>23122</v>
          </cell>
          <cell r="E2688" t="str">
            <v>90 ELL</v>
          </cell>
          <cell r="F2688">
            <v>2</v>
          </cell>
          <cell r="G2688" t="str">
            <v>CB400100000100</v>
          </cell>
          <cell r="H2688">
            <v>1</v>
          </cell>
          <cell r="I2688" t="str">
            <v>--</v>
          </cell>
          <cell r="J2688">
            <v>6</v>
          </cell>
          <cell r="K2688">
            <v>6</v>
          </cell>
        </row>
        <row r="2689">
          <cell r="A2689" t="str">
            <v>M2</v>
          </cell>
          <cell r="B2689" t="str">
            <v>A5C</v>
          </cell>
          <cell r="C2689" t="str">
            <v>P</v>
          </cell>
          <cell r="D2689" t="str">
            <v>23144</v>
          </cell>
          <cell r="E2689" t="str">
            <v>90 ELL</v>
          </cell>
          <cell r="F2689">
            <v>2</v>
          </cell>
          <cell r="G2689" t="str">
            <v>CB400100000100</v>
          </cell>
          <cell r="H2689">
            <v>1</v>
          </cell>
          <cell r="I2689" t="str">
            <v>--</v>
          </cell>
          <cell r="J2689">
            <v>7</v>
          </cell>
          <cell r="K2689">
            <v>7</v>
          </cell>
        </row>
        <row r="2690">
          <cell r="A2690" t="str">
            <v>M2</v>
          </cell>
          <cell r="B2690" t="str">
            <v>A5C</v>
          </cell>
          <cell r="C2690" t="str">
            <v>P</v>
          </cell>
          <cell r="D2690" t="str">
            <v>23148</v>
          </cell>
          <cell r="E2690" t="str">
            <v>90 ELL</v>
          </cell>
          <cell r="F2690">
            <v>2</v>
          </cell>
          <cell r="G2690" t="str">
            <v>CB400100000100</v>
          </cell>
          <cell r="H2690">
            <v>1</v>
          </cell>
          <cell r="I2690" t="str">
            <v>--</v>
          </cell>
          <cell r="J2690">
            <v>10</v>
          </cell>
          <cell r="K2690">
            <v>10</v>
          </cell>
        </row>
        <row r="2691">
          <cell r="A2691" t="str">
            <v>M2</v>
          </cell>
          <cell r="B2691" t="str">
            <v>A5C</v>
          </cell>
          <cell r="C2691" t="str">
            <v>P</v>
          </cell>
          <cell r="D2691" t="str">
            <v>23149</v>
          </cell>
          <cell r="E2691" t="str">
            <v>90 ELL</v>
          </cell>
          <cell r="F2691">
            <v>2</v>
          </cell>
          <cell r="G2691" t="str">
            <v>CB400100000100</v>
          </cell>
          <cell r="H2691">
            <v>1</v>
          </cell>
          <cell r="I2691" t="str">
            <v>--</v>
          </cell>
          <cell r="J2691">
            <v>1</v>
          </cell>
          <cell r="K2691">
            <v>1</v>
          </cell>
        </row>
        <row r="2692">
          <cell r="A2692" t="str">
            <v>M2</v>
          </cell>
          <cell r="B2692" t="str">
            <v>A5C</v>
          </cell>
          <cell r="C2692" t="str">
            <v>P</v>
          </cell>
          <cell r="D2692" t="str">
            <v>23212</v>
          </cell>
          <cell r="E2692" t="str">
            <v>90 ELL</v>
          </cell>
          <cell r="F2692">
            <v>2</v>
          </cell>
          <cell r="G2692" t="str">
            <v>CB400100000100</v>
          </cell>
          <cell r="H2692">
            <v>1</v>
          </cell>
          <cell r="I2692" t="str">
            <v>--</v>
          </cell>
          <cell r="J2692">
            <v>3</v>
          </cell>
          <cell r="K2692">
            <v>3</v>
          </cell>
        </row>
        <row r="2693">
          <cell r="A2693" t="str">
            <v>M2</v>
          </cell>
          <cell r="B2693" t="str">
            <v>A5C</v>
          </cell>
          <cell r="C2693" t="str">
            <v>P</v>
          </cell>
          <cell r="D2693" t="str">
            <v>23214</v>
          </cell>
          <cell r="E2693" t="str">
            <v>90 ELL</v>
          </cell>
          <cell r="F2693">
            <v>2</v>
          </cell>
          <cell r="G2693" t="str">
            <v>CB400100000100</v>
          </cell>
          <cell r="H2693">
            <v>1</v>
          </cell>
          <cell r="I2693" t="str">
            <v>--</v>
          </cell>
          <cell r="J2693">
            <v>3</v>
          </cell>
          <cell r="K2693">
            <v>3</v>
          </cell>
        </row>
        <row r="2694">
          <cell r="A2694" t="str">
            <v>M2</v>
          </cell>
          <cell r="B2694" t="str">
            <v>A5C</v>
          </cell>
          <cell r="C2694" t="str">
            <v>P</v>
          </cell>
          <cell r="D2694" t="str">
            <v>23230</v>
          </cell>
          <cell r="E2694" t="str">
            <v>90 ELL</v>
          </cell>
          <cell r="F2694">
            <v>2</v>
          </cell>
          <cell r="G2694" t="str">
            <v>CB400100000100</v>
          </cell>
          <cell r="H2694">
            <v>1</v>
          </cell>
          <cell r="I2694" t="str">
            <v>--</v>
          </cell>
          <cell r="J2694">
            <v>3</v>
          </cell>
          <cell r="K2694">
            <v>3</v>
          </cell>
        </row>
        <row r="2695">
          <cell r="A2695" t="str">
            <v>M2</v>
          </cell>
          <cell r="B2695" t="str">
            <v>A5C</v>
          </cell>
          <cell r="C2695" t="str">
            <v>P</v>
          </cell>
          <cell r="D2695" t="str">
            <v>23252</v>
          </cell>
          <cell r="E2695" t="str">
            <v>90 ELL</v>
          </cell>
          <cell r="F2695">
            <v>2</v>
          </cell>
          <cell r="G2695" t="str">
            <v>CB400100000100</v>
          </cell>
          <cell r="H2695">
            <v>1</v>
          </cell>
          <cell r="I2695" t="str">
            <v>--</v>
          </cell>
          <cell r="J2695">
            <v>6</v>
          </cell>
          <cell r="K2695">
            <v>6</v>
          </cell>
        </row>
        <row r="2696">
          <cell r="A2696" t="str">
            <v>M2</v>
          </cell>
          <cell r="B2696" t="str">
            <v>A5C</v>
          </cell>
          <cell r="C2696" t="str">
            <v>P</v>
          </cell>
          <cell r="D2696" t="str">
            <v>24007</v>
          </cell>
          <cell r="E2696" t="str">
            <v>90 ELL</v>
          </cell>
          <cell r="F2696">
            <v>2</v>
          </cell>
          <cell r="G2696" t="str">
            <v>CB400100000100</v>
          </cell>
          <cell r="H2696">
            <v>1</v>
          </cell>
          <cell r="I2696" t="str">
            <v>--</v>
          </cell>
          <cell r="J2696">
            <v>1</v>
          </cell>
          <cell r="K2696">
            <v>1</v>
          </cell>
        </row>
        <row r="2697">
          <cell r="A2697" t="str">
            <v>M2</v>
          </cell>
          <cell r="B2697" t="str">
            <v>A5C</v>
          </cell>
          <cell r="C2697" t="str">
            <v>P</v>
          </cell>
          <cell r="D2697" t="str">
            <v>24013</v>
          </cell>
          <cell r="E2697" t="str">
            <v>90 ELL</v>
          </cell>
          <cell r="F2697">
            <v>2</v>
          </cell>
          <cell r="G2697" t="str">
            <v>CB400100000100</v>
          </cell>
          <cell r="H2697">
            <v>1</v>
          </cell>
          <cell r="I2697" t="str">
            <v>--</v>
          </cell>
          <cell r="J2697">
            <v>5</v>
          </cell>
          <cell r="K2697">
            <v>5</v>
          </cell>
        </row>
        <row r="2698">
          <cell r="A2698" t="str">
            <v>M2</v>
          </cell>
          <cell r="B2698" t="str">
            <v>A5C</v>
          </cell>
          <cell r="C2698" t="str">
            <v>P</v>
          </cell>
          <cell r="D2698" t="str">
            <v>24020</v>
          </cell>
          <cell r="E2698" t="str">
            <v>90 ELL</v>
          </cell>
          <cell r="F2698">
            <v>2</v>
          </cell>
          <cell r="G2698" t="str">
            <v>CB400100000100</v>
          </cell>
          <cell r="H2698">
            <v>1</v>
          </cell>
          <cell r="I2698" t="str">
            <v>--</v>
          </cell>
          <cell r="J2698">
            <v>3</v>
          </cell>
          <cell r="K2698">
            <v>3</v>
          </cell>
        </row>
        <row r="2699">
          <cell r="A2699" t="str">
            <v>M2</v>
          </cell>
          <cell r="B2699" t="str">
            <v>A5C</v>
          </cell>
          <cell r="C2699" t="str">
            <v>N</v>
          </cell>
          <cell r="D2699" t="str">
            <v>23635</v>
          </cell>
          <cell r="E2699" t="str">
            <v>90 ELL</v>
          </cell>
          <cell r="F2699">
            <v>2</v>
          </cell>
          <cell r="G2699" t="str">
            <v>CB400100000100</v>
          </cell>
          <cell r="H2699">
            <v>1</v>
          </cell>
          <cell r="I2699" t="str">
            <v>--</v>
          </cell>
          <cell r="J2699">
            <v>3</v>
          </cell>
          <cell r="K2699">
            <v>3</v>
          </cell>
        </row>
        <row r="2700">
          <cell r="A2700" t="str">
            <v>M2</v>
          </cell>
          <cell r="B2700" t="str">
            <v>A5C</v>
          </cell>
          <cell r="C2700" t="str">
            <v>N</v>
          </cell>
          <cell r="D2700" t="str">
            <v>23637</v>
          </cell>
          <cell r="E2700" t="str">
            <v>90 ELL</v>
          </cell>
          <cell r="F2700">
            <v>2</v>
          </cell>
          <cell r="G2700" t="str">
            <v>CB400100000100</v>
          </cell>
          <cell r="H2700">
            <v>1</v>
          </cell>
          <cell r="I2700" t="str">
            <v>--</v>
          </cell>
          <cell r="J2700">
            <v>2</v>
          </cell>
          <cell r="K2700">
            <v>2</v>
          </cell>
        </row>
        <row r="2701">
          <cell r="A2701" t="str">
            <v>M2</v>
          </cell>
          <cell r="B2701" t="str">
            <v>A5C</v>
          </cell>
          <cell r="C2701" t="str">
            <v>N</v>
          </cell>
          <cell r="D2701" t="str">
            <v>23638</v>
          </cell>
          <cell r="E2701" t="str">
            <v>90 ELL</v>
          </cell>
          <cell r="F2701">
            <v>2</v>
          </cell>
          <cell r="G2701" t="str">
            <v>CB400100000100</v>
          </cell>
          <cell r="H2701">
            <v>1</v>
          </cell>
          <cell r="I2701" t="str">
            <v>--</v>
          </cell>
          <cell r="J2701">
            <v>3</v>
          </cell>
          <cell r="K2701">
            <v>3</v>
          </cell>
        </row>
        <row r="2702">
          <cell r="A2702" t="str">
            <v>M2</v>
          </cell>
          <cell r="B2702" t="str">
            <v>A5C</v>
          </cell>
          <cell r="C2702" t="str">
            <v>P</v>
          </cell>
          <cell r="D2702" t="str">
            <v>23035</v>
          </cell>
          <cell r="E2702" t="str">
            <v>90 ELL</v>
          </cell>
          <cell r="F2702">
            <v>2</v>
          </cell>
          <cell r="G2702" t="str">
            <v>CB400100000100</v>
          </cell>
          <cell r="H2702">
            <v>1</v>
          </cell>
          <cell r="I2702" t="str">
            <v>--</v>
          </cell>
          <cell r="J2702">
            <v>2</v>
          </cell>
          <cell r="K2702">
            <v>2</v>
          </cell>
        </row>
        <row r="2703">
          <cell r="A2703" t="str">
            <v>M2</v>
          </cell>
          <cell r="B2703" t="str">
            <v>A5C</v>
          </cell>
          <cell r="C2703" t="str">
            <v>P</v>
          </cell>
          <cell r="D2703" t="str">
            <v>23108</v>
          </cell>
          <cell r="E2703" t="str">
            <v>90 ELL</v>
          </cell>
          <cell r="F2703">
            <v>2</v>
          </cell>
          <cell r="G2703" t="str">
            <v>CB400100000100</v>
          </cell>
          <cell r="H2703">
            <v>1</v>
          </cell>
          <cell r="I2703" t="str">
            <v>--</v>
          </cell>
          <cell r="J2703">
            <v>2</v>
          </cell>
          <cell r="K2703">
            <v>2</v>
          </cell>
        </row>
        <row r="2704">
          <cell r="A2704" t="str">
            <v>M2</v>
          </cell>
          <cell r="B2704" t="str">
            <v>A5C</v>
          </cell>
          <cell r="C2704" t="str">
            <v>P</v>
          </cell>
          <cell r="D2704" t="str">
            <v>23112</v>
          </cell>
          <cell r="E2704" t="str">
            <v>90 ELL</v>
          </cell>
          <cell r="F2704">
            <v>2</v>
          </cell>
          <cell r="G2704" t="str">
            <v>CB400100000100</v>
          </cell>
          <cell r="H2704">
            <v>1</v>
          </cell>
          <cell r="I2704" t="str">
            <v>--</v>
          </cell>
          <cell r="J2704">
            <v>3</v>
          </cell>
          <cell r="K2704">
            <v>3</v>
          </cell>
        </row>
        <row r="2705">
          <cell r="A2705" t="str">
            <v>M2</v>
          </cell>
          <cell r="B2705" t="str">
            <v>A5C</v>
          </cell>
          <cell r="C2705" t="str">
            <v>P</v>
          </cell>
          <cell r="D2705" t="str">
            <v>23164</v>
          </cell>
          <cell r="E2705" t="str">
            <v>90 ELL</v>
          </cell>
          <cell r="F2705">
            <v>2</v>
          </cell>
          <cell r="G2705" t="str">
            <v>CB400100000100</v>
          </cell>
          <cell r="H2705">
            <v>1</v>
          </cell>
          <cell r="I2705" t="str">
            <v>--</v>
          </cell>
          <cell r="J2705">
            <v>2</v>
          </cell>
          <cell r="K2705">
            <v>2</v>
          </cell>
        </row>
        <row r="2706">
          <cell r="A2706" t="str">
            <v>M2</v>
          </cell>
          <cell r="B2706" t="str">
            <v>A5C</v>
          </cell>
          <cell r="C2706" t="str">
            <v>P</v>
          </cell>
          <cell r="D2706" t="str">
            <v>23213</v>
          </cell>
          <cell r="E2706" t="str">
            <v>90 ELL</v>
          </cell>
          <cell r="F2706">
            <v>2</v>
          </cell>
          <cell r="G2706" t="str">
            <v>CB400100000100</v>
          </cell>
          <cell r="H2706">
            <v>1</v>
          </cell>
          <cell r="I2706" t="str">
            <v>--</v>
          </cell>
          <cell r="J2706">
            <v>3</v>
          </cell>
          <cell r="K2706">
            <v>3</v>
          </cell>
        </row>
        <row r="2707">
          <cell r="A2707" t="str">
            <v>M2</v>
          </cell>
          <cell r="B2707" t="str">
            <v>A5C</v>
          </cell>
          <cell r="C2707" t="str">
            <v>P</v>
          </cell>
          <cell r="D2707" t="str">
            <v>23245</v>
          </cell>
          <cell r="E2707" t="str">
            <v>90 ELL</v>
          </cell>
          <cell r="F2707">
            <v>2</v>
          </cell>
          <cell r="G2707" t="str">
            <v>CB400100000100</v>
          </cell>
          <cell r="H2707">
            <v>1</v>
          </cell>
          <cell r="I2707" t="str">
            <v>--</v>
          </cell>
          <cell r="J2707">
            <v>6</v>
          </cell>
          <cell r="K2707">
            <v>6</v>
          </cell>
        </row>
        <row r="2708">
          <cell r="A2708" t="str">
            <v>M2</v>
          </cell>
          <cell r="B2708" t="str">
            <v>A5C</v>
          </cell>
          <cell r="C2708" t="str">
            <v>P</v>
          </cell>
          <cell r="D2708" t="str">
            <v>24008</v>
          </cell>
          <cell r="E2708" t="str">
            <v>90 ELL</v>
          </cell>
          <cell r="F2708">
            <v>2</v>
          </cell>
          <cell r="G2708" t="str">
            <v>CB400100000100</v>
          </cell>
          <cell r="H2708">
            <v>1</v>
          </cell>
          <cell r="I2708" t="str">
            <v>--</v>
          </cell>
          <cell r="J2708">
            <v>10</v>
          </cell>
          <cell r="K2708">
            <v>10</v>
          </cell>
        </row>
        <row r="2709">
          <cell r="A2709" t="str">
            <v>M2</v>
          </cell>
          <cell r="B2709" t="str">
            <v>A5C</v>
          </cell>
          <cell r="C2709" t="str">
            <v>P</v>
          </cell>
          <cell r="D2709" t="str">
            <v>99003</v>
          </cell>
          <cell r="E2709" t="str">
            <v>90 ELL</v>
          </cell>
          <cell r="F2709">
            <v>2</v>
          </cell>
          <cell r="G2709" t="str">
            <v>CB400100000100</v>
          </cell>
          <cell r="H2709">
            <v>1</v>
          </cell>
          <cell r="I2709" t="str">
            <v>--</v>
          </cell>
          <cell r="J2709">
            <v>2</v>
          </cell>
          <cell r="K2709">
            <v>2</v>
          </cell>
        </row>
        <row r="2710">
          <cell r="A2710" t="str">
            <v>M2</v>
          </cell>
          <cell r="B2710" t="str">
            <v>A5C</v>
          </cell>
          <cell r="C2710" t="str">
            <v>P</v>
          </cell>
          <cell r="D2710" t="str">
            <v>23081</v>
          </cell>
          <cell r="E2710" t="str">
            <v>C SWG</v>
          </cell>
          <cell r="F2710">
            <v>2</v>
          </cell>
          <cell r="G2710" t="str">
            <v>CB16110808010T</v>
          </cell>
          <cell r="H2710">
            <v>1</v>
          </cell>
          <cell r="I2710">
            <v>0.75</v>
          </cell>
          <cell r="J2710">
            <v>1</v>
          </cell>
          <cell r="K2710">
            <v>1</v>
          </cell>
        </row>
        <row r="2711">
          <cell r="A2711" t="str">
            <v>M2</v>
          </cell>
          <cell r="B2711" t="str">
            <v>A5C</v>
          </cell>
          <cell r="C2711" t="str">
            <v>P</v>
          </cell>
          <cell r="D2711" t="str">
            <v>23101</v>
          </cell>
          <cell r="E2711" t="str">
            <v>C SWG</v>
          </cell>
          <cell r="F2711">
            <v>2</v>
          </cell>
          <cell r="G2711" t="str">
            <v>CB16110808010T</v>
          </cell>
          <cell r="H2711">
            <v>1</v>
          </cell>
          <cell r="I2711">
            <v>0.75</v>
          </cell>
          <cell r="J2711">
            <v>1</v>
          </cell>
          <cell r="K2711">
            <v>1</v>
          </cell>
        </row>
        <row r="2712">
          <cell r="A2712" t="str">
            <v>M2</v>
          </cell>
          <cell r="B2712" t="str">
            <v>A5C</v>
          </cell>
          <cell r="C2712" t="str">
            <v>P</v>
          </cell>
          <cell r="D2712" t="str">
            <v>23104</v>
          </cell>
          <cell r="E2712" t="str">
            <v>C SWG</v>
          </cell>
          <cell r="F2712">
            <v>2</v>
          </cell>
          <cell r="G2712" t="str">
            <v>CB16110808010T</v>
          </cell>
          <cell r="H2712">
            <v>1</v>
          </cell>
          <cell r="I2712">
            <v>0.75</v>
          </cell>
          <cell r="J2712">
            <v>3</v>
          </cell>
          <cell r="K2712">
            <v>3</v>
          </cell>
        </row>
        <row r="2713">
          <cell r="A2713" t="str">
            <v>M2</v>
          </cell>
          <cell r="B2713" t="str">
            <v>A5C</v>
          </cell>
          <cell r="C2713" t="str">
            <v>P</v>
          </cell>
          <cell r="D2713" t="str">
            <v>23104</v>
          </cell>
          <cell r="E2713" t="str">
            <v>C SWG</v>
          </cell>
          <cell r="F2713">
            <v>2</v>
          </cell>
          <cell r="G2713" t="str">
            <v>CB16110808010T</v>
          </cell>
          <cell r="H2713">
            <v>1</v>
          </cell>
          <cell r="I2713">
            <v>0.75</v>
          </cell>
          <cell r="J2713">
            <v>3</v>
          </cell>
          <cell r="K2713">
            <v>3</v>
          </cell>
        </row>
        <row r="2714">
          <cell r="A2714" t="str">
            <v>M2</v>
          </cell>
          <cell r="B2714" t="str">
            <v>A5C</v>
          </cell>
          <cell r="C2714" t="str">
            <v>P</v>
          </cell>
          <cell r="D2714" t="str">
            <v>23105</v>
          </cell>
          <cell r="E2714" t="str">
            <v>C SWG</v>
          </cell>
          <cell r="F2714">
            <v>2</v>
          </cell>
          <cell r="G2714" t="str">
            <v>CB16110808010T</v>
          </cell>
          <cell r="H2714">
            <v>1</v>
          </cell>
          <cell r="I2714">
            <v>0.75</v>
          </cell>
          <cell r="J2714">
            <v>1</v>
          </cell>
          <cell r="K2714">
            <v>1</v>
          </cell>
        </row>
        <row r="2715">
          <cell r="A2715" t="str">
            <v>M2</v>
          </cell>
          <cell r="B2715" t="str">
            <v>A5C</v>
          </cell>
          <cell r="C2715" t="str">
            <v>P</v>
          </cell>
          <cell r="D2715" t="str">
            <v>23112</v>
          </cell>
          <cell r="E2715" t="str">
            <v>C SWG</v>
          </cell>
          <cell r="F2715">
            <v>2</v>
          </cell>
          <cell r="G2715" t="str">
            <v>CB16110808010T</v>
          </cell>
          <cell r="H2715">
            <v>1</v>
          </cell>
          <cell r="I2715">
            <v>0.75</v>
          </cell>
          <cell r="J2715">
            <v>3</v>
          </cell>
          <cell r="K2715">
            <v>3</v>
          </cell>
        </row>
        <row r="2716">
          <cell r="A2716" t="str">
            <v>M2</v>
          </cell>
          <cell r="B2716" t="str">
            <v>A5C</v>
          </cell>
          <cell r="C2716" t="str">
            <v>P</v>
          </cell>
          <cell r="D2716" t="str">
            <v>23113</v>
          </cell>
          <cell r="E2716" t="str">
            <v>C SWG</v>
          </cell>
          <cell r="F2716">
            <v>2</v>
          </cell>
          <cell r="G2716" t="str">
            <v>CB16110808010T</v>
          </cell>
          <cell r="H2716">
            <v>1</v>
          </cell>
          <cell r="I2716">
            <v>0.75</v>
          </cell>
          <cell r="J2716">
            <v>1</v>
          </cell>
          <cell r="K2716">
            <v>1</v>
          </cell>
        </row>
        <row r="2717">
          <cell r="A2717" t="str">
            <v>M2</v>
          </cell>
          <cell r="B2717" t="str">
            <v>A5C</v>
          </cell>
          <cell r="C2717" t="str">
            <v>P</v>
          </cell>
          <cell r="D2717" t="str">
            <v>23144</v>
          </cell>
          <cell r="E2717" t="str">
            <v>C SWG</v>
          </cell>
          <cell r="F2717">
            <v>2</v>
          </cell>
          <cell r="G2717" t="str">
            <v>CB16110808010T</v>
          </cell>
          <cell r="H2717">
            <v>1</v>
          </cell>
          <cell r="I2717">
            <v>0.75</v>
          </cell>
          <cell r="J2717">
            <v>2</v>
          </cell>
          <cell r="K2717">
            <v>2</v>
          </cell>
        </row>
        <row r="2718">
          <cell r="A2718" t="str">
            <v>M2</v>
          </cell>
          <cell r="B2718" t="str">
            <v>A5C</v>
          </cell>
          <cell r="C2718" t="str">
            <v>P</v>
          </cell>
          <cell r="D2718" t="str">
            <v>23145</v>
          </cell>
          <cell r="E2718" t="str">
            <v>C SWG</v>
          </cell>
          <cell r="F2718">
            <v>2</v>
          </cell>
          <cell r="G2718" t="str">
            <v>CB16110808010T</v>
          </cell>
          <cell r="H2718">
            <v>1</v>
          </cell>
          <cell r="I2718">
            <v>0.75</v>
          </cell>
          <cell r="J2718">
            <v>1</v>
          </cell>
          <cell r="K2718">
            <v>1</v>
          </cell>
        </row>
        <row r="2719">
          <cell r="A2719" t="str">
            <v>M2</v>
          </cell>
          <cell r="B2719" t="str">
            <v>A5C</v>
          </cell>
          <cell r="C2719" t="str">
            <v>P</v>
          </cell>
          <cell r="D2719" t="str">
            <v>23164</v>
          </cell>
          <cell r="E2719" t="str">
            <v>C SWG</v>
          </cell>
          <cell r="F2719">
            <v>2</v>
          </cell>
          <cell r="G2719" t="str">
            <v>CB16110808010T</v>
          </cell>
          <cell r="H2719">
            <v>1</v>
          </cell>
          <cell r="I2719">
            <v>0.75</v>
          </cell>
          <cell r="J2719">
            <v>2</v>
          </cell>
          <cell r="K2719">
            <v>2</v>
          </cell>
        </row>
        <row r="2720">
          <cell r="A2720" t="str">
            <v>M2</v>
          </cell>
          <cell r="B2720" t="str">
            <v>A5C</v>
          </cell>
          <cell r="C2720" t="str">
            <v>P</v>
          </cell>
          <cell r="D2720" t="str">
            <v>23225</v>
          </cell>
          <cell r="E2720" t="str">
            <v>C SWG</v>
          </cell>
          <cell r="F2720">
            <v>2</v>
          </cell>
          <cell r="G2720" t="str">
            <v>CB16110808010T</v>
          </cell>
          <cell r="H2720">
            <v>1</v>
          </cell>
          <cell r="I2720">
            <v>0.75</v>
          </cell>
          <cell r="J2720">
            <v>1</v>
          </cell>
          <cell r="K2720">
            <v>1</v>
          </cell>
        </row>
        <row r="2721">
          <cell r="A2721" t="str">
            <v>M2</v>
          </cell>
          <cell r="B2721" t="str">
            <v>A5C</v>
          </cell>
          <cell r="C2721" t="str">
            <v>P</v>
          </cell>
          <cell r="D2721" t="str">
            <v>23234</v>
          </cell>
          <cell r="E2721" t="str">
            <v>C SWG</v>
          </cell>
          <cell r="F2721">
            <v>2</v>
          </cell>
          <cell r="G2721" t="str">
            <v>CB16110808010T</v>
          </cell>
          <cell r="H2721">
            <v>1</v>
          </cell>
          <cell r="I2721">
            <v>0.75</v>
          </cell>
          <cell r="J2721">
            <v>1</v>
          </cell>
          <cell r="K2721">
            <v>1</v>
          </cell>
        </row>
        <row r="2722">
          <cell r="A2722" t="str">
            <v>M2</v>
          </cell>
          <cell r="B2722" t="str">
            <v>A5C</v>
          </cell>
          <cell r="C2722" t="str">
            <v>P</v>
          </cell>
          <cell r="D2722" t="str">
            <v>23238</v>
          </cell>
          <cell r="E2722" t="str">
            <v>C SWG</v>
          </cell>
          <cell r="F2722">
            <v>2</v>
          </cell>
          <cell r="G2722" t="str">
            <v>CB16110808010T</v>
          </cell>
          <cell r="H2722">
            <v>1</v>
          </cell>
          <cell r="I2722">
            <v>0.75</v>
          </cell>
          <cell r="J2722">
            <v>1</v>
          </cell>
          <cell r="K2722">
            <v>1</v>
          </cell>
        </row>
        <row r="2723">
          <cell r="A2723" t="str">
            <v>M2</v>
          </cell>
          <cell r="B2723" t="str">
            <v>A5C</v>
          </cell>
          <cell r="C2723" t="str">
            <v>P</v>
          </cell>
          <cell r="D2723" t="str">
            <v>23247</v>
          </cell>
          <cell r="E2723" t="str">
            <v>C SWG</v>
          </cell>
          <cell r="F2723">
            <v>2</v>
          </cell>
          <cell r="G2723" t="str">
            <v>CB16110808010T</v>
          </cell>
          <cell r="H2723">
            <v>1</v>
          </cell>
          <cell r="I2723">
            <v>0.75</v>
          </cell>
          <cell r="J2723">
            <v>1</v>
          </cell>
          <cell r="K2723">
            <v>1</v>
          </cell>
        </row>
        <row r="2724">
          <cell r="A2724" t="str">
            <v>M2</v>
          </cell>
          <cell r="B2724" t="str">
            <v>A5C</v>
          </cell>
          <cell r="C2724" t="str">
            <v>P</v>
          </cell>
          <cell r="D2724" t="str">
            <v>24024</v>
          </cell>
          <cell r="E2724" t="str">
            <v>C SWG</v>
          </cell>
          <cell r="F2724">
            <v>2</v>
          </cell>
          <cell r="G2724" t="str">
            <v>CB16110808010T</v>
          </cell>
          <cell r="H2724">
            <v>1</v>
          </cell>
          <cell r="I2724">
            <v>0.75</v>
          </cell>
          <cell r="J2724">
            <v>1</v>
          </cell>
          <cell r="K2724">
            <v>1</v>
          </cell>
        </row>
        <row r="2725">
          <cell r="A2725" t="str">
            <v>M2</v>
          </cell>
          <cell r="B2725" t="str">
            <v>A5C</v>
          </cell>
          <cell r="C2725" t="str">
            <v>TRIM</v>
          </cell>
          <cell r="D2725" t="str">
            <v>V-2316</v>
          </cell>
          <cell r="E2725" t="str">
            <v>C SWG</v>
          </cell>
          <cell r="F2725">
            <v>2</v>
          </cell>
          <cell r="G2725" t="str">
            <v>CB16110808010T</v>
          </cell>
          <cell r="H2725">
            <v>1</v>
          </cell>
          <cell r="I2725">
            <v>0.75</v>
          </cell>
          <cell r="J2725">
            <v>1</v>
          </cell>
          <cell r="K2725">
            <v>1</v>
          </cell>
        </row>
        <row r="2726">
          <cell r="A2726" t="str">
            <v>M2</v>
          </cell>
          <cell r="B2726" t="str">
            <v>A5C</v>
          </cell>
          <cell r="C2726" t="str">
            <v>P</v>
          </cell>
          <cell r="D2726" t="str">
            <v>23094</v>
          </cell>
          <cell r="E2726" t="str">
            <v>C SWG</v>
          </cell>
          <cell r="F2726">
            <v>2</v>
          </cell>
          <cell r="G2726" t="str">
            <v>CB16110808010T</v>
          </cell>
          <cell r="H2726">
            <v>1</v>
          </cell>
          <cell r="I2726">
            <v>0.75</v>
          </cell>
          <cell r="J2726">
            <v>1</v>
          </cell>
          <cell r="K2726">
            <v>1</v>
          </cell>
        </row>
        <row r="2727">
          <cell r="A2727" t="str">
            <v>M2</v>
          </cell>
          <cell r="B2727" t="str">
            <v>A5C</v>
          </cell>
          <cell r="C2727" t="str">
            <v>P</v>
          </cell>
          <cell r="D2727" t="str">
            <v>23108</v>
          </cell>
          <cell r="E2727" t="str">
            <v>C SWG</v>
          </cell>
          <cell r="F2727">
            <v>2</v>
          </cell>
          <cell r="G2727" t="str">
            <v>CB16110808010T</v>
          </cell>
          <cell r="H2727">
            <v>1</v>
          </cell>
          <cell r="I2727">
            <v>0.75</v>
          </cell>
          <cell r="J2727">
            <v>3</v>
          </cell>
          <cell r="K2727">
            <v>3</v>
          </cell>
        </row>
        <row r="2728">
          <cell r="A2728" t="str">
            <v>M2</v>
          </cell>
          <cell r="B2728" t="str">
            <v>A5C</v>
          </cell>
          <cell r="C2728" t="str">
            <v>P</v>
          </cell>
          <cell r="D2728" t="str">
            <v>23108</v>
          </cell>
          <cell r="E2728" t="str">
            <v>C SWG</v>
          </cell>
          <cell r="F2728">
            <v>2</v>
          </cell>
          <cell r="G2728" t="str">
            <v>CB16110808010T</v>
          </cell>
          <cell r="H2728">
            <v>1</v>
          </cell>
          <cell r="I2728">
            <v>0.75</v>
          </cell>
          <cell r="J2728">
            <v>3</v>
          </cell>
          <cell r="K2728">
            <v>3</v>
          </cell>
        </row>
        <row r="2729">
          <cell r="A2729" t="str">
            <v>M2</v>
          </cell>
          <cell r="B2729" t="str">
            <v>A5C</v>
          </cell>
          <cell r="C2729" t="str">
            <v>P</v>
          </cell>
          <cell r="D2729" t="str">
            <v>23109</v>
          </cell>
          <cell r="E2729" t="str">
            <v>C SWG</v>
          </cell>
          <cell r="F2729">
            <v>2</v>
          </cell>
          <cell r="G2729" t="str">
            <v>CB16110808010T</v>
          </cell>
          <cell r="H2729">
            <v>1</v>
          </cell>
          <cell r="I2729">
            <v>0.75</v>
          </cell>
          <cell r="J2729">
            <v>1</v>
          </cell>
          <cell r="K2729">
            <v>1</v>
          </cell>
        </row>
        <row r="2730">
          <cell r="A2730" t="str">
            <v>M2</v>
          </cell>
          <cell r="B2730" t="str">
            <v>A5C</v>
          </cell>
          <cell r="C2730" t="str">
            <v>P</v>
          </cell>
          <cell r="D2730" t="str">
            <v>23112</v>
          </cell>
          <cell r="E2730" t="str">
            <v>C SWG</v>
          </cell>
          <cell r="F2730">
            <v>2</v>
          </cell>
          <cell r="G2730" t="str">
            <v>CB16110808010T</v>
          </cell>
          <cell r="H2730">
            <v>1</v>
          </cell>
          <cell r="I2730">
            <v>0.75</v>
          </cell>
          <cell r="J2730">
            <v>3</v>
          </cell>
          <cell r="K2730">
            <v>3</v>
          </cell>
        </row>
        <row r="2731">
          <cell r="A2731" t="str">
            <v>M2</v>
          </cell>
          <cell r="B2731" t="str">
            <v>A5C</v>
          </cell>
          <cell r="C2731" t="str">
            <v>P</v>
          </cell>
          <cell r="D2731" t="str">
            <v>23133</v>
          </cell>
          <cell r="E2731" t="str">
            <v>C SWG</v>
          </cell>
          <cell r="F2731">
            <v>2</v>
          </cell>
          <cell r="G2731" t="str">
            <v>CB16110808010T</v>
          </cell>
          <cell r="H2731">
            <v>1</v>
          </cell>
          <cell r="I2731">
            <v>0.75</v>
          </cell>
          <cell r="J2731">
            <v>1</v>
          </cell>
          <cell r="K2731">
            <v>1</v>
          </cell>
        </row>
        <row r="2732">
          <cell r="A2732" t="str">
            <v>M2</v>
          </cell>
          <cell r="B2732" t="str">
            <v>A5C</v>
          </cell>
          <cell r="C2732" t="str">
            <v>P</v>
          </cell>
          <cell r="D2732" t="str">
            <v>23141</v>
          </cell>
          <cell r="E2732" t="str">
            <v>C SWG</v>
          </cell>
          <cell r="F2732">
            <v>2</v>
          </cell>
          <cell r="G2732" t="str">
            <v>CB16110808010T</v>
          </cell>
          <cell r="H2732">
            <v>1</v>
          </cell>
          <cell r="I2732">
            <v>0.75</v>
          </cell>
          <cell r="J2732">
            <v>1</v>
          </cell>
          <cell r="K2732">
            <v>1</v>
          </cell>
        </row>
        <row r="2733">
          <cell r="A2733" t="str">
            <v>M2</v>
          </cell>
          <cell r="B2733" t="str">
            <v>A5C</v>
          </cell>
          <cell r="C2733" t="str">
            <v>P</v>
          </cell>
          <cell r="D2733" t="str">
            <v>23148</v>
          </cell>
          <cell r="E2733" t="str">
            <v>C SWG</v>
          </cell>
          <cell r="F2733">
            <v>2</v>
          </cell>
          <cell r="G2733" t="str">
            <v>CB16110808010T</v>
          </cell>
          <cell r="H2733">
            <v>1</v>
          </cell>
          <cell r="I2733">
            <v>0.75</v>
          </cell>
          <cell r="J2733">
            <v>2</v>
          </cell>
          <cell r="K2733">
            <v>2</v>
          </cell>
        </row>
        <row r="2734">
          <cell r="A2734" t="str">
            <v>M2</v>
          </cell>
          <cell r="B2734" t="str">
            <v>A5C</v>
          </cell>
          <cell r="C2734" t="str">
            <v>N</v>
          </cell>
          <cell r="D2734" t="str">
            <v>23631</v>
          </cell>
          <cell r="E2734" t="str">
            <v>CAP</v>
          </cell>
          <cell r="F2734">
            <v>2</v>
          </cell>
          <cell r="G2734" t="str">
            <v>CB520700000100</v>
          </cell>
          <cell r="H2734">
            <v>1</v>
          </cell>
          <cell r="I2734" t="str">
            <v>--</v>
          </cell>
          <cell r="J2734">
            <v>1</v>
          </cell>
          <cell r="K2734">
            <v>1</v>
          </cell>
        </row>
        <row r="2735">
          <cell r="A2735" t="str">
            <v>M2</v>
          </cell>
          <cell r="B2735" t="str">
            <v>A5C</v>
          </cell>
          <cell r="C2735" t="str">
            <v>N</v>
          </cell>
          <cell r="D2735" t="str">
            <v>23633</v>
          </cell>
          <cell r="E2735" t="str">
            <v>CAP</v>
          </cell>
          <cell r="F2735">
            <v>2</v>
          </cell>
          <cell r="G2735" t="str">
            <v>CB520700000100</v>
          </cell>
          <cell r="H2735">
            <v>1</v>
          </cell>
          <cell r="I2735" t="str">
            <v>--</v>
          </cell>
          <cell r="J2735">
            <v>1</v>
          </cell>
          <cell r="K2735">
            <v>1</v>
          </cell>
        </row>
        <row r="2736">
          <cell r="A2736" t="str">
            <v>M2</v>
          </cell>
          <cell r="B2736" t="str">
            <v>A5C</v>
          </cell>
          <cell r="C2736" t="str">
            <v>N</v>
          </cell>
          <cell r="D2736" t="str">
            <v>23635</v>
          </cell>
          <cell r="E2736" t="str">
            <v>CAP</v>
          </cell>
          <cell r="F2736">
            <v>2</v>
          </cell>
          <cell r="G2736" t="str">
            <v>CB520700000100</v>
          </cell>
          <cell r="H2736">
            <v>1</v>
          </cell>
          <cell r="I2736" t="str">
            <v>--</v>
          </cell>
          <cell r="J2736">
            <v>1</v>
          </cell>
          <cell r="K2736">
            <v>1</v>
          </cell>
        </row>
        <row r="2737">
          <cell r="A2737" t="str">
            <v>M2</v>
          </cell>
          <cell r="B2737" t="str">
            <v>A5C</v>
          </cell>
          <cell r="C2737" t="str">
            <v>P</v>
          </cell>
          <cell r="D2737" t="str">
            <v>23143</v>
          </cell>
          <cell r="E2737" t="str">
            <v>CPLG</v>
          </cell>
          <cell r="F2737">
            <v>2</v>
          </cell>
          <cell r="G2737" t="str">
            <v>CB400500000100</v>
          </cell>
          <cell r="H2737">
            <v>1</v>
          </cell>
          <cell r="I2737" t="str">
            <v>--</v>
          </cell>
          <cell r="J2737">
            <v>2</v>
          </cell>
          <cell r="K2737">
            <v>2</v>
          </cell>
        </row>
        <row r="2738">
          <cell r="A2738" t="str">
            <v>M2</v>
          </cell>
          <cell r="B2738" t="str">
            <v>A5C</v>
          </cell>
          <cell r="C2738" t="str">
            <v>P</v>
          </cell>
          <cell r="D2738" t="str">
            <v>23147</v>
          </cell>
          <cell r="E2738" t="str">
            <v>CPLG</v>
          </cell>
          <cell r="F2738">
            <v>2</v>
          </cell>
          <cell r="G2738" t="str">
            <v>CB400500000100</v>
          </cell>
          <cell r="H2738">
            <v>1</v>
          </cell>
          <cell r="I2738" t="str">
            <v>--</v>
          </cell>
          <cell r="J2738">
            <v>2</v>
          </cell>
          <cell r="K2738">
            <v>2</v>
          </cell>
        </row>
        <row r="2739">
          <cell r="A2739" t="str">
            <v>M2</v>
          </cell>
          <cell r="B2739" t="str">
            <v>A5C</v>
          </cell>
          <cell r="C2739" t="str">
            <v>P</v>
          </cell>
          <cell r="D2739" t="str">
            <v>23261</v>
          </cell>
          <cell r="E2739" t="str">
            <v>CPLG</v>
          </cell>
          <cell r="F2739">
            <v>2</v>
          </cell>
          <cell r="G2739" t="str">
            <v>CB400500000100</v>
          </cell>
          <cell r="H2739">
            <v>1</v>
          </cell>
          <cell r="I2739" t="str">
            <v>--</v>
          </cell>
          <cell r="J2739">
            <v>1</v>
          </cell>
          <cell r="K2739">
            <v>1</v>
          </cell>
        </row>
        <row r="2740">
          <cell r="A2740" t="str">
            <v>M2</v>
          </cell>
          <cell r="B2740" t="str">
            <v>A5C</v>
          </cell>
          <cell r="C2740" t="str">
            <v>P</v>
          </cell>
          <cell r="D2740" t="str">
            <v>24007</v>
          </cell>
          <cell r="E2740" t="str">
            <v>CPLG</v>
          </cell>
          <cell r="F2740">
            <v>2</v>
          </cell>
          <cell r="G2740" t="str">
            <v>CB400500000100</v>
          </cell>
          <cell r="H2740">
            <v>1</v>
          </cell>
          <cell r="I2740" t="str">
            <v>--</v>
          </cell>
          <cell r="J2740">
            <v>1</v>
          </cell>
          <cell r="K2740">
            <v>1</v>
          </cell>
        </row>
        <row r="2741">
          <cell r="A2741" t="str">
            <v>M2</v>
          </cell>
          <cell r="B2741" t="str">
            <v>A5C</v>
          </cell>
          <cell r="C2741" t="str">
            <v>P</v>
          </cell>
          <cell r="D2741" t="str">
            <v>24013</v>
          </cell>
          <cell r="E2741" t="str">
            <v>CPLG</v>
          </cell>
          <cell r="F2741">
            <v>2</v>
          </cell>
          <cell r="G2741" t="str">
            <v>CB400500000100</v>
          </cell>
          <cell r="H2741">
            <v>1</v>
          </cell>
          <cell r="I2741" t="str">
            <v>--</v>
          </cell>
          <cell r="J2741">
            <v>2</v>
          </cell>
          <cell r="K2741">
            <v>2</v>
          </cell>
        </row>
        <row r="2742">
          <cell r="A2742" t="str">
            <v>M2</v>
          </cell>
          <cell r="B2742" t="str">
            <v>A5C</v>
          </cell>
          <cell r="C2742" t="str">
            <v>P</v>
          </cell>
          <cell r="D2742" t="str">
            <v>24020</v>
          </cell>
          <cell r="E2742" t="str">
            <v>CPLG</v>
          </cell>
          <cell r="F2742">
            <v>2</v>
          </cell>
          <cell r="G2742" t="str">
            <v>CB400500000100</v>
          </cell>
          <cell r="H2742">
            <v>1</v>
          </cell>
          <cell r="I2742" t="str">
            <v>--</v>
          </cell>
          <cell r="J2742">
            <v>2</v>
          </cell>
          <cell r="K2742">
            <v>2</v>
          </cell>
        </row>
        <row r="2743">
          <cell r="A2743" t="str">
            <v>M2</v>
          </cell>
          <cell r="B2743" t="str">
            <v>A5C</v>
          </cell>
          <cell r="C2743" t="str">
            <v>N</v>
          </cell>
          <cell r="D2743" t="str">
            <v>23613</v>
          </cell>
          <cell r="E2743" t="str">
            <v>E SWG</v>
          </cell>
          <cell r="F2743">
            <v>2</v>
          </cell>
          <cell r="G2743" t="str">
            <v>CB16210808010T</v>
          </cell>
          <cell r="H2743">
            <v>1</v>
          </cell>
          <cell r="I2743">
            <v>0.75</v>
          </cell>
          <cell r="J2743">
            <v>1</v>
          </cell>
          <cell r="K2743">
            <v>1</v>
          </cell>
        </row>
        <row r="2744">
          <cell r="A2744" t="str">
            <v>M2</v>
          </cell>
          <cell r="B2744" t="str">
            <v>A5C</v>
          </cell>
          <cell r="C2744" t="str">
            <v>P</v>
          </cell>
          <cell r="D2744" t="str">
            <v>23052</v>
          </cell>
          <cell r="E2744" t="str">
            <v>E SWG</v>
          </cell>
          <cell r="F2744">
            <v>2</v>
          </cell>
          <cell r="G2744" t="str">
            <v>CB16210808010T</v>
          </cell>
          <cell r="H2744">
            <v>1</v>
          </cell>
          <cell r="I2744">
            <v>0.75</v>
          </cell>
          <cell r="J2744">
            <v>2</v>
          </cell>
          <cell r="K2744">
            <v>2</v>
          </cell>
        </row>
        <row r="2745">
          <cell r="A2745" t="str">
            <v>M2</v>
          </cell>
          <cell r="B2745" t="str">
            <v>A5C</v>
          </cell>
          <cell r="C2745" t="str">
            <v>P</v>
          </cell>
          <cell r="D2745" t="str">
            <v>23037</v>
          </cell>
          <cell r="E2745" t="str">
            <v>E SWG</v>
          </cell>
          <cell r="F2745">
            <v>2</v>
          </cell>
          <cell r="G2745" t="str">
            <v>CB16210808010T</v>
          </cell>
          <cell r="H2745">
            <v>1</v>
          </cell>
          <cell r="I2745">
            <v>0.75</v>
          </cell>
          <cell r="J2745">
            <v>2</v>
          </cell>
          <cell r="K2745">
            <v>2</v>
          </cell>
        </row>
        <row r="2746">
          <cell r="A2746" t="str">
            <v>M2</v>
          </cell>
          <cell r="B2746" t="str">
            <v>A5C</v>
          </cell>
          <cell r="C2746" t="str">
            <v>P</v>
          </cell>
          <cell r="D2746" t="str">
            <v>23149</v>
          </cell>
          <cell r="E2746" t="str">
            <v>E SWG</v>
          </cell>
          <cell r="F2746">
            <v>2</v>
          </cell>
          <cell r="G2746" t="str">
            <v>CB16210808010T</v>
          </cell>
          <cell r="H2746">
            <v>1</v>
          </cell>
          <cell r="I2746">
            <v>0.75</v>
          </cell>
          <cell r="J2746">
            <v>2</v>
          </cell>
          <cell r="K2746">
            <v>2</v>
          </cell>
        </row>
        <row r="2747">
          <cell r="A2747" t="str">
            <v>M2</v>
          </cell>
          <cell r="B2747" t="str">
            <v>A5C</v>
          </cell>
          <cell r="C2747" t="str">
            <v>N</v>
          </cell>
          <cell r="D2747" t="str">
            <v>23631</v>
          </cell>
          <cell r="E2747" t="str">
            <v>NPL</v>
          </cell>
          <cell r="F2747">
            <v>2</v>
          </cell>
          <cell r="G2747" t="str">
            <v>CB1321080001VR</v>
          </cell>
          <cell r="H2747">
            <v>1</v>
          </cell>
          <cell r="I2747" t="str">
            <v>75mm</v>
          </cell>
          <cell r="J2747">
            <v>1</v>
          </cell>
          <cell r="K2747">
            <v>1</v>
          </cell>
        </row>
        <row r="2748">
          <cell r="A2748" t="str">
            <v>M2</v>
          </cell>
          <cell r="B2748" t="str">
            <v>A5C</v>
          </cell>
          <cell r="C2748" t="str">
            <v>N</v>
          </cell>
          <cell r="D2748" t="str">
            <v>23633</v>
          </cell>
          <cell r="E2748" t="str">
            <v>NPL</v>
          </cell>
          <cell r="F2748">
            <v>2</v>
          </cell>
          <cell r="G2748" t="str">
            <v>CB1321080001VR</v>
          </cell>
          <cell r="H2748">
            <v>1</v>
          </cell>
          <cell r="I2748" t="str">
            <v>75mm</v>
          </cell>
          <cell r="J2748">
            <v>1</v>
          </cell>
          <cell r="K2748">
            <v>1</v>
          </cell>
        </row>
        <row r="2749">
          <cell r="A2749" t="str">
            <v>M2</v>
          </cell>
          <cell r="B2749" t="str">
            <v>A5C</v>
          </cell>
          <cell r="C2749" t="str">
            <v>N</v>
          </cell>
          <cell r="D2749" t="str">
            <v>23635</v>
          </cell>
          <cell r="E2749" t="str">
            <v>NPL</v>
          </cell>
          <cell r="F2749">
            <v>2</v>
          </cell>
          <cell r="G2749" t="str">
            <v>CB1321080001VR</v>
          </cell>
          <cell r="H2749">
            <v>1</v>
          </cell>
          <cell r="I2749" t="str">
            <v>75mm</v>
          </cell>
          <cell r="J2749">
            <v>1</v>
          </cell>
          <cell r="K2749">
            <v>1</v>
          </cell>
        </row>
        <row r="2750">
          <cell r="A2750" t="str">
            <v>M2</v>
          </cell>
          <cell r="B2750" t="str">
            <v>A5C</v>
          </cell>
          <cell r="C2750" t="str">
            <v>N</v>
          </cell>
          <cell r="D2750" t="str">
            <v>23632</v>
          </cell>
          <cell r="E2750" t="str">
            <v>R TEE</v>
          </cell>
          <cell r="F2750">
            <v>2</v>
          </cell>
          <cell r="G2750" t="str">
            <v>CB40040000010T</v>
          </cell>
          <cell r="H2750">
            <v>1</v>
          </cell>
          <cell r="I2750">
            <v>0.75</v>
          </cell>
          <cell r="J2750">
            <v>1</v>
          </cell>
          <cell r="K2750">
            <v>1</v>
          </cell>
        </row>
        <row r="2751">
          <cell r="A2751" t="str">
            <v>M2</v>
          </cell>
          <cell r="B2751" t="str">
            <v>A5C</v>
          </cell>
          <cell r="C2751" t="str">
            <v>N</v>
          </cell>
          <cell r="D2751" t="str">
            <v>23634</v>
          </cell>
          <cell r="E2751" t="str">
            <v>R TEE</v>
          </cell>
          <cell r="F2751">
            <v>2</v>
          </cell>
          <cell r="G2751" t="str">
            <v>CB40040000010T</v>
          </cell>
          <cell r="H2751">
            <v>1</v>
          </cell>
          <cell r="I2751">
            <v>0.75</v>
          </cell>
          <cell r="J2751">
            <v>1</v>
          </cell>
          <cell r="K2751">
            <v>1</v>
          </cell>
        </row>
        <row r="2752">
          <cell r="A2752" t="str">
            <v>M2</v>
          </cell>
          <cell r="B2752" t="str">
            <v>A5C</v>
          </cell>
          <cell r="C2752" t="str">
            <v>N</v>
          </cell>
          <cell r="D2752" t="str">
            <v>23638</v>
          </cell>
          <cell r="E2752" t="str">
            <v>R TEE</v>
          </cell>
          <cell r="F2752">
            <v>2</v>
          </cell>
          <cell r="G2752" t="str">
            <v>CB40040000010T</v>
          </cell>
          <cell r="H2752">
            <v>1</v>
          </cell>
          <cell r="I2752">
            <v>0.75</v>
          </cell>
          <cell r="J2752">
            <v>1</v>
          </cell>
          <cell r="K2752">
            <v>1</v>
          </cell>
        </row>
        <row r="2753">
          <cell r="A2753" t="str">
            <v>M2</v>
          </cell>
          <cell r="B2753" t="str">
            <v>A5C</v>
          </cell>
          <cell r="C2753" t="str">
            <v>N</v>
          </cell>
          <cell r="D2753" t="str">
            <v>23640</v>
          </cell>
          <cell r="E2753" t="str">
            <v>R TEE</v>
          </cell>
          <cell r="F2753">
            <v>2</v>
          </cell>
          <cell r="G2753" t="str">
            <v>CB40040000010T</v>
          </cell>
          <cell r="H2753">
            <v>1</v>
          </cell>
          <cell r="I2753">
            <v>0.75</v>
          </cell>
          <cell r="J2753">
            <v>1</v>
          </cell>
          <cell r="K2753">
            <v>1</v>
          </cell>
        </row>
        <row r="2754">
          <cell r="A2754" t="str">
            <v>M2</v>
          </cell>
          <cell r="B2754" t="str">
            <v>A5C</v>
          </cell>
          <cell r="C2754" t="str">
            <v>P</v>
          </cell>
          <cell r="D2754" t="str">
            <v>23052</v>
          </cell>
          <cell r="E2754" t="str">
            <v>R TEE</v>
          </cell>
          <cell r="F2754">
            <v>2</v>
          </cell>
          <cell r="G2754" t="str">
            <v>CB40040000010T</v>
          </cell>
          <cell r="H2754">
            <v>1</v>
          </cell>
          <cell r="I2754">
            <v>0.75</v>
          </cell>
          <cell r="J2754">
            <v>4</v>
          </cell>
          <cell r="K2754">
            <v>4</v>
          </cell>
        </row>
        <row r="2755">
          <cell r="A2755" t="str">
            <v>M2</v>
          </cell>
          <cell r="B2755" t="str">
            <v>A5C</v>
          </cell>
          <cell r="C2755" t="str">
            <v>P</v>
          </cell>
          <cell r="D2755" t="str">
            <v>23063</v>
          </cell>
          <cell r="E2755" t="str">
            <v>R TEE</v>
          </cell>
          <cell r="F2755">
            <v>2</v>
          </cell>
          <cell r="G2755" t="str">
            <v>CB40040000010T</v>
          </cell>
          <cell r="H2755">
            <v>1</v>
          </cell>
          <cell r="I2755">
            <v>0.75</v>
          </cell>
          <cell r="J2755">
            <v>2</v>
          </cell>
          <cell r="K2755">
            <v>2</v>
          </cell>
        </row>
        <row r="2756">
          <cell r="A2756" t="str">
            <v>M2</v>
          </cell>
          <cell r="B2756" t="str">
            <v>A5C</v>
          </cell>
          <cell r="C2756" t="str">
            <v>P</v>
          </cell>
          <cell r="D2756" t="str">
            <v>23078</v>
          </cell>
          <cell r="E2756" t="str">
            <v>R TEE</v>
          </cell>
          <cell r="F2756">
            <v>2</v>
          </cell>
          <cell r="G2756" t="str">
            <v>CB40040000010T</v>
          </cell>
          <cell r="H2756">
            <v>1</v>
          </cell>
          <cell r="I2756">
            <v>0.75</v>
          </cell>
          <cell r="J2756">
            <v>2</v>
          </cell>
          <cell r="K2756">
            <v>2</v>
          </cell>
        </row>
        <row r="2757">
          <cell r="A2757" t="str">
            <v>M2</v>
          </cell>
          <cell r="B2757" t="str">
            <v>A5C</v>
          </cell>
          <cell r="C2757" t="str">
            <v>P</v>
          </cell>
          <cell r="D2757" t="str">
            <v>23083</v>
          </cell>
          <cell r="E2757" t="str">
            <v>R TEE</v>
          </cell>
          <cell r="F2757">
            <v>2</v>
          </cell>
          <cell r="G2757" t="str">
            <v>CB40040000010T</v>
          </cell>
          <cell r="H2757">
            <v>1</v>
          </cell>
          <cell r="I2757">
            <v>0.75</v>
          </cell>
          <cell r="J2757">
            <v>2</v>
          </cell>
          <cell r="K2757">
            <v>2</v>
          </cell>
        </row>
        <row r="2758">
          <cell r="A2758" t="str">
            <v>M2</v>
          </cell>
          <cell r="B2758" t="str">
            <v>A5C</v>
          </cell>
          <cell r="C2758" t="str">
            <v>P</v>
          </cell>
          <cell r="D2758" t="str">
            <v>23122</v>
          </cell>
          <cell r="E2758" t="str">
            <v>R TEE</v>
          </cell>
          <cell r="F2758">
            <v>2</v>
          </cell>
          <cell r="G2758" t="str">
            <v>CB40040000010T</v>
          </cell>
          <cell r="H2758">
            <v>1</v>
          </cell>
          <cell r="I2758">
            <v>0.75</v>
          </cell>
          <cell r="J2758">
            <v>2</v>
          </cell>
          <cell r="K2758">
            <v>2</v>
          </cell>
        </row>
        <row r="2759">
          <cell r="A2759" t="str">
            <v>M2</v>
          </cell>
          <cell r="B2759" t="str">
            <v>A5C</v>
          </cell>
          <cell r="C2759" t="str">
            <v>P</v>
          </cell>
          <cell r="D2759" t="str">
            <v>23144</v>
          </cell>
          <cell r="E2759" t="str">
            <v>R TEE</v>
          </cell>
          <cell r="F2759">
            <v>2</v>
          </cell>
          <cell r="G2759" t="str">
            <v>CB40040000010T</v>
          </cell>
          <cell r="H2759">
            <v>1</v>
          </cell>
          <cell r="I2759">
            <v>0.75</v>
          </cell>
          <cell r="J2759">
            <v>4</v>
          </cell>
          <cell r="K2759">
            <v>4</v>
          </cell>
        </row>
        <row r="2760">
          <cell r="A2760" t="str">
            <v>M2</v>
          </cell>
          <cell r="B2760" t="str">
            <v>A5C</v>
          </cell>
          <cell r="C2760" t="str">
            <v>P</v>
          </cell>
          <cell r="D2760" t="str">
            <v>23148</v>
          </cell>
          <cell r="E2760" t="str">
            <v>R TEE</v>
          </cell>
          <cell r="F2760">
            <v>2</v>
          </cell>
          <cell r="G2760" t="str">
            <v>CB40040000010T</v>
          </cell>
          <cell r="H2760">
            <v>1</v>
          </cell>
          <cell r="I2760">
            <v>0.75</v>
          </cell>
          <cell r="J2760">
            <v>4</v>
          </cell>
          <cell r="K2760">
            <v>4</v>
          </cell>
        </row>
        <row r="2761">
          <cell r="A2761" t="str">
            <v>M2</v>
          </cell>
          <cell r="B2761" t="str">
            <v>A5C</v>
          </cell>
          <cell r="C2761" t="str">
            <v>P</v>
          </cell>
          <cell r="D2761" t="str">
            <v>23149</v>
          </cell>
          <cell r="E2761" t="str">
            <v>R TEE</v>
          </cell>
          <cell r="F2761">
            <v>2</v>
          </cell>
          <cell r="G2761" t="str">
            <v>CB40040000010T</v>
          </cell>
          <cell r="H2761">
            <v>1</v>
          </cell>
          <cell r="I2761">
            <v>0.75</v>
          </cell>
          <cell r="J2761">
            <v>5</v>
          </cell>
          <cell r="K2761">
            <v>5</v>
          </cell>
        </row>
        <row r="2762">
          <cell r="A2762" t="str">
            <v>M2</v>
          </cell>
          <cell r="B2762" t="str">
            <v>A5C</v>
          </cell>
          <cell r="C2762" t="str">
            <v>P</v>
          </cell>
          <cell r="D2762" t="str">
            <v>23164</v>
          </cell>
          <cell r="E2762" t="str">
            <v>R TEE</v>
          </cell>
          <cell r="F2762">
            <v>2</v>
          </cell>
          <cell r="G2762" t="str">
            <v>CB40040000010T</v>
          </cell>
          <cell r="H2762">
            <v>1</v>
          </cell>
          <cell r="I2762">
            <v>0.75</v>
          </cell>
          <cell r="J2762">
            <v>2</v>
          </cell>
          <cell r="K2762">
            <v>2</v>
          </cell>
        </row>
        <row r="2763">
          <cell r="A2763" t="str">
            <v>M2</v>
          </cell>
          <cell r="B2763" t="str">
            <v>A5C</v>
          </cell>
          <cell r="C2763" t="str">
            <v>P</v>
          </cell>
          <cell r="D2763" t="str">
            <v>23205</v>
          </cell>
          <cell r="E2763" t="str">
            <v>R TEE</v>
          </cell>
          <cell r="F2763">
            <v>2</v>
          </cell>
          <cell r="G2763" t="str">
            <v>CB40040000010T</v>
          </cell>
          <cell r="H2763">
            <v>1</v>
          </cell>
          <cell r="I2763">
            <v>0.75</v>
          </cell>
          <cell r="J2763">
            <v>2</v>
          </cell>
          <cell r="K2763">
            <v>2</v>
          </cell>
        </row>
        <row r="2764">
          <cell r="A2764" t="str">
            <v>M2</v>
          </cell>
          <cell r="B2764" t="str">
            <v>A5C</v>
          </cell>
          <cell r="C2764" t="str">
            <v>P</v>
          </cell>
          <cell r="D2764" t="str">
            <v>23214</v>
          </cell>
          <cell r="E2764" t="str">
            <v>R TEE</v>
          </cell>
          <cell r="F2764">
            <v>2</v>
          </cell>
          <cell r="G2764" t="str">
            <v>CB40040000010T</v>
          </cell>
          <cell r="H2764">
            <v>1</v>
          </cell>
          <cell r="I2764">
            <v>0.75</v>
          </cell>
          <cell r="J2764">
            <v>3</v>
          </cell>
          <cell r="K2764">
            <v>3</v>
          </cell>
        </row>
        <row r="2765">
          <cell r="A2765" t="str">
            <v>M2</v>
          </cell>
          <cell r="B2765" t="str">
            <v>A5C</v>
          </cell>
          <cell r="C2765" t="str">
            <v>P</v>
          </cell>
          <cell r="D2765" t="str">
            <v>23207</v>
          </cell>
          <cell r="E2765" t="str">
            <v>R TEE</v>
          </cell>
          <cell r="F2765">
            <v>2</v>
          </cell>
          <cell r="G2765" t="str">
            <v>CB40040000010T</v>
          </cell>
          <cell r="H2765">
            <v>1</v>
          </cell>
          <cell r="I2765">
            <v>0.75</v>
          </cell>
          <cell r="J2765">
            <v>2</v>
          </cell>
          <cell r="K2765">
            <v>2</v>
          </cell>
        </row>
        <row r="2766">
          <cell r="A2766" t="str">
            <v>M2</v>
          </cell>
          <cell r="B2766" t="str">
            <v>A5C</v>
          </cell>
          <cell r="C2766" t="str">
            <v>P</v>
          </cell>
          <cell r="D2766" t="str">
            <v>23208</v>
          </cell>
          <cell r="E2766" t="str">
            <v>R TEE</v>
          </cell>
          <cell r="F2766">
            <v>2</v>
          </cell>
          <cell r="G2766" t="str">
            <v>CB40040000010T</v>
          </cell>
          <cell r="H2766">
            <v>1</v>
          </cell>
          <cell r="I2766">
            <v>0.75</v>
          </cell>
          <cell r="J2766">
            <v>2</v>
          </cell>
          <cell r="K2766">
            <v>2</v>
          </cell>
        </row>
        <row r="2767">
          <cell r="A2767" t="str">
            <v>M2</v>
          </cell>
          <cell r="B2767" t="str">
            <v>A5C</v>
          </cell>
          <cell r="C2767" t="str">
            <v>P</v>
          </cell>
          <cell r="D2767" t="str">
            <v>23212</v>
          </cell>
          <cell r="E2767" t="str">
            <v>R TEE</v>
          </cell>
          <cell r="F2767">
            <v>2</v>
          </cell>
          <cell r="G2767" t="str">
            <v>CB40040000010T</v>
          </cell>
          <cell r="H2767">
            <v>1</v>
          </cell>
          <cell r="I2767">
            <v>0.75</v>
          </cell>
          <cell r="J2767">
            <v>3</v>
          </cell>
          <cell r="K2767">
            <v>3</v>
          </cell>
        </row>
        <row r="2768">
          <cell r="A2768" t="str">
            <v>M2</v>
          </cell>
          <cell r="B2768" t="str">
            <v>A5C</v>
          </cell>
          <cell r="C2768" t="str">
            <v>P</v>
          </cell>
          <cell r="D2768" t="str">
            <v>23213</v>
          </cell>
          <cell r="E2768" t="str">
            <v>R TEE</v>
          </cell>
          <cell r="F2768">
            <v>2</v>
          </cell>
          <cell r="G2768" t="str">
            <v>CB40040000010T</v>
          </cell>
          <cell r="H2768">
            <v>1</v>
          </cell>
          <cell r="I2768">
            <v>0.75</v>
          </cell>
          <cell r="J2768">
            <v>3</v>
          </cell>
          <cell r="K2768">
            <v>3</v>
          </cell>
        </row>
        <row r="2769">
          <cell r="A2769" t="str">
            <v>M2</v>
          </cell>
          <cell r="B2769" t="str">
            <v>A5C</v>
          </cell>
          <cell r="C2769" t="str">
            <v>P</v>
          </cell>
          <cell r="D2769" t="str">
            <v>23230</v>
          </cell>
          <cell r="E2769" t="str">
            <v>R TEE</v>
          </cell>
          <cell r="F2769">
            <v>2</v>
          </cell>
          <cell r="G2769" t="str">
            <v>CB40040000010T</v>
          </cell>
          <cell r="H2769">
            <v>1</v>
          </cell>
          <cell r="I2769">
            <v>0.75</v>
          </cell>
          <cell r="J2769">
            <v>3</v>
          </cell>
          <cell r="K2769">
            <v>3</v>
          </cell>
        </row>
        <row r="2770">
          <cell r="A2770" t="str">
            <v>M2</v>
          </cell>
          <cell r="B2770" t="str">
            <v>A5C</v>
          </cell>
          <cell r="C2770" t="str">
            <v>P</v>
          </cell>
          <cell r="D2770" t="str">
            <v>23239</v>
          </cell>
          <cell r="E2770" t="str">
            <v>R TEE</v>
          </cell>
          <cell r="F2770">
            <v>2</v>
          </cell>
          <cell r="G2770" t="str">
            <v>CB40040000010T</v>
          </cell>
          <cell r="H2770">
            <v>1</v>
          </cell>
          <cell r="I2770">
            <v>0.75</v>
          </cell>
          <cell r="J2770">
            <v>2</v>
          </cell>
          <cell r="K2770">
            <v>2</v>
          </cell>
        </row>
        <row r="2771">
          <cell r="A2771" t="str">
            <v>M2</v>
          </cell>
          <cell r="B2771" t="str">
            <v>A5C</v>
          </cell>
          <cell r="C2771" t="str">
            <v>P</v>
          </cell>
          <cell r="D2771" t="str">
            <v>23252</v>
          </cell>
          <cell r="E2771" t="str">
            <v>R TEE</v>
          </cell>
          <cell r="F2771">
            <v>2</v>
          </cell>
          <cell r="G2771" t="str">
            <v>CB40040000010T</v>
          </cell>
          <cell r="H2771">
            <v>1</v>
          </cell>
          <cell r="I2771">
            <v>0.75</v>
          </cell>
          <cell r="J2771">
            <v>3</v>
          </cell>
          <cell r="K2771">
            <v>3</v>
          </cell>
        </row>
        <row r="2772">
          <cell r="A2772" t="str">
            <v>M2</v>
          </cell>
          <cell r="B2772" t="str">
            <v>A5C</v>
          </cell>
          <cell r="C2772" t="str">
            <v>P</v>
          </cell>
          <cell r="D2772" t="str">
            <v>24007</v>
          </cell>
          <cell r="E2772" t="str">
            <v>R TEE</v>
          </cell>
          <cell r="F2772">
            <v>2</v>
          </cell>
          <cell r="G2772" t="str">
            <v>CB40040000010T</v>
          </cell>
          <cell r="H2772">
            <v>1</v>
          </cell>
          <cell r="I2772">
            <v>0.75</v>
          </cell>
          <cell r="J2772">
            <v>1</v>
          </cell>
          <cell r="K2772">
            <v>1</v>
          </cell>
        </row>
        <row r="2773">
          <cell r="A2773" t="str">
            <v>M2</v>
          </cell>
          <cell r="B2773" t="str">
            <v>A5C</v>
          </cell>
          <cell r="C2773" t="str">
            <v>P</v>
          </cell>
          <cell r="D2773" t="str">
            <v>24008</v>
          </cell>
          <cell r="E2773" t="str">
            <v>R TEE</v>
          </cell>
          <cell r="F2773">
            <v>2</v>
          </cell>
          <cell r="G2773" t="str">
            <v>CB40040000010T</v>
          </cell>
          <cell r="H2773">
            <v>1</v>
          </cell>
          <cell r="I2773">
            <v>0.75</v>
          </cell>
          <cell r="J2773">
            <v>3</v>
          </cell>
          <cell r="K2773">
            <v>3</v>
          </cell>
        </row>
        <row r="2774">
          <cell r="A2774" t="str">
            <v>M2</v>
          </cell>
          <cell r="B2774" t="str">
            <v>A5C</v>
          </cell>
          <cell r="C2774" t="str">
            <v>P</v>
          </cell>
          <cell r="D2774" t="str">
            <v>24020</v>
          </cell>
          <cell r="E2774" t="str">
            <v>R TEE</v>
          </cell>
          <cell r="F2774">
            <v>2</v>
          </cell>
          <cell r="G2774" t="str">
            <v>CB40040000010T</v>
          </cell>
          <cell r="H2774">
            <v>1</v>
          </cell>
          <cell r="I2774">
            <v>0.75</v>
          </cell>
          <cell r="J2774">
            <v>2</v>
          </cell>
          <cell r="K2774">
            <v>2</v>
          </cell>
        </row>
        <row r="2775">
          <cell r="A2775" t="str">
            <v>M2</v>
          </cell>
          <cell r="B2775" t="str">
            <v>A5C</v>
          </cell>
          <cell r="C2775" t="str">
            <v>N</v>
          </cell>
          <cell r="D2775" t="str">
            <v>23636</v>
          </cell>
          <cell r="E2775" t="str">
            <v>R TEE</v>
          </cell>
          <cell r="F2775">
            <v>2</v>
          </cell>
          <cell r="G2775" t="str">
            <v>CB40040000010T</v>
          </cell>
          <cell r="H2775">
            <v>1</v>
          </cell>
          <cell r="I2775">
            <v>0.75</v>
          </cell>
          <cell r="J2775">
            <v>1</v>
          </cell>
          <cell r="K2775">
            <v>1</v>
          </cell>
        </row>
        <row r="2776">
          <cell r="A2776" t="str">
            <v>M2</v>
          </cell>
          <cell r="B2776" t="str">
            <v>A5C</v>
          </cell>
          <cell r="C2776" t="str">
            <v>N</v>
          </cell>
          <cell r="D2776" t="str">
            <v>23637</v>
          </cell>
          <cell r="E2776" t="str">
            <v>R TEE</v>
          </cell>
          <cell r="F2776">
            <v>2</v>
          </cell>
          <cell r="G2776" t="str">
            <v>CB40040000010T</v>
          </cell>
          <cell r="H2776">
            <v>1</v>
          </cell>
          <cell r="I2776">
            <v>0.75</v>
          </cell>
          <cell r="J2776">
            <v>1</v>
          </cell>
          <cell r="K2776">
            <v>1</v>
          </cell>
        </row>
        <row r="2777">
          <cell r="A2777" t="str">
            <v>M2</v>
          </cell>
          <cell r="B2777" t="str">
            <v>A5C</v>
          </cell>
          <cell r="C2777" t="str">
            <v>N</v>
          </cell>
          <cell r="D2777" t="str">
            <v>23639</v>
          </cell>
          <cell r="E2777" t="str">
            <v>R TEE</v>
          </cell>
          <cell r="F2777">
            <v>2</v>
          </cell>
          <cell r="G2777" t="str">
            <v>CB40040000010T</v>
          </cell>
          <cell r="H2777">
            <v>1</v>
          </cell>
          <cell r="I2777">
            <v>0.75</v>
          </cell>
          <cell r="J2777">
            <v>1</v>
          </cell>
          <cell r="K2777">
            <v>1</v>
          </cell>
        </row>
        <row r="2778">
          <cell r="A2778" t="str">
            <v>M2</v>
          </cell>
          <cell r="B2778" t="str">
            <v>A5C</v>
          </cell>
          <cell r="C2778" t="str">
            <v>P</v>
          </cell>
          <cell r="D2778" t="str">
            <v>23037</v>
          </cell>
          <cell r="E2778" t="str">
            <v>R TEE</v>
          </cell>
          <cell r="F2778">
            <v>2</v>
          </cell>
          <cell r="G2778" t="str">
            <v>CB40040000010T</v>
          </cell>
          <cell r="H2778">
            <v>1</v>
          </cell>
          <cell r="I2778">
            <v>0.75</v>
          </cell>
          <cell r="J2778">
            <v>5</v>
          </cell>
          <cell r="K2778">
            <v>5</v>
          </cell>
        </row>
        <row r="2779">
          <cell r="A2779" t="str">
            <v>M2</v>
          </cell>
          <cell r="B2779" t="str">
            <v>A5C</v>
          </cell>
          <cell r="C2779" t="str">
            <v>P</v>
          </cell>
          <cell r="D2779" t="str">
            <v>23204</v>
          </cell>
          <cell r="E2779" t="str">
            <v>R TEE</v>
          </cell>
          <cell r="F2779">
            <v>2</v>
          </cell>
          <cell r="G2779" t="str">
            <v>CB40040000010T</v>
          </cell>
          <cell r="H2779">
            <v>1</v>
          </cell>
          <cell r="I2779">
            <v>0.75</v>
          </cell>
          <cell r="J2779">
            <v>2</v>
          </cell>
          <cell r="K2779">
            <v>2</v>
          </cell>
        </row>
        <row r="2780">
          <cell r="A2780" t="str">
            <v>M2</v>
          </cell>
          <cell r="B2780" t="str">
            <v>A5C</v>
          </cell>
          <cell r="C2780" t="str">
            <v>P</v>
          </cell>
          <cell r="D2780" t="str">
            <v>23206</v>
          </cell>
          <cell r="E2780" t="str">
            <v>R TEE</v>
          </cell>
          <cell r="F2780">
            <v>2</v>
          </cell>
          <cell r="G2780" t="str">
            <v>CB40040000010T</v>
          </cell>
          <cell r="H2780">
            <v>1</v>
          </cell>
          <cell r="I2780">
            <v>0.75</v>
          </cell>
          <cell r="J2780">
            <v>2</v>
          </cell>
          <cell r="K2780">
            <v>2</v>
          </cell>
        </row>
        <row r="2781">
          <cell r="A2781" t="str">
            <v>M2</v>
          </cell>
          <cell r="B2781" t="str">
            <v>A5C</v>
          </cell>
          <cell r="C2781" t="str">
            <v>P</v>
          </cell>
          <cell r="D2781" t="str">
            <v>23235</v>
          </cell>
          <cell r="E2781" t="str">
            <v>R TEE</v>
          </cell>
          <cell r="F2781">
            <v>2</v>
          </cell>
          <cell r="G2781" t="str">
            <v>CB40040000010T</v>
          </cell>
          <cell r="H2781">
            <v>1</v>
          </cell>
          <cell r="I2781">
            <v>0.75</v>
          </cell>
          <cell r="J2781">
            <v>2</v>
          </cell>
          <cell r="K2781">
            <v>2</v>
          </cell>
        </row>
        <row r="2782">
          <cell r="A2782" t="str">
            <v>M2</v>
          </cell>
          <cell r="B2782" t="str">
            <v>A5C</v>
          </cell>
          <cell r="C2782" t="str">
            <v>P</v>
          </cell>
          <cell r="D2782" t="str">
            <v>23245</v>
          </cell>
          <cell r="E2782" t="str">
            <v>R TEE</v>
          </cell>
          <cell r="F2782">
            <v>2</v>
          </cell>
          <cell r="G2782" t="str">
            <v>CB40040000010T</v>
          </cell>
          <cell r="H2782">
            <v>1</v>
          </cell>
          <cell r="I2782">
            <v>0.75</v>
          </cell>
          <cell r="J2782">
            <v>3</v>
          </cell>
          <cell r="K2782">
            <v>3</v>
          </cell>
        </row>
        <row r="2783">
          <cell r="A2783" t="str">
            <v>M2</v>
          </cell>
          <cell r="B2783" t="str">
            <v>A5C</v>
          </cell>
          <cell r="C2783" t="str">
            <v>P</v>
          </cell>
          <cell r="D2783" t="str">
            <v>24013</v>
          </cell>
          <cell r="E2783" t="str">
            <v>R TEE</v>
          </cell>
          <cell r="F2783">
            <v>2</v>
          </cell>
          <cell r="G2783" t="str">
            <v>CB40040000010T</v>
          </cell>
          <cell r="H2783">
            <v>1</v>
          </cell>
          <cell r="I2783">
            <v>0.75</v>
          </cell>
          <cell r="J2783">
            <v>3</v>
          </cell>
          <cell r="K2783">
            <v>3</v>
          </cell>
        </row>
        <row r="2784">
          <cell r="A2784" t="str">
            <v>M2</v>
          </cell>
          <cell r="B2784" t="str">
            <v>A5C</v>
          </cell>
          <cell r="C2784" t="str">
            <v>N</v>
          </cell>
          <cell r="D2784" t="str">
            <v>23631</v>
          </cell>
          <cell r="E2784" t="str">
            <v>TEE</v>
          </cell>
          <cell r="F2784">
            <v>2</v>
          </cell>
          <cell r="G2784" t="str">
            <v>CB400300000100</v>
          </cell>
          <cell r="H2784">
            <v>1</v>
          </cell>
          <cell r="I2784" t="str">
            <v>--</v>
          </cell>
          <cell r="J2784">
            <v>1</v>
          </cell>
          <cell r="K2784">
            <v>1</v>
          </cell>
        </row>
        <row r="2785">
          <cell r="A2785" t="str">
            <v>M2</v>
          </cell>
          <cell r="B2785" t="str">
            <v>A5C</v>
          </cell>
          <cell r="C2785" t="str">
            <v>N</v>
          </cell>
          <cell r="D2785" t="str">
            <v>23633</v>
          </cell>
          <cell r="E2785" t="str">
            <v>TEE</v>
          </cell>
          <cell r="F2785">
            <v>2</v>
          </cell>
          <cell r="G2785" t="str">
            <v>CB400300000100</v>
          </cell>
          <cell r="H2785">
            <v>1</v>
          </cell>
          <cell r="I2785" t="str">
            <v>--</v>
          </cell>
          <cell r="J2785">
            <v>1</v>
          </cell>
          <cell r="K2785">
            <v>1</v>
          </cell>
        </row>
        <row r="2786">
          <cell r="A2786" t="str">
            <v>M2</v>
          </cell>
          <cell r="B2786" t="str">
            <v>A5C</v>
          </cell>
          <cell r="C2786" t="str">
            <v>N</v>
          </cell>
          <cell r="D2786" t="str">
            <v>23635</v>
          </cell>
          <cell r="E2786" t="str">
            <v>TEE</v>
          </cell>
          <cell r="F2786">
            <v>2</v>
          </cell>
          <cell r="G2786" t="str">
            <v>CB400300000100</v>
          </cell>
          <cell r="H2786">
            <v>1</v>
          </cell>
          <cell r="I2786" t="str">
            <v>--</v>
          </cell>
          <cell r="J2786">
            <v>1</v>
          </cell>
          <cell r="K2786">
            <v>1</v>
          </cell>
        </row>
        <row r="2787">
          <cell r="A2787" t="str">
            <v>M2</v>
          </cell>
          <cell r="B2787" t="str">
            <v>A5C</v>
          </cell>
          <cell r="C2787" t="str">
            <v>P</v>
          </cell>
          <cell r="D2787" t="str">
            <v>23063</v>
          </cell>
          <cell r="E2787" t="str">
            <v>TEE</v>
          </cell>
          <cell r="F2787">
            <v>2</v>
          </cell>
          <cell r="G2787" t="str">
            <v>CB400300000100</v>
          </cell>
          <cell r="H2787">
            <v>1</v>
          </cell>
          <cell r="I2787" t="str">
            <v>--</v>
          </cell>
          <cell r="J2787">
            <v>2</v>
          </cell>
          <cell r="K2787">
            <v>2</v>
          </cell>
        </row>
        <row r="2788">
          <cell r="A2788" t="str">
            <v>M2</v>
          </cell>
          <cell r="B2788" t="str">
            <v>A5C</v>
          </cell>
          <cell r="C2788" t="str">
            <v>P</v>
          </cell>
          <cell r="D2788" t="str">
            <v>23078</v>
          </cell>
          <cell r="E2788" t="str">
            <v>TEE</v>
          </cell>
          <cell r="F2788">
            <v>2</v>
          </cell>
          <cell r="G2788" t="str">
            <v>CB400300000100</v>
          </cell>
          <cell r="H2788">
            <v>1</v>
          </cell>
          <cell r="I2788" t="str">
            <v>--</v>
          </cell>
          <cell r="J2788">
            <v>2</v>
          </cell>
          <cell r="K2788">
            <v>2</v>
          </cell>
        </row>
        <row r="2789">
          <cell r="A2789" t="str">
            <v>M2</v>
          </cell>
          <cell r="B2789" t="str">
            <v>A5C</v>
          </cell>
          <cell r="C2789" t="str">
            <v>P</v>
          </cell>
          <cell r="D2789" t="str">
            <v>23083</v>
          </cell>
          <cell r="E2789" t="str">
            <v>TEE</v>
          </cell>
          <cell r="F2789">
            <v>2</v>
          </cell>
          <cell r="G2789" t="str">
            <v>CB400300000100</v>
          </cell>
          <cell r="H2789">
            <v>1</v>
          </cell>
          <cell r="I2789" t="str">
            <v>--</v>
          </cell>
          <cell r="J2789">
            <v>3</v>
          </cell>
          <cell r="K2789">
            <v>3</v>
          </cell>
        </row>
        <row r="2790">
          <cell r="A2790" t="str">
            <v>M2</v>
          </cell>
          <cell r="B2790" t="str">
            <v>A5C</v>
          </cell>
          <cell r="C2790" t="str">
            <v>P</v>
          </cell>
          <cell r="D2790" t="str">
            <v>23104</v>
          </cell>
          <cell r="E2790" t="str">
            <v>TEE</v>
          </cell>
          <cell r="F2790">
            <v>2</v>
          </cell>
          <cell r="G2790" t="str">
            <v>CB400300000100</v>
          </cell>
          <cell r="H2790">
            <v>1</v>
          </cell>
          <cell r="I2790" t="str">
            <v>--</v>
          </cell>
          <cell r="J2790">
            <v>3</v>
          </cell>
          <cell r="K2790">
            <v>3</v>
          </cell>
        </row>
        <row r="2791">
          <cell r="A2791" t="str">
            <v>M2</v>
          </cell>
          <cell r="B2791" t="str">
            <v>A5C</v>
          </cell>
          <cell r="C2791" t="str">
            <v>P</v>
          </cell>
          <cell r="D2791" t="str">
            <v>23104</v>
          </cell>
          <cell r="E2791" t="str">
            <v>TEE</v>
          </cell>
          <cell r="F2791">
            <v>2</v>
          </cell>
          <cell r="G2791" t="str">
            <v>CB400300000100</v>
          </cell>
          <cell r="H2791">
            <v>1</v>
          </cell>
          <cell r="I2791" t="str">
            <v>--</v>
          </cell>
          <cell r="J2791">
            <v>2</v>
          </cell>
          <cell r="K2791">
            <v>2</v>
          </cell>
        </row>
        <row r="2792">
          <cell r="A2792" t="str">
            <v>M2</v>
          </cell>
          <cell r="B2792" t="str">
            <v>A5C</v>
          </cell>
          <cell r="C2792" t="str">
            <v>P</v>
          </cell>
          <cell r="D2792" t="str">
            <v>23108</v>
          </cell>
          <cell r="E2792" t="str">
            <v>TEE</v>
          </cell>
          <cell r="F2792">
            <v>2</v>
          </cell>
          <cell r="G2792" t="str">
            <v>CB400300000100</v>
          </cell>
          <cell r="H2792">
            <v>1</v>
          </cell>
          <cell r="I2792" t="str">
            <v>--</v>
          </cell>
          <cell r="J2792">
            <v>2</v>
          </cell>
          <cell r="K2792">
            <v>2</v>
          </cell>
        </row>
        <row r="2793">
          <cell r="A2793" t="str">
            <v>M2</v>
          </cell>
          <cell r="B2793" t="str">
            <v>A5C</v>
          </cell>
          <cell r="C2793" t="str">
            <v>P</v>
          </cell>
          <cell r="D2793" t="str">
            <v>23112</v>
          </cell>
          <cell r="E2793" t="str">
            <v>TEE</v>
          </cell>
          <cell r="F2793">
            <v>2</v>
          </cell>
          <cell r="G2793" t="str">
            <v>CB400300000100</v>
          </cell>
          <cell r="H2793">
            <v>1</v>
          </cell>
          <cell r="I2793" t="str">
            <v>--</v>
          </cell>
          <cell r="J2793">
            <v>3</v>
          </cell>
          <cell r="K2793">
            <v>3</v>
          </cell>
        </row>
        <row r="2794">
          <cell r="A2794" t="str">
            <v>M2</v>
          </cell>
          <cell r="B2794" t="str">
            <v>A5C</v>
          </cell>
          <cell r="C2794" t="str">
            <v>P</v>
          </cell>
          <cell r="D2794" t="str">
            <v>23144</v>
          </cell>
          <cell r="E2794" t="str">
            <v>TEE</v>
          </cell>
          <cell r="F2794">
            <v>2</v>
          </cell>
          <cell r="G2794" t="str">
            <v>CB400300000100</v>
          </cell>
          <cell r="H2794">
            <v>1</v>
          </cell>
          <cell r="I2794" t="str">
            <v>--</v>
          </cell>
          <cell r="J2794">
            <v>1</v>
          </cell>
          <cell r="K2794">
            <v>1</v>
          </cell>
        </row>
        <row r="2795">
          <cell r="A2795" t="str">
            <v>M2</v>
          </cell>
          <cell r="B2795" t="str">
            <v>A5C</v>
          </cell>
          <cell r="C2795" t="str">
            <v>P</v>
          </cell>
          <cell r="D2795" t="str">
            <v>23148</v>
          </cell>
          <cell r="E2795" t="str">
            <v>TEE</v>
          </cell>
          <cell r="F2795">
            <v>2</v>
          </cell>
          <cell r="G2795" t="str">
            <v>CB400300000100</v>
          </cell>
          <cell r="H2795">
            <v>1</v>
          </cell>
          <cell r="I2795" t="str">
            <v>--</v>
          </cell>
          <cell r="J2795">
            <v>1</v>
          </cell>
          <cell r="K2795">
            <v>1</v>
          </cell>
        </row>
        <row r="2796">
          <cell r="A2796" t="str">
            <v>M2</v>
          </cell>
          <cell r="B2796" t="str">
            <v>A5C</v>
          </cell>
          <cell r="C2796" t="str">
            <v>P</v>
          </cell>
          <cell r="D2796" t="str">
            <v>23164</v>
          </cell>
          <cell r="E2796" t="str">
            <v>TEE</v>
          </cell>
          <cell r="F2796">
            <v>2</v>
          </cell>
          <cell r="G2796" t="str">
            <v>CB400300000100</v>
          </cell>
          <cell r="H2796">
            <v>1</v>
          </cell>
          <cell r="I2796" t="str">
            <v>--</v>
          </cell>
          <cell r="J2796">
            <v>1</v>
          </cell>
          <cell r="K2796">
            <v>1</v>
          </cell>
        </row>
        <row r="2797">
          <cell r="A2797" t="str">
            <v>M2</v>
          </cell>
          <cell r="B2797" t="str">
            <v>A5C</v>
          </cell>
          <cell r="C2797" t="str">
            <v>P</v>
          </cell>
          <cell r="D2797" t="str">
            <v>23230</v>
          </cell>
          <cell r="E2797" t="str">
            <v>TEE</v>
          </cell>
          <cell r="F2797">
            <v>2</v>
          </cell>
          <cell r="G2797" t="str">
            <v>CB400300000100</v>
          </cell>
          <cell r="H2797">
            <v>1</v>
          </cell>
          <cell r="I2797" t="str">
            <v>--</v>
          </cell>
          <cell r="J2797">
            <v>1</v>
          </cell>
          <cell r="K2797">
            <v>1</v>
          </cell>
        </row>
        <row r="2798">
          <cell r="A2798" t="str">
            <v>M2</v>
          </cell>
          <cell r="B2798" t="str">
            <v>A5C</v>
          </cell>
          <cell r="C2798" t="str">
            <v>P</v>
          </cell>
          <cell r="D2798" t="str">
            <v>23252</v>
          </cell>
          <cell r="E2798" t="str">
            <v>TEE</v>
          </cell>
          <cell r="F2798">
            <v>2</v>
          </cell>
          <cell r="G2798" t="str">
            <v>CB400300000100</v>
          </cell>
          <cell r="H2798">
            <v>1</v>
          </cell>
          <cell r="I2798" t="str">
            <v>--</v>
          </cell>
          <cell r="J2798">
            <v>2</v>
          </cell>
          <cell r="K2798">
            <v>2</v>
          </cell>
        </row>
        <row r="2799">
          <cell r="A2799" t="str">
            <v>M2</v>
          </cell>
          <cell r="B2799" t="str">
            <v>A5C</v>
          </cell>
          <cell r="C2799" t="str">
            <v>P</v>
          </cell>
          <cell r="D2799" t="str">
            <v>24013</v>
          </cell>
          <cell r="E2799" t="str">
            <v>TEE</v>
          </cell>
          <cell r="F2799">
            <v>2</v>
          </cell>
          <cell r="G2799" t="str">
            <v>CB400300000100</v>
          </cell>
          <cell r="H2799">
            <v>1</v>
          </cell>
          <cell r="I2799" t="str">
            <v>--</v>
          </cell>
          <cell r="J2799">
            <v>1</v>
          </cell>
          <cell r="K2799">
            <v>1</v>
          </cell>
        </row>
        <row r="2800">
          <cell r="A2800" t="str">
            <v>M2</v>
          </cell>
          <cell r="B2800" t="str">
            <v>A5C</v>
          </cell>
          <cell r="C2800" t="str">
            <v>P</v>
          </cell>
          <cell r="D2800" t="str">
            <v>24008</v>
          </cell>
          <cell r="E2800" t="str">
            <v>TEE</v>
          </cell>
          <cell r="F2800">
            <v>2</v>
          </cell>
          <cell r="G2800" t="str">
            <v>CB400300000100</v>
          </cell>
          <cell r="H2800">
            <v>1</v>
          </cell>
          <cell r="I2800" t="str">
            <v>--</v>
          </cell>
          <cell r="J2800">
            <v>2</v>
          </cell>
          <cell r="K2800">
            <v>2</v>
          </cell>
        </row>
        <row r="2801">
          <cell r="A2801" t="str">
            <v>M2</v>
          </cell>
          <cell r="B2801" t="str">
            <v>A5C</v>
          </cell>
          <cell r="C2801" t="str">
            <v>P</v>
          </cell>
          <cell r="D2801" t="str">
            <v>23038</v>
          </cell>
          <cell r="E2801" t="str">
            <v>TEE</v>
          </cell>
          <cell r="F2801">
            <v>2</v>
          </cell>
          <cell r="G2801" t="str">
            <v>CB400300000100</v>
          </cell>
          <cell r="H2801">
            <v>1</v>
          </cell>
          <cell r="I2801" t="str">
            <v>--</v>
          </cell>
          <cell r="J2801">
            <v>1</v>
          </cell>
          <cell r="K2801">
            <v>1</v>
          </cell>
        </row>
        <row r="2802">
          <cell r="A2802" t="str">
            <v>M2</v>
          </cell>
          <cell r="B2802" t="str">
            <v>A5C</v>
          </cell>
          <cell r="C2802" t="str">
            <v>P</v>
          </cell>
          <cell r="D2802" t="str">
            <v>23108</v>
          </cell>
          <cell r="E2802" t="str">
            <v>TEE</v>
          </cell>
          <cell r="F2802">
            <v>2</v>
          </cell>
          <cell r="G2802" t="str">
            <v>CB400300000100</v>
          </cell>
          <cell r="H2802">
            <v>1</v>
          </cell>
          <cell r="I2802" t="str">
            <v>--</v>
          </cell>
          <cell r="J2802">
            <v>3</v>
          </cell>
          <cell r="K2802">
            <v>3</v>
          </cell>
        </row>
        <row r="2803">
          <cell r="A2803" t="str">
            <v>M2</v>
          </cell>
          <cell r="B2803" t="str">
            <v>A5C</v>
          </cell>
          <cell r="C2803" t="str">
            <v>P</v>
          </cell>
          <cell r="D2803" t="str">
            <v>23112</v>
          </cell>
          <cell r="E2803" t="str">
            <v>TEE</v>
          </cell>
          <cell r="F2803">
            <v>2</v>
          </cell>
          <cell r="G2803" t="str">
            <v>CB400300000100</v>
          </cell>
          <cell r="H2803">
            <v>1</v>
          </cell>
          <cell r="I2803" t="str">
            <v>--</v>
          </cell>
          <cell r="J2803">
            <v>2</v>
          </cell>
          <cell r="K2803">
            <v>2</v>
          </cell>
        </row>
        <row r="2804">
          <cell r="A2804" t="str">
            <v>M2</v>
          </cell>
          <cell r="B2804" t="str">
            <v>A5C</v>
          </cell>
          <cell r="C2804" t="str">
            <v>P</v>
          </cell>
          <cell r="D2804" t="str">
            <v>23122</v>
          </cell>
          <cell r="E2804" t="str">
            <v>TEE</v>
          </cell>
          <cell r="F2804">
            <v>2</v>
          </cell>
          <cell r="G2804" t="str">
            <v>CB400300000100</v>
          </cell>
          <cell r="H2804">
            <v>1</v>
          </cell>
          <cell r="I2804" t="str">
            <v>--</v>
          </cell>
          <cell r="J2804">
            <v>2</v>
          </cell>
          <cell r="K2804">
            <v>2</v>
          </cell>
        </row>
        <row r="2805">
          <cell r="A2805" t="str">
            <v>M2</v>
          </cell>
          <cell r="B2805" t="str">
            <v>A5C</v>
          </cell>
          <cell r="C2805" t="str">
            <v>P</v>
          </cell>
          <cell r="D2805" t="str">
            <v>24020</v>
          </cell>
          <cell r="E2805" t="str">
            <v>TEE</v>
          </cell>
          <cell r="F2805">
            <v>2</v>
          </cell>
          <cell r="G2805" t="str">
            <v>CB400300000100</v>
          </cell>
          <cell r="H2805">
            <v>1</v>
          </cell>
          <cell r="I2805" t="str">
            <v>--</v>
          </cell>
          <cell r="J2805">
            <v>2</v>
          </cell>
          <cell r="K2805">
            <v>2</v>
          </cell>
        </row>
        <row r="2806">
          <cell r="A2806" t="str">
            <v>M2</v>
          </cell>
          <cell r="B2806" t="str">
            <v>A5C</v>
          </cell>
          <cell r="C2806" t="str">
            <v>P</v>
          </cell>
          <cell r="D2806" t="str">
            <v>23059</v>
          </cell>
          <cell r="E2806" t="str">
            <v>90 ELL</v>
          </cell>
          <cell r="F2806">
            <v>2</v>
          </cell>
          <cell r="G2806" t="str">
            <v>CB400100000100</v>
          </cell>
          <cell r="H2806">
            <v>1</v>
          </cell>
          <cell r="I2806" t="str">
            <v>--</v>
          </cell>
          <cell r="J2806">
            <v>10</v>
          </cell>
          <cell r="K2806">
            <v>10</v>
          </cell>
        </row>
        <row r="2807">
          <cell r="A2807" t="str">
            <v>M2</v>
          </cell>
          <cell r="B2807" t="str">
            <v>A5C</v>
          </cell>
          <cell r="C2807" t="str">
            <v>TRIM</v>
          </cell>
          <cell r="D2807" t="str">
            <v>V-2352</v>
          </cell>
          <cell r="E2807" t="str">
            <v>90 ELL</v>
          </cell>
          <cell r="F2807">
            <v>2</v>
          </cell>
          <cell r="G2807" t="str">
            <v>CB400100000100</v>
          </cell>
          <cell r="H2807">
            <v>1</v>
          </cell>
          <cell r="I2807" t="str">
            <v>--</v>
          </cell>
          <cell r="J2807">
            <v>2</v>
          </cell>
          <cell r="K2807">
            <v>2</v>
          </cell>
        </row>
        <row r="2808">
          <cell r="A2808" t="str">
            <v>M2</v>
          </cell>
          <cell r="B2808" t="str">
            <v>A5C</v>
          </cell>
          <cell r="C2808" t="str">
            <v>P</v>
          </cell>
          <cell r="D2808" t="str">
            <v>23059</v>
          </cell>
          <cell r="E2808" t="str">
            <v>C SWG</v>
          </cell>
          <cell r="F2808">
            <v>2</v>
          </cell>
          <cell r="G2808" t="str">
            <v>CB16110808010T</v>
          </cell>
          <cell r="H2808">
            <v>1</v>
          </cell>
          <cell r="I2808">
            <v>0.75</v>
          </cell>
          <cell r="J2808">
            <v>2</v>
          </cell>
          <cell r="K2808">
            <v>2</v>
          </cell>
        </row>
        <row r="2809">
          <cell r="A2809" t="str">
            <v>M2</v>
          </cell>
          <cell r="B2809" t="str">
            <v>A5C</v>
          </cell>
          <cell r="C2809" t="str">
            <v>P</v>
          </cell>
          <cell r="D2809" t="str">
            <v>23059</v>
          </cell>
          <cell r="E2809" t="str">
            <v>C SWG</v>
          </cell>
          <cell r="F2809">
            <v>2</v>
          </cell>
          <cell r="G2809" t="str">
            <v>CB16110808010T</v>
          </cell>
          <cell r="H2809">
            <v>1</v>
          </cell>
          <cell r="I2809">
            <v>0.75</v>
          </cell>
          <cell r="J2809">
            <v>1</v>
          </cell>
          <cell r="K2809">
            <v>1</v>
          </cell>
        </row>
        <row r="2810">
          <cell r="A2810" t="str">
            <v>M2</v>
          </cell>
          <cell r="B2810" t="str">
            <v>A5C</v>
          </cell>
          <cell r="C2810" t="str">
            <v>P</v>
          </cell>
          <cell r="D2810" t="str">
            <v>23183</v>
          </cell>
          <cell r="E2810" t="str">
            <v>C SWG</v>
          </cell>
          <cell r="F2810">
            <v>2</v>
          </cell>
          <cell r="G2810" t="str">
            <v>CB16110808010T</v>
          </cell>
          <cell r="H2810">
            <v>1</v>
          </cell>
          <cell r="I2810">
            <v>0.75</v>
          </cell>
          <cell r="J2810">
            <v>1</v>
          </cell>
          <cell r="K2810">
            <v>1</v>
          </cell>
        </row>
        <row r="2811">
          <cell r="A2811" t="str">
            <v>M2</v>
          </cell>
          <cell r="B2811" t="str">
            <v>A5C</v>
          </cell>
          <cell r="C2811" t="str">
            <v>TRIM</v>
          </cell>
          <cell r="D2811" t="str">
            <v>V-2352</v>
          </cell>
          <cell r="E2811" t="str">
            <v>C SWG</v>
          </cell>
          <cell r="F2811">
            <v>2</v>
          </cell>
          <cell r="G2811" t="str">
            <v>CB16110808010T</v>
          </cell>
          <cell r="H2811">
            <v>1</v>
          </cell>
          <cell r="I2811">
            <v>0.75</v>
          </cell>
          <cell r="J2811">
            <v>1</v>
          </cell>
          <cell r="K2811">
            <v>1</v>
          </cell>
        </row>
        <row r="2812">
          <cell r="A2812" t="str">
            <v>M2</v>
          </cell>
          <cell r="B2812" t="str">
            <v>A5C</v>
          </cell>
          <cell r="C2812" t="str">
            <v>P</v>
          </cell>
          <cell r="D2812" t="str">
            <v>23059</v>
          </cell>
          <cell r="E2812" t="str">
            <v>CPLG</v>
          </cell>
          <cell r="F2812">
            <v>2</v>
          </cell>
          <cell r="G2812" t="str">
            <v>CB400500000100</v>
          </cell>
          <cell r="H2812">
            <v>1</v>
          </cell>
          <cell r="I2812" t="str">
            <v>--</v>
          </cell>
          <cell r="J2812">
            <v>2</v>
          </cell>
          <cell r="K2812">
            <v>2</v>
          </cell>
        </row>
        <row r="2813">
          <cell r="A2813" t="str">
            <v>M2</v>
          </cell>
          <cell r="B2813" t="str">
            <v>A5C</v>
          </cell>
          <cell r="C2813" t="str">
            <v>P</v>
          </cell>
          <cell r="D2813" t="str">
            <v>23059</v>
          </cell>
          <cell r="E2813" t="str">
            <v>R TEE</v>
          </cell>
          <cell r="F2813">
            <v>2</v>
          </cell>
          <cell r="G2813" t="str">
            <v>CB40040000010T</v>
          </cell>
          <cell r="H2813">
            <v>1</v>
          </cell>
          <cell r="I2813">
            <v>0.75</v>
          </cell>
          <cell r="J2813">
            <v>3</v>
          </cell>
          <cell r="K2813">
            <v>3</v>
          </cell>
        </row>
        <row r="2814">
          <cell r="A2814" t="str">
            <v>M2</v>
          </cell>
          <cell r="B2814" t="str">
            <v>A5C</v>
          </cell>
          <cell r="C2814" t="str">
            <v>P</v>
          </cell>
          <cell r="D2814" t="str">
            <v>23059</v>
          </cell>
          <cell r="E2814" t="str">
            <v>TEE</v>
          </cell>
          <cell r="F2814">
            <v>2</v>
          </cell>
          <cell r="G2814" t="str">
            <v>CB400300000100</v>
          </cell>
          <cell r="H2814">
            <v>1</v>
          </cell>
          <cell r="I2814" t="str">
            <v>--</v>
          </cell>
          <cell r="J2814">
            <v>1</v>
          </cell>
          <cell r="K2814">
            <v>1</v>
          </cell>
        </row>
        <row r="2815">
          <cell r="A2815" t="str">
            <v>M2</v>
          </cell>
          <cell r="B2815" t="str">
            <v>A5C</v>
          </cell>
          <cell r="C2815" t="str">
            <v>P</v>
          </cell>
          <cell r="D2815" t="str">
            <v>23018</v>
          </cell>
          <cell r="E2815" t="str">
            <v>45 ELL</v>
          </cell>
          <cell r="F2815">
            <v>2</v>
          </cell>
          <cell r="G2815" t="str">
            <v>CB400200000100</v>
          </cell>
          <cell r="H2815">
            <v>1</v>
          </cell>
          <cell r="I2815" t="str">
            <v>--</v>
          </cell>
          <cell r="J2815">
            <v>1</v>
          </cell>
          <cell r="K2815">
            <v>1</v>
          </cell>
        </row>
        <row r="2816">
          <cell r="A2816" t="str">
            <v>M2</v>
          </cell>
          <cell r="B2816" t="str">
            <v>A5C</v>
          </cell>
          <cell r="C2816" t="str">
            <v>P</v>
          </cell>
          <cell r="D2816" t="str">
            <v>23018</v>
          </cell>
          <cell r="E2816" t="str">
            <v>90 ELL</v>
          </cell>
          <cell r="F2816">
            <v>2</v>
          </cell>
          <cell r="G2816" t="str">
            <v>CB400100000100</v>
          </cell>
          <cell r="H2816">
            <v>1</v>
          </cell>
          <cell r="I2816" t="str">
            <v>--</v>
          </cell>
          <cell r="J2816">
            <v>6</v>
          </cell>
          <cell r="K2816">
            <v>6</v>
          </cell>
        </row>
        <row r="2817">
          <cell r="A2817" t="str">
            <v>M2</v>
          </cell>
          <cell r="B2817" t="str">
            <v>A5C</v>
          </cell>
          <cell r="C2817" t="str">
            <v>P</v>
          </cell>
          <cell r="D2817" t="str">
            <v>23019</v>
          </cell>
          <cell r="E2817" t="str">
            <v>90 ELL</v>
          </cell>
          <cell r="F2817">
            <v>2</v>
          </cell>
          <cell r="G2817" t="str">
            <v>CB400100000100</v>
          </cell>
          <cell r="H2817">
            <v>1</v>
          </cell>
          <cell r="I2817" t="str">
            <v>--</v>
          </cell>
          <cell r="J2817">
            <v>1</v>
          </cell>
          <cell r="K2817">
            <v>1</v>
          </cell>
        </row>
        <row r="2818">
          <cell r="A2818" t="str">
            <v>M2</v>
          </cell>
          <cell r="B2818" t="str">
            <v>A5C</v>
          </cell>
          <cell r="C2818" t="str">
            <v>P</v>
          </cell>
          <cell r="D2818" t="str">
            <v>23027</v>
          </cell>
          <cell r="E2818" t="str">
            <v>90 ELL</v>
          </cell>
          <cell r="F2818">
            <v>2</v>
          </cell>
          <cell r="G2818" t="str">
            <v>CB400100000100</v>
          </cell>
          <cell r="H2818">
            <v>1</v>
          </cell>
          <cell r="I2818" t="str">
            <v>--</v>
          </cell>
          <cell r="J2818">
            <v>2</v>
          </cell>
          <cell r="K2818">
            <v>2</v>
          </cell>
        </row>
        <row r="2819">
          <cell r="A2819" t="str">
            <v>M2</v>
          </cell>
          <cell r="B2819" t="str">
            <v>A5C</v>
          </cell>
          <cell r="C2819" t="str">
            <v>P</v>
          </cell>
          <cell r="D2819" t="str">
            <v>23039</v>
          </cell>
          <cell r="E2819" t="str">
            <v>90 ELL</v>
          </cell>
          <cell r="F2819">
            <v>2</v>
          </cell>
          <cell r="G2819" t="str">
            <v>CB400100000100</v>
          </cell>
          <cell r="H2819">
            <v>1</v>
          </cell>
          <cell r="I2819" t="str">
            <v>--</v>
          </cell>
          <cell r="J2819">
            <v>1</v>
          </cell>
          <cell r="K2819">
            <v>1</v>
          </cell>
        </row>
        <row r="2820">
          <cell r="A2820" t="str">
            <v>M2</v>
          </cell>
          <cell r="B2820" t="str">
            <v>A5C</v>
          </cell>
          <cell r="C2820" t="str">
            <v>P</v>
          </cell>
          <cell r="D2820" t="str">
            <v>23048</v>
          </cell>
          <cell r="E2820" t="str">
            <v>90 ELL</v>
          </cell>
          <cell r="F2820">
            <v>2</v>
          </cell>
          <cell r="G2820" t="str">
            <v>CB400100000100</v>
          </cell>
          <cell r="H2820">
            <v>1</v>
          </cell>
          <cell r="I2820" t="str">
            <v>--</v>
          </cell>
          <cell r="J2820">
            <v>6</v>
          </cell>
          <cell r="K2820">
            <v>6</v>
          </cell>
        </row>
        <row r="2821">
          <cell r="A2821" t="str">
            <v>M2</v>
          </cell>
          <cell r="B2821" t="str">
            <v>A5C</v>
          </cell>
          <cell r="C2821" t="str">
            <v>P</v>
          </cell>
          <cell r="D2821" t="str">
            <v>23223</v>
          </cell>
          <cell r="E2821" t="str">
            <v>90 ELL</v>
          </cell>
          <cell r="F2821">
            <v>2</v>
          </cell>
          <cell r="G2821" t="str">
            <v>CB400100000100</v>
          </cell>
          <cell r="H2821">
            <v>1</v>
          </cell>
          <cell r="I2821" t="str">
            <v>--</v>
          </cell>
          <cell r="J2821">
            <v>3</v>
          </cell>
          <cell r="K2821">
            <v>3</v>
          </cell>
        </row>
        <row r="2822">
          <cell r="A2822" t="str">
            <v>M2</v>
          </cell>
          <cell r="B2822" t="str">
            <v>A5C</v>
          </cell>
          <cell r="C2822" t="str">
            <v>P</v>
          </cell>
          <cell r="D2822" t="str">
            <v>24015</v>
          </cell>
          <cell r="E2822" t="str">
            <v>90 ELL</v>
          </cell>
          <cell r="F2822">
            <v>2</v>
          </cell>
          <cell r="G2822" t="str">
            <v>CB400100000100</v>
          </cell>
          <cell r="H2822">
            <v>1</v>
          </cell>
          <cell r="I2822" t="str">
            <v>--</v>
          </cell>
          <cell r="J2822">
            <v>2</v>
          </cell>
          <cell r="K2822">
            <v>2</v>
          </cell>
        </row>
        <row r="2823">
          <cell r="A2823" t="str">
            <v>M2</v>
          </cell>
          <cell r="B2823" t="str">
            <v>A5C</v>
          </cell>
          <cell r="C2823" t="str">
            <v>P</v>
          </cell>
          <cell r="D2823" t="str">
            <v>23074</v>
          </cell>
          <cell r="E2823" t="str">
            <v>90 ELL</v>
          </cell>
          <cell r="F2823">
            <v>2</v>
          </cell>
          <cell r="G2823" t="str">
            <v>CB400100000100</v>
          </cell>
          <cell r="H2823">
            <v>1</v>
          </cell>
          <cell r="I2823" t="str">
            <v>--</v>
          </cell>
          <cell r="J2823">
            <v>14</v>
          </cell>
          <cell r="K2823">
            <v>14</v>
          </cell>
        </row>
        <row r="2824">
          <cell r="A2824" t="str">
            <v>M2</v>
          </cell>
          <cell r="B2824" t="str">
            <v>A5C</v>
          </cell>
          <cell r="C2824" t="str">
            <v>P</v>
          </cell>
          <cell r="D2824" t="str">
            <v>23079</v>
          </cell>
          <cell r="E2824" t="str">
            <v>90 ELL</v>
          </cell>
          <cell r="F2824">
            <v>2</v>
          </cell>
          <cell r="G2824" t="str">
            <v>CB400100000100</v>
          </cell>
          <cell r="H2824">
            <v>1</v>
          </cell>
          <cell r="I2824" t="str">
            <v>--</v>
          </cell>
          <cell r="J2824">
            <v>9</v>
          </cell>
          <cell r="K2824">
            <v>9</v>
          </cell>
        </row>
        <row r="2825">
          <cell r="A2825" t="str">
            <v>M2</v>
          </cell>
          <cell r="B2825" t="str">
            <v>A5C</v>
          </cell>
          <cell r="C2825" t="str">
            <v>P</v>
          </cell>
          <cell r="D2825" t="str">
            <v>23194</v>
          </cell>
          <cell r="E2825" t="str">
            <v>90 ELL</v>
          </cell>
          <cell r="F2825">
            <v>2</v>
          </cell>
          <cell r="G2825" t="str">
            <v>CB400100000100</v>
          </cell>
          <cell r="H2825">
            <v>1</v>
          </cell>
          <cell r="I2825" t="str">
            <v>--</v>
          </cell>
          <cell r="J2825">
            <v>5</v>
          </cell>
          <cell r="K2825">
            <v>5</v>
          </cell>
        </row>
        <row r="2826">
          <cell r="A2826" t="str">
            <v>M2</v>
          </cell>
          <cell r="B2826" t="str">
            <v>A5C</v>
          </cell>
          <cell r="C2826" t="str">
            <v>P</v>
          </cell>
          <cell r="D2826" t="str">
            <v>23048</v>
          </cell>
          <cell r="E2826" t="str">
            <v>C SWG</v>
          </cell>
          <cell r="F2826">
            <v>2</v>
          </cell>
          <cell r="G2826" t="str">
            <v>CB16110808010T</v>
          </cell>
          <cell r="H2826">
            <v>1</v>
          </cell>
          <cell r="I2826">
            <v>0.75</v>
          </cell>
          <cell r="J2826">
            <v>2</v>
          </cell>
          <cell r="K2826">
            <v>2</v>
          </cell>
        </row>
        <row r="2827">
          <cell r="A2827" t="str">
            <v>M2</v>
          </cell>
          <cell r="B2827" t="str">
            <v>A5C</v>
          </cell>
          <cell r="C2827" t="str">
            <v>P</v>
          </cell>
          <cell r="D2827" t="str">
            <v>23074</v>
          </cell>
          <cell r="E2827" t="str">
            <v>C SWG</v>
          </cell>
          <cell r="F2827">
            <v>2</v>
          </cell>
          <cell r="G2827" t="str">
            <v>CB16110808010T</v>
          </cell>
          <cell r="H2827">
            <v>1</v>
          </cell>
          <cell r="I2827">
            <v>0.75</v>
          </cell>
          <cell r="J2827">
            <v>2</v>
          </cell>
          <cell r="K2827">
            <v>2</v>
          </cell>
        </row>
        <row r="2828">
          <cell r="A2828" t="str">
            <v>M2</v>
          </cell>
          <cell r="B2828" t="str">
            <v>A5C</v>
          </cell>
          <cell r="C2828" t="str">
            <v>P</v>
          </cell>
          <cell r="D2828" t="str">
            <v>23079</v>
          </cell>
          <cell r="E2828" t="str">
            <v>C SWG</v>
          </cell>
          <cell r="F2828">
            <v>2</v>
          </cell>
          <cell r="G2828" t="str">
            <v>CB16110808010T</v>
          </cell>
          <cell r="H2828">
            <v>1</v>
          </cell>
          <cell r="I2828">
            <v>0.75</v>
          </cell>
          <cell r="J2828">
            <v>2</v>
          </cell>
          <cell r="K2828">
            <v>2</v>
          </cell>
        </row>
        <row r="2829">
          <cell r="A2829" t="str">
            <v>M2</v>
          </cell>
          <cell r="B2829" t="str">
            <v>A5C</v>
          </cell>
          <cell r="C2829" t="str">
            <v>P</v>
          </cell>
          <cell r="D2829" t="str">
            <v>23219</v>
          </cell>
          <cell r="E2829" t="str">
            <v>C SWG</v>
          </cell>
          <cell r="F2829">
            <v>2</v>
          </cell>
          <cell r="G2829" t="str">
            <v>CB16110808010T</v>
          </cell>
          <cell r="H2829">
            <v>1</v>
          </cell>
          <cell r="I2829">
            <v>0.75</v>
          </cell>
          <cell r="J2829">
            <v>1</v>
          </cell>
          <cell r="K2829">
            <v>1</v>
          </cell>
        </row>
        <row r="2830">
          <cell r="A2830" t="str">
            <v>M2</v>
          </cell>
          <cell r="B2830" t="str">
            <v>A5C</v>
          </cell>
          <cell r="C2830" t="str">
            <v>P</v>
          </cell>
          <cell r="D2830" t="str">
            <v>24016</v>
          </cell>
          <cell r="E2830" t="str">
            <v>C SWG</v>
          </cell>
          <cell r="F2830">
            <v>2</v>
          </cell>
          <cell r="G2830" t="str">
            <v>CB16110808010T</v>
          </cell>
          <cell r="H2830">
            <v>1</v>
          </cell>
          <cell r="I2830">
            <v>0.75</v>
          </cell>
          <cell r="J2830">
            <v>2</v>
          </cell>
          <cell r="K2830">
            <v>2</v>
          </cell>
        </row>
        <row r="2831">
          <cell r="A2831" t="str">
            <v>M2</v>
          </cell>
          <cell r="B2831" t="str">
            <v>A5C</v>
          </cell>
          <cell r="C2831" t="str">
            <v>P</v>
          </cell>
          <cell r="D2831" t="str">
            <v>24017</v>
          </cell>
          <cell r="E2831" t="str">
            <v>C SWG</v>
          </cell>
          <cell r="F2831">
            <v>2</v>
          </cell>
          <cell r="G2831" t="str">
            <v>CB16110808010T</v>
          </cell>
          <cell r="H2831">
            <v>1</v>
          </cell>
          <cell r="I2831">
            <v>0.75</v>
          </cell>
          <cell r="J2831">
            <v>1</v>
          </cell>
          <cell r="K2831">
            <v>1</v>
          </cell>
        </row>
        <row r="2832">
          <cell r="A2832" t="str">
            <v>M2</v>
          </cell>
          <cell r="B2832" t="str">
            <v>A5C</v>
          </cell>
          <cell r="C2832" t="str">
            <v>P</v>
          </cell>
          <cell r="D2832" t="str">
            <v>24018</v>
          </cell>
          <cell r="E2832" t="str">
            <v>C SWG</v>
          </cell>
          <cell r="F2832">
            <v>2</v>
          </cell>
          <cell r="G2832" t="str">
            <v>CB16110808010T</v>
          </cell>
          <cell r="H2832">
            <v>1</v>
          </cell>
          <cell r="I2832">
            <v>0.75</v>
          </cell>
          <cell r="J2832">
            <v>1</v>
          </cell>
          <cell r="K2832">
            <v>1</v>
          </cell>
        </row>
        <row r="2833">
          <cell r="A2833" t="str">
            <v>M2</v>
          </cell>
          <cell r="B2833" t="str">
            <v>A5C</v>
          </cell>
          <cell r="C2833" t="str">
            <v>TRIM</v>
          </cell>
          <cell r="D2833" t="str">
            <v>C-2302</v>
          </cell>
          <cell r="E2833" t="str">
            <v>C SWG</v>
          </cell>
          <cell r="F2833">
            <v>2</v>
          </cell>
          <cell r="G2833" t="str">
            <v>CB16110808010T</v>
          </cell>
          <cell r="H2833">
            <v>1</v>
          </cell>
          <cell r="I2833">
            <v>0.75</v>
          </cell>
          <cell r="J2833">
            <v>1</v>
          </cell>
          <cell r="K2833">
            <v>1</v>
          </cell>
        </row>
        <row r="2834">
          <cell r="A2834" t="str">
            <v>M2</v>
          </cell>
          <cell r="B2834" t="str">
            <v>A5C</v>
          </cell>
          <cell r="C2834" t="str">
            <v>TRIM</v>
          </cell>
          <cell r="D2834" t="str">
            <v>C-2303</v>
          </cell>
          <cell r="E2834" t="str">
            <v>C SWG</v>
          </cell>
          <cell r="F2834">
            <v>2</v>
          </cell>
          <cell r="G2834" t="str">
            <v>CB16110808010T</v>
          </cell>
          <cell r="H2834">
            <v>1</v>
          </cell>
          <cell r="I2834">
            <v>0.75</v>
          </cell>
          <cell r="J2834">
            <v>1</v>
          </cell>
          <cell r="K2834">
            <v>1</v>
          </cell>
        </row>
        <row r="2835">
          <cell r="A2835" t="str">
            <v>M2</v>
          </cell>
          <cell r="B2835" t="str">
            <v>A5C</v>
          </cell>
          <cell r="C2835" t="str">
            <v>TRIM</v>
          </cell>
          <cell r="D2835" t="str">
            <v>C-2304</v>
          </cell>
          <cell r="E2835" t="str">
            <v>C SWG</v>
          </cell>
          <cell r="F2835">
            <v>2</v>
          </cell>
          <cell r="G2835" t="str">
            <v>CB16110808010T</v>
          </cell>
          <cell r="H2835">
            <v>1</v>
          </cell>
          <cell r="I2835">
            <v>0.75</v>
          </cell>
          <cell r="J2835">
            <v>1</v>
          </cell>
          <cell r="K2835">
            <v>1</v>
          </cell>
        </row>
        <row r="2836">
          <cell r="A2836" t="str">
            <v>M2</v>
          </cell>
          <cell r="B2836" t="str">
            <v>A5C</v>
          </cell>
          <cell r="C2836" t="str">
            <v>TRIM</v>
          </cell>
          <cell r="D2836" t="str">
            <v>C-2305</v>
          </cell>
          <cell r="E2836" t="str">
            <v>C SWG</v>
          </cell>
          <cell r="F2836">
            <v>2</v>
          </cell>
          <cell r="G2836" t="str">
            <v>CB16110808010T</v>
          </cell>
          <cell r="H2836">
            <v>1</v>
          </cell>
          <cell r="I2836">
            <v>0.75</v>
          </cell>
          <cell r="J2836">
            <v>1</v>
          </cell>
          <cell r="K2836">
            <v>1</v>
          </cell>
        </row>
        <row r="2837">
          <cell r="A2837" t="str">
            <v>M2</v>
          </cell>
          <cell r="B2837" t="str">
            <v>A5C</v>
          </cell>
          <cell r="C2837" t="str">
            <v>TRIM</v>
          </cell>
          <cell r="D2837" t="str">
            <v>C-2306</v>
          </cell>
          <cell r="E2837" t="str">
            <v>C SWG</v>
          </cell>
          <cell r="F2837">
            <v>2</v>
          </cell>
          <cell r="G2837" t="str">
            <v>CB16110808010T</v>
          </cell>
          <cell r="H2837">
            <v>1</v>
          </cell>
          <cell r="I2837">
            <v>0.75</v>
          </cell>
          <cell r="J2837">
            <v>1</v>
          </cell>
          <cell r="K2837">
            <v>1</v>
          </cell>
        </row>
        <row r="2838">
          <cell r="A2838" t="str">
            <v>M2</v>
          </cell>
          <cell r="B2838" t="str">
            <v>A5C</v>
          </cell>
          <cell r="C2838" t="str">
            <v>TRIM</v>
          </cell>
          <cell r="D2838" t="str">
            <v>V-2325</v>
          </cell>
          <cell r="E2838" t="str">
            <v>C SWG</v>
          </cell>
          <cell r="F2838">
            <v>2</v>
          </cell>
          <cell r="G2838" t="str">
            <v>CB16110808010T</v>
          </cell>
          <cell r="H2838">
            <v>1</v>
          </cell>
          <cell r="I2838">
            <v>0.75</v>
          </cell>
          <cell r="J2838">
            <v>1</v>
          </cell>
          <cell r="K2838">
            <v>1</v>
          </cell>
        </row>
        <row r="2839">
          <cell r="A2839" t="str">
            <v>M2</v>
          </cell>
          <cell r="B2839" t="str">
            <v>A5C</v>
          </cell>
          <cell r="C2839" t="str">
            <v>P</v>
          </cell>
          <cell r="D2839" t="str">
            <v>23079</v>
          </cell>
          <cell r="E2839" t="str">
            <v>C SWG</v>
          </cell>
          <cell r="F2839">
            <v>2</v>
          </cell>
          <cell r="G2839" t="str">
            <v>CB16110808010T</v>
          </cell>
          <cell r="H2839">
            <v>1</v>
          </cell>
          <cell r="I2839">
            <v>0.75</v>
          </cell>
          <cell r="J2839">
            <v>1</v>
          </cell>
          <cell r="K2839">
            <v>1</v>
          </cell>
        </row>
        <row r="2840">
          <cell r="A2840" t="str">
            <v>M2</v>
          </cell>
          <cell r="B2840" t="str">
            <v>A5C</v>
          </cell>
          <cell r="C2840" t="str">
            <v>P</v>
          </cell>
          <cell r="D2840" t="str">
            <v>23018</v>
          </cell>
          <cell r="E2840" t="str">
            <v>CPLG</v>
          </cell>
          <cell r="F2840">
            <v>2</v>
          </cell>
          <cell r="G2840" t="str">
            <v>CB400500000100</v>
          </cell>
          <cell r="H2840">
            <v>1</v>
          </cell>
          <cell r="I2840" t="str">
            <v>--</v>
          </cell>
          <cell r="J2840">
            <v>2</v>
          </cell>
          <cell r="K2840">
            <v>2</v>
          </cell>
        </row>
        <row r="2841">
          <cell r="A2841" t="str">
            <v>M2</v>
          </cell>
          <cell r="B2841" t="str">
            <v>A5C</v>
          </cell>
          <cell r="C2841" t="str">
            <v>P</v>
          </cell>
          <cell r="D2841" t="str">
            <v>23074</v>
          </cell>
          <cell r="E2841" t="str">
            <v>CPLG</v>
          </cell>
          <cell r="F2841">
            <v>2</v>
          </cell>
          <cell r="G2841" t="str">
            <v>CB400500000100</v>
          </cell>
          <cell r="H2841">
            <v>1</v>
          </cell>
          <cell r="I2841" t="str">
            <v>--</v>
          </cell>
          <cell r="J2841">
            <v>2</v>
          </cell>
          <cell r="K2841">
            <v>2</v>
          </cell>
        </row>
        <row r="2842">
          <cell r="A2842" t="str">
            <v>M2</v>
          </cell>
          <cell r="B2842" t="str">
            <v>A5C</v>
          </cell>
          <cell r="C2842" t="str">
            <v>P</v>
          </cell>
          <cell r="D2842" t="str">
            <v>23079</v>
          </cell>
          <cell r="E2842" t="str">
            <v>CPLG</v>
          </cell>
          <cell r="F2842">
            <v>2</v>
          </cell>
          <cell r="G2842" t="str">
            <v>CB400500000100</v>
          </cell>
          <cell r="H2842">
            <v>1</v>
          </cell>
          <cell r="I2842" t="str">
            <v>--</v>
          </cell>
          <cell r="J2842">
            <v>2</v>
          </cell>
          <cell r="K2842">
            <v>2</v>
          </cell>
        </row>
        <row r="2843">
          <cell r="A2843" t="str">
            <v>M2</v>
          </cell>
          <cell r="B2843" t="str">
            <v>A5C</v>
          </cell>
          <cell r="C2843" t="str">
            <v>P</v>
          </cell>
          <cell r="D2843" t="str">
            <v>23048</v>
          </cell>
          <cell r="E2843" t="str">
            <v>CPLG</v>
          </cell>
          <cell r="F2843">
            <v>2</v>
          </cell>
          <cell r="G2843" t="str">
            <v>CB400500000100</v>
          </cell>
          <cell r="H2843">
            <v>1</v>
          </cell>
          <cell r="I2843" t="str">
            <v>--</v>
          </cell>
          <cell r="J2843">
            <v>3</v>
          </cell>
          <cell r="K2843">
            <v>3</v>
          </cell>
        </row>
        <row r="2844">
          <cell r="A2844" t="str">
            <v>M2</v>
          </cell>
          <cell r="B2844" t="str">
            <v>A5C</v>
          </cell>
          <cell r="C2844" t="str">
            <v>P</v>
          </cell>
          <cell r="D2844" t="str">
            <v>23018</v>
          </cell>
          <cell r="E2844" t="str">
            <v>E SWG</v>
          </cell>
          <cell r="F2844">
            <v>2</v>
          </cell>
          <cell r="G2844" t="str">
            <v>CB16210808010T</v>
          </cell>
          <cell r="H2844">
            <v>1</v>
          </cell>
          <cell r="I2844">
            <v>0.75</v>
          </cell>
          <cell r="J2844">
            <v>2</v>
          </cell>
          <cell r="K2844">
            <v>2</v>
          </cell>
        </row>
        <row r="2845">
          <cell r="A2845" t="str">
            <v>M2</v>
          </cell>
          <cell r="B2845" t="str">
            <v>A5C</v>
          </cell>
          <cell r="C2845" t="str">
            <v>P</v>
          </cell>
          <cell r="D2845" t="str">
            <v>23027</v>
          </cell>
          <cell r="E2845" t="str">
            <v>E SWG</v>
          </cell>
          <cell r="F2845">
            <v>2</v>
          </cell>
          <cell r="G2845" t="str">
            <v>CB16210808010T</v>
          </cell>
          <cell r="H2845">
            <v>1</v>
          </cell>
          <cell r="I2845">
            <v>0.75</v>
          </cell>
          <cell r="J2845">
            <v>2</v>
          </cell>
          <cell r="K2845">
            <v>2</v>
          </cell>
        </row>
        <row r="2846">
          <cell r="A2846" t="str">
            <v>M2</v>
          </cell>
          <cell r="B2846" t="str">
            <v>A5C</v>
          </cell>
          <cell r="C2846" t="str">
            <v>P</v>
          </cell>
          <cell r="D2846" t="str">
            <v>23018</v>
          </cell>
          <cell r="E2846" t="str">
            <v>R TEE</v>
          </cell>
          <cell r="F2846">
            <v>2</v>
          </cell>
          <cell r="G2846" t="str">
            <v>CB40040000010T</v>
          </cell>
          <cell r="H2846">
            <v>1</v>
          </cell>
          <cell r="I2846">
            <v>0.75</v>
          </cell>
          <cell r="J2846">
            <v>2</v>
          </cell>
          <cell r="K2846">
            <v>2</v>
          </cell>
        </row>
        <row r="2847">
          <cell r="A2847" t="str">
            <v>M2</v>
          </cell>
          <cell r="B2847" t="str">
            <v>A5C</v>
          </cell>
          <cell r="C2847" t="str">
            <v>P</v>
          </cell>
          <cell r="D2847" t="str">
            <v>23018</v>
          </cell>
          <cell r="E2847" t="str">
            <v>R TEE</v>
          </cell>
          <cell r="F2847">
            <v>2</v>
          </cell>
          <cell r="G2847" t="str">
            <v>CB40040000010T</v>
          </cell>
          <cell r="H2847">
            <v>1</v>
          </cell>
          <cell r="I2847">
            <v>0.75</v>
          </cell>
          <cell r="J2847">
            <v>3</v>
          </cell>
          <cell r="K2847">
            <v>3</v>
          </cell>
        </row>
        <row r="2848">
          <cell r="A2848" t="str">
            <v>M2</v>
          </cell>
          <cell r="B2848" t="str">
            <v>A5C</v>
          </cell>
          <cell r="C2848" t="str">
            <v>P</v>
          </cell>
          <cell r="D2848" t="str">
            <v>23027</v>
          </cell>
          <cell r="E2848" t="str">
            <v>R TEE</v>
          </cell>
          <cell r="F2848">
            <v>2</v>
          </cell>
          <cell r="G2848" t="str">
            <v>CB40040000010T</v>
          </cell>
          <cell r="H2848">
            <v>1</v>
          </cell>
          <cell r="I2848">
            <v>0.75</v>
          </cell>
          <cell r="J2848">
            <v>2</v>
          </cell>
          <cell r="K2848">
            <v>2</v>
          </cell>
        </row>
        <row r="2849">
          <cell r="A2849" t="str">
            <v>M2</v>
          </cell>
          <cell r="B2849" t="str">
            <v>A5C</v>
          </cell>
          <cell r="C2849" t="str">
            <v>P</v>
          </cell>
          <cell r="D2849" t="str">
            <v>23048</v>
          </cell>
          <cell r="E2849" t="str">
            <v>R TEE</v>
          </cell>
          <cell r="F2849">
            <v>2</v>
          </cell>
          <cell r="G2849" t="str">
            <v>CB40040000010T</v>
          </cell>
          <cell r="H2849">
            <v>1</v>
          </cell>
          <cell r="I2849">
            <v>0.75</v>
          </cell>
          <cell r="J2849">
            <v>6</v>
          </cell>
          <cell r="K2849">
            <v>6</v>
          </cell>
        </row>
        <row r="2850">
          <cell r="A2850" t="str">
            <v>M2</v>
          </cell>
          <cell r="B2850" t="str">
            <v>A5C</v>
          </cell>
          <cell r="C2850" t="str">
            <v>P</v>
          </cell>
          <cell r="D2850" t="str">
            <v>23074</v>
          </cell>
          <cell r="E2850" t="str">
            <v>R TEE</v>
          </cell>
          <cell r="F2850">
            <v>2</v>
          </cell>
          <cell r="G2850" t="str">
            <v>CB40040000010T</v>
          </cell>
          <cell r="H2850">
            <v>1</v>
          </cell>
          <cell r="I2850">
            <v>0.75</v>
          </cell>
          <cell r="J2850">
            <v>2</v>
          </cell>
          <cell r="K2850">
            <v>2</v>
          </cell>
        </row>
        <row r="2851">
          <cell r="A2851" t="str">
            <v>M2</v>
          </cell>
          <cell r="B2851" t="str">
            <v>A5C</v>
          </cell>
          <cell r="C2851" t="str">
            <v>P</v>
          </cell>
          <cell r="D2851" t="str">
            <v>23223</v>
          </cell>
          <cell r="E2851" t="str">
            <v>R TEE</v>
          </cell>
          <cell r="F2851">
            <v>2</v>
          </cell>
          <cell r="G2851" t="str">
            <v>CB40040000010T</v>
          </cell>
          <cell r="H2851">
            <v>1</v>
          </cell>
          <cell r="I2851">
            <v>0.75</v>
          </cell>
          <cell r="J2851">
            <v>3</v>
          </cell>
          <cell r="K2851">
            <v>3</v>
          </cell>
        </row>
        <row r="2852">
          <cell r="A2852" t="str">
            <v>M2</v>
          </cell>
          <cell r="B2852" t="str">
            <v>A5C</v>
          </cell>
          <cell r="C2852" t="str">
            <v>P</v>
          </cell>
          <cell r="D2852" t="str">
            <v>23079</v>
          </cell>
          <cell r="E2852" t="str">
            <v>R TEE</v>
          </cell>
          <cell r="F2852">
            <v>2</v>
          </cell>
          <cell r="G2852" t="str">
            <v>CB40040000010T</v>
          </cell>
          <cell r="H2852">
            <v>1</v>
          </cell>
          <cell r="I2852">
            <v>0.75</v>
          </cell>
          <cell r="J2852">
            <v>2</v>
          </cell>
          <cell r="K2852">
            <v>2</v>
          </cell>
        </row>
        <row r="2853">
          <cell r="A2853" t="str">
            <v>M2</v>
          </cell>
          <cell r="B2853" t="str">
            <v>A5C</v>
          </cell>
          <cell r="C2853" t="str">
            <v>P</v>
          </cell>
          <cell r="D2853" t="str">
            <v>23018</v>
          </cell>
          <cell r="E2853" t="str">
            <v>TEE</v>
          </cell>
          <cell r="F2853">
            <v>2</v>
          </cell>
          <cell r="G2853" t="str">
            <v>CB400300000100</v>
          </cell>
          <cell r="H2853">
            <v>1</v>
          </cell>
          <cell r="I2853" t="str">
            <v>--</v>
          </cell>
          <cell r="J2853">
            <v>1</v>
          </cell>
          <cell r="K2853">
            <v>1</v>
          </cell>
        </row>
        <row r="2854">
          <cell r="A2854" t="str">
            <v>M2</v>
          </cell>
          <cell r="B2854" t="str">
            <v>A5C</v>
          </cell>
          <cell r="C2854" t="str">
            <v>P</v>
          </cell>
          <cell r="D2854" t="str">
            <v>23018</v>
          </cell>
          <cell r="E2854" t="str">
            <v>TEE</v>
          </cell>
          <cell r="F2854">
            <v>2</v>
          </cell>
          <cell r="G2854" t="str">
            <v>CB400300000100</v>
          </cell>
          <cell r="H2854">
            <v>1</v>
          </cell>
          <cell r="I2854" t="str">
            <v>--</v>
          </cell>
          <cell r="J2854">
            <v>2</v>
          </cell>
          <cell r="K2854">
            <v>2</v>
          </cell>
        </row>
        <row r="2855">
          <cell r="A2855" t="str">
            <v>M2</v>
          </cell>
          <cell r="B2855" t="str">
            <v>A5C</v>
          </cell>
          <cell r="C2855" t="str">
            <v>P</v>
          </cell>
          <cell r="D2855" t="str">
            <v>23027</v>
          </cell>
          <cell r="E2855" t="str">
            <v>TEE</v>
          </cell>
          <cell r="F2855">
            <v>2</v>
          </cell>
          <cell r="G2855" t="str">
            <v>CB400300000100</v>
          </cell>
          <cell r="H2855">
            <v>1</v>
          </cell>
          <cell r="I2855" t="str">
            <v>--</v>
          </cell>
          <cell r="J2855">
            <v>2</v>
          </cell>
          <cell r="K2855">
            <v>2</v>
          </cell>
        </row>
        <row r="2856">
          <cell r="A2856" t="str">
            <v>M2</v>
          </cell>
          <cell r="B2856" t="str">
            <v>A5C</v>
          </cell>
          <cell r="C2856" t="str">
            <v>P</v>
          </cell>
          <cell r="D2856" t="str">
            <v>23074</v>
          </cell>
          <cell r="E2856" t="str">
            <v>TEE</v>
          </cell>
          <cell r="F2856">
            <v>2</v>
          </cell>
          <cell r="G2856" t="str">
            <v>CB400300000100</v>
          </cell>
          <cell r="H2856">
            <v>1</v>
          </cell>
          <cell r="I2856" t="str">
            <v>--</v>
          </cell>
          <cell r="J2856">
            <v>2</v>
          </cell>
          <cell r="K2856">
            <v>2</v>
          </cell>
        </row>
        <row r="2857">
          <cell r="A2857" t="str">
            <v>M2</v>
          </cell>
          <cell r="B2857" t="str">
            <v>A5C</v>
          </cell>
          <cell r="C2857" t="str">
            <v>P</v>
          </cell>
          <cell r="D2857" t="str">
            <v>23079</v>
          </cell>
          <cell r="E2857" t="str">
            <v>TEE</v>
          </cell>
          <cell r="F2857">
            <v>2</v>
          </cell>
          <cell r="G2857" t="str">
            <v>CB400300000100</v>
          </cell>
          <cell r="H2857">
            <v>1</v>
          </cell>
          <cell r="I2857" t="str">
            <v>--</v>
          </cell>
          <cell r="J2857">
            <v>1</v>
          </cell>
          <cell r="K2857">
            <v>1</v>
          </cell>
        </row>
        <row r="2858">
          <cell r="A2858" t="str">
            <v>M2</v>
          </cell>
          <cell r="B2858" t="str">
            <v>A5C</v>
          </cell>
          <cell r="C2858" t="str">
            <v>P</v>
          </cell>
          <cell r="D2858" t="str">
            <v>23013</v>
          </cell>
          <cell r="E2858" t="str">
            <v>90 ELL</v>
          </cell>
          <cell r="F2858">
            <v>2</v>
          </cell>
          <cell r="G2858" t="str">
            <v>CB400100000100</v>
          </cell>
          <cell r="H2858">
            <v>1</v>
          </cell>
          <cell r="I2858" t="str">
            <v>--</v>
          </cell>
          <cell r="J2858">
            <v>13</v>
          </cell>
          <cell r="K2858">
            <v>13</v>
          </cell>
        </row>
        <row r="2859">
          <cell r="A2859" t="str">
            <v>M2</v>
          </cell>
          <cell r="B2859" t="str">
            <v>A5C</v>
          </cell>
          <cell r="C2859" t="str">
            <v>P</v>
          </cell>
          <cell r="D2859" t="str">
            <v>23154</v>
          </cell>
          <cell r="E2859" t="str">
            <v>90 ELL</v>
          </cell>
          <cell r="F2859">
            <v>2</v>
          </cell>
          <cell r="G2859" t="str">
            <v>CB400100000100</v>
          </cell>
          <cell r="H2859">
            <v>1</v>
          </cell>
          <cell r="I2859" t="str">
            <v>--</v>
          </cell>
          <cell r="J2859">
            <v>7</v>
          </cell>
          <cell r="K2859">
            <v>7</v>
          </cell>
        </row>
        <row r="2860">
          <cell r="A2860" t="str">
            <v>M2</v>
          </cell>
          <cell r="B2860" t="str">
            <v>A5C</v>
          </cell>
          <cell r="C2860" t="str">
            <v>P</v>
          </cell>
          <cell r="D2860" t="str">
            <v>24002</v>
          </cell>
          <cell r="E2860" t="str">
            <v>90 ELL</v>
          </cell>
          <cell r="F2860">
            <v>2</v>
          </cell>
          <cell r="G2860" t="str">
            <v>CB400100000100</v>
          </cell>
          <cell r="H2860">
            <v>1</v>
          </cell>
          <cell r="I2860" t="str">
            <v>--</v>
          </cell>
          <cell r="J2860">
            <v>4</v>
          </cell>
          <cell r="K2860">
            <v>4</v>
          </cell>
        </row>
        <row r="2861">
          <cell r="A2861" t="str">
            <v>M2</v>
          </cell>
          <cell r="B2861" t="str">
            <v>A5C</v>
          </cell>
          <cell r="C2861" t="str">
            <v>P</v>
          </cell>
          <cell r="D2861" t="str">
            <v>24010</v>
          </cell>
          <cell r="E2861" t="str">
            <v>90 ELL</v>
          </cell>
          <cell r="F2861">
            <v>2</v>
          </cell>
          <cell r="G2861" t="str">
            <v>CB400100000100</v>
          </cell>
          <cell r="H2861">
            <v>1</v>
          </cell>
          <cell r="I2861" t="str">
            <v>--</v>
          </cell>
          <cell r="J2861">
            <v>3</v>
          </cell>
          <cell r="K2861">
            <v>3</v>
          </cell>
        </row>
        <row r="2862">
          <cell r="A2862" t="str">
            <v>M2</v>
          </cell>
          <cell r="B2862" t="str">
            <v>A5C</v>
          </cell>
          <cell r="C2862" t="str">
            <v>P</v>
          </cell>
          <cell r="D2862" t="str">
            <v>24004</v>
          </cell>
          <cell r="E2862" t="str">
            <v>90 ELL</v>
          </cell>
          <cell r="F2862">
            <v>2</v>
          </cell>
          <cell r="G2862" t="str">
            <v>CB400100000100</v>
          </cell>
          <cell r="H2862">
            <v>1</v>
          </cell>
          <cell r="I2862" t="str">
            <v>--</v>
          </cell>
          <cell r="J2862">
            <v>13</v>
          </cell>
          <cell r="K2862">
            <v>13</v>
          </cell>
        </row>
        <row r="2863">
          <cell r="A2863" t="str">
            <v>M2</v>
          </cell>
          <cell r="B2863" t="str">
            <v>A5C</v>
          </cell>
          <cell r="C2863" t="str">
            <v>P</v>
          </cell>
          <cell r="D2863" t="str">
            <v>24032</v>
          </cell>
          <cell r="E2863" t="str">
            <v>90 ELL</v>
          </cell>
          <cell r="F2863">
            <v>2</v>
          </cell>
          <cell r="G2863" t="str">
            <v>CB400100000100</v>
          </cell>
          <cell r="H2863">
            <v>1</v>
          </cell>
          <cell r="I2863" t="str">
            <v>--</v>
          </cell>
          <cell r="J2863">
            <v>6</v>
          </cell>
          <cell r="K2863">
            <v>6</v>
          </cell>
        </row>
        <row r="2864">
          <cell r="A2864" t="str">
            <v>M2</v>
          </cell>
          <cell r="B2864" t="str">
            <v>A5C</v>
          </cell>
          <cell r="C2864" t="str">
            <v>P</v>
          </cell>
          <cell r="D2864" t="str">
            <v>24025</v>
          </cell>
          <cell r="E2864" t="str">
            <v>90 ELL</v>
          </cell>
          <cell r="F2864">
            <v>2</v>
          </cell>
          <cell r="G2864" t="str">
            <v>CB400100000100</v>
          </cell>
          <cell r="H2864">
            <v>1</v>
          </cell>
          <cell r="I2864" t="str">
            <v>--</v>
          </cell>
          <cell r="J2864">
            <v>4</v>
          </cell>
          <cell r="K2864">
            <v>4</v>
          </cell>
        </row>
        <row r="2865">
          <cell r="A2865" t="str">
            <v>M2</v>
          </cell>
          <cell r="B2865" t="str">
            <v>A5C</v>
          </cell>
          <cell r="C2865" t="str">
            <v>P</v>
          </cell>
          <cell r="D2865" t="str">
            <v>24026</v>
          </cell>
          <cell r="E2865" t="str">
            <v>90 ELL</v>
          </cell>
          <cell r="F2865">
            <v>2</v>
          </cell>
          <cell r="G2865" t="str">
            <v>CB400100000100</v>
          </cell>
          <cell r="H2865">
            <v>1</v>
          </cell>
          <cell r="I2865" t="str">
            <v>--</v>
          </cell>
          <cell r="J2865">
            <v>3</v>
          </cell>
          <cell r="K2865">
            <v>3</v>
          </cell>
        </row>
        <row r="2866">
          <cell r="A2866" t="str">
            <v>M2</v>
          </cell>
          <cell r="B2866" t="str">
            <v>A5C</v>
          </cell>
          <cell r="C2866" t="str">
            <v>P</v>
          </cell>
          <cell r="D2866" t="str">
            <v>23013</v>
          </cell>
          <cell r="E2866" t="str">
            <v>C SWG</v>
          </cell>
          <cell r="F2866">
            <v>2</v>
          </cell>
          <cell r="G2866" t="str">
            <v>CB16110808010T</v>
          </cell>
          <cell r="H2866">
            <v>1</v>
          </cell>
          <cell r="I2866">
            <v>0.75</v>
          </cell>
          <cell r="J2866">
            <v>3</v>
          </cell>
          <cell r="K2866">
            <v>3</v>
          </cell>
        </row>
        <row r="2867">
          <cell r="A2867" t="str">
            <v>M2</v>
          </cell>
          <cell r="B2867" t="str">
            <v>A5C</v>
          </cell>
          <cell r="C2867" t="str">
            <v>P</v>
          </cell>
          <cell r="D2867" t="str">
            <v>23156</v>
          </cell>
          <cell r="E2867" t="str">
            <v>C SWG</v>
          </cell>
          <cell r="F2867">
            <v>2</v>
          </cell>
          <cell r="G2867" t="str">
            <v>CB16110808010T</v>
          </cell>
          <cell r="H2867">
            <v>1</v>
          </cell>
          <cell r="I2867">
            <v>0.75</v>
          </cell>
          <cell r="J2867">
            <v>1</v>
          </cell>
          <cell r="K2867">
            <v>1</v>
          </cell>
        </row>
        <row r="2868">
          <cell r="A2868" t="str">
            <v>M2</v>
          </cell>
          <cell r="B2868" t="str">
            <v>A5C</v>
          </cell>
          <cell r="C2868" t="str">
            <v>P</v>
          </cell>
          <cell r="D2868" t="str">
            <v>24004</v>
          </cell>
          <cell r="E2868" t="str">
            <v>C SWG</v>
          </cell>
          <cell r="F2868">
            <v>2</v>
          </cell>
          <cell r="G2868" t="str">
            <v>CB16110808010T</v>
          </cell>
          <cell r="H2868">
            <v>1</v>
          </cell>
          <cell r="I2868">
            <v>0.75</v>
          </cell>
          <cell r="J2868">
            <v>2</v>
          </cell>
          <cell r="K2868">
            <v>2</v>
          </cell>
        </row>
        <row r="2869">
          <cell r="A2869" t="str">
            <v>M2</v>
          </cell>
          <cell r="B2869" t="str">
            <v>A5C</v>
          </cell>
          <cell r="C2869" t="str">
            <v>P</v>
          </cell>
          <cell r="D2869" t="str">
            <v>24029</v>
          </cell>
          <cell r="E2869" t="str">
            <v>C SWG</v>
          </cell>
          <cell r="F2869">
            <v>2</v>
          </cell>
          <cell r="G2869" t="str">
            <v>CB16110808010T</v>
          </cell>
          <cell r="H2869">
            <v>1</v>
          </cell>
          <cell r="I2869">
            <v>0.75</v>
          </cell>
          <cell r="J2869">
            <v>1</v>
          </cell>
          <cell r="K2869">
            <v>1</v>
          </cell>
        </row>
        <row r="2870">
          <cell r="A2870" t="str">
            <v>M2</v>
          </cell>
          <cell r="B2870" t="str">
            <v>A5C</v>
          </cell>
          <cell r="C2870" t="str">
            <v>P</v>
          </cell>
          <cell r="D2870" t="str">
            <v>24031</v>
          </cell>
          <cell r="E2870" t="str">
            <v>C SWG</v>
          </cell>
          <cell r="F2870">
            <v>2</v>
          </cell>
          <cell r="G2870" t="str">
            <v>CB16110808010T</v>
          </cell>
          <cell r="H2870">
            <v>1</v>
          </cell>
          <cell r="I2870">
            <v>0.75</v>
          </cell>
          <cell r="J2870">
            <v>1</v>
          </cell>
          <cell r="K2870">
            <v>1</v>
          </cell>
        </row>
        <row r="2871">
          <cell r="A2871" t="str">
            <v>M2</v>
          </cell>
          <cell r="B2871" t="str">
            <v>A5C</v>
          </cell>
          <cell r="C2871" t="str">
            <v>P</v>
          </cell>
          <cell r="D2871" t="str">
            <v>24033</v>
          </cell>
          <cell r="E2871" t="str">
            <v>C SWG</v>
          </cell>
          <cell r="F2871">
            <v>2</v>
          </cell>
          <cell r="G2871" t="str">
            <v>CB16110808010T</v>
          </cell>
          <cell r="H2871">
            <v>1</v>
          </cell>
          <cell r="I2871">
            <v>0.75</v>
          </cell>
          <cell r="J2871">
            <v>1</v>
          </cell>
          <cell r="K2871">
            <v>1</v>
          </cell>
        </row>
        <row r="2872">
          <cell r="A2872" t="str">
            <v>M2</v>
          </cell>
          <cell r="B2872" t="str">
            <v>A5C</v>
          </cell>
          <cell r="C2872" t="str">
            <v>TRIM</v>
          </cell>
          <cell r="D2872" t="str">
            <v>C-2301</v>
          </cell>
          <cell r="E2872" t="str">
            <v>C SWG</v>
          </cell>
          <cell r="F2872">
            <v>2</v>
          </cell>
          <cell r="G2872" t="str">
            <v>CB16110808010T</v>
          </cell>
          <cell r="H2872">
            <v>1</v>
          </cell>
          <cell r="I2872">
            <v>0.75</v>
          </cell>
          <cell r="J2872">
            <v>1</v>
          </cell>
          <cell r="K2872">
            <v>1</v>
          </cell>
        </row>
        <row r="2873">
          <cell r="A2873" t="str">
            <v>M2</v>
          </cell>
          <cell r="B2873" t="str">
            <v>A5C</v>
          </cell>
          <cell r="C2873" t="str">
            <v>TRIM</v>
          </cell>
          <cell r="D2873" t="str">
            <v>R-2401</v>
          </cell>
          <cell r="E2873" t="str">
            <v>C SWG</v>
          </cell>
          <cell r="F2873">
            <v>2</v>
          </cell>
          <cell r="G2873" t="str">
            <v>CB16110808010T</v>
          </cell>
          <cell r="H2873">
            <v>1</v>
          </cell>
          <cell r="I2873">
            <v>0.75</v>
          </cell>
          <cell r="J2873">
            <v>1</v>
          </cell>
          <cell r="K2873">
            <v>1</v>
          </cell>
        </row>
        <row r="2874">
          <cell r="A2874" t="str">
            <v>M2</v>
          </cell>
          <cell r="B2874" t="str">
            <v>A5C</v>
          </cell>
          <cell r="C2874" t="str">
            <v>P</v>
          </cell>
          <cell r="D2874" t="str">
            <v>23154</v>
          </cell>
          <cell r="E2874" t="str">
            <v>CPLG</v>
          </cell>
          <cell r="F2874">
            <v>2</v>
          </cell>
          <cell r="G2874" t="str">
            <v>CB400500000100</v>
          </cell>
          <cell r="H2874">
            <v>1</v>
          </cell>
          <cell r="I2874" t="str">
            <v>--</v>
          </cell>
          <cell r="J2874">
            <v>1</v>
          </cell>
          <cell r="K2874">
            <v>1</v>
          </cell>
        </row>
        <row r="2875">
          <cell r="A2875" t="str">
            <v>M2</v>
          </cell>
          <cell r="B2875" t="str">
            <v>A5C</v>
          </cell>
          <cell r="C2875" t="str">
            <v>P</v>
          </cell>
          <cell r="D2875" t="str">
            <v>24001</v>
          </cell>
          <cell r="E2875" t="str">
            <v>CPLG</v>
          </cell>
          <cell r="F2875">
            <v>2</v>
          </cell>
          <cell r="G2875" t="str">
            <v>CB400500000100</v>
          </cell>
          <cell r="H2875">
            <v>1</v>
          </cell>
          <cell r="I2875" t="str">
            <v>--</v>
          </cell>
          <cell r="J2875">
            <v>2</v>
          </cell>
          <cell r="K2875">
            <v>2</v>
          </cell>
        </row>
        <row r="2876">
          <cell r="A2876" t="str">
            <v>M2</v>
          </cell>
          <cell r="B2876" t="str">
            <v>A5C</v>
          </cell>
          <cell r="C2876" t="str">
            <v>P</v>
          </cell>
          <cell r="D2876" t="str">
            <v>23013</v>
          </cell>
          <cell r="E2876" t="str">
            <v>CPLG</v>
          </cell>
          <cell r="F2876">
            <v>2</v>
          </cell>
          <cell r="G2876" t="str">
            <v>CB400500000100</v>
          </cell>
          <cell r="H2876">
            <v>1</v>
          </cell>
          <cell r="I2876" t="str">
            <v>--</v>
          </cell>
          <cell r="J2876">
            <v>3</v>
          </cell>
          <cell r="K2876">
            <v>3</v>
          </cell>
        </row>
        <row r="2877">
          <cell r="A2877" t="str">
            <v>M2</v>
          </cell>
          <cell r="B2877" t="str">
            <v>A5C</v>
          </cell>
          <cell r="C2877" t="str">
            <v>P</v>
          </cell>
          <cell r="D2877" t="str">
            <v>99004</v>
          </cell>
          <cell r="E2877" t="str">
            <v>E SWG</v>
          </cell>
          <cell r="F2877">
            <v>2</v>
          </cell>
          <cell r="G2877" t="str">
            <v>CB16210808010T</v>
          </cell>
          <cell r="H2877">
            <v>1</v>
          </cell>
          <cell r="I2877">
            <v>0.75</v>
          </cell>
          <cell r="J2877">
            <v>1</v>
          </cell>
          <cell r="K2877">
            <v>1</v>
          </cell>
        </row>
        <row r="2878">
          <cell r="A2878" t="str">
            <v>M2</v>
          </cell>
          <cell r="B2878" t="str">
            <v>A5C</v>
          </cell>
          <cell r="C2878" t="str">
            <v>P</v>
          </cell>
          <cell r="D2878" t="str">
            <v>23013</v>
          </cell>
          <cell r="E2878" t="str">
            <v>R TEE</v>
          </cell>
          <cell r="F2878">
            <v>2</v>
          </cell>
          <cell r="G2878" t="str">
            <v>CB40040000010T</v>
          </cell>
          <cell r="H2878">
            <v>1</v>
          </cell>
          <cell r="I2878">
            <v>0.75</v>
          </cell>
          <cell r="J2878">
            <v>4</v>
          </cell>
          <cell r="K2878">
            <v>4</v>
          </cell>
        </row>
        <row r="2879">
          <cell r="A2879" t="str">
            <v>M2</v>
          </cell>
          <cell r="B2879" t="str">
            <v>A5C</v>
          </cell>
          <cell r="C2879" t="str">
            <v>P</v>
          </cell>
          <cell r="D2879" t="str">
            <v>24004</v>
          </cell>
          <cell r="E2879" t="str">
            <v>R TEE</v>
          </cell>
          <cell r="F2879">
            <v>2</v>
          </cell>
          <cell r="G2879" t="str">
            <v>CB40040000010T</v>
          </cell>
          <cell r="H2879">
            <v>1</v>
          </cell>
          <cell r="I2879">
            <v>0.75</v>
          </cell>
          <cell r="J2879">
            <v>5</v>
          </cell>
          <cell r="K2879">
            <v>5</v>
          </cell>
        </row>
        <row r="2880">
          <cell r="A2880" t="str">
            <v>M2</v>
          </cell>
          <cell r="B2880" t="str">
            <v>A5C</v>
          </cell>
          <cell r="C2880" t="str">
            <v>P</v>
          </cell>
          <cell r="D2880" t="str">
            <v>24025</v>
          </cell>
          <cell r="E2880" t="str">
            <v>R TEE</v>
          </cell>
          <cell r="F2880">
            <v>2</v>
          </cell>
          <cell r="G2880" t="str">
            <v>CB40040000010T</v>
          </cell>
          <cell r="H2880">
            <v>1</v>
          </cell>
          <cell r="I2880">
            <v>0.75</v>
          </cell>
          <cell r="J2880">
            <v>2</v>
          </cell>
          <cell r="K2880">
            <v>2</v>
          </cell>
        </row>
        <row r="2881">
          <cell r="A2881" t="str">
            <v>M2</v>
          </cell>
          <cell r="B2881" t="str">
            <v>A5C</v>
          </cell>
          <cell r="C2881" t="str">
            <v>P</v>
          </cell>
          <cell r="D2881" t="str">
            <v>24026</v>
          </cell>
          <cell r="E2881" t="str">
            <v>R TEE</v>
          </cell>
          <cell r="F2881">
            <v>2</v>
          </cell>
          <cell r="G2881" t="str">
            <v>CB40040000010T</v>
          </cell>
          <cell r="H2881">
            <v>1</v>
          </cell>
          <cell r="I2881">
            <v>0.75</v>
          </cell>
          <cell r="J2881">
            <v>2</v>
          </cell>
          <cell r="K2881">
            <v>2</v>
          </cell>
        </row>
        <row r="2882">
          <cell r="A2882" t="str">
            <v>M2</v>
          </cell>
          <cell r="B2882" t="str">
            <v>A5C</v>
          </cell>
          <cell r="C2882" t="str">
            <v>P</v>
          </cell>
          <cell r="D2882" t="str">
            <v>24002</v>
          </cell>
          <cell r="E2882" t="str">
            <v>R TEE</v>
          </cell>
          <cell r="F2882">
            <v>2</v>
          </cell>
          <cell r="G2882" t="str">
            <v>CB40040000010T</v>
          </cell>
          <cell r="H2882">
            <v>1</v>
          </cell>
          <cell r="I2882">
            <v>0.75</v>
          </cell>
          <cell r="J2882">
            <v>2</v>
          </cell>
          <cell r="K2882">
            <v>2</v>
          </cell>
        </row>
        <row r="2883">
          <cell r="A2883" t="str">
            <v>M2</v>
          </cell>
          <cell r="B2883" t="str">
            <v>A5C</v>
          </cell>
          <cell r="C2883" t="str">
            <v>P</v>
          </cell>
          <cell r="D2883" t="str">
            <v>23013</v>
          </cell>
          <cell r="E2883" t="str">
            <v>TEE</v>
          </cell>
          <cell r="F2883">
            <v>2</v>
          </cell>
          <cell r="G2883" t="str">
            <v>CB400300000100</v>
          </cell>
          <cell r="H2883">
            <v>1</v>
          </cell>
          <cell r="I2883" t="str">
            <v>--</v>
          </cell>
          <cell r="J2883">
            <v>2</v>
          </cell>
          <cell r="K2883">
            <v>2</v>
          </cell>
        </row>
        <row r="2884">
          <cell r="A2884" t="str">
            <v>M2</v>
          </cell>
          <cell r="B2884" t="str">
            <v>A5C</v>
          </cell>
          <cell r="C2884" t="str">
            <v>P</v>
          </cell>
          <cell r="D2884" t="str">
            <v>24002</v>
          </cell>
          <cell r="E2884" t="str">
            <v>TEE</v>
          </cell>
          <cell r="F2884">
            <v>2</v>
          </cell>
          <cell r="G2884" t="str">
            <v>CB400300000100</v>
          </cell>
          <cell r="H2884">
            <v>1</v>
          </cell>
          <cell r="I2884" t="str">
            <v>--</v>
          </cell>
          <cell r="J2884">
            <v>3</v>
          </cell>
          <cell r="K2884">
            <v>3</v>
          </cell>
        </row>
        <row r="2885">
          <cell r="A2885" t="str">
            <v>M2</v>
          </cell>
          <cell r="B2885" t="str">
            <v>A5C</v>
          </cell>
          <cell r="C2885" t="str">
            <v>P</v>
          </cell>
          <cell r="D2885" t="str">
            <v>24004</v>
          </cell>
          <cell r="E2885" t="str">
            <v>TEE</v>
          </cell>
          <cell r="F2885">
            <v>2</v>
          </cell>
          <cell r="G2885" t="str">
            <v>CB400300000100</v>
          </cell>
          <cell r="H2885">
            <v>1</v>
          </cell>
          <cell r="I2885" t="str">
            <v>--</v>
          </cell>
          <cell r="J2885">
            <v>4</v>
          </cell>
          <cell r="K2885">
            <v>4</v>
          </cell>
        </row>
        <row r="2886">
          <cell r="A2886" t="str">
            <v>M2</v>
          </cell>
          <cell r="B2886" t="str">
            <v>A5C</v>
          </cell>
          <cell r="C2886" t="str">
            <v>P</v>
          </cell>
          <cell r="D2886" t="str">
            <v>24025</v>
          </cell>
          <cell r="E2886" t="str">
            <v>TEE</v>
          </cell>
          <cell r="F2886">
            <v>2</v>
          </cell>
          <cell r="G2886" t="str">
            <v>CB400300000100</v>
          </cell>
          <cell r="H2886">
            <v>1</v>
          </cell>
          <cell r="I2886" t="str">
            <v>--</v>
          </cell>
          <cell r="J2886">
            <v>1</v>
          </cell>
          <cell r="K2886">
            <v>1</v>
          </cell>
        </row>
        <row r="2887">
          <cell r="A2887" t="str">
            <v>M2</v>
          </cell>
          <cell r="B2887" t="str">
            <v>A5C</v>
          </cell>
          <cell r="C2887" t="str">
            <v>P</v>
          </cell>
          <cell r="D2887" t="str">
            <v>24026</v>
          </cell>
          <cell r="E2887" t="str">
            <v>TEE</v>
          </cell>
          <cell r="F2887">
            <v>2</v>
          </cell>
          <cell r="G2887" t="str">
            <v>CB400300000100</v>
          </cell>
          <cell r="H2887">
            <v>1</v>
          </cell>
          <cell r="I2887" t="str">
            <v>--</v>
          </cell>
          <cell r="J2887">
            <v>2</v>
          </cell>
          <cell r="K2887">
            <v>2</v>
          </cell>
        </row>
        <row r="2888">
          <cell r="A2888" t="str">
            <v>M2</v>
          </cell>
          <cell r="B2888" t="str">
            <v>A5C</v>
          </cell>
          <cell r="C2888" t="str">
            <v>P</v>
          </cell>
          <cell r="D2888" t="str">
            <v>23147</v>
          </cell>
          <cell r="E2888" t="str">
            <v>45 ELL</v>
          </cell>
          <cell r="F2888">
            <v>2</v>
          </cell>
          <cell r="G2888" t="str">
            <v>CB400200001H00</v>
          </cell>
          <cell r="H2888">
            <v>1.5</v>
          </cell>
          <cell r="I2888" t="str">
            <v>--</v>
          </cell>
          <cell r="J2888">
            <v>1</v>
          </cell>
          <cell r="K2888">
            <v>1</v>
          </cell>
        </row>
        <row r="2889">
          <cell r="A2889" t="str">
            <v>M2</v>
          </cell>
          <cell r="B2889" t="str">
            <v>A5C</v>
          </cell>
          <cell r="C2889" t="str">
            <v>P</v>
          </cell>
          <cell r="D2889" t="str">
            <v>23215</v>
          </cell>
          <cell r="E2889" t="str">
            <v>90 ELL</v>
          </cell>
          <cell r="F2889">
            <v>2</v>
          </cell>
          <cell r="G2889" t="str">
            <v>CB400100001H00</v>
          </cell>
          <cell r="H2889">
            <v>1.5</v>
          </cell>
          <cell r="I2889" t="str">
            <v>--</v>
          </cell>
          <cell r="J2889">
            <v>3</v>
          </cell>
          <cell r="K2889">
            <v>3</v>
          </cell>
        </row>
        <row r="2890">
          <cell r="A2890" t="str">
            <v>M2</v>
          </cell>
          <cell r="B2890" t="str">
            <v>A5C</v>
          </cell>
          <cell r="C2890" t="str">
            <v>P</v>
          </cell>
          <cell r="D2890" t="str">
            <v>23253</v>
          </cell>
          <cell r="E2890" t="str">
            <v>90 ELL</v>
          </cell>
          <cell r="F2890">
            <v>2</v>
          </cell>
          <cell r="G2890" t="str">
            <v>CB400100001H00</v>
          </cell>
          <cell r="H2890">
            <v>1.5</v>
          </cell>
          <cell r="I2890" t="str">
            <v>--</v>
          </cell>
          <cell r="J2890">
            <v>2</v>
          </cell>
          <cell r="K2890">
            <v>2</v>
          </cell>
        </row>
        <row r="2891">
          <cell r="A2891" t="str">
            <v>M2</v>
          </cell>
          <cell r="B2891" t="str">
            <v>A5C</v>
          </cell>
          <cell r="C2891" t="str">
            <v>P</v>
          </cell>
          <cell r="D2891" t="str">
            <v>23006</v>
          </cell>
          <cell r="E2891" t="str">
            <v>90 ELL</v>
          </cell>
          <cell r="F2891">
            <v>2</v>
          </cell>
          <cell r="G2891" t="str">
            <v>CB400100001H00</v>
          </cell>
          <cell r="H2891">
            <v>1.5</v>
          </cell>
          <cell r="I2891" t="str">
            <v>--</v>
          </cell>
          <cell r="J2891">
            <v>6</v>
          </cell>
          <cell r="K2891">
            <v>6</v>
          </cell>
        </row>
        <row r="2892">
          <cell r="A2892" t="str">
            <v>M2</v>
          </cell>
          <cell r="B2892" t="str">
            <v>A5C</v>
          </cell>
          <cell r="C2892" t="str">
            <v>P</v>
          </cell>
          <cell r="D2892" t="str">
            <v>23007</v>
          </cell>
          <cell r="E2892" t="str">
            <v>90 ELL</v>
          </cell>
          <cell r="F2892">
            <v>2</v>
          </cell>
          <cell r="G2892" t="str">
            <v>CB400100001H00</v>
          </cell>
          <cell r="H2892">
            <v>1.5</v>
          </cell>
          <cell r="I2892" t="str">
            <v>--</v>
          </cell>
          <cell r="J2892">
            <v>5</v>
          </cell>
          <cell r="K2892">
            <v>5</v>
          </cell>
        </row>
        <row r="2893">
          <cell r="A2893" t="str">
            <v>M2</v>
          </cell>
          <cell r="B2893" t="str">
            <v>A5C</v>
          </cell>
          <cell r="C2893" t="str">
            <v>P</v>
          </cell>
          <cell r="D2893" t="str">
            <v>23035</v>
          </cell>
          <cell r="E2893" t="str">
            <v>90 ELL</v>
          </cell>
          <cell r="F2893">
            <v>2</v>
          </cell>
          <cell r="G2893" t="str">
            <v>CB400100001H00</v>
          </cell>
          <cell r="H2893">
            <v>1.5</v>
          </cell>
          <cell r="I2893" t="str">
            <v>--</v>
          </cell>
          <cell r="J2893">
            <v>4</v>
          </cell>
          <cell r="K2893">
            <v>4</v>
          </cell>
        </row>
        <row r="2894">
          <cell r="A2894" t="str">
            <v>M2</v>
          </cell>
          <cell r="B2894" t="str">
            <v>A5C</v>
          </cell>
          <cell r="C2894" t="str">
            <v>P</v>
          </cell>
          <cell r="D2894" t="str">
            <v>23037</v>
          </cell>
          <cell r="E2894" t="str">
            <v>90 ELL</v>
          </cell>
          <cell r="F2894">
            <v>2</v>
          </cell>
          <cell r="G2894" t="str">
            <v>CB400100001H00</v>
          </cell>
          <cell r="H2894">
            <v>1.5</v>
          </cell>
          <cell r="I2894" t="str">
            <v>--</v>
          </cell>
          <cell r="J2894">
            <v>4</v>
          </cell>
          <cell r="K2894">
            <v>4</v>
          </cell>
        </row>
        <row r="2895">
          <cell r="A2895" t="str">
            <v>M2</v>
          </cell>
          <cell r="B2895" t="str">
            <v>A5C</v>
          </cell>
          <cell r="C2895" t="str">
            <v>P</v>
          </cell>
          <cell r="D2895" t="str">
            <v>23038</v>
          </cell>
          <cell r="E2895" t="str">
            <v>90 ELL</v>
          </cell>
          <cell r="F2895">
            <v>2</v>
          </cell>
          <cell r="G2895" t="str">
            <v>CB400100001H00</v>
          </cell>
          <cell r="H2895">
            <v>1.5</v>
          </cell>
          <cell r="I2895" t="str">
            <v>--</v>
          </cell>
          <cell r="J2895">
            <v>2</v>
          </cell>
          <cell r="K2895">
            <v>2</v>
          </cell>
        </row>
        <row r="2896">
          <cell r="A2896" t="str">
            <v>M2</v>
          </cell>
          <cell r="B2896" t="str">
            <v>A5C</v>
          </cell>
          <cell r="C2896" t="str">
            <v>P</v>
          </cell>
          <cell r="D2896" t="str">
            <v>23052</v>
          </cell>
          <cell r="E2896" t="str">
            <v>90 ELL</v>
          </cell>
          <cell r="F2896">
            <v>2</v>
          </cell>
          <cell r="G2896" t="str">
            <v>CB400100001H00</v>
          </cell>
          <cell r="H2896">
            <v>1.5</v>
          </cell>
          <cell r="I2896" t="str">
            <v>--</v>
          </cell>
          <cell r="J2896">
            <v>4</v>
          </cell>
          <cell r="K2896">
            <v>4</v>
          </cell>
        </row>
        <row r="2897">
          <cell r="A2897" t="str">
            <v>M2</v>
          </cell>
          <cell r="B2897" t="str">
            <v>A5C</v>
          </cell>
          <cell r="C2897" t="str">
            <v>P</v>
          </cell>
          <cell r="D2897" t="str">
            <v>23063</v>
          </cell>
          <cell r="E2897" t="str">
            <v>90 ELL</v>
          </cell>
          <cell r="F2897">
            <v>2</v>
          </cell>
          <cell r="G2897" t="str">
            <v>CB400100001H00</v>
          </cell>
          <cell r="H2897">
            <v>1.5</v>
          </cell>
          <cell r="I2897" t="str">
            <v>--</v>
          </cell>
          <cell r="J2897">
            <v>4</v>
          </cell>
          <cell r="K2897">
            <v>4</v>
          </cell>
        </row>
        <row r="2898">
          <cell r="A2898" t="str">
            <v>M2</v>
          </cell>
          <cell r="B2898" t="str">
            <v>A5C</v>
          </cell>
          <cell r="C2898" t="str">
            <v>P</v>
          </cell>
          <cell r="D2898" t="str">
            <v>23070</v>
          </cell>
          <cell r="E2898" t="str">
            <v>90 ELL</v>
          </cell>
          <cell r="F2898">
            <v>2</v>
          </cell>
          <cell r="G2898" t="str">
            <v>CB400100001H00</v>
          </cell>
          <cell r="H2898">
            <v>1.5</v>
          </cell>
          <cell r="I2898" t="str">
            <v>--</v>
          </cell>
          <cell r="J2898">
            <v>6</v>
          </cell>
          <cell r="K2898">
            <v>6</v>
          </cell>
        </row>
        <row r="2899">
          <cell r="A2899" t="str">
            <v>M2</v>
          </cell>
          <cell r="B2899" t="str">
            <v>A5C</v>
          </cell>
          <cell r="C2899" t="str">
            <v>P</v>
          </cell>
          <cell r="D2899" t="str">
            <v>23072</v>
          </cell>
          <cell r="E2899" t="str">
            <v>90 ELL</v>
          </cell>
          <cell r="F2899">
            <v>2</v>
          </cell>
          <cell r="G2899" t="str">
            <v>CB400100001H00</v>
          </cell>
          <cell r="H2899">
            <v>1.5</v>
          </cell>
          <cell r="I2899" t="str">
            <v>--</v>
          </cell>
          <cell r="J2899">
            <v>1</v>
          </cell>
          <cell r="K2899">
            <v>1</v>
          </cell>
        </row>
        <row r="2900">
          <cell r="A2900" t="str">
            <v>M2</v>
          </cell>
          <cell r="B2900" t="str">
            <v>A5C</v>
          </cell>
          <cell r="C2900" t="str">
            <v>P</v>
          </cell>
          <cell r="D2900" t="str">
            <v>23078</v>
          </cell>
          <cell r="E2900" t="str">
            <v>90 ELL</v>
          </cell>
          <cell r="F2900">
            <v>2</v>
          </cell>
          <cell r="G2900" t="str">
            <v>CB400100001H00</v>
          </cell>
          <cell r="H2900">
            <v>1.5</v>
          </cell>
          <cell r="I2900" t="str">
            <v>--</v>
          </cell>
          <cell r="J2900">
            <v>4</v>
          </cell>
          <cell r="K2900">
            <v>4</v>
          </cell>
        </row>
        <row r="2901">
          <cell r="A2901" t="str">
            <v>M2</v>
          </cell>
          <cell r="B2901" t="str">
            <v>A5C</v>
          </cell>
          <cell r="C2901" t="str">
            <v>P</v>
          </cell>
          <cell r="D2901" t="str">
            <v>23103</v>
          </cell>
          <cell r="E2901" t="str">
            <v>90 ELL</v>
          </cell>
          <cell r="F2901">
            <v>2</v>
          </cell>
          <cell r="G2901" t="str">
            <v>CB400100001H00</v>
          </cell>
          <cell r="H2901">
            <v>1.5</v>
          </cell>
          <cell r="I2901" t="str">
            <v>--</v>
          </cell>
          <cell r="J2901">
            <v>6</v>
          </cell>
          <cell r="K2901">
            <v>6</v>
          </cell>
        </row>
        <row r="2902">
          <cell r="A2902" t="str">
            <v>M2</v>
          </cell>
          <cell r="B2902" t="str">
            <v>A5C</v>
          </cell>
          <cell r="C2902" t="str">
            <v>P</v>
          </cell>
          <cell r="D2902" t="str">
            <v>23107</v>
          </cell>
          <cell r="E2902" t="str">
            <v>90 ELL</v>
          </cell>
          <cell r="F2902">
            <v>2</v>
          </cell>
          <cell r="G2902" t="str">
            <v>CB400100001H00</v>
          </cell>
          <cell r="H2902">
            <v>1.5</v>
          </cell>
          <cell r="I2902" t="str">
            <v>--</v>
          </cell>
          <cell r="J2902">
            <v>6</v>
          </cell>
          <cell r="K2902">
            <v>6</v>
          </cell>
        </row>
        <row r="2903">
          <cell r="A2903" t="str">
            <v>M2</v>
          </cell>
          <cell r="B2903" t="str">
            <v>A5C</v>
          </cell>
          <cell r="C2903" t="str">
            <v>P</v>
          </cell>
          <cell r="D2903" t="str">
            <v>23111</v>
          </cell>
          <cell r="E2903" t="str">
            <v>90 ELL</v>
          </cell>
          <cell r="F2903">
            <v>2</v>
          </cell>
          <cell r="G2903" t="str">
            <v>CB400100001H00</v>
          </cell>
          <cell r="H2903">
            <v>1.5</v>
          </cell>
          <cell r="I2903" t="str">
            <v>--</v>
          </cell>
          <cell r="J2903">
            <v>6</v>
          </cell>
          <cell r="K2903">
            <v>6</v>
          </cell>
        </row>
        <row r="2904">
          <cell r="A2904" t="str">
            <v>M2</v>
          </cell>
          <cell r="B2904" t="str">
            <v>A5C</v>
          </cell>
          <cell r="C2904" t="str">
            <v>P</v>
          </cell>
          <cell r="D2904" t="str">
            <v>23116</v>
          </cell>
          <cell r="E2904" t="str">
            <v>90 ELL</v>
          </cell>
          <cell r="F2904">
            <v>2</v>
          </cell>
          <cell r="G2904" t="str">
            <v>CB400100001H00</v>
          </cell>
          <cell r="H2904">
            <v>1.5</v>
          </cell>
          <cell r="I2904" t="str">
            <v>--</v>
          </cell>
          <cell r="J2904">
            <v>4</v>
          </cell>
          <cell r="K2904">
            <v>4</v>
          </cell>
        </row>
        <row r="2905">
          <cell r="A2905" t="str">
            <v>M2</v>
          </cell>
          <cell r="B2905" t="str">
            <v>A5C</v>
          </cell>
          <cell r="C2905" t="str">
            <v>P</v>
          </cell>
          <cell r="D2905" t="str">
            <v>23117</v>
          </cell>
          <cell r="E2905" t="str">
            <v>90 ELL</v>
          </cell>
          <cell r="F2905">
            <v>2</v>
          </cell>
          <cell r="G2905" t="str">
            <v>CB400100001H00</v>
          </cell>
          <cell r="H2905">
            <v>1.5</v>
          </cell>
          <cell r="I2905" t="str">
            <v>--</v>
          </cell>
          <cell r="J2905">
            <v>2</v>
          </cell>
          <cell r="K2905">
            <v>2</v>
          </cell>
        </row>
        <row r="2906">
          <cell r="A2906" t="str">
            <v>M2</v>
          </cell>
          <cell r="B2906" t="str">
            <v>A5C</v>
          </cell>
          <cell r="C2906" t="str">
            <v>P</v>
          </cell>
          <cell r="D2906" t="str">
            <v>23116</v>
          </cell>
          <cell r="E2906" t="str">
            <v>90 ELL</v>
          </cell>
          <cell r="F2906">
            <v>2</v>
          </cell>
          <cell r="G2906" t="str">
            <v>CB400100001H00</v>
          </cell>
          <cell r="H2906">
            <v>1.5</v>
          </cell>
          <cell r="I2906" t="str">
            <v>--</v>
          </cell>
          <cell r="J2906">
            <v>4</v>
          </cell>
          <cell r="K2906">
            <v>4</v>
          </cell>
        </row>
        <row r="2907">
          <cell r="A2907" t="str">
            <v>M2</v>
          </cell>
          <cell r="B2907" t="str">
            <v>A5C</v>
          </cell>
          <cell r="C2907" t="str">
            <v>P</v>
          </cell>
          <cell r="D2907" t="str">
            <v>23143</v>
          </cell>
          <cell r="E2907" t="str">
            <v>90 ELL</v>
          </cell>
          <cell r="F2907">
            <v>2</v>
          </cell>
          <cell r="G2907" t="str">
            <v>CB400100001H00</v>
          </cell>
          <cell r="H2907">
            <v>1.5</v>
          </cell>
          <cell r="I2907" t="str">
            <v>--</v>
          </cell>
          <cell r="J2907">
            <v>4</v>
          </cell>
          <cell r="K2907">
            <v>4</v>
          </cell>
        </row>
        <row r="2908">
          <cell r="A2908" t="str">
            <v>M2</v>
          </cell>
          <cell r="B2908" t="str">
            <v>A5C</v>
          </cell>
          <cell r="C2908" t="str">
            <v>P</v>
          </cell>
          <cell r="D2908" t="str">
            <v>23147</v>
          </cell>
          <cell r="E2908" t="str">
            <v>90 ELL</v>
          </cell>
          <cell r="F2908">
            <v>2</v>
          </cell>
          <cell r="G2908" t="str">
            <v>CB400100001H00</v>
          </cell>
          <cell r="H2908">
            <v>1.5</v>
          </cell>
          <cell r="I2908" t="str">
            <v>--</v>
          </cell>
          <cell r="J2908">
            <v>1</v>
          </cell>
          <cell r="K2908">
            <v>1</v>
          </cell>
        </row>
        <row r="2909">
          <cell r="A2909" t="str">
            <v>M2</v>
          </cell>
          <cell r="B2909" t="str">
            <v>A5C</v>
          </cell>
          <cell r="C2909" t="str">
            <v>P</v>
          </cell>
          <cell r="D2909" t="str">
            <v>23157</v>
          </cell>
          <cell r="E2909" t="str">
            <v>90 ELL</v>
          </cell>
          <cell r="F2909">
            <v>2</v>
          </cell>
          <cell r="G2909" t="str">
            <v>CB400100001H00</v>
          </cell>
          <cell r="H2909">
            <v>1.5</v>
          </cell>
          <cell r="I2909" t="str">
            <v>--</v>
          </cell>
          <cell r="J2909">
            <v>2</v>
          </cell>
          <cell r="K2909">
            <v>2</v>
          </cell>
        </row>
        <row r="2910">
          <cell r="A2910" t="str">
            <v>M2</v>
          </cell>
          <cell r="B2910" t="str">
            <v>A5C</v>
          </cell>
          <cell r="C2910" t="str">
            <v>P</v>
          </cell>
          <cell r="D2910" t="str">
            <v>23185</v>
          </cell>
          <cell r="E2910" t="str">
            <v>90 ELL</v>
          </cell>
          <cell r="F2910">
            <v>2</v>
          </cell>
          <cell r="G2910" t="str">
            <v>CB400100001H00</v>
          </cell>
          <cell r="H2910">
            <v>1.5</v>
          </cell>
          <cell r="I2910" t="str">
            <v>--</v>
          </cell>
          <cell r="J2910">
            <v>2</v>
          </cell>
          <cell r="K2910">
            <v>2</v>
          </cell>
        </row>
        <row r="2911">
          <cell r="A2911" t="str">
            <v>M2</v>
          </cell>
          <cell r="B2911" t="str">
            <v>A5C</v>
          </cell>
          <cell r="C2911" t="str">
            <v>P</v>
          </cell>
          <cell r="D2911" t="str">
            <v>23192</v>
          </cell>
          <cell r="E2911" t="str">
            <v>90 ELL</v>
          </cell>
          <cell r="F2911">
            <v>2</v>
          </cell>
          <cell r="G2911" t="str">
            <v>CB400100001H00</v>
          </cell>
          <cell r="H2911">
            <v>1.5</v>
          </cell>
          <cell r="I2911" t="str">
            <v>--</v>
          </cell>
          <cell r="J2911">
            <v>2</v>
          </cell>
          <cell r="K2911">
            <v>2</v>
          </cell>
        </row>
        <row r="2912">
          <cell r="A2912" t="str">
            <v>M2</v>
          </cell>
          <cell r="B2912" t="str">
            <v>A5C</v>
          </cell>
          <cell r="C2912" t="str">
            <v>P</v>
          </cell>
          <cell r="D2912" t="str">
            <v>23196</v>
          </cell>
          <cell r="E2912" t="str">
            <v>90 ELL</v>
          </cell>
          <cell r="F2912">
            <v>2</v>
          </cell>
          <cell r="G2912" t="str">
            <v>CB400100001H00</v>
          </cell>
          <cell r="H2912">
            <v>1.5</v>
          </cell>
          <cell r="I2912" t="str">
            <v>--</v>
          </cell>
          <cell r="J2912">
            <v>2</v>
          </cell>
          <cell r="K2912">
            <v>2</v>
          </cell>
        </row>
        <row r="2913">
          <cell r="A2913" t="str">
            <v>M2</v>
          </cell>
          <cell r="B2913" t="str">
            <v>A5C</v>
          </cell>
          <cell r="C2913" t="str">
            <v>P</v>
          </cell>
          <cell r="D2913" t="str">
            <v>23226</v>
          </cell>
          <cell r="E2913" t="str">
            <v>90 ELL</v>
          </cell>
          <cell r="F2913">
            <v>2</v>
          </cell>
          <cell r="G2913" t="str">
            <v>CB400100001H00</v>
          </cell>
          <cell r="H2913">
            <v>1.5</v>
          </cell>
          <cell r="I2913" t="str">
            <v>--</v>
          </cell>
          <cell r="J2913">
            <v>10</v>
          </cell>
          <cell r="K2913">
            <v>10</v>
          </cell>
        </row>
        <row r="2914">
          <cell r="A2914" t="str">
            <v>M2</v>
          </cell>
          <cell r="B2914" t="str">
            <v>A5C</v>
          </cell>
          <cell r="C2914" t="str">
            <v>P</v>
          </cell>
          <cell r="D2914" t="str">
            <v>23248</v>
          </cell>
          <cell r="E2914" t="str">
            <v>90 ELL</v>
          </cell>
          <cell r="F2914">
            <v>2</v>
          </cell>
          <cell r="G2914" t="str">
            <v>CB400100001H00</v>
          </cell>
          <cell r="H2914">
            <v>1.5</v>
          </cell>
          <cell r="I2914" t="str">
            <v>--</v>
          </cell>
          <cell r="J2914">
            <v>10</v>
          </cell>
          <cell r="K2914">
            <v>10</v>
          </cell>
        </row>
        <row r="2915">
          <cell r="A2915" t="str">
            <v>M2</v>
          </cell>
          <cell r="B2915" t="str">
            <v>A5C</v>
          </cell>
          <cell r="C2915" t="str">
            <v>P</v>
          </cell>
          <cell r="D2915" t="str">
            <v>23259</v>
          </cell>
          <cell r="E2915" t="str">
            <v>90 ELL</v>
          </cell>
          <cell r="F2915">
            <v>2</v>
          </cell>
          <cell r="G2915" t="str">
            <v>CB400100001H00</v>
          </cell>
          <cell r="H2915">
            <v>1.5</v>
          </cell>
          <cell r="I2915" t="str">
            <v>--</v>
          </cell>
          <cell r="J2915">
            <v>2</v>
          </cell>
          <cell r="K2915">
            <v>2</v>
          </cell>
        </row>
        <row r="2916">
          <cell r="A2916" t="str">
            <v>M2</v>
          </cell>
          <cell r="B2916" t="str">
            <v>A5C</v>
          </cell>
          <cell r="C2916" t="str">
            <v>P</v>
          </cell>
          <cell r="D2916" t="str">
            <v>24014</v>
          </cell>
          <cell r="E2916" t="str">
            <v>90 ELL</v>
          </cell>
          <cell r="F2916">
            <v>2</v>
          </cell>
          <cell r="G2916" t="str">
            <v>CB400100001H00</v>
          </cell>
          <cell r="H2916">
            <v>1.5</v>
          </cell>
          <cell r="I2916" t="str">
            <v>--</v>
          </cell>
          <cell r="J2916">
            <v>4</v>
          </cell>
          <cell r="K2916">
            <v>4</v>
          </cell>
        </row>
        <row r="2917">
          <cell r="A2917" t="str">
            <v>M2</v>
          </cell>
          <cell r="B2917" t="str">
            <v>A5C</v>
          </cell>
          <cell r="C2917" t="str">
            <v>P</v>
          </cell>
          <cell r="D2917" t="str">
            <v>99003</v>
          </cell>
          <cell r="E2917" t="str">
            <v>90 ELL</v>
          </cell>
          <cell r="F2917">
            <v>2</v>
          </cell>
          <cell r="G2917" t="str">
            <v>CB400100001H00</v>
          </cell>
          <cell r="H2917">
            <v>1.5</v>
          </cell>
          <cell r="I2917" t="str">
            <v>--</v>
          </cell>
          <cell r="J2917">
            <v>6</v>
          </cell>
          <cell r="K2917">
            <v>6</v>
          </cell>
        </row>
        <row r="2918">
          <cell r="A2918" t="str">
            <v>M2</v>
          </cell>
          <cell r="B2918" t="str">
            <v>A5C</v>
          </cell>
          <cell r="C2918" t="str">
            <v>P</v>
          </cell>
          <cell r="D2918" t="str">
            <v>99003</v>
          </cell>
          <cell r="E2918" t="str">
            <v>90 ELL</v>
          </cell>
          <cell r="F2918">
            <v>2</v>
          </cell>
          <cell r="G2918" t="str">
            <v>CB400100001H00</v>
          </cell>
          <cell r="H2918">
            <v>1.5</v>
          </cell>
          <cell r="I2918" t="str">
            <v>--</v>
          </cell>
          <cell r="J2918">
            <v>4</v>
          </cell>
          <cell r="K2918">
            <v>4</v>
          </cell>
        </row>
        <row r="2919">
          <cell r="A2919" t="str">
            <v>M2</v>
          </cell>
          <cell r="B2919" t="str">
            <v>A5C</v>
          </cell>
          <cell r="C2919" t="str">
            <v>P</v>
          </cell>
          <cell r="D2919" t="str">
            <v>22102</v>
          </cell>
          <cell r="E2919" t="str">
            <v>90 ELL</v>
          </cell>
          <cell r="F2919">
            <v>2</v>
          </cell>
          <cell r="G2919" t="str">
            <v>CB400100001H00</v>
          </cell>
          <cell r="H2919">
            <v>1.5</v>
          </cell>
          <cell r="I2919" t="str">
            <v>--</v>
          </cell>
          <cell r="J2919">
            <v>5</v>
          </cell>
          <cell r="K2919">
            <v>5</v>
          </cell>
        </row>
        <row r="2920">
          <cell r="A2920" t="str">
            <v>M2</v>
          </cell>
          <cell r="B2920" t="str">
            <v>A5C</v>
          </cell>
          <cell r="C2920" t="str">
            <v>P</v>
          </cell>
          <cell r="D2920" t="str">
            <v>23006</v>
          </cell>
          <cell r="E2920" t="str">
            <v>90 ELL</v>
          </cell>
          <cell r="F2920">
            <v>2</v>
          </cell>
          <cell r="G2920" t="str">
            <v>CB400100001H00</v>
          </cell>
          <cell r="H2920">
            <v>1.5</v>
          </cell>
          <cell r="I2920" t="str">
            <v>--</v>
          </cell>
          <cell r="J2920">
            <v>10</v>
          </cell>
          <cell r="K2920">
            <v>10</v>
          </cell>
        </row>
        <row r="2921">
          <cell r="A2921" t="str">
            <v>M2</v>
          </cell>
          <cell r="B2921" t="str">
            <v>A5C</v>
          </cell>
          <cell r="C2921" t="str">
            <v>P</v>
          </cell>
          <cell r="D2921" t="str">
            <v>23035</v>
          </cell>
          <cell r="E2921" t="str">
            <v>90 ELL</v>
          </cell>
          <cell r="F2921">
            <v>2</v>
          </cell>
          <cell r="G2921" t="str">
            <v>CB400100001H00</v>
          </cell>
          <cell r="H2921">
            <v>1.5</v>
          </cell>
          <cell r="I2921" t="str">
            <v>--</v>
          </cell>
          <cell r="J2921">
            <v>4</v>
          </cell>
          <cell r="K2921">
            <v>4</v>
          </cell>
        </row>
        <row r="2922">
          <cell r="A2922" t="str">
            <v>M2</v>
          </cell>
          <cell r="B2922" t="str">
            <v>A5C</v>
          </cell>
          <cell r="C2922" t="str">
            <v>P</v>
          </cell>
          <cell r="D2922" t="str">
            <v>23164</v>
          </cell>
          <cell r="E2922" t="str">
            <v>90 ELL</v>
          </cell>
          <cell r="F2922">
            <v>2</v>
          </cell>
          <cell r="G2922" t="str">
            <v>CB400100001H00</v>
          </cell>
          <cell r="H2922">
            <v>1.5</v>
          </cell>
          <cell r="I2922" t="str">
            <v>--</v>
          </cell>
          <cell r="J2922">
            <v>2</v>
          </cell>
          <cell r="K2922">
            <v>2</v>
          </cell>
        </row>
        <row r="2923">
          <cell r="A2923" t="str">
            <v>M2</v>
          </cell>
          <cell r="B2923" t="str">
            <v>A5C</v>
          </cell>
          <cell r="C2923" t="str">
            <v>P</v>
          </cell>
          <cell r="D2923" t="str">
            <v>23217</v>
          </cell>
          <cell r="E2923" t="str">
            <v>90 ELL</v>
          </cell>
          <cell r="F2923">
            <v>2</v>
          </cell>
          <cell r="G2923" t="str">
            <v>CB400100001H00</v>
          </cell>
          <cell r="H2923">
            <v>1.5</v>
          </cell>
          <cell r="I2923" t="str">
            <v>--</v>
          </cell>
          <cell r="J2923">
            <v>7</v>
          </cell>
          <cell r="K2923">
            <v>7</v>
          </cell>
        </row>
        <row r="2924">
          <cell r="A2924" t="str">
            <v>M2</v>
          </cell>
          <cell r="B2924" t="str">
            <v>A5C</v>
          </cell>
          <cell r="C2924" t="str">
            <v>P</v>
          </cell>
          <cell r="D2924" t="str">
            <v>23231</v>
          </cell>
          <cell r="E2924" t="str">
            <v>90 ELL</v>
          </cell>
          <cell r="F2924">
            <v>2</v>
          </cell>
          <cell r="G2924" t="str">
            <v>CB400100001H00</v>
          </cell>
          <cell r="H2924">
            <v>1.5</v>
          </cell>
          <cell r="I2924" t="str">
            <v>--</v>
          </cell>
          <cell r="J2924">
            <v>2</v>
          </cell>
          <cell r="K2924">
            <v>2</v>
          </cell>
        </row>
        <row r="2925">
          <cell r="A2925" t="str">
            <v>M2</v>
          </cell>
          <cell r="B2925" t="str">
            <v>A5C</v>
          </cell>
          <cell r="C2925" t="str">
            <v>P</v>
          </cell>
          <cell r="D2925" t="str">
            <v>23006</v>
          </cell>
          <cell r="E2925" t="str">
            <v>C SWG</v>
          </cell>
          <cell r="F2925">
            <v>2</v>
          </cell>
          <cell r="G2925" t="str">
            <v>CB161108081H01</v>
          </cell>
          <cell r="H2925">
            <v>1.5</v>
          </cell>
          <cell r="I2925">
            <v>1</v>
          </cell>
          <cell r="J2925">
            <v>2</v>
          </cell>
          <cell r="K2925">
            <v>2</v>
          </cell>
        </row>
        <row r="2926">
          <cell r="A2926" t="str">
            <v>M2</v>
          </cell>
          <cell r="B2926" t="str">
            <v>A5C</v>
          </cell>
          <cell r="C2926" t="str">
            <v>P</v>
          </cell>
          <cell r="D2926" t="str">
            <v>23038</v>
          </cell>
          <cell r="E2926" t="str">
            <v>C SWG</v>
          </cell>
          <cell r="F2926">
            <v>2</v>
          </cell>
          <cell r="G2926" t="str">
            <v>CB161108081H01</v>
          </cell>
          <cell r="H2926">
            <v>1.5</v>
          </cell>
          <cell r="I2926">
            <v>1</v>
          </cell>
          <cell r="J2926">
            <v>2</v>
          </cell>
          <cell r="K2926">
            <v>2</v>
          </cell>
        </row>
        <row r="2927">
          <cell r="A2927" t="str">
            <v>M2</v>
          </cell>
          <cell r="B2927" t="str">
            <v>A5C</v>
          </cell>
          <cell r="C2927" t="str">
            <v>P</v>
          </cell>
          <cell r="D2927" t="str">
            <v>23116</v>
          </cell>
          <cell r="E2927" t="str">
            <v>C SWG</v>
          </cell>
          <cell r="F2927">
            <v>2</v>
          </cell>
          <cell r="G2927" t="str">
            <v>CB161108081H01</v>
          </cell>
          <cell r="H2927">
            <v>1.5</v>
          </cell>
          <cell r="I2927">
            <v>1</v>
          </cell>
          <cell r="J2927">
            <v>2</v>
          </cell>
          <cell r="K2927">
            <v>2</v>
          </cell>
        </row>
        <row r="2928">
          <cell r="A2928" t="str">
            <v>M2</v>
          </cell>
          <cell r="B2928" t="str">
            <v>A5C</v>
          </cell>
          <cell r="C2928" t="str">
            <v>P</v>
          </cell>
          <cell r="D2928" t="str">
            <v>23116</v>
          </cell>
          <cell r="E2928" t="str">
            <v>C SWG</v>
          </cell>
          <cell r="F2928">
            <v>2</v>
          </cell>
          <cell r="G2928" t="str">
            <v>CB161108081H0T</v>
          </cell>
          <cell r="H2928">
            <v>1.5</v>
          </cell>
          <cell r="I2928">
            <v>0.75</v>
          </cell>
          <cell r="J2928">
            <v>4</v>
          </cell>
          <cell r="K2928">
            <v>4</v>
          </cell>
        </row>
        <row r="2929">
          <cell r="A2929" t="str">
            <v>M2</v>
          </cell>
          <cell r="B2929" t="str">
            <v>A5C</v>
          </cell>
          <cell r="C2929" t="str">
            <v>P</v>
          </cell>
          <cell r="D2929" t="str">
            <v>23117</v>
          </cell>
          <cell r="E2929" t="str">
            <v>C SWG</v>
          </cell>
          <cell r="F2929">
            <v>2</v>
          </cell>
          <cell r="G2929" t="str">
            <v>CB161108081H01</v>
          </cell>
          <cell r="H2929">
            <v>1.5</v>
          </cell>
          <cell r="I2929">
            <v>1</v>
          </cell>
          <cell r="J2929">
            <v>2</v>
          </cell>
          <cell r="K2929">
            <v>2</v>
          </cell>
        </row>
        <row r="2930">
          <cell r="A2930" t="str">
            <v>M2</v>
          </cell>
          <cell r="B2930" t="str">
            <v>A5C</v>
          </cell>
          <cell r="C2930" t="str">
            <v>P</v>
          </cell>
          <cell r="D2930" t="str">
            <v>23185</v>
          </cell>
          <cell r="E2930" t="str">
            <v>C SWG</v>
          </cell>
          <cell r="F2930">
            <v>2</v>
          </cell>
          <cell r="G2930" t="str">
            <v>CB161108081H01</v>
          </cell>
          <cell r="H2930">
            <v>1.5</v>
          </cell>
          <cell r="I2930">
            <v>1</v>
          </cell>
          <cell r="J2930">
            <v>2</v>
          </cell>
          <cell r="K2930">
            <v>2</v>
          </cell>
        </row>
        <row r="2931">
          <cell r="A2931" t="str">
            <v>M2</v>
          </cell>
          <cell r="B2931" t="str">
            <v>A5C</v>
          </cell>
          <cell r="C2931" t="str">
            <v>P</v>
          </cell>
          <cell r="D2931" t="str">
            <v>23196</v>
          </cell>
          <cell r="E2931" t="str">
            <v>C SWG</v>
          </cell>
          <cell r="F2931">
            <v>2</v>
          </cell>
          <cell r="G2931" t="str">
            <v>CB161108081H01</v>
          </cell>
          <cell r="H2931">
            <v>1.5</v>
          </cell>
          <cell r="I2931">
            <v>1</v>
          </cell>
          <cell r="J2931">
            <v>2</v>
          </cell>
          <cell r="K2931">
            <v>2</v>
          </cell>
        </row>
        <row r="2932">
          <cell r="A2932" t="str">
            <v>M2</v>
          </cell>
          <cell r="B2932" t="str">
            <v>A5C</v>
          </cell>
          <cell r="C2932" t="str">
            <v>P</v>
          </cell>
          <cell r="D2932" t="str">
            <v>23157</v>
          </cell>
          <cell r="E2932" t="str">
            <v>C SWG</v>
          </cell>
          <cell r="F2932">
            <v>2</v>
          </cell>
          <cell r="G2932" t="str">
            <v>CB161108081H01</v>
          </cell>
          <cell r="H2932">
            <v>1.5</v>
          </cell>
          <cell r="I2932">
            <v>1</v>
          </cell>
          <cell r="J2932">
            <v>2</v>
          </cell>
          <cell r="K2932">
            <v>2</v>
          </cell>
        </row>
        <row r="2933">
          <cell r="A2933" t="str">
            <v>M2</v>
          </cell>
          <cell r="B2933" t="str">
            <v>A5C</v>
          </cell>
          <cell r="C2933" t="str">
            <v>P</v>
          </cell>
          <cell r="D2933" t="str">
            <v>23006</v>
          </cell>
          <cell r="E2933" t="str">
            <v>CPLG</v>
          </cell>
          <cell r="F2933">
            <v>2</v>
          </cell>
          <cell r="G2933" t="str">
            <v>CB400500001H00</v>
          </cell>
          <cell r="H2933">
            <v>1.5</v>
          </cell>
          <cell r="I2933" t="str">
            <v>--</v>
          </cell>
          <cell r="J2933">
            <v>2</v>
          </cell>
          <cell r="K2933">
            <v>2</v>
          </cell>
        </row>
        <row r="2934">
          <cell r="A2934" t="str">
            <v>M2</v>
          </cell>
          <cell r="B2934" t="str">
            <v>A5C</v>
          </cell>
          <cell r="C2934" t="str">
            <v>P</v>
          </cell>
          <cell r="D2934" t="str">
            <v>23035</v>
          </cell>
          <cell r="E2934" t="str">
            <v>CPLG</v>
          </cell>
          <cell r="F2934">
            <v>2</v>
          </cell>
          <cell r="G2934" t="str">
            <v>CB400500001H00</v>
          </cell>
          <cell r="H2934">
            <v>1.5</v>
          </cell>
          <cell r="I2934" t="str">
            <v>--</v>
          </cell>
          <cell r="J2934">
            <v>3</v>
          </cell>
          <cell r="K2934">
            <v>3</v>
          </cell>
        </row>
        <row r="2935">
          <cell r="A2935" t="str">
            <v>M2</v>
          </cell>
          <cell r="B2935" t="str">
            <v>A5C</v>
          </cell>
          <cell r="C2935" t="str">
            <v>P</v>
          </cell>
          <cell r="D2935" t="str">
            <v>23116</v>
          </cell>
          <cell r="E2935" t="str">
            <v>CPLG</v>
          </cell>
          <cell r="F2935">
            <v>2</v>
          </cell>
          <cell r="G2935" t="str">
            <v>CB400500001H00</v>
          </cell>
          <cell r="H2935">
            <v>1.5</v>
          </cell>
          <cell r="I2935" t="str">
            <v>--</v>
          </cell>
          <cell r="J2935">
            <v>1</v>
          </cell>
          <cell r="K2935">
            <v>1</v>
          </cell>
        </row>
        <row r="2936">
          <cell r="A2936" t="str">
            <v>M2</v>
          </cell>
          <cell r="B2936" t="str">
            <v>A5C</v>
          </cell>
          <cell r="C2936" t="str">
            <v>P</v>
          </cell>
          <cell r="D2936" t="str">
            <v>23116</v>
          </cell>
          <cell r="E2936" t="str">
            <v>CPLG</v>
          </cell>
          <cell r="F2936">
            <v>2</v>
          </cell>
          <cell r="G2936" t="str">
            <v>CB400500001H00</v>
          </cell>
          <cell r="H2936">
            <v>1.5</v>
          </cell>
          <cell r="I2936" t="str">
            <v>--</v>
          </cell>
          <cell r="J2936">
            <v>3</v>
          </cell>
          <cell r="K2936">
            <v>3</v>
          </cell>
        </row>
        <row r="2937">
          <cell r="A2937" t="str">
            <v>M2</v>
          </cell>
          <cell r="B2937" t="str">
            <v>A5C</v>
          </cell>
          <cell r="C2937" t="str">
            <v>P</v>
          </cell>
          <cell r="D2937" t="str">
            <v>23215</v>
          </cell>
          <cell r="E2937" t="str">
            <v>CPLG</v>
          </cell>
          <cell r="F2937">
            <v>2</v>
          </cell>
          <cell r="G2937" t="str">
            <v>CB400500001H00</v>
          </cell>
          <cell r="H2937">
            <v>1.5</v>
          </cell>
          <cell r="I2937" t="str">
            <v>--</v>
          </cell>
          <cell r="J2937">
            <v>1</v>
          </cell>
          <cell r="K2937">
            <v>1</v>
          </cell>
        </row>
        <row r="2938">
          <cell r="A2938" t="str">
            <v>M2</v>
          </cell>
          <cell r="B2938" t="str">
            <v>A5C</v>
          </cell>
          <cell r="C2938" t="str">
            <v>P</v>
          </cell>
          <cell r="D2938" t="str">
            <v>99003</v>
          </cell>
          <cell r="E2938" t="str">
            <v>CPLG</v>
          </cell>
          <cell r="F2938">
            <v>2</v>
          </cell>
          <cell r="G2938" t="str">
            <v>CB400500001H00</v>
          </cell>
          <cell r="H2938">
            <v>1.5</v>
          </cell>
          <cell r="I2938" t="str">
            <v>--</v>
          </cell>
          <cell r="J2938">
            <v>2</v>
          </cell>
          <cell r="K2938">
            <v>2</v>
          </cell>
        </row>
        <row r="2939">
          <cell r="A2939" t="str">
            <v>M2</v>
          </cell>
          <cell r="B2939" t="str">
            <v>A5C</v>
          </cell>
          <cell r="C2939" t="str">
            <v>P</v>
          </cell>
          <cell r="D2939" t="str">
            <v>22102</v>
          </cell>
          <cell r="E2939" t="str">
            <v>CPLG</v>
          </cell>
          <cell r="F2939">
            <v>2</v>
          </cell>
          <cell r="G2939" t="str">
            <v>CB400500001H00</v>
          </cell>
          <cell r="H2939">
            <v>1.5</v>
          </cell>
          <cell r="I2939" t="str">
            <v>--</v>
          </cell>
          <cell r="J2939">
            <v>8</v>
          </cell>
          <cell r="K2939">
            <v>8</v>
          </cell>
        </row>
        <row r="2940">
          <cell r="A2940" t="str">
            <v>M2</v>
          </cell>
          <cell r="B2940" t="str">
            <v>A5C</v>
          </cell>
          <cell r="C2940" t="str">
            <v>P</v>
          </cell>
          <cell r="D2940" t="str">
            <v>23157</v>
          </cell>
          <cell r="E2940" t="str">
            <v>CPLG</v>
          </cell>
          <cell r="F2940">
            <v>2</v>
          </cell>
          <cell r="G2940" t="str">
            <v>CB400500001H00</v>
          </cell>
          <cell r="H2940">
            <v>1.5</v>
          </cell>
          <cell r="I2940" t="str">
            <v>--</v>
          </cell>
          <cell r="J2940">
            <v>2</v>
          </cell>
          <cell r="K2940">
            <v>2</v>
          </cell>
        </row>
        <row r="2941">
          <cell r="A2941" t="str">
            <v>M2</v>
          </cell>
          <cell r="B2941" t="str">
            <v>A5C</v>
          </cell>
          <cell r="C2941" t="str">
            <v>P</v>
          </cell>
          <cell r="D2941" t="str">
            <v>23217</v>
          </cell>
          <cell r="E2941" t="str">
            <v>CPLG</v>
          </cell>
          <cell r="F2941">
            <v>2</v>
          </cell>
          <cell r="G2941" t="str">
            <v>CB400500001H00</v>
          </cell>
          <cell r="H2941">
            <v>1.5</v>
          </cell>
          <cell r="I2941" t="str">
            <v>--</v>
          </cell>
          <cell r="J2941">
            <v>3</v>
          </cell>
          <cell r="K2941">
            <v>3</v>
          </cell>
        </row>
        <row r="2942">
          <cell r="A2942" t="str">
            <v>M2</v>
          </cell>
          <cell r="B2942" t="str">
            <v>A5C</v>
          </cell>
          <cell r="C2942" t="str">
            <v>P</v>
          </cell>
          <cell r="D2942" t="str">
            <v>23006</v>
          </cell>
          <cell r="E2942" t="str">
            <v>E SWG</v>
          </cell>
          <cell r="F2942">
            <v>2</v>
          </cell>
          <cell r="G2942" t="str">
            <v>CB162108081H01</v>
          </cell>
          <cell r="H2942">
            <v>1.5</v>
          </cell>
          <cell r="I2942">
            <v>1</v>
          </cell>
          <cell r="J2942">
            <v>2</v>
          </cell>
          <cell r="K2942">
            <v>2</v>
          </cell>
        </row>
        <row r="2943">
          <cell r="A2943" t="str">
            <v>M2</v>
          </cell>
          <cell r="B2943" t="str">
            <v>A5C</v>
          </cell>
          <cell r="C2943" t="str">
            <v>P</v>
          </cell>
          <cell r="D2943" t="str">
            <v>23052</v>
          </cell>
          <cell r="E2943" t="str">
            <v>E SWG</v>
          </cell>
          <cell r="F2943">
            <v>2</v>
          </cell>
          <cell r="G2943" t="str">
            <v>CB162108081H01</v>
          </cell>
          <cell r="H2943">
            <v>1.5</v>
          </cell>
          <cell r="I2943">
            <v>1</v>
          </cell>
          <cell r="J2943">
            <v>1</v>
          </cell>
          <cell r="K2943">
            <v>1</v>
          </cell>
        </row>
        <row r="2944">
          <cell r="A2944" t="str">
            <v>M2</v>
          </cell>
          <cell r="B2944" t="str">
            <v>A5C</v>
          </cell>
          <cell r="C2944" t="str">
            <v>P</v>
          </cell>
          <cell r="D2944" t="str">
            <v>23063</v>
          </cell>
          <cell r="E2944" t="str">
            <v>E SWG</v>
          </cell>
          <cell r="F2944">
            <v>2</v>
          </cell>
          <cell r="G2944" t="str">
            <v>CB162108081H01</v>
          </cell>
          <cell r="H2944">
            <v>1.5</v>
          </cell>
          <cell r="I2944">
            <v>1</v>
          </cell>
          <cell r="J2944">
            <v>1</v>
          </cell>
          <cell r="K2944">
            <v>1</v>
          </cell>
        </row>
        <row r="2945">
          <cell r="A2945" t="str">
            <v>M2</v>
          </cell>
          <cell r="B2945" t="str">
            <v>A5C</v>
          </cell>
          <cell r="C2945" t="str">
            <v>P</v>
          </cell>
          <cell r="D2945" t="str">
            <v>23070</v>
          </cell>
          <cell r="E2945" t="str">
            <v>E SWG</v>
          </cell>
          <cell r="F2945">
            <v>2</v>
          </cell>
          <cell r="G2945" t="str">
            <v>CB162108081H01</v>
          </cell>
          <cell r="H2945">
            <v>1.5</v>
          </cell>
          <cell r="I2945">
            <v>1</v>
          </cell>
          <cell r="J2945">
            <v>2</v>
          </cell>
          <cell r="K2945">
            <v>2</v>
          </cell>
        </row>
        <row r="2946">
          <cell r="A2946" t="str">
            <v>M2</v>
          </cell>
          <cell r="B2946" t="str">
            <v>A5C</v>
          </cell>
          <cell r="C2946" t="str">
            <v>P</v>
          </cell>
          <cell r="D2946" t="str">
            <v>23078</v>
          </cell>
          <cell r="E2946" t="str">
            <v>E SWG</v>
          </cell>
          <cell r="F2946">
            <v>2</v>
          </cell>
          <cell r="G2946" t="str">
            <v>CB162108081H01</v>
          </cell>
          <cell r="H2946">
            <v>1.5</v>
          </cell>
          <cell r="I2946">
            <v>1</v>
          </cell>
          <cell r="J2946">
            <v>1</v>
          </cell>
          <cell r="K2946">
            <v>1</v>
          </cell>
        </row>
        <row r="2947">
          <cell r="A2947" t="str">
            <v>M2</v>
          </cell>
          <cell r="B2947" t="str">
            <v>A5C</v>
          </cell>
          <cell r="C2947" t="str">
            <v>P</v>
          </cell>
          <cell r="D2947" t="str">
            <v>23103</v>
          </cell>
          <cell r="E2947" t="str">
            <v>E SWG</v>
          </cell>
          <cell r="F2947">
            <v>2</v>
          </cell>
          <cell r="G2947" t="str">
            <v>CB162108081H01</v>
          </cell>
          <cell r="H2947">
            <v>1.5</v>
          </cell>
          <cell r="I2947">
            <v>1</v>
          </cell>
          <cell r="J2947">
            <v>2</v>
          </cell>
          <cell r="K2947">
            <v>2</v>
          </cell>
        </row>
        <row r="2948">
          <cell r="A2948" t="str">
            <v>M2</v>
          </cell>
          <cell r="B2948" t="str">
            <v>A5C</v>
          </cell>
          <cell r="C2948" t="str">
            <v>P</v>
          </cell>
          <cell r="D2948" t="str">
            <v>23111</v>
          </cell>
          <cell r="E2948" t="str">
            <v>E SWG</v>
          </cell>
          <cell r="F2948">
            <v>2</v>
          </cell>
          <cell r="G2948" t="str">
            <v>CB162108081H01</v>
          </cell>
          <cell r="H2948">
            <v>1.5</v>
          </cell>
          <cell r="I2948">
            <v>1</v>
          </cell>
          <cell r="J2948">
            <v>2</v>
          </cell>
          <cell r="K2948">
            <v>2</v>
          </cell>
        </row>
        <row r="2949">
          <cell r="A2949" t="str">
            <v>M2</v>
          </cell>
          <cell r="B2949" t="str">
            <v>A5C</v>
          </cell>
          <cell r="C2949" t="str">
            <v>P</v>
          </cell>
          <cell r="D2949" t="str">
            <v>23143</v>
          </cell>
          <cell r="E2949" t="str">
            <v>E SWG</v>
          </cell>
          <cell r="F2949">
            <v>2</v>
          </cell>
          <cell r="G2949" t="str">
            <v>CB162108081H01</v>
          </cell>
          <cell r="H2949">
            <v>1.5</v>
          </cell>
          <cell r="I2949">
            <v>1</v>
          </cell>
          <cell r="J2949">
            <v>2</v>
          </cell>
          <cell r="K2949">
            <v>2</v>
          </cell>
        </row>
        <row r="2950">
          <cell r="A2950" t="str">
            <v>M2</v>
          </cell>
          <cell r="B2950" t="str">
            <v>A5C</v>
          </cell>
          <cell r="C2950" t="str">
            <v>P</v>
          </cell>
          <cell r="D2950" t="str">
            <v>23147</v>
          </cell>
          <cell r="E2950" t="str">
            <v>E SWG</v>
          </cell>
          <cell r="F2950">
            <v>2</v>
          </cell>
          <cell r="G2950" t="str">
            <v>CB162108081H01</v>
          </cell>
          <cell r="H2950">
            <v>1.5</v>
          </cell>
          <cell r="I2950">
            <v>1</v>
          </cell>
          <cell r="J2950">
            <v>2</v>
          </cell>
          <cell r="K2950">
            <v>2</v>
          </cell>
        </row>
        <row r="2951">
          <cell r="A2951" t="str">
            <v>M2</v>
          </cell>
          <cell r="B2951" t="str">
            <v>A5C</v>
          </cell>
          <cell r="C2951" t="str">
            <v>P</v>
          </cell>
          <cell r="D2951" t="str">
            <v>23164</v>
          </cell>
          <cell r="E2951" t="str">
            <v>E SWG</v>
          </cell>
          <cell r="F2951">
            <v>2</v>
          </cell>
          <cell r="G2951" t="str">
            <v>CB162108081H01</v>
          </cell>
          <cell r="H2951">
            <v>1.5</v>
          </cell>
          <cell r="I2951">
            <v>1</v>
          </cell>
          <cell r="J2951">
            <v>2</v>
          </cell>
          <cell r="K2951">
            <v>2</v>
          </cell>
        </row>
        <row r="2952">
          <cell r="A2952" t="str">
            <v>M2</v>
          </cell>
          <cell r="B2952" t="str">
            <v>A5C</v>
          </cell>
          <cell r="C2952" t="str">
            <v>P</v>
          </cell>
          <cell r="D2952" t="str">
            <v>99003</v>
          </cell>
          <cell r="E2952" t="str">
            <v>E SWG</v>
          </cell>
          <cell r="F2952">
            <v>2</v>
          </cell>
          <cell r="G2952" t="str">
            <v>CB162108081H01</v>
          </cell>
          <cell r="H2952">
            <v>1.5</v>
          </cell>
          <cell r="I2952">
            <v>1</v>
          </cell>
          <cell r="J2952">
            <v>2</v>
          </cell>
          <cell r="K2952">
            <v>2</v>
          </cell>
        </row>
        <row r="2953">
          <cell r="A2953" t="str">
            <v>M2</v>
          </cell>
          <cell r="B2953" t="str">
            <v>A5C</v>
          </cell>
          <cell r="C2953" t="str">
            <v>P</v>
          </cell>
          <cell r="D2953" t="str">
            <v>23035</v>
          </cell>
          <cell r="E2953" t="str">
            <v>E SWG</v>
          </cell>
          <cell r="F2953">
            <v>2</v>
          </cell>
          <cell r="G2953" t="str">
            <v>CB162108081H01</v>
          </cell>
          <cell r="H2953">
            <v>1.5</v>
          </cell>
          <cell r="I2953">
            <v>1</v>
          </cell>
          <cell r="J2953">
            <v>2</v>
          </cell>
          <cell r="K2953">
            <v>2</v>
          </cell>
        </row>
        <row r="2954">
          <cell r="A2954" t="str">
            <v>M2</v>
          </cell>
          <cell r="B2954" t="str">
            <v>A5C</v>
          </cell>
          <cell r="C2954" t="str">
            <v>P</v>
          </cell>
          <cell r="D2954" t="str">
            <v>23037</v>
          </cell>
          <cell r="E2954" t="str">
            <v>E SWG</v>
          </cell>
          <cell r="F2954">
            <v>2</v>
          </cell>
          <cell r="G2954" t="str">
            <v>CB162108081H01</v>
          </cell>
          <cell r="H2954">
            <v>1.5</v>
          </cell>
          <cell r="I2954">
            <v>1</v>
          </cell>
          <cell r="J2954">
            <v>1</v>
          </cell>
          <cell r="K2954">
            <v>1</v>
          </cell>
        </row>
        <row r="2955">
          <cell r="A2955" t="str">
            <v>M2</v>
          </cell>
          <cell r="B2955" t="str">
            <v>A5C</v>
          </cell>
          <cell r="C2955" t="str">
            <v>P</v>
          </cell>
          <cell r="D2955" t="str">
            <v>23107</v>
          </cell>
          <cell r="E2955" t="str">
            <v>E SWG</v>
          </cell>
          <cell r="F2955">
            <v>2</v>
          </cell>
          <cell r="G2955" t="str">
            <v>CB162108081H01</v>
          </cell>
          <cell r="H2955">
            <v>1.5</v>
          </cell>
          <cell r="I2955">
            <v>1</v>
          </cell>
          <cell r="J2955">
            <v>2</v>
          </cell>
          <cell r="K2955">
            <v>2</v>
          </cell>
        </row>
        <row r="2956">
          <cell r="A2956" t="str">
            <v>M2</v>
          </cell>
          <cell r="B2956" t="str">
            <v>A5C</v>
          </cell>
          <cell r="C2956" t="str">
            <v>P</v>
          </cell>
          <cell r="D2956" t="str">
            <v>23006</v>
          </cell>
          <cell r="E2956" t="str">
            <v>R TEE</v>
          </cell>
          <cell r="F2956">
            <v>2</v>
          </cell>
          <cell r="G2956" t="str">
            <v>CB400400001H0T</v>
          </cell>
          <cell r="H2956">
            <v>1.5</v>
          </cell>
          <cell r="I2956">
            <v>0.75</v>
          </cell>
          <cell r="J2956">
            <v>4</v>
          </cell>
          <cell r="K2956">
            <v>4</v>
          </cell>
        </row>
        <row r="2957">
          <cell r="A2957" t="str">
            <v>M2</v>
          </cell>
          <cell r="B2957" t="str">
            <v>A5C</v>
          </cell>
          <cell r="C2957" t="str">
            <v>P</v>
          </cell>
          <cell r="D2957" t="str">
            <v>23006</v>
          </cell>
          <cell r="E2957" t="str">
            <v>R TEE</v>
          </cell>
          <cell r="F2957">
            <v>2</v>
          </cell>
          <cell r="G2957" t="str">
            <v>CB400400001H01</v>
          </cell>
          <cell r="H2957">
            <v>1.5</v>
          </cell>
          <cell r="I2957">
            <v>1</v>
          </cell>
          <cell r="J2957">
            <v>2</v>
          </cell>
          <cell r="K2957">
            <v>2</v>
          </cell>
        </row>
        <row r="2958">
          <cell r="A2958" t="str">
            <v>M2</v>
          </cell>
          <cell r="B2958" t="str">
            <v>A5C</v>
          </cell>
          <cell r="C2958" t="str">
            <v>P</v>
          </cell>
          <cell r="D2958" t="str">
            <v>23006</v>
          </cell>
          <cell r="E2958" t="str">
            <v>R TEE</v>
          </cell>
          <cell r="F2958">
            <v>2</v>
          </cell>
          <cell r="G2958" t="str">
            <v>CB400400001H0T</v>
          </cell>
          <cell r="H2958">
            <v>1.5</v>
          </cell>
          <cell r="I2958">
            <v>0.75</v>
          </cell>
          <cell r="J2958">
            <v>2</v>
          </cell>
          <cell r="K2958">
            <v>2</v>
          </cell>
        </row>
        <row r="2959">
          <cell r="A2959" t="str">
            <v>M2</v>
          </cell>
          <cell r="B2959" t="str">
            <v>A5C</v>
          </cell>
          <cell r="C2959" t="str">
            <v>P</v>
          </cell>
          <cell r="D2959" t="str">
            <v>23035</v>
          </cell>
          <cell r="E2959" t="str">
            <v>R TEE</v>
          </cell>
          <cell r="F2959">
            <v>2</v>
          </cell>
          <cell r="G2959" t="str">
            <v>CB400400001H0T</v>
          </cell>
          <cell r="H2959">
            <v>1.5</v>
          </cell>
          <cell r="I2959">
            <v>0.75</v>
          </cell>
          <cell r="J2959">
            <v>3</v>
          </cell>
          <cell r="K2959">
            <v>3</v>
          </cell>
        </row>
        <row r="2960">
          <cell r="A2960" t="str">
            <v>M2</v>
          </cell>
          <cell r="B2960" t="str">
            <v>A5C</v>
          </cell>
          <cell r="C2960" t="str">
            <v>P</v>
          </cell>
          <cell r="D2960" t="str">
            <v>23035</v>
          </cell>
          <cell r="E2960" t="str">
            <v>R TEE</v>
          </cell>
          <cell r="F2960">
            <v>2</v>
          </cell>
          <cell r="G2960" t="str">
            <v>CB400400001H01</v>
          </cell>
          <cell r="H2960">
            <v>1.5</v>
          </cell>
          <cell r="I2960">
            <v>1</v>
          </cell>
          <cell r="J2960">
            <v>2</v>
          </cell>
          <cell r="K2960">
            <v>2</v>
          </cell>
        </row>
        <row r="2961">
          <cell r="A2961" t="str">
            <v>M2</v>
          </cell>
          <cell r="B2961" t="str">
            <v>A5C</v>
          </cell>
          <cell r="C2961" t="str">
            <v>P</v>
          </cell>
          <cell r="D2961" t="str">
            <v>23035</v>
          </cell>
          <cell r="E2961" t="str">
            <v>R TEE</v>
          </cell>
          <cell r="F2961">
            <v>2</v>
          </cell>
          <cell r="G2961" t="str">
            <v>CB400400001H0T</v>
          </cell>
          <cell r="H2961">
            <v>1.5</v>
          </cell>
          <cell r="I2961">
            <v>0.75</v>
          </cell>
          <cell r="J2961">
            <v>1</v>
          </cell>
          <cell r="K2961">
            <v>1</v>
          </cell>
        </row>
        <row r="2962">
          <cell r="A2962" t="str">
            <v>M2</v>
          </cell>
          <cell r="B2962" t="str">
            <v>A5C</v>
          </cell>
          <cell r="C2962" t="str">
            <v>P</v>
          </cell>
          <cell r="D2962" t="str">
            <v>23038</v>
          </cell>
          <cell r="E2962" t="str">
            <v>R TEE</v>
          </cell>
          <cell r="F2962">
            <v>2</v>
          </cell>
          <cell r="G2962" t="str">
            <v>CB400400001H0T</v>
          </cell>
          <cell r="H2962">
            <v>1.5</v>
          </cell>
          <cell r="I2962">
            <v>0.75</v>
          </cell>
          <cell r="J2962">
            <v>2</v>
          </cell>
          <cell r="K2962">
            <v>2</v>
          </cell>
        </row>
        <row r="2963">
          <cell r="A2963" t="str">
            <v>M2</v>
          </cell>
          <cell r="B2963" t="str">
            <v>A5C</v>
          </cell>
          <cell r="C2963" t="str">
            <v>P</v>
          </cell>
          <cell r="D2963" t="str">
            <v>23052</v>
          </cell>
          <cell r="E2963" t="str">
            <v>R TEE</v>
          </cell>
          <cell r="F2963">
            <v>2</v>
          </cell>
          <cell r="G2963" t="str">
            <v>CB400400001H01</v>
          </cell>
          <cell r="H2963">
            <v>1.5</v>
          </cell>
          <cell r="I2963">
            <v>1</v>
          </cell>
          <cell r="J2963">
            <v>1</v>
          </cell>
          <cell r="K2963">
            <v>1</v>
          </cell>
        </row>
        <row r="2964">
          <cell r="A2964" t="str">
            <v>M2</v>
          </cell>
          <cell r="B2964" t="str">
            <v>A5C</v>
          </cell>
          <cell r="C2964" t="str">
            <v>P</v>
          </cell>
          <cell r="D2964" t="str">
            <v>23052</v>
          </cell>
          <cell r="E2964" t="str">
            <v>R TEE</v>
          </cell>
          <cell r="F2964">
            <v>2</v>
          </cell>
          <cell r="G2964" t="str">
            <v>CB400400001H0T</v>
          </cell>
          <cell r="H2964">
            <v>1.5</v>
          </cell>
          <cell r="I2964">
            <v>0.75</v>
          </cell>
          <cell r="J2964">
            <v>1</v>
          </cell>
          <cell r="K2964">
            <v>1</v>
          </cell>
        </row>
        <row r="2965">
          <cell r="A2965" t="str">
            <v>M2</v>
          </cell>
          <cell r="B2965" t="str">
            <v>A5C</v>
          </cell>
          <cell r="C2965" t="str">
            <v>P</v>
          </cell>
          <cell r="D2965" t="str">
            <v>23063</v>
          </cell>
          <cell r="E2965" t="str">
            <v>R TEE</v>
          </cell>
          <cell r="F2965">
            <v>2</v>
          </cell>
          <cell r="G2965" t="str">
            <v>CB400400001H0T</v>
          </cell>
          <cell r="H2965">
            <v>1.5</v>
          </cell>
          <cell r="I2965">
            <v>0.75</v>
          </cell>
          <cell r="J2965">
            <v>1</v>
          </cell>
          <cell r="K2965">
            <v>1</v>
          </cell>
        </row>
        <row r="2966">
          <cell r="A2966" t="str">
            <v>M2</v>
          </cell>
          <cell r="B2966" t="str">
            <v>A5C</v>
          </cell>
          <cell r="C2966" t="str">
            <v>P</v>
          </cell>
          <cell r="D2966" t="str">
            <v>23063</v>
          </cell>
          <cell r="E2966" t="str">
            <v>R TEE</v>
          </cell>
          <cell r="F2966">
            <v>2</v>
          </cell>
          <cell r="G2966" t="str">
            <v>CB400400001H01</v>
          </cell>
          <cell r="H2966">
            <v>1.5</v>
          </cell>
          <cell r="I2966">
            <v>1</v>
          </cell>
          <cell r="J2966">
            <v>1</v>
          </cell>
          <cell r="K2966">
            <v>1</v>
          </cell>
        </row>
        <row r="2967">
          <cell r="A2967" t="str">
            <v>M2</v>
          </cell>
          <cell r="B2967" t="str">
            <v>A5C</v>
          </cell>
          <cell r="C2967" t="str">
            <v>P</v>
          </cell>
          <cell r="D2967" t="str">
            <v>23078</v>
          </cell>
          <cell r="E2967" t="str">
            <v>R TEE</v>
          </cell>
          <cell r="F2967">
            <v>2</v>
          </cell>
          <cell r="G2967" t="str">
            <v>CB400400001H0T</v>
          </cell>
          <cell r="H2967">
            <v>1.5</v>
          </cell>
          <cell r="I2967">
            <v>0.75</v>
          </cell>
          <cell r="J2967">
            <v>1</v>
          </cell>
          <cell r="K2967">
            <v>1</v>
          </cell>
        </row>
        <row r="2968">
          <cell r="A2968" t="str">
            <v>M2</v>
          </cell>
          <cell r="B2968" t="str">
            <v>A5C</v>
          </cell>
          <cell r="C2968" t="str">
            <v>P</v>
          </cell>
          <cell r="D2968" t="str">
            <v>23078</v>
          </cell>
          <cell r="E2968" t="str">
            <v>R TEE</v>
          </cell>
          <cell r="F2968">
            <v>2</v>
          </cell>
          <cell r="G2968" t="str">
            <v>CB400400001H01</v>
          </cell>
          <cell r="H2968">
            <v>1.5</v>
          </cell>
          <cell r="I2968">
            <v>1</v>
          </cell>
          <cell r="J2968">
            <v>1</v>
          </cell>
          <cell r="K2968">
            <v>1</v>
          </cell>
        </row>
        <row r="2969">
          <cell r="A2969" t="str">
            <v>M2</v>
          </cell>
          <cell r="B2969" t="str">
            <v>A5C</v>
          </cell>
          <cell r="C2969" t="str">
            <v>P</v>
          </cell>
          <cell r="D2969" t="str">
            <v>23107</v>
          </cell>
          <cell r="E2969" t="str">
            <v>R TEE</v>
          </cell>
          <cell r="F2969">
            <v>2</v>
          </cell>
          <cell r="G2969" t="str">
            <v>CB400400001H0T</v>
          </cell>
          <cell r="H2969">
            <v>1.5</v>
          </cell>
          <cell r="I2969">
            <v>0.75</v>
          </cell>
          <cell r="J2969">
            <v>2</v>
          </cell>
          <cell r="K2969">
            <v>2</v>
          </cell>
        </row>
        <row r="2970">
          <cell r="A2970" t="str">
            <v>M2</v>
          </cell>
          <cell r="B2970" t="str">
            <v>A5C</v>
          </cell>
          <cell r="C2970" t="str">
            <v>P</v>
          </cell>
          <cell r="D2970" t="str">
            <v>23111</v>
          </cell>
          <cell r="E2970" t="str">
            <v>R TEE</v>
          </cell>
          <cell r="F2970">
            <v>2</v>
          </cell>
          <cell r="G2970" t="str">
            <v>CB400400001H0T</v>
          </cell>
          <cell r="H2970">
            <v>1.5</v>
          </cell>
          <cell r="I2970">
            <v>0.75</v>
          </cell>
          <cell r="J2970">
            <v>2</v>
          </cell>
          <cell r="K2970">
            <v>2</v>
          </cell>
        </row>
        <row r="2971">
          <cell r="A2971" t="str">
            <v>M2</v>
          </cell>
          <cell r="B2971" t="str">
            <v>A5C</v>
          </cell>
          <cell r="C2971" t="str">
            <v>P</v>
          </cell>
          <cell r="D2971" t="str">
            <v>23117</v>
          </cell>
          <cell r="E2971" t="str">
            <v>R TEE</v>
          </cell>
          <cell r="F2971">
            <v>2</v>
          </cell>
          <cell r="G2971" t="str">
            <v>CB400400001H0T</v>
          </cell>
          <cell r="H2971">
            <v>1.5</v>
          </cell>
          <cell r="I2971">
            <v>0.75</v>
          </cell>
          <cell r="J2971">
            <v>2</v>
          </cell>
          <cell r="K2971">
            <v>2</v>
          </cell>
        </row>
        <row r="2972">
          <cell r="A2972" t="str">
            <v>M2</v>
          </cell>
          <cell r="B2972" t="str">
            <v>A5C</v>
          </cell>
          <cell r="C2972" t="str">
            <v>P</v>
          </cell>
          <cell r="D2972" t="str">
            <v>23143</v>
          </cell>
          <cell r="E2972" t="str">
            <v>R TEE</v>
          </cell>
          <cell r="F2972">
            <v>2</v>
          </cell>
          <cell r="G2972" t="str">
            <v>CB400400001H0T</v>
          </cell>
          <cell r="H2972">
            <v>1.5</v>
          </cell>
          <cell r="I2972">
            <v>0.75</v>
          </cell>
          <cell r="J2972">
            <v>2</v>
          </cell>
          <cell r="K2972">
            <v>2</v>
          </cell>
        </row>
        <row r="2973">
          <cell r="A2973" t="str">
            <v>M2</v>
          </cell>
          <cell r="B2973" t="str">
            <v>A5C</v>
          </cell>
          <cell r="C2973" t="str">
            <v>P</v>
          </cell>
          <cell r="D2973" t="str">
            <v>23147</v>
          </cell>
          <cell r="E2973" t="str">
            <v>R TEE</v>
          </cell>
          <cell r="F2973">
            <v>2</v>
          </cell>
          <cell r="G2973" t="str">
            <v>CB400400001H0T</v>
          </cell>
          <cell r="H2973">
            <v>1.5</v>
          </cell>
          <cell r="I2973">
            <v>0.75</v>
          </cell>
          <cell r="J2973">
            <v>2</v>
          </cell>
          <cell r="K2973">
            <v>2</v>
          </cell>
        </row>
        <row r="2974">
          <cell r="A2974" t="str">
            <v>M2</v>
          </cell>
          <cell r="B2974" t="str">
            <v>A5C</v>
          </cell>
          <cell r="C2974" t="str">
            <v>P</v>
          </cell>
          <cell r="D2974" t="str">
            <v>23157</v>
          </cell>
          <cell r="E2974" t="str">
            <v>R TEE</v>
          </cell>
          <cell r="F2974">
            <v>2</v>
          </cell>
          <cell r="G2974" t="str">
            <v>CB400400001H0T</v>
          </cell>
          <cell r="H2974">
            <v>1.5</v>
          </cell>
          <cell r="I2974">
            <v>0.75</v>
          </cell>
          <cell r="J2974">
            <v>2</v>
          </cell>
          <cell r="K2974">
            <v>2</v>
          </cell>
        </row>
        <row r="2975">
          <cell r="A2975" t="str">
            <v>M2</v>
          </cell>
          <cell r="B2975" t="str">
            <v>A5C</v>
          </cell>
          <cell r="C2975" t="str">
            <v>P</v>
          </cell>
          <cell r="D2975" t="str">
            <v>23196</v>
          </cell>
          <cell r="E2975" t="str">
            <v>R TEE</v>
          </cell>
          <cell r="F2975">
            <v>2</v>
          </cell>
          <cell r="G2975" t="str">
            <v>CB400400001H0T</v>
          </cell>
          <cell r="H2975">
            <v>1.5</v>
          </cell>
          <cell r="I2975">
            <v>0.75</v>
          </cell>
          <cell r="J2975">
            <v>2</v>
          </cell>
          <cell r="K2975">
            <v>2</v>
          </cell>
        </row>
        <row r="2976">
          <cell r="A2976" t="str">
            <v>M2</v>
          </cell>
          <cell r="B2976" t="str">
            <v>A5C</v>
          </cell>
          <cell r="C2976" t="str">
            <v>P</v>
          </cell>
          <cell r="D2976" t="str">
            <v>23231</v>
          </cell>
          <cell r="E2976" t="str">
            <v>R TEE</v>
          </cell>
          <cell r="F2976">
            <v>2</v>
          </cell>
          <cell r="G2976" t="str">
            <v>CB400400001H0T</v>
          </cell>
          <cell r="H2976">
            <v>1.5</v>
          </cell>
          <cell r="I2976">
            <v>0.75</v>
          </cell>
          <cell r="J2976">
            <v>1</v>
          </cell>
          <cell r="K2976">
            <v>1</v>
          </cell>
        </row>
        <row r="2977">
          <cell r="A2977" t="str">
            <v>M2</v>
          </cell>
          <cell r="B2977" t="str">
            <v>A5C</v>
          </cell>
          <cell r="C2977" t="str">
            <v>P</v>
          </cell>
          <cell r="D2977" t="str">
            <v>23226</v>
          </cell>
          <cell r="E2977" t="str">
            <v>R TEE</v>
          </cell>
          <cell r="F2977">
            <v>2</v>
          </cell>
          <cell r="G2977" t="str">
            <v>CB400400001H0T</v>
          </cell>
          <cell r="H2977">
            <v>1.5</v>
          </cell>
          <cell r="I2977">
            <v>0.75</v>
          </cell>
          <cell r="J2977">
            <v>1</v>
          </cell>
          <cell r="K2977">
            <v>1</v>
          </cell>
        </row>
        <row r="2978">
          <cell r="A2978" t="str">
            <v>M2</v>
          </cell>
          <cell r="B2978" t="str">
            <v>A5C</v>
          </cell>
          <cell r="C2978" t="str">
            <v>P</v>
          </cell>
          <cell r="D2978" t="str">
            <v>23248</v>
          </cell>
          <cell r="E2978" t="str">
            <v>R TEE</v>
          </cell>
          <cell r="F2978">
            <v>2</v>
          </cell>
          <cell r="G2978" t="str">
            <v>CB400400001H0T</v>
          </cell>
          <cell r="H2978">
            <v>1.5</v>
          </cell>
          <cell r="I2978">
            <v>0.75</v>
          </cell>
          <cell r="J2978">
            <v>1</v>
          </cell>
          <cell r="K2978">
            <v>1</v>
          </cell>
        </row>
        <row r="2979">
          <cell r="A2979" t="str">
            <v>M2</v>
          </cell>
          <cell r="B2979" t="str">
            <v>A5C</v>
          </cell>
          <cell r="C2979" t="str">
            <v>P</v>
          </cell>
          <cell r="D2979" t="str">
            <v>23259</v>
          </cell>
          <cell r="E2979" t="str">
            <v>R TEE</v>
          </cell>
          <cell r="F2979">
            <v>2</v>
          </cell>
          <cell r="G2979" t="str">
            <v>CB400400001H0T</v>
          </cell>
          <cell r="H2979">
            <v>1.5</v>
          </cell>
          <cell r="I2979">
            <v>0.75</v>
          </cell>
          <cell r="J2979">
            <v>2</v>
          </cell>
          <cell r="K2979">
            <v>2</v>
          </cell>
        </row>
        <row r="2980">
          <cell r="A2980" t="str">
            <v>M2</v>
          </cell>
          <cell r="B2980" t="str">
            <v>A5C</v>
          </cell>
          <cell r="C2980" t="str">
            <v>P</v>
          </cell>
          <cell r="D2980" t="str">
            <v>99003</v>
          </cell>
          <cell r="E2980" t="str">
            <v>R TEE</v>
          </cell>
          <cell r="F2980">
            <v>2</v>
          </cell>
          <cell r="G2980" t="str">
            <v>CB400400001H0T</v>
          </cell>
          <cell r="H2980">
            <v>1.5</v>
          </cell>
          <cell r="I2980">
            <v>0.75</v>
          </cell>
          <cell r="J2980">
            <v>2</v>
          </cell>
          <cell r="K2980">
            <v>2</v>
          </cell>
        </row>
        <row r="2981">
          <cell r="A2981" t="str">
            <v>M2</v>
          </cell>
          <cell r="B2981" t="str">
            <v>A5C</v>
          </cell>
          <cell r="C2981" t="str">
            <v>P</v>
          </cell>
          <cell r="D2981" t="str">
            <v>99003</v>
          </cell>
          <cell r="E2981" t="str">
            <v>R TEE</v>
          </cell>
          <cell r="F2981">
            <v>2</v>
          </cell>
          <cell r="G2981" t="str">
            <v>CB400400001H0T</v>
          </cell>
          <cell r="H2981">
            <v>1.5</v>
          </cell>
          <cell r="I2981">
            <v>0.75</v>
          </cell>
          <cell r="J2981">
            <v>1</v>
          </cell>
          <cell r="K2981">
            <v>1</v>
          </cell>
        </row>
        <row r="2982">
          <cell r="A2982" t="str">
            <v>M2</v>
          </cell>
          <cell r="B2982" t="str">
            <v>A5C</v>
          </cell>
          <cell r="C2982" t="str">
            <v>P</v>
          </cell>
          <cell r="D2982" t="str">
            <v>99003</v>
          </cell>
          <cell r="E2982" t="str">
            <v>R TEE</v>
          </cell>
          <cell r="F2982">
            <v>2</v>
          </cell>
          <cell r="G2982" t="str">
            <v>CB400400001H01</v>
          </cell>
          <cell r="H2982">
            <v>1.5</v>
          </cell>
          <cell r="I2982">
            <v>1</v>
          </cell>
          <cell r="J2982">
            <v>2</v>
          </cell>
          <cell r="K2982">
            <v>2</v>
          </cell>
        </row>
        <row r="2983">
          <cell r="A2983" t="str">
            <v>M2</v>
          </cell>
          <cell r="B2983" t="str">
            <v>A5C</v>
          </cell>
          <cell r="C2983" t="str">
            <v>P</v>
          </cell>
          <cell r="D2983" t="str">
            <v>23103</v>
          </cell>
          <cell r="E2983" t="str">
            <v>R TEE</v>
          </cell>
          <cell r="F2983">
            <v>2</v>
          </cell>
          <cell r="G2983" t="str">
            <v>CB400400001H0T</v>
          </cell>
          <cell r="H2983">
            <v>1.5</v>
          </cell>
          <cell r="I2983">
            <v>0.75</v>
          </cell>
          <cell r="J2983">
            <v>2</v>
          </cell>
          <cell r="K2983">
            <v>2</v>
          </cell>
        </row>
        <row r="2984">
          <cell r="A2984" t="str">
            <v>M2</v>
          </cell>
          <cell r="B2984" t="str">
            <v>A5C</v>
          </cell>
          <cell r="C2984" t="str">
            <v>P</v>
          </cell>
          <cell r="D2984" t="str">
            <v>23185</v>
          </cell>
          <cell r="E2984" t="str">
            <v>R TEE</v>
          </cell>
          <cell r="F2984">
            <v>2</v>
          </cell>
          <cell r="G2984" t="str">
            <v>CB400400001H0T</v>
          </cell>
          <cell r="H2984">
            <v>1.5</v>
          </cell>
          <cell r="I2984">
            <v>0.75</v>
          </cell>
          <cell r="J2984">
            <v>2</v>
          </cell>
          <cell r="K2984">
            <v>2</v>
          </cell>
        </row>
        <row r="2985">
          <cell r="A2985" t="str">
            <v>M2</v>
          </cell>
          <cell r="B2985" t="str">
            <v>A5C</v>
          </cell>
          <cell r="C2985" t="str">
            <v>P</v>
          </cell>
          <cell r="D2985" t="str">
            <v>23253</v>
          </cell>
          <cell r="E2985" t="str">
            <v>R TEE</v>
          </cell>
          <cell r="F2985">
            <v>2</v>
          </cell>
          <cell r="G2985" t="str">
            <v>CB400400001H0T</v>
          </cell>
          <cell r="H2985">
            <v>1.5</v>
          </cell>
          <cell r="I2985">
            <v>0.75</v>
          </cell>
          <cell r="J2985">
            <v>1</v>
          </cell>
          <cell r="K2985">
            <v>1</v>
          </cell>
        </row>
        <row r="2986">
          <cell r="A2986" t="str">
            <v>M2</v>
          </cell>
          <cell r="B2986" t="str">
            <v>A5C</v>
          </cell>
          <cell r="C2986" t="str">
            <v>P</v>
          </cell>
          <cell r="D2986" t="str">
            <v>22102</v>
          </cell>
          <cell r="E2986" t="str">
            <v>TEE</v>
          </cell>
          <cell r="F2986">
            <v>2</v>
          </cell>
          <cell r="G2986" t="str">
            <v>CB400300001H00</v>
          </cell>
          <cell r="H2986">
            <v>1.5</v>
          </cell>
          <cell r="I2986" t="str">
            <v>--</v>
          </cell>
          <cell r="J2986">
            <v>1</v>
          </cell>
          <cell r="K2986">
            <v>1</v>
          </cell>
        </row>
        <row r="2987">
          <cell r="A2987" t="str">
            <v>M2</v>
          </cell>
          <cell r="B2987" t="str">
            <v>A5C</v>
          </cell>
          <cell r="C2987" t="str">
            <v>P</v>
          </cell>
          <cell r="D2987" t="str">
            <v>23006</v>
          </cell>
          <cell r="E2987" t="str">
            <v>TEE</v>
          </cell>
          <cell r="F2987">
            <v>2</v>
          </cell>
          <cell r="G2987" t="str">
            <v>CB400300001H00</v>
          </cell>
          <cell r="H2987">
            <v>1.5</v>
          </cell>
          <cell r="I2987" t="str">
            <v>--</v>
          </cell>
          <cell r="J2987">
            <v>1</v>
          </cell>
          <cell r="K2987">
            <v>1</v>
          </cell>
        </row>
        <row r="2988">
          <cell r="A2988" t="str">
            <v>M2</v>
          </cell>
          <cell r="B2988" t="str">
            <v>A5C</v>
          </cell>
          <cell r="C2988" t="str">
            <v>P</v>
          </cell>
          <cell r="D2988" t="str">
            <v>23006</v>
          </cell>
          <cell r="E2988" t="str">
            <v>TEE</v>
          </cell>
          <cell r="F2988">
            <v>2</v>
          </cell>
          <cell r="G2988" t="str">
            <v>CB400300001H00</v>
          </cell>
          <cell r="H2988">
            <v>1.5</v>
          </cell>
          <cell r="I2988" t="str">
            <v>--</v>
          </cell>
          <cell r="J2988">
            <v>2</v>
          </cell>
          <cell r="K2988">
            <v>2</v>
          </cell>
        </row>
        <row r="2989">
          <cell r="A2989" t="str">
            <v>M2</v>
          </cell>
          <cell r="B2989" t="str">
            <v>A5C</v>
          </cell>
          <cell r="C2989" t="str">
            <v>P</v>
          </cell>
          <cell r="D2989" t="str">
            <v>23035</v>
          </cell>
          <cell r="E2989" t="str">
            <v>TEE</v>
          </cell>
          <cell r="F2989">
            <v>2</v>
          </cell>
          <cell r="G2989" t="str">
            <v>CB400300001H00</v>
          </cell>
          <cell r="H2989">
            <v>1.5</v>
          </cell>
          <cell r="I2989" t="str">
            <v>--</v>
          </cell>
          <cell r="J2989">
            <v>2</v>
          </cell>
          <cell r="K2989">
            <v>2</v>
          </cell>
        </row>
        <row r="2990">
          <cell r="A2990" t="str">
            <v>M2</v>
          </cell>
          <cell r="B2990" t="str">
            <v>A5C</v>
          </cell>
          <cell r="C2990" t="str">
            <v>P</v>
          </cell>
          <cell r="D2990" t="str">
            <v>23037</v>
          </cell>
          <cell r="E2990" t="str">
            <v>TEE</v>
          </cell>
          <cell r="F2990">
            <v>2</v>
          </cell>
          <cell r="G2990" t="str">
            <v>CB400300001H00</v>
          </cell>
          <cell r="H2990">
            <v>1.5</v>
          </cell>
          <cell r="I2990" t="str">
            <v>--</v>
          </cell>
          <cell r="J2990">
            <v>2</v>
          </cell>
          <cell r="K2990">
            <v>2</v>
          </cell>
        </row>
        <row r="2991">
          <cell r="A2991" t="str">
            <v>M2</v>
          </cell>
          <cell r="B2991" t="str">
            <v>A5C</v>
          </cell>
          <cell r="C2991" t="str">
            <v>P</v>
          </cell>
          <cell r="D2991" t="str">
            <v>23052</v>
          </cell>
          <cell r="E2991" t="str">
            <v>TEE</v>
          </cell>
          <cell r="F2991">
            <v>2</v>
          </cell>
          <cell r="G2991" t="str">
            <v>CB400300001H00</v>
          </cell>
          <cell r="H2991">
            <v>1.5</v>
          </cell>
          <cell r="I2991" t="str">
            <v>--</v>
          </cell>
          <cell r="J2991">
            <v>2</v>
          </cell>
          <cell r="K2991">
            <v>2</v>
          </cell>
        </row>
        <row r="2992">
          <cell r="A2992" t="str">
            <v>M2</v>
          </cell>
          <cell r="B2992" t="str">
            <v>A5C</v>
          </cell>
          <cell r="C2992" t="str">
            <v>P</v>
          </cell>
          <cell r="D2992" t="str">
            <v>23063</v>
          </cell>
          <cell r="E2992" t="str">
            <v>TEE</v>
          </cell>
          <cell r="F2992">
            <v>2</v>
          </cell>
          <cell r="G2992" t="str">
            <v>CB400300001H00</v>
          </cell>
          <cell r="H2992">
            <v>1.5</v>
          </cell>
          <cell r="I2992" t="str">
            <v>--</v>
          </cell>
          <cell r="J2992">
            <v>1</v>
          </cell>
          <cell r="K2992">
            <v>1</v>
          </cell>
        </row>
        <row r="2993">
          <cell r="A2993" t="str">
            <v>M2</v>
          </cell>
          <cell r="B2993" t="str">
            <v>A5C</v>
          </cell>
          <cell r="C2993" t="str">
            <v>P</v>
          </cell>
          <cell r="D2993" t="str">
            <v>23070</v>
          </cell>
          <cell r="E2993" t="str">
            <v>TEE</v>
          </cell>
          <cell r="F2993">
            <v>2</v>
          </cell>
          <cell r="G2993" t="str">
            <v>CB400300001H00</v>
          </cell>
          <cell r="H2993">
            <v>1.5</v>
          </cell>
          <cell r="I2993" t="str">
            <v>--</v>
          </cell>
          <cell r="J2993">
            <v>1</v>
          </cell>
          <cell r="K2993">
            <v>1</v>
          </cell>
        </row>
        <row r="2994">
          <cell r="A2994" t="str">
            <v>M2</v>
          </cell>
          <cell r="B2994" t="str">
            <v>A5C</v>
          </cell>
          <cell r="C2994" t="str">
            <v>P</v>
          </cell>
          <cell r="D2994" t="str">
            <v>23078</v>
          </cell>
          <cell r="E2994" t="str">
            <v>TEE</v>
          </cell>
          <cell r="F2994">
            <v>2</v>
          </cell>
          <cell r="G2994" t="str">
            <v>CB400300001H00</v>
          </cell>
          <cell r="H2994">
            <v>1.5</v>
          </cell>
          <cell r="I2994" t="str">
            <v>--</v>
          </cell>
          <cell r="J2994">
            <v>1</v>
          </cell>
          <cell r="K2994">
            <v>1</v>
          </cell>
        </row>
        <row r="2995">
          <cell r="A2995" t="str">
            <v>M2</v>
          </cell>
          <cell r="B2995" t="str">
            <v>A5C</v>
          </cell>
          <cell r="C2995" t="str">
            <v>P</v>
          </cell>
          <cell r="D2995" t="str">
            <v>23111</v>
          </cell>
          <cell r="E2995" t="str">
            <v>TEE</v>
          </cell>
          <cell r="F2995">
            <v>2</v>
          </cell>
          <cell r="G2995" t="str">
            <v>CB400300001H00</v>
          </cell>
          <cell r="H2995">
            <v>1.5</v>
          </cell>
          <cell r="I2995" t="str">
            <v>--</v>
          </cell>
          <cell r="J2995">
            <v>1</v>
          </cell>
          <cell r="K2995">
            <v>1</v>
          </cell>
        </row>
        <row r="2996">
          <cell r="A2996" t="str">
            <v>M2</v>
          </cell>
          <cell r="B2996" t="str">
            <v>A5C</v>
          </cell>
          <cell r="C2996" t="str">
            <v>P</v>
          </cell>
          <cell r="D2996" t="str">
            <v>23116</v>
          </cell>
          <cell r="E2996" t="str">
            <v>TEE</v>
          </cell>
          <cell r="F2996">
            <v>2</v>
          </cell>
          <cell r="G2996" t="str">
            <v>CB400300001H00</v>
          </cell>
          <cell r="H2996">
            <v>1.5</v>
          </cell>
          <cell r="I2996" t="str">
            <v>--</v>
          </cell>
          <cell r="J2996">
            <v>5</v>
          </cell>
          <cell r="K2996">
            <v>5</v>
          </cell>
        </row>
        <row r="2997">
          <cell r="A2997" t="str">
            <v>M2</v>
          </cell>
          <cell r="B2997" t="str">
            <v>A5C</v>
          </cell>
          <cell r="C2997" t="str">
            <v>P</v>
          </cell>
          <cell r="D2997" t="str">
            <v>23117</v>
          </cell>
          <cell r="E2997" t="str">
            <v>TEE</v>
          </cell>
          <cell r="F2997">
            <v>2</v>
          </cell>
          <cell r="G2997" t="str">
            <v>CB400300001H00</v>
          </cell>
          <cell r="H2997">
            <v>1.5</v>
          </cell>
          <cell r="I2997" t="str">
            <v>--</v>
          </cell>
          <cell r="J2997">
            <v>1</v>
          </cell>
          <cell r="K2997">
            <v>1</v>
          </cell>
        </row>
        <row r="2998">
          <cell r="A2998" t="str">
            <v>M2</v>
          </cell>
          <cell r="B2998" t="str">
            <v>A5C</v>
          </cell>
          <cell r="C2998" t="str">
            <v>P</v>
          </cell>
          <cell r="D2998" t="str">
            <v>23143</v>
          </cell>
          <cell r="E2998" t="str">
            <v>TEE</v>
          </cell>
          <cell r="F2998">
            <v>2</v>
          </cell>
          <cell r="G2998" t="str">
            <v>CB400300001H00</v>
          </cell>
          <cell r="H2998">
            <v>1.5</v>
          </cell>
          <cell r="I2998" t="str">
            <v>--</v>
          </cell>
          <cell r="J2998">
            <v>1</v>
          </cell>
          <cell r="K2998">
            <v>1</v>
          </cell>
        </row>
        <row r="2999">
          <cell r="A2999" t="str">
            <v>M2</v>
          </cell>
          <cell r="B2999" t="str">
            <v>A5C</v>
          </cell>
          <cell r="C2999" t="str">
            <v>P</v>
          </cell>
          <cell r="D2999" t="str">
            <v>23157</v>
          </cell>
          <cell r="E2999" t="str">
            <v>TEE</v>
          </cell>
          <cell r="F2999">
            <v>2</v>
          </cell>
          <cell r="G2999" t="str">
            <v>CB400300001H00</v>
          </cell>
          <cell r="H2999">
            <v>1.5</v>
          </cell>
          <cell r="I2999" t="str">
            <v>--</v>
          </cell>
          <cell r="J2999">
            <v>1</v>
          </cell>
          <cell r="K2999">
            <v>1</v>
          </cell>
        </row>
        <row r="3000">
          <cell r="A3000" t="str">
            <v>M2</v>
          </cell>
          <cell r="B3000" t="str">
            <v>A5C</v>
          </cell>
          <cell r="C3000" t="str">
            <v>P</v>
          </cell>
          <cell r="D3000" t="str">
            <v>23185</v>
          </cell>
          <cell r="E3000" t="str">
            <v>TEE</v>
          </cell>
          <cell r="F3000">
            <v>2</v>
          </cell>
          <cell r="G3000" t="str">
            <v>CB400300001H00</v>
          </cell>
          <cell r="H3000">
            <v>1.5</v>
          </cell>
          <cell r="I3000" t="str">
            <v>--</v>
          </cell>
          <cell r="J3000">
            <v>1</v>
          </cell>
          <cell r="K3000">
            <v>1</v>
          </cell>
        </row>
        <row r="3001">
          <cell r="A3001" t="str">
            <v>M2</v>
          </cell>
          <cell r="B3001" t="str">
            <v>A5C</v>
          </cell>
          <cell r="C3001" t="str">
            <v>P</v>
          </cell>
          <cell r="D3001" t="str">
            <v>23196</v>
          </cell>
          <cell r="E3001" t="str">
            <v>TEE</v>
          </cell>
          <cell r="F3001">
            <v>2</v>
          </cell>
          <cell r="G3001" t="str">
            <v>CB400300001H00</v>
          </cell>
          <cell r="H3001">
            <v>1.5</v>
          </cell>
          <cell r="I3001" t="str">
            <v>--</v>
          </cell>
          <cell r="J3001">
            <v>1</v>
          </cell>
          <cell r="K3001">
            <v>1</v>
          </cell>
        </row>
        <row r="3002">
          <cell r="A3002" t="str">
            <v>M2</v>
          </cell>
          <cell r="B3002" t="str">
            <v>A5C</v>
          </cell>
          <cell r="C3002" t="str">
            <v>P</v>
          </cell>
          <cell r="D3002" t="str">
            <v>23217</v>
          </cell>
          <cell r="E3002" t="str">
            <v>TEE</v>
          </cell>
          <cell r="F3002">
            <v>2</v>
          </cell>
          <cell r="G3002" t="str">
            <v>CB400300001H00</v>
          </cell>
          <cell r="H3002">
            <v>1.5</v>
          </cell>
          <cell r="I3002" t="str">
            <v>--</v>
          </cell>
          <cell r="J3002">
            <v>1</v>
          </cell>
          <cell r="K3002">
            <v>1</v>
          </cell>
        </row>
        <row r="3003">
          <cell r="A3003" t="str">
            <v>M2</v>
          </cell>
          <cell r="B3003" t="str">
            <v>A5C</v>
          </cell>
          <cell r="C3003" t="str">
            <v>P</v>
          </cell>
          <cell r="D3003" t="str">
            <v>23259</v>
          </cell>
          <cell r="E3003" t="str">
            <v>TEE</v>
          </cell>
          <cell r="F3003">
            <v>2</v>
          </cell>
          <cell r="G3003" t="str">
            <v>CB400300001H00</v>
          </cell>
          <cell r="H3003">
            <v>1.5</v>
          </cell>
          <cell r="I3003" t="str">
            <v>--</v>
          </cell>
          <cell r="J3003">
            <v>1</v>
          </cell>
          <cell r="K3003">
            <v>1</v>
          </cell>
        </row>
        <row r="3004">
          <cell r="A3004" t="str">
            <v>M2</v>
          </cell>
          <cell r="B3004" t="str">
            <v>A5C</v>
          </cell>
          <cell r="C3004" t="str">
            <v>P</v>
          </cell>
          <cell r="D3004" t="str">
            <v>24014</v>
          </cell>
          <cell r="E3004" t="str">
            <v>TEE</v>
          </cell>
          <cell r="F3004">
            <v>2</v>
          </cell>
          <cell r="G3004" t="str">
            <v>CB400300001H00</v>
          </cell>
          <cell r="H3004">
            <v>1.5</v>
          </cell>
          <cell r="I3004" t="str">
            <v>--</v>
          </cell>
          <cell r="J3004">
            <v>1</v>
          </cell>
          <cell r="K3004">
            <v>1</v>
          </cell>
        </row>
        <row r="3005">
          <cell r="A3005" t="str">
            <v>M2</v>
          </cell>
          <cell r="B3005" t="str">
            <v>A5C</v>
          </cell>
          <cell r="C3005" t="str">
            <v>P</v>
          </cell>
          <cell r="D3005" t="str">
            <v>99003</v>
          </cell>
          <cell r="E3005" t="str">
            <v>TEE</v>
          </cell>
          <cell r="F3005">
            <v>2</v>
          </cell>
          <cell r="G3005" t="str">
            <v>CB400300001H00</v>
          </cell>
          <cell r="H3005">
            <v>1.5</v>
          </cell>
          <cell r="I3005" t="str">
            <v>--</v>
          </cell>
          <cell r="J3005">
            <v>2</v>
          </cell>
          <cell r="K3005">
            <v>2</v>
          </cell>
        </row>
        <row r="3006">
          <cell r="A3006" t="str">
            <v>M2</v>
          </cell>
          <cell r="B3006" t="str">
            <v>A5C</v>
          </cell>
          <cell r="C3006" t="str">
            <v>P</v>
          </cell>
          <cell r="D3006" t="str">
            <v>23103</v>
          </cell>
          <cell r="E3006" t="str">
            <v>TEE</v>
          </cell>
          <cell r="F3006">
            <v>2</v>
          </cell>
          <cell r="G3006" t="str">
            <v>CB400300001H00</v>
          </cell>
          <cell r="H3006">
            <v>1.5</v>
          </cell>
          <cell r="I3006" t="str">
            <v>--</v>
          </cell>
          <cell r="J3006">
            <v>1</v>
          </cell>
          <cell r="K3006">
            <v>1</v>
          </cell>
        </row>
        <row r="3007">
          <cell r="A3007" t="str">
            <v>M2</v>
          </cell>
          <cell r="B3007" t="str">
            <v>A5C</v>
          </cell>
          <cell r="C3007" t="str">
            <v>P</v>
          </cell>
          <cell r="D3007" t="str">
            <v>23107</v>
          </cell>
          <cell r="E3007" t="str">
            <v>TEE</v>
          </cell>
          <cell r="F3007">
            <v>2</v>
          </cell>
          <cell r="G3007" t="str">
            <v>CB400300001H00</v>
          </cell>
          <cell r="H3007">
            <v>1.5</v>
          </cell>
          <cell r="I3007" t="str">
            <v>--</v>
          </cell>
          <cell r="J3007">
            <v>1</v>
          </cell>
          <cell r="K3007">
            <v>1</v>
          </cell>
        </row>
        <row r="3008">
          <cell r="A3008" t="str">
            <v>M2</v>
          </cell>
          <cell r="B3008" t="str">
            <v>A5C</v>
          </cell>
          <cell r="C3008" t="str">
            <v>P</v>
          </cell>
          <cell r="D3008" t="str">
            <v>23147</v>
          </cell>
          <cell r="E3008" t="str">
            <v>TEE</v>
          </cell>
          <cell r="F3008">
            <v>2</v>
          </cell>
          <cell r="G3008" t="str">
            <v>CB400300001H00</v>
          </cell>
          <cell r="H3008">
            <v>1.5</v>
          </cell>
          <cell r="I3008" t="str">
            <v>--</v>
          </cell>
          <cell r="J3008">
            <v>1</v>
          </cell>
          <cell r="K3008">
            <v>1</v>
          </cell>
        </row>
        <row r="3009">
          <cell r="A3009" t="str">
            <v>M2</v>
          </cell>
          <cell r="B3009" t="str">
            <v>A5C</v>
          </cell>
          <cell r="C3009" t="str">
            <v>P</v>
          </cell>
          <cell r="D3009" t="str">
            <v>23055</v>
          </cell>
          <cell r="E3009" t="str">
            <v>90 ELL</v>
          </cell>
          <cell r="F3009">
            <v>2</v>
          </cell>
          <cell r="G3009" t="str">
            <v>CB400100001H00</v>
          </cell>
          <cell r="H3009">
            <v>1.5</v>
          </cell>
          <cell r="I3009" t="str">
            <v>--</v>
          </cell>
          <cell r="J3009">
            <v>6</v>
          </cell>
          <cell r="K3009">
            <v>6</v>
          </cell>
        </row>
        <row r="3010">
          <cell r="A3010" t="str">
            <v>M2</v>
          </cell>
          <cell r="B3010" t="str">
            <v>A5C</v>
          </cell>
          <cell r="C3010" t="str">
            <v>P</v>
          </cell>
          <cell r="D3010" t="str">
            <v>23055</v>
          </cell>
          <cell r="E3010" t="str">
            <v>E SWG</v>
          </cell>
          <cell r="F3010">
            <v>2</v>
          </cell>
          <cell r="G3010" t="str">
            <v>CB162108081H01</v>
          </cell>
          <cell r="H3010">
            <v>1.5</v>
          </cell>
          <cell r="I3010">
            <v>1</v>
          </cell>
          <cell r="J3010">
            <v>2</v>
          </cell>
          <cell r="K3010">
            <v>2</v>
          </cell>
        </row>
        <row r="3011">
          <cell r="A3011" t="str">
            <v>M2</v>
          </cell>
          <cell r="B3011" t="str">
            <v>A5C</v>
          </cell>
          <cell r="C3011" t="str">
            <v>P</v>
          </cell>
          <cell r="D3011" t="str">
            <v>23055</v>
          </cell>
          <cell r="E3011" t="str">
            <v>TEE</v>
          </cell>
          <cell r="F3011">
            <v>2</v>
          </cell>
          <cell r="G3011" t="str">
            <v>CB400300001H00</v>
          </cell>
          <cell r="H3011">
            <v>1.5</v>
          </cell>
          <cell r="I3011" t="str">
            <v>--</v>
          </cell>
          <cell r="J3011">
            <v>1</v>
          </cell>
          <cell r="K3011">
            <v>1</v>
          </cell>
        </row>
        <row r="3012">
          <cell r="A3012" t="str">
            <v>M2</v>
          </cell>
          <cell r="B3012" t="str">
            <v>A5C</v>
          </cell>
          <cell r="C3012" t="str">
            <v>P</v>
          </cell>
          <cell r="D3012" t="str">
            <v>23039</v>
          </cell>
          <cell r="E3012" t="str">
            <v>45 ELL</v>
          </cell>
          <cell r="F3012">
            <v>2</v>
          </cell>
          <cell r="G3012" t="str">
            <v>CB400200001H00</v>
          </cell>
          <cell r="H3012">
            <v>1.5</v>
          </cell>
          <cell r="I3012" t="str">
            <v>--</v>
          </cell>
          <cell r="J3012">
            <v>1</v>
          </cell>
          <cell r="K3012">
            <v>1</v>
          </cell>
        </row>
        <row r="3013">
          <cell r="A3013" t="str">
            <v>M2</v>
          </cell>
          <cell r="B3013" t="str">
            <v>A5C</v>
          </cell>
          <cell r="C3013" t="str">
            <v>P</v>
          </cell>
          <cell r="D3013" t="str">
            <v>23039</v>
          </cell>
          <cell r="E3013" t="str">
            <v>45 ELL</v>
          </cell>
          <cell r="F3013">
            <v>2</v>
          </cell>
          <cell r="G3013" t="str">
            <v>CB400200001H00</v>
          </cell>
          <cell r="H3013">
            <v>1.5</v>
          </cell>
          <cell r="I3013" t="str">
            <v>--</v>
          </cell>
          <cell r="J3013">
            <v>1</v>
          </cell>
          <cell r="K3013">
            <v>1</v>
          </cell>
        </row>
        <row r="3014">
          <cell r="A3014" t="str">
            <v>M2</v>
          </cell>
          <cell r="B3014" t="str">
            <v>A5C</v>
          </cell>
          <cell r="C3014" t="str">
            <v>P</v>
          </cell>
          <cell r="D3014" t="str">
            <v>23008</v>
          </cell>
          <cell r="E3014" t="str">
            <v>90 ELL</v>
          </cell>
          <cell r="F3014">
            <v>2</v>
          </cell>
          <cell r="G3014" t="str">
            <v>CB400100001H00</v>
          </cell>
          <cell r="H3014">
            <v>1.5</v>
          </cell>
          <cell r="I3014" t="str">
            <v>--</v>
          </cell>
          <cell r="J3014">
            <v>10</v>
          </cell>
          <cell r="K3014">
            <v>10</v>
          </cell>
        </row>
        <row r="3015">
          <cell r="A3015" t="str">
            <v>M2</v>
          </cell>
          <cell r="B3015" t="str">
            <v>A5C</v>
          </cell>
          <cell r="C3015" t="str">
            <v>P</v>
          </cell>
          <cell r="D3015" t="str">
            <v>23019</v>
          </cell>
          <cell r="E3015" t="str">
            <v>90 ELL</v>
          </cell>
          <cell r="F3015">
            <v>2</v>
          </cell>
          <cell r="G3015" t="str">
            <v>CB400100001H00</v>
          </cell>
          <cell r="H3015">
            <v>1.5</v>
          </cell>
          <cell r="I3015" t="str">
            <v>--</v>
          </cell>
          <cell r="J3015">
            <v>1</v>
          </cell>
          <cell r="K3015">
            <v>1</v>
          </cell>
        </row>
        <row r="3016">
          <cell r="A3016" t="str">
            <v>M2</v>
          </cell>
          <cell r="B3016" t="str">
            <v>A5C</v>
          </cell>
          <cell r="C3016" t="str">
            <v>P</v>
          </cell>
          <cell r="D3016" t="str">
            <v>23027</v>
          </cell>
          <cell r="E3016" t="str">
            <v>90 ELL</v>
          </cell>
          <cell r="F3016">
            <v>2</v>
          </cell>
          <cell r="G3016" t="str">
            <v>CB400100001H00</v>
          </cell>
          <cell r="H3016">
            <v>1.5</v>
          </cell>
          <cell r="I3016" t="str">
            <v>--</v>
          </cell>
          <cell r="J3016">
            <v>4</v>
          </cell>
          <cell r="K3016">
            <v>4</v>
          </cell>
        </row>
        <row r="3017">
          <cell r="A3017" t="str">
            <v>M2</v>
          </cell>
          <cell r="B3017" t="str">
            <v>A5C</v>
          </cell>
          <cell r="C3017" t="str">
            <v>P</v>
          </cell>
          <cell r="D3017" t="str">
            <v>23039</v>
          </cell>
          <cell r="E3017" t="str">
            <v>90 ELL</v>
          </cell>
          <cell r="F3017">
            <v>2</v>
          </cell>
          <cell r="G3017" t="str">
            <v>CB400100001H00</v>
          </cell>
          <cell r="H3017">
            <v>1.5</v>
          </cell>
          <cell r="I3017" t="str">
            <v>--</v>
          </cell>
          <cell r="J3017">
            <v>8</v>
          </cell>
          <cell r="K3017">
            <v>8</v>
          </cell>
        </row>
        <row r="3018">
          <cell r="A3018" t="str">
            <v>M2</v>
          </cell>
          <cell r="B3018" t="str">
            <v>A5C</v>
          </cell>
          <cell r="C3018" t="str">
            <v>P</v>
          </cell>
          <cell r="D3018" t="str">
            <v>23039</v>
          </cell>
          <cell r="E3018" t="str">
            <v>90 ELL</v>
          </cell>
          <cell r="F3018">
            <v>2</v>
          </cell>
          <cell r="G3018" t="str">
            <v>CB400100001H00</v>
          </cell>
          <cell r="H3018">
            <v>1.5</v>
          </cell>
          <cell r="I3018" t="str">
            <v>--</v>
          </cell>
          <cell r="J3018">
            <v>2</v>
          </cell>
          <cell r="K3018">
            <v>2</v>
          </cell>
        </row>
        <row r="3019">
          <cell r="A3019" t="str">
            <v>M2</v>
          </cell>
          <cell r="B3019" t="str">
            <v>A5C</v>
          </cell>
          <cell r="C3019" t="str">
            <v>P</v>
          </cell>
          <cell r="D3019" t="str">
            <v>23077</v>
          </cell>
          <cell r="E3019" t="str">
            <v>90 ELL</v>
          </cell>
          <cell r="F3019">
            <v>2</v>
          </cell>
          <cell r="G3019" t="str">
            <v>CB400100001H00</v>
          </cell>
          <cell r="H3019">
            <v>1.5</v>
          </cell>
          <cell r="I3019" t="str">
            <v>--</v>
          </cell>
          <cell r="J3019">
            <v>8</v>
          </cell>
          <cell r="K3019">
            <v>8</v>
          </cell>
        </row>
        <row r="3020">
          <cell r="A3020" t="str">
            <v>M2</v>
          </cell>
          <cell r="B3020" t="str">
            <v>A5C</v>
          </cell>
          <cell r="C3020" t="str">
            <v>P</v>
          </cell>
          <cell r="D3020" t="str">
            <v>23170</v>
          </cell>
          <cell r="E3020" t="str">
            <v>90 ELL</v>
          </cell>
          <cell r="F3020">
            <v>2</v>
          </cell>
          <cell r="G3020" t="str">
            <v>CB400100001H00</v>
          </cell>
          <cell r="H3020">
            <v>1.5</v>
          </cell>
          <cell r="I3020" t="str">
            <v>--</v>
          </cell>
          <cell r="J3020">
            <v>9</v>
          </cell>
          <cell r="K3020">
            <v>9</v>
          </cell>
        </row>
        <row r="3021">
          <cell r="A3021" t="str">
            <v>M2</v>
          </cell>
          <cell r="B3021" t="str">
            <v>A5C</v>
          </cell>
          <cell r="C3021" t="str">
            <v>P</v>
          </cell>
          <cell r="D3021" t="str">
            <v>23216</v>
          </cell>
          <cell r="E3021" t="str">
            <v>90 ELL</v>
          </cell>
          <cell r="F3021">
            <v>2</v>
          </cell>
          <cell r="G3021" t="str">
            <v>CB400100001H00</v>
          </cell>
          <cell r="H3021">
            <v>1.5</v>
          </cell>
          <cell r="I3021" t="str">
            <v>--</v>
          </cell>
          <cell r="J3021">
            <v>4</v>
          </cell>
          <cell r="K3021">
            <v>4</v>
          </cell>
        </row>
        <row r="3022">
          <cell r="A3022" t="str">
            <v>M2</v>
          </cell>
          <cell r="B3022" t="str">
            <v>A5C</v>
          </cell>
          <cell r="C3022" t="str">
            <v>P</v>
          </cell>
          <cell r="D3022" t="str">
            <v>23218</v>
          </cell>
          <cell r="E3022" t="str">
            <v>90 ELL</v>
          </cell>
          <cell r="F3022">
            <v>2</v>
          </cell>
          <cell r="G3022" t="str">
            <v>CB400100001H00</v>
          </cell>
          <cell r="H3022">
            <v>1.5</v>
          </cell>
          <cell r="I3022" t="str">
            <v>--</v>
          </cell>
          <cell r="J3022">
            <v>5</v>
          </cell>
          <cell r="K3022">
            <v>5</v>
          </cell>
        </row>
        <row r="3023">
          <cell r="A3023" t="str">
            <v>M2</v>
          </cell>
          <cell r="B3023" t="str">
            <v>A5C</v>
          </cell>
          <cell r="C3023" t="str">
            <v>P</v>
          </cell>
          <cell r="D3023" t="str">
            <v>23220</v>
          </cell>
          <cell r="E3023" t="str">
            <v>90 ELL</v>
          </cell>
          <cell r="F3023">
            <v>2</v>
          </cell>
          <cell r="G3023" t="str">
            <v>CB400100001H00</v>
          </cell>
          <cell r="H3023">
            <v>1.5</v>
          </cell>
          <cell r="I3023" t="str">
            <v>--</v>
          </cell>
          <cell r="J3023">
            <v>4</v>
          </cell>
          <cell r="K3023">
            <v>4</v>
          </cell>
        </row>
        <row r="3024">
          <cell r="A3024" t="str">
            <v>M2</v>
          </cell>
          <cell r="B3024" t="str">
            <v>A5C</v>
          </cell>
          <cell r="C3024" t="str">
            <v>P</v>
          </cell>
          <cell r="D3024" t="str">
            <v>23222</v>
          </cell>
          <cell r="E3024" t="str">
            <v>90 ELL</v>
          </cell>
          <cell r="F3024">
            <v>2</v>
          </cell>
          <cell r="G3024" t="str">
            <v>CB400100001H00</v>
          </cell>
          <cell r="H3024">
            <v>1.5</v>
          </cell>
          <cell r="I3024" t="str">
            <v>--</v>
          </cell>
          <cell r="J3024">
            <v>5</v>
          </cell>
          <cell r="K3024">
            <v>5</v>
          </cell>
        </row>
        <row r="3025">
          <cell r="A3025" t="str">
            <v>M2</v>
          </cell>
          <cell r="B3025" t="str">
            <v>A5C</v>
          </cell>
          <cell r="C3025" t="str">
            <v>P</v>
          </cell>
          <cell r="D3025" t="str">
            <v>23242</v>
          </cell>
          <cell r="E3025" t="str">
            <v>90 ELL</v>
          </cell>
          <cell r="F3025">
            <v>2</v>
          </cell>
          <cell r="G3025" t="str">
            <v>CB400100001H00</v>
          </cell>
          <cell r="H3025">
            <v>1.5</v>
          </cell>
          <cell r="I3025" t="str">
            <v>--</v>
          </cell>
          <cell r="J3025">
            <v>5</v>
          </cell>
          <cell r="K3025">
            <v>5</v>
          </cell>
        </row>
        <row r="3026">
          <cell r="A3026" t="str">
            <v>M2</v>
          </cell>
          <cell r="B3026" t="str">
            <v>A5C</v>
          </cell>
          <cell r="C3026" t="str">
            <v>P</v>
          </cell>
          <cell r="D3026" t="str">
            <v>23243</v>
          </cell>
          <cell r="E3026" t="str">
            <v>90 ELL</v>
          </cell>
          <cell r="F3026">
            <v>2</v>
          </cell>
          <cell r="G3026" t="str">
            <v>CB400100001H00</v>
          </cell>
          <cell r="H3026">
            <v>1.5</v>
          </cell>
          <cell r="I3026" t="str">
            <v>--</v>
          </cell>
          <cell r="J3026">
            <v>4</v>
          </cell>
          <cell r="K3026">
            <v>4</v>
          </cell>
        </row>
        <row r="3027">
          <cell r="A3027" t="str">
            <v>M2</v>
          </cell>
          <cell r="B3027" t="str">
            <v>A5C</v>
          </cell>
          <cell r="C3027" t="str">
            <v>P</v>
          </cell>
          <cell r="D3027" t="str">
            <v>23019</v>
          </cell>
          <cell r="E3027" t="str">
            <v>90 ELL</v>
          </cell>
          <cell r="F3027">
            <v>2</v>
          </cell>
          <cell r="G3027" t="str">
            <v>CB400100001H00</v>
          </cell>
          <cell r="H3027">
            <v>1.5</v>
          </cell>
          <cell r="I3027" t="str">
            <v>--</v>
          </cell>
          <cell r="J3027">
            <v>6</v>
          </cell>
          <cell r="K3027">
            <v>6</v>
          </cell>
        </row>
        <row r="3028">
          <cell r="A3028" t="str">
            <v>M2</v>
          </cell>
          <cell r="B3028" t="str">
            <v>A5C</v>
          </cell>
          <cell r="C3028" t="str">
            <v>P</v>
          </cell>
          <cell r="D3028" t="str">
            <v>23033</v>
          </cell>
          <cell r="E3028" t="str">
            <v>90 ELL</v>
          </cell>
          <cell r="F3028">
            <v>2</v>
          </cell>
          <cell r="G3028" t="str">
            <v>CB400100001H00</v>
          </cell>
          <cell r="H3028">
            <v>1.5</v>
          </cell>
          <cell r="I3028" t="str">
            <v>--</v>
          </cell>
          <cell r="J3028">
            <v>6</v>
          </cell>
          <cell r="K3028">
            <v>6</v>
          </cell>
        </row>
        <row r="3029">
          <cell r="A3029" t="str">
            <v>M2</v>
          </cell>
          <cell r="B3029" t="str">
            <v>A5C</v>
          </cell>
          <cell r="C3029" t="str">
            <v>P</v>
          </cell>
          <cell r="D3029" t="str">
            <v>23033</v>
          </cell>
          <cell r="E3029" t="str">
            <v>90 ELL</v>
          </cell>
          <cell r="F3029">
            <v>2</v>
          </cell>
          <cell r="G3029" t="str">
            <v>CB400100001H00</v>
          </cell>
          <cell r="H3029">
            <v>1.5</v>
          </cell>
          <cell r="I3029" t="str">
            <v>--</v>
          </cell>
          <cell r="J3029">
            <v>5</v>
          </cell>
          <cell r="K3029">
            <v>5</v>
          </cell>
        </row>
        <row r="3030">
          <cell r="A3030" t="str">
            <v>M2</v>
          </cell>
          <cell r="B3030" t="str">
            <v>A5C</v>
          </cell>
          <cell r="C3030" t="str">
            <v>P</v>
          </cell>
          <cell r="D3030" t="str">
            <v>23044</v>
          </cell>
          <cell r="E3030" t="str">
            <v>90 ELL</v>
          </cell>
          <cell r="F3030">
            <v>2</v>
          </cell>
          <cell r="G3030" t="str">
            <v>CB400100001H00</v>
          </cell>
          <cell r="H3030">
            <v>1.5</v>
          </cell>
          <cell r="I3030" t="str">
            <v>--</v>
          </cell>
          <cell r="J3030">
            <v>6</v>
          </cell>
          <cell r="K3030">
            <v>6</v>
          </cell>
        </row>
        <row r="3031">
          <cell r="A3031" t="str">
            <v>M2</v>
          </cell>
          <cell r="B3031" t="str">
            <v>A5C</v>
          </cell>
          <cell r="C3031" t="str">
            <v>P</v>
          </cell>
          <cell r="D3031" t="str">
            <v>23076</v>
          </cell>
          <cell r="E3031" t="str">
            <v>90 ELL</v>
          </cell>
          <cell r="F3031">
            <v>2</v>
          </cell>
          <cell r="G3031" t="str">
            <v>CB400100001H00</v>
          </cell>
          <cell r="H3031">
            <v>1.5</v>
          </cell>
          <cell r="I3031" t="str">
            <v>--</v>
          </cell>
          <cell r="J3031">
            <v>2</v>
          </cell>
          <cell r="K3031">
            <v>2</v>
          </cell>
        </row>
        <row r="3032">
          <cell r="A3032" t="str">
            <v>M2</v>
          </cell>
          <cell r="B3032" t="str">
            <v>A5C</v>
          </cell>
          <cell r="C3032" t="str">
            <v>P</v>
          </cell>
          <cell r="D3032" t="str">
            <v>23019</v>
          </cell>
          <cell r="E3032" t="str">
            <v>C SWG</v>
          </cell>
          <cell r="F3032">
            <v>2</v>
          </cell>
          <cell r="G3032" t="str">
            <v>CB161108081H01</v>
          </cell>
          <cell r="H3032">
            <v>1.5</v>
          </cell>
          <cell r="I3032">
            <v>1</v>
          </cell>
          <cell r="J3032">
            <v>1</v>
          </cell>
          <cell r="K3032">
            <v>1</v>
          </cell>
        </row>
        <row r="3033">
          <cell r="A3033" t="str">
            <v>M2</v>
          </cell>
          <cell r="B3033" t="str">
            <v>A5C</v>
          </cell>
          <cell r="C3033" t="str">
            <v>P</v>
          </cell>
          <cell r="D3033" t="str">
            <v>23039</v>
          </cell>
          <cell r="E3033" t="str">
            <v>C SWG</v>
          </cell>
          <cell r="F3033">
            <v>2</v>
          </cell>
          <cell r="G3033" t="str">
            <v>CB161108081H01</v>
          </cell>
          <cell r="H3033">
            <v>1.5</v>
          </cell>
          <cell r="I3033">
            <v>1</v>
          </cell>
          <cell r="J3033">
            <v>2</v>
          </cell>
          <cell r="K3033">
            <v>2</v>
          </cell>
        </row>
        <row r="3034">
          <cell r="A3034" t="str">
            <v>M2</v>
          </cell>
          <cell r="B3034" t="str">
            <v>A5C</v>
          </cell>
          <cell r="C3034" t="str">
            <v>P</v>
          </cell>
          <cell r="D3034" t="str">
            <v>23044</v>
          </cell>
          <cell r="E3034" t="str">
            <v>C SWG</v>
          </cell>
          <cell r="F3034">
            <v>2</v>
          </cell>
          <cell r="G3034" t="str">
            <v>CB161108081H01</v>
          </cell>
          <cell r="H3034">
            <v>1.5</v>
          </cell>
          <cell r="I3034">
            <v>1</v>
          </cell>
          <cell r="J3034">
            <v>2</v>
          </cell>
          <cell r="K3034">
            <v>2</v>
          </cell>
        </row>
        <row r="3035">
          <cell r="A3035" t="str">
            <v>M2</v>
          </cell>
          <cell r="B3035" t="str">
            <v>A5C</v>
          </cell>
          <cell r="C3035" t="str">
            <v>P</v>
          </cell>
          <cell r="D3035" t="str">
            <v>23033</v>
          </cell>
          <cell r="E3035" t="str">
            <v>C SWG</v>
          </cell>
          <cell r="F3035">
            <v>2</v>
          </cell>
          <cell r="G3035" t="str">
            <v>CB161108081H01</v>
          </cell>
          <cell r="H3035">
            <v>1.5</v>
          </cell>
          <cell r="I3035">
            <v>1</v>
          </cell>
          <cell r="J3035">
            <v>2</v>
          </cell>
          <cell r="K3035">
            <v>2</v>
          </cell>
        </row>
        <row r="3036">
          <cell r="A3036" t="str">
            <v>M2</v>
          </cell>
          <cell r="B3036" t="str">
            <v>A5C</v>
          </cell>
          <cell r="C3036" t="str">
            <v>P</v>
          </cell>
          <cell r="D3036" t="str">
            <v>23008</v>
          </cell>
          <cell r="E3036" t="str">
            <v>CPLG</v>
          </cell>
          <cell r="F3036">
            <v>2</v>
          </cell>
          <cell r="G3036" t="str">
            <v>CB400500001H00</v>
          </cell>
          <cell r="H3036">
            <v>1.5</v>
          </cell>
          <cell r="I3036" t="str">
            <v>--</v>
          </cell>
          <cell r="J3036">
            <v>4</v>
          </cell>
          <cell r="K3036">
            <v>4</v>
          </cell>
        </row>
        <row r="3037">
          <cell r="A3037" t="str">
            <v>M2</v>
          </cell>
          <cell r="B3037" t="str">
            <v>A5C</v>
          </cell>
          <cell r="C3037" t="str">
            <v>P</v>
          </cell>
          <cell r="D3037" t="str">
            <v>23019</v>
          </cell>
          <cell r="E3037" t="str">
            <v>CPLG</v>
          </cell>
          <cell r="F3037">
            <v>2</v>
          </cell>
          <cell r="G3037" t="str">
            <v>CB400500001H00</v>
          </cell>
          <cell r="H3037">
            <v>1.5</v>
          </cell>
          <cell r="I3037" t="str">
            <v>--</v>
          </cell>
          <cell r="J3037">
            <v>1</v>
          </cell>
          <cell r="K3037">
            <v>1</v>
          </cell>
        </row>
        <row r="3038">
          <cell r="A3038" t="str">
            <v>M2</v>
          </cell>
          <cell r="B3038" t="str">
            <v>A5C</v>
          </cell>
          <cell r="C3038" t="str">
            <v>P</v>
          </cell>
          <cell r="D3038" t="str">
            <v>23039</v>
          </cell>
          <cell r="E3038" t="str">
            <v>CPLG</v>
          </cell>
          <cell r="F3038">
            <v>2</v>
          </cell>
          <cell r="G3038" t="str">
            <v>CB400500001H00</v>
          </cell>
          <cell r="H3038">
            <v>1.5</v>
          </cell>
          <cell r="I3038" t="str">
            <v>--</v>
          </cell>
          <cell r="J3038">
            <v>2</v>
          </cell>
          <cell r="K3038">
            <v>2</v>
          </cell>
        </row>
        <row r="3039">
          <cell r="A3039" t="str">
            <v>M2</v>
          </cell>
          <cell r="B3039" t="str">
            <v>A5C</v>
          </cell>
          <cell r="C3039" t="str">
            <v>P</v>
          </cell>
          <cell r="D3039" t="str">
            <v>23044</v>
          </cell>
          <cell r="E3039" t="str">
            <v>CPLG</v>
          </cell>
          <cell r="F3039">
            <v>2</v>
          </cell>
          <cell r="G3039" t="str">
            <v>CB400500001H00</v>
          </cell>
          <cell r="H3039">
            <v>1.5</v>
          </cell>
          <cell r="I3039" t="str">
            <v>--</v>
          </cell>
          <cell r="J3039">
            <v>2</v>
          </cell>
          <cell r="K3039">
            <v>2</v>
          </cell>
        </row>
        <row r="3040">
          <cell r="A3040" t="str">
            <v>M2</v>
          </cell>
          <cell r="B3040" t="str">
            <v>A5C</v>
          </cell>
          <cell r="C3040" t="str">
            <v>P</v>
          </cell>
          <cell r="D3040" t="str">
            <v>23216</v>
          </cell>
          <cell r="E3040" t="str">
            <v>CPLG</v>
          </cell>
          <cell r="F3040">
            <v>2</v>
          </cell>
          <cell r="G3040" t="str">
            <v>CB400500001H00</v>
          </cell>
          <cell r="H3040">
            <v>1.5</v>
          </cell>
          <cell r="I3040" t="str">
            <v>--</v>
          </cell>
          <cell r="J3040">
            <v>1</v>
          </cell>
          <cell r="K3040">
            <v>1</v>
          </cell>
        </row>
        <row r="3041">
          <cell r="A3041" t="str">
            <v>M2</v>
          </cell>
          <cell r="B3041" t="str">
            <v>A5C</v>
          </cell>
          <cell r="C3041" t="str">
            <v>P</v>
          </cell>
          <cell r="D3041" t="str">
            <v>23218</v>
          </cell>
          <cell r="E3041" t="str">
            <v>CPLG</v>
          </cell>
          <cell r="F3041">
            <v>2</v>
          </cell>
          <cell r="G3041" t="str">
            <v>CB400500001H00</v>
          </cell>
          <cell r="H3041">
            <v>1.5</v>
          </cell>
          <cell r="I3041" t="str">
            <v>--</v>
          </cell>
          <cell r="J3041">
            <v>3</v>
          </cell>
          <cell r="K3041">
            <v>3</v>
          </cell>
        </row>
        <row r="3042">
          <cell r="A3042" t="str">
            <v>M2</v>
          </cell>
          <cell r="B3042" t="str">
            <v>A5C</v>
          </cell>
          <cell r="C3042" t="str">
            <v>P</v>
          </cell>
          <cell r="D3042" t="str">
            <v>23033</v>
          </cell>
          <cell r="E3042" t="str">
            <v>CPLG</v>
          </cell>
          <cell r="F3042">
            <v>2</v>
          </cell>
          <cell r="G3042" t="str">
            <v>CB400500001H00</v>
          </cell>
          <cell r="H3042">
            <v>1.5</v>
          </cell>
          <cell r="I3042" t="str">
            <v>--</v>
          </cell>
          <cell r="J3042">
            <v>2</v>
          </cell>
          <cell r="K3042">
            <v>2</v>
          </cell>
        </row>
        <row r="3043">
          <cell r="A3043" t="str">
            <v>M2</v>
          </cell>
          <cell r="B3043" t="str">
            <v>A5C</v>
          </cell>
          <cell r="C3043" t="str">
            <v>P</v>
          </cell>
          <cell r="D3043" t="str">
            <v>23170</v>
          </cell>
          <cell r="E3043" t="str">
            <v>CPLG</v>
          </cell>
          <cell r="F3043">
            <v>2</v>
          </cell>
          <cell r="G3043" t="str">
            <v>CB400500001H00</v>
          </cell>
          <cell r="H3043">
            <v>1.5</v>
          </cell>
          <cell r="I3043" t="str">
            <v>--</v>
          </cell>
          <cell r="J3043">
            <v>12</v>
          </cell>
          <cell r="K3043">
            <v>12</v>
          </cell>
        </row>
        <row r="3044">
          <cell r="A3044" t="str">
            <v>M2</v>
          </cell>
          <cell r="B3044" t="str">
            <v>A5C</v>
          </cell>
          <cell r="C3044" t="str">
            <v>P</v>
          </cell>
          <cell r="D3044" t="str">
            <v>23019</v>
          </cell>
          <cell r="E3044" t="str">
            <v>E SWG</v>
          </cell>
          <cell r="F3044">
            <v>2</v>
          </cell>
          <cell r="G3044" t="str">
            <v>CB162108081H01</v>
          </cell>
          <cell r="H3044">
            <v>1.5</v>
          </cell>
          <cell r="I3044">
            <v>1</v>
          </cell>
          <cell r="J3044">
            <v>2</v>
          </cell>
          <cell r="K3044">
            <v>2</v>
          </cell>
        </row>
        <row r="3045">
          <cell r="A3045" t="str">
            <v>M2</v>
          </cell>
          <cell r="B3045" t="str">
            <v>A5C</v>
          </cell>
          <cell r="C3045" t="str">
            <v>P</v>
          </cell>
          <cell r="D3045" t="str">
            <v>23039</v>
          </cell>
          <cell r="E3045" t="str">
            <v>E SWG</v>
          </cell>
          <cell r="F3045">
            <v>2</v>
          </cell>
          <cell r="G3045" t="str">
            <v>CB162108081H01</v>
          </cell>
          <cell r="H3045">
            <v>1.5</v>
          </cell>
          <cell r="I3045">
            <v>1</v>
          </cell>
          <cell r="J3045">
            <v>2</v>
          </cell>
          <cell r="K3045">
            <v>2</v>
          </cell>
        </row>
        <row r="3046">
          <cell r="A3046" t="str">
            <v>M2</v>
          </cell>
          <cell r="B3046" t="str">
            <v>A5C</v>
          </cell>
          <cell r="C3046" t="str">
            <v>P</v>
          </cell>
          <cell r="D3046" t="str">
            <v>23027</v>
          </cell>
          <cell r="E3046" t="str">
            <v>E SWG</v>
          </cell>
          <cell r="F3046">
            <v>2</v>
          </cell>
          <cell r="G3046" t="str">
            <v>CB162108081H01</v>
          </cell>
          <cell r="H3046">
            <v>1.5</v>
          </cell>
          <cell r="I3046">
            <v>1</v>
          </cell>
          <cell r="J3046">
            <v>1</v>
          </cell>
          <cell r="K3046">
            <v>1</v>
          </cell>
        </row>
        <row r="3047">
          <cell r="A3047" t="str">
            <v>M2</v>
          </cell>
          <cell r="B3047" t="str">
            <v>A5C</v>
          </cell>
          <cell r="C3047" t="str">
            <v>P</v>
          </cell>
          <cell r="D3047" t="str">
            <v>23077</v>
          </cell>
          <cell r="E3047" t="str">
            <v>E SWG</v>
          </cell>
          <cell r="F3047">
            <v>2</v>
          </cell>
          <cell r="G3047" t="str">
            <v>CB162108081H01</v>
          </cell>
          <cell r="H3047">
            <v>1.5</v>
          </cell>
          <cell r="I3047">
            <v>1</v>
          </cell>
          <cell r="J3047">
            <v>2</v>
          </cell>
          <cell r="K3047">
            <v>2</v>
          </cell>
        </row>
        <row r="3048">
          <cell r="A3048" t="str">
            <v>M2</v>
          </cell>
          <cell r="B3048" t="str">
            <v>A5C</v>
          </cell>
          <cell r="C3048" t="str">
            <v>P</v>
          </cell>
          <cell r="D3048" t="str">
            <v>23019</v>
          </cell>
          <cell r="E3048" t="str">
            <v>R TEE</v>
          </cell>
          <cell r="F3048">
            <v>2</v>
          </cell>
          <cell r="G3048" t="str">
            <v>CB400400001H01</v>
          </cell>
          <cell r="H3048">
            <v>1.5</v>
          </cell>
          <cell r="I3048">
            <v>1</v>
          </cell>
          <cell r="J3048">
            <v>1</v>
          </cell>
          <cell r="K3048">
            <v>1</v>
          </cell>
        </row>
        <row r="3049">
          <cell r="A3049" t="str">
            <v>M2</v>
          </cell>
          <cell r="B3049" t="str">
            <v>A5C</v>
          </cell>
          <cell r="C3049" t="str">
            <v>P</v>
          </cell>
          <cell r="D3049" t="str">
            <v>23019</v>
          </cell>
          <cell r="E3049" t="str">
            <v>R TEE</v>
          </cell>
          <cell r="F3049">
            <v>2</v>
          </cell>
          <cell r="G3049" t="str">
            <v>CB400400001H0T</v>
          </cell>
          <cell r="H3049">
            <v>1.5</v>
          </cell>
          <cell r="I3049">
            <v>0.75</v>
          </cell>
          <cell r="J3049">
            <v>1</v>
          </cell>
          <cell r="K3049">
            <v>1</v>
          </cell>
        </row>
        <row r="3050">
          <cell r="A3050" t="str">
            <v>M2</v>
          </cell>
          <cell r="B3050" t="str">
            <v>A5C</v>
          </cell>
          <cell r="C3050" t="str">
            <v>P</v>
          </cell>
          <cell r="D3050" t="str">
            <v>23027</v>
          </cell>
          <cell r="E3050" t="str">
            <v>R TEE</v>
          </cell>
          <cell r="F3050">
            <v>2</v>
          </cell>
          <cell r="G3050" t="str">
            <v>CB400400001H01</v>
          </cell>
          <cell r="H3050">
            <v>1.5</v>
          </cell>
          <cell r="I3050">
            <v>1</v>
          </cell>
          <cell r="J3050">
            <v>1</v>
          </cell>
          <cell r="K3050">
            <v>1</v>
          </cell>
        </row>
        <row r="3051">
          <cell r="A3051" t="str">
            <v>M2</v>
          </cell>
          <cell r="B3051" t="str">
            <v>A5C</v>
          </cell>
          <cell r="C3051" t="str">
            <v>P</v>
          </cell>
          <cell r="D3051" t="str">
            <v>23027</v>
          </cell>
          <cell r="E3051" t="str">
            <v>R TEE</v>
          </cell>
          <cell r="F3051">
            <v>2</v>
          </cell>
          <cell r="G3051" t="str">
            <v>CB400400001H0T</v>
          </cell>
          <cell r="H3051">
            <v>1.5</v>
          </cell>
          <cell r="I3051">
            <v>0.75</v>
          </cell>
          <cell r="J3051">
            <v>1</v>
          </cell>
          <cell r="K3051">
            <v>1</v>
          </cell>
        </row>
        <row r="3052">
          <cell r="A3052" t="str">
            <v>M2</v>
          </cell>
          <cell r="B3052" t="str">
            <v>A5C</v>
          </cell>
          <cell r="C3052" t="str">
            <v>P</v>
          </cell>
          <cell r="D3052" t="str">
            <v>23033</v>
          </cell>
          <cell r="E3052" t="str">
            <v>R TEE</v>
          </cell>
          <cell r="F3052">
            <v>2</v>
          </cell>
          <cell r="G3052" t="str">
            <v>CB400400001H0T</v>
          </cell>
          <cell r="H3052">
            <v>1.5</v>
          </cell>
          <cell r="I3052">
            <v>0.75</v>
          </cell>
          <cell r="J3052">
            <v>4</v>
          </cell>
          <cell r="K3052">
            <v>4</v>
          </cell>
        </row>
        <row r="3053">
          <cell r="A3053" t="str">
            <v>M2</v>
          </cell>
          <cell r="B3053" t="str">
            <v>A5C</v>
          </cell>
          <cell r="C3053" t="str">
            <v>P</v>
          </cell>
          <cell r="D3053" t="str">
            <v>23039</v>
          </cell>
          <cell r="E3053" t="str">
            <v>R TEE</v>
          </cell>
          <cell r="F3053">
            <v>2</v>
          </cell>
          <cell r="G3053" t="str">
            <v>CB400400001H0T</v>
          </cell>
          <cell r="H3053">
            <v>1.5</v>
          </cell>
          <cell r="I3053">
            <v>0.75</v>
          </cell>
          <cell r="J3053">
            <v>4</v>
          </cell>
          <cell r="K3053">
            <v>4</v>
          </cell>
        </row>
        <row r="3054">
          <cell r="A3054" t="str">
            <v>M2</v>
          </cell>
          <cell r="B3054" t="str">
            <v>A5C</v>
          </cell>
          <cell r="C3054" t="str">
            <v>P</v>
          </cell>
          <cell r="D3054" t="str">
            <v>23039</v>
          </cell>
          <cell r="E3054" t="str">
            <v>R TEE</v>
          </cell>
          <cell r="F3054">
            <v>2</v>
          </cell>
          <cell r="G3054" t="str">
            <v>CB400400001H0T</v>
          </cell>
          <cell r="H3054">
            <v>1.5</v>
          </cell>
          <cell r="I3054">
            <v>0.75</v>
          </cell>
          <cell r="J3054">
            <v>1</v>
          </cell>
          <cell r="K3054">
            <v>1</v>
          </cell>
        </row>
        <row r="3055">
          <cell r="A3055" t="str">
            <v>M2</v>
          </cell>
          <cell r="B3055" t="str">
            <v>A5C</v>
          </cell>
          <cell r="C3055" t="str">
            <v>P</v>
          </cell>
          <cell r="D3055" t="str">
            <v>23039</v>
          </cell>
          <cell r="E3055" t="str">
            <v>R TEE</v>
          </cell>
          <cell r="F3055">
            <v>2</v>
          </cell>
          <cell r="G3055" t="str">
            <v>CB400400001H01</v>
          </cell>
          <cell r="H3055">
            <v>1.5</v>
          </cell>
          <cell r="I3055">
            <v>1</v>
          </cell>
          <cell r="J3055">
            <v>2</v>
          </cell>
          <cell r="K3055">
            <v>2</v>
          </cell>
        </row>
        <row r="3056">
          <cell r="A3056" t="str">
            <v>M2</v>
          </cell>
          <cell r="B3056" t="str">
            <v>A5C</v>
          </cell>
          <cell r="C3056" t="str">
            <v>P</v>
          </cell>
          <cell r="D3056" t="str">
            <v>23008</v>
          </cell>
          <cell r="E3056" t="str">
            <v>TEE</v>
          </cell>
          <cell r="F3056">
            <v>2</v>
          </cell>
          <cell r="G3056" t="str">
            <v>CB400300001H00</v>
          </cell>
          <cell r="H3056">
            <v>1.5</v>
          </cell>
          <cell r="I3056" t="str">
            <v>--</v>
          </cell>
          <cell r="J3056">
            <v>2</v>
          </cell>
          <cell r="K3056">
            <v>2</v>
          </cell>
        </row>
        <row r="3057">
          <cell r="A3057" t="str">
            <v>M2</v>
          </cell>
          <cell r="B3057" t="str">
            <v>A5C</v>
          </cell>
          <cell r="C3057" t="str">
            <v>P</v>
          </cell>
          <cell r="D3057" t="str">
            <v>23019</v>
          </cell>
          <cell r="E3057" t="str">
            <v>TEE</v>
          </cell>
          <cell r="F3057">
            <v>2</v>
          </cell>
          <cell r="G3057" t="str">
            <v>CB400300001H00</v>
          </cell>
          <cell r="H3057">
            <v>1.5</v>
          </cell>
          <cell r="I3057" t="str">
            <v>--</v>
          </cell>
          <cell r="J3057">
            <v>1</v>
          </cell>
          <cell r="K3057">
            <v>1</v>
          </cell>
        </row>
        <row r="3058">
          <cell r="A3058" t="str">
            <v>M2</v>
          </cell>
          <cell r="B3058" t="str">
            <v>A5C</v>
          </cell>
          <cell r="C3058" t="str">
            <v>P</v>
          </cell>
          <cell r="D3058" t="str">
            <v>23027</v>
          </cell>
          <cell r="E3058" t="str">
            <v>TEE</v>
          </cell>
          <cell r="F3058">
            <v>2</v>
          </cell>
          <cell r="G3058" t="str">
            <v>CB400300001H00</v>
          </cell>
          <cell r="H3058">
            <v>1.5</v>
          </cell>
          <cell r="I3058" t="str">
            <v>--</v>
          </cell>
          <cell r="J3058">
            <v>1</v>
          </cell>
          <cell r="K3058">
            <v>1</v>
          </cell>
        </row>
        <row r="3059">
          <cell r="A3059" t="str">
            <v>M2</v>
          </cell>
          <cell r="B3059" t="str">
            <v>A5C</v>
          </cell>
          <cell r="C3059" t="str">
            <v>P</v>
          </cell>
          <cell r="D3059" t="str">
            <v>23033</v>
          </cell>
          <cell r="E3059" t="str">
            <v>TEE</v>
          </cell>
          <cell r="F3059">
            <v>2</v>
          </cell>
          <cell r="G3059" t="str">
            <v>CB400300001H00</v>
          </cell>
          <cell r="H3059">
            <v>1.5</v>
          </cell>
          <cell r="I3059" t="str">
            <v>--</v>
          </cell>
          <cell r="J3059">
            <v>2</v>
          </cell>
          <cell r="K3059">
            <v>2</v>
          </cell>
        </row>
        <row r="3060">
          <cell r="A3060" t="str">
            <v>M2</v>
          </cell>
          <cell r="B3060" t="str">
            <v>A5C</v>
          </cell>
          <cell r="C3060" t="str">
            <v>P</v>
          </cell>
          <cell r="D3060" t="str">
            <v>23044</v>
          </cell>
          <cell r="E3060" t="str">
            <v>TEE</v>
          </cell>
          <cell r="F3060">
            <v>2</v>
          </cell>
          <cell r="G3060" t="str">
            <v>CB400300001H00</v>
          </cell>
          <cell r="H3060">
            <v>1.5</v>
          </cell>
          <cell r="I3060" t="str">
            <v>--</v>
          </cell>
          <cell r="J3060">
            <v>1</v>
          </cell>
          <cell r="K3060">
            <v>1</v>
          </cell>
        </row>
        <row r="3061">
          <cell r="A3061" t="str">
            <v>M2</v>
          </cell>
          <cell r="B3061" t="str">
            <v>A5C</v>
          </cell>
          <cell r="C3061" t="str">
            <v>P</v>
          </cell>
          <cell r="D3061" t="str">
            <v>23077</v>
          </cell>
          <cell r="E3061" t="str">
            <v>TEE</v>
          </cell>
          <cell r="F3061">
            <v>2</v>
          </cell>
          <cell r="G3061" t="str">
            <v>CB400300001H00</v>
          </cell>
          <cell r="H3061">
            <v>1.5</v>
          </cell>
          <cell r="I3061" t="str">
            <v>--</v>
          </cell>
          <cell r="J3061">
            <v>1</v>
          </cell>
          <cell r="K3061">
            <v>1</v>
          </cell>
        </row>
        <row r="3062">
          <cell r="A3062" t="str">
            <v>M2</v>
          </cell>
          <cell r="B3062" t="str">
            <v>A5C</v>
          </cell>
          <cell r="C3062" t="str">
            <v>P</v>
          </cell>
          <cell r="D3062" t="str">
            <v>23170</v>
          </cell>
          <cell r="E3062" t="str">
            <v>TEE</v>
          </cell>
          <cell r="F3062">
            <v>2</v>
          </cell>
          <cell r="G3062" t="str">
            <v>CB400300001H00</v>
          </cell>
          <cell r="H3062">
            <v>1.5</v>
          </cell>
          <cell r="I3062" t="str">
            <v>--</v>
          </cell>
          <cell r="J3062">
            <v>2</v>
          </cell>
          <cell r="K3062">
            <v>2</v>
          </cell>
        </row>
        <row r="3063">
          <cell r="A3063" t="str">
            <v>M2</v>
          </cell>
          <cell r="B3063" t="str">
            <v>A5C</v>
          </cell>
          <cell r="C3063" t="str">
            <v>P</v>
          </cell>
          <cell r="D3063" t="str">
            <v>23216</v>
          </cell>
          <cell r="E3063" t="str">
            <v>TEE</v>
          </cell>
          <cell r="F3063">
            <v>2</v>
          </cell>
          <cell r="G3063" t="str">
            <v>CB400300001H00</v>
          </cell>
          <cell r="H3063">
            <v>1.5</v>
          </cell>
          <cell r="I3063" t="str">
            <v>--</v>
          </cell>
          <cell r="J3063">
            <v>1</v>
          </cell>
          <cell r="K3063">
            <v>1</v>
          </cell>
        </row>
        <row r="3064">
          <cell r="A3064" t="str">
            <v>M2</v>
          </cell>
          <cell r="B3064" t="str">
            <v>A5C</v>
          </cell>
          <cell r="C3064" t="str">
            <v>P</v>
          </cell>
          <cell r="D3064" t="str">
            <v>23039</v>
          </cell>
          <cell r="E3064" t="str">
            <v>TEE</v>
          </cell>
          <cell r="F3064">
            <v>2</v>
          </cell>
          <cell r="G3064" t="str">
            <v>CB400300001H00</v>
          </cell>
          <cell r="H3064">
            <v>1.5</v>
          </cell>
          <cell r="I3064" t="str">
            <v>--</v>
          </cell>
          <cell r="J3064">
            <v>1</v>
          </cell>
          <cell r="K3064">
            <v>1</v>
          </cell>
        </row>
        <row r="3065">
          <cell r="A3065" t="str">
            <v>M2</v>
          </cell>
          <cell r="B3065" t="str">
            <v>A5C</v>
          </cell>
          <cell r="C3065" t="str">
            <v>P</v>
          </cell>
          <cell r="D3065" t="str">
            <v>23009</v>
          </cell>
          <cell r="E3065" t="str">
            <v>45 ELL</v>
          </cell>
          <cell r="F3065">
            <v>2</v>
          </cell>
          <cell r="G3065" t="str">
            <v>CB400200001H00</v>
          </cell>
          <cell r="H3065">
            <v>1.5</v>
          </cell>
          <cell r="I3065" t="str">
            <v>--</v>
          </cell>
          <cell r="J3065">
            <v>1</v>
          </cell>
          <cell r="K3065">
            <v>1</v>
          </cell>
        </row>
        <row r="3066">
          <cell r="A3066" t="str">
            <v>M2</v>
          </cell>
          <cell r="B3066" t="str">
            <v>A5C</v>
          </cell>
          <cell r="C3066" t="str">
            <v>P</v>
          </cell>
          <cell r="D3066" t="str">
            <v>23009</v>
          </cell>
          <cell r="E3066" t="str">
            <v>90 ELL</v>
          </cell>
          <cell r="F3066">
            <v>2</v>
          </cell>
          <cell r="G3066" t="str">
            <v>CB400100001H00</v>
          </cell>
          <cell r="H3066">
            <v>1.5</v>
          </cell>
          <cell r="I3066" t="str">
            <v>--</v>
          </cell>
          <cell r="J3066">
            <v>6</v>
          </cell>
          <cell r="K3066">
            <v>6</v>
          </cell>
        </row>
        <row r="3067">
          <cell r="A3067" t="str">
            <v>M2</v>
          </cell>
          <cell r="B3067" t="str">
            <v>A5C</v>
          </cell>
          <cell r="C3067" t="str">
            <v>P</v>
          </cell>
          <cell r="D3067" t="str">
            <v>24001</v>
          </cell>
          <cell r="E3067" t="str">
            <v>90 ELL</v>
          </cell>
          <cell r="F3067">
            <v>2</v>
          </cell>
          <cell r="G3067" t="str">
            <v>CB400100001H00</v>
          </cell>
          <cell r="H3067">
            <v>1.5</v>
          </cell>
          <cell r="I3067" t="str">
            <v>--</v>
          </cell>
          <cell r="J3067">
            <v>4</v>
          </cell>
          <cell r="K3067">
            <v>4</v>
          </cell>
        </row>
        <row r="3068">
          <cell r="A3068" t="str">
            <v>M2</v>
          </cell>
          <cell r="B3068" t="str">
            <v>A5C</v>
          </cell>
          <cell r="C3068" t="str">
            <v>P</v>
          </cell>
          <cell r="D3068" t="str">
            <v>24012</v>
          </cell>
          <cell r="E3068" t="str">
            <v>90 ELL</v>
          </cell>
          <cell r="F3068">
            <v>2</v>
          </cell>
          <cell r="G3068" t="str">
            <v>CB400100001H00</v>
          </cell>
          <cell r="H3068">
            <v>1.5</v>
          </cell>
          <cell r="I3068" t="str">
            <v>--</v>
          </cell>
          <cell r="J3068">
            <v>3</v>
          </cell>
          <cell r="K3068">
            <v>3</v>
          </cell>
        </row>
        <row r="3069">
          <cell r="A3069" t="str">
            <v>M2</v>
          </cell>
          <cell r="B3069" t="str">
            <v>A5C</v>
          </cell>
          <cell r="C3069" t="str">
            <v>P</v>
          </cell>
          <cell r="D3069" t="str">
            <v>24001</v>
          </cell>
          <cell r="E3069" t="str">
            <v>C SWG</v>
          </cell>
          <cell r="F3069">
            <v>2</v>
          </cell>
          <cell r="G3069" t="str">
            <v>CB161108081H01</v>
          </cell>
          <cell r="H3069">
            <v>1.5</v>
          </cell>
          <cell r="I3069">
            <v>1</v>
          </cell>
          <cell r="J3069">
            <v>2</v>
          </cell>
          <cell r="K3069">
            <v>2</v>
          </cell>
        </row>
        <row r="3070">
          <cell r="A3070" t="str">
            <v>M2</v>
          </cell>
          <cell r="B3070" t="str">
            <v>A5C</v>
          </cell>
          <cell r="C3070" t="str">
            <v>P</v>
          </cell>
          <cell r="D3070" t="str">
            <v>23009</v>
          </cell>
          <cell r="E3070" t="str">
            <v>CPLG</v>
          </cell>
          <cell r="F3070">
            <v>2</v>
          </cell>
          <cell r="G3070" t="str">
            <v>CB400500001H00</v>
          </cell>
          <cell r="H3070">
            <v>1.5</v>
          </cell>
          <cell r="I3070" t="str">
            <v>--</v>
          </cell>
          <cell r="J3070">
            <v>2</v>
          </cell>
          <cell r="K3070">
            <v>2</v>
          </cell>
        </row>
        <row r="3071">
          <cell r="A3071" t="str">
            <v>M2</v>
          </cell>
          <cell r="B3071" t="str">
            <v>A5C</v>
          </cell>
          <cell r="C3071" t="str">
            <v>P</v>
          </cell>
          <cell r="D3071" t="str">
            <v>23009</v>
          </cell>
          <cell r="E3071" t="str">
            <v>E SWG</v>
          </cell>
          <cell r="F3071">
            <v>2</v>
          </cell>
          <cell r="G3071" t="str">
            <v>CB162108081H01</v>
          </cell>
          <cell r="H3071">
            <v>1.5</v>
          </cell>
          <cell r="I3071">
            <v>1</v>
          </cell>
          <cell r="J3071">
            <v>2</v>
          </cell>
          <cell r="K3071">
            <v>2</v>
          </cell>
        </row>
        <row r="3072">
          <cell r="A3072" t="str">
            <v>M2</v>
          </cell>
          <cell r="B3072" t="str">
            <v>A5C</v>
          </cell>
          <cell r="C3072" t="str">
            <v>P</v>
          </cell>
          <cell r="D3072" t="str">
            <v>24001</v>
          </cell>
          <cell r="E3072" t="str">
            <v>R TEE</v>
          </cell>
          <cell r="F3072">
            <v>2</v>
          </cell>
          <cell r="G3072" t="str">
            <v>CB400400001H0T</v>
          </cell>
          <cell r="H3072">
            <v>1.5</v>
          </cell>
          <cell r="I3072">
            <v>0.75</v>
          </cell>
          <cell r="J3072">
            <v>2</v>
          </cell>
          <cell r="K3072">
            <v>2</v>
          </cell>
        </row>
        <row r="3073">
          <cell r="A3073" t="str">
            <v>M2</v>
          </cell>
          <cell r="B3073" t="str">
            <v>A5C</v>
          </cell>
          <cell r="C3073" t="str">
            <v>P</v>
          </cell>
          <cell r="D3073" t="str">
            <v>23009</v>
          </cell>
          <cell r="E3073" t="str">
            <v>TEE</v>
          </cell>
          <cell r="F3073">
            <v>2</v>
          </cell>
          <cell r="G3073" t="str">
            <v>CB400300001H00</v>
          </cell>
          <cell r="H3073">
            <v>1.5</v>
          </cell>
          <cell r="I3073" t="str">
            <v>--</v>
          </cell>
          <cell r="J3073">
            <v>1</v>
          </cell>
          <cell r="K3073">
            <v>1</v>
          </cell>
        </row>
        <row r="3074">
          <cell r="A3074" t="str">
            <v>M2</v>
          </cell>
          <cell r="B3074" t="str">
            <v>A5C</v>
          </cell>
          <cell r="C3074" t="str">
            <v>P</v>
          </cell>
          <cell r="D3074" t="str">
            <v>24001</v>
          </cell>
          <cell r="E3074" t="str">
            <v>TEE</v>
          </cell>
          <cell r="F3074">
            <v>2</v>
          </cell>
          <cell r="G3074" t="str">
            <v>CB400300001H00</v>
          </cell>
          <cell r="H3074">
            <v>1.5</v>
          </cell>
          <cell r="I3074" t="str">
            <v>--</v>
          </cell>
          <cell r="J3074">
            <v>1</v>
          </cell>
          <cell r="K3074">
            <v>1</v>
          </cell>
        </row>
        <row r="3075">
          <cell r="A3075" t="str">
            <v>M2</v>
          </cell>
          <cell r="B3075" t="str">
            <v>A5C</v>
          </cell>
          <cell r="C3075" t="str">
            <v>P</v>
          </cell>
          <cell r="D3075" t="str">
            <v>24012</v>
          </cell>
          <cell r="E3075" t="str">
            <v>TEE</v>
          </cell>
          <cell r="F3075">
            <v>2</v>
          </cell>
          <cell r="G3075" t="str">
            <v>CB400300001H00</v>
          </cell>
          <cell r="H3075">
            <v>1.5</v>
          </cell>
          <cell r="I3075" t="str">
            <v>--</v>
          </cell>
          <cell r="J3075">
            <v>2</v>
          </cell>
          <cell r="K3075">
            <v>2</v>
          </cell>
        </row>
        <row r="3076">
          <cell r="A3076" t="str">
            <v>M2</v>
          </cell>
          <cell r="B3076" t="str">
            <v>A5C</v>
          </cell>
          <cell r="C3076" t="str">
            <v>P</v>
          </cell>
          <cell r="D3076" t="str">
            <v>HOLD1</v>
          </cell>
          <cell r="E3076" t="str">
            <v>90 ELL</v>
          </cell>
          <cell r="F3076">
            <v>2</v>
          </cell>
          <cell r="G3076" t="str">
            <v>CB300108000200</v>
          </cell>
          <cell r="H3076">
            <v>2</v>
          </cell>
          <cell r="I3076" t="str">
            <v>--</v>
          </cell>
          <cell r="J3076">
            <v>2</v>
          </cell>
          <cell r="K3076">
            <v>3</v>
          </cell>
        </row>
        <row r="3077">
          <cell r="A3077" t="str">
            <v>M2</v>
          </cell>
          <cell r="B3077" t="str">
            <v>A5C</v>
          </cell>
          <cell r="C3077" t="str">
            <v>P</v>
          </cell>
          <cell r="D3077" t="str">
            <v>23001</v>
          </cell>
          <cell r="E3077" t="str">
            <v>90 ELL</v>
          </cell>
          <cell r="F3077">
            <v>2</v>
          </cell>
          <cell r="G3077" t="str">
            <v>CB300108000200</v>
          </cell>
          <cell r="H3077">
            <v>2</v>
          </cell>
          <cell r="I3077" t="str">
            <v>--</v>
          </cell>
          <cell r="J3077">
            <v>8</v>
          </cell>
          <cell r="K3077">
            <v>9</v>
          </cell>
        </row>
        <row r="3078">
          <cell r="A3078" t="str">
            <v>M2</v>
          </cell>
          <cell r="B3078" t="str">
            <v>A5C</v>
          </cell>
          <cell r="C3078" t="str">
            <v>P</v>
          </cell>
          <cell r="D3078" t="str">
            <v>23011</v>
          </cell>
          <cell r="E3078" t="str">
            <v>90 ELL</v>
          </cell>
          <cell r="F3078">
            <v>2</v>
          </cell>
          <cell r="G3078" t="str">
            <v>CB300108000200</v>
          </cell>
          <cell r="H3078">
            <v>2</v>
          </cell>
          <cell r="I3078" t="str">
            <v>--</v>
          </cell>
          <cell r="J3078">
            <v>1</v>
          </cell>
          <cell r="K3078">
            <v>2</v>
          </cell>
        </row>
        <row r="3079">
          <cell r="A3079" t="str">
            <v>M2</v>
          </cell>
          <cell r="B3079" t="str">
            <v>A5C</v>
          </cell>
          <cell r="C3079" t="str">
            <v>P</v>
          </cell>
          <cell r="D3079" t="str">
            <v>23022</v>
          </cell>
          <cell r="E3079" t="str">
            <v>90 ELL</v>
          </cell>
          <cell r="F3079">
            <v>2</v>
          </cell>
          <cell r="G3079" t="str">
            <v>CB300108000200</v>
          </cell>
          <cell r="H3079">
            <v>2</v>
          </cell>
          <cell r="I3079" t="str">
            <v>--</v>
          </cell>
          <cell r="J3079">
            <v>1</v>
          </cell>
          <cell r="K3079">
            <v>2</v>
          </cell>
        </row>
        <row r="3080">
          <cell r="A3080" t="str">
            <v>M2</v>
          </cell>
          <cell r="B3080" t="str">
            <v>A5C</v>
          </cell>
          <cell r="C3080" t="str">
            <v>P</v>
          </cell>
          <cell r="D3080" t="str">
            <v>23046</v>
          </cell>
          <cell r="E3080" t="str">
            <v>90 ELL</v>
          </cell>
          <cell r="F3080">
            <v>2</v>
          </cell>
          <cell r="G3080" t="str">
            <v>CB300108000200</v>
          </cell>
          <cell r="H3080">
            <v>2</v>
          </cell>
          <cell r="I3080" t="str">
            <v>--</v>
          </cell>
          <cell r="J3080">
            <v>1</v>
          </cell>
          <cell r="K3080">
            <v>2</v>
          </cell>
        </row>
        <row r="3081">
          <cell r="A3081" t="str">
            <v>M2</v>
          </cell>
          <cell r="B3081" t="str">
            <v>A5C</v>
          </cell>
          <cell r="C3081" t="str">
            <v>P</v>
          </cell>
          <cell r="D3081" t="str">
            <v>23057</v>
          </cell>
          <cell r="E3081" t="str">
            <v>90 ELL</v>
          </cell>
          <cell r="F3081">
            <v>2</v>
          </cell>
          <cell r="G3081" t="str">
            <v>CB300108000200</v>
          </cell>
          <cell r="H3081">
            <v>2</v>
          </cell>
          <cell r="I3081" t="str">
            <v>--</v>
          </cell>
          <cell r="J3081">
            <v>1</v>
          </cell>
          <cell r="K3081">
            <v>2</v>
          </cell>
        </row>
        <row r="3082">
          <cell r="A3082" t="str">
            <v>M2</v>
          </cell>
          <cell r="B3082" t="str">
            <v>A5C</v>
          </cell>
          <cell r="C3082" t="str">
            <v>P</v>
          </cell>
          <cell r="D3082" t="str">
            <v>23073</v>
          </cell>
          <cell r="E3082" t="str">
            <v>90 ELL</v>
          </cell>
          <cell r="F3082">
            <v>2</v>
          </cell>
          <cell r="G3082" t="str">
            <v>CB300108000200</v>
          </cell>
          <cell r="H3082">
            <v>2</v>
          </cell>
          <cell r="I3082" t="str">
            <v>--</v>
          </cell>
          <cell r="J3082">
            <v>3</v>
          </cell>
          <cell r="K3082">
            <v>4</v>
          </cell>
        </row>
        <row r="3083">
          <cell r="A3083" t="str">
            <v>M2</v>
          </cell>
          <cell r="B3083" t="str">
            <v>A5C</v>
          </cell>
          <cell r="C3083" t="str">
            <v>P</v>
          </cell>
          <cell r="D3083" t="str">
            <v>23085</v>
          </cell>
          <cell r="E3083" t="str">
            <v>90 ELL</v>
          </cell>
          <cell r="F3083">
            <v>2</v>
          </cell>
          <cell r="G3083" t="str">
            <v>CB300108000200</v>
          </cell>
          <cell r="H3083">
            <v>2</v>
          </cell>
          <cell r="I3083" t="str">
            <v>--</v>
          </cell>
          <cell r="J3083">
            <v>8</v>
          </cell>
          <cell r="K3083">
            <v>9</v>
          </cell>
        </row>
        <row r="3084">
          <cell r="A3084" t="str">
            <v>M2</v>
          </cell>
          <cell r="B3084" t="str">
            <v>A5C</v>
          </cell>
          <cell r="C3084" t="str">
            <v>P</v>
          </cell>
          <cell r="D3084" t="str">
            <v>23102</v>
          </cell>
          <cell r="E3084" t="str">
            <v>90 ELL</v>
          </cell>
          <cell r="F3084">
            <v>2</v>
          </cell>
          <cell r="G3084" t="str">
            <v>CB300108000200</v>
          </cell>
          <cell r="H3084">
            <v>2</v>
          </cell>
          <cell r="I3084" t="str">
            <v>--</v>
          </cell>
          <cell r="J3084">
            <v>3</v>
          </cell>
          <cell r="K3084">
            <v>4</v>
          </cell>
        </row>
        <row r="3085">
          <cell r="A3085" t="str">
            <v>M2</v>
          </cell>
          <cell r="B3085" t="str">
            <v>A5C</v>
          </cell>
          <cell r="C3085" t="str">
            <v>P</v>
          </cell>
          <cell r="D3085" t="str">
            <v>23096</v>
          </cell>
          <cell r="E3085" t="str">
            <v>90 ELL</v>
          </cell>
          <cell r="F3085">
            <v>2</v>
          </cell>
          <cell r="G3085" t="str">
            <v>CB300108000200</v>
          </cell>
          <cell r="H3085">
            <v>2</v>
          </cell>
          <cell r="I3085" t="str">
            <v>--</v>
          </cell>
          <cell r="J3085">
            <v>11</v>
          </cell>
          <cell r="K3085">
            <v>13</v>
          </cell>
        </row>
        <row r="3086">
          <cell r="A3086" t="str">
            <v>M2</v>
          </cell>
          <cell r="B3086" t="str">
            <v>A5C</v>
          </cell>
          <cell r="C3086" t="str">
            <v>P</v>
          </cell>
          <cell r="D3086" t="str">
            <v>23115</v>
          </cell>
          <cell r="E3086" t="str">
            <v>90 ELL</v>
          </cell>
          <cell r="F3086">
            <v>2</v>
          </cell>
          <cell r="G3086" t="str">
            <v>CB300108000200</v>
          </cell>
          <cell r="H3086">
            <v>2</v>
          </cell>
          <cell r="I3086" t="str">
            <v>--</v>
          </cell>
          <cell r="J3086">
            <v>9</v>
          </cell>
          <cell r="K3086">
            <v>10</v>
          </cell>
        </row>
        <row r="3087">
          <cell r="A3087" t="str">
            <v>M2</v>
          </cell>
          <cell r="B3087" t="str">
            <v>A5C</v>
          </cell>
          <cell r="C3087" t="str">
            <v>P</v>
          </cell>
          <cell r="D3087" t="str">
            <v>23135</v>
          </cell>
          <cell r="E3087" t="str">
            <v>90 ELL</v>
          </cell>
          <cell r="F3087">
            <v>2</v>
          </cell>
          <cell r="G3087" t="str">
            <v>CB300108000200</v>
          </cell>
          <cell r="H3087">
            <v>2</v>
          </cell>
          <cell r="I3087" t="str">
            <v>--</v>
          </cell>
          <cell r="J3087">
            <v>11</v>
          </cell>
          <cell r="K3087">
            <v>13</v>
          </cell>
        </row>
        <row r="3088">
          <cell r="A3088" t="str">
            <v>M2</v>
          </cell>
          <cell r="B3088" t="str">
            <v>A5C</v>
          </cell>
          <cell r="C3088" t="str">
            <v>P</v>
          </cell>
          <cell r="D3088" t="str">
            <v>23192</v>
          </cell>
          <cell r="E3088" t="str">
            <v>90 ELL</v>
          </cell>
          <cell r="F3088">
            <v>2</v>
          </cell>
          <cell r="G3088" t="str">
            <v>CB300108000200</v>
          </cell>
          <cell r="H3088">
            <v>2</v>
          </cell>
          <cell r="I3088" t="str">
            <v>--</v>
          </cell>
          <cell r="J3088">
            <v>5</v>
          </cell>
          <cell r="K3088">
            <v>6</v>
          </cell>
        </row>
        <row r="3089">
          <cell r="A3089" t="str">
            <v>M2</v>
          </cell>
          <cell r="B3089" t="str">
            <v>A5C</v>
          </cell>
          <cell r="C3089" t="str">
            <v>P</v>
          </cell>
          <cell r="D3089" t="str">
            <v>23233</v>
          </cell>
          <cell r="E3089" t="str">
            <v>90 ELL</v>
          </cell>
          <cell r="F3089">
            <v>2</v>
          </cell>
          <cell r="G3089" t="str">
            <v>CB300108000200</v>
          </cell>
          <cell r="H3089">
            <v>2</v>
          </cell>
          <cell r="I3089" t="str">
            <v>--</v>
          </cell>
          <cell r="J3089">
            <v>5</v>
          </cell>
          <cell r="K3089">
            <v>6</v>
          </cell>
        </row>
        <row r="3090">
          <cell r="A3090" t="str">
            <v>M2</v>
          </cell>
          <cell r="B3090" t="str">
            <v>A5C</v>
          </cell>
          <cell r="C3090" t="str">
            <v>P</v>
          </cell>
          <cell r="D3090" t="str">
            <v>23251</v>
          </cell>
          <cell r="E3090" t="str">
            <v>90 ELL</v>
          </cell>
          <cell r="F3090">
            <v>2</v>
          </cell>
          <cell r="G3090" t="str">
            <v>CB300108000200</v>
          </cell>
          <cell r="H3090">
            <v>2</v>
          </cell>
          <cell r="I3090" t="str">
            <v>--</v>
          </cell>
          <cell r="J3090">
            <v>4</v>
          </cell>
          <cell r="K3090">
            <v>5</v>
          </cell>
        </row>
        <row r="3091">
          <cell r="A3091" t="str">
            <v>M2</v>
          </cell>
          <cell r="B3091" t="str">
            <v>A5C</v>
          </cell>
          <cell r="C3091" t="str">
            <v>P</v>
          </cell>
          <cell r="D3091" t="str">
            <v>23253</v>
          </cell>
          <cell r="E3091" t="str">
            <v>90 ELL</v>
          </cell>
          <cell r="F3091">
            <v>2</v>
          </cell>
          <cell r="G3091" t="str">
            <v>CB300108000200</v>
          </cell>
          <cell r="H3091">
            <v>2</v>
          </cell>
          <cell r="I3091" t="str">
            <v>--</v>
          </cell>
          <cell r="J3091">
            <v>1</v>
          </cell>
          <cell r="K3091">
            <v>2</v>
          </cell>
        </row>
        <row r="3092">
          <cell r="A3092" t="str">
            <v>M2</v>
          </cell>
          <cell r="B3092" t="str">
            <v>A5C</v>
          </cell>
          <cell r="C3092" t="str">
            <v>P</v>
          </cell>
          <cell r="D3092" t="str">
            <v>23255</v>
          </cell>
          <cell r="E3092" t="str">
            <v>90 ELL</v>
          </cell>
          <cell r="F3092">
            <v>2</v>
          </cell>
          <cell r="G3092" t="str">
            <v>CB300108000200</v>
          </cell>
          <cell r="H3092">
            <v>2</v>
          </cell>
          <cell r="I3092" t="str">
            <v>--</v>
          </cell>
          <cell r="J3092">
            <v>5</v>
          </cell>
          <cell r="K3092">
            <v>6</v>
          </cell>
        </row>
        <row r="3093">
          <cell r="A3093" t="str">
            <v>M2</v>
          </cell>
          <cell r="B3093" t="str">
            <v>A5C</v>
          </cell>
          <cell r="C3093" t="str">
            <v>P</v>
          </cell>
          <cell r="D3093" t="str">
            <v>23261</v>
          </cell>
          <cell r="E3093" t="str">
            <v>90 ELL</v>
          </cell>
          <cell r="F3093">
            <v>2</v>
          </cell>
          <cell r="G3093" t="str">
            <v>CB300108000200</v>
          </cell>
          <cell r="H3093">
            <v>2</v>
          </cell>
          <cell r="I3093" t="str">
            <v>--</v>
          </cell>
          <cell r="J3093">
            <v>4</v>
          </cell>
          <cell r="K3093">
            <v>5</v>
          </cell>
        </row>
        <row r="3094">
          <cell r="A3094" t="str">
            <v>M2</v>
          </cell>
          <cell r="B3094" t="str">
            <v>A5C</v>
          </cell>
          <cell r="C3094" t="str">
            <v>P</v>
          </cell>
          <cell r="D3094" t="str">
            <v>24006</v>
          </cell>
          <cell r="E3094" t="str">
            <v>90 ELL</v>
          </cell>
          <cell r="F3094">
            <v>2</v>
          </cell>
          <cell r="G3094" t="str">
            <v>CB300108000200</v>
          </cell>
          <cell r="H3094">
            <v>2</v>
          </cell>
          <cell r="I3094" t="str">
            <v>--</v>
          </cell>
          <cell r="J3094">
            <v>2</v>
          </cell>
          <cell r="K3094">
            <v>3</v>
          </cell>
        </row>
        <row r="3095">
          <cell r="A3095" t="str">
            <v>M2</v>
          </cell>
          <cell r="B3095" t="str">
            <v>A5C</v>
          </cell>
          <cell r="C3095" t="str">
            <v>TRIM</v>
          </cell>
          <cell r="D3095" t="str">
            <v>V-2316</v>
          </cell>
          <cell r="E3095" t="str">
            <v>90 ELL</v>
          </cell>
          <cell r="F3095">
            <v>2</v>
          </cell>
          <cell r="G3095" t="str">
            <v>CB300108000200</v>
          </cell>
          <cell r="H3095">
            <v>2</v>
          </cell>
          <cell r="I3095" t="str">
            <v>--</v>
          </cell>
          <cell r="J3095">
            <v>2</v>
          </cell>
          <cell r="K3095">
            <v>3</v>
          </cell>
        </row>
        <row r="3096">
          <cell r="A3096" t="str">
            <v>M2</v>
          </cell>
          <cell r="B3096" t="str">
            <v>A5C</v>
          </cell>
          <cell r="C3096" t="str">
            <v>P</v>
          </cell>
          <cell r="D3096" t="str">
            <v>23102</v>
          </cell>
          <cell r="E3096" t="str">
            <v>90 ELL</v>
          </cell>
          <cell r="F3096">
            <v>2</v>
          </cell>
          <cell r="G3096" t="str">
            <v>CB300108000200</v>
          </cell>
          <cell r="H3096">
            <v>2</v>
          </cell>
          <cell r="I3096" t="str">
            <v>--</v>
          </cell>
          <cell r="J3096">
            <v>2</v>
          </cell>
          <cell r="K3096">
            <v>3</v>
          </cell>
        </row>
        <row r="3097">
          <cell r="A3097" t="str">
            <v>M2</v>
          </cell>
          <cell r="B3097" t="str">
            <v>A5C</v>
          </cell>
          <cell r="C3097" t="str">
            <v>P</v>
          </cell>
          <cell r="D3097" t="str">
            <v>23131</v>
          </cell>
          <cell r="E3097" t="str">
            <v>90 ELL</v>
          </cell>
          <cell r="F3097">
            <v>2</v>
          </cell>
          <cell r="G3097" t="str">
            <v>CB300108000200</v>
          </cell>
          <cell r="H3097">
            <v>2</v>
          </cell>
          <cell r="I3097" t="str">
            <v>--</v>
          </cell>
          <cell r="J3097">
            <v>9</v>
          </cell>
          <cell r="K3097">
            <v>10</v>
          </cell>
        </row>
        <row r="3098">
          <cell r="A3098" t="str">
            <v>M2</v>
          </cell>
          <cell r="B3098" t="str">
            <v>A5C</v>
          </cell>
          <cell r="C3098" t="str">
            <v>P</v>
          </cell>
          <cell r="D3098" t="str">
            <v>23192</v>
          </cell>
          <cell r="E3098" t="str">
            <v>90 ELL</v>
          </cell>
          <cell r="F3098">
            <v>2</v>
          </cell>
          <cell r="G3098" t="str">
            <v>CB300108000200</v>
          </cell>
          <cell r="H3098">
            <v>2</v>
          </cell>
          <cell r="I3098" t="str">
            <v>--</v>
          </cell>
          <cell r="J3098">
            <v>5</v>
          </cell>
          <cell r="K3098">
            <v>6</v>
          </cell>
        </row>
        <row r="3099">
          <cell r="A3099" t="str">
            <v>M2</v>
          </cell>
          <cell r="B3099" t="str">
            <v>A5C</v>
          </cell>
          <cell r="C3099" t="str">
            <v>P</v>
          </cell>
          <cell r="D3099" t="str">
            <v>23229</v>
          </cell>
          <cell r="E3099" t="str">
            <v>90 ELL</v>
          </cell>
          <cell r="F3099">
            <v>2</v>
          </cell>
          <cell r="G3099" t="str">
            <v>CB300108000200</v>
          </cell>
          <cell r="H3099">
            <v>2</v>
          </cell>
          <cell r="I3099" t="str">
            <v>--</v>
          </cell>
          <cell r="J3099">
            <v>4</v>
          </cell>
          <cell r="K3099">
            <v>5</v>
          </cell>
        </row>
        <row r="3100">
          <cell r="A3100" t="str">
            <v>M2</v>
          </cell>
          <cell r="B3100" t="str">
            <v>A5C</v>
          </cell>
          <cell r="C3100" t="str">
            <v>P</v>
          </cell>
          <cell r="D3100" t="str">
            <v>23231</v>
          </cell>
          <cell r="E3100" t="str">
            <v>90 ELL</v>
          </cell>
          <cell r="F3100">
            <v>2</v>
          </cell>
          <cell r="G3100" t="str">
            <v>CB300108000200</v>
          </cell>
          <cell r="H3100">
            <v>2</v>
          </cell>
          <cell r="I3100" t="str">
            <v>--</v>
          </cell>
          <cell r="J3100">
            <v>1</v>
          </cell>
          <cell r="K3100">
            <v>2</v>
          </cell>
        </row>
        <row r="3101">
          <cell r="A3101" t="str">
            <v>M2</v>
          </cell>
          <cell r="B3101" t="str">
            <v>A5C</v>
          </cell>
          <cell r="C3101" t="str">
            <v>P</v>
          </cell>
          <cell r="D3101" t="str">
            <v>24021</v>
          </cell>
          <cell r="E3101" t="str">
            <v>90 ELL</v>
          </cell>
          <cell r="F3101">
            <v>2</v>
          </cell>
          <cell r="G3101" t="str">
            <v>CB300108000200</v>
          </cell>
          <cell r="H3101">
            <v>2</v>
          </cell>
          <cell r="I3101" t="str">
            <v>--</v>
          </cell>
          <cell r="J3101">
            <v>4</v>
          </cell>
          <cell r="K3101">
            <v>5</v>
          </cell>
        </row>
        <row r="3102">
          <cell r="A3102" t="str">
            <v>M2</v>
          </cell>
          <cell r="B3102" t="str">
            <v>A5C</v>
          </cell>
          <cell r="C3102" t="str">
            <v>P</v>
          </cell>
          <cell r="D3102" t="str">
            <v>23073</v>
          </cell>
          <cell r="E3102" t="str">
            <v>C SWG</v>
          </cell>
          <cell r="F3102">
            <v>2</v>
          </cell>
          <cell r="G3102" t="str">
            <v>CB1614080802IH</v>
          </cell>
          <cell r="H3102">
            <v>2</v>
          </cell>
          <cell r="I3102">
            <v>1.5</v>
          </cell>
          <cell r="J3102">
            <v>2</v>
          </cell>
          <cell r="K3102">
            <v>3</v>
          </cell>
        </row>
        <row r="3103">
          <cell r="A3103" t="str">
            <v>M2</v>
          </cell>
          <cell r="B3103" t="str">
            <v>A5C</v>
          </cell>
          <cell r="C3103" t="str">
            <v>P</v>
          </cell>
          <cell r="D3103" t="str">
            <v>23085</v>
          </cell>
          <cell r="E3103" t="str">
            <v>C SWG</v>
          </cell>
          <cell r="F3103">
            <v>2</v>
          </cell>
          <cell r="G3103" t="str">
            <v>CB1614080802IH</v>
          </cell>
          <cell r="H3103">
            <v>2</v>
          </cell>
          <cell r="I3103">
            <v>1.5</v>
          </cell>
          <cell r="J3103">
            <v>2</v>
          </cell>
          <cell r="K3103">
            <v>3</v>
          </cell>
        </row>
        <row r="3104">
          <cell r="A3104" t="str">
            <v>M2</v>
          </cell>
          <cell r="B3104" t="str">
            <v>A5C</v>
          </cell>
          <cell r="C3104" t="str">
            <v>P</v>
          </cell>
          <cell r="D3104" t="str">
            <v>23096</v>
          </cell>
          <cell r="E3104" t="str">
            <v>C SWG</v>
          </cell>
          <cell r="F3104">
            <v>2</v>
          </cell>
          <cell r="G3104" t="str">
            <v>CB1614080802IH</v>
          </cell>
          <cell r="H3104">
            <v>2</v>
          </cell>
          <cell r="I3104">
            <v>1.5</v>
          </cell>
          <cell r="J3104">
            <v>2</v>
          </cell>
          <cell r="K3104">
            <v>3</v>
          </cell>
        </row>
        <row r="3105">
          <cell r="A3105" t="str">
            <v>M2</v>
          </cell>
          <cell r="B3105" t="str">
            <v>A5C</v>
          </cell>
          <cell r="C3105" t="str">
            <v>P</v>
          </cell>
          <cell r="D3105" t="str">
            <v>23135</v>
          </cell>
          <cell r="E3105" t="str">
            <v>C SWG</v>
          </cell>
          <cell r="F3105">
            <v>2</v>
          </cell>
          <cell r="G3105" t="str">
            <v>CB1614080802IH</v>
          </cell>
          <cell r="H3105">
            <v>2</v>
          </cell>
          <cell r="I3105">
            <v>1.5</v>
          </cell>
          <cell r="J3105">
            <v>2</v>
          </cell>
          <cell r="K3105">
            <v>3</v>
          </cell>
        </row>
        <row r="3106">
          <cell r="A3106" t="str">
            <v>M2</v>
          </cell>
          <cell r="B3106" t="str">
            <v>A5C</v>
          </cell>
          <cell r="C3106" t="str">
            <v>P</v>
          </cell>
          <cell r="D3106" t="str">
            <v>23230</v>
          </cell>
          <cell r="E3106" t="str">
            <v>C SWG</v>
          </cell>
          <cell r="F3106">
            <v>2</v>
          </cell>
          <cell r="G3106" t="str">
            <v>CB161408080201</v>
          </cell>
          <cell r="H3106">
            <v>2</v>
          </cell>
          <cell r="I3106">
            <v>1</v>
          </cell>
          <cell r="J3106">
            <v>2</v>
          </cell>
          <cell r="K3106">
            <v>3</v>
          </cell>
        </row>
        <row r="3107">
          <cell r="A3107" t="str">
            <v>M2</v>
          </cell>
          <cell r="B3107" t="str">
            <v>A5C</v>
          </cell>
          <cell r="C3107" t="str">
            <v>P</v>
          </cell>
          <cell r="D3107" t="str">
            <v>23252</v>
          </cell>
          <cell r="E3107" t="str">
            <v>C SWG</v>
          </cell>
          <cell r="F3107">
            <v>2</v>
          </cell>
          <cell r="G3107" t="str">
            <v>CB161408080201</v>
          </cell>
          <cell r="H3107">
            <v>2</v>
          </cell>
          <cell r="I3107">
            <v>1</v>
          </cell>
          <cell r="J3107">
            <v>2</v>
          </cell>
          <cell r="K3107">
            <v>3</v>
          </cell>
        </row>
        <row r="3108">
          <cell r="A3108" t="str">
            <v>M2</v>
          </cell>
          <cell r="B3108" t="str">
            <v>A5C</v>
          </cell>
          <cell r="C3108" t="str">
            <v>P</v>
          </cell>
          <cell r="D3108" t="str">
            <v>23261</v>
          </cell>
          <cell r="E3108" t="str">
            <v>C SWG</v>
          </cell>
          <cell r="F3108">
            <v>2</v>
          </cell>
          <cell r="G3108" t="str">
            <v>CB161408080201</v>
          </cell>
          <cell r="H3108">
            <v>2</v>
          </cell>
          <cell r="I3108">
            <v>1</v>
          </cell>
          <cell r="J3108">
            <v>1</v>
          </cell>
          <cell r="K3108">
            <v>2</v>
          </cell>
        </row>
        <row r="3109">
          <cell r="A3109" t="str">
            <v>M2</v>
          </cell>
          <cell r="B3109" t="str">
            <v>A5C</v>
          </cell>
          <cell r="C3109" t="str">
            <v>P</v>
          </cell>
          <cell r="D3109" t="str">
            <v>24021</v>
          </cell>
          <cell r="E3109" t="str">
            <v>C SWG</v>
          </cell>
          <cell r="F3109">
            <v>2</v>
          </cell>
          <cell r="G3109" t="str">
            <v>CB1614080802IH</v>
          </cell>
          <cell r="H3109">
            <v>2</v>
          </cell>
          <cell r="I3109">
            <v>1.5</v>
          </cell>
          <cell r="J3109">
            <v>2</v>
          </cell>
          <cell r="K3109">
            <v>3</v>
          </cell>
        </row>
        <row r="3110">
          <cell r="A3110" t="str">
            <v>M2</v>
          </cell>
          <cell r="B3110" t="str">
            <v>A5C</v>
          </cell>
          <cell r="C3110" t="str">
            <v>P</v>
          </cell>
          <cell r="D3110" t="str">
            <v>23102</v>
          </cell>
          <cell r="E3110" t="str">
            <v>C SWG</v>
          </cell>
          <cell r="F3110">
            <v>2</v>
          </cell>
          <cell r="G3110" t="str">
            <v>CB1614080802IH</v>
          </cell>
          <cell r="H3110">
            <v>2</v>
          </cell>
          <cell r="I3110">
            <v>1.5</v>
          </cell>
          <cell r="J3110">
            <v>2</v>
          </cell>
          <cell r="K3110">
            <v>3</v>
          </cell>
        </row>
        <row r="3111">
          <cell r="A3111" t="str">
            <v>M2</v>
          </cell>
          <cell r="B3111" t="str">
            <v>A5C</v>
          </cell>
          <cell r="C3111" t="str">
            <v>P</v>
          </cell>
          <cell r="D3111" t="str">
            <v>24007</v>
          </cell>
          <cell r="E3111" t="str">
            <v>C SWG</v>
          </cell>
          <cell r="F3111">
            <v>2</v>
          </cell>
          <cell r="G3111" t="str">
            <v>CB161408080201</v>
          </cell>
          <cell r="H3111">
            <v>2</v>
          </cell>
          <cell r="I3111">
            <v>1</v>
          </cell>
          <cell r="J3111">
            <v>1</v>
          </cell>
          <cell r="K3111">
            <v>2</v>
          </cell>
        </row>
        <row r="3112">
          <cell r="A3112" t="str">
            <v>M2</v>
          </cell>
          <cell r="B3112" t="str">
            <v>A5C</v>
          </cell>
          <cell r="C3112" t="str">
            <v>P</v>
          </cell>
          <cell r="D3112" t="str">
            <v>24013</v>
          </cell>
          <cell r="E3112" t="str">
            <v>C SWG</v>
          </cell>
          <cell r="F3112">
            <v>2</v>
          </cell>
          <cell r="G3112" t="str">
            <v>CB161408080201</v>
          </cell>
          <cell r="H3112">
            <v>2</v>
          </cell>
          <cell r="I3112">
            <v>1</v>
          </cell>
          <cell r="J3112">
            <v>2</v>
          </cell>
          <cell r="K3112">
            <v>3</v>
          </cell>
        </row>
        <row r="3113">
          <cell r="A3113" t="str">
            <v>M2</v>
          </cell>
          <cell r="B3113" t="str">
            <v>A5C</v>
          </cell>
          <cell r="C3113" t="str">
            <v>P</v>
          </cell>
          <cell r="D3113" t="str">
            <v>23115</v>
          </cell>
          <cell r="E3113" t="str">
            <v>E SWG</v>
          </cell>
          <cell r="F3113">
            <v>2</v>
          </cell>
          <cell r="G3113" t="str">
            <v>CB1624080802IH</v>
          </cell>
          <cell r="H3113">
            <v>2</v>
          </cell>
          <cell r="I3113">
            <v>1.5</v>
          </cell>
          <cell r="J3113">
            <v>2</v>
          </cell>
          <cell r="K3113">
            <v>3</v>
          </cell>
        </row>
        <row r="3114">
          <cell r="A3114" t="str">
            <v>M2</v>
          </cell>
          <cell r="B3114" t="str">
            <v>A5C</v>
          </cell>
          <cell r="C3114" t="str">
            <v>P</v>
          </cell>
          <cell r="D3114" t="str">
            <v>23188</v>
          </cell>
          <cell r="E3114" t="str">
            <v>E SWG</v>
          </cell>
          <cell r="F3114">
            <v>2</v>
          </cell>
          <cell r="G3114" t="str">
            <v>CB16240808020T</v>
          </cell>
          <cell r="H3114">
            <v>2</v>
          </cell>
          <cell r="I3114">
            <v>0.75</v>
          </cell>
          <cell r="J3114">
            <v>2</v>
          </cell>
          <cell r="K3114">
            <v>3</v>
          </cell>
        </row>
        <row r="3115">
          <cell r="A3115" t="str">
            <v>M2</v>
          </cell>
          <cell r="B3115" t="str">
            <v>A5C</v>
          </cell>
          <cell r="C3115" t="str">
            <v>P</v>
          </cell>
          <cell r="D3115" t="str">
            <v>23192</v>
          </cell>
          <cell r="E3115" t="str">
            <v>E SWG</v>
          </cell>
          <cell r="F3115">
            <v>2</v>
          </cell>
          <cell r="G3115" t="str">
            <v>CB1624080802IH</v>
          </cell>
          <cell r="H3115">
            <v>2</v>
          </cell>
          <cell r="I3115">
            <v>1.5</v>
          </cell>
          <cell r="J3115">
            <v>2</v>
          </cell>
          <cell r="K3115">
            <v>3</v>
          </cell>
        </row>
        <row r="3116">
          <cell r="A3116" t="str">
            <v>M2</v>
          </cell>
          <cell r="B3116" t="str">
            <v>A5C</v>
          </cell>
          <cell r="C3116" t="str">
            <v>P</v>
          </cell>
          <cell r="D3116" t="str">
            <v>23001</v>
          </cell>
          <cell r="E3116" t="str">
            <v>E SWG</v>
          </cell>
          <cell r="F3116">
            <v>2</v>
          </cell>
          <cell r="G3116" t="str">
            <v>CB1624080802IH</v>
          </cell>
          <cell r="H3116">
            <v>2</v>
          </cell>
          <cell r="I3116">
            <v>1.5</v>
          </cell>
          <cell r="J3116">
            <v>2</v>
          </cell>
          <cell r="K3116">
            <v>3</v>
          </cell>
        </row>
        <row r="3117">
          <cell r="A3117" t="str">
            <v>M2</v>
          </cell>
          <cell r="B3117" t="str">
            <v>A5C</v>
          </cell>
          <cell r="C3117" t="str">
            <v>P</v>
          </cell>
          <cell r="D3117" t="str">
            <v>23035</v>
          </cell>
          <cell r="E3117" t="str">
            <v>E SWG</v>
          </cell>
          <cell r="F3117">
            <v>2</v>
          </cell>
          <cell r="G3117" t="str">
            <v>CB1624080802IH</v>
          </cell>
          <cell r="H3117">
            <v>2</v>
          </cell>
          <cell r="I3117">
            <v>1.5</v>
          </cell>
          <cell r="J3117">
            <v>2</v>
          </cell>
          <cell r="K3117">
            <v>3</v>
          </cell>
        </row>
        <row r="3118">
          <cell r="A3118" t="str">
            <v>M2</v>
          </cell>
          <cell r="B3118" t="str">
            <v>A5C</v>
          </cell>
          <cell r="C3118" t="str">
            <v>P</v>
          </cell>
          <cell r="D3118" t="str">
            <v>23073</v>
          </cell>
          <cell r="E3118" t="str">
            <v>SOL</v>
          </cell>
          <cell r="F3118">
            <v>2</v>
          </cell>
          <cell r="G3118" t="str">
            <v>CB39020000020T</v>
          </cell>
          <cell r="H3118">
            <v>2</v>
          </cell>
          <cell r="I3118">
            <v>0.75</v>
          </cell>
          <cell r="J3118">
            <v>2</v>
          </cell>
          <cell r="K3118">
            <v>3</v>
          </cell>
        </row>
        <row r="3119">
          <cell r="A3119" t="str">
            <v>M2</v>
          </cell>
          <cell r="B3119" t="str">
            <v>A5C</v>
          </cell>
          <cell r="C3119" t="str">
            <v>P</v>
          </cell>
          <cell r="D3119" t="str">
            <v>23085</v>
          </cell>
          <cell r="E3119" t="str">
            <v>SOL</v>
          </cell>
          <cell r="F3119">
            <v>2</v>
          </cell>
          <cell r="G3119" t="str">
            <v>CB39020000020T</v>
          </cell>
          <cell r="H3119">
            <v>2</v>
          </cell>
          <cell r="I3119">
            <v>0.75</v>
          </cell>
          <cell r="J3119">
            <v>3</v>
          </cell>
          <cell r="K3119">
            <v>4</v>
          </cell>
        </row>
        <row r="3120">
          <cell r="A3120" t="str">
            <v>M2</v>
          </cell>
          <cell r="B3120" t="str">
            <v>A5C</v>
          </cell>
          <cell r="C3120" t="str">
            <v>P</v>
          </cell>
          <cell r="D3120" t="str">
            <v>23102</v>
          </cell>
          <cell r="E3120" t="str">
            <v>SOL</v>
          </cell>
          <cell r="F3120">
            <v>2</v>
          </cell>
          <cell r="G3120" t="str">
            <v>CB390200000201</v>
          </cell>
          <cell r="H3120">
            <v>2</v>
          </cell>
          <cell r="I3120">
            <v>1</v>
          </cell>
          <cell r="J3120">
            <v>1</v>
          </cell>
          <cell r="K3120">
            <v>2</v>
          </cell>
        </row>
        <row r="3121">
          <cell r="A3121" t="str">
            <v>M2</v>
          </cell>
          <cell r="B3121" t="str">
            <v>A5C</v>
          </cell>
          <cell r="C3121" t="str">
            <v>P</v>
          </cell>
          <cell r="D3121" t="str">
            <v>23192</v>
          </cell>
          <cell r="E3121" t="str">
            <v>SOL</v>
          </cell>
          <cell r="F3121">
            <v>2</v>
          </cell>
          <cell r="G3121" t="str">
            <v>CB39020000020T</v>
          </cell>
          <cell r="H3121">
            <v>2</v>
          </cell>
          <cell r="I3121">
            <v>0.75</v>
          </cell>
          <cell r="J3121">
            <v>3</v>
          </cell>
          <cell r="K3121">
            <v>4</v>
          </cell>
        </row>
        <row r="3122">
          <cell r="A3122" t="str">
            <v>M2</v>
          </cell>
          <cell r="B3122" t="str">
            <v>A5C</v>
          </cell>
          <cell r="C3122" t="str">
            <v>P</v>
          </cell>
          <cell r="D3122" t="str">
            <v>23192</v>
          </cell>
          <cell r="E3122" t="str">
            <v>SOL</v>
          </cell>
          <cell r="F3122">
            <v>2</v>
          </cell>
          <cell r="G3122" t="str">
            <v>CB3902000002IH</v>
          </cell>
          <cell r="H3122">
            <v>2</v>
          </cell>
          <cell r="I3122">
            <v>1.5</v>
          </cell>
          <cell r="J3122">
            <v>2</v>
          </cell>
          <cell r="K3122">
            <v>3</v>
          </cell>
        </row>
        <row r="3123">
          <cell r="A3123" t="str">
            <v>M2</v>
          </cell>
          <cell r="B3123" t="str">
            <v>A5C</v>
          </cell>
          <cell r="C3123" t="str">
            <v>P</v>
          </cell>
          <cell r="D3123" t="str">
            <v>23229</v>
          </cell>
          <cell r="E3123" t="str">
            <v>SOL</v>
          </cell>
          <cell r="F3123">
            <v>2</v>
          </cell>
          <cell r="G3123" t="str">
            <v>CB39020000020T</v>
          </cell>
          <cell r="H3123">
            <v>2</v>
          </cell>
          <cell r="I3123">
            <v>0.75</v>
          </cell>
          <cell r="J3123">
            <v>1</v>
          </cell>
          <cell r="K3123">
            <v>2</v>
          </cell>
        </row>
        <row r="3124">
          <cell r="A3124" t="str">
            <v>M2</v>
          </cell>
          <cell r="B3124" t="str">
            <v>A5C</v>
          </cell>
          <cell r="C3124" t="str">
            <v>P</v>
          </cell>
          <cell r="D3124" t="str">
            <v>23251</v>
          </cell>
          <cell r="E3124" t="str">
            <v>SOL</v>
          </cell>
          <cell r="F3124">
            <v>2</v>
          </cell>
          <cell r="G3124" t="str">
            <v>CB39020000020T</v>
          </cell>
          <cell r="H3124">
            <v>2</v>
          </cell>
          <cell r="I3124">
            <v>0.75</v>
          </cell>
          <cell r="J3124">
            <v>1</v>
          </cell>
          <cell r="K3124">
            <v>2</v>
          </cell>
        </row>
        <row r="3125">
          <cell r="A3125" t="str">
            <v>M2</v>
          </cell>
          <cell r="B3125" t="str">
            <v>A5C</v>
          </cell>
          <cell r="C3125" t="str">
            <v>P</v>
          </cell>
          <cell r="D3125" t="str">
            <v>23253</v>
          </cell>
          <cell r="E3125" t="str">
            <v>SOL</v>
          </cell>
          <cell r="F3125">
            <v>2</v>
          </cell>
          <cell r="G3125" t="str">
            <v>CB3902000002IH</v>
          </cell>
          <cell r="H3125">
            <v>2</v>
          </cell>
          <cell r="I3125">
            <v>1.5</v>
          </cell>
          <cell r="J3125">
            <v>1</v>
          </cell>
          <cell r="K3125">
            <v>2</v>
          </cell>
        </row>
        <row r="3126">
          <cell r="A3126" t="str">
            <v>M2</v>
          </cell>
          <cell r="B3126" t="str">
            <v>A5C</v>
          </cell>
          <cell r="C3126" t="str">
            <v>P</v>
          </cell>
          <cell r="D3126" t="str">
            <v>23261</v>
          </cell>
          <cell r="E3126" t="str">
            <v>SOL</v>
          </cell>
          <cell r="F3126">
            <v>2</v>
          </cell>
          <cell r="G3126" t="str">
            <v>CB390200000201</v>
          </cell>
          <cell r="H3126">
            <v>2</v>
          </cell>
          <cell r="I3126">
            <v>1</v>
          </cell>
          <cell r="J3126">
            <v>1</v>
          </cell>
          <cell r="K3126">
            <v>2</v>
          </cell>
        </row>
        <row r="3127">
          <cell r="A3127" t="str">
            <v>M2</v>
          </cell>
          <cell r="B3127" t="str">
            <v>A5C</v>
          </cell>
          <cell r="C3127" t="str">
            <v>P</v>
          </cell>
          <cell r="D3127" t="str">
            <v>24006</v>
          </cell>
          <cell r="E3127" t="str">
            <v>SOL</v>
          </cell>
          <cell r="F3127">
            <v>2</v>
          </cell>
          <cell r="G3127" t="str">
            <v>CB39020000020T</v>
          </cell>
          <cell r="H3127">
            <v>2</v>
          </cell>
          <cell r="I3127">
            <v>0.75</v>
          </cell>
          <cell r="J3127">
            <v>1</v>
          </cell>
          <cell r="K3127">
            <v>2</v>
          </cell>
        </row>
        <row r="3128">
          <cell r="A3128" t="str">
            <v>M2</v>
          </cell>
          <cell r="B3128" t="str">
            <v>A5C</v>
          </cell>
          <cell r="C3128" t="str">
            <v>P</v>
          </cell>
          <cell r="D3128" t="str">
            <v>24021</v>
          </cell>
          <cell r="E3128" t="str">
            <v>SOL</v>
          </cell>
          <cell r="F3128">
            <v>2</v>
          </cell>
          <cell r="G3128" t="str">
            <v>CB39020000020T</v>
          </cell>
          <cell r="H3128">
            <v>2</v>
          </cell>
          <cell r="I3128">
            <v>0.75</v>
          </cell>
          <cell r="J3128">
            <v>2</v>
          </cell>
          <cell r="K3128">
            <v>3</v>
          </cell>
        </row>
        <row r="3129">
          <cell r="A3129" t="str">
            <v>M2</v>
          </cell>
          <cell r="B3129" t="str">
            <v>A5C</v>
          </cell>
          <cell r="C3129" t="str">
            <v>P</v>
          </cell>
          <cell r="D3129" t="str">
            <v>24020</v>
          </cell>
          <cell r="E3129" t="str">
            <v>SOL</v>
          </cell>
          <cell r="F3129">
            <v>2</v>
          </cell>
          <cell r="G3129" t="str">
            <v>CB390200000201</v>
          </cell>
          <cell r="H3129">
            <v>2</v>
          </cell>
          <cell r="I3129">
            <v>1</v>
          </cell>
          <cell r="J3129">
            <v>1</v>
          </cell>
          <cell r="K3129">
            <v>2</v>
          </cell>
        </row>
        <row r="3130">
          <cell r="A3130" t="str">
            <v>M2</v>
          </cell>
          <cell r="B3130" t="str">
            <v>A5C</v>
          </cell>
          <cell r="C3130" t="str">
            <v>P</v>
          </cell>
          <cell r="D3130" t="str">
            <v>23096</v>
          </cell>
          <cell r="E3130" t="str">
            <v>SOL</v>
          </cell>
          <cell r="F3130">
            <v>2</v>
          </cell>
          <cell r="G3130" t="str">
            <v>CB39020000020T</v>
          </cell>
          <cell r="H3130">
            <v>2</v>
          </cell>
          <cell r="I3130">
            <v>0.75</v>
          </cell>
          <cell r="J3130">
            <v>4</v>
          </cell>
          <cell r="K3130">
            <v>5</v>
          </cell>
        </row>
        <row r="3131">
          <cell r="A3131" t="str">
            <v>M2</v>
          </cell>
          <cell r="B3131" t="str">
            <v>A5C</v>
          </cell>
          <cell r="C3131" t="str">
            <v>P</v>
          </cell>
          <cell r="D3131" t="str">
            <v>23102</v>
          </cell>
          <cell r="E3131" t="str">
            <v>SOL</v>
          </cell>
          <cell r="F3131">
            <v>2</v>
          </cell>
          <cell r="G3131" t="str">
            <v>CB39020000020T</v>
          </cell>
          <cell r="H3131">
            <v>2</v>
          </cell>
          <cell r="I3131">
            <v>0.75</v>
          </cell>
          <cell r="J3131">
            <v>2</v>
          </cell>
          <cell r="K3131">
            <v>3</v>
          </cell>
        </row>
        <row r="3132">
          <cell r="A3132" t="str">
            <v>M2</v>
          </cell>
          <cell r="B3132" t="str">
            <v>A5C</v>
          </cell>
          <cell r="C3132" t="str">
            <v>P</v>
          </cell>
          <cell r="D3132" t="str">
            <v>23135</v>
          </cell>
          <cell r="E3132" t="str">
            <v>SOL</v>
          </cell>
          <cell r="F3132">
            <v>2</v>
          </cell>
          <cell r="G3132" t="str">
            <v>CB39020000020T</v>
          </cell>
          <cell r="H3132">
            <v>2</v>
          </cell>
          <cell r="I3132">
            <v>0.75</v>
          </cell>
          <cell r="J3132">
            <v>4</v>
          </cell>
          <cell r="K3132">
            <v>5</v>
          </cell>
        </row>
        <row r="3133">
          <cell r="A3133" t="str">
            <v>M2</v>
          </cell>
          <cell r="B3133" t="str">
            <v>A5C</v>
          </cell>
          <cell r="C3133" t="str">
            <v>P</v>
          </cell>
          <cell r="D3133" t="str">
            <v>23192</v>
          </cell>
          <cell r="E3133" t="str">
            <v>SOL</v>
          </cell>
          <cell r="F3133">
            <v>2</v>
          </cell>
          <cell r="G3133" t="str">
            <v>CB39020000020T</v>
          </cell>
          <cell r="H3133">
            <v>2</v>
          </cell>
          <cell r="I3133">
            <v>0.75</v>
          </cell>
          <cell r="J3133">
            <v>1</v>
          </cell>
          <cell r="K3133">
            <v>2</v>
          </cell>
        </row>
        <row r="3134">
          <cell r="A3134" t="str">
            <v>M2</v>
          </cell>
          <cell r="B3134" t="str">
            <v>A5C</v>
          </cell>
          <cell r="C3134" t="str">
            <v>P</v>
          </cell>
          <cell r="D3134" t="str">
            <v>23231</v>
          </cell>
          <cell r="E3134" t="str">
            <v>SOL</v>
          </cell>
          <cell r="F3134">
            <v>2</v>
          </cell>
          <cell r="G3134" t="str">
            <v>CB3902000002IH</v>
          </cell>
          <cell r="H3134">
            <v>2</v>
          </cell>
          <cell r="I3134">
            <v>1.5</v>
          </cell>
          <cell r="J3134">
            <v>1</v>
          </cell>
          <cell r="K3134">
            <v>2</v>
          </cell>
        </row>
        <row r="3135">
          <cell r="A3135" t="str">
            <v>M2</v>
          </cell>
          <cell r="B3135" t="str">
            <v>A5C</v>
          </cell>
          <cell r="C3135" t="str">
            <v>P</v>
          </cell>
          <cell r="D3135" t="str">
            <v>23001</v>
          </cell>
          <cell r="E3135" t="str">
            <v>TEE</v>
          </cell>
          <cell r="F3135">
            <v>2</v>
          </cell>
          <cell r="G3135" t="str">
            <v>CB300308000200</v>
          </cell>
          <cell r="H3135">
            <v>2</v>
          </cell>
          <cell r="I3135" t="str">
            <v>--</v>
          </cell>
          <cell r="J3135">
            <v>1</v>
          </cell>
          <cell r="K3135">
            <v>2</v>
          </cell>
        </row>
        <row r="3136">
          <cell r="A3136" t="str">
            <v>M2</v>
          </cell>
          <cell r="B3136" t="str">
            <v>A5C</v>
          </cell>
          <cell r="C3136" t="str">
            <v>P</v>
          </cell>
          <cell r="D3136" t="str">
            <v>23073</v>
          </cell>
          <cell r="E3136" t="str">
            <v>TEE</v>
          </cell>
          <cell r="F3136">
            <v>2</v>
          </cell>
          <cell r="G3136" t="str">
            <v>CB300308000200</v>
          </cell>
          <cell r="H3136">
            <v>2</v>
          </cell>
          <cell r="I3136" t="str">
            <v>--</v>
          </cell>
          <cell r="J3136">
            <v>1</v>
          </cell>
          <cell r="K3136">
            <v>2</v>
          </cell>
        </row>
        <row r="3137">
          <cell r="A3137" t="str">
            <v>M2</v>
          </cell>
          <cell r="B3137" t="str">
            <v>A5C</v>
          </cell>
          <cell r="C3137" t="str">
            <v>P</v>
          </cell>
          <cell r="D3137" t="str">
            <v>23085</v>
          </cell>
          <cell r="E3137" t="str">
            <v>TEE</v>
          </cell>
          <cell r="F3137">
            <v>2</v>
          </cell>
          <cell r="G3137" t="str">
            <v>CB300308000200</v>
          </cell>
          <cell r="H3137">
            <v>2</v>
          </cell>
          <cell r="I3137" t="str">
            <v>--</v>
          </cell>
          <cell r="J3137">
            <v>1</v>
          </cell>
          <cell r="K3137">
            <v>2</v>
          </cell>
        </row>
        <row r="3138">
          <cell r="A3138" t="str">
            <v>M2</v>
          </cell>
          <cell r="B3138" t="str">
            <v>A5C</v>
          </cell>
          <cell r="C3138" t="str">
            <v>P</v>
          </cell>
          <cell r="D3138" t="str">
            <v>23096</v>
          </cell>
          <cell r="E3138" t="str">
            <v>TEE</v>
          </cell>
          <cell r="F3138">
            <v>2</v>
          </cell>
          <cell r="G3138" t="str">
            <v>CB300308000200</v>
          </cell>
          <cell r="H3138">
            <v>2</v>
          </cell>
          <cell r="I3138" t="str">
            <v>--</v>
          </cell>
          <cell r="J3138">
            <v>3</v>
          </cell>
          <cell r="K3138">
            <v>4</v>
          </cell>
        </row>
        <row r="3139">
          <cell r="A3139" t="str">
            <v>M2</v>
          </cell>
          <cell r="B3139" t="str">
            <v>A5C</v>
          </cell>
          <cell r="C3139" t="str">
            <v>P</v>
          </cell>
          <cell r="D3139" t="str">
            <v>23102</v>
          </cell>
          <cell r="E3139" t="str">
            <v>TEE</v>
          </cell>
          <cell r="F3139">
            <v>2</v>
          </cell>
          <cell r="G3139" t="str">
            <v>CB300308000200</v>
          </cell>
          <cell r="H3139">
            <v>2</v>
          </cell>
          <cell r="I3139" t="str">
            <v>--</v>
          </cell>
          <cell r="J3139">
            <v>1</v>
          </cell>
          <cell r="K3139">
            <v>2</v>
          </cell>
        </row>
        <row r="3140">
          <cell r="A3140" t="str">
            <v>M2</v>
          </cell>
          <cell r="B3140" t="str">
            <v>A5C</v>
          </cell>
          <cell r="C3140" t="str">
            <v>P</v>
          </cell>
          <cell r="D3140" t="str">
            <v>23115</v>
          </cell>
          <cell r="E3140" t="str">
            <v>TEE</v>
          </cell>
          <cell r="F3140">
            <v>2</v>
          </cell>
          <cell r="G3140" t="str">
            <v>CB300308000200</v>
          </cell>
          <cell r="H3140">
            <v>2</v>
          </cell>
          <cell r="I3140" t="str">
            <v>--</v>
          </cell>
          <cell r="J3140">
            <v>1</v>
          </cell>
          <cell r="K3140">
            <v>2</v>
          </cell>
        </row>
        <row r="3141">
          <cell r="A3141" t="str">
            <v>M2</v>
          </cell>
          <cell r="B3141" t="str">
            <v>A5C</v>
          </cell>
          <cell r="C3141" t="str">
            <v>P</v>
          </cell>
          <cell r="D3141" t="str">
            <v>23261</v>
          </cell>
          <cell r="E3141" t="str">
            <v>TEE</v>
          </cell>
          <cell r="F3141">
            <v>2</v>
          </cell>
          <cell r="G3141" t="str">
            <v>CB300308000200</v>
          </cell>
          <cell r="H3141">
            <v>2</v>
          </cell>
          <cell r="I3141" t="str">
            <v>--</v>
          </cell>
          <cell r="J3141">
            <v>2</v>
          </cell>
          <cell r="K3141">
            <v>3</v>
          </cell>
        </row>
        <row r="3142">
          <cell r="A3142" t="str">
            <v>M2</v>
          </cell>
          <cell r="B3142" t="str">
            <v>A5C</v>
          </cell>
          <cell r="C3142" t="str">
            <v>P</v>
          </cell>
          <cell r="D3142" t="str">
            <v>24021</v>
          </cell>
          <cell r="E3142" t="str">
            <v>TEE</v>
          </cell>
          <cell r="F3142">
            <v>2</v>
          </cell>
          <cell r="G3142" t="str">
            <v>CB300308000200</v>
          </cell>
          <cell r="H3142">
            <v>2</v>
          </cell>
          <cell r="I3142" t="str">
            <v>--</v>
          </cell>
          <cell r="J3142">
            <v>1</v>
          </cell>
          <cell r="K3142">
            <v>2</v>
          </cell>
        </row>
        <row r="3143">
          <cell r="A3143" t="str">
            <v>M2</v>
          </cell>
          <cell r="B3143" t="str">
            <v>A5C</v>
          </cell>
          <cell r="C3143" t="str">
            <v>P</v>
          </cell>
          <cell r="D3143" t="str">
            <v>23135</v>
          </cell>
          <cell r="E3143" t="str">
            <v>TEE</v>
          </cell>
          <cell r="F3143">
            <v>2</v>
          </cell>
          <cell r="G3143" t="str">
            <v>CB300308000200</v>
          </cell>
          <cell r="H3143">
            <v>2</v>
          </cell>
          <cell r="I3143" t="str">
            <v>--</v>
          </cell>
          <cell r="J3143">
            <v>3</v>
          </cell>
          <cell r="K3143">
            <v>4</v>
          </cell>
        </row>
        <row r="3144">
          <cell r="A3144" t="str">
            <v>M2</v>
          </cell>
          <cell r="B3144" t="str">
            <v>A5C</v>
          </cell>
          <cell r="C3144" t="str">
            <v>P</v>
          </cell>
          <cell r="D3144" t="str">
            <v>HOLD1</v>
          </cell>
          <cell r="E3144" t="str">
            <v>TOL</v>
          </cell>
          <cell r="F3144">
            <v>2</v>
          </cell>
          <cell r="G3144" t="str">
            <v>CB39030000020T</v>
          </cell>
          <cell r="H3144">
            <v>2</v>
          </cell>
          <cell r="I3144">
            <v>0.75</v>
          </cell>
          <cell r="J3144">
            <v>1</v>
          </cell>
          <cell r="K3144">
            <v>2</v>
          </cell>
        </row>
        <row r="3145">
          <cell r="A3145" t="str">
            <v>M2</v>
          </cell>
          <cell r="B3145" t="str">
            <v>A5C</v>
          </cell>
          <cell r="C3145" t="str">
            <v>P</v>
          </cell>
          <cell r="D3145" t="str">
            <v>23263</v>
          </cell>
          <cell r="E3145" t="str">
            <v>90 ELL</v>
          </cell>
          <cell r="F3145">
            <v>2</v>
          </cell>
          <cell r="G3145" t="str">
            <v>CB300108000200</v>
          </cell>
          <cell r="H3145">
            <v>2</v>
          </cell>
          <cell r="I3145" t="str">
            <v>--</v>
          </cell>
          <cell r="J3145">
            <v>4</v>
          </cell>
          <cell r="K3145">
            <v>5</v>
          </cell>
        </row>
        <row r="3146">
          <cell r="A3146" t="str">
            <v>M2</v>
          </cell>
          <cell r="B3146" t="str">
            <v>A5C</v>
          </cell>
          <cell r="C3146" t="str">
            <v>P</v>
          </cell>
          <cell r="D3146" t="str">
            <v>23264</v>
          </cell>
          <cell r="E3146" t="str">
            <v>90 ELL</v>
          </cell>
          <cell r="F3146">
            <v>2</v>
          </cell>
          <cell r="G3146" t="str">
            <v>CB300108000200</v>
          </cell>
          <cell r="H3146">
            <v>2</v>
          </cell>
          <cell r="I3146" t="str">
            <v>--</v>
          </cell>
          <cell r="J3146">
            <v>5</v>
          </cell>
          <cell r="K3146">
            <v>6</v>
          </cell>
        </row>
        <row r="3147">
          <cell r="A3147" t="str">
            <v>M2</v>
          </cell>
          <cell r="B3147" t="str">
            <v>A5C</v>
          </cell>
          <cell r="C3147" t="str">
            <v>P</v>
          </cell>
          <cell r="D3147" t="str">
            <v>24009</v>
          </cell>
          <cell r="E3147" t="str">
            <v>90 ELL</v>
          </cell>
          <cell r="F3147">
            <v>2</v>
          </cell>
          <cell r="G3147" t="str">
            <v>CB300108000200</v>
          </cell>
          <cell r="H3147">
            <v>2</v>
          </cell>
          <cell r="I3147" t="str">
            <v>--</v>
          </cell>
          <cell r="J3147">
            <v>4</v>
          </cell>
          <cell r="K3147">
            <v>5</v>
          </cell>
        </row>
        <row r="3148">
          <cell r="A3148" t="str">
            <v>M2</v>
          </cell>
          <cell r="B3148" t="str">
            <v>A5C</v>
          </cell>
          <cell r="C3148" t="str">
            <v>TRIM</v>
          </cell>
          <cell r="D3148" t="str">
            <v>V-2352</v>
          </cell>
          <cell r="E3148" t="str">
            <v>90 ELL</v>
          </cell>
          <cell r="F3148">
            <v>2</v>
          </cell>
          <cell r="G3148" t="str">
            <v>CB300108000200</v>
          </cell>
          <cell r="H3148">
            <v>2</v>
          </cell>
          <cell r="I3148" t="str">
            <v>--</v>
          </cell>
          <cell r="J3148">
            <v>2</v>
          </cell>
          <cell r="K3148">
            <v>3</v>
          </cell>
        </row>
        <row r="3149">
          <cell r="A3149" t="str">
            <v>M2</v>
          </cell>
          <cell r="B3149" t="str">
            <v>A5C</v>
          </cell>
          <cell r="C3149" t="str">
            <v>TRIM</v>
          </cell>
          <cell r="D3149" t="str">
            <v>V-2352</v>
          </cell>
          <cell r="E3149" t="str">
            <v>CAP</v>
          </cell>
          <cell r="F3149">
            <v>2</v>
          </cell>
          <cell r="G3149" t="str">
            <v>CB300708000200</v>
          </cell>
          <cell r="H3149">
            <v>2</v>
          </cell>
          <cell r="I3149" t="str">
            <v>--</v>
          </cell>
          <cell r="J3149">
            <v>2</v>
          </cell>
          <cell r="K3149">
            <v>3</v>
          </cell>
        </row>
        <row r="3150">
          <cell r="A3150" t="str">
            <v>M2</v>
          </cell>
          <cell r="B3150" t="str">
            <v>A5C</v>
          </cell>
          <cell r="C3150" t="str">
            <v>P</v>
          </cell>
          <cell r="D3150" t="str">
            <v>23264</v>
          </cell>
          <cell r="E3150" t="str">
            <v>SOL</v>
          </cell>
          <cell r="F3150">
            <v>2</v>
          </cell>
          <cell r="G3150" t="str">
            <v>CB39020000020T</v>
          </cell>
          <cell r="H3150">
            <v>2</v>
          </cell>
          <cell r="I3150">
            <v>0.75</v>
          </cell>
          <cell r="J3150">
            <v>2</v>
          </cell>
          <cell r="K3150">
            <v>3</v>
          </cell>
        </row>
        <row r="3151">
          <cell r="A3151" t="str">
            <v>M2</v>
          </cell>
          <cell r="B3151" t="str">
            <v>A5C</v>
          </cell>
          <cell r="C3151" t="str">
            <v>TRIM</v>
          </cell>
          <cell r="D3151" t="str">
            <v>V-2352</v>
          </cell>
          <cell r="E3151" t="str">
            <v>SOL</v>
          </cell>
          <cell r="F3151">
            <v>2</v>
          </cell>
          <cell r="G3151" t="str">
            <v>CB39020000020T</v>
          </cell>
          <cell r="H3151">
            <v>2</v>
          </cell>
          <cell r="I3151">
            <v>0.75</v>
          </cell>
          <cell r="J3151">
            <v>5</v>
          </cell>
          <cell r="K3151">
            <v>6</v>
          </cell>
        </row>
        <row r="3152">
          <cell r="A3152" t="str">
            <v>M2</v>
          </cell>
          <cell r="B3152" t="str">
            <v>A5C</v>
          </cell>
          <cell r="C3152" t="str">
            <v>P</v>
          </cell>
          <cell r="D3152" t="str">
            <v>24009</v>
          </cell>
          <cell r="E3152" t="str">
            <v>TEE</v>
          </cell>
          <cell r="F3152">
            <v>2</v>
          </cell>
          <cell r="G3152" t="str">
            <v>CB300308000200</v>
          </cell>
          <cell r="H3152">
            <v>2</v>
          </cell>
          <cell r="I3152" t="str">
            <v>--</v>
          </cell>
          <cell r="J3152">
            <v>1</v>
          </cell>
          <cell r="K3152">
            <v>2</v>
          </cell>
        </row>
        <row r="3153">
          <cell r="A3153" t="str">
            <v>M2</v>
          </cell>
          <cell r="B3153" t="str">
            <v>A5C</v>
          </cell>
          <cell r="C3153" t="str">
            <v>TRIM</v>
          </cell>
          <cell r="D3153" t="str">
            <v>V-2352</v>
          </cell>
          <cell r="E3153" t="str">
            <v>TEE</v>
          </cell>
          <cell r="F3153">
            <v>2</v>
          </cell>
          <cell r="G3153" t="str">
            <v>CB300308000200</v>
          </cell>
          <cell r="H3153">
            <v>2</v>
          </cell>
          <cell r="I3153" t="str">
            <v>--</v>
          </cell>
          <cell r="J3153">
            <v>2</v>
          </cell>
          <cell r="K3153">
            <v>3</v>
          </cell>
        </row>
        <row r="3154">
          <cell r="A3154" t="str">
            <v>M2</v>
          </cell>
          <cell r="B3154" t="str">
            <v>A5C</v>
          </cell>
          <cell r="C3154" t="str">
            <v>P</v>
          </cell>
          <cell r="D3154" t="str">
            <v>23030</v>
          </cell>
          <cell r="E3154" t="str">
            <v>45 ELL</v>
          </cell>
          <cell r="F3154">
            <v>2</v>
          </cell>
          <cell r="G3154" t="str">
            <v>CB300208000200</v>
          </cell>
          <cell r="H3154">
            <v>2</v>
          </cell>
          <cell r="I3154" t="str">
            <v>--</v>
          </cell>
          <cell r="J3154">
            <v>1</v>
          </cell>
          <cell r="K3154">
            <v>2</v>
          </cell>
        </row>
        <row r="3155">
          <cell r="A3155" t="str">
            <v>M2</v>
          </cell>
          <cell r="B3155" t="str">
            <v>A5C</v>
          </cell>
          <cell r="C3155" t="str">
            <v>P</v>
          </cell>
          <cell r="D3155" t="str">
            <v>23019</v>
          </cell>
          <cell r="E3155" t="str">
            <v>90 ELL</v>
          </cell>
          <cell r="F3155">
            <v>2</v>
          </cell>
          <cell r="G3155" t="str">
            <v>CB300108000200</v>
          </cell>
          <cell r="H3155">
            <v>2</v>
          </cell>
          <cell r="I3155" t="str">
            <v>--</v>
          </cell>
          <cell r="J3155">
            <v>6</v>
          </cell>
          <cell r="K3155">
            <v>7</v>
          </cell>
        </row>
        <row r="3156">
          <cell r="A3156" t="str">
            <v>M2</v>
          </cell>
          <cell r="B3156" t="str">
            <v>A5C</v>
          </cell>
          <cell r="C3156" t="str">
            <v>P</v>
          </cell>
          <cell r="D3156" t="str">
            <v>23020</v>
          </cell>
          <cell r="E3156" t="str">
            <v>90 ELL</v>
          </cell>
          <cell r="F3156">
            <v>2</v>
          </cell>
          <cell r="G3156" t="str">
            <v>CB300108000200</v>
          </cell>
          <cell r="H3156">
            <v>2</v>
          </cell>
          <cell r="I3156" t="str">
            <v>--</v>
          </cell>
          <cell r="J3156">
            <v>6</v>
          </cell>
          <cell r="K3156">
            <v>7</v>
          </cell>
        </row>
        <row r="3157">
          <cell r="A3157" t="str">
            <v>M2</v>
          </cell>
          <cell r="B3157" t="str">
            <v>A5C</v>
          </cell>
          <cell r="C3157" t="str">
            <v>P</v>
          </cell>
          <cell r="D3157" t="str">
            <v>23030</v>
          </cell>
          <cell r="E3157" t="str">
            <v>90 ELL</v>
          </cell>
          <cell r="F3157">
            <v>2</v>
          </cell>
          <cell r="G3157" t="str">
            <v>CB300108000200</v>
          </cell>
          <cell r="H3157">
            <v>2</v>
          </cell>
          <cell r="I3157" t="str">
            <v>--</v>
          </cell>
          <cell r="J3157">
            <v>6</v>
          </cell>
          <cell r="K3157">
            <v>7</v>
          </cell>
        </row>
        <row r="3158">
          <cell r="A3158" t="str">
            <v>M2</v>
          </cell>
          <cell r="B3158" t="str">
            <v>A5C</v>
          </cell>
          <cell r="C3158" t="str">
            <v>P</v>
          </cell>
          <cell r="D3158" t="str">
            <v>23032</v>
          </cell>
          <cell r="E3158" t="str">
            <v>90 ELL</v>
          </cell>
          <cell r="F3158">
            <v>2</v>
          </cell>
          <cell r="G3158" t="str">
            <v>CB300108000200</v>
          </cell>
          <cell r="H3158">
            <v>2</v>
          </cell>
          <cell r="I3158" t="str">
            <v>--</v>
          </cell>
          <cell r="J3158">
            <v>1</v>
          </cell>
          <cell r="K3158">
            <v>2</v>
          </cell>
        </row>
        <row r="3159">
          <cell r="A3159" t="str">
            <v>M2</v>
          </cell>
          <cell r="B3159" t="str">
            <v>A5C</v>
          </cell>
          <cell r="C3159" t="str">
            <v>P</v>
          </cell>
          <cell r="D3159" t="str">
            <v>23036</v>
          </cell>
          <cell r="E3159" t="str">
            <v>90 ELL</v>
          </cell>
          <cell r="F3159">
            <v>2</v>
          </cell>
          <cell r="G3159" t="str">
            <v>CB300108000200</v>
          </cell>
          <cell r="H3159">
            <v>2</v>
          </cell>
          <cell r="I3159" t="str">
            <v>--</v>
          </cell>
          <cell r="J3159">
            <v>8</v>
          </cell>
          <cell r="K3159">
            <v>9</v>
          </cell>
        </row>
        <row r="3160">
          <cell r="A3160" t="str">
            <v>M2</v>
          </cell>
          <cell r="B3160" t="str">
            <v>A5C</v>
          </cell>
          <cell r="C3160" t="str">
            <v>P</v>
          </cell>
          <cell r="D3160" t="str">
            <v>23054</v>
          </cell>
          <cell r="E3160" t="str">
            <v>90 ELL</v>
          </cell>
          <cell r="F3160">
            <v>2</v>
          </cell>
          <cell r="G3160" t="str">
            <v>CB300108000200</v>
          </cell>
          <cell r="H3160">
            <v>2</v>
          </cell>
          <cell r="I3160" t="str">
            <v>--</v>
          </cell>
          <cell r="J3160">
            <v>6</v>
          </cell>
          <cell r="K3160">
            <v>7</v>
          </cell>
        </row>
        <row r="3161">
          <cell r="A3161" t="str">
            <v>M2</v>
          </cell>
          <cell r="B3161" t="str">
            <v>A5C</v>
          </cell>
          <cell r="C3161" t="str">
            <v>P</v>
          </cell>
          <cell r="D3161" t="str">
            <v>23054</v>
          </cell>
          <cell r="E3161" t="str">
            <v>90 ELL</v>
          </cell>
          <cell r="F3161">
            <v>2</v>
          </cell>
          <cell r="G3161" t="str">
            <v>CB300108000200</v>
          </cell>
          <cell r="H3161">
            <v>2</v>
          </cell>
          <cell r="I3161" t="str">
            <v>--</v>
          </cell>
          <cell r="J3161">
            <v>4</v>
          </cell>
          <cell r="K3161">
            <v>5</v>
          </cell>
        </row>
        <row r="3162">
          <cell r="A3162" t="str">
            <v>M2</v>
          </cell>
          <cell r="B3162" t="str">
            <v>A5C</v>
          </cell>
          <cell r="C3162" t="str">
            <v>P</v>
          </cell>
          <cell r="D3162" t="str">
            <v>23092</v>
          </cell>
          <cell r="E3162" t="str">
            <v>90 ELL</v>
          </cell>
          <cell r="F3162">
            <v>2</v>
          </cell>
          <cell r="G3162" t="str">
            <v>CB300108000200</v>
          </cell>
          <cell r="H3162">
            <v>2</v>
          </cell>
          <cell r="I3162" t="str">
            <v>--</v>
          </cell>
          <cell r="J3162">
            <v>9</v>
          </cell>
          <cell r="K3162">
            <v>10</v>
          </cell>
        </row>
        <row r="3163">
          <cell r="A3163" t="str">
            <v>M2</v>
          </cell>
          <cell r="B3163" t="str">
            <v>A5C</v>
          </cell>
          <cell r="C3163" t="str">
            <v>P</v>
          </cell>
          <cell r="D3163" t="str">
            <v>23224</v>
          </cell>
          <cell r="E3163" t="str">
            <v>90 ELL</v>
          </cell>
          <cell r="F3163">
            <v>2</v>
          </cell>
          <cell r="G3163" t="str">
            <v>CB300108000200</v>
          </cell>
          <cell r="H3163">
            <v>2</v>
          </cell>
          <cell r="I3163" t="str">
            <v>--</v>
          </cell>
          <cell r="J3163">
            <v>4</v>
          </cell>
          <cell r="K3163">
            <v>5</v>
          </cell>
        </row>
        <row r="3164">
          <cell r="A3164" t="str">
            <v>M2</v>
          </cell>
          <cell r="B3164" t="str">
            <v>A5C</v>
          </cell>
          <cell r="C3164" t="str">
            <v>TRIM</v>
          </cell>
          <cell r="D3164" t="str">
            <v>V-2302</v>
          </cell>
          <cell r="E3164" t="str">
            <v>90 ELL</v>
          </cell>
          <cell r="F3164">
            <v>2</v>
          </cell>
          <cell r="G3164" t="str">
            <v>CB300108000200</v>
          </cell>
          <cell r="H3164">
            <v>2</v>
          </cell>
          <cell r="I3164" t="str">
            <v>--</v>
          </cell>
          <cell r="J3164">
            <v>2</v>
          </cell>
          <cell r="K3164">
            <v>3</v>
          </cell>
        </row>
        <row r="3165">
          <cell r="A3165" t="str">
            <v>M2</v>
          </cell>
          <cell r="B3165" t="str">
            <v>A5C</v>
          </cell>
          <cell r="C3165" t="str">
            <v>TRIM</v>
          </cell>
          <cell r="D3165" t="str">
            <v>V-2304</v>
          </cell>
          <cell r="E3165" t="str">
            <v>90 ELL</v>
          </cell>
          <cell r="F3165">
            <v>2</v>
          </cell>
          <cell r="G3165" t="str">
            <v>CB300108000200</v>
          </cell>
          <cell r="H3165">
            <v>2</v>
          </cell>
          <cell r="I3165" t="str">
            <v>--</v>
          </cell>
          <cell r="J3165">
            <v>2</v>
          </cell>
          <cell r="K3165">
            <v>3</v>
          </cell>
        </row>
        <row r="3166">
          <cell r="A3166" t="str">
            <v>M2</v>
          </cell>
          <cell r="B3166" t="str">
            <v>A5C</v>
          </cell>
          <cell r="C3166" t="str">
            <v>TRIM</v>
          </cell>
          <cell r="D3166" t="str">
            <v>V-2306</v>
          </cell>
          <cell r="E3166" t="str">
            <v>90 ELL</v>
          </cell>
          <cell r="F3166">
            <v>2</v>
          </cell>
          <cell r="G3166" t="str">
            <v>CB300108000200</v>
          </cell>
          <cell r="H3166">
            <v>2</v>
          </cell>
          <cell r="I3166" t="str">
            <v>--</v>
          </cell>
          <cell r="J3166">
            <v>2</v>
          </cell>
          <cell r="K3166">
            <v>3</v>
          </cell>
        </row>
        <row r="3167">
          <cell r="A3167" t="str">
            <v>M2</v>
          </cell>
          <cell r="B3167" t="str">
            <v>A5C</v>
          </cell>
          <cell r="C3167" t="str">
            <v>TRIM</v>
          </cell>
          <cell r="D3167" t="str">
            <v>V-2308</v>
          </cell>
          <cell r="E3167" t="str">
            <v>90 ELL</v>
          </cell>
          <cell r="F3167">
            <v>2</v>
          </cell>
          <cell r="G3167" t="str">
            <v>CB300108000200</v>
          </cell>
          <cell r="H3167">
            <v>2</v>
          </cell>
          <cell r="I3167" t="str">
            <v>--</v>
          </cell>
          <cell r="J3167">
            <v>2</v>
          </cell>
          <cell r="K3167">
            <v>3</v>
          </cell>
        </row>
        <row r="3168">
          <cell r="A3168" t="str">
            <v>M2</v>
          </cell>
          <cell r="B3168" t="str">
            <v>A5C</v>
          </cell>
          <cell r="C3168" t="str">
            <v>TRIM</v>
          </cell>
          <cell r="D3168" t="str">
            <v>V-2313</v>
          </cell>
          <cell r="E3168" t="str">
            <v>90 ELL</v>
          </cell>
          <cell r="F3168">
            <v>2</v>
          </cell>
          <cell r="G3168" t="str">
            <v>CB300108000200</v>
          </cell>
          <cell r="H3168">
            <v>2</v>
          </cell>
          <cell r="I3168" t="str">
            <v>--</v>
          </cell>
          <cell r="J3168">
            <v>2</v>
          </cell>
          <cell r="K3168">
            <v>3</v>
          </cell>
        </row>
        <row r="3169">
          <cell r="A3169" t="str">
            <v>M2</v>
          </cell>
          <cell r="B3169" t="str">
            <v>A5C</v>
          </cell>
          <cell r="C3169" t="str">
            <v>TRIM</v>
          </cell>
          <cell r="D3169" t="str">
            <v>V-2325</v>
          </cell>
          <cell r="E3169" t="str">
            <v>90 ELL</v>
          </cell>
          <cell r="F3169">
            <v>2</v>
          </cell>
          <cell r="G3169" t="str">
            <v>CB300108000200</v>
          </cell>
          <cell r="H3169">
            <v>2</v>
          </cell>
          <cell r="I3169" t="str">
            <v>--</v>
          </cell>
          <cell r="J3169">
            <v>2</v>
          </cell>
          <cell r="K3169">
            <v>3</v>
          </cell>
        </row>
        <row r="3170">
          <cell r="A3170" t="str">
            <v>M2</v>
          </cell>
          <cell r="B3170" t="str">
            <v>A5C</v>
          </cell>
          <cell r="C3170" t="str">
            <v>TRIM</v>
          </cell>
          <cell r="D3170" t="str">
            <v>V-2403</v>
          </cell>
          <cell r="E3170" t="str">
            <v>90 ELL</v>
          </cell>
          <cell r="F3170">
            <v>2</v>
          </cell>
          <cell r="G3170" t="str">
            <v>CB300108000200</v>
          </cell>
          <cell r="H3170">
            <v>2</v>
          </cell>
          <cell r="I3170" t="str">
            <v>--</v>
          </cell>
          <cell r="J3170">
            <v>2</v>
          </cell>
          <cell r="K3170">
            <v>3</v>
          </cell>
        </row>
        <row r="3171">
          <cell r="A3171" t="str">
            <v>M2</v>
          </cell>
          <cell r="B3171" t="str">
            <v>A5C</v>
          </cell>
          <cell r="C3171" t="str">
            <v>P</v>
          </cell>
          <cell r="D3171" t="str">
            <v>23020</v>
          </cell>
          <cell r="E3171" t="str">
            <v>90 ELL</v>
          </cell>
          <cell r="F3171">
            <v>2</v>
          </cell>
          <cell r="G3171" t="str">
            <v>CB300108000200</v>
          </cell>
          <cell r="H3171">
            <v>2</v>
          </cell>
          <cell r="I3171" t="str">
            <v>--</v>
          </cell>
          <cell r="J3171">
            <v>4</v>
          </cell>
          <cell r="K3171">
            <v>5</v>
          </cell>
        </row>
        <row r="3172">
          <cell r="A3172" t="str">
            <v>M2</v>
          </cell>
          <cell r="B3172" t="str">
            <v>A5C</v>
          </cell>
          <cell r="C3172" t="str">
            <v>P</v>
          </cell>
          <cell r="D3172" t="str">
            <v>23053</v>
          </cell>
          <cell r="E3172" t="str">
            <v>90 ELL</v>
          </cell>
          <cell r="F3172">
            <v>2</v>
          </cell>
          <cell r="G3172" t="str">
            <v>CB300108000200</v>
          </cell>
          <cell r="H3172">
            <v>2</v>
          </cell>
          <cell r="I3172" t="str">
            <v>--</v>
          </cell>
          <cell r="J3172">
            <v>6</v>
          </cell>
          <cell r="K3172">
            <v>7</v>
          </cell>
        </row>
        <row r="3173">
          <cell r="A3173" t="str">
            <v>M2</v>
          </cell>
          <cell r="B3173" t="str">
            <v>A5C</v>
          </cell>
          <cell r="C3173" t="str">
            <v>TRIM</v>
          </cell>
          <cell r="D3173" t="str">
            <v>V-2310</v>
          </cell>
          <cell r="E3173" t="str">
            <v>90 ELL</v>
          </cell>
          <cell r="F3173">
            <v>2</v>
          </cell>
          <cell r="G3173" t="str">
            <v>CB300108000200</v>
          </cell>
          <cell r="H3173">
            <v>2</v>
          </cell>
          <cell r="I3173" t="str">
            <v>--</v>
          </cell>
          <cell r="J3173">
            <v>2</v>
          </cell>
          <cell r="K3173">
            <v>3</v>
          </cell>
        </row>
        <row r="3174">
          <cell r="A3174" t="str">
            <v>M2</v>
          </cell>
          <cell r="B3174" t="str">
            <v>A5C</v>
          </cell>
          <cell r="C3174" t="str">
            <v>P</v>
          </cell>
          <cell r="D3174" t="str">
            <v>23019</v>
          </cell>
          <cell r="E3174" t="str">
            <v>C SWG</v>
          </cell>
          <cell r="F3174">
            <v>2</v>
          </cell>
          <cell r="G3174" t="str">
            <v>CB1614080802IH</v>
          </cell>
          <cell r="H3174">
            <v>2</v>
          </cell>
          <cell r="I3174">
            <v>1.5</v>
          </cell>
          <cell r="J3174">
            <v>2</v>
          </cell>
          <cell r="K3174">
            <v>3</v>
          </cell>
        </row>
        <row r="3175">
          <cell r="A3175" t="str">
            <v>M2</v>
          </cell>
          <cell r="B3175" t="str">
            <v>A5C</v>
          </cell>
          <cell r="C3175" t="str">
            <v>P</v>
          </cell>
          <cell r="D3175" t="str">
            <v>23053</v>
          </cell>
          <cell r="E3175" t="str">
            <v>C SWG</v>
          </cell>
          <cell r="F3175">
            <v>2</v>
          </cell>
          <cell r="G3175" t="str">
            <v>CB1614080802IH</v>
          </cell>
          <cell r="H3175">
            <v>2</v>
          </cell>
          <cell r="I3175">
            <v>1.5</v>
          </cell>
          <cell r="J3175">
            <v>2</v>
          </cell>
          <cell r="K3175">
            <v>3</v>
          </cell>
        </row>
        <row r="3176">
          <cell r="A3176" t="str">
            <v>M2</v>
          </cell>
          <cell r="B3176" t="str">
            <v>A5C</v>
          </cell>
          <cell r="C3176" t="str">
            <v>P</v>
          </cell>
          <cell r="D3176" t="str">
            <v>23224</v>
          </cell>
          <cell r="E3176" t="str">
            <v>C SWG</v>
          </cell>
          <cell r="F3176">
            <v>2</v>
          </cell>
          <cell r="G3176" t="str">
            <v>CB1614080802IH</v>
          </cell>
          <cell r="H3176">
            <v>2</v>
          </cell>
          <cell r="I3176">
            <v>1.5</v>
          </cell>
          <cell r="J3176">
            <v>2</v>
          </cell>
          <cell r="K3176">
            <v>3</v>
          </cell>
        </row>
        <row r="3177">
          <cell r="A3177" t="str">
            <v>M2</v>
          </cell>
          <cell r="B3177" t="str">
            <v>A5C</v>
          </cell>
          <cell r="C3177" t="str">
            <v>P</v>
          </cell>
          <cell r="D3177" t="str">
            <v>24016</v>
          </cell>
          <cell r="E3177" t="str">
            <v>C SWG</v>
          </cell>
          <cell r="F3177">
            <v>2</v>
          </cell>
          <cell r="G3177" t="str">
            <v>CB16140808020T</v>
          </cell>
          <cell r="H3177">
            <v>2</v>
          </cell>
          <cell r="I3177">
            <v>0.75</v>
          </cell>
          <cell r="J3177">
            <v>2</v>
          </cell>
          <cell r="K3177">
            <v>3</v>
          </cell>
        </row>
        <row r="3178">
          <cell r="A3178" t="str">
            <v>M2</v>
          </cell>
          <cell r="B3178" t="str">
            <v>A5C</v>
          </cell>
          <cell r="C3178" t="str">
            <v>P</v>
          </cell>
          <cell r="D3178" t="str">
            <v>23020</v>
          </cell>
          <cell r="E3178" t="str">
            <v>E SWG</v>
          </cell>
          <cell r="F3178">
            <v>2</v>
          </cell>
          <cell r="G3178" t="str">
            <v>CB1624080802IH</v>
          </cell>
          <cell r="H3178">
            <v>2</v>
          </cell>
          <cell r="I3178">
            <v>1.5</v>
          </cell>
          <cell r="J3178">
            <v>2</v>
          </cell>
          <cell r="K3178">
            <v>3</v>
          </cell>
        </row>
        <row r="3179">
          <cell r="A3179" t="str">
            <v>M2</v>
          </cell>
          <cell r="B3179" t="str">
            <v>A5C</v>
          </cell>
          <cell r="C3179" t="str">
            <v>P</v>
          </cell>
          <cell r="D3179" t="str">
            <v>23030</v>
          </cell>
          <cell r="E3179" t="str">
            <v>E SWG</v>
          </cell>
          <cell r="F3179">
            <v>2</v>
          </cell>
          <cell r="G3179" t="str">
            <v>CB1624080802IH</v>
          </cell>
          <cell r="H3179">
            <v>2</v>
          </cell>
          <cell r="I3179">
            <v>1.5</v>
          </cell>
          <cell r="J3179">
            <v>2</v>
          </cell>
          <cell r="K3179">
            <v>3</v>
          </cell>
        </row>
        <row r="3180">
          <cell r="A3180" t="str">
            <v>M2</v>
          </cell>
          <cell r="B3180" t="str">
            <v>A5C</v>
          </cell>
          <cell r="C3180" t="str">
            <v>P</v>
          </cell>
          <cell r="D3180" t="str">
            <v>23054</v>
          </cell>
          <cell r="E3180" t="str">
            <v>E SWG</v>
          </cell>
          <cell r="F3180">
            <v>2</v>
          </cell>
          <cell r="G3180" t="str">
            <v>CB1624080802IH</v>
          </cell>
          <cell r="H3180">
            <v>2</v>
          </cell>
          <cell r="I3180">
            <v>1.5</v>
          </cell>
          <cell r="J3180">
            <v>2</v>
          </cell>
          <cell r="K3180">
            <v>3</v>
          </cell>
        </row>
        <row r="3181">
          <cell r="A3181" t="str">
            <v>M2</v>
          </cell>
          <cell r="B3181" t="str">
            <v>A5C</v>
          </cell>
          <cell r="C3181" t="str">
            <v>P</v>
          </cell>
          <cell r="D3181" t="str">
            <v>24018</v>
          </cell>
          <cell r="E3181" t="str">
            <v>E SWG</v>
          </cell>
          <cell r="F3181">
            <v>2</v>
          </cell>
          <cell r="G3181" t="str">
            <v>CB16240808020T</v>
          </cell>
          <cell r="H3181">
            <v>2</v>
          </cell>
          <cell r="I3181">
            <v>0.75</v>
          </cell>
          <cell r="J3181">
            <v>2</v>
          </cell>
          <cell r="K3181">
            <v>3</v>
          </cell>
        </row>
        <row r="3182">
          <cell r="A3182" t="str">
            <v>M2</v>
          </cell>
          <cell r="B3182" t="str">
            <v>A5C</v>
          </cell>
          <cell r="C3182" t="str">
            <v>P</v>
          </cell>
          <cell r="D3182" t="str">
            <v>23036</v>
          </cell>
          <cell r="E3182" t="str">
            <v>E SWG</v>
          </cell>
          <cell r="F3182">
            <v>2</v>
          </cell>
          <cell r="G3182" t="str">
            <v>CB1624080802IH</v>
          </cell>
          <cell r="H3182">
            <v>2</v>
          </cell>
          <cell r="I3182">
            <v>1.5</v>
          </cell>
          <cell r="J3182">
            <v>2</v>
          </cell>
          <cell r="K3182">
            <v>3</v>
          </cell>
        </row>
        <row r="3183">
          <cell r="A3183" t="str">
            <v>M2</v>
          </cell>
          <cell r="B3183" t="str">
            <v>A5C</v>
          </cell>
          <cell r="C3183" t="str">
            <v>P</v>
          </cell>
          <cell r="D3183" t="str">
            <v>23020</v>
          </cell>
          <cell r="E3183" t="str">
            <v>SOL</v>
          </cell>
          <cell r="F3183">
            <v>2</v>
          </cell>
          <cell r="G3183" t="str">
            <v>CB39020000020T</v>
          </cell>
          <cell r="H3183">
            <v>2</v>
          </cell>
          <cell r="I3183">
            <v>0.75</v>
          </cell>
          <cell r="J3183">
            <v>1</v>
          </cell>
          <cell r="K3183">
            <v>2</v>
          </cell>
        </row>
        <row r="3184">
          <cell r="A3184" t="str">
            <v>M2</v>
          </cell>
          <cell r="B3184" t="str">
            <v>A5C</v>
          </cell>
          <cell r="C3184" t="str">
            <v>P</v>
          </cell>
          <cell r="D3184" t="str">
            <v>23020</v>
          </cell>
          <cell r="E3184" t="str">
            <v>SOL</v>
          </cell>
          <cell r="F3184">
            <v>2</v>
          </cell>
          <cell r="G3184" t="str">
            <v>CB3902000002IH</v>
          </cell>
          <cell r="H3184">
            <v>2</v>
          </cell>
          <cell r="I3184">
            <v>1.5</v>
          </cell>
          <cell r="J3184">
            <v>2</v>
          </cell>
          <cell r="K3184">
            <v>3</v>
          </cell>
        </row>
        <row r="3185">
          <cell r="A3185" t="str">
            <v>M2</v>
          </cell>
          <cell r="B3185" t="str">
            <v>A5C</v>
          </cell>
          <cell r="C3185" t="str">
            <v>P</v>
          </cell>
          <cell r="D3185" t="str">
            <v>23054</v>
          </cell>
          <cell r="E3185" t="str">
            <v>SOL</v>
          </cell>
          <cell r="F3185">
            <v>2</v>
          </cell>
          <cell r="G3185" t="str">
            <v>CB39020000020T</v>
          </cell>
          <cell r="H3185">
            <v>2</v>
          </cell>
          <cell r="I3185">
            <v>0.75</v>
          </cell>
          <cell r="J3185">
            <v>1</v>
          </cell>
          <cell r="K3185">
            <v>2</v>
          </cell>
        </row>
        <row r="3186">
          <cell r="A3186" t="str">
            <v>M2</v>
          </cell>
          <cell r="B3186" t="str">
            <v>A5C</v>
          </cell>
          <cell r="C3186" t="str">
            <v>P</v>
          </cell>
          <cell r="D3186" t="str">
            <v>23054</v>
          </cell>
          <cell r="E3186" t="str">
            <v>SOL</v>
          </cell>
          <cell r="F3186">
            <v>2</v>
          </cell>
          <cell r="G3186" t="str">
            <v>CB3902000002IH</v>
          </cell>
          <cell r="H3186">
            <v>2</v>
          </cell>
          <cell r="I3186">
            <v>1.5</v>
          </cell>
          <cell r="J3186">
            <v>2</v>
          </cell>
          <cell r="K3186">
            <v>3</v>
          </cell>
        </row>
        <row r="3187">
          <cell r="A3187" t="str">
            <v>M2</v>
          </cell>
          <cell r="B3187" t="str">
            <v>A5C</v>
          </cell>
          <cell r="C3187" t="str">
            <v>P</v>
          </cell>
          <cell r="D3187" t="str">
            <v>23053</v>
          </cell>
          <cell r="E3187" t="str">
            <v>SOL</v>
          </cell>
          <cell r="F3187">
            <v>2</v>
          </cell>
          <cell r="G3187" t="str">
            <v>CB39020000020T</v>
          </cell>
          <cell r="H3187">
            <v>2</v>
          </cell>
          <cell r="I3187">
            <v>0.75</v>
          </cell>
          <cell r="J3187">
            <v>5</v>
          </cell>
          <cell r="K3187">
            <v>6</v>
          </cell>
        </row>
        <row r="3188">
          <cell r="A3188" t="str">
            <v>M2</v>
          </cell>
          <cell r="B3188" t="str">
            <v>A5C</v>
          </cell>
          <cell r="C3188" t="str">
            <v>P</v>
          </cell>
          <cell r="D3188" t="str">
            <v>23019</v>
          </cell>
          <cell r="E3188" t="str">
            <v>SOL</v>
          </cell>
          <cell r="F3188">
            <v>2</v>
          </cell>
          <cell r="G3188" t="str">
            <v>CB3902000002IH</v>
          </cell>
          <cell r="H3188">
            <v>2</v>
          </cell>
          <cell r="I3188">
            <v>1.5</v>
          </cell>
          <cell r="J3188">
            <v>1</v>
          </cell>
          <cell r="K3188">
            <v>2</v>
          </cell>
        </row>
        <row r="3189">
          <cell r="A3189" t="str">
            <v>M2</v>
          </cell>
          <cell r="B3189" t="str">
            <v>A5C</v>
          </cell>
          <cell r="C3189" t="str">
            <v>P</v>
          </cell>
          <cell r="D3189" t="str">
            <v>23019</v>
          </cell>
          <cell r="E3189" t="str">
            <v>SOL</v>
          </cell>
          <cell r="F3189">
            <v>2</v>
          </cell>
          <cell r="G3189" t="str">
            <v>CB39020000020T</v>
          </cell>
          <cell r="H3189">
            <v>2</v>
          </cell>
          <cell r="I3189">
            <v>0.75</v>
          </cell>
          <cell r="J3189">
            <v>4</v>
          </cell>
          <cell r="K3189">
            <v>5</v>
          </cell>
        </row>
        <row r="3190">
          <cell r="A3190" t="str">
            <v>M2</v>
          </cell>
          <cell r="B3190" t="str">
            <v>A5C</v>
          </cell>
          <cell r="C3190" t="str">
            <v>P</v>
          </cell>
          <cell r="D3190" t="str">
            <v>23224</v>
          </cell>
          <cell r="E3190" t="str">
            <v>SOL</v>
          </cell>
          <cell r="F3190">
            <v>2</v>
          </cell>
          <cell r="G3190" t="str">
            <v>CB39020000020T</v>
          </cell>
          <cell r="H3190">
            <v>2</v>
          </cell>
          <cell r="I3190">
            <v>0.75</v>
          </cell>
          <cell r="J3190">
            <v>2</v>
          </cell>
          <cell r="K3190">
            <v>3</v>
          </cell>
        </row>
        <row r="3191">
          <cell r="A3191" t="str">
            <v>M2</v>
          </cell>
          <cell r="B3191" t="str">
            <v>A5C</v>
          </cell>
          <cell r="C3191" t="str">
            <v>P</v>
          </cell>
          <cell r="D3191" t="str">
            <v>23224</v>
          </cell>
          <cell r="E3191" t="str">
            <v>SOL</v>
          </cell>
          <cell r="F3191">
            <v>2</v>
          </cell>
          <cell r="G3191" t="str">
            <v>CB390200000201</v>
          </cell>
          <cell r="H3191">
            <v>2</v>
          </cell>
          <cell r="I3191">
            <v>1</v>
          </cell>
          <cell r="J3191">
            <v>1</v>
          </cell>
          <cell r="K3191">
            <v>2</v>
          </cell>
        </row>
        <row r="3192">
          <cell r="A3192" t="str">
            <v>M2</v>
          </cell>
          <cell r="B3192" t="str">
            <v>A5C</v>
          </cell>
          <cell r="C3192" t="str">
            <v>P</v>
          </cell>
          <cell r="D3192" t="str">
            <v>23036</v>
          </cell>
          <cell r="E3192" t="str">
            <v>TEE</v>
          </cell>
          <cell r="F3192">
            <v>2</v>
          </cell>
          <cell r="G3192" t="str">
            <v>CB300308000200</v>
          </cell>
          <cell r="H3192">
            <v>2</v>
          </cell>
          <cell r="I3192" t="str">
            <v>--</v>
          </cell>
          <cell r="J3192">
            <v>1</v>
          </cell>
          <cell r="K3192">
            <v>2</v>
          </cell>
        </row>
        <row r="3193">
          <cell r="A3193" t="str">
            <v>M2</v>
          </cell>
          <cell r="B3193" t="str">
            <v>A5C</v>
          </cell>
          <cell r="C3193" t="str">
            <v>P</v>
          </cell>
          <cell r="D3193" t="str">
            <v>23224</v>
          </cell>
          <cell r="E3193" t="str">
            <v>TEE</v>
          </cell>
          <cell r="F3193">
            <v>2</v>
          </cell>
          <cell r="G3193" t="str">
            <v>CB300308000200</v>
          </cell>
          <cell r="H3193">
            <v>2</v>
          </cell>
          <cell r="I3193" t="str">
            <v>--</v>
          </cell>
          <cell r="J3193">
            <v>1</v>
          </cell>
          <cell r="K3193">
            <v>2</v>
          </cell>
        </row>
        <row r="3194">
          <cell r="A3194" t="str">
            <v>M2</v>
          </cell>
          <cell r="B3194" t="str">
            <v>A5C</v>
          </cell>
          <cell r="C3194" t="str">
            <v>P</v>
          </cell>
          <cell r="D3194" t="str">
            <v>23019</v>
          </cell>
          <cell r="E3194" t="str">
            <v>TEE</v>
          </cell>
          <cell r="F3194">
            <v>2</v>
          </cell>
          <cell r="G3194" t="str">
            <v>CB300308000200</v>
          </cell>
          <cell r="H3194">
            <v>2</v>
          </cell>
          <cell r="I3194" t="str">
            <v>--</v>
          </cell>
          <cell r="J3194">
            <v>1</v>
          </cell>
          <cell r="K3194">
            <v>2</v>
          </cell>
        </row>
        <row r="3195">
          <cell r="A3195" t="str">
            <v>M2</v>
          </cell>
          <cell r="B3195" t="str">
            <v>A5C</v>
          </cell>
          <cell r="C3195" t="str">
            <v>P</v>
          </cell>
          <cell r="D3195" t="str">
            <v>23030</v>
          </cell>
          <cell r="E3195" t="str">
            <v>TEE</v>
          </cell>
          <cell r="F3195">
            <v>2</v>
          </cell>
          <cell r="G3195" t="str">
            <v>CB300308000200</v>
          </cell>
          <cell r="H3195">
            <v>2</v>
          </cell>
          <cell r="I3195" t="str">
            <v>--</v>
          </cell>
          <cell r="J3195">
            <v>1</v>
          </cell>
          <cell r="K3195">
            <v>2</v>
          </cell>
        </row>
        <row r="3196">
          <cell r="A3196" t="str">
            <v>M2</v>
          </cell>
          <cell r="B3196" t="str">
            <v>A5C</v>
          </cell>
          <cell r="C3196" t="str">
            <v>P</v>
          </cell>
          <cell r="D3196" t="str">
            <v>23053</v>
          </cell>
          <cell r="E3196" t="str">
            <v>TEE</v>
          </cell>
          <cell r="F3196">
            <v>2</v>
          </cell>
          <cell r="G3196" t="str">
            <v>CB300308000200</v>
          </cell>
          <cell r="H3196">
            <v>2</v>
          </cell>
          <cell r="I3196" t="str">
            <v>--</v>
          </cell>
          <cell r="J3196">
            <v>1</v>
          </cell>
          <cell r="K3196">
            <v>2</v>
          </cell>
        </row>
        <row r="3197">
          <cell r="A3197" t="str">
            <v>M2</v>
          </cell>
          <cell r="B3197" t="str">
            <v>A5C</v>
          </cell>
          <cell r="C3197" t="str">
            <v>TRIM</v>
          </cell>
          <cell r="D3197" t="str">
            <v>V-2401</v>
          </cell>
          <cell r="E3197" t="str">
            <v>90 ELL</v>
          </cell>
          <cell r="F3197">
            <v>2</v>
          </cell>
          <cell r="G3197" t="str">
            <v>CB300108000200</v>
          </cell>
          <cell r="H3197">
            <v>2</v>
          </cell>
          <cell r="I3197" t="str">
            <v>--</v>
          </cell>
          <cell r="J3197">
            <v>2</v>
          </cell>
          <cell r="K3197">
            <v>3</v>
          </cell>
        </row>
        <row r="3198">
          <cell r="A3198" t="str">
            <v>M2</v>
          </cell>
          <cell r="B3198" t="str">
            <v>A5C</v>
          </cell>
          <cell r="C3198" t="str">
            <v>TRIM</v>
          </cell>
          <cell r="D3198" t="str">
            <v>R-2401</v>
          </cell>
          <cell r="E3198" t="str">
            <v>90 ELL</v>
          </cell>
          <cell r="F3198">
            <v>2</v>
          </cell>
          <cell r="G3198" t="str">
            <v>CB300108000200</v>
          </cell>
          <cell r="H3198">
            <v>2</v>
          </cell>
          <cell r="I3198" t="str">
            <v>--</v>
          </cell>
          <cell r="J3198">
            <v>1</v>
          </cell>
          <cell r="K3198">
            <v>2</v>
          </cell>
        </row>
        <row r="3199">
          <cell r="A3199" t="str">
            <v>M2</v>
          </cell>
          <cell r="B3199" t="str">
            <v>A5C</v>
          </cell>
          <cell r="C3199" t="str">
            <v>TRIM</v>
          </cell>
          <cell r="D3199" t="str">
            <v>V-2404</v>
          </cell>
          <cell r="E3199" t="str">
            <v>90 ELL</v>
          </cell>
          <cell r="F3199">
            <v>2</v>
          </cell>
          <cell r="G3199" t="str">
            <v>CB300108000200</v>
          </cell>
          <cell r="H3199">
            <v>2</v>
          </cell>
          <cell r="I3199" t="str">
            <v>--</v>
          </cell>
          <cell r="J3199">
            <v>2</v>
          </cell>
          <cell r="K3199">
            <v>3</v>
          </cell>
        </row>
        <row r="3200">
          <cell r="A3200" t="str">
            <v>M2</v>
          </cell>
          <cell r="B3200" t="str">
            <v>B2C</v>
          </cell>
          <cell r="C3200" t="str">
            <v>SH</v>
          </cell>
          <cell r="D3200" t="str">
            <v>23601</v>
          </cell>
          <cell r="E3200" t="str">
            <v>90 ELL</v>
          </cell>
          <cell r="F3200">
            <v>2</v>
          </cell>
          <cell r="G3200" t="str">
            <v>CB300104000300</v>
          </cell>
          <cell r="H3200">
            <v>3</v>
          </cell>
          <cell r="I3200" t="str">
            <v>--</v>
          </cell>
          <cell r="J3200">
            <v>6</v>
          </cell>
          <cell r="K3200">
            <v>7</v>
          </cell>
        </row>
        <row r="3201">
          <cell r="A3201" t="str">
            <v>M2</v>
          </cell>
          <cell r="B3201" t="str">
            <v>B2C</v>
          </cell>
          <cell r="C3201" t="str">
            <v>SH</v>
          </cell>
          <cell r="D3201" t="str">
            <v>23612</v>
          </cell>
          <cell r="E3201" t="str">
            <v>90 ELL</v>
          </cell>
          <cell r="F3201">
            <v>2</v>
          </cell>
          <cell r="G3201" t="str">
            <v>CB300104000300</v>
          </cell>
          <cell r="H3201">
            <v>3</v>
          </cell>
          <cell r="I3201" t="str">
            <v>--</v>
          </cell>
          <cell r="J3201">
            <v>8</v>
          </cell>
          <cell r="K3201">
            <v>9</v>
          </cell>
        </row>
        <row r="3202">
          <cell r="A3202" t="str">
            <v>M2</v>
          </cell>
          <cell r="B3202" t="str">
            <v>B2C</v>
          </cell>
          <cell r="C3202" t="str">
            <v>SH</v>
          </cell>
          <cell r="D3202" t="str">
            <v>23601</v>
          </cell>
          <cell r="E3202" t="str">
            <v>CAP</v>
          </cell>
          <cell r="F3202">
            <v>2</v>
          </cell>
          <cell r="G3202" t="str">
            <v>CB300704000300</v>
          </cell>
          <cell r="H3202">
            <v>3</v>
          </cell>
          <cell r="I3202" t="str">
            <v>--</v>
          </cell>
          <cell r="J3202">
            <v>2</v>
          </cell>
          <cell r="K3202">
            <v>3</v>
          </cell>
        </row>
        <row r="3203">
          <cell r="A3203" t="str">
            <v>M2</v>
          </cell>
          <cell r="B3203" t="str">
            <v>B2C</v>
          </cell>
          <cell r="C3203" t="str">
            <v>SH</v>
          </cell>
          <cell r="D3203" t="str">
            <v>23612</v>
          </cell>
          <cell r="E3203" t="str">
            <v>E RED</v>
          </cell>
          <cell r="F3203">
            <v>2</v>
          </cell>
          <cell r="G3203" t="str">
            <v>CB300604080302</v>
          </cell>
          <cell r="H3203">
            <v>3</v>
          </cell>
          <cell r="I3203">
            <v>2</v>
          </cell>
          <cell r="J3203">
            <v>2</v>
          </cell>
          <cell r="K3203">
            <v>3</v>
          </cell>
        </row>
        <row r="3204">
          <cell r="A3204" t="str">
            <v>M2</v>
          </cell>
          <cell r="B3204" t="str">
            <v>B2C</v>
          </cell>
          <cell r="C3204" t="str">
            <v>SH</v>
          </cell>
          <cell r="D3204" t="str">
            <v>23601</v>
          </cell>
          <cell r="E3204" t="str">
            <v>SOL</v>
          </cell>
          <cell r="F3204">
            <v>2</v>
          </cell>
          <cell r="G3204" t="str">
            <v>CB390200000301</v>
          </cell>
          <cell r="H3204">
            <v>3</v>
          </cell>
          <cell r="I3204">
            <v>1</v>
          </cell>
          <cell r="J3204">
            <v>1</v>
          </cell>
          <cell r="K3204">
            <v>2</v>
          </cell>
        </row>
        <row r="3205">
          <cell r="A3205" t="str">
            <v>M2</v>
          </cell>
          <cell r="B3205" t="str">
            <v>B2C</v>
          </cell>
          <cell r="C3205" t="str">
            <v>SH</v>
          </cell>
          <cell r="D3205" t="str">
            <v>23601</v>
          </cell>
          <cell r="E3205" t="str">
            <v>SOL</v>
          </cell>
          <cell r="F3205">
            <v>2</v>
          </cell>
          <cell r="G3205" t="str">
            <v>CB39020000030T</v>
          </cell>
          <cell r="H3205">
            <v>3</v>
          </cell>
          <cell r="I3205">
            <v>0.75</v>
          </cell>
          <cell r="J3205">
            <v>5</v>
          </cell>
          <cell r="K3205">
            <v>6</v>
          </cell>
        </row>
        <row r="3206">
          <cell r="A3206" t="str">
            <v>M2</v>
          </cell>
          <cell r="B3206" t="str">
            <v>B2C</v>
          </cell>
          <cell r="C3206" t="str">
            <v>SH</v>
          </cell>
          <cell r="D3206" t="str">
            <v>23612</v>
          </cell>
          <cell r="E3206" t="str">
            <v>SOL</v>
          </cell>
          <cell r="F3206">
            <v>2</v>
          </cell>
          <cell r="G3206" t="str">
            <v>CB390200000301</v>
          </cell>
          <cell r="H3206">
            <v>3</v>
          </cell>
          <cell r="I3206">
            <v>1</v>
          </cell>
          <cell r="J3206">
            <v>1</v>
          </cell>
          <cell r="K3206">
            <v>2</v>
          </cell>
        </row>
        <row r="3207">
          <cell r="A3207" t="str">
            <v>M2</v>
          </cell>
          <cell r="B3207" t="str">
            <v>B2C</v>
          </cell>
          <cell r="C3207" t="str">
            <v>SH</v>
          </cell>
          <cell r="D3207" t="str">
            <v>23612</v>
          </cell>
          <cell r="E3207" t="str">
            <v>SOL</v>
          </cell>
          <cell r="F3207">
            <v>2</v>
          </cell>
          <cell r="G3207" t="str">
            <v>CB39020000030T</v>
          </cell>
          <cell r="H3207">
            <v>3</v>
          </cell>
          <cell r="I3207">
            <v>0.75</v>
          </cell>
          <cell r="J3207">
            <v>2</v>
          </cell>
          <cell r="K3207">
            <v>3</v>
          </cell>
        </row>
        <row r="3208">
          <cell r="A3208" t="str">
            <v>M2</v>
          </cell>
          <cell r="B3208" t="str">
            <v>B2C</v>
          </cell>
          <cell r="C3208" t="str">
            <v>SH</v>
          </cell>
          <cell r="D3208" t="str">
            <v>23601</v>
          </cell>
          <cell r="E3208" t="str">
            <v>TEE</v>
          </cell>
          <cell r="F3208">
            <v>2</v>
          </cell>
          <cell r="G3208" t="str">
            <v>CB300304000300</v>
          </cell>
          <cell r="H3208">
            <v>3</v>
          </cell>
          <cell r="I3208" t="str">
            <v>--</v>
          </cell>
          <cell r="J3208">
            <v>3</v>
          </cell>
          <cell r="K3208">
            <v>4</v>
          </cell>
        </row>
        <row r="3209">
          <cell r="A3209" t="str">
            <v>M2</v>
          </cell>
          <cell r="B3209" t="str">
            <v>B2C</v>
          </cell>
          <cell r="C3209" t="str">
            <v>SH</v>
          </cell>
          <cell r="D3209" t="str">
            <v>23601</v>
          </cell>
          <cell r="E3209" t="str">
            <v>TOL</v>
          </cell>
          <cell r="F3209">
            <v>2</v>
          </cell>
          <cell r="G3209" t="str">
            <v>CB39030000030T</v>
          </cell>
          <cell r="H3209">
            <v>3</v>
          </cell>
          <cell r="I3209">
            <v>0.75</v>
          </cell>
          <cell r="J3209">
            <v>1</v>
          </cell>
          <cell r="K3209">
            <v>2</v>
          </cell>
        </row>
        <row r="3210">
          <cell r="A3210" t="str">
            <v>M2</v>
          </cell>
          <cell r="B3210" t="str">
            <v>A5C</v>
          </cell>
          <cell r="C3210" t="str">
            <v>P</v>
          </cell>
          <cell r="D3210" t="str">
            <v>23258</v>
          </cell>
          <cell r="E3210" t="str">
            <v>45 ELL</v>
          </cell>
          <cell r="F3210">
            <v>2</v>
          </cell>
          <cell r="G3210" t="str">
            <v>CB300204000300</v>
          </cell>
          <cell r="H3210">
            <v>3</v>
          </cell>
          <cell r="I3210" t="str">
            <v>--</v>
          </cell>
          <cell r="J3210">
            <v>1</v>
          </cell>
          <cell r="K3210">
            <v>2</v>
          </cell>
        </row>
        <row r="3211">
          <cell r="A3211" t="str">
            <v>M2</v>
          </cell>
          <cell r="B3211" t="str">
            <v>A5C</v>
          </cell>
          <cell r="C3211" t="str">
            <v>P</v>
          </cell>
          <cell r="D3211" t="str">
            <v>23005</v>
          </cell>
          <cell r="E3211" t="str">
            <v>90 ELL</v>
          </cell>
          <cell r="F3211">
            <v>2</v>
          </cell>
          <cell r="G3211" t="str">
            <v>CB300104000300</v>
          </cell>
          <cell r="H3211">
            <v>3</v>
          </cell>
          <cell r="I3211" t="str">
            <v>--</v>
          </cell>
          <cell r="J3211">
            <v>4</v>
          </cell>
          <cell r="K3211">
            <v>5</v>
          </cell>
        </row>
        <row r="3212">
          <cell r="A3212" t="str">
            <v>M2</v>
          </cell>
          <cell r="B3212" t="str">
            <v>A5C</v>
          </cell>
          <cell r="C3212" t="str">
            <v>P</v>
          </cell>
          <cell r="D3212" t="str">
            <v>23047</v>
          </cell>
          <cell r="E3212" t="str">
            <v>90 ELL</v>
          </cell>
          <cell r="F3212">
            <v>2</v>
          </cell>
          <cell r="G3212" t="str">
            <v>CB300104000300</v>
          </cell>
          <cell r="H3212">
            <v>3</v>
          </cell>
          <cell r="I3212" t="str">
            <v>--</v>
          </cell>
          <cell r="J3212">
            <v>3</v>
          </cell>
          <cell r="K3212">
            <v>4</v>
          </cell>
        </row>
        <row r="3213">
          <cell r="A3213" t="str">
            <v>M2</v>
          </cell>
          <cell r="B3213" t="str">
            <v>A5C</v>
          </cell>
          <cell r="C3213" t="str">
            <v>P</v>
          </cell>
          <cell r="D3213" t="str">
            <v>23106</v>
          </cell>
          <cell r="E3213" t="str">
            <v>90 ELL</v>
          </cell>
          <cell r="F3213">
            <v>2</v>
          </cell>
          <cell r="G3213" t="str">
            <v>CB300104000300</v>
          </cell>
          <cell r="H3213">
            <v>3</v>
          </cell>
          <cell r="I3213" t="str">
            <v>--</v>
          </cell>
          <cell r="J3213">
            <v>3</v>
          </cell>
          <cell r="K3213">
            <v>4</v>
          </cell>
        </row>
        <row r="3214">
          <cell r="A3214" t="str">
            <v>M2</v>
          </cell>
          <cell r="B3214" t="str">
            <v>A5C</v>
          </cell>
          <cell r="C3214" t="str">
            <v>P</v>
          </cell>
          <cell r="D3214" t="str">
            <v>23106</v>
          </cell>
          <cell r="E3214" t="str">
            <v>90 ELL</v>
          </cell>
          <cell r="F3214">
            <v>2</v>
          </cell>
          <cell r="G3214" t="str">
            <v>CB300104000300</v>
          </cell>
          <cell r="H3214">
            <v>3</v>
          </cell>
          <cell r="I3214" t="str">
            <v>--</v>
          </cell>
          <cell r="J3214">
            <v>2</v>
          </cell>
          <cell r="K3214">
            <v>3</v>
          </cell>
        </row>
        <row r="3215">
          <cell r="A3215" t="str">
            <v>M2</v>
          </cell>
          <cell r="B3215" t="str">
            <v>A5C</v>
          </cell>
          <cell r="C3215" t="str">
            <v>P</v>
          </cell>
          <cell r="D3215" t="str">
            <v>23124</v>
          </cell>
          <cell r="E3215" t="str">
            <v>90 ELL</v>
          </cell>
          <cell r="F3215">
            <v>2</v>
          </cell>
          <cell r="G3215" t="str">
            <v>CB300104000300</v>
          </cell>
          <cell r="H3215">
            <v>3</v>
          </cell>
          <cell r="I3215" t="str">
            <v>--</v>
          </cell>
          <cell r="J3215">
            <v>8</v>
          </cell>
          <cell r="K3215">
            <v>9</v>
          </cell>
        </row>
        <row r="3216">
          <cell r="A3216" t="str">
            <v>M2</v>
          </cell>
          <cell r="B3216" t="str">
            <v>A5C</v>
          </cell>
          <cell r="C3216" t="str">
            <v>P</v>
          </cell>
          <cell r="D3216" t="str">
            <v>23142</v>
          </cell>
          <cell r="E3216" t="str">
            <v>90 ELL</v>
          </cell>
          <cell r="F3216">
            <v>2</v>
          </cell>
          <cell r="G3216" t="str">
            <v>CB300104000300</v>
          </cell>
          <cell r="H3216">
            <v>3</v>
          </cell>
          <cell r="I3216" t="str">
            <v>--</v>
          </cell>
          <cell r="J3216">
            <v>4</v>
          </cell>
          <cell r="K3216">
            <v>5</v>
          </cell>
        </row>
        <row r="3217">
          <cell r="A3217" t="str">
            <v>M2</v>
          </cell>
          <cell r="B3217" t="str">
            <v>A5C</v>
          </cell>
          <cell r="C3217" t="str">
            <v>P</v>
          </cell>
          <cell r="D3217" t="str">
            <v>23232</v>
          </cell>
          <cell r="E3217" t="str">
            <v>90 ELL</v>
          </cell>
          <cell r="F3217">
            <v>2</v>
          </cell>
          <cell r="G3217" t="str">
            <v>CB300104000300</v>
          </cell>
          <cell r="H3217">
            <v>3</v>
          </cell>
          <cell r="I3217" t="str">
            <v>--</v>
          </cell>
          <cell r="J3217">
            <v>4</v>
          </cell>
          <cell r="K3217">
            <v>5</v>
          </cell>
        </row>
        <row r="3218">
          <cell r="A3218" t="str">
            <v>M2</v>
          </cell>
          <cell r="B3218" t="str">
            <v>A5C</v>
          </cell>
          <cell r="C3218" t="str">
            <v>P</v>
          </cell>
          <cell r="D3218" t="str">
            <v>23240</v>
          </cell>
          <cell r="E3218" t="str">
            <v>90 ELL</v>
          </cell>
          <cell r="F3218">
            <v>2</v>
          </cell>
          <cell r="G3218" t="str">
            <v>CB300104000300</v>
          </cell>
          <cell r="H3218">
            <v>3</v>
          </cell>
          <cell r="I3218" t="str">
            <v>--</v>
          </cell>
          <cell r="J3218">
            <v>2</v>
          </cell>
          <cell r="K3218">
            <v>3</v>
          </cell>
        </row>
        <row r="3219">
          <cell r="A3219" t="str">
            <v>M2</v>
          </cell>
          <cell r="B3219" t="str">
            <v>A5C</v>
          </cell>
          <cell r="C3219" t="str">
            <v>P</v>
          </cell>
          <cell r="D3219" t="str">
            <v>23236</v>
          </cell>
          <cell r="E3219" t="str">
            <v>90 ELL</v>
          </cell>
          <cell r="F3219">
            <v>2</v>
          </cell>
          <cell r="G3219" t="str">
            <v>CB300104000300</v>
          </cell>
          <cell r="H3219">
            <v>3</v>
          </cell>
          <cell r="I3219" t="str">
            <v>--</v>
          </cell>
          <cell r="J3219">
            <v>3</v>
          </cell>
          <cell r="K3219">
            <v>4</v>
          </cell>
        </row>
        <row r="3220">
          <cell r="A3220" t="str">
            <v>M2</v>
          </cell>
          <cell r="B3220" t="str">
            <v>A5C</v>
          </cell>
          <cell r="C3220" t="str">
            <v>P</v>
          </cell>
          <cell r="D3220" t="str">
            <v>23240</v>
          </cell>
          <cell r="E3220" t="str">
            <v>90 ELL</v>
          </cell>
          <cell r="F3220">
            <v>2</v>
          </cell>
          <cell r="G3220" t="str">
            <v>CB300104000300</v>
          </cell>
          <cell r="H3220">
            <v>3</v>
          </cell>
          <cell r="I3220" t="str">
            <v>--</v>
          </cell>
          <cell r="J3220">
            <v>3</v>
          </cell>
          <cell r="K3220">
            <v>4</v>
          </cell>
        </row>
        <row r="3221">
          <cell r="A3221" t="str">
            <v>M2</v>
          </cell>
          <cell r="B3221" t="str">
            <v>A5C</v>
          </cell>
          <cell r="C3221" t="str">
            <v>P</v>
          </cell>
          <cell r="D3221" t="str">
            <v>23246</v>
          </cell>
          <cell r="E3221" t="str">
            <v>90 ELL</v>
          </cell>
          <cell r="F3221">
            <v>2</v>
          </cell>
          <cell r="G3221" t="str">
            <v>CB300104000300</v>
          </cell>
          <cell r="H3221">
            <v>3</v>
          </cell>
          <cell r="I3221" t="str">
            <v>--</v>
          </cell>
          <cell r="J3221">
            <v>4</v>
          </cell>
          <cell r="K3221">
            <v>5</v>
          </cell>
        </row>
        <row r="3222">
          <cell r="A3222" t="str">
            <v>M2</v>
          </cell>
          <cell r="B3222" t="str">
            <v>A5C</v>
          </cell>
          <cell r="C3222" t="str">
            <v>P</v>
          </cell>
          <cell r="D3222" t="str">
            <v>23256</v>
          </cell>
          <cell r="E3222" t="str">
            <v>90 ELL</v>
          </cell>
          <cell r="F3222">
            <v>2</v>
          </cell>
          <cell r="G3222" t="str">
            <v>CB300104000300</v>
          </cell>
          <cell r="H3222">
            <v>3</v>
          </cell>
          <cell r="I3222" t="str">
            <v>--</v>
          </cell>
          <cell r="J3222">
            <v>2</v>
          </cell>
          <cell r="K3222">
            <v>3</v>
          </cell>
        </row>
        <row r="3223">
          <cell r="A3223" t="str">
            <v>M2</v>
          </cell>
          <cell r="B3223" t="str">
            <v>A5C</v>
          </cell>
          <cell r="C3223" t="str">
            <v>P</v>
          </cell>
          <cell r="D3223" t="str">
            <v>23257</v>
          </cell>
          <cell r="E3223" t="str">
            <v>90 ELL</v>
          </cell>
          <cell r="F3223">
            <v>2</v>
          </cell>
          <cell r="G3223" t="str">
            <v>CB300104000300</v>
          </cell>
          <cell r="H3223">
            <v>3</v>
          </cell>
          <cell r="I3223" t="str">
            <v>--</v>
          </cell>
          <cell r="J3223">
            <v>4</v>
          </cell>
          <cell r="K3223">
            <v>5</v>
          </cell>
        </row>
        <row r="3224">
          <cell r="A3224" t="str">
            <v>M2</v>
          </cell>
          <cell r="B3224" t="str">
            <v>A5C</v>
          </cell>
          <cell r="C3224" t="str">
            <v>P</v>
          </cell>
          <cell r="D3224" t="str">
            <v>23254</v>
          </cell>
          <cell r="E3224" t="str">
            <v>90 ELL</v>
          </cell>
          <cell r="F3224">
            <v>2</v>
          </cell>
          <cell r="G3224" t="str">
            <v>CB300104000300</v>
          </cell>
          <cell r="H3224">
            <v>3</v>
          </cell>
          <cell r="I3224" t="str">
            <v>--</v>
          </cell>
          <cell r="J3224">
            <v>4</v>
          </cell>
          <cell r="K3224">
            <v>5</v>
          </cell>
        </row>
        <row r="3225">
          <cell r="A3225" t="str">
            <v>M2</v>
          </cell>
          <cell r="B3225" t="str">
            <v>A5C</v>
          </cell>
          <cell r="C3225" t="str">
            <v>P</v>
          </cell>
          <cell r="D3225" t="str">
            <v>23258</v>
          </cell>
          <cell r="E3225" t="str">
            <v>90 ELL</v>
          </cell>
          <cell r="F3225">
            <v>2</v>
          </cell>
          <cell r="G3225" t="str">
            <v>CB300104000300</v>
          </cell>
          <cell r="H3225">
            <v>3</v>
          </cell>
          <cell r="I3225" t="str">
            <v>--</v>
          </cell>
          <cell r="J3225">
            <v>2</v>
          </cell>
          <cell r="K3225">
            <v>3</v>
          </cell>
        </row>
        <row r="3226">
          <cell r="A3226" t="str">
            <v>M2</v>
          </cell>
          <cell r="B3226" t="str">
            <v>A5C</v>
          </cell>
          <cell r="C3226" t="str">
            <v>P</v>
          </cell>
          <cell r="D3226" t="str">
            <v>23082</v>
          </cell>
          <cell r="E3226" t="str">
            <v>90 ELL</v>
          </cell>
          <cell r="F3226">
            <v>2</v>
          </cell>
          <cell r="G3226" t="str">
            <v>CB300104000300</v>
          </cell>
          <cell r="H3226">
            <v>3</v>
          </cell>
          <cell r="I3226" t="str">
            <v>--</v>
          </cell>
          <cell r="J3226">
            <v>4</v>
          </cell>
          <cell r="K3226">
            <v>5</v>
          </cell>
        </row>
        <row r="3227">
          <cell r="A3227" t="str">
            <v>M2</v>
          </cell>
          <cell r="B3227" t="str">
            <v>A5C</v>
          </cell>
          <cell r="C3227" t="str">
            <v>P</v>
          </cell>
          <cell r="D3227" t="str">
            <v>23236</v>
          </cell>
          <cell r="E3227" t="str">
            <v>90 ELL</v>
          </cell>
          <cell r="F3227">
            <v>2</v>
          </cell>
          <cell r="G3227" t="str">
            <v>CB300104000300</v>
          </cell>
          <cell r="H3227">
            <v>3</v>
          </cell>
          <cell r="I3227" t="str">
            <v>--</v>
          </cell>
          <cell r="J3227">
            <v>2</v>
          </cell>
          <cell r="K3227">
            <v>3</v>
          </cell>
        </row>
        <row r="3228">
          <cell r="A3228" t="str">
            <v>M2</v>
          </cell>
          <cell r="B3228" t="str">
            <v>A5C</v>
          </cell>
          <cell r="C3228" t="str">
            <v>P</v>
          </cell>
          <cell r="D3228" t="str">
            <v>23047</v>
          </cell>
          <cell r="E3228" t="str">
            <v>C RED</v>
          </cell>
          <cell r="F3228">
            <v>2</v>
          </cell>
          <cell r="G3228" t="str">
            <v>CB300504080302</v>
          </cell>
          <cell r="H3228">
            <v>3</v>
          </cell>
          <cell r="I3228">
            <v>2</v>
          </cell>
          <cell r="J3228">
            <v>2</v>
          </cell>
          <cell r="K3228">
            <v>3</v>
          </cell>
        </row>
        <row r="3229">
          <cell r="A3229" t="str">
            <v>M2</v>
          </cell>
          <cell r="B3229" t="str">
            <v>A5C</v>
          </cell>
          <cell r="C3229" t="str">
            <v>P</v>
          </cell>
          <cell r="D3229" t="str">
            <v>23142</v>
          </cell>
          <cell r="E3229" t="str">
            <v>C RED</v>
          </cell>
          <cell r="F3229">
            <v>2</v>
          </cell>
          <cell r="G3229" t="str">
            <v>CB300504080302</v>
          </cell>
          <cell r="H3229">
            <v>3</v>
          </cell>
          <cell r="I3229">
            <v>2</v>
          </cell>
          <cell r="J3229">
            <v>2</v>
          </cell>
          <cell r="K3229">
            <v>3</v>
          </cell>
        </row>
        <row r="3230">
          <cell r="A3230" t="str">
            <v>M2</v>
          </cell>
          <cell r="B3230" t="str">
            <v>A5C</v>
          </cell>
          <cell r="C3230" t="str">
            <v>P</v>
          </cell>
          <cell r="D3230" t="str">
            <v>23236</v>
          </cell>
          <cell r="E3230" t="str">
            <v>C RED</v>
          </cell>
          <cell r="F3230">
            <v>2</v>
          </cell>
          <cell r="G3230" t="str">
            <v>CB300504080302</v>
          </cell>
          <cell r="H3230">
            <v>3</v>
          </cell>
          <cell r="I3230">
            <v>2</v>
          </cell>
          <cell r="J3230">
            <v>2</v>
          </cell>
          <cell r="K3230">
            <v>3</v>
          </cell>
        </row>
        <row r="3231">
          <cell r="A3231" t="str">
            <v>M2</v>
          </cell>
          <cell r="B3231" t="str">
            <v>A5C</v>
          </cell>
          <cell r="C3231" t="str">
            <v>P</v>
          </cell>
          <cell r="D3231" t="str">
            <v>23240</v>
          </cell>
          <cell r="E3231" t="str">
            <v>C RED</v>
          </cell>
          <cell r="F3231">
            <v>2</v>
          </cell>
          <cell r="G3231" t="str">
            <v>CB300504080302</v>
          </cell>
          <cell r="H3231">
            <v>3</v>
          </cell>
          <cell r="I3231">
            <v>2</v>
          </cell>
          <cell r="J3231">
            <v>2</v>
          </cell>
          <cell r="K3231">
            <v>3</v>
          </cell>
        </row>
        <row r="3232">
          <cell r="A3232" t="str">
            <v>M2</v>
          </cell>
          <cell r="B3232" t="str">
            <v>A5C</v>
          </cell>
          <cell r="C3232" t="str">
            <v>P</v>
          </cell>
          <cell r="D3232" t="str">
            <v>23124</v>
          </cell>
          <cell r="E3232" t="str">
            <v>C RED</v>
          </cell>
          <cell r="F3232">
            <v>2</v>
          </cell>
          <cell r="G3232" t="str">
            <v>CB300504080302</v>
          </cell>
          <cell r="H3232">
            <v>3</v>
          </cell>
          <cell r="I3232">
            <v>2</v>
          </cell>
          <cell r="J3232">
            <v>2</v>
          </cell>
          <cell r="K3232">
            <v>3</v>
          </cell>
        </row>
        <row r="3233">
          <cell r="A3233" t="str">
            <v>M2</v>
          </cell>
          <cell r="B3233" t="str">
            <v>A5C</v>
          </cell>
          <cell r="C3233" t="str">
            <v>P</v>
          </cell>
          <cell r="D3233" t="str">
            <v>23106</v>
          </cell>
          <cell r="E3233" t="str">
            <v>C SWG</v>
          </cell>
          <cell r="F3233">
            <v>2</v>
          </cell>
          <cell r="G3233" t="str">
            <v>CB1614040803IH</v>
          </cell>
          <cell r="H3233">
            <v>3</v>
          </cell>
          <cell r="I3233">
            <v>1.5</v>
          </cell>
          <cell r="J3233">
            <v>2</v>
          </cell>
          <cell r="K3233">
            <v>3</v>
          </cell>
        </row>
        <row r="3234">
          <cell r="A3234" t="str">
            <v>M2</v>
          </cell>
          <cell r="B3234" t="str">
            <v>A5C</v>
          </cell>
          <cell r="C3234" t="str">
            <v>P</v>
          </cell>
          <cell r="D3234" t="str">
            <v>23005</v>
          </cell>
          <cell r="E3234" t="str">
            <v>C SWG</v>
          </cell>
          <cell r="F3234">
            <v>2</v>
          </cell>
          <cell r="G3234" t="str">
            <v>CB1614040803IH</v>
          </cell>
          <cell r="H3234">
            <v>3</v>
          </cell>
          <cell r="I3234">
            <v>1.5</v>
          </cell>
          <cell r="J3234">
            <v>2</v>
          </cell>
          <cell r="K3234">
            <v>3</v>
          </cell>
        </row>
        <row r="3235">
          <cell r="A3235" t="str">
            <v>M2</v>
          </cell>
          <cell r="B3235" t="str">
            <v>A5C</v>
          </cell>
          <cell r="C3235" t="str">
            <v>P</v>
          </cell>
          <cell r="D3235" t="str">
            <v>23246</v>
          </cell>
          <cell r="E3235" t="str">
            <v>C SWG</v>
          </cell>
          <cell r="F3235">
            <v>2</v>
          </cell>
          <cell r="G3235" t="str">
            <v>CB1614040803IH</v>
          </cell>
          <cell r="H3235">
            <v>3</v>
          </cell>
          <cell r="I3235">
            <v>1.5</v>
          </cell>
          <cell r="J3235">
            <v>2</v>
          </cell>
          <cell r="K3235">
            <v>3</v>
          </cell>
        </row>
        <row r="3236">
          <cell r="A3236" t="str">
            <v>M2</v>
          </cell>
          <cell r="B3236" t="str">
            <v>A5C</v>
          </cell>
          <cell r="C3236" t="str">
            <v>P</v>
          </cell>
          <cell r="D3236" t="str">
            <v>23101</v>
          </cell>
          <cell r="E3236" t="str">
            <v>CAP</v>
          </cell>
          <cell r="F3236">
            <v>2</v>
          </cell>
          <cell r="G3236" t="str">
            <v>CB300704000300</v>
          </cell>
          <cell r="H3236">
            <v>3</v>
          </cell>
          <cell r="I3236" t="str">
            <v>--</v>
          </cell>
          <cell r="J3236">
            <v>2</v>
          </cell>
          <cell r="K3236">
            <v>3</v>
          </cell>
        </row>
        <row r="3237">
          <cell r="A3237" t="str">
            <v>M2</v>
          </cell>
          <cell r="B3237" t="str">
            <v>A5C</v>
          </cell>
          <cell r="C3237" t="str">
            <v>P</v>
          </cell>
          <cell r="D3237" t="str">
            <v>23105</v>
          </cell>
          <cell r="E3237" t="str">
            <v>CAP</v>
          </cell>
          <cell r="F3237">
            <v>2</v>
          </cell>
          <cell r="G3237" t="str">
            <v>CB300704000300</v>
          </cell>
          <cell r="H3237">
            <v>3</v>
          </cell>
          <cell r="I3237" t="str">
            <v>--</v>
          </cell>
          <cell r="J3237">
            <v>2</v>
          </cell>
          <cell r="K3237">
            <v>3</v>
          </cell>
        </row>
        <row r="3238">
          <cell r="A3238" t="str">
            <v>M2</v>
          </cell>
          <cell r="B3238" t="str">
            <v>A5C</v>
          </cell>
          <cell r="C3238" t="str">
            <v>P</v>
          </cell>
          <cell r="D3238" t="str">
            <v>23109</v>
          </cell>
          <cell r="E3238" t="str">
            <v>CAP</v>
          </cell>
          <cell r="F3238">
            <v>2</v>
          </cell>
          <cell r="G3238" t="str">
            <v>CB300704000300</v>
          </cell>
          <cell r="H3238">
            <v>3</v>
          </cell>
          <cell r="I3238" t="str">
            <v>--</v>
          </cell>
          <cell r="J3238">
            <v>2</v>
          </cell>
          <cell r="K3238">
            <v>3</v>
          </cell>
        </row>
        <row r="3239">
          <cell r="A3239" t="str">
            <v>M2</v>
          </cell>
          <cell r="B3239" t="str">
            <v>A5C</v>
          </cell>
          <cell r="C3239" t="str">
            <v>P</v>
          </cell>
          <cell r="D3239" t="str">
            <v>23113</v>
          </cell>
          <cell r="E3239" t="str">
            <v>CAP</v>
          </cell>
          <cell r="F3239">
            <v>2</v>
          </cell>
          <cell r="G3239" t="str">
            <v>CB300704000300</v>
          </cell>
          <cell r="H3239">
            <v>3</v>
          </cell>
          <cell r="I3239" t="str">
            <v>--</v>
          </cell>
          <cell r="J3239">
            <v>2</v>
          </cell>
          <cell r="K3239">
            <v>3</v>
          </cell>
        </row>
        <row r="3240">
          <cell r="A3240" t="str">
            <v>M2</v>
          </cell>
          <cell r="B3240" t="str">
            <v>A5C</v>
          </cell>
          <cell r="C3240" t="str">
            <v>P</v>
          </cell>
          <cell r="D3240" t="str">
            <v>23234</v>
          </cell>
          <cell r="E3240" t="str">
            <v>CAP</v>
          </cell>
          <cell r="F3240">
            <v>2</v>
          </cell>
          <cell r="G3240" t="str">
            <v>CB300704000300</v>
          </cell>
          <cell r="H3240">
            <v>3</v>
          </cell>
          <cell r="I3240" t="str">
            <v>--</v>
          </cell>
          <cell r="J3240">
            <v>2</v>
          </cell>
          <cell r="K3240">
            <v>3</v>
          </cell>
        </row>
        <row r="3241">
          <cell r="A3241" t="str">
            <v>M2</v>
          </cell>
          <cell r="B3241" t="str">
            <v>A5C</v>
          </cell>
          <cell r="C3241" t="str">
            <v>P</v>
          </cell>
          <cell r="D3241" t="str">
            <v>23238</v>
          </cell>
          <cell r="E3241" t="str">
            <v>CAP</v>
          </cell>
          <cell r="F3241">
            <v>2</v>
          </cell>
          <cell r="G3241" t="str">
            <v>CB300704000300</v>
          </cell>
          <cell r="H3241">
            <v>3</v>
          </cell>
          <cell r="I3241" t="str">
            <v>--</v>
          </cell>
          <cell r="J3241">
            <v>2</v>
          </cell>
          <cell r="K3241">
            <v>3</v>
          </cell>
        </row>
        <row r="3242">
          <cell r="A3242" t="str">
            <v>M2</v>
          </cell>
          <cell r="B3242" t="str">
            <v>A5C</v>
          </cell>
          <cell r="C3242" t="str">
            <v>TRIM</v>
          </cell>
          <cell r="D3242" t="str">
            <v>V-2316</v>
          </cell>
          <cell r="E3242" t="str">
            <v>CAP</v>
          </cell>
          <cell r="F3242">
            <v>2</v>
          </cell>
          <cell r="G3242" t="str">
            <v>CB300704000300</v>
          </cell>
          <cell r="H3242">
            <v>3</v>
          </cell>
          <cell r="I3242" t="str">
            <v>--</v>
          </cell>
          <cell r="J3242">
            <v>2</v>
          </cell>
          <cell r="K3242">
            <v>3</v>
          </cell>
        </row>
        <row r="3243">
          <cell r="A3243" t="str">
            <v>M2</v>
          </cell>
          <cell r="B3243" t="str">
            <v>A5C</v>
          </cell>
          <cell r="C3243" t="str">
            <v>TRIM</v>
          </cell>
          <cell r="D3243" t="str">
            <v>V-2320</v>
          </cell>
          <cell r="E3243" t="str">
            <v>CAP</v>
          </cell>
          <cell r="F3243">
            <v>2</v>
          </cell>
          <cell r="G3243" t="str">
            <v>CB300704000300</v>
          </cell>
          <cell r="H3243">
            <v>3</v>
          </cell>
          <cell r="I3243" t="str">
            <v>--</v>
          </cell>
          <cell r="J3243">
            <v>2</v>
          </cell>
          <cell r="K3243">
            <v>3</v>
          </cell>
        </row>
        <row r="3244">
          <cell r="A3244" t="str">
            <v>M2</v>
          </cell>
          <cell r="B3244" t="str">
            <v>A5C</v>
          </cell>
          <cell r="C3244" t="str">
            <v>TRIM</v>
          </cell>
          <cell r="D3244" t="str">
            <v>V-2321</v>
          </cell>
          <cell r="E3244" t="str">
            <v>CAP</v>
          </cell>
          <cell r="F3244">
            <v>2</v>
          </cell>
          <cell r="G3244" t="str">
            <v>CB300704000300</v>
          </cell>
          <cell r="H3244">
            <v>3</v>
          </cell>
          <cell r="I3244" t="str">
            <v>--</v>
          </cell>
          <cell r="J3244">
            <v>2</v>
          </cell>
          <cell r="K3244">
            <v>3</v>
          </cell>
        </row>
        <row r="3245">
          <cell r="A3245" t="str">
            <v>M2</v>
          </cell>
          <cell r="B3245" t="str">
            <v>A5C</v>
          </cell>
          <cell r="C3245" t="str">
            <v>TRIM</v>
          </cell>
          <cell r="D3245" t="str">
            <v>V-2317</v>
          </cell>
          <cell r="E3245" t="str">
            <v>CAP</v>
          </cell>
          <cell r="F3245">
            <v>2</v>
          </cell>
          <cell r="G3245" t="str">
            <v>CB300704000300</v>
          </cell>
          <cell r="H3245">
            <v>3</v>
          </cell>
          <cell r="I3245" t="str">
            <v>--</v>
          </cell>
          <cell r="J3245">
            <v>2</v>
          </cell>
          <cell r="K3245">
            <v>3</v>
          </cell>
        </row>
        <row r="3246">
          <cell r="A3246" t="str">
            <v>M2</v>
          </cell>
          <cell r="B3246" t="str">
            <v>A5C</v>
          </cell>
          <cell r="C3246" t="str">
            <v>TRIM</v>
          </cell>
          <cell r="D3246" t="str">
            <v>V-2323</v>
          </cell>
          <cell r="E3246" t="str">
            <v>CAP</v>
          </cell>
          <cell r="F3246">
            <v>2</v>
          </cell>
          <cell r="G3246" t="str">
            <v>CB300704000300</v>
          </cell>
          <cell r="H3246">
            <v>3</v>
          </cell>
          <cell r="I3246" t="str">
            <v>--</v>
          </cell>
          <cell r="J3246">
            <v>2</v>
          </cell>
          <cell r="K3246">
            <v>3</v>
          </cell>
        </row>
        <row r="3247">
          <cell r="A3247" t="str">
            <v>M2</v>
          </cell>
          <cell r="B3247" t="str">
            <v>A5C</v>
          </cell>
          <cell r="C3247" t="str">
            <v>TRIM</v>
          </cell>
          <cell r="D3247" t="str">
            <v>V-2326</v>
          </cell>
          <cell r="E3247" t="str">
            <v>CAP</v>
          </cell>
          <cell r="F3247">
            <v>2</v>
          </cell>
          <cell r="G3247" t="str">
            <v>CB300704000300</v>
          </cell>
          <cell r="H3247">
            <v>3</v>
          </cell>
          <cell r="I3247" t="str">
            <v>--</v>
          </cell>
          <cell r="J3247">
            <v>2</v>
          </cell>
          <cell r="K3247">
            <v>3</v>
          </cell>
        </row>
        <row r="3248">
          <cell r="A3248" t="str">
            <v>M2</v>
          </cell>
          <cell r="B3248" t="str">
            <v>A5C</v>
          </cell>
          <cell r="C3248" t="str">
            <v>TRIM</v>
          </cell>
          <cell r="D3248" t="str">
            <v>V-2329</v>
          </cell>
          <cell r="E3248" t="str">
            <v>CAP</v>
          </cell>
          <cell r="F3248">
            <v>2</v>
          </cell>
          <cell r="G3248" t="str">
            <v>CB300704000300</v>
          </cell>
          <cell r="H3248">
            <v>3</v>
          </cell>
          <cell r="I3248" t="str">
            <v>--</v>
          </cell>
          <cell r="J3248">
            <v>2</v>
          </cell>
          <cell r="K3248">
            <v>3</v>
          </cell>
        </row>
        <row r="3249">
          <cell r="A3249" t="str">
            <v>M2</v>
          </cell>
          <cell r="B3249" t="str">
            <v>A5C</v>
          </cell>
          <cell r="C3249" t="str">
            <v>TRIM</v>
          </cell>
          <cell r="D3249" t="str">
            <v>V-2330</v>
          </cell>
          <cell r="E3249" t="str">
            <v>CAP</v>
          </cell>
          <cell r="F3249">
            <v>2</v>
          </cell>
          <cell r="G3249" t="str">
            <v>CB300704000300</v>
          </cell>
          <cell r="H3249">
            <v>3</v>
          </cell>
          <cell r="I3249" t="str">
            <v>--</v>
          </cell>
          <cell r="J3249">
            <v>2</v>
          </cell>
          <cell r="K3249">
            <v>3</v>
          </cell>
        </row>
        <row r="3250">
          <cell r="A3250" t="str">
            <v>M2</v>
          </cell>
          <cell r="B3250" t="str">
            <v>A5C</v>
          </cell>
          <cell r="C3250" t="str">
            <v>TRIM</v>
          </cell>
          <cell r="D3250" t="str">
            <v>V-2333</v>
          </cell>
          <cell r="E3250" t="str">
            <v>CAP</v>
          </cell>
          <cell r="F3250">
            <v>2</v>
          </cell>
          <cell r="G3250" t="str">
            <v>CB300704000300</v>
          </cell>
          <cell r="H3250">
            <v>3</v>
          </cell>
          <cell r="I3250" t="str">
            <v>--</v>
          </cell>
          <cell r="J3250">
            <v>2</v>
          </cell>
          <cell r="K3250">
            <v>3</v>
          </cell>
        </row>
        <row r="3251">
          <cell r="A3251" t="str">
            <v>M2</v>
          </cell>
          <cell r="B3251" t="str">
            <v>A5C</v>
          </cell>
          <cell r="C3251" t="str">
            <v>TRIM</v>
          </cell>
          <cell r="D3251" t="str">
            <v>V-2328</v>
          </cell>
          <cell r="E3251" t="str">
            <v>CAP</v>
          </cell>
          <cell r="F3251">
            <v>2</v>
          </cell>
          <cell r="G3251" t="str">
            <v>CB300704000300</v>
          </cell>
          <cell r="H3251">
            <v>3</v>
          </cell>
          <cell r="I3251" t="str">
            <v>--</v>
          </cell>
          <cell r="J3251">
            <v>2</v>
          </cell>
          <cell r="K3251">
            <v>3</v>
          </cell>
        </row>
        <row r="3252">
          <cell r="A3252" t="str">
            <v>M2</v>
          </cell>
          <cell r="B3252" t="str">
            <v>A5C</v>
          </cell>
          <cell r="C3252" t="str">
            <v>TRIM</v>
          </cell>
          <cell r="D3252" t="str">
            <v>V-2331</v>
          </cell>
          <cell r="E3252" t="str">
            <v>CAP</v>
          </cell>
          <cell r="F3252">
            <v>2</v>
          </cell>
          <cell r="G3252" t="str">
            <v>CB300704000300</v>
          </cell>
          <cell r="H3252">
            <v>3</v>
          </cell>
          <cell r="I3252" t="str">
            <v>--</v>
          </cell>
          <cell r="J3252">
            <v>2</v>
          </cell>
          <cell r="K3252">
            <v>3</v>
          </cell>
        </row>
        <row r="3253">
          <cell r="A3253" t="str">
            <v>M2</v>
          </cell>
          <cell r="B3253" t="str">
            <v>A5C</v>
          </cell>
          <cell r="C3253" t="str">
            <v>P</v>
          </cell>
          <cell r="D3253" t="str">
            <v>23094</v>
          </cell>
          <cell r="E3253" t="str">
            <v>CAP</v>
          </cell>
          <cell r="F3253">
            <v>2</v>
          </cell>
          <cell r="G3253" t="str">
            <v>CB300704000300</v>
          </cell>
          <cell r="H3253">
            <v>3</v>
          </cell>
          <cell r="I3253" t="str">
            <v>--</v>
          </cell>
          <cell r="J3253">
            <v>2</v>
          </cell>
          <cell r="K3253">
            <v>3</v>
          </cell>
        </row>
        <row r="3254">
          <cell r="A3254" t="str">
            <v>M2</v>
          </cell>
          <cell r="B3254" t="str">
            <v>A5C</v>
          </cell>
          <cell r="C3254" t="str">
            <v>P</v>
          </cell>
          <cell r="D3254" t="str">
            <v>23133</v>
          </cell>
          <cell r="E3254" t="str">
            <v>CAP</v>
          </cell>
          <cell r="F3254">
            <v>2</v>
          </cell>
          <cell r="G3254" t="str">
            <v>CB300704000300</v>
          </cell>
          <cell r="H3254">
            <v>3</v>
          </cell>
          <cell r="I3254" t="str">
            <v>--</v>
          </cell>
          <cell r="J3254">
            <v>2</v>
          </cell>
          <cell r="K3254">
            <v>3</v>
          </cell>
        </row>
        <row r="3255">
          <cell r="A3255" t="str">
            <v>M2</v>
          </cell>
          <cell r="B3255" t="str">
            <v>A5C</v>
          </cell>
          <cell r="C3255" t="str">
            <v>P</v>
          </cell>
          <cell r="D3255" t="str">
            <v>23141</v>
          </cell>
          <cell r="E3255" t="str">
            <v>CAP</v>
          </cell>
          <cell r="F3255">
            <v>2</v>
          </cell>
          <cell r="G3255" t="str">
            <v>CB300704000300</v>
          </cell>
          <cell r="H3255">
            <v>3</v>
          </cell>
          <cell r="I3255" t="str">
            <v>--</v>
          </cell>
          <cell r="J3255">
            <v>2</v>
          </cell>
          <cell r="K3255">
            <v>3</v>
          </cell>
        </row>
        <row r="3256">
          <cell r="A3256" t="str">
            <v>M2</v>
          </cell>
          <cell r="B3256" t="str">
            <v>A5C</v>
          </cell>
          <cell r="C3256" t="str">
            <v>P</v>
          </cell>
          <cell r="D3256" t="str">
            <v>23145</v>
          </cell>
          <cell r="E3256" t="str">
            <v>CAP</v>
          </cell>
          <cell r="F3256">
            <v>2</v>
          </cell>
          <cell r="G3256" t="str">
            <v>CB300704000300</v>
          </cell>
          <cell r="H3256">
            <v>3</v>
          </cell>
          <cell r="I3256" t="str">
            <v>--</v>
          </cell>
          <cell r="J3256">
            <v>2</v>
          </cell>
          <cell r="K3256">
            <v>3</v>
          </cell>
        </row>
        <row r="3257">
          <cell r="A3257" t="str">
            <v>M2</v>
          </cell>
          <cell r="B3257" t="str">
            <v>A5C</v>
          </cell>
          <cell r="C3257" t="str">
            <v>TRIM</v>
          </cell>
          <cell r="D3257" t="str">
            <v>V-2301</v>
          </cell>
          <cell r="E3257" t="str">
            <v>CAP</v>
          </cell>
          <cell r="F3257">
            <v>2</v>
          </cell>
          <cell r="G3257" t="str">
            <v>CB300704000300</v>
          </cell>
          <cell r="H3257">
            <v>3</v>
          </cell>
          <cell r="I3257" t="str">
            <v>--</v>
          </cell>
          <cell r="J3257">
            <v>2</v>
          </cell>
          <cell r="K3257">
            <v>3</v>
          </cell>
        </row>
        <row r="3258">
          <cell r="A3258" t="str">
            <v>M2</v>
          </cell>
          <cell r="B3258" t="str">
            <v>A5C</v>
          </cell>
          <cell r="C3258" t="str">
            <v>TRIM</v>
          </cell>
          <cell r="D3258" t="str">
            <v>V-2315</v>
          </cell>
          <cell r="E3258" t="str">
            <v>CAP</v>
          </cell>
          <cell r="F3258">
            <v>2</v>
          </cell>
          <cell r="G3258" t="str">
            <v>CB300704000300</v>
          </cell>
          <cell r="H3258">
            <v>3</v>
          </cell>
          <cell r="I3258" t="str">
            <v>--</v>
          </cell>
          <cell r="J3258">
            <v>2</v>
          </cell>
          <cell r="K3258">
            <v>3</v>
          </cell>
        </row>
        <row r="3259">
          <cell r="A3259" t="str">
            <v>M2</v>
          </cell>
          <cell r="B3259" t="str">
            <v>A5C</v>
          </cell>
          <cell r="C3259" t="str">
            <v>TRIM</v>
          </cell>
          <cell r="D3259" t="str">
            <v>V-2318</v>
          </cell>
          <cell r="E3259" t="str">
            <v>CAP</v>
          </cell>
          <cell r="F3259">
            <v>2</v>
          </cell>
          <cell r="G3259" t="str">
            <v>CB300704000300</v>
          </cell>
          <cell r="H3259">
            <v>3</v>
          </cell>
          <cell r="I3259" t="str">
            <v>--</v>
          </cell>
          <cell r="J3259">
            <v>2</v>
          </cell>
          <cell r="K3259">
            <v>3</v>
          </cell>
        </row>
        <row r="3260">
          <cell r="A3260" t="str">
            <v>M2</v>
          </cell>
          <cell r="B3260" t="str">
            <v>A5C</v>
          </cell>
          <cell r="C3260" t="str">
            <v>TRIM</v>
          </cell>
          <cell r="D3260" t="str">
            <v>V-2319</v>
          </cell>
          <cell r="E3260" t="str">
            <v>CAP</v>
          </cell>
          <cell r="F3260">
            <v>2</v>
          </cell>
          <cell r="G3260" t="str">
            <v>CB300704000300</v>
          </cell>
          <cell r="H3260">
            <v>3</v>
          </cell>
          <cell r="I3260" t="str">
            <v>--</v>
          </cell>
          <cell r="J3260">
            <v>2</v>
          </cell>
          <cell r="K3260">
            <v>3</v>
          </cell>
        </row>
        <row r="3261">
          <cell r="A3261" t="str">
            <v>M2</v>
          </cell>
          <cell r="B3261" t="str">
            <v>A5C</v>
          </cell>
          <cell r="C3261" t="str">
            <v>TRIM</v>
          </cell>
          <cell r="D3261" t="str">
            <v>V-2324</v>
          </cell>
          <cell r="E3261" t="str">
            <v>CAP</v>
          </cell>
          <cell r="F3261">
            <v>2</v>
          </cell>
          <cell r="G3261" t="str">
            <v>CB300704000300</v>
          </cell>
          <cell r="H3261">
            <v>3</v>
          </cell>
          <cell r="I3261" t="str">
            <v>--</v>
          </cell>
          <cell r="J3261">
            <v>2</v>
          </cell>
          <cell r="K3261">
            <v>3</v>
          </cell>
        </row>
        <row r="3262">
          <cell r="A3262" t="str">
            <v>M2</v>
          </cell>
          <cell r="B3262" t="str">
            <v>A5C</v>
          </cell>
          <cell r="C3262" t="str">
            <v>TRIM</v>
          </cell>
          <cell r="D3262" t="str">
            <v>V-2327</v>
          </cell>
          <cell r="E3262" t="str">
            <v>CAP</v>
          </cell>
          <cell r="F3262">
            <v>2</v>
          </cell>
          <cell r="G3262" t="str">
            <v>CB300704000300</v>
          </cell>
          <cell r="H3262">
            <v>3</v>
          </cell>
          <cell r="I3262" t="str">
            <v>--</v>
          </cell>
          <cell r="J3262">
            <v>2</v>
          </cell>
          <cell r="K3262">
            <v>3</v>
          </cell>
        </row>
        <row r="3263">
          <cell r="A3263" t="str">
            <v>M2</v>
          </cell>
          <cell r="B3263" t="str">
            <v>A5C</v>
          </cell>
          <cell r="C3263" t="str">
            <v>TRIM</v>
          </cell>
          <cell r="D3263" t="str">
            <v>V-2332</v>
          </cell>
          <cell r="E3263" t="str">
            <v>CAP</v>
          </cell>
          <cell r="F3263">
            <v>2</v>
          </cell>
          <cell r="G3263" t="str">
            <v>CB300704000300</v>
          </cell>
          <cell r="H3263">
            <v>3</v>
          </cell>
          <cell r="I3263" t="str">
            <v>--</v>
          </cell>
          <cell r="J3263">
            <v>2</v>
          </cell>
          <cell r="K3263">
            <v>3</v>
          </cell>
        </row>
        <row r="3264">
          <cell r="A3264" t="str">
            <v>M2</v>
          </cell>
          <cell r="B3264" t="str">
            <v>A5C</v>
          </cell>
          <cell r="C3264" t="str">
            <v>TRIM</v>
          </cell>
          <cell r="D3264" t="str">
            <v>V-2351</v>
          </cell>
          <cell r="E3264" t="str">
            <v>CAP</v>
          </cell>
          <cell r="F3264">
            <v>2</v>
          </cell>
          <cell r="G3264" t="str">
            <v>CB300704000300</v>
          </cell>
          <cell r="H3264">
            <v>3</v>
          </cell>
          <cell r="I3264" t="str">
            <v>--</v>
          </cell>
          <cell r="J3264">
            <v>2</v>
          </cell>
          <cell r="K3264">
            <v>3</v>
          </cell>
        </row>
        <row r="3265">
          <cell r="A3265" t="str">
            <v>M2</v>
          </cell>
          <cell r="B3265" t="str">
            <v>A5C</v>
          </cell>
          <cell r="C3265" t="str">
            <v>P</v>
          </cell>
          <cell r="D3265" t="str">
            <v>23082</v>
          </cell>
          <cell r="E3265" t="str">
            <v>E RED</v>
          </cell>
          <cell r="F3265">
            <v>2</v>
          </cell>
          <cell r="G3265" t="str">
            <v>CB300604080302</v>
          </cell>
          <cell r="H3265">
            <v>3</v>
          </cell>
          <cell r="I3265">
            <v>2</v>
          </cell>
          <cell r="J3265">
            <v>2</v>
          </cell>
          <cell r="K3265">
            <v>3</v>
          </cell>
        </row>
        <row r="3266">
          <cell r="A3266" t="str">
            <v>M2</v>
          </cell>
          <cell r="B3266" t="str">
            <v>A5C</v>
          </cell>
          <cell r="C3266" t="str">
            <v>P</v>
          </cell>
          <cell r="D3266" t="str">
            <v>23232</v>
          </cell>
          <cell r="E3266" t="str">
            <v>E RED</v>
          </cell>
          <cell r="F3266">
            <v>2</v>
          </cell>
          <cell r="G3266" t="str">
            <v>CB300604080302</v>
          </cell>
          <cell r="H3266">
            <v>3</v>
          </cell>
          <cell r="I3266">
            <v>2</v>
          </cell>
          <cell r="J3266">
            <v>2</v>
          </cell>
          <cell r="K3266">
            <v>3</v>
          </cell>
        </row>
        <row r="3267">
          <cell r="A3267" t="str">
            <v>M2</v>
          </cell>
          <cell r="B3267" t="str">
            <v>A5C</v>
          </cell>
          <cell r="C3267" t="str">
            <v>P</v>
          </cell>
          <cell r="D3267" t="str">
            <v>23254</v>
          </cell>
          <cell r="E3267" t="str">
            <v>E RED</v>
          </cell>
          <cell r="F3267">
            <v>2</v>
          </cell>
          <cell r="G3267" t="str">
            <v>CB300604080302</v>
          </cell>
          <cell r="H3267">
            <v>3</v>
          </cell>
          <cell r="I3267">
            <v>2</v>
          </cell>
          <cell r="J3267">
            <v>2</v>
          </cell>
          <cell r="K3267">
            <v>3</v>
          </cell>
        </row>
        <row r="3268">
          <cell r="A3268" t="str">
            <v>M2</v>
          </cell>
          <cell r="B3268" t="str">
            <v>A5C</v>
          </cell>
          <cell r="C3268" t="str">
            <v>P</v>
          </cell>
          <cell r="D3268" t="str">
            <v>23005</v>
          </cell>
          <cell r="E3268" t="str">
            <v>SOL</v>
          </cell>
          <cell r="F3268">
            <v>2</v>
          </cell>
          <cell r="G3268" t="str">
            <v>CB39020000030H</v>
          </cell>
          <cell r="H3268">
            <v>3</v>
          </cell>
          <cell r="I3268">
            <v>0.5</v>
          </cell>
          <cell r="J3268">
            <v>2</v>
          </cell>
          <cell r="K3268">
            <v>3</v>
          </cell>
        </row>
        <row r="3269">
          <cell r="A3269" t="str">
            <v>M2</v>
          </cell>
          <cell r="B3269" t="str">
            <v>A5C</v>
          </cell>
          <cell r="C3269" t="str">
            <v>P</v>
          </cell>
          <cell r="D3269" t="str">
            <v>23005</v>
          </cell>
          <cell r="E3269" t="str">
            <v>SOL</v>
          </cell>
          <cell r="F3269">
            <v>2</v>
          </cell>
          <cell r="G3269" t="str">
            <v>CB390200000301</v>
          </cell>
          <cell r="H3269">
            <v>3</v>
          </cell>
          <cell r="I3269">
            <v>1</v>
          </cell>
          <cell r="J3269">
            <v>1</v>
          </cell>
          <cell r="K3269">
            <v>2</v>
          </cell>
        </row>
        <row r="3270">
          <cell r="A3270" t="str">
            <v>M2</v>
          </cell>
          <cell r="B3270" t="str">
            <v>A5C</v>
          </cell>
          <cell r="C3270" t="str">
            <v>P</v>
          </cell>
          <cell r="D3270" t="str">
            <v>23047</v>
          </cell>
          <cell r="E3270" t="str">
            <v>SOL</v>
          </cell>
          <cell r="F3270">
            <v>2</v>
          </cell>
          <cell r="G3270" t="str">
            <v>CB39020000030T</v>
          </cell>
          <cell r="H3270">
            <v>3</v>
          </cell>
          <cell r="I3270">
            <v>0.75</v>
          </cell>
          <cell r="J3270">
            <v>2</v>
          </cell>
          <cell r="K3270">
            <v>3</v>
          </cell>
        </row>
        <row r="3271">
          <cell r="A3271" t="str">
            <v>M2</v>
          </cell>
          <cell r="B3271" t="str">
            <v>A5C</v>
          </cell>
          <cell r="C3271" t="str">
            <v>P</v>
          </cell>
          <cell r="D3271" t="str">
            <v>23083</v>
          </cell>
          <cell r="E3271" t="str">
            <v>SOL</v>
          </cell>
          <cell r="F3271">
            <v>2</v>
          </cell>
          <cell r="G3271" t="str">
            <v>CB390200000301</v>
          </cell>
          <cell r="H3271">
            <v>3</v>
          </cell>
          <cell r="I3271">
            <v>1</v>
          </cell>
          <cell r="J3271">
            <v>1</v>
          </cell>
          <cell r="K3271">
            <v>2</v>
          </cell>
        </row>
        <row r="3272">
          <cell r="A3272" t="str">
            <v>M2</v>
          </cell>
          <cell r="B3272" t="str">
            <v>A5C</v>
          </cell>
          <cell r="C3272" t="str">
            <v>P</v>
          </cell>
          <cell r="D3272" t="str">
            <v>23094</v>
          </cell>
          <cell r="E3272" t="str">
            <v>SOL</v>
          </cell>
          <cell r="F3272">
            <v>2</v>
          </cell>
          <cell r="G3272" t="str">
            <v>CB39020000030T</v>
          </cell>
          <cell r="H3272">
            <v>3</v>
          </cell>
          <cell r="I3272">
            <v>0.75</v>
          </cell>
          <cell r="J3272">
            <v>4</v>
          </cell>
          <cell r="K3272">
            <v>5</v>
          </cell>
        </row>
        <row r="3273">
          <cell r="A3273" t="str">
            <v>M2</v>
          </cell>
          <cell r="B3273" t="str">
            <v>A5C</v>
          </cell>
          <cell r="C3273" t="str">
            <v>P</v>
          </cell>
          <cell r="D3273" t="str">
            <v>23101</v>
          </cell>
          <cell r="E3273" t="str">
            <v>SOL</v>
          </cell>
          <cell r="F3273">
            <v>2</v>
          </cell>
          <cell r="G3273" t="str">
            <v>CB39020000030T</v>
          </cell>
          <cell r="H3273">
            <v>3</v>
          </cell>
          <cell r="I3273">
            <v>0.75</v>
          </cell>
          <cell r="J3273">
            <v>4</v>
          </cell>
          <cell r="K3273">
            <v>5</v>
          </cell>
        </row>
        <row r="3274">
          <cell r="A3274" t="str">
            <v>M2</v>
          </cell>
          <cell r="B3274" t="str">
            <v>A5C</v>
          </cell>
          <cell r="C3274" t="str">
            <v>P</v>
          </cell>
          <cell r="D3274" t="str">
            <v>23106</v>
          </cell>
          <cell r="E3274" t="str">
            <v>SOL</v>
          </cell>
          <cell r="F3274">
            <v>2</v>
          </cell>
          <cell r="G3274" t="str">
            <v>CB390200000301</v>
          </cell>
          <cell r="H3274">
            <v>3</v>
          </cell>
          <cell r="I3274">
            <v>1</v>
          </cell>
          <cell r="J3274">
            <v>1</v>
          </cell>
          <cell r="K3274">
            <v>2</v>
          </cell>
        </row>
        <row r="3275">
          <cell r="A3275" t="str">
            <v>M2</v>
          </cell>
          <cell r="B3275" t="str">
            <v>A5C</v>
          </cell>
          <cell r="C3275" t="str">
            <v>P</v>
          </cell>
          <cell r="D3275" t="str">
            <v>23106</v>
          </cell>
          <cell r="E3275" t="str">
            <v>SOL</v>
          </cell>
          <cell r="F3275">
            <v>2</v>
          </cell>
          <cell r="G3275" t="str">
            <v>CB39020000030T</v>
          </cell>
          <cell r="H3275">
            <v>3</v>
          </cell>
          <cell r="I3275">
            <v>0.75</v>
          </cell>
          <cell r="J3275">
            <v>2</v>
          </cell>
          <cell r="K3275">
            <v>3</v>
          </cell>
        </row>
        <row r="3276">
          <cell r="A3276" t="str">
            <v>M2</v>
          </cell>
          <cell r="B3276" t="str">
            <v>A5C</v>
          </cell>
          <cell r="C3276" t="str">
            <v>P</v>
          </cell>
          <cell r="D3276" t="str">
            <v>23109</v>
          </cell>
          <cell r="E3276" t="str">
            <v>SOL</v>
          </cell>
          <cell r="F3276">
            <v>2</v>
          </cell>
          <cell r="G3276" t="str">
            <v>CB39020000030T</v>
          </cell>
          <cell r="H3276">
            <v>3</v>
          </cell>
          <cell r="I3276">
            <v>0.75</v>
          </cell>
          <cell r="J3276">
            <v>4</v>
          </cell>
          <cell r="K3276">
            <v>5</v>
          </cell>
        </row>
        <row r="3277">
          <cell r="A3277" t="str">
            <v>M2</v>
          </cell>
          <cell r="B3277" t="str">
            <v>A5C</v>
          </cell>
          <cell r="C3277" t="str">
            <v>P</v>
          </cell>
          <cell r="D3277" t="str">
            <v>23142</v>
          </cell>
          <cell r="E3277" t="str">
            <v>SOL</v>
          </cell>
          <cell r="F3277">
            <v>2</v>
          </cell>
          <cell r="G3277" t="str">
            <v>CB390200000301</v>
          </cell>
          <cell r="H3277">
            <v>3</v>
          </cell>
          <cell r="I3277">
            <v>1</v>
          </cell>
          <cell r="J3277">
            <v>1</v>
          </cell>
          <cell r="K3277">
            <v>2</v>
          </cell>
        </row>
        <row r="3278">
          <cell r="A3278" t="str">
            <v>M2</v>
          </cell>
          <cell r="B3278" t="str">
            <v>A5C</v>
          </cell>
          <cell r="C3278" t="str">
            <v>P</v>
          </cell>
          <cell r="D3278" t="str">
            <v>23142</v>
          </cell>
          <cell r="E3278" t="str">
            <v>SOL</v>
          </cell>
          <cell r="F3278">
            <v>2</v>
          </cell>
          <cell r="G3278" t="str">
            <v>CB39020000030T</v>
          </cell>
          <cell r="H3278">
            <v>3</v>
          </cell>
          <cell r="I3278">
            <v>0.75</v>
          </cell>
          <cell r="J3278">
            <v>2</v>
          </cell>
          <cell r="K3278">
            <v>3</v>
          </cell>
        </row>
        <row r="3279">
          <cell r="A3279" t="str">
            <v>M2</v>
          </cell>
          <cell r="B3279" t="str">
            <v>A5C</v>
          </cell>
          <cell r="C3279" t="str">
            <v>P</v>
          </cell>
          <cell r="D3279" t="str">
            <v>23230</v>
          </cell>
          <cell r="E3279" t="str">
            <v>SOL</v>
          </cell>
          <cell r="F3279">
            <v>2</v>
          </cell>
          <cell r="G3279" t="str">
            <v>CB390200000301</v>
          </cell>
          <cell r="H3279">
            <v>3</v>
          </cell>
          <cell r="I3279">
            <v>1</v>
          </cell>
          <cell r="J3279">
            <v>1</v>
          </cell>
          <cell r="K3279">
            <v>2</v>
          </cell>
        </row>
        <row r="3280">
          <cell r="A3280" t="str">
            <v>M2</v>
          </cell>
          <cell r="B3280" t="str">
            <v>A5C</v>
          </cell>
          <cell r="C3280" t="str">
            <v>P</v>
          </cell>
          <cell r="D3280" t="str">
            <v>23236</v>
          </cell>
          <cell r="E3280" t="str">
            <v>SOL</v>
          </cell>
          <cell r="F3280">
            <v>2</v>
          </cell>
          <cell r="G3280" t="str">
            <v>CB39020000030T</v>
          </cell>
          <cell r="H3280">
            <v>3</v>
          </cell>
          <cell r="I3280">
            <v>0.75</v>
          </cell>
          <cell r="J3280">
            <v>2</v>
          </cell>
          <cell r="K3280">
            <v>3</v>
          </cell>
        </row>
        <row r="3281">
          <cell r="A3281" t="str">
            <v>M2</v>
          </cell>
          <cell r="B3281" t="str">
            <v>A5C</v>
          </cell>
          <cell r="C3281" t="str">
            <v>P</v>
          </cell>
          <cell r="D3281" t="str">
            <v>23234</v>
          </cell>
          <cell r="E3281" t="str">
            <v>SOL</v>
          </cell>
          <cell r="F3281">
            <v>2</v>
          </cell>
          <cell r="G3281" t="str">
            <v>CB39020000030T</v>
          </cell>
          <cell r="H3281">
            <v>3</v>
          </cell>
          <cell r="I3281">
            <v>0.75</v>
          </cell>
          <cell r="J3281">
            <v>4</v>
          </cell>
          <cell r="K3281">
            <v>5</v>
          </cell>
        </row>
        <row r="3282">
          <cell r="A3282" t="str">
            <v>M2</v>
          </cell>
          <cell r="B3282" t="str">
            <v>A5C</v>
          </cell>
          <cell r="C3282" t="str">
            <v>P</v>
          </cell>
          <cell r="D3282" t="str">
            <v>23236</v>
          </cell>
          <cell r="E3282" t="str">
            <v>SOL</v>
          </cell>
          <cell r="F3282">
            <v>2</v>
          </cell>
          <cell r="G3282" t="str">
            <v>CB390200000301</v>
          </cell>
          <cell r="H3282">
            <v>3</v>
          </cell>
          <cell r="I3282">
            <v>1</v>
          </cell>
          <cell r="J3282">
            <v>1</v>
          </cell>
          <cell r="K3282">
            <v>2</v>
          </cell>
        </row>
        <row r="3283">
          <cell r="A3283" t="str">
            <v>M2</v>
          </cell>
          <cell r="B3283" t="str">
            <v>A5C</v>
          </cell>
          <cell r="C3283" t="str">
            <v>P</v>
          </cell>
          <cell r="D3283" t="str">
            <v>23238</v>
          </cell>
          <cell r="E3283" t="str">
            <v>SOL</v>
          </cell>
          <cell r="F3283">
            <v>2</v>
          </cell>
          <cell r="G3283" t="str">
            <v>CB39020000030T</v>
          </cell>
          <cell r="H3283">
            <v>3</v>
          </cell>
          <cell r="I3283">
            <v>0.75</v>
          </cell>
          <cell r="J3283">
            <v>4</v>
          </cell>
          <cell r="K3283">
            <v>5</v>
          </cell>
        </row>
        <row r="3284">
          <cell r="A3284" t="str">
            <v>M2</v>
          </cell>
          <cell r="B3284" t="str">
            <v>A5C</v>
          </cell>
          <cell r="C3284" t="str">
            <v>P</v>
          </cell>
          <cell r="D3284" t="str">
            <v>23240</v>
          </cell>
          <cell r="E3284" t="str">
            <v>SOL</v>
          </cell>
          <cell r="F3284">
            <v>2</v>
          </cell>
          <cell r="G3284" t="str">
            <v>CB390200000301</v>
          </cell>
          <cell r="H3284">
            <v>3</v>
          </cell>
          <cell r="I3284">
            <v>1</v>
          </cell>
          <cell r="J3284">
            <v>1</v>
          </cell>
          <cell r="K3284">
            <v>2</v>
          </cell>
        </row>
        <row r="3285">
          <cell r="A3285" t="str">
            <v>M2</v>
          </cell>
          <cell r="B3285" t="str">
            <v>A5C</v>
          </cell>
          <cell r="C3285" t="str">
            <v>P</v>
          </cell>
          <cell r="D3285" t="str">
            <v>23246</v>
          </cell>
          <cell r="E3285" t="str">
            <v>SOL</v>
          </cell>
          <cell r="F3285">
            <v>2</v>
          </cell>
          <cell r="G3285" t="str">
            <v>CB39020000030T</v>
          </cell>
          <cell r="H3285">
            <v>3</v>
          </cell>
          <cell r="I3285">
            <v>0.75</v>
          </cell>
          <cell r="J3285">
            <v>2</v>
          </cell>
          <cell r="K3285">
            <v>3</v>
          </cell>
        </row>
        <row r="3286">
          <cell r="A3286" t="str">
            <v>M2</v>
          </cell>
          <cell r="B3286" t="str">
            <v>A5C</v>
          </cell>
          <cell r="C3286" t="str">
            <v>P</v>
          </cell>
          <cell r="D3286" t="str">
            <v>23246</v>
          </cell>
          <cell r="E3286" t="str">
            <v>SOL</v>
          </cell>
          <cell r="F3286">
            <v>2</v>
          </cell>
          <cell r="G3286" t="str">
            <v>CB390200000301</v>
          </cell>
          <cell r="H3286">
            <v>3</v>
          </cell>
          <cell r="I3286">
            <v>1</v>
          </cell>
          <cell r="J3286">
            <v>1</v>
          </cell>
          <cell r="K3286">
            <v>2</v>
          </cell>
        </row>
        <row r="3287">
          <cell r="A3287" t="str">
            <v>M2</v>
          </cell>
          <cell r="B3287" t="str">
            <v>A5C</v>
          </cell>
          <cell r="C3287" t="str">
            <v>P</v>
          </cell>
          <cell r="D3287" t="str">
            <v>23252</v>
          </cell>
          <cell r="E3287" t="str">
            <v>SOL</v>
          </cell>
          <cell r="F3287">
            <v>2</v>
          </cell>
          <cell r="G3287" t="str">
            <v>CB390200000301</v>
          </cell>
          <cell r="H3287">
            <v>3</v>
          </cell>
          <cell r="I3287">
            <v>1</v>
          </cell>
          <cell r="J3287">
            <v>1</v>
          </cell>
          <cell r="K3287">
            <v>2</v>
          </cell>
        </row>
        <row r="3288">
          <cell r="A3288" t="str">
            <v>M2</v>
          </cell>
          <cell r="B3288" t="str">
            <v>A5C</v>
          </cell>
          <cell r="C3288" t="str">
            <v>P</v>
          </cell>
          <cell r="D3288" t="str">
            <v>23256</v>
          </cell>
          <cell r="E3288" t="str">
            <v>SOL</v>
          </cell>
          <cell r="F3288">
            <v>2</v>
          </cell>
          <cell r="G3288" t="str">
            <v>CB390200000301</v>
          </cell>
          <cell r="H3288">
            <v>3</v>
          </cell>
          <cell r="I3288">
            <v>1</v>
          </cell>
          <cell r="J3288">
            <v>3</v>
          </cell>
          <cell r="K3288">
            <v>4</v>
          </cell>
        </row>
        <row r="3289">
          <cell r="A3289" t="str">
            <v>M2</v>
          </cell>
          <cell r="B3289" t="str">
            <v>A5C</v>
          </cell>
          <cell r="C3289" t="str">
            <v>P</v>
          </cell>
          <cell r="D3289" t="str">
            <v>23256</v>
          </cell>
          <cell r="E3289" t="str">
            <v>SOL</v>
          </cell>
          <cell r="F3289">
            <v>2</v>
          </cell>
          <cell r="G3289" t="str">
            <v>CB39020000030T</v>
          </cell>
          <cell r="H3289">
            <v>3</v>
          </cell>
          <cell r="I3289">
            <v>0.75</v>
          </cell>
          <cell r="J3289">
            <v>1</v>
          </cell>
          <cell r="K3289">
            <v>2</v>
          </cell>
        </row>
        <row r="3290">
          <cell r="A3290" t="str">
            <v>M2</v>
          </cell>
          <cell r="B3290" t="str">
            <v>A5C</v>
          </cell>
          <cell r="C3290" t="str">
            <v>P</v>
          </cell>
          <cell r="D3290" t="str">
            <v>23258</v>
          </cell>
          <cell r="E3290" t="str">
            <v>SOL</v>
          </cell>
          <cell r="F3290">
            <v>2</v>
          </cell>
          <cell r="G3290" t="str">
            <v>CB39020000030T</v>
          </cell>
          <cell r="H3290">
            <v>3</v>
          </cell>
          <cell r="I3290">
            <v>0.75</v>
          </cell>
          <cell r="J3290">
            <v>1</v>
          </cell>
          <cell r="K3290">
            <v>2</v>
          </cell>
        </row>
        <row r="3291">
          <cell r="A3291" t="str">
            <v>M2</v>
          </cell>
          <cell r="B3291" t="str">
            <v>A5C</v>
          </cell>
          <cell r="C3291" t="str">
            <v>P</v>
          </cell>
          <cell r="D3291" t="str">
            <v>23258</v>
          </cell>
          <cell r="E3291" t="str">
            <v>SOL</v>
          </cell>
          <cell r="F3291">
            <v>2</v>
          </cell>
          <cell r="G3291" t="str">
            <v>CB390200000301</v>
          </cell>
          <cell r="H3291">
            <v>3</v>
          </cell>
          <cell r="I3291">
            <v>1</v>
          </cell>
          <cell r="J3291">
            <v>1</v>
          </cell>
          <cell r="K3291">
            <v>2</v>
          </cell>
        </row>
        <row r="3292">
          <cell r="A3292" t="str">
            <v>M2</v>
          </cell>
          <cell r="B3292" t="str">
            <v>A5C</v>
          </cell>
          <cell r="C3292" t="str">
            <v>TRIM</v>
          </cell>
          <cell r="D3292" t="str">
            <v>V-2301</v>
          </cell>
          <cell r="E3292" t="str">
            <v>SOL</v>
          </cell>
          <cell r="F3292">
            <v>2</v>
          </cell>
          <cell r="G3292" t="str">
            <v>CB39020000030T</v>
          </cell>
          <cell r="H3292">
            <v>3</v>
          </cell>
          <cell r="I3292">
            <v>0.75</v>
          </cell>
          <cell r="J3292">
            <v>4</v>
          </cell>
          <cell r="K3292">
            <v>5</v>
          </cell>
        </row>
        <row r="3293">
          <cell r="A3293" t="str">
            <v>M2</v>
          </cell>
          <cell r="B3293" t="str">
            <v>A5C</v>
          </cell>
          <cell r="C3293" t="str">
            <v>TRIM</v>
          </cell>
          <cell r="D3293" t="str">
            <v>V-2316</v>
          </cell>
          <cell r="E3293" t="str">
            <v>SOL</v>
          </cell>
          <cell r="F3293">
            <v>2</v>
          </cell>
          <cell r="G3293" t="str">
            <v>CB39020000030T</v>
          </cell>
          <cell r="H3293">
            <v>3</v>
          </cell>
          <cell r="I3293">
            <v>0.75</v>
          </cell>
          <cell r="J3293">
            <v>6</v>
          </cell>
          <cell r="K3293">
            <v>7</v>
          </cell>
        </row>
        <row r="3294">
          <cell r="A3294" t="str">
            <v>M2</v>
          </cell>
          <cell r="B3294" t="str">
            <v>A5C</v>
          </cell>
          <cell r="C3294" t="str">
            <v>TRIM</v>
          </cell>
          <cell r="D3294" t="str">
            <v>V-2315</v>
          </cell>
          <cell r="E3294" t="str">
            <v>SOL</v>
          </cell>
          <cell r="F3294">
            <v>2</v>
          </cell>
          <cell r="G3294" t="str">
            <v>CB39020000030T</v>
          </cell>
          <cell r="H3294">
            <v>3</v>
          </cell>
          <cell r="I3294">
            <v>0.75</v>
          </cell>
          <cell r="J3294">
            <v>6</v>
          </cell>
          <cell r="K3294">
            <v>7</v>
          </cell>
        </row>
        <row r="3295">
          <cell r="A3295" t="str">
            <v>M2</v>
          </cell>
          <cell r="B3295" t="str">
            <v>A5C</v>
          </cell>
          <cell r="C3295" t="str">
            <v>TRIM</v>
          </cell>
          <cell r="D3295" t="str">
            <v>V-2317</v>
          </cell>
          <cell r="E3295" t="str">
            <v>SOL</v>
          </cell>
          <cell r="F3295">
            <v>2</v>
          </cell>
          <cell r="G3295" t="str">
            <v>CB39020000030T</v>
          </cell>
          <cell r="H3295">
            <v>3</v>
          </cell>
          <cell r="I3295">
            <v>0.75</v>
          </cell>
          <cell r="J3295">
            <v>6</v>
          </cell>
          <cell r="K3295">
            <v>7</v>
          </cell>
        </row>
        <row r="3296">
          <cell r="A3296" t="str">
            <v>M2</v>
          </cell>
          <cell r="B3296" t="str">
            <v>A5C</v>
          </cell>
          <cell r="C3296" t="str">
            <v>TRIM</v>
          </cell>
          <cell r="D3296" t="str">
            <v>V-2318</v>
          </cell>
          <cell r="E3296" t="str">
            <v>SOL</v>
          </cell>
          <cell r="F3296">
            <v>2</v>
          </cell>
          <cell r="G3296" t="str">
            <v>CB39020000030T</v>
          </cell>
          <cell r="H3296">
            <v>3</v>
          </cell>
          <cell r="I3296">
            <v>0.75</v>
          </cell>
          <cell r="J3296">
            <v>6</v>
          </cell>
          <cell r="K3296">
            <v>7</v>
          </cell>
        </row>
        <row r="3297">
          <cell r="A3297" t="str">
            <v>M2</v>
          </cell>
          <cell r="B3297" t="str">
            <v>A5C</v>
          </cell>
          <cell r="C3297" t="str">
            <v>TRIM</v>
          </cell>
          <cell r="D3297" t="str">
            <v>V-2319</v>
          </cell>
          <cell r="E3297" t="str">
            <v>SOL</v>
          </cell>
          <cell r="F3297">
            <v>2</v>
          </cell>
          <cell r="G3297" t="str">
            <v>CB39020000030T</v>
          </cell>
          <cell r="H3297">
            <v>3</v>
          </cell>
          <cell r="I3297">
            <v>0.75</v>
          </cell>
          <cell r="J3297">
            <v>6</v>
          </cell>
          <cell r="K3297">
            <v>7</v>
          </cell>
        </row>
        <row r="3298">
          <cell r="A3298" t="str">
            <v>M2</v>
          </cell>
          <cell r="B3298" t="str">
            <v>A5C</v>
          </cell>
          <cell r="C3298" t="str">
            <v>TRIM</v>
          </cell>
          <cell r="D3298" t="str">
            <v>V-2320</v>
          </cell>
          <cell r="E3298" t="str">
            <v>SOL</v>
          </cell>
          <cell r="F3298">
            <v>2</v>
          </cell>
          <cell r="G3298" t="str">
            <v>CB39020000030T</v>
          </cell>
          <cell r="H3298">
            <v>3</v>
          </cell>
          <cell r="I3298">
            <v>0.75</v>
          </cell>
          <cell r="J3298">
            <v>6</v>
          </cell>
          <cell r="K3298">
            <v>7</v>
          </cell>
        </row>
        <row r="3299">
          <cell r="A3299" t="str">
            <v>M2</v>
          </cell>
          <cell r="B3299" t="str">
            <v>A5C</v>
          </cell>
          <cell r="C3299" t="str">
            <v>TRIM</v>
          </cell>
          <cell r="D3299" t="str">
            <v>V-2321</v>
          </cell>
          <cell r="E3299" t="str">
            <v>SOL</v>
          </cell>
          <cell r="F3299">
            <v>2</v>
          </cell>
          <cell r="G3299" t="str">
            <v>CB39020000030T</v>
          </cell>
          <cell r="H3299">
            <v>3</v>
          </cell>
          <cell r="I3299">
            <v>0.75</v>
          </cell>
          <cell r="J3299">
            <v>6</v>
          </cell>
          <cell r="K3299">
            <v>7</v>
          </cell>
        </row>
        <row r="3300">
          <cell r="A3300" t="str">
            <v>M2</v>
          </cell>
          <cell r="B3300" t="str">
            <v>A5C</v>
          </cell>
          <cell r="C3300" t="str">
            <v>TRIM</v>
          </cell>
          <cell r="D3300" t="str">
            <v>V-2323</v>
          </cell>
          <cell r="E3300" t="str">
            <v>SOL</v>
          </cell>
          <cell r="F3300">
            <v>2</v>
          </cell>
          <cell r="G3300" t="str">
            <v>CB39020000030T</v>
          </cell>
          <cell r="H3300">
            <v>3</v>
          </cell>
          <cell r="I3300">
            <v>0.75</v>
          </cell>
          <cell r="J3300">
            <v>6</v>
          </cell>
          <cell r="K3300">
            <v>7</v>
          </cell>
        </row>
        <row r="3301">
          <cell r="A3301" t="str">
            <v>M2</v>
          </cell>
          <cell r="B3301" t="str">
            <v>A5C</v>
          </cell>
          <cell r="C3301" t="str">
            <v>TRIM</v>
          </cell>
          <cell r="D3301" t="str">
            <v>V-2324</v>
          </cell>
          <cell r="E3301" t="str">
            <v>SOL</v>
          </cell>
          <cell r="F3301">
            <v>2</v>
          </cell>
          <cell r="G3301" t="str">
            <v>CB39020000030T</v>
          </cell>
          <cell r="H3301">
            <v>3</v>
          </cell>
          <cell r="I3301">
            <v>0.75</v>
          </cell>
          <cell r="J3301">
            <v>6</v>
          </cell>
          <cell r="K3301">
            <v>7</v>
          </cell>
        </row>
        <row r="3302">
          <cell r="A3302" t="str">
            <v>M2</v>
          </cell>
          <cell r="B3302" t="str">
            <v>A5C</v>
          </cell>
          <cell r="C3302" t="str">
            <v>TRIM</v>
          </cell>
          <cell r="D3302" t="str">
            <v>V-2327</v>
          </cell>
          <cell r="E3302" t="str">
            <v>SOL</v>
          </cell>
          <cell r="F3302">
            <v>2</v>
          </cell>
          <cell r="G3302" t="str">
            <v>CB39020000030T</v>
          </cell>
          <cell r="H3302">
            <v>3</v>
          </cell>
          <cell r="I3302">
            <v>0.75</v>
          </cell>
          <cell r="J3302">
            <v>6</v>
          </cell>
          <cell r="K3302">
            <v>7</v>
          </cell>
        </row>
        <row r="3303">
          <cell r="A3303" t="str">
            <v>M2</v>
          </cell>
          <cell r="B3303" t="str">
            <v>A5C</v>
          </cell>
          <cell r="C3303" t="str">
            <v>TRIM</v>
          </cell>
          <cell r="D3303" t="str">
            <v>V-2329</v>
          </cell>
          <cell r="E3303" t="str">
            <v>SOL</v>
          </cell>
          <cell r="F3303">
            <v>2</v>
          </cell>
          <cell r="G3303" t="str">
            <v>CB39020000030T</v>
          </cell>
          <cell r="H3303">
            <v>3</v>
          </cell>
          <cell r="I3303">
            <v>0.75</v>
          </cell>
          <cell r="J3303">
            <v>6</v>
          </cell>
          <cell r="K3303">
            <v>7</v>
          </cell>
        </row>
        <row r="3304">
          <cell r="A3304" t="str">
            <v>M2</v>
          </cell>
          <cell r="B3304" t="str">
            <v>A5C</v>
          </cell>
          <cell r="C3304" t="str">
            <v>TRIM</v>
          </cell>
          <cell r="D3304" t="str">
            <v>V-2330</v>
          </cell>
          <cell r="E3304" t="str">
            <v>SOL</v>
          </cell>
          <cell r="F3304">
            <v>2</v>
          </cell>
          <cell r="G3304" t="str">
            <v>CB39020000030T</v>
          </cell>
          <cell r="H3304">
            <v>3</v>
          </cell>
          <cell r="I3304">
            <v>0.75</v>
          </cell>
          <cell r="J3304">
            <v>6</v>
          </cell>
          <cell r="K3304">
            <v>7</v>
          </cell>
        </row>
        <row r="3305">
          <cell r="A3305" t="str">
            <v>M2</v>
          </cell>
          <cell r="B3305" t="str">
            <v>A5C</v>
          </cell>
          <cell r="C3305" t="str">
            <v>TRIM</v>
          </cell>
          <cell r="D3305" t="str">
            <v>V-2331</v>
          </cell>
          <cell r="E3305" t="str">
            <v>SOL</v>
          </cell>
          <cell r="F3305">
            <v>2</v>
          </cell>
          <cell r="G3305" t="str">
            <v>CB39020000030T</v>
          </cell>
          <cell r="H3305">
            <v>3</v>
          </cell>
          <cell r="I3305">
            <v>0.75</v>
          </cell>
          <cell r="J3305">
            <v>6</v>
          </cell>
          <cell r="K3305">
            <v>7</v>
          </cell>
        </row>
        <row r="3306">
          <cell r="A3306" t="str">
            <v>M2</v>
          </cell>
          <cell r="B3306" t="str">
            <v>A5C</v>
          </cell>
          <cell r="C3306" t="str">
            <v>TRIM</v>
          </cell>
          <cell r="D3306" t="str">
            <v>V-2332</v>
          </cell>
          <cell r="E3306" t="str">
            <v>SOL</v>
          </cell>
          <cell r="F3306">
            <v>2</v>
          </cell>
          <cell r="G3306" t="str">
            <v>CB39020000030T</v>
          </cell>
          <cell r="H3306">
            <v>3</v>
          </cell>
          <cell r="I3306">
            <v>0.75</v>
          </cell>
          <cell r="J3306">
            <v>6</v>
          </cell>
          <cell r="K3306">
            <v>7</v>
          </cell>
        </row>
        <row r="3307">
          <cell r="A3307" t="str">
            <v>M2</v>
          </cell>
          <cell r="B3307" t="str">
            <v>A5C</v>
          </cell>
          <cell r="C3307" t="str">
            <v>P</v>
          </cell>
          <cell r="D3307" t="str">
            <v>23082</v>
          </cell>
          <cell r="E3307" t="str">
            <v>SOL</v>
          </cell>
          <cell r="F3307">
            <v>2</v>
          </cell>
          <cell r="G3307" t="str">
            <v>CB39020000030T</v>
          </cell>
          <cell r="H3307">
            <v>3</v>
          </cell>
          <cell r="I3307">
            <v>0.75</v>
          </cell>
          <cell r="J3307">
            <v>2</v>
          </cell>
          <cell r="K3307">
            <v>3</v>
          </cell>
        </row>
        <row r="3308">
          <cell r="A3308" t="str">
            <v>M2</v>
          </cell>
          <cell r="B3308" t="str">
            <v>A5C</v>
          </cell>
          <cell r="C3308" t="str">
            <v>P</v>
          </cell>
          <cell r="D3308" t="str">
            <v>23105</v>
          </cell>
          <cell r="E3308" t="str">
            <v>SOL</v>
          </cell>
          <cell r="F3308">
            <v>2</v>
          </cell>
          <cell r="G3308" t="str">
            <v>CB39020000030T</v>
          </cell>
          <cell r="H3308">
            <v>3</v>
          </cell>
          <cell r="I3308">
            <v>0.75</v>
          </cell>
          <cell r="J3308">
            <v>4</v>
          </cell>
          <cell r="K3308">
            <v>5</v>
          </cell>
        </row>
        <row r="3309">
          <cell r="A3309" t="str">
            <v>M2</v>
          </cell>
          <cell r="B3309" t="str">
            <v>A5C</v>
          </cell>
          <cell r="C3309" t="str">
            <v>P</v>
          </cell>
          <cell r="D3309" t="str">
            <v>23113</v>
          </cell>
          <cell r="E3309" t="str">
            <v>SOL</v>
          </cell>
          <cell r="F3309">
            <v>2</v>
          </cell>
          <cell r="G3309" t="str">
            <v>CB39020000030T</v>
          </cell>
          <cell r="H3309">
            <v>3</v>
          </cell>
          <cell r="I3309">
            <v>0.75</v>
          </cell>
          <cell r="J3309">
            <v>4</v>
          </cell>
          <cell r="K3309">
            <v>5</v>
          </cell>
        </row>
        <row r="3310">
          <cell r="A3310" t="str">
            <v>M2</v>
          </cell>
          <cell r="B3310" t="str">
            <v>A5C</v>
          </cell>
          <cell r="C3310" t="str">
            <v>P</v>
          </cell>
          <cell r="D3310" t="str">
            <v>23122</v>
          </cell>
          <cell r="E3310" t="str">
            <v>SOL</v>
          </cell>
          <cell r="F3310">
            <v>2</v>
          </cell>
          <cell r="G3310" t="str">
            <v>CB390200000301</v>
          </cell>
          <cell r="H3310">
            <v>3</v>
          </cell>
          <cell r="I3310">
            <v>1</v>
          </cell>
          <cell r="J3310">
            <v>1</v>
          </cell>
          <cell r="K3310">
            <v>2</v>
          </cell>
        </row>
        <row r="3311">
          <cell r="A3311" t="str">
            <v>M2</v>
          </cell>
          <cell r="B3311" t="str">
            <v>A5C</v>
          </cell>
          <cell r="C3311" t="str">
            <v>P</v>
          </cell>
          <cell r="D3311" t="str">
            <v>23124</v>
          </cell>
          <cell r="E3311" t="str">
            <v>SOL</v>
          </cell>
          <cell r="F3311">
            <v>2</v>
          </cell>
          <cell r="G3311" t="str">
            <v>CB39020000030T</v>
          </cell>
          <cell r="H3311">
            <v>3</v>
          </cell>
          <cell r="I3311">
            <v>0.75</v>
          </cell>
          <cell r="J3311">
            <v>3</v>
          </cell>
          <cell r="K3311">
            <v>4</v>
          </cell>
        </row>
        <row r="3312">
          <cell r="A3312" t="str">
            <v>M2</v>
          </cell>
          <cell r="B3312" t="str">
            <v>A5C</v>
          </cell>
          <cell r="C3312" t="str">
            <v>P</v>
          </cell>
          <cell r="D3312" t="str">
            <v>23232</v>
          </cell>
          <cell r="E3312" t="str">
            <v>SOL</v>
          </cell>
          <cell r="F3312">
            <v>2</v>
          </cell>
          <cell r="G3312" t="str">
            <v>CB39020000030T</v>
          </cell>
          <cell r="H3312">
            <v>3</v>
          </cell>
          <cell r="I3312">
            <v>0.75</v>
          </cell>
          <cell r="J3312">
            <v>2</v>
          </cell>
          <cell r="K3312">
            <v>3</v>
          </cell>
        </row>
        <row r="3313">
          <cell r="A3313" t="str">
            <v>M2</v>
          </cell>
          <cell r="B3313" t="str">
            <v>A5C</v>
          </cell>
          <cell r="C3313" t="str">
            <v>P</v>
          </cell>
          <cell r="D3313" t="str">
            <v>23240</v>
          </cell>
          <cell r="E3313" t="str">
            <v>SOL</v>
          </cell>
          <cell r="F3313">
            <v>2</v>
          </cell>
          <cell r="G3313" t="str">
            <v>CB39020000030T</v>
          </cell>
          <cell r="H3313">
            <v>3</v>
          </cell>
          <cell r="I3313">
            <v>0.75</v>
          </cell>
          <cell r="J3313">
            <v>2</v>
          </cell>
          <cell r="K3313">
            <v>3</v>
          </cell>
        </row>
        <row r="3314">
          <cell r="A3314" t="str">
            <v>M2</v>
          </cell>
          <cell r="B3314" t="str">
            <v>A5C</v>
          </cell>
          <cell r="C3314" t="str">
            <v>P</v>
          </cell>
          <cell r="D3314" t="str">
            <v>23254</v>
          </cell>
          <cell r="E3314" t="str">
            <v>SOL</v>
          </cell>
          <cell r="F3314">
            <v>2</v>
          </cell>
          <cell r="G3314" t="str">
            <v>CB39020000030T</v>
          </cell>
          <cell r="H3314">
            <v>3</v>
          </cell>
          <cell r="I3314">
            <v>0.75</v>
          </cell>
          <cell r="J3314">
            <v>2</v>
          </cell>
          <cell r="K3314">
            <v>3</v>
          </cell>
        </row>
        <row r="3315">
          <cell r="A3315" t="str">
            <v>M2</v>
          </cell>
          <cell r="B3315" t="str">
            <v>A5C</v>
          </cell>
          <cell r="C3315" t="str">
            <v>TRIM</v>
          </cell>
          <cell r="D3315" t="str">
            <v>V-2301</v>
          </cell>
          <cell r="E3315" t="str">
            <v>SOL</v>
          </cell>
          <cell r="F3315">
            <v>2</v>
          </cell>
          <cell r="G3315" t="str">
            <v>CB3902000003IH</v>
          </cell>
          <cell r="H3315">
            <v>3</v>
          </cell>
          <cell r="I3315">
            <v>1.5</v>
          </cell>
          <cell r="J3315">
            <v>2</v>
          </cell>
          <cell r="K3315">
            <v>3</v>
          </cell>
        </row>
        <row r="3316">
          <cell r="A3316" t="str">
            <v>M2</v>
          </cell>
          <cell r="B3316" t="str">
            <v>A5C</v>
          </cell>
          <cell r="C3316" t="str">
            <v>TRIM</v>
          </cell>
          <cell r="D3316" t="str">
            <v>V-2326</v>
          </cell>
          <cell r="E3316" t="str">
            <v>SOL</v>
          </cell>
          <cell r="F3316">
            <v>2</v>
          </cell>
          <cell r="G3316" t="str">
            <v>CB39020000030T</v>
          </cell>
          <cell r="H3316">
            <v>3</v>
          </cell>
          <cell r="I3316">
            <v>0.75</v>
          </cell>
          <cell r="J3316">
            <v>6</v>
          </cell>
          <cell r="K3316">
            <v>7</v>
          </cell>
        </row>
        <row r="3317">
          <cell r="A3317" t="str">
            <v>M2</v>
          </cell>
          <cell r="B3317" t="str">
            <v>A5C</v>
          </cell>
          <cell r="C3317" t="str">
            <v>TRIM</v>
          </cell>
          <cell r="D3317" t="str">
            <v>V-2328</v>
          </cell>
          <cell r="E3317" t="str">
            <v>SOL</v>
          </cell>
          <cell r="F3317">
            <v>2</v>
          </cell>
          <cell r="G3317" t="str">
            <v>CB39020000030T</v>
          </cell>
          <cell r="H3317">
            <v>3</v>
          </cell>
          <cell r="I3317">
            <v>0.75</v>
          </cell>
          <cell r="J3317">
            <v>6</v>
          </cell>
          <cell r="K3317">
            <v>7</v>
          </cell>
        </row>
        <row r="3318">
          <cell r="A3318" t="str">
            <v>M2</v>
          </cell>
          <cell r="B3318" t="str">
            <v>A5C</v>
          </cell>
          <cell r="C3318" t="str">
            <v>TRIM</v>
          </cell>
          <cell r="D3318" t="str">
            <v>V-2333</v>
          </cell>
          <cell r="E3318" t="str">
            <v>SOL</v>
          </cell>
          <cell r="F3318">
            <v>2</v>
          </cell>
          <cell r="G3318" t="str">
            <v>CB39020000030T</v>
          </cell>
          <cell r="H3318">
            <v>3</v>
          </cell>
          <cell r="I3318">
            <v>0.75</v>
          </cell>
          <cell r="J3318">
            <v>6</v>
          </cell>
          <cell r="K3318">
            <v>7</v>
          </cell>
        </row>
        <row r="3319">
          <cell r="A3319" t="str">
            <v>M2</v>
          </cell>
          <cell r="B3319" t="str">
            <v>A5C</v>
          </cell>
          <cell r="C3319" t="str">
            <v>TRIM</v>
          </cell>
          <cell r="D3319" t="str">
            <v>V-2351</v>
          </cell>
          <cell r="E3319" t="str">
            <v>SOL</v>
          </cell>
          <cell r="F3319">
            <v>2</v>
          </cell>
          <cell r="G3319" t="str">
            <v>CB39020000030T</v>
          </cell>
          <cell r="H3319">
            <v>3</v>
          </cell>
          <cell r="I3319">
            <v>0.75</v>
          </cell>
          <cell r="J3319">
            <v>4</v>
          </cell>
          <cell r="K3319">
            <v>5</v>
          </cell>
        </row>
        <row r="3320">
          <cell r="A3320" t="str">
            <v>M2</v>
          </cell>
          <cell r="B3320" t="str">
            <v>A5C</v>
          </cell>
          <cell r="C3320" t="str">
            <v>P</v>
          </cell>
          <cell r="D3320" t="str">
            <v>23005</v>
          </cell>
          <cell r="E3320" t="str">
            <v>TEE</v>
          </cell>
          <cell r="F3320">
            <v>2</v>
          </cell>
          <cell r="G3320" t="str">
            <v>CB300304000300</v>
          </cell>
          <cell r="H3320">
            <v>3</v>
          </cell>
          <cell r="I3320" t="str">
            <v>--</v>
          </cell>
          <cell r="J3320">
            <v>1</v>
          </cell>
          <cell r="K3320">
            <v>2</v>
          </cell>
        </row>
        <row r="3321">
          <cell r="A3321" t="str">
            <v>M2</v>
          </cell>
          <cell r="B3321" t="str">
            <v>A5C</v>
          </cell>
          <cell r="C3321" t="str">
            <v>P</v>
          </cell>
          <cell r="D3321" t="str">
            <v>23047</v>
          </cell>
          <cell r="E3321" t="str">
            <v>TEE</v>
          </cell>
          <cell r="F3321">
            <v>2</v>
          </cell>
          <cell r="G3321" t="str">
            <v>CB300304000300</v>
          </cell>
          <cell r="H3321">
            <v>3</v>
          </cell>
          <cell r="I3321" t="str">
            <v>--</v>
          </cell>
          <cell r="J3321">
            <v>1</v>
          </cell>
          <cell r="K3321">
            <v>2</v>
          </cell>
        </row>
        <row r="3322">
          <cell r="A3322" t="str">
            <v>M2</v>
          </cell>
          <cell r="B3322" t="str">
            <v>A5C</v>
          </cell>
          <cell r="C3322" t="str">
            <v>P</v>
          </cell>
          <cell r="D3322" t="str">
            <v>23082</v>
          </cell>
          <cell r="E3322" t="str">
            <v>TEE</v>
          </cell>
          <cell r="F3322">
            <v>2</v>
          </cell>
          <cell r="G3322" t="str">
            <v>CB300304000300</v>
          </cell>
          <cell r="H3322">
            <v>3</v>
          </cell>
          <cell r="I3322" t="str">
            <v>--</v>
          </cell>
          <cell r="J3322">
            <v>1</v>
          </cell>
          <cell r="K3322">
            <v>2</v>
          </cell>
        </row>
        <row r="3323">
          <cell r="A3323" t="str">
            <v>M2</v>
          </cell>
          <cell r="B3323" t="str">
            <v>A5C</v>
          </cell>
          <cell r="C3323" t="str">
            <v>P</v>
          </cell>
          <cell r="D3323" t="str">
            <v>23106</v>
          </cell>
          <cell r="E3323" t="str">
            <v>TEE</v>
          </cell>
          <cell r="F3323">
            <v>2</v>
          </cell>
          <cell r="G3323" t="str">
            <v>CB300304000300</v>
          </cell>
          <cell r="H3323">
            <v>3</v>
          </cell>
          <cell r="I3323" t="str">
            <v>--</v>
          </cell>
          <cell r="J3323">
            <v>1</v>
          </cell>
          <cell r="K3323">
            <v>2</v>
          </cell>
        </row>
        <row r="3324">
          <cell r="A3324" t="str">
            <v>M2</v>
          </cell>
          <cell r="B3324" t="str">
            <v>A5C</v>
          </cell>
          <cell r="C3324" t="str">
            <v>P</v>
          </cell>
          <cell r="D3324" t="str">
            <v>23124</v>
          </cell>
          <cell r="E3324" t="str">
            <v>TEE</v>
          </cell>
          <cell r="F3324">
            <v>2</v>
          </cell>
          <cell r="G3324" t="str">
            <v>CB300304000300</v>
          </cell>
          <cell r="H3324">
            <v>3</v>
          </cell>
          <cell r="I3324" t="str">
            <v>--</v>
          </cell>
          <cell r="J3324">
            <v>1</v>
          </cell>
          <cell r="K3324">
            <v>2</v>
          </cell>
        </row>
        <row r="3325">
          <cell r="A3325" t="str">
            <v>M2</v>
          </cell>
          <cell r="B3325" t="str">
            <v>A5C</v>
          </cell>
          <cell r="C3325" t="str">
            <v>P</v>
          </cell>
          <cell r="D3325" t="str">
            <v>23142</v>
          </cell>
          <cell r="E3325" t="str">
            <v>TEE</v>
          </cell>
          <cell r="F3325">
            <v>2</v>
          </cell>
          <cell r="G3325" t="str">
            <v>CB300304000300</v>
          </cell>
          <cell r="H3325">
            <v>3</v>
          </cell>
          <cell r="I3325" t="str">
            <v>--</v>
          </cell>
          <cell r="J3325">
            <v>1</v>
          </cell>
          <cell r="K3325">
            <v>2</v>
          </cell>
        </row>
        <row r="3326">
          <cell r="A3326" t="str">
            <v>M2</v>
          </cell>
          <cell r="B3326" t="str">
            <v>A5C</v>
          </cell>
          <cell r="C3326" t="str">
            <v>P</v>
          </cell>
          <cell r="D3326" t="str">
            <v>23236</v>
          </cell>
          <cell r="E3326" t="str">
            <v>TEE</v>
          </cell>
          <cell r="F3326">
            <v>2</v>
          </cell>
          <cell r="G3326" t="str">
            <v>CB300304000300</v>
          </cell>
          <cell r="H3326">
            <v>3</v>
          </cell>
          <cell r="I3326" t="str">
            <v>--</v>
          </cell>
          <cell r="J3326">
            <v>1</v>
          </cell>
          <cell r="K3326">
            <v>2</v>
          </cell>
        </row>
        <row r="3327">
          <cell r="A3327" t="str">
            <v>M2</v>
          </cell>
          <cell r="B3327" t="str">
            <v>A5C</v>
          </cell>
          <cell r="C3327" t="str">
            <v>P</v>
          </cell>
          <cell r="D3327" t="str">
            <v>23240</v>
          </cell>
          <cell r="E3327" t="str">
            <v>TEE</v>
          </cell>
          <cell r="F3327">
            <v>2</v>
          </cell>
          <cell r="G3327" t="str">
            <v>CB300304000300</v>
          </cell>
          <cell r="H3327">
            <v>3</v>
          </cell>
          <cell r="I3327" t="str">
            <v>--</v>
          </cell>
          <cell r="J3327">
            <v>1</v>
          </cell>
          <cell r="K3327">
            <v>2</v>
          </cell>
        </row>
        <row r="3328">
          <cell r="A3328" t="str">
            <v>M2</v>
          </cell>
          <cell r="B3328" t="str">
            <v>A5C</v>
          </cell>
          <cell r="C3328" t="str">
            <v>P</v>
          </cell>
          <cell r="D3328" t="str">
            <v>23246</v>
          </cell>
          <cell r="E3328" t="str">
            <v>TEE</v>
          </cell>
          <cell r="F3328">
            <v>2</v>
          </cell>
          <cell r="G3328" t="str">
            <v>CB300304000300</v>
          </cell>
          <cell r="H3328">
            <v>3</v>
          </cell>
          <cell r="I3328" t="str">
            <v>--</v>
          </cell>
          <cell r="J3328">
            <v>1</v>
          </cell>
          <cell r="K3328">
            <v>2</v>
          </cell>
        </row>
        <row r="3329">
          <cell r="A3329" t="str">
            <v>M2</v>
          </cell>
          <cell r="B3329" t="str">
            <v>A5C</v>
          </cell>
          <cell r="C3329" t="str">
            <v>P</v>
          </cell>
          <cell r="D3329" t="str">
            <v>23254</v>
          </cell>
          <cell r="E3329" t="str">
            <v>TEE</v>
          </cell>
          <cell r="F3329">
            <v>2</v>
          </cell>
          <cell r="G3329" t="str">
            <v>CB300304000300</v>
          </cell>
          <cell r="H3329">
            <v>3</v>
          </cell>
          <cell r="I3329" t="str">
            <v>--</v>
          </cell>
          <cell r="J3329">
            <v>1</v>
          </cell>
          <cell r="K3329">
            <v>2</v>
          </cell>
        </row>
        <row r="3330">
          <cell r="A3330" t="str">
            <v>M2</v>
          </cell>
          <cell r="B3330" t="str">
            <v>A5C</v>
          </cell>
          <cell r="C3330" t="str">
            <v>P</v>
          </cell>
          <cell r="D3330" t="str">
            <v>23258</v>
          </cell>
          <cell r="E3330" t="str">
            <v>TEE</v>
          </cell>
          <cell r="F3330">
            <v>2</v>
          </cell>
          <cell r="G3330" t="str">
            <v>CB300304000300</v>
          </cell>
          <cell r="H3330">
            <v>3</v>
          </cell>
          <cell r="I3330" t="str">
            <v>--</v>
          </cell>
          <cell r="J3330">
            <v>1</v>
          </cell>
          <cell r="K3330">
            <v>2</v>
          </cell>
        </row>
        <row r="3331">
          <cell r="A3331" t="str">
            <v>M2</v>
          </cell>
          <cell r="B3331" t="str">
            <v>A5C</v>
          </cell>
          <cell r="C3331" t="str">
            <v>P</v>
          </cell>
          <cell r="D3331" t="str">
            <v>23232</v>
          </cell>
          <cell r="E3331" t="str">
            <v>TEE</v>
          </cell>
          <cell r="F3331">
            <v>2</v>
          </cell>
          <cell r="G3331" t="str">
            <v>CB300304000300</v>
          </cell>
          <cell r="H3331">
            <v>3</v>
          </cell>
          <cell r="I3331" t="str">
            <v>--</v>
          </cell>
          <cell r="J3331">
            <v>1</v>
          </cell>
          <cell r="K3331">
            <v>2</v>
          </cell>
        </row>
        <row r="3332">
          <cell r="A3332" t="str">
            <v>M2</v>
          </cell>
          <cell r="B3332" t="str">
            <v>A5C</v>
          </cell>
          <cell r="C3332" t="str">
            <v>P</v>
          </cell>
          <cell r="D3332" t="str">
            <v>23017</v>
          </cell>
          <cell r="E3332" t="str">
            <v>90 ELL</v>
          </cell>
          <cell r="F3332">
            <v>2</v>
          </cell>
          <cell r="G3332" t="str">
            <v>CB300104000300</v>
          </cell>
          <cell r="H3332">
            <v>3</v>
          </cell>
          <cell r="I3332" t="str">
            <v>--</v>
          </cell>
          <cell r="J3332">
            <v>8</v>
          </cell>
          <cell r="K3332">
            <v>9</v>
          </cell>
        </row>
        <row r="3333">
          <cell r="A3333" t="str">
            <v>M2</v>
          </cell>
          <cell r="B3333" t="str">
            <v>A5C</v>
          </cell>
          <cell r="C3333" t="str">
            <v>P</v>
          </cell>
          <cell r="D3333" t="str">
            <v>23029</v>
          </cell>
          <cell r="E3333" t="str">
            <v>90 ELL</v>
          </cell>
          <cell r="F3333">
            <v>2</v>
          </cell>
          <cell r="G3333" t="str">
            <v>CB300104000300</v>
          </cell>
          <cell r="H3333">
            <v>3</v>
          </cell>
          <cell r="I3333" t="str">
            <v>--</v>
          </cell>
          <cell r="J3333">
            <v>1</v>
          </cell>
          <cell r="K3333">
            <v>2</v>
          </cell>
        </row>
        <row r="3334">
          <cell r="A3334" t="str">
            <v>M2</v>
          </cell>
          <cell r="B3334" t="str">
            <v>A5C</v>
          </cell>
          <cell r="C3334" t="str">
            <v>P</v>
          </cell>
          <cell r="D3334" t="str">
            <v>23050</v>
          </cell>
          <cell r="E3334" t="str">
            <v>90 ELL</v>
          </cell>
          <cell r="F3334">
            <v>2</v>
          </cell>
          <cell r="G3334" t="str">
            <v>CB300104000300</v>
          </cell>
          <cell r="H3334">
            <v>3</v>
          </cell>
          <cell r="I3334" t="str">
            <v>--</v>
          </cell>
          <cell r="J3334">
            <v>2</v>
          </cell>
          <cell r="K3334">
            <v>3</v>
          </cell>
        </row>
        <row r="3335">
          <cell r="A3335" t="str">
            <v>M2</v>
          </cell>
          <cell r="B3335" t="str">
            <v>A5C</v>
          </cell>
          <cell r="C3335" t="str">
            <v>P</v>
          </cell>
          <cell r="D3335" t="str">
            <v>23051</v>
          </cell>
          <cell r="E3335" t="str">
            <v>90 ELL</v>
          </cell>
          <cell r="F3335">
            <v>2</v>
          </cell>
          <cell r="G3335" t="str">
            <v>CB300104000300</v>
          </cell>
          <cell r="H3335">
            <v>3</v>
          </cell>
          <cell r="I3335" t="str">
            <v>--</v>
          </cell>
          <cell r="J3335">
            <v>8</v>
          </cell>
          <cell r="K3335">
            <v>9</v>
          </cell>
        </row>
        <row r="3336">
          <cell r="A3336" t="str">
            <v>M2</v>
          </cell>
          <cell r="B3336" t="str">
            <v>A5C</v>
          </cell>
          <cell r="C3336" t="str">
            <v>P</v>
          </cell>
          <cell r="D3336" t="str">
            <v>23064</v>
          </cell>
          <cell r="E3336" t="str">
            <v>90 ELL</v>
          </cell>
          <cell r="F3336">
            <v>2</v>
          </cell>
          <cell r="G3336" t="str">
            <v>CB300104000300</v>
          </cell>
          <cell r="H3336">
            <v>3</v>
          </cell>
          <cell r="I3336" t="str">
            <v>--</v>
          </cell>
          <cell r="J3336">
            <v>9</v>
          </cell>
          <cell r="K3336">
            <v>10</v>
          </cell>
        </row>
        <row r="3337">
          <cell r="A3337" t="str">
            <v>M2</v>
          </cell>
          <cell r="B3337" t="str">
            <v>A5C</v>
          </cell>
          <cell r="C3337" t="str">
            <v>P</v>
          </cell>
          <cell r="D3337" t="str">
            <v>23071</v>
          </cell>
          <cell r="E3337" t="str">
            <v>90 ELL</v>
          </cell>
          <cell r="F3337">
            <v>2</v>
          </cell>
          <cell r="G3337" t="str">
            <v>CB300104000300</v>
          </cell>
          <cell r="H3337">
            <v>3</v>
          </cell>
          <cell r="I3337" t="str">
            <v>--</v>
          </cell>
          <cell r="J3337">
            <v>1</v>
          </cell>
          <cell r="K3337">
            <v>2</v>
          </cell>
        </row>
        <row r="3338">
          <cell r="A3338" t="str">
            <v>M2</v>
          </cell>
          <cell r="B3338" t="str">
            <v>A5C</v>
          </cell>
          <cell r="C3338" t="str">
            <v>P</v>
          </cell>
          <cell r="D3338" t="str">
            <v>23086</v>
          </cell>
          <cell r="E3338" t="str">
            <v>90 ELL</v>
          </cell>
          <cell r="F3338">
            <v>2</v>
          </cell>
          <cell r="G3338" t="str">
            <v>CB300104000300</v>
          </cell>
          <cell r="H3338">
            <v>3</v>
          </cell>
          <cell r="I3338" t="str">
            <v>--</v>
          </cell>
          <cell r="J3338">
            <v>5</v>
          </cell>
          <cell r="K3338">
            <v>6</v>
          </cell>
        </row>
        <row r="3339">
          <cell r="A3339" t="str">
            <v>M2</v>
          </cell>
          <cell r="B3339" t="str">
            <v>A5C</v>
          </cell>
          <cell r="C3339" t="str">
            <v>P</v>
          </cell>
          <cell r="D3339" t="str">
            <v>23016</v>
          </cell>
          <cell r="E3339" t="str">
            <v>90 ELL</v>
          </cell>
          <cell r="F3339">
            <v>2</v>
          </cell>
          <cell r="G3339" t="str">
            <v>CB300104000300</v>
          </cell>
          <cell r="H3339">
            <v>3</v>
          </cell>
          <cell r="I3339" t="str">
            <v>--</v>
          </cell>
          <cell r="J3339">
            <v>4</v>
          </cell>
          <cell r="K3339">
            <v>5</v>
          </cell>
        </row>
        <row r="3340">
          <cell r="A3340" t="str">
            <v>M2</v>
          </cell>
          <cell r="B3340" t="str">
            <v>A5C</v>
          </cell>
          <cell r="C3340" t="str">
            <v>P</v>
          </cell>
          <cell r="D3340" t="str">
            <v>23061</v>
          </cell>
          <cell r="E3340" t="str">
            <v>90 ELL</v>
          </cell>
          <cell r="F3340">
            <v>2</v>
          </cell>
          <cell r="G3340" t="str">
            <v>CB300104000300</v>
          </cell>
          <cell r="H3340">
            <v>3</v>
          </cell>
          <cell r="I3340" t="str">
            <v>--</v>
          </cell>
          <cell r="J3340">
            <v>2</v>
          </cell>
          <cell r="K3340">
            <v>3</v>
          </cell>
        </row>
        <row r="3341">
          <cell r="A3341" t="str">
            <v>M2</v>
          </cell>
          <cell r="B3341" t="str">
            <v>A5C</v>
          </cell>
          <cell r="C3341" t="str">
            <v>P</v>
          </cell>
          <cell r="D3341" t="str">
            <v>23064</v>
          </cell>
          <cell r="E3341" t="str">
            <v>90 ELL</v>
          </cell>
          <cell r="F3341">
            <v>2</v>
          </cell>
          <cell r="G3341" t="str">
            <v>CB300104000300</v>
          </cell>
          <cell r="H3341">
            <v>3</v>
          </cell>
          <cell r="I3341" t="str">
            <v>--</v>
          </cell>
          <cell r="J3341">
            <v>6</v>
          </cell>
          <cell r="K3341">
            <v>7</v>
          </cell>
        </row>
        <row r="3342">
          <cell r="A3342" t="str">
            <v>M2</v>
          </cell>
          <cell r="B3342" t="str">
            <v>A5C</v>
          </cell>
          <cell r="C3342" t="str">
            <v>P</v>
          </cell>
          <cell r="D3342" t="str">
            <v>23125</v>
          </cell>
          <cell r="E3342" t="str">
            <v>90 ELL</v>
          </cell>
          <cell r="F3342">
            <v>2</v>
          </cell>
          <cell r="G3342" t="str">
            <v>CB300104000300</v>
          </cell>
          <cell r="H3342">
            <v>3</v>
          </cell>
          <cell r="I3342" t="str">
            <v>--</v>
          </cell>
          <cell r="J3342">
            <v>5</v>
          </cell>
          <cell r="K3342">
            <v>6</v>
          </cell>
        </row>
        <row r="3343">
          <cell r="A3343" t="str">
            <v>M2</v>
          </cell>
          <cell r="B3343" t="str">
            <v>A5C</v>
          </cell>
          <cell r="C3343" t="str">
            <v>P</v>
          </cell>
          <cell r="D3343" t="str">
            <v>23064</v>
          </cell>
          <cell r="E3343" t="str">
            <v>C RED</v>
          </cell>
          <cell r="F3343">
            <v>2</v>
          </cell>
          <cell r="G3343" t="str">
            <v>CB300504080302</v>
          </cell>
          <cell r="H3343">
            <v>3</v>
          </cell>
          <cell r="I3343">
            <v>2</v>
          </cell>
          <cell r="J3343">
            <v>2</v>
          </cell>
          <cell r="K3343">
            <v>3</v>
          </cell>
        </row>
        <row r="3344">
          <cell r="A3344" t="str">
            <v>M2</v>
          </cell>
          <cell r="B3344" t="str">
            <v>A5C</v>
          </cell>
          <cell r="C3344" t="str">
            <v>TRIM</v>
          </cell>
          <cell r="D3344" t="str">
            <v>C-2302</v>
          </cell>
          <cell r="E3344" t="str">
            <v>CAP</v>
          </cell>
          <cell r="F3344">
            <v>2</v>
          </cell>
          <cell r="G3344" t="str">
            <v>CB300704000300</v>
          </cell>
          <cell r="H3344">
            <v>3</v>
          </cell>
          <cell r="I3344" t="str">
            <v>--</v>
          </cell>
          <cell r="J3344">
            <v>2</v>
          </cell>
          <cell r="K3344">
            <v>3</v>
          </cell>
        </row>
        <row r="3345">
          <cell r="A3345" t="str">
            <v>M2</v>
          </cell>
          <cell r="B3345" t="str">
            <v>A5C</v>
          </cell>
          <cell r="C3345" t="str">
            <v>TRIM</v>
          </cell>
          <cell r="D3345" t="str">
            <v>C-2303</v>
          </cell>
          <cell r="E3345" t="str">
            <v>CAP</v>
          </cell>
          <cell r="F3345">
            <v>2</v>
          </cell>
          <cell r="G3345" t="str">
            <v>CB300704000300</v>
          </cell>
          <cell r="H3345">
            <v>3</v>
          </cell>
          <cell r="I3345" t="str">
            <v>--</v>
          </cell>
          <cell r="J3345">
            <v>2</v>
          </cell>
          <cell r="K3345">
            <v>3</v>
          </cell>
        </row>
        <row r="3346">
          <cell r="A3346" t="str">
            <v>M2</v>
          </cell>
          <cell r="B3346" t="str">
            <v>A5C</v>
          </cell>
          <cell r="C3346" t="str">
            <v>TRIM</v>
          </cell>
          <cell r="D3346" t="str">
            <v>C-2304</v>
          </cell>
          <cell r="E3346" t="str">
            <v>CAP</v>
          </cell>
          <cell r="F3346">
            <v>2</v>
          </cell>
          <cell r="G3346" t="str">
            <v>CB300704000300</v>
          </cell>
          <cell r="H3346">
            <v>3</v>
          </cell>
          <cell r="I3346" t="str">
            <v>--</v>
          </cell>
          <cell r="J3346">
            <v>2</v>
          </cell>
          <cell r="K3346">
            <v>3</v>
          </cell>
        </row>
        <row r="3347">
          <cell r="A3347" t="str">
            <v>M2</v>
          </cell>
          <cell r="B3347" t="str">
            <v>A5C</v>
          </cell>
          <cell r="C3347" t="str">
            <v>TRIM</v>
          </cell>
          <cell r="D3347" t="str">
            <v>C-2305</v>
          </cell>
          <cell r="E3347" t="str">
            <v>CAP</v>
          </cell>
          <cell r="F3347">
            <v>2</v>
          </cell>
          <cell r="G3347" t="str">
            <v>CB300704000300</v>
          </cell>
          <cell r="H3347">
            <v>3</v>
          </cell>
          <cell r="I3347" t="str">
            <v>--</v>
          </cell>
          <cell r="J3347">
            <v>2</v>
          </cell>
          <cell r="K3347">
            <v>3</v>
          </cell>
        </row>
        <row r="3348">
          <cell r="A3348" t="str">
            <v>M2</v>
          </cell>
          <cell r="B3348" t="str">
            <v>A5C</v>
          </cell>
          <cell r="C3348" t="str">
            <v>TRIM</v>
          </cell>
          <cell r="D3348" t="str">
            <v>C-2306</v>
          </cell>
          <cell r="E3348" t="str">
            <v>CAP</v>
          </cell>
          <cell r="F3348">
            <v>2</v>
          </cell>
          <cell r="G3348" t="str">
            <v>CB300704000300</v>
          </cell>
          <cell r="H3348">
            <v>3</v>
          </cell>
          <cell r="I3348" t="str">
            <v>--</v>
          </cell>
          <cell r="J3348">
            <v>2</v>
          </cell>
          <cell r="K3348">
            <v>3</v>
          </cell>
        </row>
        <row r="3349">
          <cell r="A3349" t="str">
            <v>M2</v>
          </cell>
          <cell r="B3349" t="str">
            <v>A5C</v>
          </cell>
          <cell r="C3349" t="str">
            <v>TRIM</v>
          </cell>
          <cell r="D3349" t="str">
            <v>V-2302</v>
          </cell>
          <cell r="E3349" t="str">
            <v>CAP</v>
          </cell>
          <cell r="F3349">
            <v>2</v>
          </cell>
          <cell r="G3349" t="str">
            <v>CB300704000300</v>
          </cell>
          <cell r="H3349">
            <v>3</v>
          </cell>
          <cell r="I3349" t="str">
            <v>--</v>
          </cell>
          <cell r="J3349">
            <v>2</v>
          </cell>
          <cell r="K3349">
            <v>3</v>
          </cell>
        </row>
        <row r="3350">
          <cell r="A3350" t="str">
            <v>M2</v>
          </cell>
          <cell r="B3350" t="str">
            <v>A5C</v>
          </cell>
          <cell r="C3350" t="str">
            <v>TRIM</v>
          </cell>
          <cell r="D3350" t="str">
            <v>V-2304</v>
          </cell>
          <cell r="E3350" t="str">
            <v>CAP</v>
          </cell>
          <cell r="F3350">
            <v>2</v>
          </cell>
          <cell r="G3350" t="str">
            <v>CB300704000300</v>
          </cell>
          <cell r="H3350">
            <v>3</v>
          </cell>
          <cell r="I3350" t="str">
            <v>--</v>
          </cell>
          <cell r="J3350">
            <v>2</v>
          </cell>
          <cell r="K3350">
            <v>3</v>
          </cell>
        </row>
        <row r="3351">
          <cell r="A3351" t="str">
            <v>M2</v>
          </cell>
          <cell r="B3351" t="str">
            <v>A5C</v>
          </cell>
          <cell r="C3351" t="str">
            <v>TRIM</v>
          </cell>
          <cell r="D3351" t="str">
            <v>V-2306</v>
          </cell>
          <cell r="E3351" t="str">
            <v>CAP</v>
          </cell>
          <cell r="F3351">
            <v>2</v>
          </cell>
          <cell r="G3351" t="str">
            <v>CB300704000300</v>
          </cell>
          <cell r="H3351">
            <v>3</v>
          </cell>
          <cell r="I3351" t="str">
            <v>--</v>
          </cell>
          <cell r="J3351">
            <v>2</v>
          </cell>
          <cell r="K3351">
            <v>3</v>
          </cell>
        </row>
        <row r="3352">
          <cell r="A3352" t="str">
            <v>M2</v>
          </cell>
          <cell r="B3352" t="str">
            <v>A5C</v>
          </cell>
          <cell r="C3352" t="str">
            <v>TRIM</v>
          </cell>
          <cell r="D3352" t="str">
            <v>V-2308</v>
          </cell>
          <cell r="E3352" t="str">
            <v>CAP</v>
          </cell>
          <cell r="F3352">
            <v>2</v>
          </cell>
          <cell r="G3352" t="str">
            <v>CB300704000300</v>
          </cell>
          <cell r="H3352">
            <v>3</v>
          </cell>
          <cell r="I3352" t="str">
            <v>--</v>
          </cell>
          <cell r="J3352">
            <v>2</v>
          </cell>
          <cell r="K3352">
            <v>3</v>
          </cell>
        </row>
        <row r="3353">
          <cell r="A3353" t="str">
            <v>M2</v>
          </cell>
          <cell r="B3353" t="str">
            <v>A5C</v>
          </cell>
          <cell r="C3353" t="str">
            <v>TRIM</v>
          </cell>
          <cell r="D3353" t="str">
            <v>V-2325</v>
          </cell>
          <cell r="E3353" t="str">
            <v>CAP</v>
          </cell>
          <cell r="F3353">
            <v>2</v>
          </cell>
          <cell r="G3353" t="str">
            <v>CB300704000300</v>
          </cell>
          <cell r="H3353">
            <v>3</v>
          </cell>
          <cell r="I3353" t="str">
            <v>--</v>
          </cell>
          <cell r="J3353">
            <v>2</v>
          </cell>
          <cell r="K3353">
            <v>3</v>
          </cell>
        </row>
        <row r="3354">
          <cell r="A3354" t="str">
            <v>M2</v>
          </cell>
          <cell r="B3354" t="str">
            <v>A5C</v>
          </cell>
          <cell r="C3354" t="str">
            <v>TRIM</v>
          </cell>
          <cell r="D3354" t="str">
            <v>V-2403</v>
          </cell>
          <cell r="E3354" t="str">
            <v>CAP</v>
          </cell>
          <cell r="F3354">
            <v>2</v>
          </cell>
          <cell r="G3354" t="str">
            <v>CB300704000300</v>
          </cell>
          <cell r="H3354">
            <v>3</v>
          </cell>
          <cell r="I3354" t="str">
            <v>--</v>
          </cell>
          <cell r="J3354">
            <v>2</v>
          </cell>
          <cell r="K3354">
            <v>3</v>
          </cell>
        </row>
        <row r="3355">
          <cell r="A3355" t="str">
            <v>M2</v>
          </cell>
          <cell r="B3355" t="str">
            <v>A5C</v>
          </cell>
          <cell r="C3355" t="str">
            <v>TRIM</v>
          </cell>
          <cell r="D3355" t="str">
            <v>V-2310</v>
          </cell>
          <cell r="E3355" t="str">
            <v>CAP</v>
          </cell>
          <cell r="F3355">
            <v>2</v>
          </cell>
          <cell r="G3355" t="str">
            <v>CB300704000300</v>
          </cell>
          <cell r="H3355">
            <v>3</v>
          </cell>
          <cell r="I3355" t="str">
            <v>--</v>
          </cell>
          <cell r="J3355">
            <v>2</v>
          </cell>
          <cell r="K3355">
            <v>3</v>
          </cell>
        </row>
        <row r="3356">
          <cell r="A3356" t="str">
            <v>M2</v>
          </cell>
          <cell r="B3356" t="str">
            <v>A5C</v>
          </cell>
          <cell r="C3356" t="str">
            <v>TRIM</v>
          </cell>
          <cell r="D3356" t="str">
            <v>V-2313</v>
          </cell>
          <cell r="E3356" t="str">
            <v>CAP</v>
          </cell>
          <cell r="F3356">
            <v>2</v>
          </cell>
          <cell r="G3356" t="str">
            <v>CB300704000300</v>
          </cell>
          <cell r="H3356">
            <v>3</v>
          </cell>
          <cell r="I3356" t="str">
            <v>--</v>
          </cell>
          <cell r="J3356">
            <v>2</v>
          </cell>
          <cell r="K3356">
            <v>3</v>
          </cell>
        </row>
        <row r="3357">
          <cell r="A3357" t="str">
            <v>M2</v>
          </cell>
          <cell r="B3357" t="str">
            <v>A5C</v>
          </cell>
          <cell r="C3357" t="str">
            <v>P</v>
          </cell>
          <cell r="D3357" t="str">
            <v>23017</v>
          </cell>
          <cell r="E3357" t="str">
            <v>E RED</v>
          </cell>
          <cell r="F3357">
            <v>2</v>
          </cell>
          <cell r="G3357" t="str">
            <v>CB300604080302</v>
          </cell>
          <cell r="H3357">
            <v>3</v>
          </cell>
          <cell r="I3357">
            <v>2</v>
          </cell>
          <cell r="J3357">
            <v>2</v>
          </cell>
          <cell r="K3357">
            <v>3</v>
          </cell>
        </row>
        <row r="3358">
          <cell r="A3358" t="str">
            <v>M2</v>
          </cell>
          <cell r="B3358" t="str">
            <v>A5C</v>
          </cell>
          <cell r="C3358" t="str">
            <v>P</v>
          </cell>
          <cell r="D3358" t="str">
            <v>23051</v>
          </cell>
          <cell r="E3358" t="str">
            <v>E RED</v>
          </cell>
          <cell r="F3358">
            <v>2</v>
          </cell>
          <cell r="G3358" t="str">
            <v>CB300604080302</v>
          </cell>
          <cell r="H3358">
            <v>3</v>
          </cell>
          <cell r="I3358">
            <v>2</v>
          </cell>
          <cell r="J3358">
            <v>2</v>
          </cell>
          <cell r="K3358">
            <v>3</v>
          </cell>
        </row>
        <row r="3359">
          <cell r="A3359" t="str">
            <v>M2</v>
          </cell>
          <cell r="B3359" t="str">
            <v>A5C</v>
          </cell>
          <cell r="C3359" t="str">
            <v>P</v>
          </cell>
          <cell r="D3359" t="str">
            <v>23064</v>
          </cell>
          <cell r="E3359" t="str">
            <v>E RED</v>
          </cell>
          <cell r="F3359">
            <v>2</v>
          </cell>
          <cell r="G3359" t="str">
            <v>CB300604080302</v>
          </cell>
          <cell r="H3359">
            <v>3</v>
          </cell>
          <cell r="I3359">
            <v>2</v>
          </cell>
          <cell r="J3359">
            <v>2</v>
          </cell>
          <cell r="K3359">
            <v>3</v>
          </cell>
        </row>
        <row r="3360">
          <cell r="A3360" t="str">
            <v>M2</v>
          </cell>
          <cell r="B3360" t="str">
            <v>A5C</v>
          </cell>
          <cell r="C3360" t="str">
            <v>P</v>
          </cell>
          <cell r="D3360" t="str">
            <v>23064</v>
          </cell>
          <cell r="E3360" t="str">
            <v>SOL</v>
          </cell>
          <cell r="F3360">
            <v>2</v>
          </cell>
          <cell r="G3360" t="str">
            <v>CB39020000030T</v>
          </cell>
          <cell r="H3360">
            <v>3</v>
          </cell>
          <cell r="I3360">
            <v>0.75</v>
          </cell>
          <cell r="J3360">
            <v>4</v>
          </cell>
          <cell r="K3360">
            <v>5</v>
          </cell>
        </row>
        <row r="3361">
          <cell r="A3361" t="str">
            <v>M2</v>
          </cell>
          <cell r="B3361" t="str">
            <v>A5C</v>
          </cell>
          <cell r="C3361" t="str">
            <v>P</v>
          </cell>
          <cell r="D3361" t="str">
            <v>23064</v>
          </cell>
          <cell r="E3361" t="str">
            <v>SOL</v>
          </cell>
          <cell r="F3361">
            <v>2</v>
          </cell>
          <cell r="G3361" t="str">
            <v>CB39020000030T</v>
          </cell>
          <cell r="H3361">
            <v>3</v>
          </cell>
          <cell r="I3361">
            <v>0.75</v>
          </cell>
          <cell r="J3361">
            <v>1</v>
          </cell>
          <cell r="K3361">
            <v>2</v>
          </cell>
        </row>
        <row r="3362">
          <cell r="A3362" t="str">
            <v>M2</v>
          </cell>
          <cell r="B3362" t="str">
            <v>A5C</v>
          </cell>
          <cell r="C3362" t="str">
            <v>P</v>
          </cell>
          <cell r="D3362" t="str">
            <v>23071</v>
          </cell>
          <cell r="E3362" t="str">
            <v>SOL</v>
          </cell>
          <cell r="F3362">
            <v>2</v>
          </cell>
          <cell r="G3362" t="str">
            <v>CB3902000003IH</v>
          </cell>
          <cell r="H3362">
            <v>3</v>
          </cell>
          <cell r="I3362">
            <v>1.5</v>
          </cell>
          <cell r="J3362">
            <v>1</v>
          </cell>
          <cell r="K3362">
            <v>2</v>
          </cell>
        </row>
        <row r="3363">
          <cell r="A3363" t="str">
            <v>M2</v>
          </cell>
          <cell r="B3363" t="str">
            <v>A5C</v>
          </cell>
          <cell r="C3363" t="str">
            <v>TRIM</v>
          </cell>
          <cell r="D3363" t="str">
            <v>C-2302</v>
          </cell>
          <cell r="E3363" t="str">
            <v>SOL</v>
          </cell>
          <cell r="F3363">
            <v>2</v>
          </cell>
          <cell r="G3363" t="str">
            <v>CB39020000030T</v>
          </cell>
          <cell r="H3363">
            <v>3</v>
          </cell>
          <cell r="I3363">
            <v>0.75</v>
          </cell>
          <cell r="J3363">
            <v>6</v>
          </cell>
          <cell r="K3363">
            <v>7</v>
          </cell>
        </row>
        <row r="3364">
          <cell r="A3364" t="str">
            <v>M2</v>
          </cell>
          <cell r="B3364" t="str">
            <v>A5C</v>
          </cell>
          <cell r="C3364" t="str">
            <v>TRIM</v>
          </cell>
          <cell r="D3364" t="str">
            <v>C-2303</v>
          </cell>
          <cell r="E3364" t="str">
            <v>SOL</v>
          </cell>
          <cell r="F3364">
            <v>2</v>
          </cell>
          <cell r="G3364" t="str">
            <v>CB3902000003IH</v>
          </cell>
          <cell r="H3364">
            <v>3</v>
          </cell>
          <cell r="I3364">
            <v>1.5</v>
          </cell>
          <cell r="J3364">
            <v>2</v>
          </cell>
          <cell r="K3364">
            <v>3</v>
          </cell>
        </row>
        <row r="3365">
          <cell r="A3365" t="str">
            <v>M2</v>
          </cell>
          <cell r="B3365" t="str">
            <v>A5C</v>
          </cell>
          <cell r="C3365" t="str">
            <v>TRIM</v>
          </cell>
          <cell r="D3365" t="str">
            <v>C-2305</v>
          </cell>
          <cell r="E3365" t="str">
            <v>SOL</v>
          </cell>
          <cell r="F3365">
            <v>2</v>
          </cell>
          <cell r="G3365" t="str">
            <v>CB39020000030T</v>
          </cell>
          <cell r="H3365">
            <v>3</v>
          </cell>
          <cell r="I3365">
            <v>0.75</v>
          </cell>
          <cell r="J3365">
            <v>4</v>
          </cell>
          <cell r="K3365">
            <v>5</v>
          </cell>
        </row>
        <row r="3366">
          <cell r="A3366" t="str">
            <v>M2</v>
          </cell>
          <cell r="B3366" t="str">
            <v>A5C</v>
          </cell>
          <cell r="C3366" t="str">
            <v>TRIM</v>
          </cell>
          <cell r="D3366" t="str">
            <v>C-2304</v>
          </cell>
          <cell r="E3366" t="str">
            <v>SOL</v>
          </cell>
          <cell r="F3366">
            <v>2</v>
          </cell>
          <cell r="G3366" t="str">
            <v>CB39020000030T</v>
          </cell>
          <cell r="H3366">
            <v>3</v>
          </cell>
          <cell r="I3366">
            <v>0.75</v>
          </cell>
          <cell r="J3366">
            <v>4</v>
          </cell>
          <cell r="K3366">
            <v>5</v>
          </cell>
        </row>
        <row r="3367">
          <cell r="A3367" t="str">
            <v>M2</v>
          </cell>
          <cell r="B3367" t="str">
            <v>A5C</v>
          </cell>
          <cell r="C3367" t="str">
            <v>TRIM</v>
          </cell>
          <cell r="D3367" t="str">
            <v>C-2304</v>
          </cell>
          <cell r="E3367" t="str">
            <v>SOL</v>
          </cell>
          <cell r="F3367">
            <v>2</v>
          </cell>
          <cell r="G3367" t="str">
            <v>CB3902000003IH</v>
          </cell>
          <cell r="H3367">
            <v>3</v>
          </cell>
          <cell r="I3367">
            <v>1.5</v>
          </cell>
          <cell r="J3367">
            <v>2</v>
          </cell>
          <cell r="K3367">
            <v>3</v>
          </cell>
        </row>
        <row r="3368">
          <cell r="A3368" t="str">
            <v>M2</v>
          </cell>
          <cell r="B3368" t="str">
            <v>A5C</v>
          </cell>
          <cell r="C3368" t="str">
            <v>TRIM</v>
          </cell>
          <cell r="D3368" t="str">
            <v>C-2305</v>
          </cell>
          <cell r="E3368" t="str">
            <v>SOL</v>
          </cell>
          <cell r="F3368">
            <v>2</v>
          </cell>
          <cell r="G3368" t="str">
            <v>CB3902000003IH</v>
          </cell>
          <cell r="H3368">
            <v>3</v>
          </cell>
          <cell r="I3368">
            <v>1.5</v>
          </cell>
          <cell r="J3368">
            <v>2</v>
          </cell>
          <cell r="K3368">
            <v>3</v>
          </cell>
        </row>
        <row r="3369">
          <cell r="A3369" t="str">
            <v>M2</v>
          </cell>
          <cell r="B3369" t="str">
            <v>A5C</v>
          </cell>
          <cell r="C3369" t="str">
            <v>TRIM</v>
          </cell>
          <cell r="D3369" t="str">
            <v>V-2302</v>
          </cell>
          <cell r="E3369" t="str">
            <v>SOL</v>
          </cell>
          <cell r="F3369">
            <v>2</v>
          </cell>
          <cell r="G3369" t="str">
            <v>CB3902000003IH</v>
          </cell>
          <cell r="H3369">
            <v>3</v>
          </cell>
          <cell r="I3369">
            <v>1.5</v>
          </cell>
          <cell r="J3369">
            <v>2</v>
          </cell>
          <cell r="K3369">
            <v>3</v>
          </cell>
        </row>
        <row r="3370">
          <cell r="A3370" t="str">
            <v>M2</v>
          </cell>
          <cell r="B3370" t="str">
            <v>A5C</v>
          </cell>
          <cell r="C3370" t="str">
            <v>TRIM</v>
          </cell>
          <cell r="D3370" t="str">
            <v>C-2306</v>
          </cell>
          <cell r="E3370" t="str">
            <v>SOL</v>
          </cell>
          <cell r="F3370">
            <v>2</v>
          </cell>
          <cell r="G3370" t="str">
            <v>CB39020000030T</v>
          </cell>
          <cell r="H3370">
            <v>3</v>
          </cell>
          <cell r="I3370">
            <v>0.75</v>
          </cell>
          <cell r="J3370">
            <v>4</v>
          </cell>
          <cell r="K3370">
            <v>5</v>
          </cell>
        </row>
        <row r="3371">
          <cell r="A3371" t="str">
            <v>M2</v>
          </cell>
          <cell r="B3371" t="str">
            <v>A5C</v>
          </cell>
          <cell r="C3371" t="str">
            <v>TRIM</v>
          </cell>
          <cell r="D3371" t="str">
            <v>C-2306</v>
          </cell>
          <cell r="E3371" t="str">
            <v>SOL</v>
          </cell>
          <cell r="F3371">
            <v>2</v>
          </cell>
          <cell r="G3371" t="str">
            <v>CB3902000003IH</v>
          </cell>
          <cell r="H3371">
            <v>3</v>
          </cell>
          <cell r="I3371">
            <v>1.5</v>
          </cell>
          <cell r="J3371">
            <v>2</v>
          </cell>
          <cell r="K3371">
            <v>3</v>
          </cell>
        </row>
        <row r="3372">
          <cell r="A3372" t="str">
            <v>M2</v>
          </cell>
          <cell r="B3372" t="str">
            <v>A5C</v>
          </cell>
          <cell r="C3372" t="str">
            <v>TRIM</v>
          </cell>
          <cell r="D3372" t="str">
            <v>V-2304</v>
          </cell>
          <cell r="E3372" t="str">
            <v>SOL</v>
          </cell>
          <cell r="F3372">
            <v>2</v>
          </cell>
          <cell r="G3372" t="str">
            <v>CB39020000030T</v>
          </cell>
          <cell r="H3372">
            <v>3</v>
          </cell>
          <cell r="I3372">
            <v>0.75</v>
          </cell>
          <cell r="J3372">
            <v>4</v>
          </cell>
          <cell r="K3372">
            <v>5</v>
          </cell>
        </row>
        <row r="3373">
          <cell r="A3373" t="str">
            <v>M2</v>
          </cell>
          <cell r="B3373" t="str">
            <v>A5C</v>
          </cell>
          <cell r="C3373" t="str">
            <v>TRIM</v>
          </cell>
          <cell r="D3373" t="str">
            <v>V-2304</v>
          </cell>
          <cell r="E3373" t="str">
            <v>SOL</v>
          </cell>
          <cell r="F3373">
            <v>2</v>
          </cell>
          <cell r="G3373" t="str">
            <v>CB3902000003IH</v>
          </cell>
          <cell r="H3373">
            <v>3</v>
          </cell>
          <cell r="I3373">
            <v>1.5</v>
          </cell>
          <cell r="J3373">
            <v>2</v>
          </cell>
          <cell r="K3373">
            <v>3</v>
          </cell>
        </row>
        <row r="3374">
          <cell r="A3374" t="str">
            <v>M2</v>
          </cell>
          <cell r="B3374" t="str">
            <v>A5C</v>
          </cell>
          <cell r="C3374" t="str">
            <v>TRIM</v>
          </cell>
          <cell r="D3374" t="str">
            <v>V-2306</v>
          </cell>
          <cell r="E3374" t="str">
            <v>SOL</v>
          </cell>
          <cell r="F3374">
            <v>2</v>
          </cell>
          <cell r="G3374" t="str">
            <v>CB3902000003IH</v>
          </cell>
          <cell r="H3374">
            <v>3</v>
          </cell>
          <cell r="I3374">
            <v>1.5</v>
          </cell>
          <cell r="J3374">
            <v>2</v>
          </cell>
          <cell r="K3374">
            <v>3</v>
          </cell>
        </row>
        <row r="3375">
          <cell r="A3375" t="str">
            <v>M2</v>
          </cell>
          <cell r="B3375" t="str">
            <v>A5C</v>
          </cell>
          <cell r="C3375" t="str">
            <v>TRIM</v>
          </cell>
          <cell r="D3375" t="str">
            <v>V-2306</v>
          </cell>
          <cell r="E3375" t="str">
            <v>SOL</v>
          </cell>
          <cell r="F3375">
            <v>2</v>
          </cell>
          <cell r="G3375" t="str">
            <v>CB39020000030T</v>
          </cell>
          <cell r="H3375">
            <v>3</v>
          </cell>
          <cell r="I3375">
            <v>0.75</v>
          </cell>
          <cell r="J3375">
            <v>4</v>
          </cell>
          <cell r="K3375">
            <v>5</v>
          </cell>
        </row>
        <row r="3376">
          <cell r="A3376" t="str">
            <v>M2</v>
          </cell>
          <cell r="B3376" t="str">
            <v>A5C</v>
          </cell>
          <cell r="C3376" t="str">
            <v>TRIM</v>
          </cell>
          <cell r="D3376" t="str">
            <v>V-2310</v>
          </cell>
          <cell r="E3376" t="str">
            <v>SOL</v>
          </cell>
          <cell r="F3376">
            <v>2</v>
          </cell>
          <cell r="G3376" t="str">
            <v>CB3902000003IH</v>
          </cell>
          <cell r="H3376">
            <v>3</v>
          </cell>
          <cell r="I3376">
            <v>1.5</v>
          </cell>
          <cell r="J3376">
            <v>2</v>
          </cell>
          <cell r="K3376">
            <v>3</v>
          </cell>
        </row>
        <row r="3377">
          <cell r="A3377" t="str">
            <v>M2</v>
          </cell>
          <cell r="B3377" t="str">
            <v>A5C</v>
          </cell>
          <cell r="C3377" t="str">
            <v>TRIM</v>
          </cell>
          <cell r="D3377" t="str">
            <v>V-2310</v>
          </cell>
          <cell r="E3377" t="str">
            <v>SOL</v>
          </cell>
          <cell r="F3377">
            <v>2</v>
          </cell>
          <cell r="G3377" t="str">
            <v>CB39020000030T</v>
          </cell>
          <cell r="H3377">
            <v>3</v>
          </cell>
          <cell r="I3377">
            <v>0.75</v>
          </cell>
          <cell r="J3377">
            <v>4</v>
          </cell>
          <cell r="K3377">
            <v>5</v>
          </cell>
        </row>
        <row r="3378">
          <cell r="A3378" t="str">
            <v>M2</v>
          </cell>
          <cell r="B3378" t="str">
            <v>A5C</v>
          </cell>
          <cell r="C3378" t="str">
            <v>TRIM</v>
          </cell>
          <cell r="D3378" t="str">
            <v>V-2308</v>
          </cell>
          <cell r="E3378" t="str">
            <v>SOL</v>
          </cell>
          <cell r="F3378">
            <v>2</v>
          </cell>
          <cell r="G3378" t="str">
            <v>CB3902000003IH</v>
          </cell>
          <cell r="H3378">
            <v>3</v>
          </cell>
          <cell r="I3378">
            <v>1.5</v>
          </cell>
          <cell r="J3378">
            <v>2</v>
          </cell>
          <cell r="K3378">
            <v>3</v>
          </cell>
        </row>
        <row r="3379">
          <cell r="A3379" t="str">
            <v>M2</v>
          </cell>
          <cell r="B3379" t="str">
            <v>A5C</v>
          </cell>
          <cell r="C3379" t="str">
            <v>TRIM</v>
          </cell>
          <cell r="D3379" t="str">
            <v>V-2308</v>
          </cell>
          <cell r="E3379" t="str">
            <v>SOL</v>
          </cell>
          <cell r="F3379">
            <v>2</v>
          </cell>
          <cell r="G3379" t="str">
            <v>CB39020000030T</v>
          </cell>
          <cell r="H3379">
            <v>3</v>
          </cell>
          <cell r="I3379">
            <v>0.75</v>
          </cell>
          <cell r="J3379">
            <v>4</v>
          </cell>
          <cell r="K3379">
            <v>5</v>
          </cell>
        </row>
        <row r="3380">
          <cell r="A3380" t="str">
            <v>M2</v>
          </cell>
          <cell r="B3380" t="str">
            <v>A5C</v>
          </cell>
          <cell r="C3380" t="str">
            <v>TRIM</v>
          </cell>
          <cell r="D3380" t="str">
            <v>V-2313</v>
          </cell>
          <cell r="E3380" t="str">
            <v>SOL</v>
          </cell>
          <cell r="F3380">
            <v>2</v>
          </cell>
          <cell r="G3380" t="str">
            <v>CB3902000003IH</v>
          </cell>
          <cell r="H3380">
            <v>3</v>
          </cell>
          <cell r="I3380">
            <v>1.5</v>
          </cell>
          <cell r="J3380">
            <v>2</v>
          </cell>
          <cell r="K3380">
            <v>3</v>
          </cell>
        </row>
        <row r="3381">
          <cell r="A3381" t="str">
            <v>M2</v>
          </cell>
          <cell r="B3381" t="str">
            <v>A5C</v>
          </cell>
          <cell r="C3381" t="str">
            <v>TRIM</v>
          </cell>
          <cell r="D3381" t="str">
            <v>V-2325</v>
          </cell>
          <cell r="E3381" t="str">
            <v>SOL</v>
          </cell>
          <cell r="F3381">
            <v>2</v>
          </cell>
          <cell r="G3381" t="str">
            <v>CB39020000030T</v>
          </cell>
          <cell r="H3381">
            <v>3</v>
          </cell>
          <cell r="I3381">
            <v>0.75</v>
          </cell>
          <cell r="J3381">
            <v>6</v>
          </cell>
          <cell r="K3381">
            <v>7</v>
          </cell>
        </row>
        <row r="3382">
          <cell r="A3382" t="str">
            <v>M2</v>
          </cell>
          <cell r="B3382" t="str">
            <v>A5C</v>
          </cell>
          <cell r="C3382" t="str">
            <v>TRIM</v>
          </cell>
          <cell r="D3382" t="str">
            <v>V-2403</v>
          </cell>
          <cell r="E3382" t="str">
            <v>SOL</v>
          </cell>
          <cell r="F3382">
            <v>2</v>
          </cell>
          <cell r="G3382" t="str">
            <v>CB39020000030T</v>
          </cell>
          <cell r="H3382">
            <v>3</v>
          </cell>
          <cell r="I3382">
            <v>0.75</v>
          </cell>
          <cell r="J3382">
            <v>6</v>
          </cell>
          <cell r="K3382">
            <v>7</v>
          </cell>
        </row>
        <row r="3383">
          <cell r="A3383" t="str">
            <v>M2</v>
          </cell>
          <cell r="B3383" t="str">
            <v>A5C</v>
          </cell>
          <cell r="C3383" t="str">
            <v>P</v>
          </cell>
          <cell r="D3383" t="str">
            <v>23051</v>
          </cell>
          <cell r="E3383" t="str">
            <v>SOL</v>
          </cell>
          <cell r="F3383">
            <v>2</v>
          </cell>
          <cell r="G3383" t="str">
            <v>CB39020000030T</v>
          </cell>
          <cell r="H3383">
            <v>3</v>
          </cell>
          <cell r="I3383">
            <v>0.75</v>
          </cell>
          <cell r="J3383">
            <v>2</v>
          </cell>
          <cell r="K3383">
            <v>3</v>
          </cell>
        </row>
        <row r="3384">
          <cell r="A3384" t="str">
            <v>M2</v>
          </cell>
          <cell r="B3384" t="str">
            <v>A5C</v>
          </cell>
          <cell r="C3384" t="str">
            <v>TRIM</v>
          </cell>
          <cell r="D3384" t="str">
            <v>C-2303</v>
          </cell>
          <cell r="E3384" t="str">
            <v>SOL</v>
          </cell>
          <cell r="F3384">
            <v>2</v>
          </cell>
          <cell r="G3384" t="str">
            <v>CB39020000030T</v>
          </cell>
          <cell r="H3384">
            <v>3</v>
          </cell>
          <cell r="I3384">
            <v>0.75</v>
          </cell>
          <cell r="J3384">
            <v>4</v>
          </cell>
          <cell r="K3384">
            <v>5</v>
          </cell>
        </row>
        <row r="3385">
          <cell r="A3385" t="str">
            <v>M2</v>
          </cell>
          <cell r="B3385" t="str">
            <v>A5C</v>
          </cell>
          <cell r="C3385" t="str">
            <v>TRIM</v>
          </cell>
          <cell r="D3385" t="str">
            <v>V-2302</v>
          </cell>
          <cell r="E3385" t="str">
            <v>SOL</v>
          </cell>
          <cell r="F3385">
            <v>2</v>
          </cell>
          <cell r="G3385" t="str">
            <v>CB39020000030T</v>
          </cell>
          <cell r="H3385">
            <v>3</v>
          </cell>
          <cell r="I3385">
            <v>0.75</v>
          </cell>
          <cell r="J3385">
            <v>4</v>
          </cell>
          <cell r="K3385">
            <v>5</v>
          </cell>
        </row>
        <row r="3386">
          <cell r="A3386" t="str">
            <v>M2</v>
          </cell>
          <cell r="B3386" t="str">
            <v>A5C</v>
          </cell>
          <cell r="C3386" t="str">
            <v>TRIM</v>
          </cell>
          <cell r="D3386" t="str">
            <v>V-2313</v>
          </cell>
          <cell r="E3386" t="str">
            <v>SOL</v>
          </cell>
          <cell r="F3386">
            <v>2</v>
          </cell>
          <cell r="G3386" t="str">
            <v>CB39020000030T</v>
          </cell>
          <cell r="H3386">
            <v>3</v>
          </cell>
          <cell r="I3386">
            <v>0.75</v>
          </cell>
          <cell r="J3386">
            <v>4</v>
          </cell>
          <cell r="K3386">
            <v>5</v>
          </cell>
        </row>
        <row r="3387">
          <cell r="A3387" t="str">
            <v>M2</v>
          </cell>
          <cell r="B3387" t="str">
            <v>A5C</v>
          </cell>
          <cell r="C3387" t="str">
            <v>P</v>
          </cell>
          <cell r="D3387" t="str">
            <v>23017</v>
          </cell>
          <cell r="E3387" t="str">
            <v>TEE</v>
          </cell>
          <cell r="F3387">
            <v>2</v>
          </cell>
          <cell r="G3387" t="str">
            <v>CB300304000300</v>
          </cell>
          <cell r="H3387">
            <v>3</v>
          </cell>
          <cell r="I3387" t="str">
            <v>--</v>
          </cell>
          <cell r="J3387">
            <v>1</v>
          </cell>
          <cell r="K3387">
            <v>2</v>
          </cell>
        </row>
        <row r="3388">
          <cell r="A3388" t="str">
            <v>M2</v>
          </cell>
          <cell r="B3388" t="str">
            <v>A5C</v>
          </cell>
          <cell r="C3388" t="str">
            <v>P</v>
          </cell>
          <cell r="D3388" t="str">
            <v>23064</v>
          </cell>
          <cell r="E3388" t="str">
            <v>TEE</v>
          </cell>
          <cell r="F3388">
            <v>2</v>
          </cell>
          <cell r="G3388" t="str">
            <v>CB300304000300</v>
          </cell>
          <cell r="H3388">
            <v>3</v>
          </cell>
          <cell r="I3388" t="str">
            <v>--</v>
          </cell>
          <cell r="J3388">
            <v>2</v>
          </cell>
          <cell r="K3388">
            <v>3</v>
          </cell>
        </row>
        <row r="3389">
          <cell r="A3389" t="str">
            <v>M2</v>
          </cell>
          <cell r="B3389" t="str">
            <v>A5C</v>
          </cell>
          <cell r="C3389" t="str">
            <v>P</v>
          </cell>
          <cell r="D3389" t="str">
            <v>23064</v>
          </cell>
          <cell r="E3389" t="str">
            <v>TEE</v>
          </cell>
          <cell r="F3389">
            <v>2</v>
          </cell>
          <cell r="G3389" t="str">
            <v>CB300304000300</v>
          </cell>
          <cell r="H3389">
            <v>3</v>
          </cell>
          <cell r="I3389" t="str">
            <v>--</v>
          </cell>
          <cell r="J3389">
            <v>1</v>
          </cell>
          <cell r="K3389">
            <v>2</v>
          </cell>
        </row>
        <row r="3390">
          <cell r="A3390" t="str">
            <v>M2</v>
          </cell>
          <cell r="B3390" t="str">
            <v>A5C</v>
          </cell>
          <cell r="C3390" t="str">
            <v>P</v>
          </cell>
          <cell r="D3390" t="str">
            <v>23086</v>
          </cell>
          <cell r="E3390" t="str">
            <v>TEE</v>
          </cell>
          <cell r="F3390">
            <v>2</v>
          </cell>
          <cell r="G3390" t="str">
            <v>CB300304000300</v>
          </cell>
          <cell r="H3390">
            <v>3</v>
          </cell>
          <cell r="I3390" t="str">
            <v>--</v>
          </cell>
          <cell r="J3390">
            <v>2</v>
          </cell>
          <cell r="K3390">
            <v>3</v>
          </cell>
        </row>
        <row r="3391">
          <cell r="A3391" t="str">
            <v>M2</v>
          </cell>
          <cell r="B3391" t="str">
            <v>A5C</v>
          </cell>
          <cell r="C3391" t="str">
            <v>P</v>
          </cell>
          <cell r="D3391" t="str">
            <v>23125</v>
          </cell>
          <cell r="E3391" t="str">
            <v>TEE</v>
          </cell>
          <cell r="F3391">
            <v>2</v>
          </cell>
          <cell r="G3391" t="str">
            <v>CB300304000300</v>
          </cell>
          <cell r="H3391">
            <v>3</v>
          </cell>
          <cell r="I3391" t="str">
            <v>--</v>
          </cell>
          <cell r="J3391">
            <v>2</v>
          </cell>
          <cell r="K3391">
            <v>3</v>
          </cell>
        </row>
        <row r="3392">
          <cell r="A3392" t="str">
            <v>M2</v>
          </cell>
          <cell r="B3392" t="str">
            <v>A5C</v>
          </cell>
          <cell r="C3392" t="str">
            <v>P</v>
          </cell>
          <cell r="D3392" t="str">
            <v>23051</v>
          </cell>
          <cell r="E3392" t="str">
            <v>TEE</v>
          </cell>
          <cell r="F3392">
            <v>2</v>
          </cell>
          <cell r="G3392" t="str">
            <v>CB300304000300</v>
          </cell>
          <cell r="H3392">
            <v>3</v>
          </cell>
          <cell r="I3392" t="str">
            <v>--</v>
          </cell>
          <cell r="J3392">
            <v>1</v>
          </cell>
          <cell r="K3392">
            <v>2</v>
          </cell>
        </row>
        <row r="3393">
          <cell r="A3393" t="str">
            <v>M2</v>
          </cell>
          <cell r="B3393" t="str">
            <v>A5C</v>
          </cell>
          <cell r="C3393" t="str">
            <v>P</v>
          </cell>
          <cell r="D3393" t="str">
            <v>24003</v>
          </cell>
          <cell r="E3393" t="str">
            <v>90 ELL</v>
          </cell>
          <cell r="F3393">
            <v>2</v>
          </cell>
          <cell r="G3393" t="str">
            <v>CB300104000300</v>
          </cell>
          <cell r="H3393">
            <v>3</v>
          </cell>
          <cell r="I3393" t="str">
            <v>--</v>
          </cell>
          <cell r="J3393">
            <v>4</v>
          </cell>
          <cell r="K3393">
            <v>5</v>
          </cell>
        </row>
        <row r="3394">
          <cell r="A3394" t="str">
            <v>M2</v>
          </cell>
          <cell r="B3394" t="str">
            <v>A5C</v>
          </cell>
          <cell r="C3394" t="str">
            <v>P</v>
          </cell>
          <cell r="D3394" t="str">
            <v>24027</v>
          </cell>
          <cell r="E3394" t="str">
            <v>90 ELL</v>
          </cell>
          <cell r="F3394">
            <v>2</v>
          </cell>
          <cell r="G3394" t="str">
            <v>CB300104000300</v>
          </cell>
          <cell r="H3394">
            <v>3</v>
          </cell>
          <cell r="I3394" t="str">
            <v>--</v>
          </cell>
          <cell r="J3394">
            <v>3</v>
          </cell>
          <cell r="K3394">
            <v>4</v>
          </cell>
        </row>
        <row r="3395">
          <cell r="A3395" t="str">
            <v>M2</v>
          </cell>
          <cell r="B3395" t="str">
            <v>A5C</v>
          </cell>
          <cell r="C3395" t="str">
            <v>P</v>
          </cell>
          <cell r="D3395" t="str">
            <v>24027</v>
          </cell>
          <cell r="E3395" t="str">
            <v>C SWG</v>
          </cell>
          <cell r="F3395">
            <v>2</v>
          </cell>
          <cell r="G3395" t="str">
            <v>CB1614040803IH</v>
          </cell>
          <cell r="H3395">
            <v>3</v>
          </cell>
          <cell r="I3395">
            <v>1.5</v>
          </cell>
          <cell r="J3395">
            <v>2</v>
          </cell>
          <cell r="K3395">
            <v>3</v>
          </cell>
        </row>
        <row r="3396">
          <cell r="A3396" t="str">
            <v>M2</v>
          </cell>
          <cell r="B3396" t="str">
            <v>A5C</v>
          </cell>
          <cell r="C3396" t="str">
            <v>TRIM</v>
          </cell>
          <cell r="D3396" t="str">
            <v>C-2301</v>
          </cell>
          <cell r="E3396" t="str">
            <v>CAP</v>
          </cell>
          <cell r="F3396">
            <v>2</v>
          </cell>
          <cell r="G3396" t="str">
            <v>CB300704000300</v>
          </cell>
          <cell r="H3396">
            <v>3</v>
          </cell>
          <cell r="I3396" t="str">
            <v>--</v>
          </cell>
          <cell r="J3396">
            <v>2</v>
          </cell>
          <cell r="K3396">
            <v>3</v>
          </cell>
        </row>
        <row r="3397">
          <cell r="A3397" t="str">
            <v>M2</v>
          </cell>
          <cell r="B3397" t="str">
            <v>A5C</v>
          </cell>
          <cell r="C3397" t="str">
            <v>TRIM</v>
          </cell>
          <cell r="D3397" t="str">
            <v>R-2401</v>
          </cell>
          <cell r="E3397" t="str">
            <v>CAP</v>
          </cell>
          <cell r="F3397">
            <v>2</v>
          </cell>
          <cell r="G3397" t="str">
            <v>CB300704000300</v>
          </cell>
          <cell r="H3397">
            <v>3</v>
          </cell>
          <cell r="I3397" t="str">
            <v>--</v>
          </cell>
          <cell r="J3397">
            <v>2</v>
          </cell>
          <cell r="K3397">
            <v>3</v>
          </cell>
        </row>
        <row r="3398">
          <cell r="A3398" t="str">
            <v>M2</v>
          </cell>
          <cell r="B3398" t="str">
            <v>A5C</v>
          </cell>
          <cell r="C3398" t="str">
            <v>TRIM</v>
          </cell>
          <cell r="D3398" t="str">
            <v>V-2401</v>
          </cell>
          <cell r="E3398" t="str">
            <v>CAP</v>
          </cell>
          <cell r="F3398">
            <v>2</v>
          </cell>
          <cell r="G3398" t="str">
            <v>CB300704000300</v>
          </cell>
          <cell r="H3398">
            <v>3</v>
          </cell>
          <cell r="I3398" t="str">
            <v>--</v>
          </cell>
          <cell r="J3398">
            <v>2</v>
          </cell>
          <cell r="K3398">
            <v>3</v>
          </cell>
        </row>
        <row r="3399">
          <cell r="A3399" t="str">
            <v>M2</v>
          </cell>
          <cell r="B3399" t="str">
            <v>A5C</v>
          </cell>
          <cell r="C3399" t="str">
            <v>TRIM</v>
          </cell>
          <cell r="D3399" t="str">
            <v>V-2404</v>
          </cell>
          <cell r="E3399" t="str">
            <v>CAP</v>
          </cell>
          <cell r="F3399">
            <v>2</v>
          </cell>
          <cell r="G3399" t="str">
            <v>CB300704000300</v>
          </cell>
          <cell r="H3399">
            <v>3</v>
          </cell>
          <cell r="I3399" t="str">
            <v>--</v>
          </cell>
          <cell r="J3399">
            <v>2</v>
          </cell>
          <cell r="K3399">
            <v>3</v>
          </cell>
        </row>
        <row r="3400">
          <cell r="A3400" t="str">
            <v>M2</v>
          </cell>
          <cell r="B3400" t="str">
            <v>A5C</v>
          </cell>
          <cell r="C3400" t="str">
            <v>P</v>
          </cell>
          <cell r="D3400" t="str">
            <v>24026</v>
          </cell>
          <cell r="E3400" t="str">
            <v>SOL</v>
          </cell>
          <cell r="F3400">
            <v>2</v>
          </cell>
          <cell r="G3400" t="str">
            <v>CB390200000301</v>
          </cell>
          <cell r="H3400">
            <v>3</v>
          </cell>
          <cell r="I3400">
            <v>1</v>
          </cell>
          <cell r="J3400">
            <v>3</v>
          </cell>
          <cell r="K3400">
            <v>4</v>
          </cell>
        </row>
        <row r="3401">
          <cell r="A3401" t="str">
            <v>M2</v>
          </cell>
          <cell r="B3401" t="str">
            <v>A5C</v>
          </cell>
          <cell r="C3401" t="str">
            <v>TRIM</v>
          </cell>
          <cell r="D3401" t="str">
            <v>C-2301</v>
          </cell>
          <cell r="E3401" t="str">
            <v>SOL</v>
          </cell>
          <cell r="F3401">
            <v>2</v>
          </cell>
          <cell r="G3401" t="str">
            <v>CB39020000030T</v>
          </cell>
          <cell r="H3401">
            <v>3</v>
          </cell>
          <cell r="I3401">
            <v>0.75</v>
          </cell>
          <cell r="J3401">
            <v>4</v>
          </cell>
          <cell r="K3401">
            <v>5</v>
          </cell>
        </row>
        <row r="3402">
          <cell r="A3402" t="str">
            <v>M2</v>
          </cell>
          <cell r="B3402" t="str">
            <v>A5C</v>
          </cell>
          <cell r="C3402" t="str">
            <v>TRIM</v>
          </cell>
          <cell r="D3402" t="str">
            <v>C-2301</v>
          </cell>
          <cell r="E3402" t="str">
            <v>SOL</v>
          </cell>
          <cell r="F3402">
            <v>2</v>
          </cell>
          <cell r="G3402" t="str">
            <v>CB3902000003IH</v>
          </cell>
          <cell r="H3402">
            <v>3</v>
          </cell>
          <cell r="I3402">
            <v>1.5</v>
          </cell>
          <cell r="J3402">
            <v>2</v>
          </cell>
          <cell r="K3402">
            <v>3</v>
          </cell>
        </row>
        <row r="3403">
          <cell r="A3403" t="str">
            <v>M2</v>
          </cell>
          <cell r="B3403" t="str">
            <v>A5C</v>
          </cell>
          <cell r="C3403" t="str">
            <v>TRIM</v>
          </cell>
          <cell r="D3403" t="str">
            <v>V-2401</v>
          </cell>
          <cell r="E3403" t="str">
            <v>SOL</v>
          </cell>
          <cell r="F3403">
            <v>2</v>
          </cell>
          <cell r="G3403" t="str">
            <v>CB39020000030T</v>
          </cell>
          <cell r="H3403">
            <v>3</v>
          </cell>
          <cell r="I3403">
            <v>0.75</v>
          </cell>
          <cell r="J3403">
            <v>6</v>
          </cell>
          <cell r="K3403">
            <v>7</v>
          </cell>
        </row>
        <row r="3404">
          <cell r="A3404" t="str">
            <v>M2</v>
          </cell>
          <cell r="B3404" t="str">
            <v>A5C</v>
          </cell>
          <cell r="C3404" t="str">
            <v>TRIM</v>
          </cell>
          <cell r="D3404" t="str">
            <v>V-2404</v>
          </cell>
          <cell r="E3404" t="str">
            <v>SOL</v>
          </cell>
          <cell r="F3404">
            <v>2</v>
          </cell>
          <cell r="G3404" t="str">
            <v>CB39020000030T</v>
          </cell>
          <cell r="H3404">
            <v>3</v>
          </cell>
          <cell r="I3404">
            <v>0.75</v>
          </cell>
          <cell r="J3404">
            <v>6</v>
          </cell>
          <cell r="K3404">
            <v>7</v>
          </cell>
        </row>
        <row r="3405">
          <cell r="A3405" t="str">
            <v>M2</v>
          </cell>
          <cell r="B3405" t="str">
            <v>A5C</v>
          </cell>
          <cell r="C3405" t="str">
            <v>P</v>
          </cell>
          <cell r="D3405" t="str">
            <v>24002</v>
          </cell>
          <cell r="E3405" t="str">
            <v>SOL</v>
          </cell>
          <cell r="F3405">
            <v>2</v>
          </cell>
          <cell r="G3405" t="str">
            <v>CB390200000301</v>
          </cell>
          <cell r="H3405">
            <v>3</v>
          </cell>
          <cell r="I3405">
            <v>1</v>
          </cell>
          <cell r="J3405">
            <v>3</v>
          </cell>
          <cell r="K3405">
            <v>4</v>
          </cell>
        </row>
        <row r="3406">
          <cell r="A3406" t="str">
            <v>M2</v>
          </cell>
          <cell r="B3406" t="str">
            <v>A5C</v>
          </cell>
          <cell r="C3406" t="str">
            <v>P</v>
          </cell>
          <cell r="D3406" t="str">
            <v>24003</v>
          </cell>
          <cell r="E3406" t="str">
            <v>SOL</v>
          </cell>
          <cell r="F3406">
            <v>2</v>
          </cell>
          <cell r="G3406" t="str">
            <v>CB390200000301</v>
          </cell>
          <cell r="H3406">
            <v>3</v>
          </cell>
          <cell r="I3406">
            <v>1</v>
          </cell>
          <cell r="J3406">
            <v>1</v>
          </cell>
          <cell r="K3406">
            <v>2</v>
          </cell>
        </row>
        <row r="3407">
          <cell r="A3407" t="str">
            <v>M2</v>
          </cell>
          <cell r="B3407" t="str">
            <v>A5C</v>
          </cell>
          <cell r="C3407" t="str">
            <v>P</v>
          </cell>
          <cell r="D3407" t="str">
            <v>24027</v>
          </cell>
          <cell r="E3407" t="str">
            <v>SOL</v>
          </cell>
          <cell r="F3407">
            <v>2</v>
          </cell>
          <cell r="G3407" t="str">
            <v>CB39020000030T</v>
          </cell>
          <cell r="H3407">
            <v>3</v>
          </cell>
          <cell r="I3407">
            <v>0.75</v>
          </cell>
          <cell r="J3407">
            <v>2</v>
          </cell>
          <cell r="K3407">
            <v>3</v>
          </cell>
        </row>
        <row r="3408">
          <cell r="A3408" t="str">
            <v>M2</v>
          </cell>
          <cell r="B3408" t="str">
            <v>A5C</v>
          </cell>
          <cell r="C3408" t="str">
            <v>TRIM</v>
          </cell>
          <cell r="D3408" t="str">
            <v>R-2401</v>
          </cell>
          <cell r="E3408" t="str">
            <v>SOL</v>
          </cell>
          <cell r="F3408">
            <v>2</v>
          </cell>
          <cell r="G3408" t="str">
            <v>CB39020000030T</v>
          </cell>
          <cell r="H3408">
            <v>3</v>
          </cell>
          <cell r="I3408">
            <v>0.75</v>
          </cell>
          <cell r="J3408">
            <v>6</v>
          </cell>
          <cell r="K3408">
            <v>7</v>
          </cell>
        </row>
        <row r="3409">
          <cell r="A3409" t="str">
            <v>M2</v>
          </cell>
          <cell r="B3409" t="str">
            <v>A5C</v>
          </cell>
          <cell r="C3409" t="str">
            <v>P</v>
          </cell>
          <cell r="D3409" t="str">
            <v>24027</v>
          </cell>
          <cell r="E3409" t="str">
            <v>TEE</v>
          </cell>
          <cell r="F3409">
            <v>2</v>
          </cell>
          <cell r="G3409" t="str">
            <v>CB300304000300</v>
          </cell>
          <cell r="H3409">
            <v>3</v>
          </cell>
          <cell r="I3409" t="str">
            <v>--</v>
          </cell>
          <cell r="J3409">
            <v>1</v>
          </cell>
          <cell r="K3409">
            <v>2</v>
          </cell>
        </row>
        <row r="3410">
          <cell r="A3410" t="str">
            <v>M2</v>
          </cell>
          <cell r="B3410" t="str">
            <v>A5C</v>
          </cell>
          <cell r="C3410" t="str">
            <v>P</v>
          </cell>
          <cell r="D3410" t="str">
            <v>24003</v>
          </cell>
          <cell r="E3410" t="str">
            <v>TEE</v>
          </cell>
          <cell r="F3410">
            <v>2</v>
          </cell>
          <cell r="G3410" t="str">
            <v>CB300304000300</v>
          </cell>
          <cell r="H3410">
            <v>3</v>
          </cell>
          <cell r="I3410" t="str">
            <v>--</v>
          </cell>
          <cell r="J3410">
            <v>1</v>
          </cell>
          <cell r="K3410">
            <v>2</v>
          </cell>
        </row>
        <row r="3411">
          <cell r="A3411" t="str">
            <v>M2</v>
          </cell>
          <cell r="B3411" t="str">
            <v>A5C</v>
          </cell>
          <cell r="C3411" t="str">
            <v>P</v>
          </cell>
          <cell r="D3411" t="str">
            <v>HOLD2</v>
          </cell>
          <cell r="E3411" t="str">
            <v>90 ELL</v>
          </cell>
          <cell r="F3411">
            <v>2</v>
          </cell>
          <cell r="G3411" t="str">
            <v>CB300104000400</v>
          </cell>
          <cell r="H3411">
            <v>4</v>
          </cell>
          <cell r="I3411" t="str">
            <v>--</v>
          </cell>
          <cell r="J3411">
            <v>15</v>
          </cell>
          <cell r="K3411">
            <v>18</v>
          </cell>
        </row>
        <row r="3412">
          <cell r="A3412" t="str">
            <v>M2</v>
          </cell>
          <cell r="B3412" t="str">
            <v>A5C</v>
          </cell>
          <cell r="C3412" t="str">
            <v>P</v>
          </cell>
          <cell r="D3412" t="str">
            <v>23058</v>
          </cell>
          <cell r="E3412" t="str">
            <v>90 ELL</v>
          </cell>
          <cell r="F3412">
            <v>2</v>
          </cell>
          <cell r="G3412" t="str">
            <v>CB300104000400</v>
          </cell>
          <cell r="H3412">
            <v>4</v>
          </cell>
          <cell r="I3412" t="str">
            <v>--</v>
          </cell>
          <cell r="J3412">
            <v>3</v>
          </cell>
          <cell r="K3412">
            <v>4</v>
          </cell>
        </row>
        <row r="3413">
          <cell r="A3413" t="str">
            <v>M2</v>
          </cell>
          <cell r="B3413" t="str">
            <v>A5C</v>
          </cell>
          <cell r="C3413" t="str">
            <v>P</v>
          </cell>
          <cell r="D3413" t="str">
            <v>23068</v>
          </cell>
          <cell r="E3413" t="str">
            <v>90 ELL</v>
          </cell>
          <cell r="F3413">
            <v>2</v>
          </cell>
          <cell r="G3413" t="str">
            <v>CB300104000400</v>
          </cell>
          <cell r="H3413">
            <v>4</v>
          </cell>
          <cell r="I3413" t="str">
            <v>--</v>
          </cell>
          <cell r="J3413">
            <v>2</v>
          </cell>
          <cell r="K3413">
            <v>3</v>
          </cell>
        </row>
        <row r="3414">
          <cell r="A3414" t="str">
            <v>M2</v>
          </cell>
          <cell r="B3414" t="str">
            <v>A5C</v>
          </cell>
          <cell r="C3414" t="str">
            <v>P</v>
          </cell>
          <cell r="D3414" t="str">
            <v>23072</v>
          </cell>
          <cell r="E3414" t="str">
            <v>90 ELL</v>
          </cell>
          <cell r="F3414">
            <v>2</v>
          </cell>
          <cell r="G3414" t="str">
            <v>CB300104000400</v>
          </cell>
          <cell r="H3414">
            <v>4</v>
          </cell>
          <cell r="I3414" t="str">
            <v>--</v>
          </cell>
          <cell r="J3414">
            <v>9</v>
          </cell>
          <cell r="K3414">
            <v>11</v>
          </cell>
        </row>
        <row r="3415">
          <cell r="A3415" t="str">
            <v>M2</v>
          </cell>
          <cell r="B3415" t="str">
            <v>A5C</v>
          </cell>
          <cell r="C3415" t="str">
            <v>P</v>
          </cell>
          <cell r="D3415" t="str">
            <v>23095</v>
          </cell>
          <cell r="E3415" t="str">
            <v>90 ELL</v>
          </cell>
          <cell r="F3415">
            <v>2</v>
          </cell>
          <cell r="G3415" t="str">
            <v>CB300104000400</v>
          </cell>
          <cell r="H3415">
            <v>4</v>
          </cell>
          <cell r="I3415" t="str">
            <v>--</v>
          </cell>
          <cell r="J3415">
            <v>3</v>
          </cell>
          <cell r="K3415">
            <v>4</v>
          </cell>
        </row>
        <row r="3416">
          <cell r="A3416" t="str">
            <v>M2</v>
          </cell>
          <cell r="B3416" t="str">
            <v>A5C</v>
          </cell>
          <cell r="C3416" t="str">
            <v>P</v>
          </cell>
          <cell r="D3416" t="str">
            <v>23100</v>
          </cell>
          <cell r="E3416" t="str">
            <v>90 ELL</v>
          </cell>
          <cell r="F3416">
            <v>2</v>
          </cell>
          <cell r="G3416" t="str">
            <v>CB300104000400</v>
          </cell>
          <cell r="H3416">
            <v>4</v>
          </cell>
          <cell r="I3416" t="str">
            <v>--</v>
          </cell>
          <cell r="J3416">
            <v>7</v>
          </cell>
          <cell r="K3416">
            <v>9</v>
          </cell>
        </row>
        <row r="3417">
          <cell r="A3417" t="str">
            <v>M2</v>
          </cell>
          <cell r="B3417" t="str">
            <v>A5C</v>
          </cell>
          <cell r="C3417" t="str">
            <v>P</v>
          </cell>
          <cell r="D3417" t="str">
            <v>23095</v>
          </cell>
          <cell r="E3417" t="str">
            <v>90 ELL</v>
          </cell>
          <cell r="F3417">
            <v>2</v>
          </cell>
          <cell r="G3417" t="str">
            <v>CB300104000400</v>
          </cell>
          <cell r="H3417">
            <v>4</v>
          </cell>
          <cell r="I3417" t="str">
            <v>--</v>
          </cell>
          <cell r="J3417">
            <v>2</v>
          </cell>
          <cell r="K3417">
            <v>3</v>
          </cell>
        </row>
        <row r="3418">
          <cell r="A3418" t="str">
            <v>M2</v>
          </cell>
          <cell r="B3418" t="str">
            <v>A5C</v>
          </cell>
          <cell r="C3418" t="str">
            <v>P</v>
          </cell>
          <cell r="D3418" t="str">
            <v>23110</v>
          </cell>
          <cell r="E3418" t="str">
            <v>90 ELL</v>
          </cell>
          <cell r="F3418">
            <v>2</v>
          </cell>
          <cell r="G3418" t="str">
            <v>CB300104000400</v>
          </cell>
          <cell r="H3418">
            <v>4</v>
          </cell>
          <cell r="I3418" t="str">
            <v>--</v>
          </cell>
          <cell r="J3418">
            <v>3</v>
          </cell>
          <cell r="K3418">
            <v>4</v>
          </cell>
        </row>
        <row r="3419">
          <cell r="A3419" t="str">
            <v>M2</v>
          </cell>
          <cell r="B3419" t="str">
            <v>A5C</v>
          </cell>
          <cell r="C3419" t="str">
            <v>P</v>
          </cell>
          <cell r="D3419" t="str">
            <v>23110</v>
          </cell>
          <cell r="E3419" t="str">
            <v>90 ELL</v>
          </cell>
          <cell r="F3419">
            <v>2</v>
          </cell>
          <cell r="G3419" t="str">
            <v>CB300104000400</v>
          </cell>
          <cell r="H3419">
            <v>4</v>
          </cell>
          <cell r="I3419" t="str">
            <v>--</v>
          </cell>
          <cell r="J3419">
            <v>2</v>
          </cell>
          <cell r="K3419">
            <v>3</v>
          </cell>
        </row>
        <row r="3420">
          <cell r="A3420" t="str">
            <v>M2</v>
          </cell>
          <cell r="B3420" t="str">
            <v>A5C</v>
          </cell>
          <cell r="C3420" t="str">
            <v>P</v>
          </cell>
          <cell r="D3420" t="str">
            <v>23114</v>
          </cell>
          <cell r="E3420" t="str">
            <v>90 ELL</v>
          </cell>
          <cell r="F3420">
            <v>2</v>
          </cell>
          <cell r="G3420" t="str">
            <v>CB300104000400</v>
          </cell>
          <cell r="H3420">
            <v>4</v>
          </cell>
          <cell r="I3420" t="str">
            <v>--</v>
          </cell>
          <cell r="J3420">
            <v>2</v>
          </cell>
          <cell r="K3420">
            <v>3</v>
          </cell>
        </row>
        <row r="3421">
          <cell r="A3421" t="str">
            <v>M2</v>
          </cell>
          <cell r="B3421" t="str">
            <v>A5C</v>
          </cell>
          <cell r="C3421" t="str">
            <v>P</v>
          </cell>
          <cell r="D3421" t="str">
            <v>23114</v>
          </cell>
          <cell r="E3421" t="str">
            <v>90 ELL</v>
          </cell>
          <cell r="F3421">
            <v>2</v>
          </cell>
          <cell r="G3421" t="str">
            <v>CB300104000400</v>
          </cell>
          <cell r="H3421">
            <v>4</v>
          </cell>
          <cell r="I3421" t="str">
            <v>--</v>
          </cell>
          <cell r="J3421">
            <v>3</v>
          </cell>
          <cell r="K3421">
            <v>4</v>
          </cell>
        </row>
        <row r="3422">
          <cell r="A3422" t="str">
            <v>M2</v>
          </cell>
          <cell r="B3422" t="str">
            <v>A5C</v>
          </cell>
          <cell r="C3422" t="str">
            <v>P</v>
          </cell>
          <cell r="D3422" t="str">
            <v>23121</v>
          </cell>
          <cell r="E3422" t="str">
            <v>90 ELL</v>
          </cell>
          <cell r="F3422">
            <v>2</v>
          </cell>
          <cell r="G3422" t="str">
            <v>CB300104000400</v>
          </cell>
          <cell r="H3422">
            <v>4</v>
          </cell>
          <cell r="I3422" t="str">
            <v>--</v>
          </cell>
          <cell r="J3422">
            <v>4</v>
          </cell>
          <cell r="K3422">
            <v>5</v>
          </cell>
        </row>
        <row r="3423">
          <cell r="A3423" t="str">
            <v>M2</v>
          </cell>
          <cell r="B3423" t="str">
            <v>A5C</v>
          </cell>
          <cell r="C3423" t="str">
            <v>P</v>
          </cell>
          <cell r="D3423" t="str">
            <v>23123</v>
          </cell>
          <cell r="E3423" t="str">
            <v>90 ELL</v>
          </cell>
          <cell r="F3423">
            <v>2</v>
          </cell>
          <cell r="G3423" t="str">
            <v>CB300104000400</v>
          </cell>
          <cell r="H3423">
            <v>4</v>
          </cell>
          <cell r="I3423" t="str">
            <v>--</v>
          </cell>
          <cell r="J3423">
            <v>2</v>
          </cell>
          <cell r="K3423">
            <v>3</v>
          </cell>
        </row>
        <row r="3424">
          <cell r="A3424" t="str">
            <v>M2</v>
          </cell>
          <cell r="B3424" t="str">
            <v>A5C</v>
          </cell>
          <cell r="C3424" t="str">
            <v>P</v>
          </cell>
          <cell r="D3424" t="str">
            <v>23127</v>
          </cell>
          <cell r="E3424" t="str">
            <v>90 ELL</v>
          </cell>
          <cell r="F3424">
            <v>2</v>
          </cell>
          <cell r="G3424" t="str">
            <v>CB300104000400</v>
          </cell>
          <cell r="H3424">
            <v>4</v>
          </cell>
          <cell r="I3424" t="str">
            <v>--</v>
          </cell>
          <cell r="J3424">
            <v>2</v>
          </cell>
          <cell r="K3424">
            <v>3</v>
          </cell>
        </row>
        <row r="3425">
          <cell r="A3425" t="str">
            <v>M2</v>
          </cell>
          <cell r="B3425" t="str">
            <v>A5C</v>
          </cell>
          <cell r="C3425" t="str">
            <v>P</v>
          </cell>
          <cell r="D3425" t="str">
            <v>23134</v>
          </cell>
          <cell r="E3425" t="str">
            <v>90 ELL</v>
          </cell>
          <cell r="F3425">
            <v>2</v>
          </cell>
          <cell r="G3425" t="str">
            <v>CB300104000400</v>
          </cell>
          <cell r="H3425">
            <v>4</v>
          </cell>
          <cell r="I3425" t="str">
            <v>--</v>
          </cell>
          <cell r="J3425">
            <v>4</v>
          </cell>
          <cell r="K3425">
            <v>5</v>
          </cell>
        </row>
        <row r="3426">
          <cell r="A3426" t="str">
            <v>M2</v>
          </cell>
          <cell r="B3426" t="str">
            <v>A5C</v>
          </cell>
          <cell r="C3426" t="str">
            <v>P</v>
          </cell>
          <cell r="D3426" t="str">
            <v>23139</v>
          </cell>
          <cell r="E3426" t="str">
            <v>90 ELL</v>
          </cell>
          <cell r="F3426">
            <v>2</v>
          </cell>
          <cell r="G3426" t="str">
            <v>CB300104000400</v>
          </cell>
          <cell r="H3426">
            <v>4</v>
          </cell>
          <cell r="I3426" t="str">
            <v>--</v>
          </cell>
          <cell r="J3426">
            <v>5</v>
          </cell>
          <cell r="K3426">
            <v>6</v>
          </cell>
        </row>
        <row r="3427">
          <cell r="A3427" t="str">
            <v>M2</v>
          </cell>
          <cell r="B3427" t="str">
            <v>A5C</v>
          </cell>
          <cell r="C3427" t="str">
            <v>P</v>
          </cell>
          <cell r="D3427" t="str">
            <v>23146</v>
          </cell>
          <cell r="E3427" t="str">
            <v>90 ELL</v>
          </cell>
          <cell r="F3427">
            <v>2</v>
          </cell>
          <cell r="G3427" t="str">
            <v>CB300104000400</v>
          </cell>
          <cell r="H3427">
            <v>4</v>
          </cell>
          <cell r="I3427" t="str">
            <v>--</v>
          </cell>
          <cell r="J3427">
            <v>4</v>
          </cell>
          <cell r="K3427">
            <v>5</v>
          </cell>
        </row>
        <row r="3428">
          <cell r="A3428" t="str">
            <v>M2</v>
          </cell>
          <cell r="B3428" t="str">
            <v>A5C</v>
          </cell>
          <cell r="C3428" t="str">
            <v>P</v>
          </cell>
          <cell r="D3428" t="str">
            <v>23174</v>
          </cell>
          <cell r="E3428" t="str">
            <v>90 ELL</v>
          </cell>
          <cell r="F3428">
            <v>2</v>
          </cell>
          <cell r="G3428" t="str">
            <v>CB300104000400</v>
          </cell>
          <cell r="H3428">
            <v>4</v>
          </cell>
          <cell r="I3428" t="str">
            <v>--</v>
          </cell>
          <cell r="J3428">
            <v>6</v>
          </cell>
          <cell r="K3428">
            <v>7</v>
          </cell>
        </row>
        <row r="3429">
          <cell r="A3429" t="str">
            <v>M2</v>
          </cell>
          <cell r="B3429" t="str">
            <v>A5C</v>
          </cell>
          <cell r="C3429" t="str">
            <v>P</v>
          </cell>
          <cell r="D3429" t="str">
            <v>23174</v>
          </cell>
          <cell r="E3429" t="str">
            <v>90 ELL</v>
          </cell>
          <cell r="F3429">
            <v>2</v>
          </cell>
          <cell r="G3429" t="str">
            <v>CB300104000400</v>
          </cell>
          <cell r="H3429">
            <v>4</v>
          </cell>
          <cell r="I3429" t="str">
            <v>--</v>
          </cell>
          <cell r="J3429">
            <v>6</v>
          </cell>
          <cell r="K3429">
            <v>7</v>
          </cell>
        </row>
        <row r="3430">
          <cell r="A3430" t="str">
            <v>M2</v>
          </cell>
          <cell r="B3430" t="str">
            <v>A5C</v>
          </cell>
          <cell r="C3430" t="str">
            <v>P</v>
          </cell>
          <cell r="D3430" t="str">
            <v>23227</v>
          </cell>
          <cell r="E3430" t="str">
            <v>90 ELL</v>
          </cell>
          <cell r="F3430">
            <v>2</v>
          </cell>
          <cell r="G3430" t="str">
            <v>CB300104000400</v>
          </cell>
          <cell r="H3430">
            <v>4</v>
          </cell>
          <cell r="I3430" t="str">
            <v>--</v>
          </cell>
          <cell r="J3430">
            <v>5</v>
          </cell>
          <cell r="K3430">
            <v>6</v>
          </cell>
        </row>
        <row r="3431">
          <cell r="A3431" t="str">
            <v>M2</v>
          </cell>
          <cell r="B3431" t="str">
            <v>A5C</v>
          </cell>
          <cell r="C3431" t="str">
            <v>P</v>
          </cell>
          <cell r="D3431" t="str">
            <v>23228</v>
          </cell>
          <cell r="E3431" t="str">
            <v>90 ELL</v>
          </cell>
          <cell r="F3431">
            <v>2</v>
          </cell>
          <cell r="G3431" t="str">
            <v>CB300104000400</v>
          </cell>
          <cell r="H3431">
            <v>4</v>
          </cell>
          <cell r="I3431" t="str">
            <v>--</v>
          </cell>
          <cell r="J3431">
            <v>3</v>
          </cell>
          <cell r="K3431">
            <v>4</v>
          </cell>
        </row>
        <row r="3432">
          <cell r="A3432" t="str">
            <v>M2</v>
          </cell>
          <cell r="B3432" t="str">
            <v>A5C</v>
          </cell>
          <cell r="C3432" t="str">
            <v>P</v>
          </cell>
          <cell r="D3432" t="str">
            <v>23237</v>
          </cell>
          <cell r="E3432" t="str">
            <v>90 ELL</v>
          </cell>
          <cell r="F3432">
            <v>2</v>
          </cell>
          <cell r="G3432" t="str">
            <v>CB300104000400</v>
          </cell>
          <cell r="H3432">
            <v>4</v>
          </cell>
          <cell r="I3432" t="str">
            <v>--</v>
          </cell>
          <cell r="J3432">
            <v>1</v>
          </cell>
          <cell r="K3432">
            <v>2</v>
          </cell>
        </row>
        <row r="3433">
          <cell r="A3433" t="str">
            <v>M2</v>
          </cell>
          <cell r="B3433" t="str">
            <v>A5C</v>
          </cell>
          <cell r="C3433" t="str">
            <v>P</v>
          </cell>
          <cell r="D3433" t="str">
            <v>23241</v>
          </cell>
          <cell r="E3433" t="str">
            <v>90 ELL</v>
          </cell>
          <cell r="F3433">
            <v>2</v>
          </cell>
          <cell r="G3433" t="str">
            <v>CB300104000400</v>
          </cell>
          <cell r="H3433">
            <v>4</v>
          </cell>
          <cell r="I3433" t="str">
            <v>--</v>
          </cell>
          <cell r="J3433">
            <v>1</v>
          </cell>
          <cell r="K3433">
            <v>2</v>
          </cell>
        </row>
        <row r="3434">
          <cell r="A3434" t="str">
            <v>M2</v>
          </cell>
          <cell r="B3434" t="str">
            <v>A5C</v>
          </cell>
          <cell r="C3434" t="str">
            <v>P</v>
          </cell>
          <cell r="D3434" t="str">
            <v>23249</v>
          </cell>
          <cell r="E3434" t="str">
            <v>90 ELL</v>
          </cell>
          <cell r="F3434">
            <v>2</v>
          </cell>
          <cell r="G3434" t="str">
            <v>CB300104000400</v>
          </cell>
          <cell r="H3434">
            <v>4</v>
          </cell>
          <cell r="I3434" t="str">
            <v>--</v>
          </cell>
          <cell r="J3434">
            <v>5</v>
          </cell>
          <cell r="K3434">
            <v>6</v>
          </cell>
        </row>
        <row r="3435">
          <cell r="A3435" t="str">
            <v>M2</v>
          </cell>
          <cell r="B3435" t="str">
            <v>A5C</v>
          </cell>
          <cell r="C3435" t="str">
            <v>P</v>
          </cell>
          <cell r="D3435" t="str">
            <v>23012</v>
          </cell>
          <cell r="E3435" t="str">
            <v>90 ELL</v>
          </cell>
          <cell r="F3435">
            <v>2</v>
          </cell>
          <cell r="G3435" t="str">
            <v>CB300104000400</v>
          </cell>
          <cell r="H3435">
            <v>4</v>
          </cell>
          <cell r="I3435" t="str">
            <v>--</v>
          </cell>
          <cell r="J3435">
            <v>3</v>
          </cell>
          <cell r="K3435">
            <v>4</v>
          </cell>
        </row>
        <row r="3436">
          <cell r="A3436" t="str">
            <v>M2</v>
          </cell>
          <cell r="B3436" t="str">
            <v>A5C</v>
          </cell>
          <cell r="C3436" t="str">
            <v>P</v>
          </cell>
          <cell r="D3436" t="str">
            <v>23181</v>
          </cell>
          <cell r="E3436" t="str">
            <v>90 ELL</v>
          </cell>
          <cell r="F3436">
            <v>2</v>
          </cell>
          <cell r="G3436" t="str">
            <v>CB300104000400</v>
          </cell>
          <cell r="H3436">
            <v>4</v>
          </cell>
          <cell r="I3436" t="str">
            <v>--</v>
          </cell>
          <cell r="J3436">
            <v>2</v>
          </cell>
          <cell r="K3436">
            <v>3</v>
          </cell>
        </row>
        <row r="3437">
          <cell r="A3437" t="str">
            <v>M2</v>
          </cell>
          <cell r="B3437" t="str">
            <v>A5C</v>
          </cell>
          <cell r="C3437" t="str">
            <v>P</v>
          </cell>
          <cell r="D3437" t="str">
            <v>23250</v>
          </cell>
          <cell r="E3437" t="str">
            <v>90 ELL</v>
          </cell>
          <cell r="F3437">
            <v>2</v>
          </cell>
          <cell r="G3437" t="str">
            <v>CB300104000400</v>
          </cell>
          <cell r="H3437">
            <v>4</v>
          </cell>
          <cell r="I3437" t="str">
            <v>--</v>
          </cell>
          <cell r="J3437">
            <v>3</v>
          </cell>
          <cell r="K3437">
            <v>4</v>
          </cell>
        </row>
        <row r="3438">
          <cell r="A3438" t="str">
            <v>M2</v>
          </cell>
          <cell r="B3438" t="str">
            <v>A5C</v>
          </cell>
          <cell r="C3438" t="str">
            <v>P</v>
          </cell>
          <cell r="D3438" t="str">
            <v>23012</v>
          </cell>
          <cell r="E3438" t="str">
            <v>C RED</v>
          </cell>
          <cell r="F3438">
            <v>2</v>
          </cell>
          <cell r="G3438" t="str">
            <v>CB300504040403</v>
          </cell>
          <cell r="H3438">
            <v>4</v>
          </cell>
          <cell r="I3438">
            <v>3</v>
          </cell>
          <cell r="J3438">
            <v>2</v>
          </cell>
          <cell r="K3438">
            <v>3</v>
          </cell>
        </row>
        <row r="3439">
          <cell r="A3439" t="str">
            <v>M2</v>
          </cell>
          <cell r="B3439" t="str">
            <v>A5C</v>
          </cell>
          <cell r="C3439" t="str">
            <v>P</v>
          </cell>
          <cell r="D3439" t="str">
            <v>23058</v>
          </cell>
          <cell r="E3439" t="str">
            <v>C RED</v>
          </cell>
          <cell r="F3439">
            <v>2</v>
          </cell>
          <cell r="G3439" t="str">
            <v>CB300504040403</v>
          </cell>
          <cell r="H3439">
            <v>4</v>
          </cell>
          <cell r="I3439">
            <v>3</v>
          </cell>
          <cell r="J3439">
            <v>2</v>
          </cell>
          <cell r="K3439">
            <v>3</v>
          </cell>
        </row>
        <row r="3440">
          <cell r="A3440" t="str">
            <v>M2</v>
          </cell>
          <cell r="B3440" t="str">
            <v>A5C</v>
          </cell>
          <cell r="C3440" t="str">
            <v>P</v>
          </cell>
          <cell r="D3440" t="str">
            <v>23068</v>
          </cell>
          <cell r="E3440" t="str">
            <v>C RED</v>
          </cell>
          <cell r="F3440">
            <v>2</v>
          </cell>
          <cell r="G3440" t="str">
            <v>CB300504040403</v>
          </cell>
          <cell r="H3440">
            <v>4</v>
          </cell>
          <cell r="I3440">
            <v>3</v>
          </cell>
          <cell r="J3440">
            <v>2</v>
          </cell>
          <cell r="K3440">
            <v>3</v>
          </cell>
        </row>
        <row r="3441">
          <cell r="A3441" t="str">
            <v>M2</v>
          </cell>
          <cell r="B3441" t="str">
            <v>A5C</v>
          </cell>
          <cell r="C3441" t="str">
            <v>P</v>
          </cell>
          <cell r="D3441" t="str">
            <v>23095</v>
          </cell>
          <cell r="E3441" t="str">
            <v>C RED</v>
          </cell>
          <cell r="F3441">
            <v>2</v>
          </cell>
          <cell r="G3441" t="str">
            <v>CB300504040403</v>
          </cell>
          <cell r="H3441">
            <v>4</v>
          </cell>
          <cell r="I3441">
            <v>3</v>
          </cell>
          <cell r="J3441">
            <v>2</v>
          </cell>
          <cell r="K3441">
            <v>3</v>
          </cell>
        </row>
        <row r="3442">
          <cell r="A3442" t="str">
            <v>M2</v>
          </cell>
          <cell r="B3442" t="str">
            <v>A5C</v>
          </cell>
          <cell r="C3442" t="str">
            <v>P</v>
          </cell>
          <cell r="D3442" t="str">
            <v>23110</v>
          </cell>
          <cell r="E3442" t="str">
            <v>C RED</v>
          </cell>
          <cell r="F3442">
            <v>2</v>
          </cell>
          <cell r="G3442" t="str">
            <v>CB300504040403</v>
          </cell>
          <cell r="H3442">
            <v>4</v>
          </cell>
          <cell r="I3442">
            <v>3</v>
          </cell>
          <cell r="J3442">
            <v>2</v>
          </cell>
          <cell r="K3442">
            <v>3</v>
          </cell>
        </row>
        <row r="3443">
          <cell r="A3443" t="str">
            <v>M2</v>
          </cell>
          <cell r="B3443" t="str">
            <v>A5C</v>
          </cell>
          <cell r="C3443" t="str">
            <v>P</v>
          </cell>
          <cell r="D3443" t="str">
            <v>23114</v>
          </cell>
          <cell r="E3443" t="str">
            <v>C RED</v>
          </cell>
          <cell r="F3443">
            <v>2</v>
          </cell>
          <cell r="G3443" t="str">
            <v>CB300504040403</v>
          </cell>
          <cell r="H3443">
            <v>4</v>
          </cell>
          <cell r="I3443">
            <v>3</v>
          </cell>
          <cell r="J3443">
            <v>2</v>
          </cell>
          <cell r="K3443">
            <v>3</v>
          </cell>
        </row>
        <row r="3444">
          <cell r="A3444" t="str">
            <v>M2</v>
          </cell>
          <cell r="B3444" t="str">
            <v>A5C</v>
          </cell>
          <cell r="C3444" t="str">
            <v>P</v>
          </cell>
          <cell r="D3444" t="str">
            <v>23127</v>
          </cell>
          <cell r="E3444" t="str">
            <v>C RED</v>
          </cell>
          <cell r="F3444">
            <v>2</v>
          </cell>
          <cell r="G3444" t="str">
            <v>CB300504040403</v>
          </cell>
          <cell r="H3444">
            <v>4</v>
          </cell>
          <cell r="I3444">
            <v>3</v>
          </cell>
          <cell r="J3444">
            <v>2</v>
          </cell>
          <cell r="K3444">
            <v>3</v>
          </cell>
        </row>
        <row r="3445">
          <cell r="A3445" t="str">
            <v>M2</v>
          </cell>
          <cell r="B3445" t="str">
            <v>A5C</v>
          </cell>
          <cell r="C3445" t="str">
            <v>P</v>
          </cell>
          <cell r="D3445" t="str">
            <v>23134</v>
          </cell>
          <cell r="E3445" t="str">
            <v>C RED</v>
          </cell>
          <cell r="F3445">
            <v>2</v>
          </cell>
          <cell r="G3445" t="str">
            <v>CB300504040403</v>
          </cell>
          <cell r="H3445">
            <v>4</v>
          </cell>
          <cell r="I3445">
            <v>3</v>
          </cell>
          <cell r="J3445">
            <v>2</v>
          </cell>
          <cell r="K3445">
            <v>3</v>
          </cell>
        </row>
        <row r="3446">
          <cell r="A3446" t="str">
            <v>M2</v>
          </cell>
          <cell r="B3446" t="str">
            <v>A5C</v>
          </cell>
          <cell r="C3446" t="str">
            <v>P</v>
          </cell>
          <cell r="D3446" t="str">
            <v>23146</v>
          </cell>
          <cell r="E3446" t="str">
            <v>C RED</v>
          </cell>
          <cell r="F3446">
            <v>2</v>
          </cell>
          <cell r="G3446" t="str">
            <v>CB300504040403</v>
          </cell>
          <cell r="H3446">
            <v>4</v>
          </cell>
          <cell r="I3446">
            <v>3</v>
          </cell>
          <cell r="J3446">
            <v>2</v>
          </cell>
          <cell r="K3446">
            <v>3</v>
          </cell>
        </row>
        <row r="3447">
          <cell r="A3447" t="str">
            <v>M2</v>
          </cell>
          <cell r="B3447" t="str">
            <v>A5C</v>
          </cell>
          <cell r="C3447" t="str">
            <v>P</v>
          </cell>
          <cell r="D3447" t="str">
            <v>23230</v>
          </cell>
          <cell r="E3447" t="str">
            <v>C RED</v>
          </cell>
          <cell r="F3447">
            <v>2</v>
          </cell>
          <cell r="G3447" t="str">
            <v>CB300504080402</v>
          </cell>
          <cell r="H3447">
            <v>4</v>
          </cell>
          <cell r="I3447">
            <v>2</v>
          </cell>
          <cell r="J3447">
            <v>2</v>
          </cell>
          <cell r="K3447">
            <v>3</v>
          </cell>
        </row>
        <row r="3448">
          <cell r="A3448" t="str">
            <v>M2</v>
          </cell>
          <cell r="B3448" t="str">
            <v>A5C</v>
          </cell>
          <cell r="C3448" t="str">
            <v>P</v>
          </cell>
          <cell r="D3448" t="str">
            <v>23252</v>
          </cell>
          <cell r="E3448" t="str">
            <v>C RED</v>
          </cell>
          <cell r="F3448">
            <v>2</v>
          </cell>
          <cell r="G3448" t="str">
            <v>CB300504080402</v>
          </cell>
          <cell r="H3448">
            <v>4</v>
          </cell>
          <cell r="I3448">
            <v>2</v>
          </cell>
          <cell r="J3448">
            <v>2</v>
          </cell>
          <cell r="K3448">
            <v>3</v>
          </cell>
        </row>
        <row r="3449">
          <cell r="A3449" t="str">
            <v>M2</v>
          </cell>
          <cell r="B3449" t="str">
            <v>A5C</v>
          </cell>
          <cell r="C3449" t="str">
            <v>P</v>
          </cell>
          <cell r="D3449" t="str">
            <v>24013</v>
          </cell>
          <cell r="E3449" t="str">
            <v>C RED</v>
          </cell>
          <cell r="F3449">
            <v>2</v>
          </cell>
          <cell r="G3449" t="str">
            <v>CB300504080402</v>
          </cell>
          <cell r="H3449">
            <v>4</v>
          </cell>
          <cell r="I3449">
            <v>2</v>
          </cell>
          <cell r="J3449">
            <v>2</v>
          </cell>
          <cell r="K3449">
            <v>3</v>
          </cell>
        </row>
        <row r="3450">
          <cell r="A3450" t="str">
            <v>M2</v>
          </cell>
          <cell r="B3450" t="str">
            <v>A5C</v>
          </cell>
          <cell r="C3450" t="str">
            <v>P</v>
          </cell>
          <cell r="D3450" t="str">
            <v>23035</v>
          </cell>
          <cell r="E3450" t="str">
            <v>E RED</v>
          </cell>
          <cell r="F3450">
            <v>2</v>
          </cell>
          <cell r="G3450" t="str">
            <v>CB300604080402</v>
          </cell>
          <cell r="H3450">
            <v>4</v>
          </cell>
          <cell r="I3450">
            <v>2</v>
          </cell>
          <cell r="J3450">
            <v>2</v>
          </cell>
          <cell r="K3450">
            <v>3</v>
          </cell>
        </row>
        <row r="3451">
          <cell r="A3451" t="str">
            <v>M2</v>
          </cell>
          <cell r="B3451" t="str">
            <v>A5C</v>
          </cell>
          <cell r="C3451" t="str">
            <v>P</v>
          </cell>
          <cell r="D3451" t="str">
            <v>23121</v>
          </cell>
          <cell r="E3451" t="str">
            <v>E RED</v>
          </cell>
          <cell r="F3451">
            <v>2</v>
          </cell>
          <cell r="G3451" t="str">
            <v>CB300604040403</v>
          </cell>
          <cell r="H3451">
            <v>4</v>
          </cell>
          <cell r="I3451">
            <v>3</v>
          </cell>
          <cell r="J3451">
            <v>2</v>
          </cell>
          <cell r="K3451">
            <v>3</v>
          </cell>
        </row>
        <row r="3452">
          <cell r="A3452" t="str">
            <v>M2</v>
          </cell>
          <cell r="B3452" t="str">
            <v>A5C</v>
          </cell>
          <cell r="C3452" t="str">
            <v>P</v>
          </cell>
          <cell r="D3452" t="str">
            <v>23188</v>
          </cell>
          <cell r="E3452" t="str">
            <v>E RED</v>
          </cell>
          <cell r="F3452">
            <v>2</v>
          </cell>
          <cell r="G3452" t="str">
            <v>CB300604080402</v>
          </cell>
          <cell r="H3452">
            <v>4</v>
          </cell>
          <cell r="I3452">
            <v>2</v>
          </cell>
          <cell r="J3452">
            <v>2</v>
          </cell>
          <cell r="K3452">
            <v>3</v>
          </cell>
        </row>
        <row r="3453">
          <cell r="A3453" t="str">
            <v>M2</v>
          </cell>
          <cell r="B3453" t="str">
            <v>A5C</v>
          </cell>
          <cell r="C3453" t="str">
            <v>P</v>
          </cell>
          <cell r="D3453" t="str">
            <v>23174</v>
          </cell>
          <cell r="E3453" t="str">
            <v>E RED</v>
          </cell>
          <cell r="F3453">
            <v>2</v>
          </cell>
          <cell r="G3453" t="str">
            <v>CB300604040403</v>
          </cell>
          <cell r="H3453">
            <v>4</v>
          </cell>
          <cell r="I3453">
            <v>3</v>
          </cell>
          <cell r="J3453">
            <v>2</v>
          </cell>
          <cell r="K3453">
            <v>3</v>
          </cell>
        </row>
        <row r="3454">
          <cell r="A3454" t="str">
            <v>M2</v>
          </cell>
          <cell r="B3454" t="str">
            <v>A5C</v>
          </cell>
          <cell r="C3454" t="str">
            <v>P</v>
          </cell>
          <cell r="D3454" t="str">
            <v>23012</v>
          </cell>
          <cell r="E3454" t="str">
            <v>SOL</v>
          </cell>
          <cell r="F3454">
            <v>2</v>
          </cell>
          <cell r="G3454" t="str">
            <v>CB39020000040T</v>
          </cell>
          <cell r="H3454">
            <v>4</v>
          </cell>
          <cell r="I3454">
            <v>0.75</v>
          </cell>
          <cell r="J3454">
            <v>2</v>
          </cell>
          <cell r="K3454">
            <v>3</v>
          </cell>
        </row>
        <row r="3455">
          <cell r="A3455" t="str">
            <v>M2</v>
          </cell>
          <cell r="B3455" t="str">
            <v>A5C</v>
          </cell>
          <cell r="C3455" t="str">
            <v>P</v>
          </cell>
          <cell r="D3455" t="str">
            <v>23058</v>
          </cell>
          <cell r="E3455" t="str">
            <v>SOL</v>
          </cell>
          <cell r="F3455">
            <v>2</v>
          </cell>
          <cell r="G3455" t="str">
            <v>CB39020000040T</v>
          </cell>
          <cell r="H3455">
            <v>4</v>
          </cell>
          <cell r="I3455">
            <v>0.75</v>
          </cell>
          <cell r="J3455">
            <v>2</v>
          </cell>
          <cell r="K3455">
            <v>3</v>
          </cell>
        </row>
        <row r="3456">
          <cell r="A3456" t="str">
            <v>M2</v>
          </cell>
          <cell r="B3456" t="str">
            <v>A5C</v>
          </cell>
          <cell r="C3456" t="str">
            <v>P</v>
          </cell>
          <cell r="D3456" t="str">
            <v>23068</v>
          </cell>
          <cell r="E3456" t="str">
            <v>SOL</v>
          </cell>
          <cell r="F3456">
            <v>2</v>
          </cell>
          <cell r="G3456" t="str">
            <v>CB39020000040T</v>
          </cell>
          <cell r="H3456">
            <v>4</v>
          </cell>
          <cell r="I3456">
            <v>0.75</v>
          </cell>
          <cell r="J3456">
            <v>2</v>
          </cell>
          <cell r="K3456">
            <v>3</v>
          </cell>
        </row>
        <row r="3457">
          <cell r="A3457" t="str">
            <v>M2</v>
          </cell>
          <cell r="B3457" t="str">
            <v>A5C</v>
          </cell>
          <cell r="C3457" t="str">
            <v>P</v>
          </cell>
          <cell r="D3457" t="str">
            <v>23095</v>
          </cell>
          <cell r="E3457" t="str">
            <v>SOL</v>
          </cell>
          <cell r="F3457">
            <v>2</v>
          </cell>
          <cell r="G3457" t="str">
            <v>CB390200000401</v>
          </cell>
          <cell r="H3457">
            <v>4</v>
          </cell>
          <cell r="I3457">
            <v>1</v>
          </cell>
          <cell r="J3457">
            <v>1</v>
          </cell>
          <cell r="K3457">
            <v>2</v>
          </cell>
        </row>
        <row r="3458">
          <cell r="A3458" t="str">
            <v>M2</v>
          </cell>
          <cell r="B3458" t="str">
            <v>A5C</v>
          </cell>
          <cell r="C3458" t="str">
            <v>P</v>
          </cell>
          <cell r="D3458" t="str">
            <v>23110</v>
          </cell>
          <cell r="E3458" t="str">
            <v>SOL</v>
          </cell>
          <cell r="F3458">
            <v>2</v>
          </cell>
          <cell r="G3458" t="str">
            <v>CB390200000401</v>
          </cell>
          <cell r="H3458">
            <v>4</v>
          </cell>
          <cell r="I3458">
            <v>1</v>
          </cell>
          <cell r="J3458">
            <v>1</v>
          </cell>
          <cell r="K3458">
            <v>2</v>
          </cell>
        </row>
        <row r="3459">
          <cell r="A3459" t="str">
            <v>M2</v>
          </cell>
          <cell r="B3459" t="str">
            <v>A5C</v>
          </cell>
          <cell r="C3459" t="str">
            <v>P</v>
          </cell>
          <cell r="D3459" t="str">
            <v>23110</v>
          </cell>
          <cell r="E3459" t="str">
            <v>SOL</v>
          </cell>
          <cell r="F3459">
            <v>2</v>
          </cell>
          <cell r="G3459" t="str">
            <v>CB39020000040T</v>
          </cell>
          <cell r="H3459">
            <v>4</v>
          </cell>
          <cell r="I3459">
            <v>0.75</v>
          </cell>
          <cell r="J3459">
            <v>2</v>
          </cell>
          <cell r="K3459">
            <v>3</v>
          </cell>
        </row>
        <row r="3460">
          <cell r="A3460" t="str">
            <v>M2</v>
          </cell>
          <cell r="B3460" t="str">
            <v>A5C</v>
          </cell>
          <cell r="C3460" t="str">
            <v>P</v>
          </cell>
          <cell r="D3460" t="str">
            <v>23114</v>
          </cell>
          <cell r="E3460" t="str">
            <v>SOL</v>
          </cell>
          <cell r="F3460">
            <v>2</v>
          </cell>
          <cell r="G3460" t="str">
            <v>CB390200000401</v>
          </cell>
          <cell r="H3460">
            <v>4</v>
          </cell>
          <cell r="I3460">
            <v>1</v>
          </cell>
          <cell r="J3460">
            <v>1</v>
          </cell>
          <cell r="K3460">
            <v>2</v>
          </cell>
        </row>
        <row r="3461">
          <cell r="A3461" t="str">
            <v>M2</v>
          </cell>
          <cell r="B3461" t="str">
            <v>A5C</v>
          </cell>
          <cell r="C3461" t="str">
            <v>P</v>
          </cell>
          <cell r="D3461" t="str">
            <v>23114</v>
          </cell>
          <cell r="E3461" t="str">
            <v>SOL</v>
          </cell>
          <cell r="F3461">
            <v>2</v>
          </cell>
          <cell r="G3461" t="str">
            <v>CB39020000040T</v>
          </cell>
          <cell r="H3461">
            <v>4</v>
          </cell>
          <cell r="I3461">
            <v>0.75</v>
          </cell>
          <cell r="J3461">
            <v>2</v>
          </cell>
          <cell r="K3461">
            <v>3</v>
          </cell>
        </row>
        <row r="3462">
          <cell r="A3462" t="str">
            <v>M2</v>
          </cell>
          <cell r="B3462" t="str">
            <v>A5C</v>
          </cell>
          <cell r="C3462" t="str">
            <v>P</v>
          </cell>
          <cell r="D3462" t="str">
            <v>23121</v>
          </cell>
          <cell r="E3462" t="str">
            <v>SOL</v>
          </cell>
          <cell r="F3462">
            <v>2</v>
          </cell>
          <cell r="G3462" t="str">
            <v>CB39020000040T</v>
          </cell>
          <cell r="H3462">
            <v>4</v>
          </cell>
          <cell r="I3462">
            <v>0.75</v>
          </cell>
          <cell r="J3462">
            <v>2</v>
          </cell>
          <cell r="K3462">
            <v>3</v>
          </cell>
        </row>
        <row r="3463">
          <cell r="A3463" t="str">
            <v>M2</v>
          </cell>
          <cell r="B3463" t="str">
            <v>A5C</v>
          </cell>
          <cell r="C3463" t="str">
            <v>P</v>
          </cell>
          <cell r="D3463" t="str">
            <v>23122</v>
          </cell>
          <cell r="E3463" t="str">
            <v>SOL</v>
          </cell>
          <cell r="F3463">
            <v>2</v>
          </cell>
          <cell r="G3463" t="str">
            <v>CB390200000401</v>
          </cell>
          <cell r="H3463">
            <v>4</v>
          </cell>
          <cell r="I3463">
            <v>1</v>
          </cell>
          <cell r="J3463">
            <v>1</v>
          </cell>
          <cell r="K3463">
            <v>2</v>
          </cell>
        </row>
        <row r="3464">
          <cell r="A3464" t="str">
            <v>M2</v>
          </cell>
          <cell r="B3464" t="str">
            <v>A5C</v>
          </cell>
          <cell r="C3464" t="str">
            <v>P</v>
          </cell>
          <cell r="D3464" t="str">
            <v>23134</v>
          </cell>
          <cell r="E3464" t="str">
            <v>SOL</v>
          </cell>
          <cell r="F3464">
            <v>2</v>
          </cell>
          <cell r="G3464" t="str">
            <v>CB390200000401</v>
          </cell>
          <cell r="H3464">
            <v>4</v>
          </cell>
          <cell r="I3464">
            <v>1</v>
          </cell>
          <cell r="J3464">
            <v>1</v>
          </cell>
          <cell r="K3464">
            <v>2</v>
          </cell>
        </row>
        <row r="3465">
          <cell r="A3465" t="str">
            <v>M2</v>
          </cell>
          <cell r="B3465" t="str">
            <v>A5C</v>
          </cell>
          <cell r="C3465" t="str">
            <v>P</v>
          </cell>
          <cell r="D3465" t="str">
            <v>23146</v>
          </cell>
          <cell r="E3465" t="str">
            <v>SOL</v>
          </cell>
          <cell r="F3465">
            <v>2</v>
          </cell>
          <cell r="G3465" t="str">
            <v>CB39020000040T</v>
          </cell>
          <cell r="H3465">
            <v>4</v>
          </cell>
          <cell r="I3465">
            <v>0.75</v>
          </cell>
          <cell r="J3465">
            <v>2</v>
          </cell>
          <cell r="K3465">
            <v>3</v>
          </cell>
        </row>
        <row r="3466">
          <cell r="A3466" t="str">
            <v>M2</v>
          </cell>
          <cell r="B3466" t="str">
            <v>A5C</v>
          </cell>
          <cell r="C3466" t="str">
            <v>P</v>
          </cell>
          <cell r="D3466" t="str">
            <v>23174</v>
          </cell>
          <cell r="E3466" t="str">
            <v>SOL</v>
          </cell>
          <cell r="F3466">
            <v>2</v>
          </cell>
          <cell r="G3466" t="str">
            <v>CB39020000040T</v>
          </cell>
          <cell r="H3466">
            <v>4</v>
          </cell>
          <cell r="I3466">
            <v>0.75</v>
          </cell>
          <cell r="J3466">
            <v>4</v>
          </cell>
          <cell r="K3466">
            <v>5</v>
          </cell>
        </row>
        <row r="3467">
          <cell r="A3467" t="str">
            <v>M2</v>
          </cell>
          <cell r="B3467" t="str">
            <v>A5C</v>
          </cell>
          <cell r="C3467" t="str">
            <v>P</v>
          </cell>
          <cell r="D3467" t="str">
            <v>23228</v>
          </cell>
          <cell r="E3467" t="str">
            <v>SOL</v>
          </cell>
          <cell r="F3467">
            <v>2</v>
          </cell>
          <cell r="G3467" t="str">
            <v>CB3902000004IH</v>
          </cell>
          <cell r="H3467">
            <v>4</v>
          </cell>
          <cell r="I3467">
            <v>1.5</v>
          </cell>
          <cell r="J3467">
            <v>1</v>
          </cell>
          <cell r="K3467">
            <v>2</v>
          </cell>
        </row>
        <row r="3468">
          <cell r="A3468" t="str">
            <v>M2</v>
          </cell>
          <cell r="B3468" t="str">
            <v>A5C</v>
          </cell>
          <cell r="C3468" t="str">
            <v>P</v>
          </cell>
          <cell r="D3468" t="str">
            <v>23250</v>
          </cell>
          <cell r="E3468" t="str">
            <v>SOL</v>
          </cell>
          <cell r="F3468">
            <v>2</v>
          </cell>
          <cell r="G3468" t="str">
            <v>CB3902000004IH</v>
          </cell>
          <cell r="H3468">
            <v>4</v>
          </cell>
          <cell r="I3468">
            <v>1.5</v>
          </cell>
          <cell r="J3468">
            <v>1</v>
          </cell>
          <cell r="K3468">
            <v>2</v>
          </cell>
        </row>
        <row r="3469">
          <cell r="A3469" t="str">
            <v>M2</v>
          </cell>
          <cell r="B3469" t="str">
            <v>A5C</v>
          </cell>
          <cell r="C3469" t="str">
            <v>P</v>
          </cell>
          <cell r="D3469" t="str">
            <v>23072</v>
          </cell>
          <cell r="E3469" t="str">
            <v>SOL</v>
          </cell>
          <cell r="F3469">
            <v>2</v>
          </cell>
          <cell r="G3469" t="str">
            <v>CB39020000040T</v>
          </cell>
          <cell r="H3469">
            <v>4</v>
          </cell>
          <cell r="I3469">
            <v>0.75</v>
          </cell>
          <cell r="J3469">
            <v>2</v>
          </cell>
          <cell r="K3469">
            <v>3</v>
          </cell>
        </row>
        <row r="3470">
          <cell r="A3470" t="str">
            <v>M2</v>
          </cell>
          <cell r="B3470" t="str">
            <v>A5C</v>
          </cell>
          <cell r="C3470" t="str">
            <v>P</v>
          </cell>
          <cell r="D3470" t="str">
            <v>23072</v>
          </cell>
          <cell r="E3470" t="str">
            <v>SOL</v>
          </cell>
          <cell r="F3470">
            <v>2</v>
          </cell>
          <cell r="G3470" t="str">
            <v>CB3902000004IH</v>
          </cell>
          <cell r="H3470">
            <v>4</v>
          </cell>
          <cell r="I3470">
            <v>1.5</v>
          </cell>
          <cell r="J3470">
            <v>1</v>
          </cell>
          <cell r="K3470">
            <v>2</v>
          </cell>
        </row>
        <row r="3471">
          <cell r="A3471" t="str">
            <v>M2</v>
          </cell>
          <cell r="B3471" t="str">
            <v>A5C</v>
          </cell>
          <cell r="C3471" t="str">
            <v>P</v>
          </cell>
          <cell r="D3471" t="str">
            <v>23095</v>
          </cell>
          <cell r="E3471" t="str">
            <v>SOL</v>
          </cell>
          <cell r="F3471">
            <v>2</v>
          </cell>
          <cell r="G3471" t="str">
            <v>CB39020000040T</v>
          </cell>
          <cell r="H3471">
            <v>4</v>
          </cell>
          <cell r="I3471">
            <v>0.75</v>
          </cell>
          <cell r="J3471">
            <v>2</v>
          </cell>
          <cell r="K3471">
            <v>3</v>
          </cell>
        </row>
        <row r="3472">
          <cell r="A3472" t="str">
            <v>M2</v>
          </cell>
          <cell r="B3472" t="str">
            <v>A5C</v>
          </cell>
          <cell r="C3472" t="str">
            <v>P</v>
          </cell>
          <cell r="D3472" t="str">
            <v>23123</v>
          </cell>
          <cell r="E3472" t="str">
            <v>SOL</v>
          </cell>
          <cell r="F3472">
            <v>2</v>
          </cell>
          <cell r="G3472" t="str">
            <v>CB39020000040T</v>
          </cell>
          <cell r="H3472">
            <v>4</v>
          </cell>
          <cell r="I3472">
            <v>0.75</v>
          </cell>
          <cell r="J3472">
            <v>2</v>
          </cell>
          <cell r="K3472">
            <v>3</v>
          </cell>
        </row>
        <row r="3473">
          <cell r="A3473" t="str">
            <v>M2</v>
          </cell>
          <cell r="B3473" t="str">
            <v>A5C</v>
          </cell>
          <cell r="C3473" t="str">
            <v>P</v>
          </cell>
          <cell r="D3473" t="str">
            <v>23127</v>
          </cell>
          <cell r="E3473" t="str">
            <v>SOL</v>
          </cell>
          <cell r="F3473">
            <v>2</v>
          </cell>
          <cell r="G3473" t="str">
            <v>CB39020000040T</v>
          </cell>
          <cell r="H3473">
            <v>4</v>
          </cell>
          <cell r="I3473">
            <v>0.75</v>
          </cell>
          <cell r="J3473">
            <v>2</v>
          </cell>
          <cell r="K3473">
            <v>3</v>
          </cell>
        </row>
        <row r="3474">
          <cell r="A3474" t="str">
            <v>M2</v>
          </cell>
          <cell r="B3474" t="str">
            <v>A5C</v>
          </cell>
          <cell r="C3474" t="str">
            <v>P</v>
          </cell>
          <cell r="D3474" t="str">
            <v>23134</v>
          </cell>
          <cell r="E3474" t="str">
            <v>SOL</v>
          </cell>
          <cell r="F3474">
            <v>2</v>
          </cell>
          <cell r="G3474" t="str">
            <v>CB39020000040T</v>
          </cell>
          <cell r="H3474">
            <v>4</v>
          </cell>
          <cell r="I3474">
            <v>0.75</v>
          </cell>
          <cell r="J3474">
            <v>2</v>
          </cell>
          <cell r="K3474">
            <v>3</v>
          </cell>
        </row>
        <row r="3475">
          <cell r="A3475" t="str">
            <v>M2</v>
          </cell>
          <cell r="B3475" t="str">
            <v>A5C</v>
          </cell>
          <cell r="C3475" t="str">
            <v>P</v>
          </cell>
          <cell r="D3475" t="str">
            <v>23146</v>
          </cell>
          <cell r="E3475" t="str">
            <v>SOL</v>
          </cell>
          <cell r="F3475">
            <v>2</v>
          </cell>
          <cell r="G3475" t="str">
            <v>CB390200000401</v>
          </cell>
          <cell r="H3475">
            <v>4</v>
          </cell>
          <cell r="I3475">
            <v>1</v>
          </cell>
          <cell r="J3475">
            <v>1</v>
          </cell>
          <cell r="K3475">
            <v>2</v>
          </cell>
        </row>
        <row r="3476">
          <cell r="A3476" t="str">
            <v>M2</v>
          </cell>
          <cell r="B3476" t="str">
            <v>A5C</v>
          </cell>
          <cell r="C3476" t="str">
            <v>P</v>
          </cell>
          <cell r="D3476" t="str">
            <v>23012</v>
          </cell>
          <cell r="E3476" t="str">
            <v>TEE</v>
          </cell>
          <cell r="F3476">
            <v>2</v>
          </cell>
          <cell r="G3476" t="str">
            <v>CB300304000400</v>
          </cell>
          <cell r="H3476">
            <v>4</v>
          </cell>
          <cell r="I3476" t="str">
            <v>--</v>
          </cell>
          <cell r="J3476">
            <v>1</v>
          </cell>
          <cell r="K3476">
            <v>2</v>
          </cell>
        </row>
        <row r="3477">
          <cell r="A3477" t="str">
            <v>M2</v>
          </cell>
          <cell r="B3477" t="str">
            <v>A5C</v>
          </cell>
          <cell r="C3477" t="str">
            <v>P</v>
          </cell>
          <cell r="D3477" t="str">
            <v>23058</v>
          </cell>
          <cell r="E3477" t="str">
            <v>TEE</v>
          </cell>
          <cell r="F3477">
            <v>2</v>
          </cell>
          <cell r="G3477" t="str">
            <v>CB300304000400</v>
          </cell>
          <cell r="H3477">
            <v>4</v>
          </cell>
          <cell r="I3477" t="str">
            <v>--</v>
          </cell>
          <cell r="J3477">
            <v>1</v>
          </cell>
          <cell r="K3477">
            <v>2</v>
          </cell>
        </row>
        <row r="3478">
          <cell r="A3478" t="str">
            <v>M2</v>
          </cell>
          <cell r="B3478" t="str">
            <v>A5C</v>
          </cell>
          <cell r="C3478" t="str">
            <v>P</v>
          </cell>
          <cell r="D3478" t="str">
            <v>23068</v>
          </cell>
          <cell r="E3478" t="str">
            <v>TEE</v>
          </cell>
          <cell r="F3478">
            <v>2</v>
          </cell>
          <cell r="G3478" t="str">
            <v>CB300304000400</v>
          </cell>
          <cell r="H3478">
            <v>4</v>
          </cell>
          <cell r="I3478" t="str">
            <v>--</v>
          </cell>
          <cell r="J3478">
            <v>1</v>
          </cell>
          <cell r="K3478">
            <v>2</v>
          </cell>
        </row>
        <row r="3479">
          <cell r="A3479" t="str">
            <v>M2</v>
          </cell>
          <cell r="B3479" t="str">
            <v>A5C</v>
          </cell>
          <cell r="C3479" t="str">
            <v>P</v>
          </cell>
          <cell r="D3479" t="str">
            <v>23095</v>
          </cell>
          <cell r="E3479" t="str">
            <v>TEE</v>
          </cell>
          <cell r="F3479">
            <v>2</v>
          </cell>
          <cell r="G3479" t="str">
            <v>CB300304000400</v>
          </cell>
          <cell r="H3479">
            <v>4</v>
          </cell>
          <cell r="I3479" t="str">
            <v>--</v>
          </cell>
          <cell r="J3479">
            <v>1</v>
          </cell>
          <cell r="K3479">
            <v>2</v>
          </cell>
        </row>
        <row r="3480">
          <cell r="A3480" t="str">
            <v>M2</v>
          </cell>
          <cell r="B3480" t="str">
            <v>A5C</v>
          </cell>
          <cell r="C3480" t="str">
            <v>P</v>
          </cell>
          <cell r="D3480" t="str">
            <v>23100</v>
          </cell>
          <cell r="E3480" t="str">
            <v>TEE</v>
          </cell>
          <cell r="F3480">
            <v>2</v>
          </cell>
          <cell r="G3480" t="str">
            <v>CB300304000400</v>
          </cell>
          <cell r="H3480">
            <v>4</v>
          </cell>
          <cell r="I3480" t="str">
            <v>--</v>
          </cell>
          <cell r="J3480">
            <v>3</v>
          </cell>
          <cell r="K3480">
            <v>4</v>
          </cell>
        </row>
        <row r="3481">
          <cell r="A3481" t="str">
            <v>M2</v>
          </cell>
          <cell r="B3481" t="str">
            <v>A5C</v>
          </cell>
          <cell r="C3481" t="str">
            <v>P</v>
          </cell>
          <cell r="D3481" t="str">
            <v>23110</v>
          </cell>
          <cell r="E3481" t="str">
            <v>TEE</v>
          </cell>
          <cell r="F3481">
            <v>2</v>
          </cell>
          <cell r="G3481" t="str">
            <v>CB300304000400</v>
          </cell>
          <cell r="H3481">
            <v>4</v>
          </cell>
          <cell r="I3481" t="str">
            <v>--</v>
          </cell>
          <cell r="J3481">
            <v>1</v>
          </cell>
          <cell r="K3481">
            <v>2</v>
          </cell>
        </row>
        <row r="3482">
          <cell r="A3482" t="str">
            <v>M2</v>
          </cell>
          <cell r="B3482" t="str">
            <v>A5C</v>
          </cell>
          <cell r="C3482" t="str">
            <v>P</v>
          </cell>
          <cell r="D3482" t="str">
            <v>23114</v>
          </cell>
          <cell r="E3482" t="str">
            <v>TEE</v>
          </cell>
          <cell r="F3482">
            <v>2</v>
          </cell>
          <cell r="G3482" t="str">
            <v>CB300304000400</v>
          </cell>
          <cell r="H3482">
            <v>4</v>
          </cell>
          <cell r="I3482" t="str">
            <v>--</v>
          </cell>
          <cell r="J3482">
            <v>1</v>
          </cell>
          <cell r="K3482">
            <v>2</v>
          </cell>
        </row>
        <row r="3483">
          <cell r="A3483" t="str">
            <v>M2</v>
          </cell>
          <cell r="B3483" t="str">
            <v>A5C</v>
          </cell>
          <cell r="C3483" t="str">
            <v>P</v>
          </cell>
          <cell r="D3483" t="str">
            <v>23121</v>
          </cell>
          <cell r="E3483" t="str">
            <v>TEE</v>
          </cell>
          <cell r="F3483">
            <v>2</v>
          </cell>
          <cell r="G3483" t="str">
            <v>CB300304000400</v>
          </cell>
          <cell r="H3483">
            <v>4</v>
          </cell>
          <cell r="I3483" t="str">
            <v>--</v>
          </cell>
          <cell r="J3483">
            <v>1</v>
          </cell>
          <cell r="K3483">
            <v>2</v>
          </cell>
        </row>
        <row r="3484">
          <cell r="A3484" t="str">
            <v>M2</v>
          </cell>
          <cell r="B3484" t="str">
            <v>A5C</v>
          </cell>
          <cell r="C3484" t="str">
            <v>P</v>
          </cell>
          <cell r="D3484" t="str">
            <v>23146</v>
          </cell>
          <cell r="E3484" t="str">
            <v>TEE</v>
          </cell>
          <cell r="F3484">
            <v>2</v>
          </cell>
          <cell r="G3484" t="str">
            <v>CB300304000400</v>
          </cell>
          <cell r="H3484">
            <v>4</v>
          </cell>
          <cell r="I3484" t="str">
            <v>--</v>
          </cell>
          <cell r="J3484">
            <v>1</v>
          </cell>
          <cell r="K3484">
            <v>2</v>
          </cell>
        </row>
        <row r="3485">
          <cell r="A3485" t="str">
            <v>M2</v>
          </cell>
          <cell r="B3485" t="str">
            <v>A5C</v>
          </cell>
          <cell r="C3485" t="str">
            <v>P</v>
          </cell>
          <cell r="D3485" t="str">
            <v>23123</v>
          </cell>
          <cell r="E3485" t="str">
            <v>TEE</v>
          </cell>
          <cell r="F3485">
            <v>2</v>
          </cell>
          <cell r="G3485" t="str">
            <v>CB300304000400</v>
          </cell>
          <cell r="H3485">
            <v>4</v>
          </cell>
          <cell r="I3485" t="str">
            <v>--</v>
          </cell>
          <cell r="J3485">
            <v>1</v>
          </cell>
          <cell r="K3485">
            <v>2</v>
          </cell>
        </row>
        <row r="3486">
          <cell r="A3486" t="str">
            <v>M2</v>
          </cell>
          <cell r="B3486" t="str">
            <v>A5C</v>
          </cell>
          <cell r="C3486" t="str">
            <v>P</v>
          </cell>
          <cell r="D3486" t="str">
            <v>23127</v>
          </cell>
          <cell r="E3486" t="str">
            <v>TEE</v>
          </cell>
          <cell r="F3486">
            <v>2</v>
          </cell>
          <cell r="G3486" t="str">
            <v>CB300304000400</v>
          </cell>
          <cell r="H3486">
            <v>4</v>
          </cell>
          <cell r="I3486" t="str">
            <v>--</v>
          </cell>
          <cell r="J3486">
            <v>1</v>
          </cell>
          <cell r="K3486">
            <v>2</v>
          </cell>
        </row>
        <row r="3487">
          <cell r="A3487" t="str">
            <v>M2</v>
          </cell>
          <cell r="B3487" t="str">
            <v>A5C</v>
          </cell>
          <cell r="C3487" t="str">
            <v>P</v>
          </cell>
          <cell r="D3487" t="str">
            <v>23134</v>
          </cell>
          <cell r="E3487" t="str">
            <v>TEE</v>
          </cell>
          <cell r="F3487">
            <v>2</v>
          </cell>
          <cell r="G3487" t="str">
            <v>CB300304000400</v>
          </cell>
          <cell r="H3487">
            <v>4</v>
          </cell>
          <cell r="I3487" t="str">
            <v>--</v>
          </cell>
          <cell r="J3487">
            <v>1</v>
          </cell>
          <cell r="K3487">
            <v>2</v>
          </cell>
        </row>
        <row r="3488">
          <cell r="A3488" t="str">
            <v>M2</v>
          </cell>
          <cell r="B3488" t="str">
            <v>A5C</v>
          </cell>
          <cell r="C3488" t="str">
            <v>P</v>
          </cell>
          <cell r="D3488" t="str">
            <v>HOLD2</v>
          </cell>
          <cell r="E3488" t="str">
            <v>TOL</v>
          </cell>
          <cell r="F3488">
            <v>2</v>
          </cell>
          <cell r="G3488" t="str">
            <v>CB39030000040T</v>
          </cell>
          <cell r="H3488">
            <v>4</v>
          </cell>
          <cell r="I3488">
            <v>0.75</v>
          </cell>
          <cell r="J3488">
            <v>5</v>
          </cell>
          <cell r="K3488">
            <v>6</v>
          </cell>
        </row>
        <row r="3489">
          <cell r="A3489" t="str">
            <v>M2</v>
          </cell>
          <cell r="B3489" t="str">
            <v>A5C</v>
          </cell>
          <cell r="C3489" t="str">
            <v>P</v>
          </cell>
          <cell r="D3489" t="str">
            <v>23267</v>
          </cell>
          <cell r="E3489" t="str">
            <v>90 ELL</v>
          </cell>
          <cell r="F3489">
            <v>2</v>
          </cell>
          <cell r="G3489" t="str">
            <v>CB300104000400</v>
          </cell>
          <cell r="H3489">
            <v>4</v>
          </cell>
          <cell r="I3489" t="str">
            <v>--</v>
          </cell>
          <cell r="J3489">
            <v>4</v>
          </cell>
          <cell r="K3489">
            <v>5</v>
          </cell>
        </row>
        <row r="3490">
          <cell r="A3490" t="str">
            <v>M2</v>
          </cell>
          <cell r="B3490" t="str">
            <v>A5C</v>
          </cell>
          <cell r="C3490" t="str">
            <v>P</v>
          </cell>
          <cell r="D3490" t="str">
            <v>23024</v>
          </cell>
          <cell r="E3490" t="str">
            <v>90 ELL</v>
          </cell>
          <cell r="F3490">
            <v>2</v>
          </cell>
          <cell r="G3490" t="str">
            <v>CB300104000400</v>
          </cell>
          <cell r="H3490">
            <v>4</v>
          </cell>
          <cell r="I3490" t="str">
            <v>--</v>
          </cell>
          <cell r="J3490">
            <v>8</v>
          </cell>
          <cell r="K3490">
            <v>10</v>
          </cell>
        </row>
        <row r="3491">
          <cell r="A3491" t="str">
            <v>M2</v>
          </cell>
          <cell r="B3491" t="str">
            <v>A5C</v>
          </cell>
          <cell r="C3491" t="str">
            <v>P</v>
          </cell>
          <cell r="D3491" t="str">
            <v>23029</v>
          </cell>
          <cell r="E3491" t="str">
            <v>90 ELL</v>
          </cell>
          <cell r="F3491">
            <v>2</v>
          </cell>
          <cell r="G3491" t="str">
            <v>CB300104000400</v>
          </cell>
          <cell r="H3491">
            <v>4</v>
          </cell>
          <cell r="I3491" t="str">
            <v>--</v>
          </cell>
          <cell r="J3491">
            <v>7</v>
          </cell>
          <cell r="K3491">
            <v>9</v>
          </cell>
        </row>
        <row r="3492">
          <cell r="A3492" t="str">
            <v>M2</v>
          </cell>
          <cell r="B3492" t="str">
            <v>A5C</v>
          </cell>
          <cell r="C3492" t="str">
            <v>P</v>
          </cell>
          <cell r="D3492" t="str">
            <v>23045</v>
          </cell>
          <cell r="E3492" t="str">
            <v>90 ELL</v>
          </cell>
          <cell r="F3492">
            <v>2</v>
          </cell>
          <cell r="G3492" t="str">
            <v>CB300104000400</v>
          </cell>
          <cell r="H3492">
            <v>4</v>
          </cell>
          <cell r="I3492" t="str">
            <v>--</v>
          </cell>
          <cell r="J3492">
            <v>1</v>
          </cell>
          <cell r="K3492">
            <v>2</v>
          </cell>
        </row>
        <row r="3493">
          <cell r="A3493" t="str">
            <v>M2</v>
          </cell>
          <cell r="B3493" t="str">
            <v>A5C</v>
          </cell>
          <cell r="C3493" t="str">
            <v>P</v>
          </cell>
          <cell r="D3493" t="str">
            <v>23062</v>
          </cell>
          <cell r="E3493" t="str">
            <v>90 ELL</v>
          </cell>
          <cell r="F3493">
            <v>2</v>
          </cell>
          <cell r="G3493" t="str">
            <v>CB300104000400</v>
          </cell>
          <cell r="H3493">
            <v>4</v>
          </cell>
          <cell r="I3493" t="str">
            <v>--</v>
          </cell>
          <cell r="J3493">
            <v>8</v>
          </cell>
          <cell r="K3493">
            <v>10</v>
          </cell>
        </row>
        <row r="3494">
          <cell r="A3494" t="str">
            <v>M2</v>
          </cell>
          <cell r="B3494" t="str">
            <v>A5C</v>
          </cell>
          <cell r="C3494" t="str">
            <v>P</v>
          </cell>
          <cell r="D3494" t="str">
            <v>23024</v>
          </cell>
          <cell r="E3494" t="str">
            <v>90 ELL</v>
          </cell>
          <cell r="F3494">
            <v>2</v>
          </cell>
          <cell r="G3494" t="str">
            <v>CB300104000400</v>
          </cell>
          <cell r="H3494">
            <v>4</v>
          </cell>
          <cell r="I3494" t="str">
            <v>--</v>
          </cell>
          <cell r="J3494">
            <v>11</v>
          </cell>
          <cell r="K3494">
            <v>13</v>
          </cell>
        </row>
        <row r="3495">
          <cell r="A3495" t="str">
            <v>M2</v>
          </cell>
          <cell r="B3495" t="str">
            <v>A5C</v>
          </cell>
          <cell r="C3495" t="str">
            <v>P</v>
          </cell>
          <cell r="D3495" t="str">
            <v>23029</v>
          </cell>
          <cell r="E3495" t="str">
            <v>90 ELL</v>
          </cell>
          <cell r="F3495">
            <v>2</v>
          </cell>
          <cell r="G3495" t="str">
            <v>CB300104000400</v>
          </cell>
          <cell r="H3495">
            <v>4</v>
          </cell>
          <cell r="I3495" t="str">
            <v>--</v>
          </cell>
          <cell r="J3495">
            <v>9</v>
          </cell>
          <cell r="K3495">
            <v>11</v>
          </cell>
        </row>
        <row r="3496">
          <cell r="A3496" t="str">
            <v>M2</v>
          </cell>
          <cell r="B3496" t="str">
            <v>A5C</v>
          </cell>
          <cell r="C3496" t="str">
            <v>P</v>
          </cell>
          <cell r="D3496" t="str">
            <v>23016</v>
          </cell>
          <cell r="E3496" t="str">
            <v>C RED</v>
          </cell>
          <cell r="F3496">
            <v>2</v>
          </cell>
          <cell r="G3496" t="str">
            <v>CB300504040403</v>
          </cell>
          <cell r="H3496">
            <v>4</v>
          </cell>
          <cell r="I3496">
            <v>3</v>
          </cell>
          <cell r="J3496">
            <v>2</v>
          </cell>
          <cell r="K3496">
            <v>3</v>
          </cell>
        </row>
        <row r="3497">
          <cell r="A3497" t="str">
            <v>M2</v>
          </cell>
          <cell r="B3497" t="str">
            <v>A5C</v>
          </cell>
          <cell r="C3497" t="str">
            <v>P</v>
          </cell>
          <cell r="D3497" t="str">
            <v>23024</v>
          </cell>
          <cell r="E3497" t="str">
            <v>C RED</v>
          </cell>
          <cell r="F3497">
            <v>2</v>
          </cell>
          <cell r="G3497" t="str">
            <v>CB300504040403</v>
          </cell>
          <cell r="H3497">
            <v>4</v>
          </cell>
          <cell r="I3497">
            <v>3</v>
          </cell>
          <cell r="J3497">
            <v>2</v>
          </cell>
          <cell r="K3497">
            <v>3</v>
          </cell>
        </row>
        <row r="3498">
          <cell r="A3498" t="str">
            <v>M2</v>
          </cell>
          <cell r="B3498" t="str">
            <v>A5C</v>
          </cell>
          <cell r="C3498" t="str">
            <v>P</v>
          </cell>
          <cell r="D3498" t="str">
            <v>23029</v>
          </cell>
          <cell r="E3498" t="str">
            <v>C RED</v>
          </cell>
          <cell r="F3498">
            <v>2</v>
          </cell>
          <cell r="G3498" t="str">
            <v>CB300504040403</v>
          </cell>
          <cell r="H3498">
            <v>4</v>
          </cell>
          <cell r="I3498">
            <v>3</v>
          </cell>
          <cell r="J3498">
            <v>2</v>
          </cell>
          <cell r="K3498">
            <v>3</v>
          </cell>
        </row>
        <row r="3499">
          <cell r="A3499" t="str">
            <v>M2</v>
          </cell>
          <cell r="B3499" t="str">
            <v>A5C</v>
          </cell>
          <cell r="C3499" t="str">
            <v>P</v>
          </cell>
          <cell r="D3499" t="str">
            <v>23029</v>
          </cell>
          <cell r="E3499" t="str">
            <v>C RED</v>
          </cell>
          <cell r="F3499">
            <v>2</v>
          </cell>
          <cell r="G3499" t="str">
            <v>CB300504040403</v>
          </cell>
          <cell r="H3499">
            <v>4</v>
          </cell>
          <cell r="I3499">
            <v>3</v>
          </cell>
          <cell r="J3499">
            <v>1</v>
          </cell>
          <cell r="K3499">
            <v>2</v>
          </cell>
        </row>
        <row r="3500">
          <cell r="A3500" t="str">
            <v>M2</v>
          </cell>
          <cell r="B3500" t="str">
            <v>A5C</v>
          </cell>
          <cell r="C3500" t="str">
            <v>P</v>
          </cell>
          <cell r="D3500" t="str">
            <v>23050</v>
          </cell>
          <cell r="E3500" t="str">
            <v>C RED</v>
          </cell>
          <cell r="F3500">
            <v>2</v>
          </cell>
          <cell r="G3500" t="str">
            <v>CB300504040403</v>
          </cell>
          <cell r="H3500">
            <v>4</v>
          </cell>
          <cell r="I3500">
            <v>3</v>
          </cell>
          <cell r="J3500">
            <v>2</v>
          </cell>
          <cell r="K3500">
            <v>3</v>
          </cell>
        </row>
        <row r="3501">
          <cell r="A3501" t="str">
            <v>M2</v>
          </cell>
          <cell r="B3501" t="str">
            <v>A5C</v>
          </cell>
          <cell r="C3501" t="str">
            <v>P</v>
          </cell>
          <cell r="D3501" t="str">
            <v>23061</v>
          </cell>
          <cell r="E3501" t="str">
            <v>C RED</v>
          </cell>
          <cell r="F3501">
            <v>2</v>
          </cell>
          <cell r="G3501" t="str">
            <v>CB300504040403</v>
          </cell>
          <cell r="H3501">
            <v>4</v>
          </cell>
          <cell r="I3501">
            <v>3</v>
          </cell>
          <cell r="J3501">
            <v>2</v>
          </cell>
          <cell r="K3501">
            <v>3</v>
          </cell>
        </row>
        <row r="3502">
          <cell r="A3502" t="str">
            <v>M2</v>
          </cell>
          <cell r="B3502" t="str">
            <v>A5C</v>
          </cell>
          <cell r="C3502" t="str">
            <v>P</v>
          </cell>
          <cell r="D3502" t="str">
            <v>24016</v>
          </cell>
          <cell r="E3502" t="str">
            <v>C RED</v>
          </cell>
          <cell r="F3502">
            <v>2</v>
          </cell>
          <cell r="G3502" t="str">
            <v>CB300504080402</v>
          </cell>
          <cell r="H3502">
            <v>4</v>
          </cell>
          <cell r="I3502">
            <v>2</v>
          </cell>
          <cell r="J3502">
            <v>2</v>
          </cell>
          <cell r="K3502">
            <v>3</v>
          </cell>
        </row>
        <row r="3503">
          <cell r="A3503" t="str">
            <v>M2</v>
          </cell>
          <cell r="B3503" t="str">
            <v>A5C</v>
          </cell>
          <cell r="C3503" t="str">
            <v>P</v>
          </cell>
          <cell r="D3503" t="str">
            <v>23008</v>
          </cell>
          <cell r="E3503" t="str">
            <v>CAP</v>
          </cell>
          <cell r="F3503">
            <v>2</v>
          </cell>
          <cell r="G3503" t="str">
            <v>CB300704000400</v>
          </cell>
          <cell r="H3503">
            <v>4</v>
          </cell>
          <cell r="I3503" t="str">
            <v>--</v>
          </cell>
          <cell r="J3503">
            <v>2</v>
          </cell>
          <cell r="K3503">
            <v>3</v>
          </cell>
        </row>
        <row r="3504">
          <cell r="A3504" t="str">
            <v>M2</v>
          </cell>
          <cell r="B3504" t="str">
            <v>A5C</v>
          </cell>
          <cell r="C3504" t="str">
            <v>P</v>
          </cell>
          <cell r="D3504" t="str">
            <v>23173</v>
          </cell>
          <cell r="E3504" t="str">
            <v>CAP</v>
          </cell>
          <cell r="F3504">
            <v>2</v>
          </cell>
          <cell r="G3504" t="str">
            <v>CB300704000400</v>
          </cell>
          <cell r="H3504">
            <v>4</v>
          </cell>
          <cell r="I3504" t="str">
            <v>--</v>
          </cell>
          <cell r="J3504">
            <v>2</v>
          </cell>
          <cell r="K3504">
            <v>3</v>
          </cell>
        </row>
        <row r="3505">
          <cell r="A3505" t="str">
            <v>M2</v>
          </cell>
          <cell r="B3505" t="str">
            <v>A5C</v>
          </cell>
          <cell r="C3505" t="str">
            <v>P</v>
          </cell>
          <cell r="D3505" t="str">
            <v>23076</v>
          </cell>
          <cell r="E3505" t="str">
            <v>CAP</v>
          </cell>
          <cell r="F3505">
            <v>2</v>
          </cell>
          <cell r="G3505" t="str">
            <v>CB300704000400</v>
          </cell>
          <cell r="H3505">
            <v>4</v>
          </cell>
          <cell r="I3505" t="str">
            <v>--</v>
          </cell>
          <cell r="J3505">
            <v>2</v>
          </cell>
          <cell r="K3505">
            <v>3</v>
          </cell>
        </row>
        <row r="3506">
          <cell r="A3506" t="str">
            <v>M2</v>
          </cell>
          <cell r="B3506" t="str">
            <v>A5C</v>
          </cell>
          <cell r="C3506" t="str">
            <v>P</v>
          </cell>
          <cell r="D3506" t="str">
            <v>23170</v>
          </cell>
          <cell r="E3506" t="str">
            <v>CAP</v>
          </cell>
          <cell r="F3506">
            <v>2</v>
          </cell>
          <cell r="G3506" t="str">
            <v>CB300704000400</v>
          </cell>
          <cell r="H3506">
            <v>4</v>
          </cell>
          <cell r="I3506" t="str">
            <v>--</v>
          </cell>
          <cell r="J3506">
            <v>2</v>
          </cell>
          <cell r="K3506">
            <v>3</v>
          </cell>
        </row>
        <row r="3507">
          <cell r="A3507" t="str">
            <v>M2</v>
          </cell>
          <cell r="B3507" t="str">
            <v>A5C</v>
          </cell>
          <cell r="C3507" t="str">
            <v>P</v>
          </cell>
          <cell r="D3507" t="str">
            <v>23180</v>
          </cell>
          <cell r="E3507" t="str">
            <v>CAP</v>
          </cell>
          <cell r="F3507">
            <v>2</v>
          </cell>
          <cell r="G3507" t="str">
            <v>CB300704000400</v>
          </cell>
          <cell r="H3507">
            <v>4</v>
          </cell>
          <cell r="I3507" t="str">
            <v>--</v>
          </cell>
          <cell r="J3507">
            <v>2</v>
          </cell>
          <cell r="K3507">
            <v>3</v>
          </cell>
        </row>
        <row r="3508">
          <cell r="A3508" t="str">
            <v>M2</v>
          </cell>
          <cell r="B3508" t="str">
            <v>A5C</v>
          </cell>
          <cell r="C3508" t="str">
            <v>P</v>
          </cell>
          <cell r="D3508" t="str">
            <v>23191</v>
          </cell>
          <cell r="E3508" t="str">
            <v>CAP</v>
          </cell>
          <cell r="F3508">
            <v>2</v>
          </cell>
          <cell r="G3508" t="str">
            <v>CB300704000400</v>
          </cell>
          <cell r="H3508">
            <v>4</v>
          </cell>
          <cell r="I3508" t="str">
            <v>--</v>
          </cell>
          <cell r="J3508">
            <v>2</v>
          </cell>
          <cell r="K3508">
            <v>3</v>
          </cell>
        </row>
        <row r="3509">
          <cell r="A3509" t="str">
            <v>M2</v>
          </cell>
          <cell r="B3509" t="str">
            <v>A5C</v>
          </cell>
          <cell r="C3509" t="str">
            <v>P</v>
          </cell>
          <cell r="D3509" t="str">
            <v>23029</v>
          </cell>
          <cell r="E3509" t="str">
            <v>E RED</v>
          </cell>
          <cell r="F3509">
            <v>2</v>
          </cell>
          <cell r="G3509" t="str">
            <v>CB300604040403</v>
          </cell>
          <cell r="H3509">
            <v>4</v>
          </cell>
          <cell r="I3509">
            <v>3</v>
          </cell>
          <cell r="J3509">
            <v>2</v>
          </cell>
          <cell r="K3509">
            <v>3</v>
          </cell>
        </row>
        <row r="3510">
          <cell r="A3510" t="str">
            <v>M2</v>
          </cell>
          <cell r="B3510" t="str">
            <v>A5C</v>
          </cell>
          <cell r="C3510" t="str">
            <v>P</v>
          </cell>
          <cell r="D3510" t="str">
            <v>24018</v>
          </cell>
          <cell r="E3510" t="str">
            <v>E RED</v>
          </cell>
          <cell r="F3510">
            <v>2</v>
          </cell>
          <cell r="G3510" t="str">
            <v>CB300604080402</v>
          </cell>
          <cell r="H3510">
            <v>4</v>
          </cell>
          <cell r="I3510">
            <v>2</v>
          </cell>
          <cell r="J3510">
            <v>2</v>
          </cell>
          <cell r="K3510">
            <v>3</v>
          </cell>
        </row>
        <row r="3511">
          <cell r="A3511" t="str">
            <v>M2</v>
          </cell>
          <cell r="B3511" t="str">
            <v>A5C</v>
          </cell>
          <cell r="C3511" t="str">
            <v>P</v>
          </cell>
          <cell r="D3511" t="str">
            <v>23024</v>
          </cell>
          <cell r="E3511" t="str">
            <v>E RED</v>
          </cell>
          <cell r="F3511">
            <v>2</v>
          </cell>
          <cell r="G3511" t="str">
            <v>CB300604040403</v>
          </cell>
          <cell r="H3511">
            <v>4</v>
          </cell>
          <cell r="I3511">
            <v>3</v>
          </cell>
          <cell r="J3511">
            <v>2</v>
          </cell>
          <cell r="K3511">
            <v>3</v>
          </cell>
        </row>
        <row r="3512">
          <cell r="A3512" t="str">
            <v>M2</v>
          </cell>
          <cell r="B3512" t="str">
            <v>A5C</v>
          </cell>
          <cell r="C3512" t="str">
            <v>P</v>
          </cell>
          <cell r="D3512" t="str">
            <v>23062</v>
          </cell>
          <cell r="E3512" t="str">
            <v>E RED</v>
          </cell>
          <cell r="F3512">
            <v>2</v>
          </cell>
          <cell r="G3512" t="str">
            <v>CB300604040403</v>
          </cell>
          <cell r="H3512">
            <v>4</v>
          </cell>
          <cell r="I3512">
            <v>3</v>
          </cell>
          <cell r="J3512">
            <v>2</v>
          </cell>
          <cell r="K3512">
            <v>3</v>
          </cell>
        </row>
        <row r="3513">
          <cell r="A3513" t="str">
            <v>M2</v>
          </cell>
          <cell r="B3513" t="str">
            <v>A5C</v>
          </cell>
          <cell r="C3513" t="str">
            <v>P</v>
          </cell>
          <cell r="D3513" t="str">
            <v>23008</v>
          </cell>
          <cell r="E3513" t="str">
            <v>SOL</v>
          </cell>
          <cell r="F3513">
            <v>2</v>
          </cell>
          <cell r="G3513" t="str">
            <v>CB3902000004IH</v>
          </cell>
          <cell r="H3513">
            <v>4</v>
          </cell>
          <cell r="I3513">
            <v>1.5</v>
          </cell>
          <cell r="J3513">
            <v>2</v>
          </cell>
          <cell r="K3513">
            <v>3</v>
          </cell>
        </row>
        <row r="3514">
          <cell r="A3514" t="str">
            <v>M2</v>
          </cell>
          <cell r="B3514" t="str">
            <v>A5C</v>
          </cell>
          <cell r="C3514" t="str">
            <v>P</v>
          </cell>
          <cell r="D3514" t="str">
            <v>23024</v>
          </cell>
          <cell r="E3514" t="str">
            <v>SOL</v>
          </cell>
          <cell r="F3514">
            <v>2</v>
          </cell>
          <cell r="G3514" t="str">
            <v>CB39020000040T</v>
          </cell>
          <cell r="H3514">
            <v>4</v>
          </cell>
          <cell r="I3514">
            <v>0.75</v>
          </cell>
          <cell r="J3514">
            <v>4</v>
          </cell>
          <cell r="K3514">
            <v>5</v>
          </cell>
        </row>
        <row r="3515">
          <cell r="A3515" t="str">
            <v>M2</v>
          </cell>
          <cell r="B3515" t="str">
            <v>A5C</v>
          </cell>
          <cell r="C3515" t="str">
            <v>P</v>
          </cell>
          <cell r="D3515" t="str">
            <v>23024</v>
          </cell>
          <cell r="E3515" t="str">
            <v>SOL</v>
          </cell>
          <cell r="F3515">
            <v>2</v>
          </cell>
          <cell r="G3515" t="str">
            <v>CB39020000040T</v>
          </cell>
          <cell r="H3515">
            <v>4</v>
          </cell>
          <cell r="I3515">
            <v>0.75</v>
          </cell>
          <cell r="J3515">
            <v>1</v>
          </cell>
          <cell r="K3515">
            <v>2</v>
          </cell>
        </row>
        <row r="3516">
          <cell r="A3516" t="str">
            <v>M2</v>
          </cell>
          <cell r="B3516" t="str">
            <v>A5C</v>
          </cell>
          <cell r="C3516" t="str">
            <v>P</v>
          </cell>
          <cell r="D3516" t="str">
            <v>23029</v>
          </cell>
          <cell r="E3516" t="str">
            <v>SOL</v>
          </cell>
          <cell r="F3516">
            <v>2</v>
          </cell>
          <cell r="G3516" t="str">
            <v>CB39020000040T</v>
          </cell>
          <cell r="H3516">
            <v>4</v>
          </cell>
          <cell r="I3516">
            <v>0.75</v>
          </cell>
          <cell r="J3516">
            <v>5</v>
          </cell>
          <cell r="K3516">
            <v>6</v>
          </cell>
        </row>
        <row r="3517">
          <cell r="A3517" t="str">
            <v>M2</v>
          </cell>
          <cell r="B3517" t="str">
            <v>A5C</v>
          </cell>
          <cell r="C3517" t="str">
            <v>P</v>
          </cell>
          <cell r="D3517" t="str">
            <v>23045</v>
          </cell>
          <cell r="E3517" t="str">
            <v>SOL</v>
          </cell>
          <cell r="F3517">
            <v>2</v>
          </cell>
          <cell r="G3517" t="str">
            <v>CB3902000004IH</v>
          </cell>
          <cell r="H3517">
            <v>4</v>
          </cell>
          <cell r="I3517">
            <v>1.5</v>
          </cell>
          <cell r="J3517">
            <v>1</v>
          </cell>
          <cell r="K3517">
            <v>2</v>
          </cell>
        </row>
        <row r="3518">
          <cell r="A3518" t="str">
            <v>M2</v>
          </cell>
          <cell r="B3518" t="str">
            <v>A5C</v>
          </cell>
          <cell r="C3518" t="str">
            <v>P</v>
          </cell>
          <cell r="D3518" t="str">
            <v>23076</v>
          </cell>
          <cell r="E3518" t="str">
            <v>SOL</v>
          </cell>
          <cell r="F3518">
            <v>2</v>
          </cell>
          <cell r="G3518" t="str">
            <v>CB3902000004IH</v>
          </cell>
          <cell r="H3518">
            <v>4</v>
          </cell>
          <cell r="I3518">
            <v>1.5</v>
          </cell>
          <cell r="J3518">
            <v>2</v>
          </cell>
          <cell r="K3518">
            <v>3</v>
          </cell>
        </row>
        <row r="3519">
          <cell r="A3519" t="str">
            <v>M2</v>
          </cell>
          <cell r="B3519" t="str">
            <v>A5C</v>
          </cell>
          <cell r="C3519" t="str">
            <v>P</v>
          </cell>
          <cell r="D3519" t="str">
            <v>23170</v>
          </cell>
          <cell r="E3519" t="str">
            <v>SOL</v>
          </cell>
          <cell r="F3519">
            <v>2</v>
          </cell>
          <cell r="G3519" t="str">
            <v>CB3902000004IH</v>
          </cell>
          <cell r="H3519">
            <v>4</v>
          </cell>
          <cell r="I3519">
            <v>1.5</v>
          </cell>
          <cell r="J3519">
            <v>2</v>
          </cell>
          <cell r="K3519">
            <v>3</v>
          </cell>
        </row>
        <row r="3520">
          <cell r="A3520" t="str">
            <v>M2</v>
          </cell>
          <cell r="B3520" t="str">
            <v>A5C</v>
          </cell>
          <cell r="C3520" t="str">
            <v>P</v>
          </cell>
          <cell r="D3520" t="str">
            <v>23173</v>
          </cell>
          <cell r="E3520" t="str">
            <v>SOL</v>
          </cell>
          <cell r="F3520">
            <v>2</v>
          </cell>
          <cell r="G3520" t="str">
            <v>CB3902000004IH</v>
          </cell>
          <cell r="H3520">
            <v>4</v>
          </cell>
          <cell r="I3520">
            <v>1.5</v>
          </cell>
          <cell r="J3520">
            <v>1</v>
          </cell>
          <cell r="K3520">
            <v>2</v>
          </cell>
        </row>
        <row r="3521">
          <cell r="A3521" t="str">
            <v>M2</v>
          </cell>
          <cell r="B3521" t="str">
            <v>A5C</v>
          </cell>
          <cell r="C3521" t="str">
            <v>P</v>
          </cell>
          <cell r="D3521" t="str">
            <v>23173</v>
          </cell>
          <cell r="E3521" t="str">
            <v>SOL</v>
          </cell>
          <cell r="F3521">
            <v>2</v>
          </cell>
          <cell r="G3521" t="str">
            <v>CB39020000040T</v>
          </cell>
          <cell r="H3521">
            <v>4</v>
          </cell>
          <cell r="I3521">
            <v>0.75</v>
          </cell>
          <cell r="J3521">
            <v>2</v>
          </cell>
          <cell r="K3521">
            <v>3</v>
          </cell>
        </row>
        <row r="3522">
          <cell r="A3522" t="str">
            <v>M2</v>
          </cell>
          <cell r="B3522" t="str">
            <v>A5C</v>
          </cell>
          <cell r="C3522" t="str">
            <v>P</v>
          </cell>
          <cell r="D3522" t="str">
            <v>23180</v>
          </cell>
          <cell r="E3522" t="str">
            <v>SOL</v>
          </cell>
          <cell r="F3522">
            <v>2</v>
          </cell>
          <cell r="G3522" t="str">
            <v>CB39020000040T</v>
          </cell>
          <cell r="H3522">
            <v>4</v>
          </cell>
          <cell r="I3522">
            <v>0.75</v>
          </cell>
          <cell r="J3522">
            <v>2</v>
          </cell>
          <cell r="K3522">
            <v>3</v>
          </cell>
        </row>
        <row r="3523">
          <cell r="A3523" t="str">
            <v>M2</v>
          </cell>
          <cell r="B3523" t="str">
            <v>A5C</v>
          </cell>
          <cell r="C3523" t="str">
            <v>P</v>
          </cell>
          <cell r="D3523" t="str">
            <v>23029</v>
          </cell>
          <cell r="E3523" t="str">
            <v>SOL</v>
          </cell>
          <cell r="F3523">
            <v>2</v>
          </cell>
          <cell r="G3523" t="str">
            <v>CB39020000040T</v>
          </cell>
          <cell r="H3523">
            <v>4</v>
          </cell>
          <cell r="I3523">
            <v>0.75</v>
          </cell>
          <cell r="J3523">
            <v>1</v>
          </cell>
          <cell r="K3523">
            <v>2</v>
          </cell>
        </row>
        <row r="3524">
          <cell r="A3524" t="str">
            <v>M2</v>
          </cell>
          <cell r="B3524" t="str">
            <v>A5C</v>
          </cell>
          <cell r="C3524" t="str">
            <v>P</v>
          </cell>
          <cell r="D3524" t="str">
            <v>23191</v>
          </cell>
          <cell r="E3524" t="str">
            <v>SOL</v>
          </cell>
          <cell r="F3524">
            <v>2</v>
          </cell>
          <cell r="G3524" t="str">
            <v>CB39020000040T</v>
          </cell>
          <cell r="H3524">
            <v>4</v>
          </cell>
          <cell r="I3524">
            <v>0.75</v>
          </cell>
          <cell r="J3524">
            <v>2</v>
          </cell>
          <cell r="K3524">
            <v>3</v>
          </cell>
        </row>
        <row r="3525">
          <cell r="A3525" t="str">
            <v>M2</v>
          </cell>
          <cell r="B3525" t="str">
            <v>A5C</v>
          </cell>
          <cell r="C3525" t="str">
            <v>P</v>
          </cell>
          <cell r="D3525" t="str">
            <v>23024</v>
          </cell>
          <cell r="E3525" t="str">
            <v>TEE</v>
          </cell>
          <cell r="F3525">
            <v>2</v>
          </cell>
          <cell r="G3525" t="str">
            <v>CB300304000400</v>
          </cell>
          <cell r="H3525">
            <v>4</v>
          </cell>
          <cell r="I3525" t="str">
            <v>--</v>
          </cell>
          <cell r="J3525">
            <v>1</v>
          </cell>
          <cell r="K3525">
            <v>2</v>
          </cell>
        </row>
        <row r="3526">
          <cell r="A3526" t="str">
            <v>M2</v>
          </cell>
          <cell r="B3526" t="str">
            <v>A5C</v>
          </cell>
          <cell r="C3526" t="str">
            <v>P</v>
          </cell>
          <cell r="D3526" t="str">
            <v>23029</v>
          </cell>
          <cell r="E3526" t="str">
            <v>TEE</v>
          </cell>
          <cell r="F3526">
            <v>2</v>
          </cell>
          <cell r="G3526" t="str">
            <v>CB300304000400</v>
          </cell>
          <cell r="H3526">
            <v>4</v>
          </cell>
          <cell r="I3526" t="str">
            <v>--</v>
          </cell>
          <cell r="J3526">
            <v>1</v>
          </cell>
          <cell r="K3526">
            <v>2</v>
          </cell>
        </row>
        <row r="3527">
          <cell r="A3527" t="str">
            <v>M2</v>
          </cell>
          <cell r="B3527" t="str">
            <v>A5C</v>
          </cell>
          <cell r="C3527" t="str">
            <v>P</v>
          </cell>
          <cell r="D3527" t="str">
            <v>23029</v>
          </cell>
          <cell r="E3527" t="str">
            <v>TEE</v>
          </cell>
          <cell r="F3527">
            <v>2</v>
          </cell>
          <cell r="G3527" t="str">
            <v>CB300304000400</v>
          </cell>
          <cell r="H3527">
            <v>4</v>
          </cell>
          <cell r="I3527" t="str">
            <v>--</v>
          </cell>
          <cell r="J3527">
            <v>1</v>
          </cell>
          <cell r="K3527">
            <v>2</v>
          </cell>
        </row>
        <row r="3528">
          <cell r="A3528" t="str">
            <v>M2</v>
          </cell>
          <cell r="B3528" t="str">
            <v>A5C</v>
          </cell>
          <cell r="C3528" t="str">
            <v>P</v>
          </cell>
          <cell r="D3528" t="str">
            <v>23062</v>
          </cell>
          <cell r="E3528" t="str">
            <v>TEE</v>
          </cell>
          <cell r="F3528">
            <v>2</v>
          </cell>
          <cell r="G3528" t="str">
            <v>CB300304000400</v>
          </cell>
          <cell r="H3528">
            <v>4</v>
          </cell>
          <cell r="I3528" t="str">
            <v>--</v>
          </cell>
          <cell r="J3528">
            <v>1</v>
          </cell>
          <cell r="K3528">
            <v>2</v>
          </cell>
        </row>
        <row r="3529">
          <cell r="A3529" t="str">
            <v>M2</v>
          </cell>
          <cell r="B3529" t="str">
            <v>A5C</v>
          </cell>
          <cell r="C3529" t="str">
            <v>P</v>
          </cell>
          <cell r="D3529" t="str">
            <v>23084</v>
          </cell>
          <cell r="E3529" t="str">
            <v>90 ELL</v>
          </cell>
          <cell r="F3529">
            <v>2</v>
          </cell>
          <cell r="G3529" t="str">
            <v>CB300104000600</v>
          </cell>
          <cell r="H3529">
            <v>6</v>
          </cell>
          <cell r="I3529" t="str">
            <v>--</v>
          </cell>
          <cell r="J3529">
            <v>2</v>
          </cell>
          <cell r="K3529">
            <v>3</v>
          </cell>
        </row>
        <row r="3530">
          <cell r="A3530" t="str">
            <v>M2</v>
          </cell>
          <cell r="B3530" t="str">
            <v>A5C</v>
          </cell>
          <cell r="C3530" t="str">
            <v>P</v>
          </cell>
          <cell r="D3530" t="str">
            <v>23097</v>
          </cell>
          <cell r="E3530" t="str">
            <v>90 ELL</v>
          </cell>
          <cell r="F3530">
            <v>2</v>
          </cell>
          <cell r="G3530" t="str">
            <v>CB300104000600</v>
          </cell>
          <cell r="H3530">
            <v>6</v>
          </cell>
          <cell r="I3530" t="str">
            <v>--</v>
          </cell>
          <cell r="J3530">
            <v>3</v>
          </cell>
          <cell r="K3530">
            <v>4</v>
          </cell>
        </row>
        <row r="3531">
          <cell r="A3531" t="str">
            <v>M2</v>
          </cell>
          <cell r="B3531" t="str">
            <v>A5C</v>
          </cell>
          <cell r="C3531" t="str">
            <v>P</v>
          </cell>
          <cell r="D3531" t="str">
            <v>23136</v>
          </cell>
          <cell r="E3531" t="str">
            <v>90 ELL</v>
          </cell>
          <cell r="F3531">
            <v>2</v>
          </cell>
          <cell r="G3531" t="str">
            <v>CB300104000600</v>
          </cell>
          <cell r="H3531">
            <v>6</v>
          </cell>
          <cell r="I3531" t="str">
            <v>--</v>
          </cell>
          <cell r="J3531">
            <v>3</v>
          </cell>
          <cell r="K3531">
            <v>4</v>
          </cell>
        </row>
        <row r="3532">
          <cell r="A3532" t="str">
            <v>M2</v>
          </cell>
          <cell r="B3532" t="str">
            <v>A5C</v>
          </cell>
          <cell r="C3532" t="str">
            <v>P</v>
          </cell>
          <cell r="D3532" t="str">
            <v>23152</v>
          </cell>
          <cell r="E3532" t="str">
            <v>90 ELL</v>
          </cell>
          <cell r="F3532">
            <v>2</v>
          </cell>
          <cell r="G3532" t="str">
            <v>CB300104000600</v>
          </cell>
          <cell r="H3532">
            <v>6</v>
          </cell>
          <cell r="I3532" t="str">
            <v>--</v>
          </cell>
          <cell r="J3532">
            <v>6</v>
          </cell>
          <cell r="K3532">
            <v>7</v>
          </cell>
        </row>
        <row r="3533">
          <cell r="A3533" t="str">
            <v>M2</v>
          </cell>
          <cell r="B3533" t="str">
            <v>A5C</v>
          </cell>
          <cell r="C3533" t="str">
            <v>P</v>
          </cell>
          <cell r="D3533" t="str">
            <v>23152</v>
          </cell>
          <cell r="E3533" t="str">
            <v>90 ELL</v>
          </cell>
          <cell r="F3533">
            <v>2</v>
          </cell>
          <cell r="G3533" t="str">
            <v>CB300104000600</v>
          </cell>
          <cell r="H3533">
            <v>6</v>
          </cell>
          <cell r="I3533" t="str">
            <v>--</v>
          </cell>
          <cell r="J3533">
            <v>5</v>
          </cell>
          <cell r="K3533">
            <v>6</v>
          </cell>
        </row>
        <row r="3534">
          <cell r="A3534" t="str">
            <v>M2</v>
          </cell>
          <cell r="B3534" t="str">
            <v>A5C</v>
          </cell>
          <cell r="C3534" t="str">
            <v>P</v>
          </cell>
          <cell r="D3534" t="str">
            <v>23181</v>
          </cell>
          <cell r="E3534" t="str">
            <v>90 ELL</v>
          </cell>
          <cell r="F3534">
            <v>2</v>
          </cell>
          <cell r="G3534" t="str">
            <v>CB300104000600</v>
          </cell>
          <cell r="H3534">
            <v>6</v>
          </cell>
          <cell r="I3534" t="str">
            <v>--</v>
          </cell>
          <cell r="J3534">
            <v>6</v>
          </cell>
          <cell r="K3534">
            <v>7</v>
          </cell>
        </row>
        <row r="3535">
          <cell r="A3535" t="str">
            <v>M2</v>
          </cell>
          <cell r="B3535" t="str">
            <v>A5C</v>
          </cell>
          <cell r="C3535" t="str">
            <v>P</v>
          </cell>
          <cell r="D3535" t="str">
            <v>23181</v>
          </cell>
          <cell r="E3535" t="str">
            <v>90 ELL</v>
          </cell>
          <cell r="F3535">
            <v>2</v>
          </cell>
          <cell r="G3535" t="str">
            <v>CB300104000600</v>
          </cell>
          <cell r="H3535">
            <v>6</v>
          </cell>
          <cell r="I3535" t="str">
            <v>--</v>
          </cell>
          <cell r="J3535">
            <v>4</v>
          </cell>
          <cell r="K3535">
            <v>5</v>
          </cell>
        </row>
        <row r="3536">
          <cell r="A3536" t="str">
            <v>M2</v>
          </cell>
          <cell r="B3536" t="str">
            <v>A5C</v>
          </cell>
          <cell r="C3536" t="str">
            <v>P</v>
          </cell>
          <cell r="D3536" t="str">
            <v>23084</v>
          </cell>
          <cell r="E3536" t="str">
            <v>C RED</v>
          </cell>
          <cell r="F3536">
            <v>2</v>
          </cell>
          <cell r="G3536" t="str">
            <v>CB300504040604</v>
          </cell>
          <cell r="H3536">
            <v>6</v>
          </cell>
          <cell r="I3536">
            <v>4</v>
          </cell>
          <cell r="J3536">
            <v>2</v>
          </cell>
          <cell r="K3536">
            <v>3</v>
          </cell>
        </row>
        <row r="3537">
          <cell r="A3537" t="str">
            <v>M2</v>
          </cell>
          <cell r="B3537" t="str">
            <v>A5C</v>
          </cell>
          <cell r="C3537" t="str">
            <v>P</v>
          </cell>
          <cell r="D3537" t="str">
            <v>23152</v>
          </cell>
          <cell r="E3537" t="str">
            <v>E RED</v>
          </cell>
          <cell r="F3537">
            <v>2</v>
          </cell>
          <cell r="G3537" t="str">
            <v>CB300604040604</v>
          </cell>
          <cell r="H3537">
            <v>6</v>
          </cell>
          <cell r="I3537">
            <v>4</v>
          </cell>
          <cell r="J3537">
            <v>2</v>
          </cell>
          <cell r="K3537">
            <v>3</v>
          </cell>
        </row>
        <row r="3538">
          <cell r="A3538" t="str">
            <v>M2</v>
          </cell>
          <cell r="B3538" t="str">
            <v>A5C</v>
          </cell>
          <cell r="C3538" t="str">
            <v>P</v>
          </cell>
          <cell r="D3538" t="str">
            <v>23181</v>
          </cell>
          <cell r="E3538" t="str">
            <v>E RED</v>
          </cell>
          <cell r="F3538">
            <v>2</v>
          </cell>
          <cell r="G3538" t="str">
            <v>CB300604040604</v>
          </cell>
          <cell r="H3538">
            <v>6</v>
          </cell>
          <cell r="I3538">
            <v>4</v>
          </cell>
          <cell r="J3538">
            <v>2</v>
          </cell>
          <cell r="K3538">
            <v>3</v>
          </cell>
        </row>
        <row r="3539">
          <cell r="A3539" t="str">
            <v>M2</v>
          </cell>
          <cell r="B3539" t="str">
            <v>A5C</v>
          </cell>
          <cell r="C3539" t="str">
            <v>P</v>
          </cell>
          <cell r="D3539" t="str">
            <v>23084</v>
          </cell>
          <cell r="E3539" t="str">
            <v>SOL</v>
          </cell>
          <cell r="F3539">
            <v>2</v>
          </cell>
          <cell r="G3539" t="str">
            <v>CB39020000060T</v>
          </cell>
          <cell r="H3539">
            <v>6</v>
          </cell>
          <cell r="I3539">
            <v>0.75</v>
          </cell>
          <cell r="J3539">
            <v>2</v>
          </cell>
          <cell r="K3539">
            <v>3</v>
          </cell>
        </row>
        <row r="3540">
          <cell r="A3540" t="str">
            <v>M2</v>
          </cell>
          <cell r="B3540" t="str">
            <v>A5C</v>
          </cell>
          <cell r="C3540" t="str">
            <v>P</v>
          </cell>
          <cell r="D3540" t="str">
            <v>23083</v>
          </cell>
          <cell r="E3540" t="str">
            <v>SOL</v>
          </cell>
          <cell r="F3540">
            <v>2</v>
          </cell>
          <cell r="G3540" t="str">
            <v>CB390200000601</v>
          </cell>
          <cell r="H3540">
            <v>6</v>
          </cell>
          <cell r="I3540">
            <v>1</v>
          </cell>
          <cell r="J3540">
            <v>2</v>
          </cell>
          <cell r="K3540">
            <v>3</v>
          </cell>
        </row>
        <row r="3541">
          <cell r="A3541" t="str">
            <v>M2</v>
          </cell>
          <cell r="B3541" t="str">
            <v>A5C</v>
          </cell>
          <cell r="C3541" t="str">
            <v>P</v>
          </cell>
          <cell r="D3541" t="str">
            <v>23097</v>
          </cell>
          <cell r="E3541" t="str">
            <v>SOL</v>
          </cell>
          <cell r="F3541">
            <v>2</v>
          </cell>
          <cell r="G3541" t="str">
            <v>CB3902000006IH</v>
          </cell>
          <cell r="H3541">
            <v>6</v>
          </cell>
          <cell r="I3541">
            <v>1.5</v>
          </cell>
          <cell r="J3541">
            <v>1</v>
          </cell>
          <cell r="K3541">
            <v>2</v>
          </cell>
        </row>
        <row r="3542">
          <cell r="A3542" t="str">
            <v>M2</v>
          </cell>
          <cell r="B3542" t="str">
            <v>A5C</v>
          </cell>
          <cell r="C3542" t="str">
            <v>P</v>
          </cell>
          <cell r="D3542" t="str">
            <v>23136</v>
          </cell>
          <cell r="E3542" t="str">
            <v>SOL</v>
          </cell>
          <cell r="F3542">
            <v>2</v>
          </cell>
          <cell r="G3542" t="str">
            <v>CB3902000006IH</v>
          </cell>
          <cell r="H3542">
            <v>6</v>
          </cell>
          <cell r="I3542">
            <v>1.5</v>
          </cell>
          <cell r="J3542">
            <v>1</v>
          </cell>
          <cell r="K3542">
            <v>2</v>
          </cell>
        </row>
        <row r="3543">
          <cell r="A3543" t="str">
            <v>M2</v>
          </cell>
          <cell r="B3543" t="str">
            <v>A5C</v>
          </cell>
          <cell r="C3543" t="str">
            <v>P</v>
          </cell>
          <cell r="D3543" t="str">
            <v>23152</v>
          </cell>
          <cell r="E3543" t="str">
            <v>SOL</v>
          </cell>
          <cell r="F3543">
            <v>2</v>
          </cell>
          <cell r="G3543" t="str">
            <v>CB39020000060T</v>
          </cell>
          <cell r="H3543">
            <v>6</v>
          </cell>
          <cell r="I3543">
            <v>0.75</v>
          </cell>
          <cell r="J3543">
            <v>4</v>
          </cell>
          <cell r="K3543">
            <v>5</v>
          </cell>
        </row>
        <row r="3544">
          <cell r="A3544" t="str">
            <v>M2</v>
          </cell>
          <cell r="B3544" t="str">
            <v>A5C</v>
          </cell>
          <cell r="C3544" t="str">
            <v>P</v>
          </cell>
          <cell r="D3544" t="str">
            <v>23181</v>
          </cell>
          <cell r="E3544" t="str">
            <v>SOL</v>
          </cell>
          <cell r="F3544">
            <v>2</v>
          </cell>
          <cell r="G3544" t="str">
            <v>CB39020000060T</v>
          </cell>
          <cell r="H3544">
            <v>6</v>
          </cell>
          <cell r="I3544">
            <v>0.75</v>
          </cell>
          <cell r="J3544">
            <v>3</v>
          </cell>
          <cell r="K3544">
            <v>4</v>
          </cell>
        </row>
        <row r="3545">
          <cell r="A3545" t="str">
            <v>M2</v>
          </cell>
          <cell r="B3545" t="str">
            <v>A5C</v>
          </cell>
          <cell r="C3545" t="str">
            <v>P</v>
          </cell>
          <cell r="D3545" t="str">
            <v>23181</v>
          </cell>
          <cell r="E3545" t="str">
            <v>SOL</v>
          </cell>
          <cell r="F3545">
            <v>2</v>
          </cell>
          <cell r="G3545" t="str">
            <v>CB39020000060T</v>
          </cell>
          <cell r="H3545">
            <v>6</v>
          </cell>
          <cell r="I3545">
            <v>0.75</v>
          </cell>
          <cell r="J3545">
            <v>1</v>
          </cell>
          <cell r="K3545">
            <v>2</v>
          </cell>
        </row>
        <row r="3546">
          <cell r="A3546" t="str">
            <v>M2</v>
          </cell>
          <cell r="B3546" t="str">
            <v>A5C</v>
          </cell>
          <cell r="C3546" t="str">
            <v>P</v>
          </cell>
          <cell r="D3546" t="str">
            <v>23084</v>
          </cell>
          <cell r="E3546" t="str">
            <v>TEE</v>
          </cell>
          <cell r="F3546">
            <v>2</v>
          </cell>
          <cell r="G3546" t="str">
            <v>CB300304000600</v>
          </cell>
          <cell r="H3546">
            <v>6</v>
          </cell>
          <cell r="I3546" t="str">
            <v>--</v>
          </cell>
          <cell r="J3546">
            <v>1</v>
          </cell>
          <cell r="K3546">
            <v>2</v>
          </cell>
        </row>
        <row r="3547">
          <cell r="A3547" t="str">
            <v>M2</v>
          </cell>
          <cell r="B3547" t="str">
            <v>A5C</v>
          </cell>
          <cell r="C3547" t="str">
            <v>P</v>
          </cell>
          <cell r="D3547" t="str">
            <v>23056</v>
          </cell>
          <cell r="E3547" t="str">
            <v>90 ELL</v>
          </cell>
          <cell r="F3547">
            <v>2</v>
          </cell>
          <cell r="G3547" t="str">
            <v>CB300104000600</v>
          </cell>
          <cell r="H3547">
            <v>6</v>
          </cell>
          <cell r="I3547" t="str">
            <v>--</v>
          </cell>
          <cell r="J3547">
            <v>1</v>
          </cell>
          <cell r="K3547">
            <v>2</v>
          </cell>
        </row>
        <row r="3548">
          <cell r="A3548" t="str">
            <v>M2</v>
          </cell>
          <cell r="B3548" t="str">
            <v>A5C</v>
          </cell>
          <cell r="C3548" t="str">
            <v>P</v>
          </cell>
          <cell r="D3548" t="str">
            <v>23075</v>
          </cell>
          <cell r="E3548" t="str">
            <v>90 ELL</v>
          </cell>
          <cell r="F3548">
            <v>2</v>
          </cell>
          <cell r="G3548" t="str">
            <v>CB300104000600</v>
          </cell>
          <cell r="H3548">
            <v>6</v>
          </cell>
          <cell r="I3548" t="str">
            <v>--</v>
          </cell>
          <cell r="J3548">
            <v>2</v>
          </cell>
          <cell r="K3548">
            <v>3</v>
          </cell>
        </row>
        <row r="3549">
          <cell r="A3549" t="str">
            <v>M2</v>
          </cell>
          <cell r="B3549" t="str">
            <v>A5C</v>
          </cell>
          <cell r="C3549" t="str">
            <v>P</v>
          </cell>
          <cell r="D3549" t="str">
            <v>23090</v>
          </cell>
          <cell r="E3549" t="str">
            <v>90 ELL</v>
          </cell>
          <cell r="F3549">
            <v>2</v>
          </cell>
          <cell r="G3549" t="str">
            <v>CB300104000600</v>
          </cell>
          <cell r="H3549">
            <v>6</v>
          </cell>
          <cell r="I3549" t="str">
            <v>--</v>
          </cell>
          <cell r="J3549">
            <v>3</v>
          </cell>
          <cell r="K3549">
            <v>4</v>
          </cell>
        </row>
        <row r="3550">
          <cell r="A3550" t="str">
            <v>M2</v>
          </cell>
          <cell r="B3550" t="str">
            <v>A5C</v>
          </cell>
          <cell r="C3550" t="str">
            <v>P</v>
          </cell>
          <cell r="D3550" t="str">
            <v>23091</v>
          </cell>
          <cell r="E3550" t="str">
            <v>90 ELL</v>
          </cell>
          <cell r="F3550">
            <v>2</v>
          </cell>
          <cell r="G3550" t="str">
            <v>CB300104000600</v>
          </cell>
          <cell r="H3550">
            <v>6</v>
          </cell>
          <cell r="I3550" t="str">
            <v>--</v>
          </cell>
          <cell r="J3550">
            <v>3</v>
          </cell>
          <cell r="K3550">
            <v>4</v>
          </cell>
        </row>
        <row r="3551">
          <cell r="A3551" t="str">
            <v>M2</v>
          </cell>
          <cell r="B3551" t="str">
            <v>A5C</v>
          </cell>
          <cell r="C3551" t="str">
            <v>P</v>
          </cell>
          <cell r="D3551" t="str">
            <v>23129</v>
          </cell>
          <cell r="E3551" t="str">
            <v>90 ELL</v>
          </cell>
          <cell r="F3551">
            <v>2</v>
          </cell>
          <cell r="G3551" t="str">
            <v>CB300104000600</v>
          </cell>
          <cell r="H3551">
            <v>6</v>
          </cell>
          <cell r="I3551" t="str">
            <v>--</v>
          </cell>
          <cell r="J3551">
            <v>3</v>
          </cell>
          <cell r="K3551">
            <v>4</v>
          </cell>
        </row>
        <row r="3552">
          <cell r="A3552" t="str">
            <v>M2</v>
          </cell>
          <cell r="B3552" t="str">
            <v>A5C</v>
          </cell>
          <cell r="C3552" t="str">
            <v>P</v>
          </cell>
          <cell r="D3552" t="str">
            <v>23130</v>
          </cell>
          <cell r="E3552" t="str">
            <v>90 ELL</v>
          </cell>
          <cell r="F3552">
            <v>2</v>
          </cell>
          <cell r="G3552" t="str">
            <v>CB300104000600</v>
          </cell>
          <cell r="H3552">
            <v>6</v>
          </cell>
          <cell r="I3552" t="str">
            <v>--</v>
          </cell>
          <cell r="J3552">
            <v>3</v>
          </cell>
          <cell r="K3552">
            <v>4</v>
          </cell>
        </row>
        <row r="3553">
          <cell r="A3553" t="str">
            <v>M2</v>
          </cell>
          <cell r="B3553" t="str">
            <v>A5C</v>
          </cell>
          <cell r="C3553" t="str">
            <v>P</v>
          </cell>
          <cell r="D3553" t="str">
            <v>23221</v>
          </cell>
          <cell r="E3553" t="str">
            <v>90 ELL</v>
          </cell>
          <cell r="F3553">
            <v>2</v>
          </cell>
          <cell r="G3553" t="str">
            <v>CB300104000600</v>
          </cell>
          <cell r="H3553">
            <v>6</v>
          </cell>
          <cell r="I3553" t="str">
            <v>--</v>
          </cell>
          <cell r="J3553">
            <v>4</v>
          </cell>
          <cell r="K3553">
            <v>5</v>
          </cell>
        </row>
        <row r="3554">
          <cell r="A3554" t="str">
            <v>M2</v>
          </cell>
          <cell r="B3554" t="str">
            <v>A5C</v>
          </cell>
          <cell r="C3554" t="str">
            <v>P</v>
          </cell>
          <cell r="D3554" t="str">
            <v>23244</v>
          </cell>
          <cell r="E3554" t="str">
            <v>90 ELL</v>
          </cell>
          <cell r="F3554">
            <v>2</v>
          </cell>
          <cell r="G3554" t="str">
            <v>CB300104000600</v>
          </cell>
          <cell r="H3554">
            <v>6</v>
          </cell>
          <cell r="I3554" t="str">
            <v>--</v>
          </cell>
          <cell r="J3554">
            <v>4</v>
          </cell>
          <cell r="K3554">
            <v>5</v>
          </cell>
        </row>
        <row r="3555">
          <cell r="A3555" t="str">
            <v>M2</v>
          </cell>
          <cell r="B3555" t="str">
            <v>A5C</v>
          </cell>
          <cell r="C3555" t="str">
            <v>P</v>
          </cell>
          <cell r="D3555" t="str">
            <v>23021</v>
          </cell>
          <cell r="E3555" t="str">
            <v>90 ELL</v>
          </cell>
          <cell r="F3555">
            <v>2</v>
          </cell>
          <cell r="G3555" t="str">
            <v>CB300104000600</v>
          </cell>
          <cell r="H3555">
            <v>6</v>
          </cell>
          <cell r="I3555" t="str">
            <v>--</v>
          </cell>
          <cell r="J3555">
            <v>5</v>
          </cell>
          <cell r="K3555">
            <v>6</v>
          </cell>
        </row>
        <row r="3556">
          <cell r="A3556" t="str">
            <v>M2</v>
          </cell>
          <cell r="B3556" t="str">
            <v>A5C</v>
          </cell>
          <cell r="C3556" t="str">
            <v>P</v>
          </cell>
          <cell r="D3556" t="str">
            <v>23025</v>
          </cell>
          <cell r="E3556" t="str">
            <v>90 ELL</v>
          </cell>
          <cell r="F3556">
            <v>2</v>
          </cell>
          <cell r="G3556" t="str">
            <v>CB300104000600</v>
          </cell>
          <cell r="H3556">
            <v>6</v>
          </cell>
          <cell r="I3556" t="str">
            <v>--</v>
          </cell>
          <cell r="J3556">
            <v>2</v>
          </cell>
          <cell r="K3556">
            <v>3</v>
          </cell>
        </row>
        <row r="3557">
          <cell r="A3557" t="str">
            <v>M2</v>
          </cell>
          <cell r="B3557" t="str">
            <v>A5C</v>
          </cell>
          <cell r="C3557" t="str">
            <v>P</v>
          </cell>
          <cell r="D3557" t="str">
            <v>23026</v>
          </cell>
          <cell r="E3557" t="str">
            <v>90 ELL</v>
          </cell>
          <cell r="F3557">
            <v>2</v>
          </cell>
          <cell r="G3557" t="str">
            <v>CB300104000600</v>
          </cell>
          <cell r="H3557">
            <v>6</v>
          </cell>
          <cell r="I3557" t="str">
            <v>--</v>
          </cell>
          <cell r="J3557">
            <v>8</v>
          </cell>
          <cell r="K3557">
            <v>10</v>
          </cell>
        </row>
        <row r="3558">
          <cell r="A3558" t="str">
            <v>M2</v>
          </cell>
          <cell r="B3558" t="str">
            <v>A5C</v>
          </cell>
          <cell r="C3558" t="str">
            <v>P</v>
          </cell>
          <cell r="D3558" t="str">
            <v>23091</v>
          </cell>
          <cell r="E3558" t="str">
            <v>C RED</v>
          </cell>
          <cell r="F3558">
            <v>2</v>
          </cell>
          <cell r="G3558" t="str">
            <v>CB300504040604</v>
          </cell>
          <cell r="H3558">
            <v>6</v>
          </cell>
          <cell r="I3558">
            <v>4</v>
          </cell>
          <cell r="J3558">
            <v>2</v>
          </cell>
          <cell r="K3558">
            <v>3</v>
          </cell>
        </row>
        <row r="3559">
          <cell r="A3559" t="str">
            <v>M2</v>
          </cell>
          <cell r="B3559" t="str">
            <v>A5C</v>
          </cell>
          <cell r="C3559" t="str">
            <v>P</v>
          </cell>
          <cell r="D3559" t="str">
            <v>23130</v>
          </cell>
          <cell r="E3559" t="str">
            <v>C RED</v>
          </cell>
          <cell r="F3559">
            <v>2</v>
          </cell>
          <cell r="G3559" t="str">
            <v>CB300504040604</v>
          </cell>
          <cell r="H3559">
            <v>6</v>
          </cell>
          <cell r="I3559">
            <v>4</v>
          </cell>
          <cell r="J3559">
            <v>2</v>
          </cell>
          <cell r="K3559">
            <v>3</v>
          </cell>
        </row>
        <row r="3560">
          <cell r="A3560" t="str">
            <v>M2</v>
          </cell>
          <cell r="B3560" t="str">
            <v>A5C</v>
          </cell>
          <cell r="C3560" t="str">
            <v>P</v>
          </cell>
          <cell r="D3560" t="str">
            <v>23026</v>
          </cell>
          <cell r="E3560" t="str">
            <v>E RED</v>
          </cell>
          <cell r="F3560">
            <v>2</v>
          </cell>
          <cell r="G3560" t="str">
            <v>CB300604040604</v>
          </cell>
          <cell r="H3560">
            <v>6</v>
          </cell>
          <cell r="I3560">
            <v>4</v>
          </cell>
          <cell r="J3560">
            <v>2</v>
          </cell>
          <cell r="K3560">
            <v>3</v>
          </cell>
        </row>
        <row r="3561">
          <cell r="A3561" t="str">
            <v>M2</v>
          </cell>
          <cell r="B3561" t="str">
            <v>A5C</v>
          </cell>
          <cell r="C3561" t="str">
            <v>P</v>
          </cell>
          <cell r="D3561" t="str">
            <v>23021</v>
          </cell>
          <cell r="E3561" t="str">
            <v>E RED</v>
          </cell>
          <cell r="F3561">
            <v>2</v>
          </cell>
          <cell r="G3561" t="str">
            <v>CB300604040604</v>
          </cell>
          <cell r="H3561">
            <v>6</v>
          </cell>
          <cell r="I3561">
            <v>4</v>
          </cell>
          <cell r="J3561">
            <v>2</v>
          </cell>
          <cell r="K3561">
            <v>3</v>
          </cell>
        </row>
        <row r="3562">
          <cell r="A3562" t="str">
            <v>M2</v>
          </cell>
          <cell r="B3562" t="str">
            <v>A5C</v>
          </cell>
          <cell r="C3562" t="str">
            <v>P</v>
          </cell>
          <cell r="D3562" t="str">
            <v>23091</v>
          </cell>
          <cell r="E3562" t="str">
            <v>SOL</v>
          </cell>
          <cell r="F3562">
            <v>2</v>
          </cell>
          <cell r="G3562" t="str">
            <v>CB3902000006IH</v>
          </cell>
          <cell r="H3562">
            <v>6</v>
          </cell>
          <cell r="I3562">
            <v>1.5</v>
          </cell>
          <cell r="J3562">
            <v>1</v>
          </cell>
          <cell r="K3562">
            <v>2</v>
          </cell>
        </row>
        <row r="3563">
          <cell r="A3563" t="str">
            <v>M2</v>
          </cell>
          <cell r="B3563" t="str">
            <v>A5C</v>
          </cell>
          <cell r="C3563" t="str">
            <v>P</v>
          </cell>
          <cell r="D3563" t="str">
            <v>23091</v>
          </cell>
          <cell r="E3563" t="str">
            <v>SOL</v>
          </cell>
          <cell r="F3563">
            <v>2</v>
          </cell>
          <cell r="G3563" t="str">
            <v>CB39020000060T</v>
          </cell>
          <cell r="H3563">
            <v>6</v>
          </cell>
          <cell r="I3563">
            <v>0.75</v>
          </cell>
          <cell r="J3563">
            <v>2</v>
          </cell>
          <cell r="K3563">
            <v>3</v>
          </cell>
        </row>
        <row r="3564">
          <cell r="A3564" t="str">
            <v>M2</v>
          </cell>
          <cell r="B3564" t="str">
            <v>A5C</v>
          </cell>
          <cell r="C3564" t="str">
            <v>P</v>
          </cell>
          <cell r="D3564" t="str">
            <v>23056</v>
          </cell>
          <cell r="E3564" t="str">
            <v>SOL</v>
          </cell>
          <cell r="F3564">
            <v>2</v>
          </cell>
          <cell r="G3564" t="str">
            <v>CB3902000006IH</v>
          </cell>
          <cell r="H3564">
            <v>6</v>
          </cell>
          <cell r="I3564">
            <v>1.5</v>
          </cell>
          <cell r="J3564">
            <v>1</v>
          </cell>
          <cell r="K3564">
            <v>2</v>
          </cell>
        </row>
        <row r="3565">
          <cell r="A3565" t="str">
            <v>M2</v>
          </cell>
          <cell r="B3565" t="str">
            <v>A5C</v>
          </cell>
          <cell r="C3565" t="str">
            <v>P</v>
          </cell>
          <cell r="D3565" t="str">
            <v>23130</v>
          </cell>
          <cell r="E3565" t="str">
            <v>SOL</v>
          </cell>
          <cell r="F3565">
            <v>2</v>
          </cell>
          <cell r="G3565" t="str">
            <v>CB3902000006IH</v>
          </cell>
          <cell r="H3565">
            <v>6</v>
          </cell>
          <cell r="I3565">
            <v>1.5</v>
          </cell>
          <cell r="J3565">
            <v>1</v>
          </cell>
          <cell r="K3565">
            <v>2</v>
          </cell>
        </row>
        <row r="3566">
          <cell r="A3566" t="str">
            <v>M2</v>
          </cell>
          <cell r="B3566" t="str">
            <v>A5C</v>
          </cell>
          <cell r="C3566" t="str">
            <v>P</v>
          </cell>
          <cell r="D3566" t="str">
            <v>23130</v>
          </cell>
          <cell r="E3566" t="str">
            <v>SOL</v>
          </cell>
          <cell r="F3566">
            <v>2</v>
          </cell>
          <cell r="G3566" t="str">
            <v>CB39020000060T</v>
          </cell>
          <cell r="H3566">
            <v>6</v>
          </cell>
          <cell r="I3566">
            <v>0.75</v>
          </cell>
          <cell r="J3566">
            <v>2</v>
          </cell>
          <cell r="K3566">
            <v>3</v>
          </cell>
        </row>
        <row r="3567">
          <cell r="A3567" t="str">
            <v>M2</v>
          </cell>
          <cell r="B3567" t="str">
            <v>A5C</v>
          </cell>
          <cell r="C3567" t="str">
            <v>P</v>
          </cell>
          <cell r="D3567" t="str">
            <v>23221</v>
          </cell>
          <cell r="E3567" t="str">
            <v>SOL</v>
          </cell>
          <cell r="F3567">
            <v>2</v>
          </cell>
          <cell r="G3567" t="str">
            <v>CB3902000006IH</v>
          </cell>
          <cell r="H3567">
            <v>6</v>
          </cell>
          <cell r="I3567">
            <v>1.5</v>
          </cell>
          <cell r="J3567">
            <v>1</v>
          </cell>
          <cell r="K3567">
            <v>2</v>
          </cell>
        </row>
        <row r="3568">
          <cell r="A3568" t="str">
            <v>M2</v>
          </cell>
          <cell r="B3568" t="str">
            <v>A5C</v>
          </cell>
          <cell r="C3568" t="str">
            <v>P</v>
          </cell>
          <cell r="D3568" t="str">
            <v>23244</v>
          </cell>
          <cell r="E3568" t="str">
            <v>SOL</v>
          </cell>
          <cell r="F3568">
            <v>2</v>
          </cell>
          <cell r="G3568" t="str">
            <v>CB3902000006IH</v>
          </cell>
          <cell r="H3568">
            <v>6</v>
          </cell>
          <cell r="I3568">
            <v>1.5</v>
          </cell>
          <cell r="J3568">
            <v>1</v>
          </cell>
          <cell r="K3568">
            <v>2</v>
          </cell>
        </row>
        <row r="3569">
          <cell r="A3569" t="str">
            <v>M2</v>
          </cell>
          <cell r="B3569" t="str">
            <v>A5C</v>
          </cell>
          <cell r="C3569" t="str">
            <v>P</v>
          </cell>
          <cell r="D3569" t="str">
            <v>23091</v>
          </cell>
          <cell r="E3569" t="str">
            <v>TEE</v>
          </cell>
          <cell r="F3569">
            <v>2</v>
          </cell>
          <cell r="G3569" t="str">
            <v>CB300304000600</v>
          </cell>
          <cell r="H3569">
            <v>6</v>
          </cell>
          <cell r="I3569" t="str">
            <v>--</v>
          </cell>
          <cell r="J3569">
            <v>2</v>
          </cell>
          <cell r="K3569">
            <v>3</v>
          </cell>
        </row>
        <row r="3570">
          <cell r="A3570" t="str">
            <v>M2</v>
          </cell>
          <cell r="B3570" t="str">
            <v>A5C</v>
          </cell>
          <cell r="C3570" t="str">
            <v>P</v>
          </cell>
          <cell r="D3570" t="str">
            <v>23130</v>
          </cell>
          <cell r="E3570" t="str">
            <v>TEE</v>
          </cell>
          <cell r="F3570">
            <v>2</v>
          </cell>
          <cell r="G3570" t="str">
            <v>CB300304000600</v>
          </cell>
          <cell r="H3570">
            <v>6</v>
          </cell>
          <cell r="I3570" t="str">
            <v>--</v>
          </cell>
          <cell r="J3570">
            <v>2</v>
          </cell>
          <cell r="K3570">
            <v>3</v>
          </cell>
        </row>
        <row r="3571">
          <cell r="A3571" t="str">
            <v>M2</v>
          </cell>
          <cell r="B3571" t="str">
            <v>A5C</v>
          </cell>
          <cell r="C3571" t="str">
            <v>P</v>
          </cell>
          <cell r="D3571" t="str">
            <v>23021</v>
          </cell>
          <cell r="E3571" t="str">
            <v>TEE</v>
          </cell>
          <cell r="F3571">
            <v>2</v>
          </cell>
          <cell r="G3571" t="str">
            <v>CB300304000600</v>
          </cell>
          <cell r="H3571">
            <v>6</v>
          </cell>
          <cell r="I3571" t="str">
            <v>--</v>
          </cell>
          <cell r="J3571">
            <v>1</v>
          </cell>
          <cell r="K3571">
            <v>2</v>
          </cell>
        </row>
        <row r="3572">
          <cell r="A3572" t="str">
            <v>M2</v>
          </cell>
          <cell r="B3572" t="str">
            <v>A5C</v>
          </cell>
          <cell r="C3572" t="str">
            <v>P</v>
          </cell>
          <cell r="D3572" t="str">
            <v>23026</v>
          </cell>
          <cell r="E3572" t="str">
            <v>TEE</v>
          </cell>
          <cell r="F3572">
            <v>2</v>
          </cell>
          <cell r="G3572" t="str">
            <v>CB300304000600</v>
          </cell>
          <cell r="H3572">
            <v>6</v>
          </cell>
          <cell r="I3572" t="str">
            <v>--</v>
          </cell>
          <cell r="J3572">
            <v>1</v>
          </cell>
          <cell r="K3572">
            <v>2</v>
          </cell>
        </row>
        <row r="3573">
          <cell r="A3573" t="str">
            <v>M2</v>
          </cell>
          <cell r="B3573" t="str">
            <v>A5C</v>
          </cell>
          <cell r="C3573" t="str">
            <v>P</v>
          </cell>
          <cell r="D3573" t="str">
            <v>23046</v>
          </cell>
          <cell r="E3573" t="str">
            <v>45 ELL</v>
          </cell>
          <cell r="F3573">
            <v>2</v>
          </cell>
          <cell r="G3573" t="str">
            <v>CB300204000800</v>
          </cell>
          <cell r="H3573">
            <v>8</v>
          </cell>
          <cell r="I3573" t="str">
            <v>--</v>
          </cell>
          <cell r="J3573">
            <v>1</v>
          </cell>
          <cell r="K3573">
            <v>2</v>
          </cell>
        </row>
        <row r="3574">
          <cell r="A3574" t="str">
            <v>M2</v>
          </cell>
          <cell r="B3574" t="str">
            <v>A5C</v>
          </cell>
          <cell r="C3574" t="str">
            <v>P</v>
          </cell>
          <cell r="D3574" t="str">
            <v>23046</v>
          </cell>
          <cell r="E3574" t="str">
            <v>90 ELL</v>
          </cell>
          <cell r="F3574">
            <v>2</v>
          </cell>
          <cell r="G3574" t="str">
            <v>CB300104000800</v>
          </cell>
          <cell r="H3574">
            <v>8</v>
          </cell>
          <cell r="I3574" t="str">
            <v>--</v>
          </cell>
          <cell r="J3574">
            <v>6</v>
          </cell>
          <cell r="K3574">
            <v>7</v>
          </cell>
        </row>
        <row r="3575">
          <cell r="A3575" t="str">
            <v>M2</v>
          </cell>
          <cell r="B3575" t="str">
            <v>A5C</v>
          </cell>
          <cell r="C3575" t="str">
            <v>P</v>
          </cell>
          <cell r="D3575" t="str">
            <v>23067</v>
          </cell>
          <cell r="E3575" t="str">
            <v>90 ELL</v>
          </cell>
          <cell r="F3575">
            <v>2</v>
          </cell>
          <cell r="G3575" t="str">
            <v>CB300104000800</v>
          </cell>
          <cell r="H3575">
            <v>8</v>
          </cell>
          <cell r="I3575" t="str">
            <v>--</v>
          </cell>
          <cell r="J3575">
            <v>5</v>
          </cell>
          <cell r="K3575">
            <v>6</v>
          </cell>
        </row>
        <row r="3576">
          <cell r="A3576" t="str">
            <v>M2</v>
          </cell>
          <cell r="B3576" t="str">
            <v>A5C</v>
          </cell>
          <cell r="C3576" t="str">
            <v>P</v>
          </cell>
          <cell r="D3576" t="str">
            <v>23126</v>
          </cell>
          <cell r="E3576" t="str">
            <v>90 ELL</v>
          </cell>
          <cell r="F3576">
            <v>2</v>
          </cell>
          <cell r="G3576" t="str">
            <v>CB300104000800</v>
          </cell>
          <cell r="H3576">
            <v>8</v>
          </cell>
          <cell r="I3576" t="str">
            <v>--</v>
          </cell>
          <cell r="J3576">
            <v>5</v>
          </cell>
          <cell r="K3576">
            <v>6</v>
          </cell>
        </row>
        <row r="3577">
          <cell r="A3577" t="str">
            <v>M2</v>
          </cell>
          <cell r="B3577" t="str">
            <v>A5C</v>
          </cell>
          <cell r="C3577" t="str">
            <v>P</v>
          </cell>
          <cell r="D3577" t="str">
            <v>23160</v>
          </cell>
          <cell r="E3577" t="str">
            <v>90 ELL</v>
          </cell>
          <cell r="F3577">
            <v>2</v>
          </cell>
          <cell r="G3577" t="str">
            <v>CB300104000800</v>
          </cell>
          <cell r="H3577">
            <v>8</v>
          </cell>
          <cell r="I3577" t="str">
            <v>--</v>
          </cell>
          <cell r="J3577">
            <v>10</v>
          </cell>
          <cell r="K3577">
            <v>12</v>
          </cell>
        </row>
        <row r="3578">
          <cell r="A3578" t="str">
            <v>M2</v>
          </cell>
          <cell r="B3578" t="str">
            <v>A5C</v>
          </cell>
          <cell r="C3578" t="str">
            <v>P</v>
          </cell>
          <cell r="D3578" t="str">
            <v>23160</v>
          </cell>
          <cell r="E3578" t="str">
            <v>E RED</v>
          </cell>
          <cell r="F3578">
            <v>2</v>
          </cell>
          <cell r="G3578" t="str">
            <v>CB300604040806</v>
          </cell>
          <cell r="H3578">
            <v>8</v>
          </cell>
          <cell r="I3578">
            <v>6</v>
          </cell>
          <cell r="J3578">
            <v>2</v>
          </cell>
          <cell r="K3578">
            <v>3</v>
          </cell>
        </row>
        <row r="3579">
          <cell r="A3579" t="str">
            <v>M2</v>
          </cell>
          <cell r="B3579" t="str">
            <v>A5C</v>
          </cell>
          <cell r="C3579" t="str">
            <v>P</v>
          </cell>
          <cell r="D3579" t="str">
            <v>23046</v>
          </cell>
          <cell r="E3579" t="str">
            <v>SOL</v>
          </cell>
          <cell r="F3579">
            <v>2</v>
          </cell>
          <cell r="G3579" t="str">
            <v>CB39020000080T</v>
          </cell>
          <cell r="H3579">
            <v>8</v>
          </cell>
          <cell r="I3579">
            <v>0.75</v>
          </cell>
          <cell r="J3579">
            <v>2</v>
          </cell>
          <cell r="K3579">
            <v>3</v>
          </cell>
        </row>
        <row r="3580">
          <cell r="A3580" t="str">
            <v>M2</v>
          </cell>
          <cell r="B3580" t="str">
            <v>A5C</v>
          </cell>
          <cell r="C3580" t="str">
            <v>P</v>
          </cell>
          <cell r="D3580" t="str">
            <v>23067</v>
          </cell>
          <cell r="E3580" t="str">
            <v>SOL</v>
          </cell>
          <cell r="F3580">
            <v>2</v>
          </cell>
          <cell r="G3580" t="str">
            <v>CB390200000801</v>
          </cell>
          <cell r="H3580">
            <v>8</v>
          </cell>
          <cell r="I3580">
            <v>1</v>
          </cell>
          <cell r="J3580">
            <v>1</v>
          </cell>
          <cell r="K3580">
            <v>2</v>
          </cell>
        </row>
        <row r="3581">
          <cell r="A3581" t="str">
            <v>M2</v>
          </cell>
          <cell r="B3581" t="str">
            <v>A5C</v>
          </cell>
          <cell r="C3581" t="str">
            <v>P</v>
          </cell>
          <cell r="D3581" t="str">
            <v>23067</v>
          </cell>
          <cell r="E3581" t="str">
            <v>SOL</v>
          </cell>
          <cell r="F3581">
            <v>2</v>
          </cell>
          <cell r="G3581" t="str">
            <v>CB3902000008IH</v>
          </cell>
          <cell r="H3581">
            <v>8</v>
          </cell>
          <cell r="I3581">
            <v>1.5</v>
          </cell>
          <cell r="J3581">
            <v>1</v>
          </cell>
          <cell r="K3581">
            <v>2</v>
          </cell>
        </row>
        <row r="3582">
          <cell r="A3582" t="str">
            <v>M2</v>
          </cell>
          <cell r="B3582" t="str">
            <v>A5C</v>
          </cell>
          <cell r="C3582" t="str">
            <v>P</v>
          </cell>
          <cell r="D3582" t="str">
            <v>23067</v>
          </cell>
          <cell r="E3582" t="str">
            <v>SOL</v>
          </cell>
          <cell r="F3582">
            <v>2</v>
          </cell>
          <cell r="G3582" t="str">
            <v>CB39020000080T</v>
          </cell>
          <cell r="H3582">
            <v>8</v>
          </cell>
          <cell r="I3582">
            <v>0.75</v>
          </cell>
          <cell r="J3582">
            <v>2</v>
          </cell>
          <cell r="K3582">
            <v>3</v>
          </cell>
        </row>
        <row r="3583">
          <cell r="A3583" t="str">
            <v>M2</v>
          </cell>
          <cell r="B3583" t="str">
            <v>A5C</v>
          </cell>
          <cell r="C3583" t="str">
            <v>P</v>
          </cell>
          <cell r="D3583" t="str">
            <v>23046</v>
          </cell>
          <cell r="E3583" t="str">
            <v>SOL</v>
          </cell>
          <cell r="F3583">
            <v>2</v>
          </cell>
          <cell r="G3583" t="str">
            <v>CB390200000801</v>
          </cell>
          <cell r="H3583">
            <v>8</v>
          </cell>
          <cell r="I3583">
            <v>1</v>
          </cell>
          <cell r="J3583">
            <v>1</v>
          </cell>
          <cell r="K3583">
            <v>2</v>
          </cell>
        </row>
        <row r="3584">
          <cell r="A3584" t="str">
            <v>M2</v>
          </cell>
          <cell r="B3584" t="str">
            <v>A5C</v>
          </cell>
          <cell r="C3584" t="str">
            <v>P</v>
          </cell>
          <cell r="D3584" t="str">
            <v>23126</v>
          </cell>
          <cell r="E3584" t="str">
            <v>SOL</v>
          </cell>
          <cell r="F3584">
            <v>2</v>
          </cell>
          <cell r="G3584" t="str">
            <v>CB3902000008IH</v>
          </cell>
          <cell r="H3584">
            <v>8</v>
          </cell>
          <cell r="I3584">
            <v>1.5</v>
          </cell>
          <cell r="J3584">
            <v>1</v>
          </cell>
          <cell r="K3584">
            <v>2</v>
          </cell>
        </row>
        <row r="3585">
          <cell r="A3585" t="str">
            <v>M2</v>
          </cell>
          <cell r="B3585" t="str">
            <v>A5C</v>
          </cell>
          <cell r="C3585" t="str">
            <v>P</v>
          </cell>
          <cell r="D3585" t="str">
            <v>23126</v>
          </cell>
          <cell r="E3585" t="str">
            <v>SOL</v>
          </cell>
          <cell r="F3585">
            <v>2</v>
          </cell>
          <cell r="G3585" t="str">
            <v>CB390200000801</v>
          </cell>
          <cell r="H3585">
            <v>8</v>
          </cell>
          <cell r="I3585">
            <v>1</v>
          </cell>
          <cell r="J3585">
            <v>1</v>
          </cell>
          <cell r="K3585">
            <v>2</v>
          </cell>
        </row>
        <row r="3586">
          <cell r="A3586" t="str">
            <v>M2</v>
          </cell>
          <cell r="B3586" t="str">
            <v>A5C</v>
          </cell>
          <cell r="C3586" t="str">
            <v>P</v>
          </cell>
          <cell r="D3586" t="str">
            <v>23126</v>
          </cell>
          <cell r="E3586" t="str">
            <v>SOL</v>
          </cell>
          <cell r="F3586">
            <v>2</v>
          </cell>
          <cell r="G3586" t="str">
            <v>CB39020000080T</v>
          </cell>
          <cell r="H3586">
            <v>8</v>
          </cell>
          <cell r="I3586">
            <v>0.75</v>
          </cell>
          <cell r="J3586">
            <v>2</v>
          </cell>
          <cell r="K3586">
            <v>3</v>
          </cell>
        </row>
        <row r="3587">
          <cell r="A3587" t="str">
            <v>M2</v>
          </cell>
          <cell r="B3587" t="str">
            <v>A5C</v>
          </cell>
          <cell r="C3587" t="str">
            <v>P</v>
          </cell>
          <cell r="D3587" t="str">
            <v>23160</v>
          </cell>
          <cell r="E3587" t="str">
            <v>SOL</v>
          </cell>
          <cell r="F3587">
            <v>2</v>
          </cell>
          <cell r="G3587" t="str">
            <v>CB39020000080T</v>
          </cell>
          <cell r="H3587">
            <v>8</v>
          </cell>
          <cell r="I3587">
            <v>0.75</v>
          </cell>
          <cell r="J3587">
            <v>3</v>
          </cell>
          <cell r="K3587">
            <v>4</v>
          </cell>
        </row>
        <row r="3588">
          <cell r="A3588" t="str">
            <v>M2</v>
          </cell>
          <cell r="B3588" t="str">
            <v>A5C</v>
          </cell>
          <cell r="C3588" t="str">
            <v>P</v>
          </cell>
          <cell r="D3588" t="str">
            <v>23093</v>
          </cell>
          <cell r="E3588" t="str">
            <v>90 ELL</v>
          </cell>
          <cell r="F3588">
            <v>2</v>
          </cell>
          <cell r="G3588" t="str">
            <v>CB300104000800</v>
          </cell>
          <cell r="H3588">
            <v>8</v>
          </cell>
          <cell r="I3588" t="str">
            <v>--</v>
          </cell>
          <cell r="J3588">
            <v>3</v>
          </cell>
          <cell r="K3588">
            <v>4</v>
          </cell>
        </row>
        <row r="3589">
          <cell r="A3589" t="str">
            <v>M2</v>
          </cell>
          <cell r="B3589" t="str">
            <v>A5C</v>
          </cell>
          <cell r="C3589" t="str">
            <v>P</v>
          </cell>
          <cell r="D3589" t="str">
            <v>23089</v>
          </cell>
          <cell r="E3589" t="str">
            <v>90 ELL</v>
          </cell>
          <cell r="F3589">
            <v>2</v>
          </cell>
          <cell r="G3589" t="str">
            <v>CB300104000800</v>
          </cell>
          <cell r="H3589">
            <v>8</v>
          </cell>
          <cell r="I3589" t="str">
            <v>--</v>
          </cell>
          <cell r="J3589">
            <v>3</v>
          </cell>
          <cell r="K3589">
            <v>4</v>
          </cell>
        </row>
        <row r="3590">
          <cell r="A3590" t="str">
            <v>M2</v>
          </cell>
          <cell r="B3590" t="str">
            <v>A5C</v>
          </cell>
          <cell r="C3590" t="str">
            <v>P</v>
          </cell>
          <cell r="D3590" t="str">
            <v>23128</v>
          </cell>
          <cell r="E3590" t="str">
            <v>90 ELL</v>
          </cell>
          <cell r="F3590">
            <v>2</v>
          </cell>
          <cell r="G3590" t="str">
            <v>CB300104000800</v>
          </cell>
          <cell r="H3590">
            <v>8</v>
          </cell>
          <cell r="I3590" t="str">
            <v>--</v>
          </cell>
          <cell r="J3590">
            <v>3</v>
          </cell>
          <cell r="K3590">
            <v>4</v>
          </cell>
        </row>
        <row r="3591">
          <cell r="A3591" t="str">
            <v>M2</v>
          </cell>
          <cell r="B3591" t="str">
            <v>A5C</v>
          </cell>
          <cell r="C3591" t="str">
            <v>P</v>
          </cell>
          <cell r="D3591" t="str">
            <v>23132</v>
          </cell>
          <cell r="E3591" t="str">
            <v>90 ELL</v>
          </cell>
          <cell r="F3591">
            <v>2</v>
          </cell>
          <cell r="G3591" t="str">
            <v>CB300104000800</v>
          </cell>
          <cell r="H3591">
            <v>8</v>
          </cell>
          <cell r="I3591" t="str">
            <v>--</v>
          </cell>
          <cell r="J3591">
            <v>3</v>
          </cell>
          <cell r="K3591">
            <v>4</v>
          </cell>
        </row>
        <row r="3592">
          <cell r="A3592" t="str">
            <v>M2</v>
          </cell>
          <cell r="B3592" t="str">
            <v>A5C</v>
          </cell>
          <cell r="C3592" t="str">
            <v>P</v>
          </cell>
          <cell r="D3592" t="str">
            <v>23089</v>
          </cell>
          <cell r="E3592" t="str">
            <v>E RED</v>
          </cell>
          <cell r="F3592">
            <v>2</v>
          </cell>
          <cell r="G3592" t="str">
            <v>CB300604040806</v>
          </cell>
          <cell r="H3592">
            <v>8</v>
          </cell>
          <cell r="I3592">
            <v>6</v>
          </cell>
          <cell r="J3592">
            <v>2</v>
          </cell>
          <cell r="K3592">
            <v>3</v>
          </cell>
        </row>
        <row r="3593">
          <cell r="A3593" t="str">
            <v>M2</v>
          </cell>
          <cell r="B3593" t="str">
            <v>A5C</v>
          </cell>
          <cell r="C3593" t="str">
            <v>P</v>
          </cell>
          <cell r="D3593" t="str">
            <v>23128</v>
          </cell>
          <cell r="E3593" t="str">
            <v>E RED</v>
          </cell>
          <cell r="F3593">
            <v>2</v>
          </cell>
          <cell r="G3593" t="str">
            <v>CB300604040806</v>
          </cell>
          <cell r="H3593">
            <v>8</v>
          </cell>
          <cell r="I3593">
            <v>6</v>
          </cell>
          <cell r="J3593">
            <v>2</v>
          </cell>
          <cell r="K3593">
            <v>3</v>
          </cell>
        </row>
        <row r="3594">
          <cell r="A3594" t="str">
            <v>M2</v>
          </cell>
          <cell r="B3594" t="str">
            <v>A5C</v>
          </cell>
          <cell r="C3594" t="str">
            <v>P</v>
          </cell>
          <cell r="D3594" t="str">
            <v>23089</v>
          </cell>
          <cell r="E3594" t="str">
            <v>SOL</v>
          </cell>
          <cell r="F3594">
            <v>2</v>
          </cell>
          <cell r="G3594" t="str">
            <v>CB39020000080T</v>
          </cell>
          <cell r="H3594">
            <v>8</v>
          </cell>
          <cell r="I3594">
            <v>0.75</v>
          </cell>
          <cell r="J3594">
            <v>2</v>
          </cell>
          <cell r="K3594">
            <v>3</v>
          </cell>
        </row>
        <row r="3595">
          <cell r="A3595" t="str">
            <v>M2</v>
          </cell>
          <cell r="B3595" t="str">
            <v>A5C</v>
          </cell>
          <cell r="C3595" t="str">
            <v>P</v>
          </cell>
          <cell r="D3595" t="str">
            <v>23089</v>
          </cell>
          <cell r="E3595" t="str">
            <v>SOL</v>
          </cell>
          <cell r="F3595">
            <v>2</v>
          </cell>
          <cell r="G3595" t="str">
            <v>CB3902000008IH</v>
          </cell>
          <cell r="H3595">
            <v>8</v>
          </cell>
          <cell r="I3595">
            <v>1.5</v>
          </cell>
          <cell r="J3595">
            <v>1</v>
          </cell>
          <cell r="K3595">
            <v>2</v>
          </cell>
        </row>
        <row r="3596">
          <cell r="A3596" t="str">
            <v>M2</v>
          </cell>
          <cell r="B3596" t="str">
            <v>A5C</v>
          </cell>
          <cell r="C3596" t="str">
            <v>P</v>
          </cell>
          <cell r="D3596" t="str">
            <v>23128</v>
          </cell>
          <cell r="E3596" t="str">
            <v>SOL</v>
          </cell>
          <cell r="F3596">
            <v>2</v>
          </cell>
          <cell r="G3596" t="str">
            <v>CB39020000080T</v>
          </cell>
          <cell r="H3596">
            <v>8</v>
          </cell>
          <cell r="I3596">
            <v>0.75</v>
          </cell>
          <cell r="J3596">
            <v>2</v>
          </cell>
          <cell r="K3596">
            <v>3</v>
          </cell>
        </row>
        <row r="3597">
          <cell r="A3597" t="str">
            <v>M2</v>
          </cell>
          <cell r="B3597" t="str">
            <v>A5C</v>
          </cell>
          <cell r="C3597" t="str">
            <v>P</v>
          </cell>
          <cell r="D3597" t="str">
            <v>23128</v>
          </cell>
          <cell r="E3597" t="str">
            <v>SOL</v>
          </cell>
          <cell r="F3597">
            <v>2</v>
          </cell>
          <cell r="G3597" t="str">
            <v>CB3902000008IH</v>
          </cell>
          <cell r="H3597">
            <v>8</v>
          </cell>
          <cell r="I3597">
            <v>1.5</v>
          </cell>
          <cell r="J3597">
            <v>1</v>
          </cell>
          <cell r="K3597">
            <v>2</v>
          </cell>
        </row>
        <row r="3598">
          <cell r="A3598" t="str">
            <v>M2</v>
          </cell>
          <cell r="B3598" t="str">
            <v>A5C</v>
          </cell>
          <cell r="C3598" t="str">
            <v>P</v>
          </cell>
          <cell r="D3598" t="str">
            <v>23089</v>
          </cell>
          <cell r="E3598" t="str">
            <v>TEE</v>
          </cell>
          <cell r="F3598">
            <v>2</v>
          </cell>
          <cell r="G3598" t="str">
            <v>CB300304000800</v>
          </cell>
          <cell r="H3598">
            <v>8</v>
          </cell>
          <cell r="I3598" t="str">
            <v>--</v>
          </cell>
          <cell r="J3598">
            <v>1</v>
          </cell>
          <cell r="K3598">
            <v>2</v>
          </cell>
        </row>
        <row r="3599">
          <cell r="A3599" t="str">
            <v>M2</v>
          </cell>
          <cell r="B3599" t="str">
            <v>A5C</v>
          </cell>
          <cell r="C3599" t="str">
            <v>P</v>
          </cell>
          <cell r="D3599" t="str">
            <v>23128</v>
          </cell>
          <cell r="E3599" t="str">
            <v>TEE</v>
          </cell>
          <cell r="F3599">
            <v>2</v>
          </cell>
          <cell r="G3599" t="str">
            <v>CB300304000800</v>
          </cell>
          <cell r="H3599">
            <v>8</v>
          </cell>
          <cell r="I3599" t="str">
            <v>--</v>
          </cell>
          <cell r="J3599">
            <v>1</v>
          </cell>
          <cell r="K3599">
            <v>2</v>
          </cell>
        </row>
        <row r="3600">
          <cell r="A3600" t="str">
            <v>M2</v>
          </cell>
          <cell r="B3600" t="str">
            <v>A5C</v>
          </cell>
          <cell r="C3600" t="str">
            <v>P</v>
          </cell>
          <cell r="D3600" t="str">
            <v>23010</v>
          </cell>
          <cell r="E3600" t="str">
            <v>90 ELL</v>
          </cell>
          <cell r="F3600">
            <v>2</v>
          </cell>
          <cell r="G3600" t="str">
            <v>CB300104000800</v>
          </cell>
          <cell r="H3600">
            <v>8</v>
          </cell>
          <cell r="I3600" t="str">
            <v>--</v>
          </cell>
          <cell r="J3600">
            <v>1</v>
          </cell>
          <cell r="K3600">
            <v>2</v>
          </cell>
        </row>
        <row r="3601">
          <cell r="A3601" t="str">
            <v>M2</v>
          </cell>
          <cell r="B3601" t="str">
            <v>A5C</v>
          </cell>
          <cell r="C3601" t="str">
            <v>P</v>
          </cell>
          <cell r="D3601" t="str">
            <v>23010</v>
          </cell>
          <cell r="E3601" t="str">
            <v>SOL</v>
          </cell>
          <cell r="F3601">
            <v>2</v>
          </cell>
          <cell r="G3601" t="str">
            <v>CB3902000008IH</v>
          </cell>
          <cell r="H3601">
            <v>8</v>
          </cell>
          <cell r="I3601">
            <v>1.5</v>
          </cell>
          <cell r="J3601">
            <v>1</v>
          </cell>
          <cell r="K3601">
            <v>2</v>
          </cell>
        </row>
        <row r="3602">
          <cell r="A3602" t="str">
            <v>M2</v>
          </cell>
          <cell r="B3602" t="str">
            <v>A5C</v>
          </cell>
          <cell r="C3602" t="str">
            <v>P</v>
          </cell>
          <cell r="D3602" t="str">
            <v>23011</v>
          </cell>
          <cell r="E3602" t="str">
            <v>90 ELL</v>
          </cell>
          <cell r="F3602">
            <v>2</v>
          </cell>
          <cell r="G3602" t="str">
            <v>CB300104001000</v>
          </cell>
          <cell r="H3602">
            <v>10</v>
          </cell>
          <cell r="I3602" t="str">
            <v>--</v>
          </cell>
          <cell r="J3602">
            <v>6</v>
          </cell>
          <cell r="K3602">
            <v>7</v>
          </cell>
        </row>
        <row r="3603">
          <cell r="A3603" t="str">
            <v>M2</v>
          </cell>
          <cell r="B3603" t="str">
            <v>A5C</v>
          </cell>
          <cell r="C3603" t="str">
            <v>P</v>
          </cell>
          <cell r="D3603" t="str">
            <v>23023</v>
          </cell>
          <cell r="E3603" t="str">
            <v>90 ELL</v>
          </cell>
          <cell r="F3603">
            <v>2</v>
          </cell>
          <cell r="G3603" t="str">
            <v>CB300104001000</v>
          </cell>
          <cell r="H3603">
            <v>10</v>
          </cell>
          <cell r="I3603" t="str">
            <v>--</v>
          </cell>
          <cell r="J3603">
            <v>3</v>
          </cell>
          <cell r="K3603">
            <v>4</v>
          </cell>
        </row>
        <row r="3604">
          <cell r="A3604" t="str">
            <v>M2</v>
          </cell>
          <cell r="B3604" t="str">
            <v>A5C</v>
          </cell>
          <cell r="C3604" t="str">
            <v>P</v>
          </cell>
          <cell r="D3604" t="str">
            <v>23057</v>
          </cell>
          <cell r="E3604" t="str">
            <v>90 ELL</v>
          </cell>
          <cell r="F3604">
            <v>2</v>
          </cell>
          <cell r="G3604" t="str">
            <v>CB300104001000</v>
          </cell>
          <cell r="H3604">
            <v>10</v>
          </cell>
          <cell r="I3604" t="str">
            <v>--</v>
          </cell>
          <cell r="J3604">
            <v>8</v>
          </cell>
          <cell r="K3604">
            <v>9</v>
          </cell>
        </row>
        <row r="3605">
          <cell r="A3605" t="str">
            <v>M2</v>
          </cell>
          <cell r="B3605" t="str">
            <v>A5C</v>
          </cell>
          <cell r="C3605" t="str">
            <v>P</v>
          </cell>
          <cell r="D3605" t="str">
            <v>23023</v>
          </cell>
          <cell r="E3605" t="str">
            <v>C RED</v>
          </cell>
          <cell r="F3605">
            <v>2</v>
          </cell>
          <cell r="G3605" t="str">
            <v>CB300504041006</v>
          </cell>
          <cell r="H3605">
            <v>10</v>
          </cell>
          <cell r="I3605">
            <v>6</v>
          </cell>
          <cell r="J3605">
            <v>2</v>
          </cell>
          <cell r="K3605">
            <v>3</v>
          </cell>
        </row>
        <row r="3606">
          <cell r="A3606" t="str">
            <v>M2</v>
          </cell>
          <cell r="B3606" t="str">
            <v>A5C</v>
          </cell>
          <cell r="C3606" t="str">
            <v>P</v>
          </cell>
          <cell r="D3606" t="str">
            <v>23011</v>
          </cell>
          <cell r="E3606" t="str">
            <v>SOL</v>
          </cell>
          <cell r="F3606">
            <v>2</v>
          </cell>
          <cell r="G3606" t="str">
            <v>CB39020000100T</v>
          </cell>
          <cell r="H3606">
            <v>10</v>
          </cell>
          <cell r="I3606">
            <v>0.75</v>
          </cell>
          <cell r="J3606">
            <v>3</v>
          </cell>
          <cell r="K3606">
            <v>4</v>
          </cell>
        </row>
        <row r="3607">
          <cell r="A3607" t="str">
            <v>M2</v>
          </cell>
          <cell r="B3607" t="str">
            <v>A5C</v>
          </cell>
          <cell r="C3607" t="str">
            <v>P</v>
          </cell>
          <cell r="D3607" t="str">
            <v>23011</v>
          </cell>
          <cell r="E3607" t="str">
            <v>SOL</v>
          </cell>
          <cell r="F3607">
            <v>2</v>
          </cell>
          <cell r="G3607" t="str">
            <v>CB390200001001</v>
          </cell>
          <cell r="H3607">
            <v>10</v>
          </cell>
          <cell r="I3607">
            <v>1</v>
          </cell>
          <cell r="J3607">
            <v>1</v>
          </cell>
          <cell r="K3607">
            <v>2</v>
          </cell>
        </row>
        <row r="3608">
          <cell r="A3608" t="str">
            <v>M2</v>
          </cell>
          <cell r="B3608" t="str">
            <v>A5C</v>
          </cell>
          <cell r="C3608" t="str">
            <v>P</v>
          </cell>
          <cell r="D3608" t="str">
            <v>23057</v>
          </cell>
          <cell r="E3608" t="str">
            <v>SOL</v>
          </cell>
          <cell r="F3608">
            <v>2</v>
          </cell>
          <cell r="G3608" t="str">
            <v>CB39020000100T</v>
          </cell>
          <cell r="H3608">
            <v>10</v>
          </cell>
          <cell r="I3608">
            <v>0.75</v>
          </cell>
          <cell r="J3608">
            <v>2</v>
          </cell>
          <cell r="K3608">
            <v>3</v>
          </cell>
        </row>
        <row r="3609">
          <cell r="A3609" t="str">
            <v>M2</v>
          </cell>
          <cell r="B3609" t="str">
            <v>A5C</v>
          </cell>
          <cell r="C3609" t="str">
            <v>P</v>
          </cell>
          <cell r="D3609" t="str">
            <v>23057</v>
          </cell>
          <cell r="E3609" t="str">
            <v>SOL</v>
          </cell>
          <cell r="F3609">
            <v>2</v>
          </cell>
          <cell r="G3609" t="str">
            <v>CB390200001001</v>
          </cell>
          <cell r="H3609">
            <v>10</v>
          </cell>
          <cell r="I3609">
            <v>1</v>
          </cell>
          <cell r="J3609">
            <v>1</v>
          </cell>
          <cell r="K3609">
            <v>2</v>
          </cell>
        </row>
        <row r="3610">
          <cell r="A3610" t="str">
            <v>M2</v>
          </cell>
          <cell r="B3610" t="str">
            <v>A5C</v>
          </cell>
          <cell r="C3610" t="str">
            <v>P</v>
          </cell>
          <cell r="D3610" t="str">
            <v>23023</v>
          </cell>
          <cell r="E3610" t="str">
            <v>TEE</v>
          </cell>
          <cell r="F3610">
            <v>2</v>
          </cell>
          <cell r="G3610" t="str">
            <v>CB300304001000</v>
          </cell>
          <cell r="H3610">
            <v>10</v>
          </cell>
          <cell r="I3610" t="str">
            <v>--</v>
          </cell>
          <cell r="J3610">
            <v>1</v>
          </cell>
          <cell r="K3610">
            <v>2</v>
          </cell>
        </row>
        <row r="3611">
          <cell r="A3611" t="str">
            <v>M2</v>
          </cell>
          <cell r="B3611" t="str">
            <v>A5C</v>
          </cell>
          <cell r="C3611" t="str">
            <v>P</v>
          </cell>
          <cell r="D3611" t="str">
            <v>23049</v>
          </cell>
          <cell r="E3611" t="str">
            <v>90 ELL</v>
          </cell>
          <cell r="F3611">
            <v>2</v>
          </cell>
          <cell r="G3611" t="str">
            <v>CB300104001000</v>
          </cell>
          <cell r="H3611">
            <v>10</v>
          </cell>
          <cell r="I3611" t="str">
            <v>--</v>
          </cell>
          <cell r="J3611">
            <v>1</v>
          </cell>
          <cell r="K3611">
            <v>2</v>
          </cell>
        </row>
        <row r="3612">
          <cell r="A3612" t="str">
            <v>M2</v>
          </cell>
          <cell r="B3612" t="str">
            <v>A5C</v>
          </cell>
          <cell r="C3612" t="str">
            <v>P</v>
          </cell>
          <cell r="D3612" t="str">
            <v>23060</v>
          </cell>
          <cell r="E3612" t="str">
            <v>90 ELL</v>
          </cell>
          <cell r="F3612">
            <v>2</v>
          </cell>
          <cell r="G3612" t="str">
            <v>CB300104001000</v>
          </cell>
          <cell r="H3612">
            <v>10</v>
          </cell>
          <cell r="I3612" t="str">
            <v>--</v>
          </cell>
          <cell r="J3612">
            <v>1</v>
          </cell>
          <cell r="K3612">
            <v>2</v>
          </cell>
        </row>
        <row r="3613">
          <cell r="A3613" t="str">
            <v>M2</v>
          </cell>
          <cell r="B3613" t="str">
            <v>A5C</v>
          </cell>
          <cell r="C3613" t="str">
            <v>P</v>
          </cell>
          <cell r="D3613" t="str">
            <v>23031</v>
          </cell>
          <cell r="E3613" t="str">
            <v>90 ELL</v>
          </cell>
          <cell r="F3613">
            <v>2</v>
          </cell>
          <cell r="G3613" t="str">
            <v>CB300104001200</v>
          </cell>
          <cell r="H3613">
            <v>12</v>
          </cell>
          <cell r="I3613" t="str">
            <v>--</v>
          </cell>
          <cell r="J3613">
            <v>1</v>
          </cell>
          <cell r="K3613">
            <v>2</v>
          </cell>
        </row>
        <row r="3614">
          <cell r="A3614" t="str">
            <v>M2</v>
          </cell>
          <cell r="B3614" t="str">
            <v>A5C</v>
          </cell>
          <cell r="C3614" t="str">
            <v>P</v>
          </cell>
          <cell r="D3614" t="str">
            <v>23015</v>
          </cell>
          <cell r="E3614" t="str">
            <v>90 ELL</v>
          </cell>
          <cell r="F3614">
            <v>2</v>
          </cell>
          <cell r="G3614" t="str">
            <v>CB300104001200</v>
          </cell>
          <cell r="H3614">
            <v>12</v>
          </cell>
          <cell r="I3614" t="str">
            <v>--</v>
          </cell>
          <cell r="J3614">
            <v>1</v>
          </cell>
          <cell r="K3614">
            <v>2</v>
          </cell>
        </row>
        <row r="3615">
          <cell r="A3615" t="str">
            <v>M2</v>
          </cell>
          <cell r="B3615" t="str">
            <v>A5C</v>
          </cell>
          <cell r="C3615" t="str">
            <v>P</v>
          </cell>
          <cell r="D3615" t="str">
            <v>23032</v>
          </cell>
          <cell r="E3615" t="str">
            <v>90 ELL</v>
          </cell>
          <cell r="F3615">
            <v>2</v>
          </cell>
          <cell r="G3615" t="str">
            <v>CB300104001600</v>
          </cell>
          <cell r="H3615">
            <v>16</v>
          </cell>
          <cell r="I3615" t="str">
            <v>--</v>
          </cell>
          <cell r="J3615">
            <v>3</v>
          </cell>
          <cell r="K3615">
            <v>3</v>
          </cell>
        </row>
        <row r="3616">
          <cell r="A3616" t="str">
            <v>M2</v>
          </cell>
          <cell r="B3616" t="str">
            <v>A5C</v>
          </cell>
          <cell r="C3616" t="str">
            <v>P</v>
          </cell>
          <cell r="D3616" t="str">
            <v>23032</v>
          </cell>
          <cell r="E3616" t="str">
            <v>SOL</v>
          </cell>
          <cell r="F3616">
            <v>2</v>
          </cell>
          <cell r="G3616" t="str">
            <v>CB39020000160T</v>
          </cell>
          <cell r="H3616">
            <v>16</v>
          </cell>
          <cell r="I3616">
            <v>0.75</v>
          </cell>
          <cell r="J3616">
            <v>2</v>
          </cell>
          <cell r="K3616">
            <v>2</v>
          </cell>
        </row>
        <row r="3617">
          <cell r="A3617" t="str">
            <v>M2</v>
          </cell>
          <cell r="B3617" t="str">
            <v>A5C</v>
          </cell>
          <cell r="C3617" t="str">
            <v>P</v>
          </cell>
          <cell r="D3617" t="str">
            <v>23022</v>
          </cell>
          <cell r="E3617" t="str">
            <v>90 ELL</v>
          </cell>
          <cell r="F3617">
            <v>2</v>
          </cell>
          <cell r="G3617" t="str">
            <v>CB300104001800</v>
          </cell>
          <cell r="H3617">
            <v>18</v>
          </cell>
          <cell r="I3617" t="str">
            <v>--</v>
          </cell>
          <cell r="J3617">
            <v>6</v>
          </cell>
          <cell r="K3617">
            <v>6</v>
          </cell>
        </row>
        <row r="3618">
          <cell r="A3618" t="str">
            <v>M2</v>
          </cell>
          <cell r="B3618" t="str">
            <v>A5C</v>
          </cell>
          <cell r="C3618" t="str">
            <v>P</v>
          </cell>
          <cell r="D3618" t="str">
            <v>23022</v>
          </cell>
          <cell r="E3618" t="str">
            <v>E RED</v>
          </cell>
          <cell r="F3618">
            <v>2</v>
          </cell>
          <cell r="G3618" t="str">
            <v>CB300604041812</v>
          </cell>
          <cell r="H3618">
            <v>18</v>
          </cell>
          <cell r="I3618" t="str">
            <v>12</v>
          </cell>
          <cell r="J3618">
            <v>2</v>
          </cell>
          <cell r="K3618">
            <v>2</v>
          </cell>
        </row>
        <row r="3619">
          <cell r="A3619" t="str">
            <v>M2</v>
          </cell>
          <cell r="B3619" t="str">
            <v>A5C</v>
          </cell>
          <cell r="C3619" t="str">
            <v>P</v>
          </cell>
          <cell r="D3619" t="str">
            <v>23022</v>
          </cell>
          <cell r="E3619" t="str">
            <v>SOL</v>
          </cell>
          <cell r="F3619">
            <v>2</v>
          </cell>
          <cell r="G3619" t="str">
            <v>CB39020000180T</v>
          </cell>
          <cell r="H3619">
            <v>18</v>
          </cell>
          <cell r="I3619">
            <v>0.75</v>
          </cell>
          <cell r="J3619">
            <v>2</v>
          </cell>
          <cell r="K3619">
            <v>2</v>
          </cell>
        </row>
        <row r="3620">
          <cell r="A3620" t="str">
            <v>M2</v>
          </cell>
          <cell r="B3620" t="str">
            <v>A5C</v>
          </cell>
          <cell r="C3620" t="str">
            <v>P</v>
          </cell>
          <cell r="D3620" t="str">
            <v>23022</v>
          </cell>
          <cell r="E3620" t="str">
            <v>SOL</v>
          </cell>
          <cell r="F3620">
            <v>2</v>
          </cell>
          <cell r="G3620" t="str">
            <v>CB390200001801</v>
          </cell>
          <cell r="H3620">
            <v>18</v>
          </cell>
          <cell r="I3620">
            <v>1</v>
          </cell>
          <cell r="J3620">
            <v>1</v>
          </cell>
          <cell r="K3620">
            <v>1</v>
          </cell>
        </row>
        <row r="3621">
          <cell r="A3621" t="str">
            <v>M2</v>
          </cell>
          <cell r="B3621" t="str">
            <v>A5C</v>
          </cell>
          <cell r="C3621" t="str">
            <v>P</v>
          </cell>
          <cell r="D3621" t="str">
            <v>23022</v>
          </cell>
          <cell r="E3621" t="str">
            <v>C RED</v>
          </cell>
          <cell r="F3621">
            <v>2</v>
          </cell>
          <cell r="G3621" t="str">
            <v>CB300504042018</v>
          </cell>
          <cell r="H3621">
            <v>20</v>
          </cell>
          <cell r="I3621">
            <v>18</v>
          </cell>
          <cell r="J3621">
            <v>1</v>
          </cell>
          <cell r="K3621">
            <v>1</v>
          </cell>
        </row>
        <row r="3622">
          <cell r="A3622" t="str">
            <v>M2</v>
          </cell>
          <cell r="B3622" t="str">
            <v>A5C</v>
          </cell>
          <cell r="C3622" t="str">
            <v>P</v>
          </cell>
          <cell r="D3622" t="str">
            <v>23034</v>
          </cell>
          <cell r="E3622" t="str">
            <v>90 ELL</v>
          </cell>
          <cell r="F3622">
            <v>2</v>
          </cell>
          <cell r="G3622" t="str">
            <v>CB300104002000</v>
          </cell>
          <cell r="H3622">
            <v>20</v>
          </cell>
          <cell r="I3622" t="str">
            <v>--</v>
          </cell>
          <cell r="J3622">
            <v>1</v>
          </cell>
          <cell r="K3622">
            <v>1</v>
          </cell>
        </row>
        <row r="3623">
          <cell r="A3623" t="str">
            <v>M2</v>
          </cell>
          <cell r="B3623" t="str">
            <v>A5C</v>
          </cell>
          <cell r="C3623" t="str">
            <v>P</v>
          </cell>
          <cell r="D3623" t="str">
            <v>23063</v>
          </cell>
          <cell r="E3623" t="str">
            <v>SW FLG</v>
          </cell>
          <cell r="F3623">
            <v>3</v>
          </cell>
          <cell r="G3623" t="str">
            <v>CB240208000H00</v>
          </cell>
          <cell r="H3623">
            <v>0.5</v>
          </cell>
          <cell r="I3623" t="str">
            <v>--</v>
          </cell>
          <cell r="J3623">
            <v>2</v>
          </cell>
          <cell r="K3623">
            <v>2</v>
          </cell>
        </row>
        <row r="3624">
          <cell r="A3624" t="str">
            <v>M2</v>
          </cell>
          <cell r="B3624" t="str">
            <v>A5C</v>
          </cell>
          <cell r="C3624" t="str">
            <v>P</v>
          </cell>
          <cell r="D3624" t="str">
            <v>23078</v>
          </cell>
          <cell r="E3624" t="str">
            <v>SW FLG</v>
          </cell>
          <cell r="F3624">
            <v>3</v>
          </cell>
          <cell r="G3624" t="str">
            <v>CB240208000H00</v>
          </cell>
          <cell r="H3624">
            <v>0.5</v>
          </cell>
          <cell r="I3624" t="str">
            <v>--</v>
          </cell>
          <cell r="J3624">
            <v>2</v>
          </cell>
          <cell r="K3624">
            <v>2</v>
          </cell>
        </row>
        <row r="3625">
          <cell r="A3625" t="str">
            <v>M2</v>
          </cell>
          <cell r="B3625" t="str">
            <v>A5C</v>
          </cell>
          <cell r="C3625" t="str">
            <v>P</v>
          </cell>
          <cell r="D3625" t="str">
            <v>23094</v>
          </cell>
          <cell r="E3625" t="str">
            <v>SW FLG</v>
          </cell>
          <cell r="F3625">
            <v>3</v>
          </cell>
          <cell r="G3625" t="str">
            <v>CB240208000H00</v>
          </cell>
          <cell r="H3625">
            <v>0.5</v>
          </cell>
          <cell r="I3625" t="str">
            <v>--</v>
          </cell>
          <cell r="J3625">
            <v>2</v>
          </cell>
          <cell r="K3625">
            <v>2</v>
          </cell>
        </row>
        <row r="3626">
          <cell r="A3626" t="str">
            <v>M2</v>
          </cell>
          <cell r="B3626" t="str">
            <v>A5C</v>
          </cell>
          <cell r="C3626" t="str">
            <v>P</v>
          </cell>
          <cell r="D3626" t="str">
            <v>23113</v>
          </cell>
          <cell r="E3626" t="str">
            <v>SW FLG</v>
          </cell>
          <cell r="F3626">
            <v>3</v>
          </cell>
          <cell r="G3626" t="str">
            <v>CB240208000H00</v>
          </cell>
          <cell r="H3626">
            <v>0.5</v>
          </cell>
          <cell r="I3626" t="str">
            <v>--</v>
          </cell>
          <cell r="J3626">
            <v>2</v>
          </cell>
          <cell r="K3626">
            <v>2</v>
          </cell>
        </row>
        <row r="3627">
          <cell r="A3627" t="str">
            <v>M2</v>
          </cell>
          <cell r="B3627" t="str">
            <v>B2C</v>
          </cell>
          <cell r="C3627" t="str">
            <v>SCL</v>
          </cell>
          <cell r="D3627" t="str">
            <v>TRAP</v>
          </cell>
          <cell r="E3627" t="str">
            <v>SW FLG</v>
          </cell>
          <cell r="F3627">
            <v>3</v>
          </cell>
          <cell r="G3627" t="str">
            <v>CB240208000T00</v>
          </cell>
          <cell r="H3627">
            <v>0.75</v>
          </cell>
          <cell r="I3627" t="str">
            <v>--</v>
          </cell>
          <cell r="J3627">
            <v>4</v>
          </cell>
          <cell r="K3627">
            <v>4</v>
          </cell>
        </row>
        <row r="3628">
          <cell r="A3628" t="str">
            <v>M2</v>
          </cell>
          <cell r="B3628" t="str">
            <v>B2C</v>
          </cell>
          <cell r="C3628" t="str">
            <v>SH</v>
          </cell>
          <cell r="D3628" t="str">
            <v>24612</v>
          </cell>
          <cell r="E3628" t="str">
            <v>SW FLG</v>
          </cell>
          <cell r="F3628">
            <v>3</v>
          </cell>
          <cell r="G3628" t="str">
            <v>CB240208000T00</v>
          </cell>
          <cell r="H3628">
            <v>0.75</v>
          </cell>
          <cell r="I3628" t="str">
            <v>--</v>
          </cell>
          <cell r="J3628">
            <v>2</v>
          </cell>
          <cell r="K3628">
            <v>2</v>
          </cell>
        </row>
        <row r="3629">
          <cell r="A3629" t="str">
            <v>M2</v>
          </cell>
          <cell r="B3629" t="str">
            <v>B2C</v>
          </cell>
          <cell r="C3629" t="str">
            <v>SCH</v>
          </cell>
          <cell r="D3629" t="str">
            <v>23613</v>
          </cell>
          <cell r="E3629" t="str">
            <v>SW FLG</v>
          </cell>
          <cell r="F3629">
            <v>3</v>
          </cell>
          <cell r="G3629" t="str">
            <v>CB240208000T00</v>
          </cell>
          <cell r="H3629">
            <v>0.75</v>
          </cell>
          <cell r="I3629" t="str">
            <v>--</v>
          </cell>
          <cell r="J3629">
            <v>2</v>
          </cell>
          <cell r="K3629">
            <v>2</v>
          </cell>
        </row>
        <row r="3630">
          <cell r="A3630" t="str">
            <v>M2</v>
          </cell>
          <cell r="B3630" t="str">
            <v>A5C</v>
          </cell>
          <cell r="C3630" t="str">
            <v>P</v>
          </cell>
          <cell r="D3630" t="str">
            <v>23148</v>
          </cell>
          <cell r="E3630" t="str">
            <v>SW FLG</v>
          </cell>
          <cell r="F3630">
            <v>3</v>
          </cell>
          <cell r="G3630" t="str">
            <v>CB240108000T00</v>
          </cell>
          <cell r="H3630">
            <v>0.75</v>
          </cell>
          <cell r="I3630" t="str">
            <v>--</v>
          </cell>
          <cell r="J3630">
            <v>2</v>
          </cell>
          <cell r="K3630">
            <v>2</v>
          </cell>
        </row>
        <row r="3631">
          <cell r="A3631" t="str">
            <v>M2</v>
          </cell>
          <cell r="B3631" t="str">
            <v>A5C</v>
          </cell>
          <cell r="C3631" t="str">
            <v>N</v>
          </cell>
          <cell r="D3631" t="str">
            <v>23613</v>
          </cell>
          <cell r="E3631" t="str">
            <v>SW FLG</v>
          </cell>
          <cell r="F3631">
            <v>3</v>
          </cell>
          <cell r="G3631" t="str">
            <v>CB240208000T00</v>
          </cell>
          <cell r="H3631">
            <v>0.75</v>
          </cell>
          <cell r="I3631" t="str">
            <v>--</v>
          </cell>
          <cell r="J3631">
            <v>2</v>
          </cell>
          <cell r="K3631">
            <v>2</v>
          </cell>
        </row>
        <row r="3632">
          <cell r="A3632" t="str">
            <v>M2</v>
          </cell>
          <cell r="B3632" t="str">
            <v>A5C</v>
          </cell>
          <cell r="C3632" t="str">
            <v>N</v>
          </cell>
          <cell r="D3632" t="str">
            <v>23619</v>
          </cell>
          <cell r="E3632" t="str">
            <v>SW FLG</v>
          </cell>
          <cell r="F3632">
            <v>3</v>
          </cell>
          <cell r="G3632" t="str">
            <v>CB240208000T00</v>
          </cell>
          <cell r="H3632">
            <v>0.75</v>
          </cell>
          <cell r="I3632" t="str">
            <v>--</v>
          </cell>
          <cell r="J3632">
            <v>2</v>
          </cell>
          <cell r="K3632">
            <v>2</v>
          </cell>
        </row>
        <row r="3633">
          <cell r="A3633" t="str">
            <v>M2</v>
          </cell>
          <cell r="B3633" t="str">
            <v>A5C</v>
          </cell>
          <cell r="C3633" t="str">
            <v>N</v>
          </cell>
          <cell r="D3633" t="str">
            <v>23621</v>
          </cell>
          <cell r="E3633" t="str">
            <v>SW FLG</v>
          </cell>
          <cell r="F3633">
            <v>3</v>
          </cell>
          <cell r="G3633" t="str">
            <v>CB240208000T00</v>
          </cell>
          <cell r="H3633">
            <v>0.75</v>
          </cell>
          <cell r="I3633" t="str">
            <v>--</v>
          </cell>
          <cell r="J3633">
            <v>2</v>
          </cell>
          <cell r="K3633">
            <v>2</v>
          </cell>
        </row>
        <row r="3634">
          <cell r="A3634" t="str">
            <v>M2</v>
          </cell>
          <cell r="B3634" t="str">
            <v>A5C</v>
          </cell>
          <cell r="C3634" t="str">
            <v>N</v>
          </cell>
          <cell r="D3634" t="str">
            <v>23646</v>
          </cell>
          <cell r="E3634" t="str">
            <v>SW FLG</v>
          </cell>
          <cell r="F3634">
            <v>3</v>
          </cell>
          <cell r="G3634" t="str">
            <v>CB240208000T00</v>
          </cell>
          <cell r="H3634">
            <v>0.75</v>
          </cell>
          <cell r="I3634" t="str">
            <v>--</v>
          </cell>
          <cell r="J3634">
            <v>2</v>
          </cell>
          <cell r="K3634">
            <v>2</v>
          </cell>
        </row>
        <row r="3635">
          <cell r="A3635" t="str">
            <v>M2</v>
          </cell>
          <cell r="B3635" t="str">
            <v>A5C</v>
          </cell>
          <cell r="C3635" t="str">
            <v>N</v>
          </cell>
          <cell r="D3635" t="str">
            <v>23647</v>
          </cell>
          <cell r="E3635" t="str">
            <v>SW FLG</v>
          </cell>
          <cell r="F3635">
            <v>3</v>
          </cell>
          <cell r="G3635" t="str">
            <v>CB240108000T00</v>
          </cell>
          <cell r="H3635">
            <v>0.75</v>
          </cell>
          <cell r="I3635" t="str">
            <v>--</v>
          </cell>
          <cell r="J3635">
            <v>2</v>
          </cell>
          <cell r="K3635">
            <v>2</v>
          </cell>
        </row>
        <row r="3636">
          <cell r="A3636" t="str">
            <v>M2</v>
          </cell>
          <cell r="B3636" t="str">
            <v>A5C</v>
          </cell>
          <cell r="C3636" t="str">
            <v>N</v>
          </cell>
          <cell r="D3636" t="str">
            <v>24611</v>
          </cell>
          <cell r="E3636" t="str">
            <v>SW FLG</v>
          </cell>
          <cell r="F3636">
            <v>3</v>
          </cell>
          <cell r="G3636" t="str">
            <v>CB240208000T00</v>
          </cell>
          <cell r="H3636">
            <v>0.75</v>
          </cell>
          <cell r="I3636" t="str">
            <v>--</v>
          </cell>
          <cell r="J3636">
            <v>2</v>
          </cell>
          <cell r="K3636">
            <v>2</v>
          </cell>
        </row>
        <row r="3637">
          <cell r="A3637" t="str">
            <v>M2</v>
          </cell>
          <cell r="B3637" t="str">
            <v>A5C</v>
          </cell>
          <cell r="C3637" t="str">
            <v>N</v>
          </cell>
          <cell r="D3637" t="str">
            <v>24612</v>
          </cell>
          <cell r="E3637" t="str">
            <v>SW FLG</v>
          </cell>
          <cell r="F3637">
            <v>3</v>
          </cell>
          <cell r="G3637" t="str">
            <v>CB240208000T00</v>
          </cell>
          <cell r="H3637">
            <v>0.75</v>
          </cell>
          <cell r="I3637" t="str">
            <v>--</v>
          </cell>
          <cell r="J3637">
            <v>2</v>
          </cell>
          <cell r="K3637">
            <v>2</v>
          </cell>
        </row>
        <row r="3638">
          <cell r="A3638" t="str">
            <v>M2</v>
          </cell>
          <cell r="B3638" t="str">
            <v>A5C</v>
          </cell>
          <cell r="C3638" t="str">
            <v>N</v>
          </cell>
          <cell r="D3638" t="str">
            <v>23642</v>
          </cell>
          <cell r="E3638" t="str">
            <v>SW FLG</v>
          </cell>
          <cell r="F3638">
            <v>3</v>
          </cell>
          <cell r="G3638" t="str">
            <v>CB240208000T00</v>
          </cell>
          <cell r="H3638">
            <v>0.75</v>
          </cell>
          <cell r="I3638" t="str">
            <v>--</v>
          </cell>
          <cell r="J3638">
            <v>2</v>
          </cell>
          <cell r="K3638">
            <v>2</v>
          </cell>
        </row>
        <row r="3639">
          <cell r="A3639" t="str">
            <v>M2</v>
          </cell>
          <cell r="B3639" t="str">
            <v>A5C</v>
          </cell>
          <cell r="C3639" t="str">
            <v>N</v>
          </cell>
          <cell r="D3639" t="str">
            <v>24613</v>
          </cell>
          <cell r="E3639" t="str">
            <v>SW FLG</v>
          </cell>
          <cell r="F3639">
            <v>3</v>
          </cell>
          <cell r="G3639" t="str">
            <v>CB240208000T00</v>
          </cell>
          <cell r="H3639">
            <v>0.75</v>
          </cell>
          <cell r="I3639" t="str">
            <v>--</v>
          </cell>
          <cell r="J3639">
            <v>2</v>
          </cell>
          <cell r="K3639">
            <v>2</v>
          </cell>
        </row>
        <row r="3640">
          <cell r="A3640" t="str">
            <v>M2</v>
          </cell>
          <cell r="B3640" t="str">
            <v>A5C</v>
          </cell>
          <cell r="C3640" t="str">
            <v>N</v>
          </cell>
          <cell r="D3640" t="str">
            <v>24614</v>
          </cell>
          <cell r="E3640" t="str">
            <v>SW FLG</v>
          </cell>
          <cell r="F3640">
            <v>3</v>
          </cell>
          <cell r="G3640" t="str">
            <v>CB240208000T00</v>
          </cell>
          <cell r="H3640">
            <v>0.75</v>
          </cell>
          <cell r="I3640" t="str">
            <v>--</v>
          </cell>
          <cell r="J3640">
            <v>2</v>
          </cell>
          <cell r="K3640">
            <v>2</v>
          </cell>
        </row>
        <row r="3641">
          <cell r="A3641" t="str">
            <v>M2</v>
          </cell>
          <cell r="B3641" t="str">
            <v>A5C</v>
          </cell>
          <cell r="C3641" t="str">
            <v>P</v>
          </cell>
          <cell r="D3641" t="str">
            <v>23052</v>
          </cell>
          <cell r="E3641" t="str">
            <v>SW FLG</v>
          </cell>
          <cell r="F3641">
            <v>3</v>
          </cell>
          <cell r="G3641" t="str">
            <v>CB240208000T00</v>
          </cell>
          <cell r="H3641">
            <v>0.75</v>
          </cell>
          <cell r="I3641" t="str">
            <v>--</v>
          </cell>
          <cell r="J3641">
            <v>2</v>
          </cell>
          <cell r="K3641">
            <v>2</v>
          </cell>
        </row>
        <row r="3642">
          <cell r="A3642" t="str">
            <v>M2</v>
          </cell>
          <cell r="B3642" t="str">
            <v>A5C</v>
          </cell>
          <cell r="C3642" t="str">
            <v>P</v>
          </cell>
          <cell r="D3642" t="str">
            <v>23081</v>
          </cell>
          <cell r="E3642" t="str">
            <v>SW FLG</v>
          </cell>
          <cell r="F3642">
            <v>3</v>
          </cell>
          <cell r="G3642" t="str">
            <v>CB240108000T00</v>
          </cell>
          <cell r="H3642">
            <v>0.75</v>
          </cell>
          <cell r="I3642" t="str">
            <v>--</v>
          </cell>
          <cell r="J3642">
            <v>1</v>
          </cell>
          <cell r="K3642">
            <v>1</v>
          </cell>
        </row>
        <row r="3643">
          <cell r="A3643" t="str">
            <v>M2</v>
          </cell>
          <cell r="B3643" t="str">
            <v>A5C</v>
          </cell>
          <cell r="C3643" t="str">
            <v>P</v>
          </cell>
          <cell r="D3643" t="str">
            <v>23094</v>
          </cell>
          <cell r="E3643" t="str">
            <v>SW FLG</v>
          </cell>
          <cell r="F3643">
            <v>3</v>
          </cell>
          <cell r="G3643" t="str">
            <v>CB240208000T00</v>
          </cell>
          <cell r="H3643">
            <v>0.75</v>
          </cell>
          <cell r="I3643" t="str">
            <v>--</v>
          </cell>
          <cell r="J3643">
            <v>2</v>
          </cell>
          <cell r="K3643">
            <v>2</v>
          </cell>
        </row>
        <row r="3644">
          <cell r="A3644" t="str">
            <v>M2</v>
          </cell>
          <cell r="B3644" t="str">
            <v>A5C</v>
          </cell>
          <cell r="C3644" t="str">
            <v>P</v>
          </cell>
          <cell r="D3644" t="str">
            <v>23094</v>
          </cell>
          <cell r="E3644" t="str">
            <v>SW FLG</v>
          </cell>
          <cell r="F3644">
            <v>3</v>
          </cell>
          <cell r="G3644" t="str">
            <v>CB240108000T00</v>
          </cell>
          <cell r="H3644">
            <v>0.75</v>
          </cell>
          <cell r="I3644" t="str">
            <v>--</v>
          </cell>
          <cell r="J3644">
            <v>6</v>
          </cell>
          <cell r="K3644">
            <v>6</v>
          </cell>
        </row>
        <row r="3645">
          <cell r="A3645" t="str">
            <v>M2</v>
          </cell>
          <cell r="B3645" t="str">
            <v>A5C</v>
          </cell>
          <cell r="C3645" t="str">
            <v>P</v>
          </cell>
          <cell r="D3645" t="str">
            <v>23094</v>
          </cell>
          <cell r="E3645" t="str">
            <v>SW FLG</v>
          </cell>
          <cell r="F3645">
            <v>3</v>
          </cell>
          <cell r="G3645" t="str">
            <v>CB240108000T00</v>
          </cell>
          <cell r="H3645">
            <v>0.75</v>
          </cell>
          <cell r="I3645" t="str">
            <v>--</v>
          </cell>
          <cell r="J3645">
            <v>2</v>
          </cell>
          <cell r="K3645">
            <v>2</v>
          </cell>
        </row>
        <row r="3646">
          <cell r="A3646" t="str">
            <v>M2</v>
          </cell>
          <cell r="B3646" t="str">
            <v>A5C</v>
          </cell>
          <cell r="C3646" t="str">
            <v>P</v>
          </cell>
          <cell r="D3646" t="str">
            <v>23101</v>
          </cell>
          <cell r="E3646" t="str">
            <v>SW FLG</v>
          </cell>
          <cell r="F3646">
            <v>3</v>
          </cell>
          <cell r="G3646" t="str">
            <v>CB240208000T00</v>
          </cell>
          <cell r="H3646">
            <v>0.75</v>
          </cell>
          <cell r="I3646" t="str">
            <v>--</v>
          </cell>
          <cell r="J3646">
            <v>2</v>
          </cell>
          <cell r="K3646">
            <v>2</v>
          </cell>
        </row>
        <row r="3647">
          <cell r="A3647" t="str">
            <v>M2</v>
          </cell>
          <cell r="B3647" t="str">
            <v>A5C</v>
          </cell>
          <cell r="C3647" t="str">
            <v>P</v>
          </cell>
          <cell r="D3647" t="str">
            <v>23101</v>
          </cell>
          <cell r="E3647" t="str">
            <v>SW FLG</v>
          </cell>
          <cell r="F3647">
            <v>3</v>
          </cell>
          <cell r="G3647" t="str">
            <v>CB240108000T00</v>
          </cell>
          <cell r="H3647">
            <v>0.75</v>
          </cell>
          <cell r="I3647" t="str">
            <v>--</v>
          </cell>
          <cell r="J3647">
            <v>6</v>
          </cell>
          <cell r="K3647">
            <v>6</v>
          </cell>
        </row>
        <row r="3648">
          <cell r="A3648" t="str">
            <v>M2</v>
          </cell>
          <cell r="B3648" t="str">
            <v>A5C</v>
          </cell>
          <cell r="C3648" t="str">
            <v>P</v>
          </cell>
          <cell r="D3648" t="str">
            <v>23104</v>
          </cell>
          <cell r="E3648" t="str">
            <v>SW FLG</v>
          </cell>
          <cell r="F3648">
            <v>3</v>
          </cell>
          <cell r="G3648" t="str">
            <v>CB240108000T00</v>
          </cell>
          <cell r="H3648">
            <v>0.75</v>
          </cell>
          <cell r="I3648" t="str">
            <v>--</v>
          </cell>
          <cell r="J3648">
            <v>1</v>
          </cell>
          <cell r="K3648">
            <v>1</v>
          </cell>
        </row>
        <row r="3649">
          <cell r="A3649" t="str">
            <v>M2</v>
          </cell>
          <cell r="B3649" t="str">
            <v>A5C</v>
          </cell>
          <cell r="C3649" t="str">
            <v>P</v>
          </cell>
          <cell r="D3649" t="str">
            <v>23104</v>
          </cell>
          <cell r="E3649" t="str">
            <v>SW FLG</v>
          </cell>
          <cell r="F3649">
            <v>3</v>
          </cell>
          <cell r="G3649" t="str">
            <v>CB240108000T00</v>
          </cell>
          <cell r="H3649">
            <v>0.75</v>
          </cell>
          <cell r="I3649" t="str">
            <v>--</v>
          </cell>
          <cell r="J3649">
            <v>1</v>
          </cell>
          <cell r="K3649">
            <v>1</v>
          </cell>
        </row>
        <row r="3650">
          <cell r="A3650" t="str">
            <v>M2</v>
          </cell>
          <cell r="B3650" t="str">
            <v>A5C</v>
          </cell>
          <cell r="C3650" t="str">
            <v>P</v>
          </cell>
          <cell r="D3650" t="str">
            <v>23105</v>
          </cell>
          <cell r="E3650" t="str">
            <v>SW FLG</v>
          </cell>
          <cell r="F3650">
            <v>3</v>
          </cell>
          <cell r="G3650" t="str">
            <v>CB240108000T00</v>
          </cell>
          <cell r="H3650">
            <v>0.75</v>
          </cell>
          <cell r="I3650" t="str">
            <v>--</v>
          </cell>
          <cell r="J3650">
            <v>6</v>
          </cell>
          <cell r="K3650">
            <v>6</v>
          </cell>
        </row>
        <row r="3651">
          <cell r="A3651" t="str">
            <v>M2</v>
          </cell>
          <cell r="B3651" t="str">
            <v>A5C</v>
          </cell>
          <cell r="C3651" t="str">
            <v>P</v>
          </cell>
          <cell r="D3651" t="str">
            <v>23105</v>
          </cell>
          <cell r="E3651" t="str">
            <v>SW FLG</v>
          </cell>
          <cell r="F3651">
            <v>3</v>
          </cell>
          <cell r="G3651" t="str">
            <v>CB240208000T00</v>
          </cell>
          <cell r="H3651">
            <v>0.75</v>
          </cell>
          <cell r="I3651" t="str">
            <v>--</v>
          </cell>
          <cell r="J3651">
            <v>2</v>
          </cell>
          <cell r="K3651">
            <v>2</v>
          </cell>
        </row>
        <row r="3652">
          <cell r="A3652" t="str">
            <v>M2</v>
          </cell>
          <cell r="B3652" t="str">
            <v>A5C</v>
          </cell>
          <cell r="C3652" t="str">
            <v>P</v>
          </cell>
          <cell r="D3652" t="str">
            <v>23108</v>
          </cell>
          <cell r="E3652" t="str">
            <v>SW FLG</v>
          </cell>
          <cell r="F3652">
            <v>3</v>
          </cell>
          <cell r="G3652" t="str">
            <v>CB240108000T00</v>
          </cell>
          <cell r="H3652">
            <v>0.75</v>
          </cell>
          <cell r="I3652" t="str">
            <v>--</v>
          </cell>
          <cell r="J3652">
            <v>1</v>
          </cell>
          <cell r="K3652">
            <v>1</v>
          </cell>
        </row>
        <row r="3653">
          <cell r="A3653" t="str">
            <v>M2</v>
          </cell>
          <cell r="B3653" t="str">
            <v>A5C</v>
          </cell>
          <cell r="C3653" t="str">
            <v>P</v>
          </cell>
          <cell r="D3653" t="str">
            <v>23108</v>
          </cell>
          <cell r="E3653" t="str">
            <v>SW FLG</v>
          </cell>
          <cell r="F3653">
            <v>3</v>
          </cell>
          <cell r="G3653" t="str">
            <v>CB240108000T00</v>
          </cell>
          <cell r="H3653">
            <v>0.75</v>
          </cell>
          <cell r="I3653" t="str">
            <v>--</v>
          </cell>
          <cell r="J3653">
            <v>1</v>
          </cell>
          <cell r="K3653">
            <v>1</v>
          </cell>
        </row>
        <row r="3654">
          <cell r="A3654" t="str">
            <v>M2</v>
          </cell>
          <cell r="B3654" t="str">
            <v>A5C</v>
          </cell>
          <cell r="C3654" t="str">
            <v>P</v>
          </cell>
          <cell r="D3654" t="str">
            <v>23109</v>
          </cell>
          <cell r="E3654" t="str">
            <v>SW FLG</v>
          </cell>
          <cell r="F3654">
            <v>3</v>
          </cell>
          <cell r="G3654" t="str">
            <v>CB240208000T00</v>
          </cell>
          <cell r="H3654">
            <v>0.75</v>
          </cell>
          <cell r="I3654" t="str">
            <v>--</v>
          </cell>
          <cell r="J3654">
            <v>2</v>
          </cell>
          <cell r="K3654">
            <v>2</v>
          </cell>
        </row>
        <row r="3655">
          <cell r="A3655" t="str">
            <v>M2</v>
          </cell>
          <cell r="B3655" t="str">
            <v>A5C</v>
          </cell>
          <cell r="C3655" t="str">
            <v>P</v>
          </cell>
          <cell r="D3655" t="str">
            <v>23109</v>
          </cell>
          <cell r="E3655" t="str">
            <v>SW FLG</v>
          </cell>
          <cell r="F3655">
            <v>3</v>
          </cell>
          <cell r="G3655" t="str">
            <v>CB240108000T00</v>
          </cell>
          <cell r="H3655">
            <v>0.75</v>
          </cell>
          <cell r="I3655" t="str">
            <v>--</v>
          </cell>
          <cell r="J3655">
            <v>6</v>
          </cell>
          <cell r="K3655">
            <v>6</v>
          </cell>
        </row>
        <row r="3656">
          <cell r="A3656" t="str">
            <v>M2</v>
          </cell>
          <cell r="B3656" t="str">
            <v>A5C</v>
          </cell>
          <cell r="C3656" t="str">
            <v>P</v>
          </cell>
          <cell r="D3656" t="str">
            <v>23112</v>
          </cell>
          <cell r="E3656" t="str">
            <v>SW FLG</v>
          </cell>
          <cell r="F3656">
            <v>3</v>
          </cell>
          <cell r="G3656" t="str">
            <v>CB240108000T00</v>
          </cell>
          <cell r="H3656">
            <v>0.75</v>
          </cell>
          <cell r="I3656" t="str">
            <v>--</v>
          </cell>
          <cell r="J3656">
            <v>1</v>
          </cell>
          <cell r="K3656">
            <v>1</v>
          </cell>
        </row>
        <row r="3657">
          <cell r="A3657" t="str">
            <v>M2</v>
          </cell>
          <cell r="B3657" t="str">
            <v>A5C</v>
          </cell>
          <cell r="C3657" t="str">
            <v>P</v>
          </cell>
          <cell r="D3657" t="str">
            <v>23113</v>
          </cell>
          <cell r="E3657" t="str">
            <v>SW FLG</v>
          </cell>
          <cell r="F3657">
            <v>3</v>
          </cell>
          <cell r="G3657" t="str">
            <v>CB240108000T00</v>
          </cell>
          <cell r="H3657">
            <v>0.75</v>
          </cell>
          <cell r="I3657" t="str">
            <v>--</v>
          </cell>
          <cell r="J3657">
            <v>6</v>
          </cell>
          <cell r="K3657">
            <v>6</v>
          </cell>
        </row>
        <row r="3658">
          <cell r="A3658" t="str">
            <v>M2</v>
          </cell>
          <cell r="B3658" t="str">
            <v>A5C</v>
          </cell>
          <cell r="C3658" t="str">
            <v>P</v>
          </cell>
          <cell r="D3658" t="str">
            <v>23113</v>
          </cell>
          <cell r="E3658" t="str">
            <v>SW FLG</v>
          </cell>
          <cell r="F3658">
            <v>3</v>
          </cell>
          <cell r="G3658" t="str">
            <v>CB240108000T00</v>
          </cell>
          <cell r="H3658">
            <v>0.75</v>
          </cell>
          <cell r="I3658" t="str">
            <v>--</v>
          </cell>
          <cell r="J3658">
            <v>2</v>
          </cell>
          <cell r="K3658">
            <v>2</v>
          </cell>
        </row>
        <row r="3659">
          <cell r="A3659" t="str">
            <v>M2</v>
          </cell>
          <cell r="B3659" t="str">
            <v>A5C</v>
          </cell>
          <cell r="C3659" t="str">
            <v>P</v>
          </cell>
          <cell r="D3659" t="str">
            <v>23133</v>
          </cell>
          <cell r="E3659" t="str">
            <v>SW FLG</v>
          </cell>
          <cell r="F3659">
            <v>3</v>
          </cell>
          <cell r="G3659" t="str">
            <v>CB240108000T00</v>
          </cell>
          <cell r="H3659">
            <v>0.75</v>
          </cell>
          <cell r="I3659" t="str">
            <v>--</v>
          </cell>
          <cell r="J3659">
            <v>5</v>
          </cell>
          <cell r="K3659">
            <v>5</v>
          </cell>
        </row>
        <row r="3660">
          <cell r="A3660" t="str">
            <v>M2</v>
          </cell>
          <cell r="B3660" t="str">
            <v>A5C</v>
          </cell>
          <cell r="C3660" t="str">
            <v>P</v>
          </cell>
          <cell r="D3660" t="str">
            <v>23141</v>
          </cell>
          <cell r="E3660" t="str">
            <v>SW FLG</v>
          </cell>
          <cell r="F3660">
            <v>3</v>
          </cell>
          <cell r="G3660" t="str">
            <v>CB240108000T00</v>
          </cell>
          <cell r="H3660">
            <v>0.75</v>
          </cell>
          <cell r="I3660" t="str">
            <v>--</v>
          </cell>
          <cell r="J3660">
            <v>5</v>
          </cell>
          <cell r="K3660">
            <v>5</v>
          </cell>
        </row>
        <row r="3661">
          <cell r="A3661" t="str">
            <v>M2</v>
          </cell>
          <cell r="B3661" t="str">
            <v>A5C</v>
          </cell>
          <cell r="C3661" t="str">
            <v>P</v>
          </cell>
          <cell r="D3661" t="str">
            <v>23143</v>
          </cell>
          <cell r="E3661" t="str">
            <v>SW FLG</v>
          </cell>
          <cell r="F3661">
            <v>3</v>
          </cell>
          <cell r="G3661" t="str">
            <v>CB240108000T00</v>
          </cell>
          <cell r="H3661">
            <v>0.75</v>
          </cell>
          <cell r="I3661" t="str">
            <v>--</v>
          </cell>
          <cell r="J3661">
            <v>2</v>
          </cell>
          <cell r="K3661">
            <v>2</v>
          </cell>
        </row>
        <row r="3662">
          <cell r="A3662" t="str">
            <v>M2</v>
          </cell>
          <cell r="B3662" t="str">
            <v>A5C</v>
          </cell>
          <cell r="C3662" t="str">
            <v>P</v>
          </cell>
          <cell r="D3662" t="str">
            <v>23145</v>
          </cell>
          <cell r="E3662" t="str">
            <v>SW FLG</v>
          </cell>
          <cell r="F3662">
            <v>3</v>
          </cell>
          <cell r="G3662" t="str">
            <v>CB240108000T00</v>
          </cell>
          <cell r="H3662">
            <v>0.75</v>
          </cell>
          <cell r="I3662" t="str">
            <v>--</v>
          </cell>
          <cell r="J3662">
            <v>5</v>
          </cell>
          <cell r="K3662">
            <v>5</v>
          </cell>
        </row>
        <row r="3663">
          <cell r="A3663" t="str">
            <v>M2</v>
          </cell>
          <cell r="B3663" t="str">
            <v>A5C</v>
          </cell>
          <cell r="C3663" t="str">
            <v>P</v>
          </cell>
          <cell r="D3663" t="str">
            <v>23147</v>
          </cell>
          <cell r="E3663" t="str">
            <v>SW FLG</v>
          </cell>
          <cell r="F3663">
            <v>3</v>
          </cell>
          <cell r="G3663" t="str">
            <v>CB240108000T00</v>
          </cell>
          <cell r="H3663">
            <v>0.75</v>
          </cell>
          <cell r="I3663" t="str">
            <v>--</v>
          </cell>
          <cell r="J3663">
            <v>2</v>
          </cell>
          <cell r="K3663">
            <v>2</v>
          </cell>
        </row>
        <row r="3664">
          <cell r="A3664" t="str">
            <v>M2</v>
          </cell>
          <cell r="B3664" t="str">
            <v>A5C</v>
          </cell>
          <cell r="C3664" t="str">
            <v>P</v>
          </cell>
          <cell r="D3664" t="str">
            <v>23164</v>
          </cell>
          <cell r="E3664" t="str">
            <v>SW FLG</v>
          </cell>
          <cell r="F3664">
            <v>3</v>
          </cell>
          <cell r="G3664" t="str">
            <v>CB240108000T00</v>
          </cell>
          <cell r="H3664">
            <v>0.75</v>
          </cell>
          <cell r="I3664" t="str">
            <v>--</v>
          </cell>
          <cell r="J3664">
            <v>2</v>
          </cell>
          <cell r="K3664">
            <v>2</v>
          </cell>
        </row>
        <row r="3665">
          <cell r="A3665" t="str">
            <v>M2</v>
          </cell>
          <cell r="B3665" t="str">
            <v>A5C</v>
          </cell>
          <cell r="C3665" t="str">
            <v>P</v>
          </cell>
          <cell r="D3665" t="str">
            <v>23188</v>
          </cell>
          <cell r="E3665" t="str">
            <v>SW FLG</v>
          </cell>
          <cell r="F3665">
            <v>3</v>
          </cell>
          <cell r="G3665" t="str">
            <v>CB240208000T00</v>
          </cell>
          <cell r="H3665">
            <v>0.75</v>
          </cell>
          <cell r="I3665" t="str">
            <v>--</v>
          </cell>
          <cell r="J3665">
            <v>2</v>
          </cell>
          <cell r="K3665">
            <v>2</v>
          </cell>
        </row>
        <row r="3666">
          <cell r="A3666" t="str">
            <v>M2</v>
          </cell>
          <cell r="B3666" t="str">
            <v>A5C</v>
          </cell>
          <cell r="C3666" t="str">
            <v>P</v>
          </cell>
          <cell r="D3666" t="str">
            <v>23188</v>
          </cell>
          <cell r="E3666" t="str">
            <v>SW FLG</v>
          </cell>
          <cell r="F3666">
            <v>3</v>
          </cell>
          <cell r="G3666" t="str">
            <v>CB240108000T00</v>
          </cell>
          <cell r="H3666">
            <v>0.75</v>
          </cell>
          <cell r="I3666" t="str">
            <v>--</v>
          </cell>
          <cell r="J3666">
            <v>5</v>
          </cell>
          <cell r="K3666">
            <v>5</v>
          </cell>
        </row>
        <row r="3667">
          <cell r="A3667" t="str">
            <v>M2</v>
          </cell>
          <cell r="B3667" t="str">
            <v>A5C</v>
          </cell>
          <cell r="C3667" t="str">
            <v>P</v>
          </cell>
          <cell r="D3667" t="str">
            <v>23225</v>
          </cell>
          <cell r="E3667" t="str">
            <v>SW FLG</v>
          </cell>
          <cell r="F3667">
            <v>3</v>
          </cell>
          <cell r="G3667" t="str">
            <v>CB240208000T00</v>
          </cell>
          <cell r="H3667">
            <v>0.75</v>
          </cell>
          <cell r="I3667" t="str">
            <v>--</v>
          </cell>
          <cell r="J3667">
            <v>2</v>
          </cell>
          <cell r="K3667">
            <v>2</v>
          </cell>
        </row>
        <row r="3668">
          <cell r="A3668" t="str">
            <v>M2</v>
          </cell>
          <cell r="B3668" t="str">
            <v>A5C</v>
          </cell>
          <cell r="C3668" t="str">
            <v>P</v>
          </cell>
          <cell r="D3668" t="str">
            <v>23234</v>
          </cell>
          <cell r="E3668" t="str">
            <v>SW FLG</v>
          </cell>
          <cell r="F3668">
            <v>3</v>
          </cell>
          <cell r="G3668" t="str">
            <v>CB240208000T00</v>
          </cell>
          <cell r="H3668">
            <v>0.75</v>
          </cell>
          <cell r="I3668" t="str">
            <v>--</v>
          </cell>
          <cell r="J3668">
            <v>2</v>
          </cell>
          <cell r="K3668">
            <v>2</v>
          </cell>
        </row>
        <row r="3669">
          <cell r="A3669" t="str">
            <v>M2</v>
          </cell>
          <cell r="B3669" t="str">
            <v>A5C</v>
          </cell>
          <cell r="C3669" t="str">
            <v>P</v>
          </cell>
          <cell r="D3669" t="str">
            <v>23234</v>
          </cell>
          <cell r="E3669" t="str">
            <v>SW FLG</v>
          </cell>
          <cell r="F3669">
            <v>3</v>
          </cell>
          <cell r="G3669" t="str">
            <v>CB240108000T00</v>
          </cell>
          <cell r="H3669">
            <v>0.75</v>
          </cell>
          <cell r="I3669" t="str">
            <v>--</v>
          </cell>
          <cell r="J3669">
            <v>6</v>
          </cell>
          <cell r="K3669">
            <v>6</v>
          </cell>
        </row>
        <row r="3670">
          <cell r="A3670" t="str">
            <v>M2</v>
          </cell>
          <cell r="B3670" t="str">
            <v>A5C</v>
          </cell>
          <cell r="C3670" t="str">
            <v>P</v>
          </cell>
          <cell r="D3670" t="str">
            <v>23238</v>
          </cell>
          <cell r="E3670" t="str">
            <v>SW FLG</v>
          </cell>
          <cell r="F3670">
            <v>3</v>
          </cell>
          <cell r="G3670" t="str">
            <v>CB240108000T00</v>
          </cell>
          <cell r="H3670">
            <v>0.75</v>
          </cell>
          <cell r="I3670" t="str">
            <v>--</v>
          </cell>
          <cell r="J3670">
            <v>6</v>
          </cell>
          <cell r="K3670">
            <v>6</v>
          </cell>
        </row>
        <row r="3671">
          <cell r="A3671" t="str">
            <v>M2</v>
          </cell>
          <cell r="B3671" t="str">
            <v>A5C</v>
          </cell>
          <cell r="C3671" t="str">
            <v>P</v>
          </cell>
          <cell r="D3671" t="str">
            <v>23247</v>
          </cell>
          <cell r="E3671" t="str">
            <v>SW FLG</v>
          </cell>
          <cell r="F3671">
            <v>3</v>
          </cell>
          <cell r="G3671" t="str">
            <v>CB240208000T00</v>
          </cell>
          <cell r="H3671">
            <v>0.75</v>
          </cell>
          <cell r="I3671" t="str">
            <v>--</v>
          </cell>
          <cell r="J3671">
            <v>2</v>
          </cell>
          <cell r="K3671">
            <v>2</v>
          </cell>
        </row>
        <row r="3672">
          <cell r="A3672" t="str">
            <v>M2</v>
          </cell>
          <cell r="B3672" t="str">
            <v>A5C</v>
          </cell>
          <cell r="C3672" t="str">
            <v>N</v>
          </cell>
          <cell r="D3672" t="str">
            <v>23620</v>
          </cell>
          <cell r="E3672" t="str">
            <v>SW FLG</v>
          </cell>
          <cell r="F3672">
            <v>3</v>
          </cell>
          <cell r="G3672" t="str">
            <v>CB240208000T00</v>
          </cell>
          <cell r="H3672">
            <v>0.75</v>
          </cell>
          <cell r="I3672" t="str">
            <v>--</v>
          </cell>
          <cell r="J3672">
            <v>2</v>
          </cell>
          <cell r="K3672">
            <v>2</v>
          </cell>
        </row>
        <row r="3673">
          <cell r="A3673" t="str">
            <v>M2</v>
          </cell>
          <cell r="B3673" t="str">
            <v>A5C</v>
          </cell>
          <cell r="C3673" t="str">
            <v>P</v>
          </cell>
          <cell r="D3673" t="str">
            <v>23037</v>
          </cell>
          <cell r="E3673" t="str">
            <v>SW FLG</v>
          </cell>
          <cell r="F3673">
            <v>3</v>
          </cell>
          <cell r="G3673" t="str">
            <v>CB240208000T00</v>
          </cell>
          <cell r="H3673">
            <v>0.75</v>
          </cell>
          <cell r="I3673" t="str">
            <v>--</v>
          </cell>
          <cell r="J3673">
            <v>2</v>
          </cell>
          <cell r="K3673">
            <v>2</v>
          </cell>
        </row>
        <row r="3674">
          <cell r="A3674" t="str">
            <v>M2</v>
          </cell>
          <cell r="B3674" t="str">
            <v>A5C</v>
          </cell>
          <cell r="C3674" t="str">
            <v>P</v>
          </cell>
          <cell r="D3674" t="str">
            <v>23081</v>
          </cell>
          <cell r="E3674" t="str">
            <v>SW FLG</v>
          </cell>
          <cell r="F3674">
            <v>3</v>
          </cell>
          <cell r="G3674" t="str">
            <v>CB240208000T00</v>
          </cell>
          <cell r="H3674">
            <v>0.75</v>
          </cell>
          <cell r="I3674" t="str">
            <v>--</v>
          </cell>
          <cell r="J3674">
            <v>2</v>
          </cell>
          <cell r="K3674">
            <v>2</v>
          </cell>
        </row>
        <row r="3675">
          <cell r="A3675" t="str">
            <v>M2</v>
          </cell>
          <cell r="B3675" t="str">
            <v>A5C</v>
          </cell>
          <cell r="C3675" t="str">
            <v>P</v>
          </cell>
          <cell r="D3675" t="str">
            <v>23112</v>
          </cell>
          <cell r="E3675" t="str">
            <v>SW FLG</v>
          </cell>
          <cell r="F3675">
            <v>3</v>
          </cell>
          <cell r="G3675" t="str">
            <v>CB240108000T00</v>
          </cell>
          <cell r="H3675">
            <v>0.75</v>
          </cell>
          <cell r="I3675" t="str">
            <v>--</v>
          </cell>
          <cell r="J3675">
            <v>1</v>
          </cell>
          <cell r="K3675">
            <v>1</v>
          </cell>
        </row>
        <row r="3676">
          <cell r="A3676" t="str">
            <v>M2</v>
          </cell>
          <cell r="B3676" t="str">
            <v>A5C</v>
          </cell>
          <cell r="C3676" t="str">
            <v>P</v>
          </cell>
          <cell r="D3676" t="str">
            <v>23141</v>
          </cell>
          <cell r="E3676" t="str">
            <v>SW FLG</v>
          </cell>
          <cell r="F3676">
            <v>3</v>
          </cell>
          <cell r="G3676" t="str">
            <v>CB240208000T00</v>
          </cell>
          <cell r="H3676">
            <v>0.75</v>
          </cell>
          <cell r="I3676" t="str">
            <v>--</v>
          </cell>
          <cell r="J3676">
            <v>5</v>
          </cell>
          <cell r="K3676">
            <v>5</v>
          </cell>
        </row>
        <row r="3677">
          <cell r="A3677" t="str">
            <v>M2</v>
          </cell>
          <cell r="B3677" t="str">
            <v>A5C</v>
          </cell>
          <cell r="C3677" t="str">
            <v>P</v>
          </cell>
          <cell r="D3677" t="str">
            <v>23149</v>
          </cell>
          <cell r="E3677" t="str">
            <v>SW FLG</v>
          </cell>
          <cell r="F3677">
            <v>3</v>
          </cell>
          <cell r="G3677" t="str">
            <v>CB240208000T00</v>
          </cell>
          <cell r="H3677">
            <v>0.75</v>
          </cell>
          <cell r="I3677" t="str">
            <v>--</v>
          </cell>
          <cell r="J3677">
            <v>2</v>
          </cell>
          <cell r="K3677">
            <v>2</v>
          </cell>
        </row>
        <row r="3678">
          <cell r="A3678" t="str">
            <v>M2</v>
          </cell>
          <cell r="B3678" t="str">
            <v>A5C</v>
          </cell>
          <cell r="C3678" t="str">
            <v>P</v>
          </cell>
          <cell r="D3678" t="str">
            <v>23238</v>
          </cell>
          <cell r="E3678" t="str">
            <v>SW FLG</v>
          </cell>
          <cell r="F3678">
            <v>3</v>
          </cell>
          <cell r="G3678" t="str">
            <v>CB240208000T00</v>
          </cell>
          <cell r="H3678">
            <v>0.75</v>
          </cell>
          <cell r="I3678" t="str">
            <v>--</v>
          </cell>
          <cell r="J3678">
            <v>2</v>
          </cell>
          <cell r="K3678">
            <v>2</v>
          </cell>
        </row>
        <row r="3679">
          <cell r="A3679" t="str">
            <v>M2</v>
          </cell>
          <cell r="B3679" t="str">
            <v>A5C</v>
          </cell>
          <cell r="C3679" t="str">
            <v>P</v>
          </cell>
          <cell r="D3679" t="str">
            <v>24024</v>
          </cell>
          <cell r="E3679" t="str">
            <v>SW FLG</v>
          </cell>
          <cell r="F3679">
            <v>3</v>
          </cell>
          <cell r="G3679" t="str">
            <v>CB240108000T00</v>
          </cell>
          <cell r="H3679">
            <v>0.75</v>
          </cell>
          <cell r="I3679" t="str">
            <v>--</v>
          </cell>
          <cell r="J3679">
            <v>2</v>
          </cell>
          <cell r="K3679">
            <v>2</v>
          </cell>
        </row>
        <row r="3680">
          <cell r="A3680" t="str">
            <v>M2</v>
          </cell>
          <cell r="B3680" t="str">
            <v>A5C</v>
          </cell>
          <cell r="C3680" t="str">
            <v>P</v>
          </cell>
          <cell r="D3680" t="str">
            <v>24024</v>
          </cell>
          <cell r="E3680" t="str">
            <v>SW FLG</v>
          </cell>
          <cell r="F3680">
            <v>3</v>
          </cell>
          <cell r="G3680" t="str">
            <v>CB240208000T00</v>
          </cell>
          <cell r="H3680">
            <v>0.75</v>
          </cell>
          <cell r="I3680" t="str">
            <v>--</v>
          </cell>
          <cell r="J3680">
            <v>2</v>
          </cell>
          <cell r="K3680">
            <v>2</v>
          </cell>
        </row>
        <row r="3681">
          <cell r="A3681" t="str">
            <v>M2</v>
          </cell>
          <cell r="B3681" t="str">
            <v>A5C</v>
          </cell>
          <cell r="C3681" t="str">
            <v>P</v>
          </cell>
          <cell r="D3681" t="str">
            <v>23183</v>
          </cell>
          <cell r="E3681" t="str">
            <v>SW FLG</v>
          </cell>
          <cell r="F3681">
            <v>3</v>
          </cell>
          <cell r="G3681" t="str">
            <v>CB240108000T00</v>
          </cell>
          <cell r="H3681">
            <v>0.75</v>
          </cell>
          <cell r="I3681" t="str">
            <v>--</v>
          </cell>
          <cell r="J3681">
            <v>2</v>
          </cell>
          <cell r="K3681">
            <v>2</v>
          </cell>
        </row>
        <row r="3682">
          <cell r="A3682" t="str">
            <v>M2</v>
          </cell>
          <cell r="B3682" t="str">
            <v>A5C</v>
          </cell>
          <cell r="C3682" t="str">
            <v>P</v>
          </cell>
          <cell r="D3682" t="str">
            <v>23059</v>
          </cell>
          <cell r="E3682" t="str">
            <v>SW FLG</v>
          </cell>
          <cell r="F3682">
            <v>3</v>
          </cell>
          <cell r="G3682" t="str">
            <v>CB240108000T00</v>
          </cell>
          <cell r="H3682">
            <v>0.75</v>
          </cell>
          <cell r="I3682" t="str">
            <v>--</v>
          </cell>
          <cell r="J3682">
            <v>2</v>
          </cell>
          <cell r="K3682">
            <v>2</v>
          </cell>
        </row>
        <row r="3683">
          <cell r="A3683" t="str">
            <v>M2</v>
          </cell>
          <cell r="B3683" t="str">
            <v>A5C</v>
          </cell>
          <cell r="C3683" t="str">
            <v>P</v>
          </cell>
          <cell r="D3683" t="str">
            <v>23059</v>
          </cell>
          <cell r="E3683" t="str">
            <v>SW FLG</v>
          </cell>
          <cell r="F3683">
            <v>3</v>
          </cell>
          <cell r="G3683" t="str">
            <v>CB240208000T00</v>
          </cell>
          <cell r="H3683">
            <v>0.75</v>
          </cell>
          <cell r="I3683" t="str">
            <v>--</v>
          </cell>
          <cell r="J3683">
            <v>2</v>
          </cell>
          <cell r="K3683">
            <v>2</v>
          </cell>
        </row>
        <row r="3684">
          <cell r="A3684" t="str">
            <v>M2</v>
          </cell>
          <cell r="B3684" t="str">
            <v>A5C</v>
          </cell>
          <cell r="C3684" t="str">
            <v>P</v>
          </cell>
          <cell r="D3684" t="str">
            <v>23018</v>
          </cell>
          <cell r="E3684" t="str">
            <v>SW FLG</v>
          </cell>
          <cell r="F3684">
            <v>3</v>
          </cell>
          <cell r="G3684" t="str">
            <v>CB240208000T00</v>
          </cell>
          <cell r="H3684">
            <v>0.75</v>
          </cell>
          <cell r="I3684" t="str">
            <v>--</v>
          </cell>
          <cell r="J3684">
            <v>2</v>
          </cell>
          <cell r="K3684">
            <v>2</v>
          </cell>
        </row>
        <row r="3685">
          <cell r="A3685" t="str">
            <v>M2</v>
          </cell>
          <cell r="B3685" t="str">
            <v>A5C</v>
          </cell>
          <cell r="C3685" t="str">
            <v>P</v>
          </cell>
          <cell r="D3685" t="str">
            <v>23028</v>
          </cell>
          <cell r="E3685" t="str">
            <v>SW FLG</v>
          </cell>
          <cell r="F3685">
            <v>3</v>
          </cell>
          <cell r="G3685" t="str">
            <v>CB240108000T00</v>
          </cell>
          <cell r="H3685">
            <v>0.75</v>
          </cell>
          <cell r="I3685" t="str">
            <v>--</v>
          </cell>
          <cell r="J3685">
            <v>1</v>
          </cell>
          <cell r="K3685">
            <v>1</v>
          </cell>
        </row>
        <row r="3686">
          <cell r="A3686" t="str">
            <v>M2</v>
          </cell>
          <cell r="B3686" t="str">
            <v>A5C</v>
          </cell>
          <cell r="C3686" t="str">
            <v>P</v>
          </cell>
          <cell r="D3686" t="str">
            <v>23048</v>
          </cell>
          <cell r="E3686" t="str">
            <v>SW FLG</v>
          </cell>
          <cell r="F3686">
            <v>3</v>
          </cell>
          <cell r="G3686" t="str">
            <v>CB240108000T00</v>
          </cell>
          <cell r="H3686">
            <v>0.75</v>
          </cell>
          <cell r="I3686" t="str">
            <v>--</v>
          </cell>
          <cell r="J3686">
            <v>2</v>
          </cell>
          <cell r="K3686">
            <v>2</v>
          </cell>
        </row>
        <row r="3687">
          <cell r="A3687" t="str">
            <v>M2</v>
          </cell>
          <cell r="B3687" t="str">
            <v>A5C</v>
          </cell>
          <cell r="C3687" t="str">
            <v>P</v>
          </cell>
          <cell r="D3687" t="str">
            <v>23048</v>
          </cell>
          <cell r="E3687" t="str">
            <v>SW FLG</v>
          </cell>
          <cell r="F3687">
            <v>3</v>
          </cell>
          <cell r="G3687" t="str">
            <v>CB240208000T00</v>
          </cell>
          <cell r="H3687">
            <v>0.75</v>
          </cell>
          <cell r="I3687" t="str">
            <v>--</v>
          </cell>
          <cell r="J3687">
            <v>2</v>
          </cell>
          <cell r="K3687">
            <v>2</v>
          </cell>
        </row>
        <row r="3688">
          <cell r="A3688" t="str">
            <v>M2</v>
          </cell>
          <cell r="B3688" t="str">
            <v>A5C</v>
          </cell>
          <cell r="C3688" t="str">
            <v>P</v>
          </cell>
          <cell r="D3688" t="str">
            <v>23048</v>
          </cell>
          <cell r="E3688" t="str">
            <v>SW FLG</v>
          </cell>
          <cell r="F3688">
            <v>3</v>
          </cell>
          <cell r="G3688" t="str">
            <v>CB240108000T00</v>
          </cell>
          <cell r="H3688">
            <v>0.75</v>
          </cell>
          <cell r="I3688" t="str">
            <v>--</v>
          </cell>
          <cell r="J3688">
            <v>1</v>
          </cell>
          <cell r="K3688">
            <v>1</v>
          </cell>
        </row>
        <row r="3689">
          <cell r="A3689" t="str">
            <v>M2</v>
          </cell>
          <cell r="B3689" t="str">
            <v>A5C</v>
          </cell>
          <cell r="C3689" t="str">
            <v>P</v>
          </cell>
          <cell r="D3689" t="str">
            <v>23065</v>
          </cell>
          <cell r="E3689" t="str">
            <v>SW FLG</v>
          </cell>
          <cell r="F3689">
            <v>3</v>
          </cell>
          <cell r="G3689" t="str">
            <v>CB240108000T00</v>
          </cell>
          <cell r="H3689">
            <v>0.75</v>
          </cell>
          <cell r="I3689" t="str">
            <v>--</v>
          </cell>
          <cell r="J3689">
            <v>1</v>
          </cell>
          <cell r="K3689">
            <v>1</v>
          </cell>
        </row>
        <row r="3690">
          <cell r="A3690" t="str">
            <v>M2</v>
          </cell>
          <cell r="B3690" t="str">
            <v>A5C</v>
          </cell>
          <cell r="C3690" t="str">
            <v>P</v>
          </cell>
          <cell r="D3690" t="str">
            <v>23074</v>
          </cell>
          <cell r="E3690" t="str">
            <v>SW FLG</v>
          </cell>
          <cell r="F3690">
            <v>3</v>
          </cell>
          <cell r="G3690" t="str">
            <v>CB240108000T00</v>
          </cell>
          <cell r="H3690">
            <v>0.75</v>
          </cell>
          <cell r="I3690" t="str">
            <v>--</v>
          </cell>
          <cell r="J3690">
            <v>2</v>
          </cell>
          <cell r="K3690">
            <v>2</v>
          </cell>
        </row>
        <row r="3691">
          <cell r="A3691" t="str">
            <v>M2</v>
          </cell>
          <cell r="B3691" t="str">
            <v>A5C</v>
          </cell>
          <cell r="C3691" t="str">
            <v>P</v>
          </cell>
          <cell r="D3691" t="str">
            <v>23080</v>
          </cell>
          <cell r="E3691" t="str">
            <v>SW FLG</v>
          </cell>
          <cell r="F3691">
            <v>3</v>
          </cell>
          <cell r="G3691" t="str">
            <v>CB240208000T00</v>
          </cell>
          <cell r="H3691">
            <v>0.75</v>
          </cell>
          <cell r="I3691" t="str">
            <v>--</v>
          </cell>
          <cell r="J3691">
            <v>2</v>
          </cell>
          <cell r="K3691">
            <v>2</v>
          </cell>
        </row>
        <row r="3692">
          <cell r="A3692" t="str">
            <v>M2</v>
          </cell>
          <cell r="B3692" t="str">
            <v>A5C</v>
          </cell>
          <cell r="C3692" t="str">
            <v>P</v>
          </cell>
          <cell r="D3692" t="str">
            <v>23080</v>
          </cell>
          <cell r="E3692" t="str">
            <v>SW FLG</v>
          </cell>
          <cell r="F3692">
            <v>3</v>
          </cell>
          <cell r="G3692" t="str">
            <v>CB240108000T00</v>
          </cell>
          <cell r="H3692">
            <v>0.75</v>
          </cell>
          <cell r="I3692" t="str">
            <v>--</v>
          </cell>
          <cell r="J3692">
            <v>1</v>
          </cell>
          <cell r="K3692">
            <v>1</v>
          </cell>
        </row>
        <row r="3693">
          <cell r="A3693" t="str">
            <v>M2</v>
          </cell>
          <cell r="B3693" t="str">
            <v>A5C</v>
          </cell>
          <cell r="C3693" t="str">
            <v>P</v>
          </cell>
          <cell r="D3693" t="str">
            <v>23155</v>
          </cell>
          <cell r="E3693" t="str">
            <v>SW FLG</v>
          </cell>
          <cell r="F3693">
            <v>3</v>
          </cell>
          <cell r="G3693" t="str">
            <v>CB240108000T00</v>
          </cell>
          <cell r="H3693">
            <v>0.75</v>
          </cell>
          <cell r="I3693" t="str">
            <v>--</v>
          </cell>
          <cell r="J3693">
            <v>1</v>
          </cell>
          <cell r="K3693">
            <v>1</v>
          </cell>
        </row>
        <row r="3694">
          <cell r="A3694" t="str">
            <v>M2</v>
          </cell>
          <cell r="B3694" t="str">
            <v>A5C</v>
          </cell>
          <cell r="C3694" t="str">
            <v>P</v>
          </cell>
          <cell r="D3694" t="str">
            <v>23163</v>
          </cell>
          <cell r="E3694" t="str">
            <v>SW FLG</v>
          </cell>
          <cell r="F3694">
            <v>3</v>
          </cell>
          <cell r="G3694" t="str">
            <v>CB240108000T00</v>
          </cell>
          <cell r="H3694">
            <v>0.75</v>
          </cell>
          <cell r="I3694" t="str">
            <v>--</v>
          </cell>
          <cell r="J3694">
            <v>1</v>
          </cell>
          <cell r="K3694">
            <v>1</v>
          </cell>
        </row>
        <row r="3695">
          <cell r="A3695" t="str">
            <v>M2</v>
          </cell>
          <cell r="B3695" t="str">
            <v>A5C</v>
          </cell>
          <cell r="C3695" t="str">
            <v>P</v>
          </cell>
          <cell r="D3695" t="str">
            <v>23173</v>
          </cell>
          <cell r="E3695" t="str">
            <v>SW FLG</v>
          </cell>
          <cell r="F3695">
            <v>3</v>
          </cell>
          <cell r="G3695" t="str">
            <v>CB240108000T00</v>
          </cell>
          <cell r="H3695">
            <v>0.75</v>
          </cell>
          <cell r="I3695" t="str">
            <v>--</v>
          </cell>
          <cell r="J3695">
            <v>4</v>
          </cell>
          <cell r="K3695">
            <v>4</v>
          </cell>
        </row>
        <row r="3696">
          <cell r="A3696" t="str">
            <v>M2</v>
          </cell>
          <cell r="B3696" t="str">
            <v>A5C</v>
          </cell>
          <cell r="C3696" t="str">
            <v>P</v>
          </cell>
          <cell r="D3696" t="str">
            <v>23184</v>
          </cell>
          <cell r="E3696" t="str">
            <v>SW FLG</v>
          </cell>
          <cell r="F3696">
            <v>3</v>
          </cell>
          <cell r="G3696" t="str">
            <v>CB240108000T00</v>
          </cell>
          <cell r="H3696">
            <v>0.75</v>
          </cell>
          <cell r="I3696" t="str">
            <v>--</v>
          </cell>
          <cell r="J3696">
            <v>1</v>
          </cell>
          <cell r="K3696">
            <v>1</v>
          </cell>
        </row>
        <row r="3697">
          <cell r="A3697" t="str">
            <v>M2</v>
          </cell>
          <cell r="B3697" t="str">
            <v>A5C</v>
          </cell>
          <cell r="C3697" t="str">
            <v>P</v>
          </cell>
          <cell r="D3697" t="str">
            <v>23191</v>
          </cell>
          <cell r="E3697" t="str">
            <v>SW FLG</v>
          </cell>
          <cell r="F3697">
            <v>3</v>
          </cell>
          <cell r="G3697" t="str">
            <v>CB240108000T00</v>
          </cell>
          <cell r="H3697">
            <v>0.75</v>
          </cell>
          <cell r="I3697" t="str">
            <v>--</v>
          </cell>
          <cell r="J3697">
            <v>4</v>
          </cell>
          <cell r="K3697">
            <v>4</v>
          </cell>
        </row>
        <row r="3698">
          <cell r="A3698" t="str">
            <v>M2</v>
          </cell>
          <cell r="B3698" t="str">
            <v>A5C</v>
          </cell>
          <cell r="C3698" t="str">
            <v>P</v>
          </cell>
          <cell r="D3698" t="str">
            <v>23193</v>
          </cell>
          <cell r="E3698" t="str">
            <v>SW FLG</v>
          </cell>
          <cell r="F3698">
            <v>3</v>
          </cell>
          <cell r="G3698" t="str">
            <v>CB240108000T00</v>
          </cell>
          <cell r="H3698">
            <v>0.75</v>
          </cell>
          <cell r="I3698" t="str">
            <v>--</v>
          </cell>
          <cell r="J3698">
            <v>1</v>
          </cell>
          <cell r="K3698">
            <v>1</v>
          </cell>
        </row>
        <row r="3699">
          <cell r="A3699" t="str">
            <v>M2</v>
          </cell>
          <cell r="B3699" t="str">
            <v>A5C</v>
          </cell>
          <cell r="C3699" t="str">
            <v>P</v>
          </cell>
          <cell r="D3699" t="str">
            <v>24016</v>
          </cell>
          <cell r="E3699" t="str">
            <v>SW FLG</v>
          </cell>
          <cell r="F3699">
            <v>3</v>
          </cell>
          <cell r="G3699" t="str">
            <v>CB240108000T00</v>
          </cell>
          <cell r="H3699">
            <v>0.75</v>
          </cell>
          <cell r="I3699" t="str">
            <v>--</v>
          </cell>
          <cell r="J3699">
            <v>2</v>
          </cell>
          <cell r="K3699">
            <v>2</v>
          </cell>
        </row>
        <row r="3700">
          <cell r="A3700" t="str">
            <v>M2</v>
          </cell>
          <cell r="B3700" t="str">
            <v>A5C</v>
          </cell>
          <cell r="C3700" t="str">
            <v>P</v>
          </cell>
          <cell r="D3700" t="str">
            <v>24016</v>
          </cell>
          <cell r="E3700" t="str">
            <v>SW FLG</v>
          </cell>
          <cell r="F3700">
            <v>3</v>
          </cell>
          <cell r="G3700" t="str">
            <v>CB240208000T00</v>
          </cell>
          <cell r="H3700">
            <v>0.75</v>
          </cell>
          <cell r="I3700" t="str">
            <v>--</v>
          </cell>
          <cell r="J3700">
            <v>2</v>
          </cell>
          <cell r="K3700">
            <v>2</v>
          </cell>
        </row>
        <row r="3701">
          <cell r="A3701" t="str">
            <v>M2</v>
          </cell>
          <cell r="B3701" t="str">
            <v>A5C</v>
          </cell>
          <cell r="C3701" t="str">
            <v>P</v>
          </cell>
          <cell r="D3701" t="str">
            <v>24017</v>
          </cell>
          <cell r="E3701" t="str">
            <v>SW FLG</v>
          </cell>
          <cell r="F3701">
            <v>3</v>
          </cell>
          <cell r="G3701" t="str">
            <v>CB240208000T00</v>
          </cell>
          <cell r="H3701">
            <v>0.75</v>
          </cell>
          <cell r="I3701" t="str">
            <v>--</v>
          </cell>
          <cell r="J3701">
            <v>2</v>
          </cell>
          <cell r="K3701">
            <v>2</v>
          </cell>
        </row>
        <row r="3702">
          <cell r="A3702" t="str">
            <v>M2</v>
          </cell>
          <cell r="B3702" t="str">
            <v>A5C</v>
          </cell>
          <cell r="C3702" t="str">
            <v>P</v>
          </cell>
          <cell r="D3702" t="str">
            <v>24018</v>
          </cell>
          <cell r="E3702" t="str">
            <v>SW FLG</v>
          </cell>
          <cell r="F3702">
            <v>3</v>
          </cell>
          <cell r="G3702" t="str">
            <v>CB240208000T00</v>
          </cell>
          <cell r="H3702">
            <v>0.75</v>
          </cell>
          <cell r="I3702" t="str">
            <v>--</v>
          </cell>
          <cell r="J3702">
            <v>2</v>
          </cell>
          <cell r="K3702">
            <v>2</v>
          </cell>
        </row>
        <row r="3703">
          <cell r="A3703" t="str">
            <v>M2</v>
          </cell>
          <cell r="B3703" t="str">
            <v>A5C</v>
          </cell>
          <cell r="C3703" t="str">
            <v>P</v>
          </cell>
          <cell r="D3703" t="str">
            <v>23027</v>
          </cell>
          <cell r="E3703" t="str">
            <v>SW FLG</v>
          </cell>
          <cell r="F3703">
            <v>3</v>
          </cell>
          <cell r="G3703" t="str">
            <v>CB240208000T00</v>
          </cell>
          <cell r="H3703">
            <v>0.75</v>
          </cell>
          <cell r="I3703" t="str">
            <v>--</v>
          </cell>
          <cell r="J3703">
            <v>2</v>
          </cell>
          <cell r="K3703">
            <v>2</v>
          </cell>
        </row>
        <row r="3704">
          <cell r="A3704" t="str">
            <v>M2</v>
          </cell>
          <cell r="B3704" t="str">
            <v>A5C</v>
          </cell>
          <cell r="C3704" t="str">
            <v>P</v>
          </cell>
          <cell r="D3704" t="str">
            <v>23028</v>
          </cell>
          <cell r="E3704" t="str">
            <v>SW FLG</v>
          </cell>
          <cell r="F3704">
            <v>3</v>
          </cell>
          <cell r="G3704" t="str">
            <v>CB240208000T00</v>
          </cell>
          <cell r="H3704">
            <v>0.75</v>
          </cell>
          <cell r="I3704" t="str">
            <v>--</v>
          </cell>
          <cell r="J3704">
            <v>2</v>
          </cell>
          <cell r="K3704">
            <v>2</v>
          </cell>
        </row>
        <row r="3705">
          <cell r="A3705" t="str">
            <v>M2</v>
          </cell>
          <cell r="B3705" t="str">
            <v>A5C</v>
          </cell>
          <cell r="C3705" t="str">
            <v>P</v>
          </cell>
          <cell r="D3705" t="str">
            <v>23053</v>
          </cell>
          <cell r="E3705" t="str">
            <v>SW FLG</v>
          </cell>
          <cell r="F3705">
            <v>3</v>
          </cell>
          <cell r="G3705" t="str">
            <v>CB240208000T00</v>
          </cell>
          <cell r="H3705">
            <v>0.75</v>
          </cell>
          <cell r="I3705" t="str">
            <v>--</v>
          </cell>
          <cell r="J3705">
            <v>2</v>
          </cell>
          <cell r="K3705">
            <v>2</v>
          </cell>
        </row>
        <row r="3706">
          <cell r="A3706" t="str">
            <v>M2</v>
          </cell>
          <cell r="B3706" t="str">
            <v>A5C</v>
          </cell>
          <cell r="C3706" t="str">
            <v>P</v>
          </cell>
          <cell r="D3706" t="str">
            <v>23053</v>
          </cell>
          <cell r="E3706" t="str">
            <v>SW FLG</v>
          </cell>
          <cell r="F3706">
            <v>3</v>
          </cell>
          <cell r="G3706" t="str">
            <v>CB240108000T00</v>
          </cell>
          <cell r="H3706">
            <v>0.75</v>
          </cell>
          <cell r="I3706" t="str">
            <v>--</v>
          </cell>
          <cell r="J3706">
            <v>1</v>
          </cell>
          <cell r="K3706">
            <v>1</v>
          </cell>
        </row>
        <row r="3707">
          <cell r="A3707" t="str">
            <v>M2</v>
          </cell>
          <cell r="B3707" t="str">
            <v>A5C</v>
          </cell>
          <cell r="C3707" t="str">
            <v>P</v>
          </cell>
          <cell r="D3707" t="str">
            <v>23079</v>
          </cell>
          <cell r="E3707" t="str">
            <v>SW FLG</v>
          </cell>
          <cell r="F3707">
            <v>3</v>
          </cell>
          <cell r="G3707" t="str">
            <v>CB240108000T00</v>
          </cell>
          <cell r="H3707">
            <v>0.75</v>
          </cell>
          <cell r="I3707" t="str">
            <v>--</v>
          </cell>
          <cell r="J3707">
            <v>2</v>
          </cell>
          <cell r="K3707">
            <v>2</v>
          </cell>
        </row>
        <row r="3708">
          <cell r="A3708" t="str">
            <v>M2</v>
          </cell>
          <cell r="B3708" t="str">
            <v>A5C</v>
          </cell>
          <cell r="C3708" t="str">
            <v>P</v>
          </cell>
          <cell r="D3708" t="str">
            <v>23079</v>
          </cell>
          <cell r="E3708" t="str">
            <v>SW FLG</v>
          </cell>
          <cell r="F3708">
            <v>3</v>
          </cell>
          <cell r="G3708" t="str">
            <v>CB240208000T00</v>
          </cell>
          <cell r="H3708">
            <v>0.75</v>
          </cell>
          <cell r="I3708" t="str">
            <v>--</v>
          </cell>
          <cell r="J3708">
            <v>2</v>
          </cell>
          <cell r="K3708">
            <v>2</v>
          </cell>
        </row>
        <row r="3709">
          <cell r="A3709" t="str">
            <v>M2</v>
          </cell>
          <cell r="B3709" t="str">
            <v>A5C</v>
          </cell>
          <cell r="C3709" t="str">
            <v>P</v>
          </cell>
          <cell r="D3709" t="str">
            <v>23176</v>
          </cell>
          <cell r="E3709" t="str">
            <v>SW FLG</v>
          </cell>
          <cell r="F3709">
            <v>3</v>
          </cell>
          <cell r="G3709" t="str">
            <v>CB240108000T00</v>
          </cell>
          <cell r="H3709">
            <v>0.75</v>
          </cell>
          <cell r="I3709" t="str">
            <v>--</v>
          </cell>
          <cell r="J3709">
            <v>1</v>
          </cell>
          <cell r="K3709">
            <v>1</v>
          </cell>
        </row>
        <row r="3710">
          <cell r="A3710" t="str">
            <v>M2</v>
          </cell>
          <cell r="B3710" t="str">
            <v>A5C</v>
          </cell>
          <cell r="C3710" t="str">
            <v>P</v>
          </cell>
          <cell r="D3710" t="str">
            <v>23180</v>
          </cell>
          <cell r="E3710" t="str">
            <v>SW FLG</v>
          </cell>
          <cell r="F3710">
            <v>3</v>
          </cell>
          <cell r="G3710" t="str">
            <v>CB240108000T00</v>
          </cell>
          <cell r="H3710">
            <v>0.75</v>
          </cell>
          <cell r="I3710" t="str">
            <v>--</v>
          </cell>
          <cell r="J3710">
            <v>4</v>
          </cell>
          <cell r="K3710">
            <v>4</v>
          </cell>
        </row>
        <row r="3711">
          <cell r="A3711" t="str">
            <v>M2</v>
          </cell>
          <cell r="B3711" t="str">
            <v>A5C</v>
          </cell>
          <cell r="C3711" t="str">
            <v>P</v>
          </cell>
          <cell r="D3711" t="str">
            <v>23219</v>
          </cell>
          <cell r="E3711" t="str">
            <v>SW FLG</v>
          </cell>
          <cell r="F3711">
            <v>3</v>
          </cell>
          <cell r="G3711" t="str">
            <v>CB240108000T00</v>
          </cell>
          <cell r="H3711">
            <v>0.75</v>
          </cell>
          <cell r="I3711" t="str">
            <v>--</v>
          </cell>
          <cell r="J3711">
            <v>2</v>
          </cell>
          <cell r="K3711">
            <v>2</v>
          </cell>
        </row>
        <row r="3712">
          <cell r="A3712" t="str">
            <v>M2</v>
          </cell>
          <cell r="B3712" t="str">
            <v>A5C</v>
          </cell>
          <cell r="C3712" t="str">
            <v>TRIM</v>
          </cell>
          <cell r="D3712" t="str">
            <v>V-2403</v>
          </cell>
          <cell r="E3712" t="str">
            <v>SW FLG</v>
          </cell>
          <cell r="F3712">
            <v>3</v>
          </cell>
          <cell r="G3712" t="str">
            <v>CB240108000T00</v>
          </cell>
          <cell r="H3712">
            <v>0.75</v>
          </cell>
          <cell r="I3712" t="str">
            <v>--</v>
          </cell>
          <cell r="J3712">
            <v>2</v>
          </cell>
          <cell r="K3712">
            <v>2</v>
          </cell>
        </row>
        <row r="3713">
          <cell r="A3713" t="str">
            <v>M2</v>
          </cell>
          <cell r="B3713" t="str">
            <v>A5C</v>
          </cell>
          <cell r="C3713" t="str">
            <v>P</v>
          </cell>
          <cell r="D3713" t="str">
            <v>23013</v>
          </cell>
          <cell r="E3713" t="str">
            <v>SW FLG</v>
          </cell>
          <cell r="F3713">
            <v>3</v>
          </cell>
          <cell r="G3713" t="str">
            <v>CB240108000T00</v>
          </cell>
          <cell r="H3713">
            <v>0.75</v>
          </cell>
          <cell r="I3713" t="str">
            <v>--</v>
          </cell>
          <cell r="J3713">
            <v>3</v>
          </cell>
          <cell r="K3713">
            <v>3</v>
          </cell>
        </row>
        <row r="3714">
          <cell r="A3714" t="str">
            <v>M2</v>
          </cell>
          <cell r="B3714" t="str">
            <v>A5C</v>
          </cell>
          <cell r="C3714" t="str">
            <v>P</v>
          </cell>
          <cell r="D3714" t="str">
            <v>23156</v>
          </cell>
          <cell r="E3714" t="str">
            <v>SW FLG</v>
          </cell>
          <cell r="F3714">
            <v>3</v>
          </cell>
          <cell r="G3714" t="str">
            <v>CB240208000T00</v>
          </cell>
          <cell r="H3714">
            <v>0.75</v>
          </cell>
          <cell r="I3714" t="str">
            <v>--</v>
          </cell>
          <cell r="J3714">
            <v>2</v>
          </cell>
          <cell r="K3714">
            <v>2</v>
          </cell>
        </row>
        <row r="3715">
          <cell r="A3715" t="str">
            <v>M2</v>
          </cell>
          <cell r="B3715" t="str">
            <v>A5C</v>
          </cell>
          <cell r="C3715" t="str">
            <v>P</v>
          </cell>
          <cell r="D3715" t="str">
            <v>24004</v>
          </cell>
          <cell r="E3715" t="str">
            <v>SW FLG</v>
          </cell>
          <cell r="F3715">
            <v>3</v>
          </cell>
          <cell r="G3715" t="str">
            <v>CB240108000T00</v>
          </cell>
          <cell r="H3715">
            <v>0.75</v>
          </cell>
          <cell r="I3715" t="str">
            <v>--</v>
          </cell>
          <cell r="J3715">
            <v>2</v>
          </cell>
          <cell r="K3715">
            <v>2</v>
          </cell>
        </row>
        <row r="3716">
          <cell r="A3716" t="str">
            <v>M2</v>
          </cell>
          <cell r="B3716" t="str">
            <v>A5C</v>
          </cell>
          <cell r="C3716" t="str">
            <v>P</v>
          </cell>
          <cell r="D3716" t="str">
            <v>24029</v>
          </cell>
          <cell r="E3716" t="str">
            <v>SW FLG</v>
          </cell>
          <cell r="F3716">
            <v>3</v>
          </cell>
          <cell r="G3716" t="str">
            <v>CB240108000T00</v>
          </cell>
          <cell r="H3716">
            <v>0.75</v>
          </cell>
          <cell r="I3716" t="str">
            <v>--</v>
          </cell>
          <cell r="J3716">
            <v>2</v>
          </cell>
          <cell r="K3716">
            <v>2</v>
          </cell>
        </row>
        <row r="3717">
          <cell r="A3717" t="str">
            <v>M2</v>
          </cell>
          <cell r="B3717" t="str">
            <v>A5C</v>
          </cell>
          <cell r="C3717" t="str">
            <v>P</v>
          </cell>
          <cell r="D3717" t="str">
            <v>24031</v>
          </cell>
          <cell r="E3717" t="str">
            <v>SW FLG</v>
          </cell>
          <cell r="F3717">
            <v>3</v>
          </cell>
          <cell r="G3717" t="str">
            <v>CB240108000T00</v>
          </cell>
          <cell r="H3717">
            <v>0.75</v>
          </cell>
          <cell r="I3717" t="str">
            <v>--</v>
          </cell>
          <cell r="J3717">
            <v>2</v>
          </cell>
          <cell r="K3717">
            <v>2</v>
          </cell>
        </row>
        <row r="3718">
          <cell r="A3718" t="str">
            <v>M2</v>
          </cell>
          <cell r="B3718" t="str">
            <v>A5C</v>
          </cell>
          <cell r="C3718" t="str">
            <v>P</v>
          </cell>
          <cell r="D3718" t="str">
            <v>24033</v>
          </cell>
          <cell r="E3718" t="str">
            <v>SW FLG</v>
          </cell>
          <cell r="F3718">
            <v>3</v>
          </cell>
          <cell r="G3718" t="str">
            <v>CB240108000T00</v>
          </cell>
          <cell r="H3718">
            <v>0.75</v>
          </cell>
          <cell r="I3718" t="str">
            <v>--</v>
          </cell>
          <cell r="J3718">
            <v>2</v>
          </cell>
          <cell r="K3718">
            <v>2</v>
          </cell>
        </row>
        <row r="3719">
          <cell r="A3719" t="str">
            <v>M2</v>
          </cell>
          <cell r="B3719" t="str">
            <v>A5C</v>
          </cell>
          <cell r="C3719" t="str">
            <v>P</v>
          </cell>
          <cell r="D3719" t="str">
            <v>99004</v>
          </cell>
          <cell r="E3719" t="str">
            <v>SW FLG</v>
          </cell>
          <cell r="F3719">
            <v>3</v>
          </cell>
          <cell r="G3719" t="str">
            <v>CB240208000T00</v>
          </cell>
          <cell r="H3719">
            <v>0.75</v>
          </cell>
          <cell r="I3719" t="str">
            <v>--</v>
          </cell>
          <cell r="J3719">
            <v>2</v>
          </cell>
          <cell r="K3719">
            <v>2</v>
          </cell>
        </row>
        <row r="3720">
          <cell r="A3720" t="str">
            <v>M2</v>
          </cell>
          <cell r="B3720" t="str">
            <v>A5C</v>
          </cell>
          <cell r="C3720" t="str">
            <v>P</v>
          </cell>
          <cell r="D3720" t="str">
            <v>23156</v>
          </cell>
          <cell r="E3720" t="str">
            <v>SW FLG</v>
          </cell>
          <cell r="F3720">
            <v>3</v>
          </cell>
          <cell r="G3720" t="str">
            <v>CB240108000T00</v>
          </cell>
          <cell r="H3720">
            <v>0.75</v>
          </cell>
          <cell r="I3720" t="str">
            <v>--</v>
          </cell>
          <cell r="J3720">
            <v>1</v>
          </cell>
          <cell r="K3720">
            <v>1</v>
          </cell>
        </row>
        <row r="3721">
          <cell r="A3721" t="str">
            <v>M2</v>
          </cell>
          <cell r="B3721" t="str">
            <v>B2C</v>
          </cell>
          <cell r="C3721" t="str">
            <v>SH</v>
          </cell>
          <cell r="D3721" t="str">
            <v>23613</v>
          </cell>
          <cell r="E3721" t="str">
            <v>SW FLG</v>
          </cell>
          <cell r="F3721">
            <v>3</v>
          </cell>
          <cell r="G3721" t="str">
            <v>CB240208000100</v>
          </cell>
          <cell r="H3721">
            <v>1</v>
          </cell>
          <cell r="I3721" t="str">
            <v>--</v>
          </cell>
          <cell r="J3721">
            <v>1</v>
          </cell>
          <cell r="K3721">
            <v>1</v>
          </cell>
        </row>
        <row r="3722">
          <cell r="A3722" t="str">
            <v>M2</v>
          </cell>
          <cell r="B3722" t="str">
            <v>B2C</v>
          </cell>
          <cell r="C3722" t="str">
            <v>SH</v>
          </cell>
          <cell r="D3722" t="str">
            <v>24612</v>
          </cell>
          <cell r="E3722" t="str">
            <v>SW FLG</v>
          </cell>
          <cell r="F3722">
            <v>3</v>
          </cell>
          <cell r="G3722" t="str">
            <v>CB240208000100</v>
          </cell>
          <cell r="H3722">
            <v>1</v>
          </cell>
          <cell r="I3722" t="str">
            <v>--</v>
          </cell>
          <cell r="J3722">
            <v>1</v>
          </cell>
          <cell r="K3722">
            <v>1</v>
          </cell>
        </row>
        <row r="3723">
          <cell r="A3723" t="str">
            <v>M2</v>
          </cell>
          <cell r="B3723" t="str">
            <v>A5C</v>
          </cell>
          <cell r="C3723" t="str">
            <v>P</v>
          </cell>
          <cell r="D3723" t="str">
            <v>23011</v>
          </cell>
          <cell r="E3723" t="str">
            <v>LWN FLG</v>
          </cell>
          <cell r="F3723">
            <v>3</v>
          </cell>
          <cell r="G3723" t="str">
            <v>CB2901000001WL</v>
          </cell>
          <cell r="H3723">
            <v>1</v>
          </cell>
          <cell r="I3723" t="str">
            <v>150mm</v>
          </cell>
          <cell r="J3723">
            <v>1</v>
          </cell>
          <cell r="K3723">
            <v>1</v>
          </cell>
        </row>
        <row r="3724">
          <cell r="A3724" t="str">
            <v>M2</v>
          </cell>
          <cell r="B3724" t="str">
            <v>A5C</v>
          </cell>
          <cell r="C3724" t="str">
            <v>P</v>
          </cell>
          <cell r="D3724" t="str">
            <v>23057</v>
          </cell>
          <cell r="E3724" t="str">
            <v>LWN FLG</v>
          </cell>
          <cell r="F3724">
            <v>3</v>
          </cell>
          <cell r="G3724" t="str">
            <v>CB2901000001WL</v>
          </cell>
          <cell r="H3724">
            <v>1</v>
          </cell>
          <cell r="I3724" t="str">
            <v>150mm</v>
          </cell>
          <cell r="J3724">
            <v>1</v>
          </cell>
          <cell r="K3724">
            <v>1</v>
          </cell>
        </row>
        <row r="3725">
          <cell r="A3725" t="str">
            <v>M2</v>
          </cell>
          <cell r="B3725" t="str">
            <v>A5C</v>
          </cell>
          <cell r="C3725" t="str">
            <v>P</v>
          </cell>
          <cell r="D3725" t="str">
            <v>23067</v>
          </cell>
          <cell r="E3725" t="str">
            <v>LWN FLG</v>
          </cell>
          <cell r="F3725">
            <v>3</v>
          </cell>
          <cell r="G3725" t="str">
            <v>CB2901000001WL</v>
          </cell>
          <cell r="H3725">
            <v>1</v>
          </cell>
          <cell r="I3725" t="str">
            <v>150mm</v>
          </cell>
          <cell r="J3725">
            <v>1</v>
          </cell>
          <cell r="K3725">
            <v>1</v>
          </cell>
        </row>
        <row r="3726">
          <cell r="A3726" t="str">
            <v>M2</v>
          </cell>
          <cell r="B3726" t="str">
            <v>A5C</v>
          </cell>
          <cell r="C3726" t="str">
            <v>P</v>
          </cell>
          <cell r="D3726" t="str">
            <v>23072</v>
          </cell>
          <cell r="E3726" t="str">
            <v>LWN FLG</v>
          </cell>
          <cell r="F3726">
            <v>3</v>
          </cell>
          <cell r="G3726" t="str">
            <v>CB2901000001WL</v>
          </cell>
          <cell r="H3726">
            <v>1</v>
          </cell>
          <cell r="I3726" t="str">
            <v>150mm</v>
          </cell>
          <cell r="J3726">
            <v>1</v>
          </cell>
          <cell r="K3726">
            <v>1</v>
          </cell>
        </row>
        <row r="3727">
          <cell r="A3727" t="str">
            <v>M2</v>
          </cell>
          <cell r="B3727" t="str">
            <v>A5C</v>
          </cell>
          <cell r="C3727" t="str">
            <v>P</v>
          </cell>
          <cell r="D3727" t="str">
            <v>23097</v>
          </cell>
          <cell r="E3727" t="str">
            <v>LWN FLG</v>
          </cell>
          <cell r="F3727">
            <v>3</v>
          </cell>
          <cell r="G3727" t="str">
            <v>CB2901000001WL</v>
          </cell>
          <cell r="H3727">
            <v>1</v>
          </cell>
          <cell r="I3727" t="str">
            <v>150mm</v>
          </cell>
          <cell r="J3727">
            <v>1</v>
          </cell>
          <cell r="K3727">
            <v>1</v>
          </cell>
        </row>
        <row r="3728">
          <cell r="A3728" t="str">
            <v>M2</v>
          </cell>
          <cell r="B3728" t="str">
            <v>A5C</v>
          </cell>
          <cell r="C3728" t="str">
            <v>P</v>
          </cell>
          <cell r="D3728" t="str">
            <v>23136</v>
          </cell>
          <cell r="E3728" t="str">
            <v>LWN FLG</v>
          </cell>
          <cell r="F3728">
            <v>3</v>
          </cell>
          <cell r="G3728" t="str">
            <v>CB2901000001WL</v>
          </cell>
          <cell r="H3728">
            <v>1</v>
          </cell>
          <cell r="I3728" t="str">
            <v>150mm</v>
          </cell>
          <cell r="J3728">
            <v>1</v>
          </cell>
          <cell r="K3728">
            <v>1</v>
          </cell>
        </row>
        <row r="3729">
          <cell r="A3729" t="str">
            <v>M2</v>
          </cell>
          <cell r="B3729" t="str">
            <v>A5C</v>
          </cell>
          <cell r="C3729" t="str">
            <v>P</v>
          </cell>
          <cell r="D3729" t="str">
            <v>23228</v>
          </cell>
          <cell r="E3729" t="str">
            <v>LWN FLG</v>
          </cell>
          <cell r="F3729">
            <v>3</v>
          </cell>
          <cell r="G3729" t="str">
            <v>CB2901000001WL</v>
          </cell>
          <cell r="H3729">
            <v>1</v>
          </cell>
          <cell r="I3729" t="str">
            <v>150mm</v>
          </cell>
          <cell r="J3729">
            <v>1</v>
          </cell>
          <cell r="K3729">
            <v>1</v>
          </cell>
        </row>
        <row r="3730">
          <cell r="A3730" t="str">
            <v>M2</v>
          </cell>
          <cell r="B3730" t="str">
            <v>A5C</v>
          </cell>
          <cell r="C3730" t="str">
            <v>P</v>
          </cell>
          <cell r="D3730" t="str">
            <v>23250</v>
          </cell>
          <cell r="E3730" t="str">
            <v>LWN FLG</v>
          </cell>
          <cell r="F3730">
            <v>3</v>
          </cell>
          <cell r="G3730" t="str">
            <v>CB2901000001WL</v>
          </cell>
          <cell r="H3730">
            <v>1</v>
          </cell>
          <cell r="I3730" t="str">
            <v>150mm</v>
          </cell>
          <cell r="J3730">
            <v>1</v>
          </cell>
          <cell r="K3730">
            <v>1</v>
          </cell>
        </row>
        <row r="3731">
          <cell r="A3731" t="str">
            <v>M2</v>
          </cell>
          <cell r="B3731" t="str">
            <v>A5C</v>
          </cell>
          <cell r="C3731" t="str">
            <v>P</v>
          </cell>
          <cell r="D3731" t="str">
            <v>23035</v>
          </cell>
          <cell r="E3731" t="str">
            <v>LWN FLG</v>
          </cell>
          <cell r="F3731">
            <v>3</v>
          </cell>
          <cell r="G3731" t="str">
            <v>CB2901000001WL</v>
          </cell>
          <cell r="H3731">
            <v>1</v>
          </cell>
          <cell r="I3731" t="str">
            <v>150mm</v>
          </cell>
          <cell r="J3731">
            <v>1</v>
          </cell>
          <cell r="K3731">
            <v>1</v>
          </cell>
        </row>
        <row r="3732">
          <cell r="A3732" t="str">
            <v>M2</v>
          </cell>
          <cell r="B3732" t="str">
            <v>A5C</v>
          </cell>
          <cell r="C3732" t="str">
            <v>P</v>
          </cell>
          <cell r="D3732" t="str">
            <v>23046</v>
          </cell>
          <cell r="E3732" t="str">
            <v>LWN FLG</v>
          </cell>
          <cell r="F3732">
            <v>3</v>
          </cell>
          <cell r="G3732" t="str">
            <v>CB2901000001WL</v>
          </cell>
          <cell r="H3732">
            <v>1</v>
          </cell>
          <cell r="I3732" t="str">
            <v>150mm</v>
          </cell>
          <cell r="J3732">
            <v>1</v>
          </cell>
          <cell r="K3732">
            <v>1</v>
          </cell>
        </row>
        <row r="3733">
          <cell r="A3733" t="str">
            <v>M2</v>
          </cell>
          <cell r="B3733" t="str">
            <v>A5C</v>
          </cell>
          <cell r="C3733" t="str">
            <v>P</v>
          </cell>
          <cell r="D3733" t="str">
            <v>23126</v>
          </cell>
          <cell r="E3733" t="str">
            <v>LWN FLG</v>
          </cell>
          <cell r="F3733">
            <v>3</v>
          </cell>
          <cell r="G3733" t="str">
            <v>CB2901000001WL</v>
          </cell>
          <cell r="H3733">
            <v>1</v>
          </cell>
          <cell r="I3733" t="str">
            <v>150mm</v>
          </cell>
          <cell r="J3733">
            <v>1</v>
          </cell>
          <cell r="K3733">
            <v>1</v>
          </cell>
        </row>
        <row r="3734">
          <cell r="A3734" t="str">
            <v>M2</v>
          </cell>
          <cell r="B3734" t="str">
            <v>A5C</v>
          </cell>
          <cell r="C3734" t="str">
            <v>P</v>
          </cell>
          <cell r="D3734" t="str">
            <v>23188</v>
          </cell>
          <cell r="E3734" t="str">
            <v>LWN FLG</v>
          </cell>
          <cell r="F3734">
            <v>3</v>
          </cell>
          <cell r="G3734" t="str">
            <v>CB2901000001WL</v>
          </cell>
          <cell r="H3734">
            <v>1</v>
          </cell>
          <cell r="I3734" t="str">
            <v>150mm</v>
          </cell>
          <cell r="J3734">
            <v>1</v>
          </cell>
          <cell r="K3734">
            <v>1</v>
          </cell>
        </row>
        <row r="3735">
          <cell r="A3735" t="str">
            <v>M2</v>
          </cell>
          <cell r="B3735" t="str">
            <v>A5C</v>
          </cell>
          <cell r="C3735" t="str">
            <v>P</v>
          </cell>
          <cell r="D3735" t="str">
            <v>23230</v>
          </cell>
          <cell r="E3735" t="str">
            <v>LWN FLG</v>
          </cell>
          <cell r="F3735">
            <v>3</v>
          </cell>
          <cell r="G3735" t="str">
            <v>CB2901000001WL</v>
          </cell>
          <cell r="H3735">
            <v>1</v>
          </cell>
          <cell r="I3735" t="str">
            <v>150mm</v>
          </cell>
          <cell r="J3735">
            <v>1</v>
          </cell>
          <cell r="K3735">
            <v>1</v>
          </cell>
        </row>
        <row r="3736">
          <cell r="A3736" t="str">
            <v>M2</v>
          </cell>
          <cell r="B3736" t="str">
            <v>A5C</v>
          </cell>
          <cell r="C3736" t="str">
            <v>P</v>
          </cell>
          <cell r="D3736" t="str">
            <v>23252</v>
          </cell>
          <cell r="E3736" t="str">
            <v>LWN FLG</v>
          </cell>
          <cell r="F3736">
            <v>3</v>
          </cell>
          <cell r="G3736" t="str">
            <v>CB2901000001WL</v>
          </cell>
          <cell r="H3736">
            <v>1</v>
          </cell>
          <cell r="I3736" t="str">
            <v>150mm</v>
          </cell>
          <cell r="J3736">
            <v>1</v>
          </cell>
          <cell r="K3736">
            <v>1</v>
          </cell>
        </row>
        <row r="3737">
          <cell r="A3737" t="str">
            <v>M2</v>
          </cell>
          <cell r="B3737" t="str">
            <v>A5C</v>
          </cell>
          <cell r="C3737" t="str">
            <v>P</v>
          </cell>
          <cell r="D3737" t="str">
            <v>24013</v>
          </cell>
          <cell r="E3737" t="str">
            <v>LWN FLG</v>
          </cell>
          <cell r="F3737">
            <v>3</v>
          </cell>
          <cell r="G3737" t="str">
            <v>CB2901000001WL</v>
          </cell>
          <cell r="H3737">
            <v>1</v>
          </cell>
          <cell r="I3737" t="str">
            <v>150mm</v>
          </cell>
          <cell r="J3737">
            <v>1</v>
          </cell>
          <cell r="K3737">
            <v>1</v>
          </cell>
        </row>
        <row r="3738">
          <cell r="A3738" t="str">
            <v>M2</v>
          </cell>
          <cell r="B3738" t="str">
            <v>A5C</v>
          </cell>
          <cell r="C3738" t="str">
            <v>P</v>
          </cell>
          <cell r="D3738" t="str">
            <v>23006</v>
          </cell>
          <cell r="E3738" t="str">
            <v>SW FLG</v>
          </cell>
          <cell r="F3738">
            <v>3</v>
          </cell>
          <cell r="G3738" t="str">
            <v>CB240208000100</v>
          </cell>
          <cell r="H3738">
            <v>1</v>
          </cell>
          <cell r="I3738" t="str">
            <v>--</v>
          </cell>
          <cell r="J3738">
            <v>2</v>
          </cell>
          <cell r="K3738">
            <v>2</v>
          </cell>
        </row>
        <row r="3739">
          <cell r="A3739" t="str">
            <v>M2</v>
          </cell>
          <cell r="B3739" t="str">
            <v>A5C</v>
          </cell>
          <cell r="C3739" t="str">
            <v>P</v>
          </cell>
          <cell r="D3739" t="str">
            <v>23035</v>
          </cell>
          <cell r="E3739" t="str">
            <v>SW FLG</v>
          </cell>
          <cell r="F3739">
            <v>3</v>
          </cell>
          <cell r="G3739" t="str">
            <v>CB240208000100</v>
          </cell>
          <cell r="H3739">
            <v>1</v>
          </cell>
          <cell r="I3739" t="str">
            <v>--</v>
          </cell>
          <cell r="J3739">
            <v>2</v>
          </cell>
          <cell r="K3739">
            <v>2</v>
          </cell>
        </row>
        <row r="3740">
          <cell r="A3740" t="str">
            <v>M2</v>
          </cell>
          <cell r="B3740" t="str">
            <v>A5C</v>
          </cell>
          <cell r="C3740" t="str">
            <v>P</v>
          </cell>
          <cell r="D3740" t="str">
            <v>23037</v>
          </cell>
          <cell r="E3740" t="str">
            <v>SW FLG</v>
          </cell>
          <cell r="F3740">
            <v>3</v>
          </cell>
          <cell r="G3740" t="str">
            <v>CB240108000100</v>
          </cell>
          <cell r="H3740">
            <v>1</v>
          </cell>
          <cell r="I3740" t="str">
            <v>--</v>
          </cell>
          <cell r="J3740">
            <v>1</v>
          </cell>
          <cell r="K3740">
            <v>1</v>
          </cell>
        </row>
        <row r="3741">
          <cell r="A3741" t="str">
            <v>M2</v>
          </cell>
          <cell r="B3741" t="str">
            <v>A5C</v>
          </cell>
          <cell r="C3741" t="str">
            <v>P</v>
          </cell>
          <cell r="D3741" t="str">
            <v>23038</v>
          </cell>
          <cell r="E3741" t="str">
            <v>SW FLG</v>
          </cell>
          <cell r="F3741">
            <v>3</v>
          </cell>
          <cell r="G3741" t="str">
            <v>CB240108000100</v>
          </cell>
          <cell r="H3741">
            <v>1</v>
          </cell>
          <cell r="I3741" t="str">
            <v>--</v>
          </cell>
          <cell r="J3741">
            <v>2</v>
          </cell>
          <cell r="K3741">
            <v>2</v>
          </cell>
        </row>
        <row r="3742">
          <cell r="A3742" t="str">
            <v>M2</v>
          </cell>
          <cell r="B3742" t="str">
            <v>A5C</v>
          </cell>
          <cell r="C3742" t="str">
            <v>P</v>
          </cell>
          <cell r="D3742" t="str">
            <v>23052</v>
          </cell>
          <cell r="E3742" t="str">
            <v>SW FLG</v>
          </cell>
          <cell r="F3742">
            <v>3</v>
          </cell>
          <cell r="G3742" t="str">
            <v>CB240108000100</v>
          </cell>
          <cell r="H3742">
            <v>1</v>
          </cell>
          <cell r="I3742" t="str">
            <v>--</v>
          </cell>
          <cell r="J3742">
            <v>1</v>
          </cell>
          <cell r="K3742">
            <v>1</v>
          </cell>
        </row>
        <row r="3743">
          <cell r="A3743" t="str">
            <v>M2</v>
          </cell>
          <cell r="B3743" t="str">
            <v>A5C</v>
          </cell>
          <cell r="C3743" t="str">
            <v>P</v>
          </cell>
          <cell r="D3743" t="str">
            <v>23063</v>
          </cell>
          <cell r="E3743" t="str">
            <v>SW FLG</v>
          </cell>
          <cell r="F3743">
            <v>3</v>
          </cell>
          <cell r="G3743" t="str">
            <v>CB240108000100</v>
          </cell>
          <cell r="H3743">
            <v>1</v>
          </cell>
          <cell r="I3743" t="str">
            <v>--</v>
          </cell>
          <cell r="J3743">
            <v>1</v>
          </cell>
          <cell r="K3743">
            <v>1</v>
          </cell>
        </row>
        <row r="3744">
          <cell r="A3744" t="str">
            <v>M2</v>
          </cell>
          <cell r="B3744" t="str">
            <v>A5C</v>
          </cell>
          <cell r="C3744" t="str">
            <v>P</v>
          </cell>
          <cell r="D3744" t="str">
            <v>23070</v>
          </cell>
          <cell r="E3744" t="str">
            <v>SW FLG</v>
          </cell>
          <cell r="F3744">
            <v>3</v>
          </cell>
          <cell r="G3744" t="str">
            <v>CB240108000100</v>
          </cell>
          <cell r="H3744">
            <v>1</v>
          </cell>
          <cell r="I3744" t="str">
            <v>--</v>
          </cell>
          <cell r="J3744">
            <v>2</v>
          </cell>
          <cell r="K3744">
            <v>2</v>
          </cell>
        </row>
        <row r="3745">
          <cell r="A3745" t="str">
            <v>M2</v>
          </cell>
          <cell r="B3745" t="str">
            <v>A5C</v>
          </cell>
          <cell r="C3745" t="str">
            <v>P</v>
          </cell>
          <cell r="D3745" t="str">
            <v>23078</v>
          </cell>
          <cell r="E3745" t="str">
            <v>SW FLG</v>
          </cell>
          <cell r="F3745">
            <v>3</v>
          </cell>
          <cell r="G3745" t="str">
            <v>CB240108000100</v>
          </cell>
          <cell r="H3745">
            <v>1</v>
          </cell>
          <cell r="I3745" t="str">
            <v>--</v>
          </cell>
          <cell r="J3745">
            <v>1</v>
          </cell>
          <cell r="K3745">
            <v>1</v>
          </cell>
        </row>
        <row r="3746">
          <cell r="A3746" t="str">
            <v>M2</v>
          </cell>
          <cell r="B3746" t="str">
            <v>A5C</v>
          </cell>
          <cell r="C3746" t="str">
            <v>P</v>
          </cell>
          <cell r="D3746" t="str">
            <v>23081</v>
          </cell>
          <cell r="E3746" t="str">
            <v>SW FLG</v>
          </cell>
          <cell r="F3746">
            <v>3</v>
          </cell>
          <cell r="G3746" t="str">
            <v>CB240108000100</v>
          </cell>
          <cell r="H3746">
            <v>1</v>
          </cell>
          <cell r="I3746" t="str">
            <v>--</v>
          </cell>
          <cell r="J3746">
            <v>1</v>
          </cell>
          <cell r="K3746">
            <v>1</v>
          </cell>
        </row>
        <row r="3747">
          <cell r="A3747" t="str">
            <v>M2</v>
          </cell>
          <cell r="B3747" t="str">
            <v>A5C</v>
          </cell>
          <cell r="C3747" t="str">
            <v>P</v>
          </cell>
          <cell r="D3747" t="str">
            <v>23094</v>
          </cell>
          <cell r="E3747" t="str">
            <v>SW FLG</v>
          </cell>
          <cell r="F3747">
            <v>3</v>
          </cell>
          <cell r="G3747" t="str">
            <v>CB240108000100</v>
          </cell>
          <cell r="H3747">
            <v>1</v>
          </cell>
          <cell r="I3747" t="str">
            <v>--</v>
          </cell>
          <cell r="J3747">
            <v>1</v>
          </cell>
          <cell r="K3747">
            <v>1</v>
          </cell>
        </row>
        <row r="3748">
          <cell r="A3748" t="str">
            <v>M2</v>
          </cell>
          <cell r="B3748" t="str">
            <v>A5C</v>
          </cell>
          <cell r="C3748" t="str">
            <v>P</v>
          </cell>
          <cell r="D3748" t="str">
            <v>23101</v>
          </cell>
          <cell r="E3748" t="str">
            <v>SW FLG</v>
          </cell>
          <cell r="F3748">
            <v>3</v>
          </cell>
          <cell r="G3748" t="str">
            <v>CB240108000100</v>
          </cell>
          <cell r="H3748">
            <v>1</v>
          </cell>
          <cell r="I3748" t="str">
            <v>--</v>
          </cell>
          <cell r="J3748">
            <v>1</v>
          </cell>
          <cell r="K3748">
            <v>1</v>
          </cell>
        </row>
        <row r="3749">
          <cell r="A3749" t="str">
            <v>M2</v>
          </cell>
          <cell r="B3749" t="str">
            <v>A5C</v>
          </cell>
          <cell r="C3749" t="str">
            <v>P</v>
          </cell>
          <cell r="D3749" t="str">
            <v>23105</v>
          </cell>
          <cell r="E3749" t="str">
            <v>SW FLG</v>
          </cell>
          <cell r="F3749">
            <v>3</v>
          </cell>
          <cell r="G3749" t="str">
            <v>CB240108000100</v>
          </cell>
          <cell r="H3749">
            <v>1</v>
          </cell>
          <cell r="I3749" t="str">
            <v>--</v>
          </cell>
          <cell r="J3749">
            <v>1</v>
          </cell>
          <cell r="K3749">
            <v>1</v>
          </cell>
        </row>
        <row r="3750">
          <cell r="A3750" t="str">
            <v>M2</v>
          </cell>
          <cell r="B3750" t="str">
            <v>A5C</v>
          </cell>
          <cell r="C3750" t="str">
            <v>P</v>
          </cell>
          <cell r="D3750" t="str">
            <v>23103</v>
          </cell>
          <cell r="E3750" t="str">
            <v>SW FLG</v>
          </cell>
          <cell r="F3750">
            <v>3</v>
          </cell>
          <cell r="G3750" t="str">
            <v>CB240108000100</v>
          </cell>
          <cell r="H3750">
            <v>1</v>
          </cell>
          <cell r="I3750" t="str">
            <v>--</v>
          </cell>
          <cell r="J3750">
            <v>2</v>
          </cell>
          <cell r="K3750">
            <v>2</v>
          </cell>
        </row>
        <row r="3751">
          <cell r="A3751" t="str">
            <v>M2</v>
          </cell>
          <cell r="B3751" t="str">
            <v>A5C</v>
          </cell>
          <cell r="C3751" t="str">
            <v>P</v>
          </cell>
          <cell r="D3751" t="str">
            <v>23107</v>
          </cell>
          <cell r="E3751" t="str">
            <v>SW FLG</v>
          </cell>
          <cell r="F3751">
            <v>3</v>
          </cell>
          <cell r="G3751" t="str">
            <v>CB240108000100</v>
          </cell>
          <cell r="H3751">
            <v>1</v>
          </cell>
          <cell r="I3751" t="str">
            <v>--</v>
          </cell>
          <cell r="J3751">
            <v>2</v>
          </cell>
          <cell r="K3751">
            <v>2</v>
          </cell>
        </row>
        <row r="3752">
          <cell r="A3752" t="str">
            <v>M2</v>
          </cell>
          <cell r="B3752" t="str">
            <v>A5C</v>
          </cell>
          <cell r="C3752" t="str">
            <v>P</v>
          </cell>
          <cell r="D3752" t="str">
            <v>23109</v>
          </cell>
          <cell r="E3752" t="str">
            <v>SW FLG</v>
          </cell>
          <cell r="F3752">
            <v>3</v>
          </cell>
          <cell r="G3752" t="str">
            <v>CB240108000100</v>
          </cell>
          <cell r="H3752">
            <v>1</v>
          </cell>
          <cell r="I3752" t="str">
            <v>--</v>
          </cell>
          <cell r="J3752">
            <v>1</v>
          </cell>
          <cell r="K3752">
            <v>1</v>
          </cell>
        </row>
        <row r="3753">
          <cell r="A3753" t="str">
            <v>M2</v>
          </cell>
          <cell r="B3753" t="str">
            <v>A5C</v>
          </cell>
          <cell r="C3753" t="str">
            <v>P</v>
          </cell>
          <cell r="D3753" t="str">
            <v>23111</v>
          </cell>
          <cell r="E3753" t="str">
            <v>SW FLG</v>
          </cell>
          <cell r="F3753">
            <v>3</v>
          </cell>
          <cell r="G3753" t="str">
            <v>CB240108000100</v>
          </cell>
          <cell r="H3753">
            <v>1</v>
          </cell>
          <cell r="I3753" t="str">
            <v>--</v>
          </cell>
          <cell r="J3753">
            <v>2</v>
          </cell>
          <cell r="K3753">
            <v>2</v>
          </cell>
        </row>
        <row r="3754">
          <cell r="A3754" t="str">
            <v>M2</v>
          </cell>
          <cell r="B3754" t="str">
            <v>A5C</v>
          </cell>
          <cell r="C3754" t="str">
            <v>P</v>
          </cell>
          <cell r="D3754" t="str">
            <v>23116</v>
          </cell>
          <cell r="E3754" t="str">
            <v>SW FLG</v>
          </cell>
          <cell r="F3754">
            <v>3</v>
          </cell>
          <cell r="G3754" t="str">
            <v>CB240108000100</v>
          </cell>
          <cell r="H3754">
            <v>1</v>
          </cell>
          <cell r="I3754" t="str">
            <v>--</v>
          </cell>
          <cell r="J3754">
            <v>2</v>
          </cell>
          <cell r="K3754">
            <v>2</v>
          </cell>
        </row>
        <row r="3755">
          <cell r="A3755" t="str">
            <v>M2</v>
          </cell>
          <cell r="B3755" t="str">
            <v>A5C</v>
          </cell>
          <cell r="C3755" t="str">
            <v>P</v>
          </cell>
          <cell r="D3755" t="str">
            <v>23117</v>
          </cell>
          <cell r="E3755" t="str">
            <v>SW FLG</v>
          </cell>
          <cell r="F3755">
            <v>3</v>
          </cell>
          <cell r="G3755" t="str">
            <v>CB240108000100</v>
          </cell>
          <cell r="H3755">
            <v>1</v>
          </cell>
          <cell r="I3755" t="str">
            <v>--</v>
          </cell>
          <cell r="J3755">
            <v>2</v>
          </cell>
          <cell r="K3755">
            <v>2</v>
          </cell>
        </row>
        <row r="3756">
          <cell r="A3756" t="str">
            <v>M2</v>
          </cell>
          <cell r="B3756" t="str">
            <v>A5C</v>
          </cell>
          <cell r="C3756" t="str">
            <v>P</v>
          </cell>
          <cell r="D3756" t="str">
            <v>23122</v>
          </cell>
          <cell r="E3756" t="str">
            <v>SW FLG</v>
          </cell>
          <cell r="F3756">
            <v>3</v>
          </cell>
          <cell r="G3756" t="str">
            <v>CB240208000100</v>
          </cell>
          <cell r="H3756">
            <v>1</v>
          </cell>
          <cell r="I3756" t="str">
            <v>--</v>
          </cell>
          <cell r="J3756">
            <v>2</v>
          </cell>
          <cell r="K3756">
            <v>2</v>
          </cell>
        </row>
        <row r="3757">
          <cell r="A3757" t="str">
            <v>M2</v>
          </cell>
          <cell r="B3757" t="str">
            <v>A5C</v>
          </cell>
          <cell r="C3757" t="str">
            <v>P</v>
          </cell>
          <cell r="D3757" t="str">
            <v>23126</v>
          </cell>
          <cell r="E3757" t="str">
            <v>SW FLG</v>
          </cell>
          <cell r="F3757">
            <v>3</v>
          </cell>
          <cell r="G3757" t="str">
            <v>CB240108000100</v>
          </cell>
          <cell r="H3757">
            <v>1</v>
          </cell>
          <cell r="I3757" t="str">
            <v>--</v>
          </cell>
          <cell r="J3757">
            <v>1</v>
          </cell>
          <cell r="K3757">
            <v>1</v>
          </cell>
        </row>
        <row r="3758">
          <cell r="A3758" t="str">
            <v>M2</v>
          </cell>
          <cell r="B3758" t="str">
            <v>A5C</v>
          </cell>
          <cell r="C3758" t="str">
            <v>P</v>
          </cell>
          <cell r="D3758" t="str">
            <v>23133</v>
          </cell>
          <cell r="E3758" t="str">
            <v>SW FLG</v>
          </cell>
          <cell r="F3758">
            <v>3</v>
          </cell>
          <cell r="G3758" t="str">
            <v>CB240108000100</v>
          </cell>
          <cell r="H3758">
            <v>1</v>
          </cell>
          <cell r="I3758" t="str">
            <v>--</v>
          </cell>
          <cell r="J3758">
            <v>1</v>
          </cell>
          <cell r="K3758">
            <v>1</v>
          </cell>
        </row>
        <row r="3759">
          <cell r="A3759" t="str">
            <v>M2</v>
          </cell>
          <cell r="B3759" t="str">
            <v>A5C</v>
          </cell>
          <cell r="C3759" t="str">
            <v>P</v>
          </cell>
          <cell r="D3759" t="str">
            <v>23141</v>
          </cell>
          <cell r="E3759" t="str">
            <v>SW FLG</v>
          </cell>
          <cell r="F3759">
            <v>3</v>
          </cell>
          <cell r="G3759" t="str">
            <v>CB240108000100</v>
          </cell>
          <cell r="H3759">
            <v>1</v>
          </cell>
          <cell r="I3759" t="str">
            <v>--</v>
          </cell>
          <cell r="J3759">
            <v>1</v>
          </cell>
          <cell r="K3759">
            <v>1</v>
          </cell>
        </row>
        <row r="3760">
          <cell r="A3760" t="str">
            <v>M2</v>
          </cell>
          <cell r="B3760" t="str">
            <v>A5C</v>
          </cell>
          <cell r="C3760" t="str">
            <v>P</v>
          </cell>
          <cell r="D3760" t="str">
            <v>23143</v>
          </cell>
          <cell r="E3760" t="str">
            <v>SW FLG</v>
          </cell>
          <cell r="F3760">
            <v>3</v>
          </cell>
          <cell r="G3760" t="str">
            <v>CB240108000100</v>
          </cell>
          <cell r="H3760">
            <v>1</v>
          </cell>
          <cell r="I3760" t="str">
            <v>--</v>
          </cell>
          <cell r="J3760">
            <v>2</v>
          </cell>
          <cell r="K3760">
            <v>2</v>
          </cell>
        </row>
        <row r="3761">
          <cell r="A3761" t="str">
            <v>M2</v>
          </cell>
          <cell r="B3761" t="str">
            <v>A5C</v>
          </cell>
          <cell r="C3761" t="str">
            <v>P</v>
          </cell>
          <cell r="D3761" t="str">
            <v>23145</v>
          </cell>
          <cell r="E3761" t="str">
            <v>SW FLG</v>
          </cell>
          <cell r="F3761">
            <v>3</v>
          </cell>
          <cell r="G3761" t="str">
            <v>CB240108000100</v>
          </cell>
          <cell r="H3761">
            <v>1</v>
          </cell>
          <cell r="I3761" t="str">
            <v>--</v>
          </cell>
          <cell r="J3761">
            <v>1</v>
          </cell>
          <cell r="K3761">
            <v>1</v>
          </cell>
        </row>
        <row r="3762">
          <cell r="A3762" t="str">
            <v>M2</v>
          </cell>
          <cell r="B3762" t="str">
            <v>A5C</v>
          </cell>
          <cell r="C3762" t="str">
            <v>P</v>
          </cell>
          <cell r="D3762" t="str">
            <v>23144</v>
          </cell>
          <cell r="E3762" t="str">
            <v>SW FLG</v>
          </cell>
          <cell r="F3762">
            <v>3</v>
          </cell>
          <cell r="G3762" t="str">
            <v>CB240108000100</v>
          </cell>
          <cell r="H3762">
            <v>1</v>
          </cell>
          <cell r="I3762" t="str">
            <v>--</v>
          </cell>
          <cell r="J3762">
            <v>2</v>
          </cell>
          <cell r="K3762">
            <v>2</v>
          </cell>
        </row>
        <row r="3763">
          <cell r="A3763" t="str">
            <v>M2</v>
          </cell>
          <cell r="B3763" t="str">
            <v>A5C</v>
          </cell>
          <cell r="C3763" t="str">
            <v>P</v>
          </cell>
          <cell r="D3763" t="str">
            <v>23157</v>
          </cell>
          <cell r="E3763" t="str">
            <v>SW FLG</v>
          </cell>
          <cell r="F3763">
            <v>3</v>
          </cell>
          <cell r="G3763" t="str">
            <v>CB240108000100</v>
          </cell>
          <cell r="H3763">
            <v>1</v>
          </cell>
          <cell r="I3763" t="str">
            <v>--</v>
          </cell>
          <cell r="J3763">
            <v>2</v>
          </cell>
          <cell r="K3763">
            <v>2</v>
          </cell>
        </row>
        <row r="3764">
          <cell r="A3764" t="str">
            <v>M2</v>
          </cell>
          <cell r="B3764" t="str">
            <v>A5C</v>
          </cell>
          <cell r="C3764" t="str">
            <v>P</v>
          </cell>
          <cell r="D3764" t="str">
            <v>23164</v>
          </cell>
          <cell r="E3764" t="str">
            <v>SW FLG</v>
          </cell>
          <cell r="F3764">
            <v>3</v>
          </cell>
          <cell r="G3764" t="str">
            <v>CB240108000100</v>
          </cell>
          <cell r="H3764">
            <v>1</v>
          </cell>
          <cell r="I3764" t="str">
            <v>--</v>
          </cell>
          <cell r="J3764">
            <v>6</v>
          </cell>
          <cell r="K3764">
            <v>6</v>
          </cell>
        </row>
        <row r="3765">
          <cell r="A3765" t="str">
            <v>M2</v>
          </cell>
          <cell r="B3765" t="str">
            <v>A5C</v>
          </cell>
          <cell r="C3765" t="str">
            <v>P</v>
          </cell>
          <cell r="D3765" t="str">
            <v>23185</v>
          </cell>
          <cell r="E3765" t="str">
            <v>SW FLG</v>
          </cell>
          <cell r="F3765">
            <v>3</v>
          </cell>
          <cell r="G3765" t="str">
            <v>CB240108000100</v>
          </cell>
          <cell r="H3765">
            <v>1</v>
          </cell>
          <cell r="I3765" t="str">
            <v>--</v>
          </cell>
          <cell r="J3765">
            <v>2</v>
          </cell>
          <cell r="K3765">
            <v>2</v>
          </cell>
        </row>
        <row r="3766">
          <cell r="A3766" t="str">
            <v>M2</v>
          </cell>
          <cell r="B3766" t="str">
            <v>A5C</v>
          </cell>
          <cell r="C3766" t="str">
            <v>P</v>
          </cell>
          <cell r="D3766" t="str">
            <v>23205</v>
          </cell>
          <cell r="E3766" t="str">
            <v>SW FLG</v>
          </cell>
          <cell r="F3766">
            <v>3</v>
          </cell>
          <cell r="G3766" t="str">
            <v>CB240208000100</v>
          </cell>
          <cell r="H3766">
            <v>1</v>
          </cell>
          <cell r="I3766" t="str">
            <v>--</v>
          </cell>
          <cell r="J3766">
            <v>2</v>
          </cell>
          <cell r="K3766">
            <v>2</v>
          </cell>
        </row>
        <row r="3767">
          <cell r="A3767" t="str">
            <v>M2</v>
          </cell>
          <cell r="B3767" t="str">
            <v>A5C</v>
          </cell>
          <cell r="C3767" t="str">
            <v>P</v>
          </cell>
          <cell r="D3767" t="str">
            <v>23196</v>
          </cell>
          <cell r="E3767" t="str">
            <v>SW FLG</v>
          </cell>
          <cell r="F3767">
            <v>3</v>
          </cell>
          <cell r="G3767" t="str">
            <v>CB240108000100</v>
          </cell>
          <cell r="H3767">
            <v>1</v>
          </cell>
          <cell r="I3767" t="str">
            <v>--</v>
          </cell>
          <cell r="J3767">
            <v>2</v>
          </cell>
          <cell r="K3767">
            <v>2</v>
          </cell>
        </row>
        <row r="3768">
          <cell r="A3768" t="str">
            <v>M2</v>
          </cell>
          <cell r="B3768" t="str">
            <v>A5C</v>
          </cell>
          <cell r="C3768" t="str">
            <v>P</v>
          </cell>
          <cell r="D3768" t="str">
            <v>23208</v>
          </cell>
          <cell r="E3768" t="str">
            <v>SW FLG</v>
          </cell>
          <cell r="F3768">
            <v>3</v>
          </cell>
          <cell r="G3768" t="str">
            <v>CB240208000100</v>
          </cell>
          <cell r="H3768">
            <v>1</v>
          </cell>
          <cell r="I3768" t="str">
            <v>--</v>
          </cell>
          <cell r="J3768">
            <v>2</v>
          </cell>
          <cell r="K3768">
            <v>2</v>
          </cell>
        </row>
        <row r="3769">
          <cell r="A3769" t="str">
            <v>M2</v>
          </cell>
          <cell r="B3769" t="str">
            <v>A5C</v>
          </cell>
          <cell r="C3769" t="str">
            <v>P</v>
          </cell>
          <cell r="D3769" t="str">
            <v>23212</v>
          </cell>
          <cell r="E3769" t="str">
            <v>SW FLG</v>
          </cell>
          <cell r="F3769">
            <v>3</v>
          </cell>
          <cell r="G3769" t="str">
            <v>CB240208000100</v>
          </cell>
          <cell r="H3769">
            <v>1</v>
          </cell>
          <cell r="I3769" t="str">
            <v>--</v>
          </cell>
          <cell r="J3769">
            <v>2</v>
          </cell>
          <cell r="K3769">
            <v>2</v>
          </cell>
        </row>
        <row r="3770">
          <cell r="A3770" t="str">
            <v>M2</v>
          </cell>
          <cell r="B3770" t="str">
            <v>A5C</v>
          </cell>
          <cell r="C3770" t="str">
            <v>P</v>
          </cell>
          <cell r="D3770" t="str">
            <v>23214</v>
          </cell>
          <cell r="E3770" t="str">
            <v>SW FLG</v>
          </cell>
          <cell r="F3770">
            <v>3</v>
          </cell>
          <cell r="G3770" t="str">
            <v>CB240208000100</v>
          </cell>
          <cell r="H3770">
            <v>1</v>
          </cell>
          <cell r="I3770" t="str">
            <v>--</v>
          </cell>
          <cell r="J3770">
            <v>2</v>
          </cell>
          <cell r="K3770">
            <v>2</v>
          </cell>
        </row>
        <row r="3771">
          <cell r="A3771" t="str">
            <v>M2</v>
          </cell>
          <cell r="B3771" t="str">
            <v>A5C</v>
          </cell>
          <cell r="C3771" t="str">
            <v>P</v>
          </cell>
          <cell r="D3771" t="str">
            <v>23207</v>
          </cell>
          <cell r="E3771" t="str">
            <v>SW FLG</v>
          </cell>
          <cell r="F3771">
            <v>3</v>
          </cell>
          <cell r="G3771" t="str">
            <v>CB240208000100</v>
          </cell>
          <cell r="H3771">
            <v>1</v>
          </cell>
          <cell r="I3771" t="str">
            <v>--</v>
          </cell>
          <cell r="J3771">
            <v>2</v>
          </cell>
          <cell r="K3771">
            <v>2</v>
          </cell>
        </row>
        <row r="3772">
          <cell r="A3772" t="str">
            <v>M2</v>
          </cell>
          <cell r="B3772" t="str">
            <v>A5C</v>
          </cell>
          <cell r="C3772" t="str">
            <v>P</v>
          </cell>
          <cell r="D3772" t="str">
            <v>23213</v>
          </cell>
          <cell r="E3772" t="str">
            <v>SW FLG</v>
          </cell>
          <cell r="F3772">
            <v>3</v>
          </cell>
          <cell r="G3772" t="str">
            <v>CB240208000100</v>
          </cell>
          <cell r="H3772">
            <v>1</v>
          </cell>
          <cell r="I3772" t="str">
            <v>--</v>
          </cell>
          <cell r="J3772">
            <v>2</v>
          </cell>
          <cell r="K3772">
            <v>2</v>
          </cell>
        </row>
        <row r="3773">
          <cell r="A3773" t="str">
            <v>M2</v>
          </cell>
          <cell r="B3773" t="str">
            <v>A5C</v>
          </cell>
          <cell r="C3773" t="str">
            <v>P</v>
          </cell>
          <cell r="D3773" t="str">
            <v>23225</v>
          </cell>
          <cell r="E3773" t="str">
            <v>SW FLG</v>
          </cell>
          <cell r="F3773">
            <v>3</v>
          </cell>
          <cell r="G3773" t="str">
            <v>CB240108000100</v>
          </cell>
          <cell r="H3773">
            <v>1</v>
          </cell>
          <cell r="I3773" t="str">
            <v>--</v>
          </cell>
          <cell r="J3773">
            <v>1</v>
          </cell>
          <cell r="K3773">
            <v>1</v>
          </cell>
        </row>
        <row r="3774">
          <cell r="A3774" t="str">
            <v>M2</v>
          </cell>
          <cell r="B3774" t="str">
            <v>A5C</v>
          </cell>
          <cell r="C3774" t="str">
            <v>P</v>
          </cell>
          <cell r="D3774" t="str">
            <v>23230</v>
          </cell>
          <cell r="E3774" t="str">
            <v>SW FLG</v>
          </cell>
          <cell r="F3774">
            <v>3</v>
          </cell>
          <cell r="G3774" t="str">
            <v>CB240208000100</v>
          </cell>
          <cell r="H3774">
            <v>1</v>
          </cell>
          <cell r="I3774" t="str">
            <v>--</v>
          </cell>
          <cell r="J3774">
            <v>2</v>
          </cell>
          <cell r="K3774">
            <v>2</v>
          </cell>
        </row>
        <row r="3775">
          <cell r="A3775" t="str">
            <v>M2</v>
          </cell>
          <cell r="B3775" t="str">
            <v>A5C</v>
          </cell>
          <cell r="C3775" t="str">
            <v>P</v>
          </cell>
          <cell r="D3775" t="str">
            <v>23230</v>
          </cell>
          <cell r="E3775" t="str">
            <v>SW FLG</v>
          </cell>
          <cell r="F3775">
            <v>3</v>
          </cell>
          <cell r="G3775" t="str">
            <v>CB240108000100</v>
          </cell>
          <cell r="H3775">
            <v>1</v>
          </cell>
          <cell r="I3775" t="str">
            <v>--</v>
          </cell>
          <cell r="J3775">
            <v>1</v>
          </cell>
          <cell r="K3775">
            <v>1</v>
          </cell>
        </row>
        <row r="3776">
          <cell r="A3776" t="str">
            <v>M2</v>
          </cell>
          <cell r="B3776" t="str">
            <v>A5C</v>
          </cell>
          <cell r="C3776" t="str">
            <v>P</v>
          </cell>
          <cell r="D3776" t="str">
            <v>23234</v>
          </cell>
          <cell r="E3776" t="str">
            <v>SW FLG</v>
          </cell>
          <cell r="F3776">
            <v>3</v>
          </cell>
          <cell r="G3776" t="str">
            <v>CB240108000100</v>
          </cell>
          <cell r="H3776">
            <v>1</v>
          </cell>
          <cell r="I3776" t="str">
            <v>--</v>
          </cell>
          <cell r="J3776">
            <v>1</v>
          </cell>
          <cell r="K3776">
            <v>1</v>
          </cell>
        </row>
        <row r="3777">
          <cell r="A3777" t="str">
            <v>M2</v>
          </cell>
          <cell r="B3777" t="str">
            <v>A5C</v>
          </cell>
          <cell r="C3777" t="str">
            <v>P</v>
          </cell>
          <cell r="D3777" t="str">
            <v>23239</v>
          </cell>
          <cell r="E3777" t="str">
            <v>SW FLG</v>
          </cell>
          <cell r="F3777">
            <v>3</v>
          </cell>
          <cell r="G3777" t="str">
            <v>CB240208000100</v>
          </cell>
          <cell r="H3777">
            <v>1</v>
          </cell>
          <cell r="I3777" t="str">
            <v>--</v>
          </cell>
          <cell r="J3777">
            <v>2</v>
          </cell>
          <cell r="K3777">
            <v>2</v>
          </cell>
        </row>
        <row r="3778">
          <cell r="A3778" t="str">
            <v>M2</v>
          </cell>
          <cell r="B3778" t="str">
            <v>A5C</v>
          </cell>
          <cell r="C3778" t="str">
            <v>P</v>
          </cell>
          <cell r="D3778" t="str">
            <v>23247</v>
          </cell>
          <cell r="E3778" t="str">
            <v>SW FLG</v>
          </cell>
          <cell r="F3778">
            <v>3</v>
          </cell>
          <cell r="G3778" t="str">
            <v>CB240108000100</v>
          </cell>
          <cell r="H3778">
            <v>1</v>
          </cell>
          <cell r="I3778" t="str">
            <v>--</v>
          </cell>
          <cell r="J3778">
            <v>1</v>
          </cell>
          <cell r="K3778">
            <v>1</v>
          </cell>
        </row>
        <row r="3779">
          <cell r="A3779" t="str">
            <v>M2</v>
          </cell>
          <cell r="B3779" t="str">
            <v>A5C</v>
          </cell>
          <cell r="C3779" t="str">
            <v>P</v>
          </cell>
          <cell r="D3779" t="str">
            <v>23252</v>
          </cell>
          <cell r="E3779" t="str">
            <v>SW FLG</v>
          </cell>
          <cell r="F3779">
            <v>3</v>
          </cell>
          <cell r="G3779" t="str">
            <v>CB240108000100</v>
          </cell>
          <cell r="H3779">
            <v>1</v>
          </cell>
          <cell r="I3779" t="str">
            <v>--</v>
          </cell>
          <cell r="J3779">
            <v>1</v>
          </cell>
          <cell r="K3779">
            <v>1</v>
          </cell>
        </row>
        <row r="3780">
          <cell r="A3780" t="str">
            <v>M2</v>
          </cell>
          <cell r="B3780" t="str">
            <v>A5C</v>
          </cell>
          <cell r="C3780" t="str">
            <v>P</v>
          </cell>
          <cell r="D3780" t="str">
            <v>23252</v>
          </cell>
          <cell r="E3780" t="str">
            <v>SW FLG</v>
          </cell>
          <cell r="F3780">
            <v>3</v>
          </cell>
          <cell r="G3780" t="str">
            <v>CB240208000100</v>
          </cell>
          <cell r="H3780">
            <v>1</v>
          </cell>
          <cell r="I3780" t="str">
            <v>--</v>
          </cell>
          <cell r="J3780">
            <v>2</v>
          </cell>
          <cell r="K3780">
            <v>2</v>
          </cell>
        </row>
        <row r="3781">
          <cell r="A3781" t="str">
            <v>M2</v>
          </cell>
          <cell r="B3781" t="str">
            <v>A5C</v>
          </cell>
          <cell r="C3781" t="str">
            <v>P</v>
          </cell>
          <cell r="D3781" t="str">
            <v>23259</v>
          </cell>
          <cell r="E3781" t="str">
            <v>SW FLG</v>
          </cell>
          <cell r="F3781">
            <v>3</v>
          </cell>
          <cell r="G3781" t="str">
            <v>CB240108000100</v>
          </cell>
          <cell r="H3781">
            <v>1</v>
          </cell>
          <cell r="I3781" t="str">
            <v>--</v>
          </cell>
          <cell r="J3781">
            <v>2</v>
          </cell>
          <cell r="K3781">
            <v>2</v>
          </cell>
        </row>
        <row r="3782">
          <cell r="A3782" t="str">
            <v>M2</v>
          </cell>
          <cell r="B3782" t="str">
            <v>A5C</v>
          </cell>
          <cell r="C3782" t="str">
            <v>P</v>
          </cell>
          <cell r="D3782" t="str">
            <v>24007</v>
          </cell>
          <cell r="E3782" t="str">
            <v>SW FLG</v>
          </cell>
          <cell r="F3782">
            <v>3</v>
          </cell>
          <cell r="G3782" t="str">
            <v>CB240108000100</v>
          </cell>
          <cell r="H3782">
            <v>1</v>
          </cell>
          <cell r="I3782" t="str">
            <v>--</v>
          </cell>
          <cell r="J3782">
            <v>3</v>
          </cell>
          <cell r="K3782">
            <v>3</v>
          </cell>
        </row>
        <row r="3783">
          <cell r="A3783" t="str">
            <v>M2</v>
          </cell>
          <cell r="B3783" t="str">
            <v>A5C</v>
          </cell>
          <cell r="C3783" t="str">
            <v>P</v>
          </cell>
          <cell r="D3783" t="str">
            <v>24013</v>
          </cell>
          <cell r="E3783" t="str">
            <v>SW FLG</v>
          </cell>
          <cell r="F3783">
            <v>3</v>
          </cell>
          <cell r="G3783" t="str">
            <v>CB240108000100</v>
          </cell>
          <cell r="H3783">
            <v>1</v>
          </cell>
          <cell r="I3783" t="str">
            <v>--</v>
          </cell>
          <cell r="J3783">
            <v>3</v>
          </cell>
          <cell r="K3783">
            <v>3</v>
          </cell>
        </row>
        <row r="3784">
          <cell r="A3784" t="str">
            <v>M2</v>
          </cell>
          <cell r="B3784" t="str">
            <v>A5C</v>
          </cell>
          <cell r="C3784" t="str">
            <v>P</v>
          </cell>
          <cell r="D3784" t="str">
            <v>24008</v>
          </cell>
          <cell r="E3784" t="str">
            <v>SW FLG</v>
          </cell>
          <cell r="F3784">
            <v>3</v>
          </cell>
          <cell r="G3784" t="str">
            <v>CB240108000100</v>
          </cell>
          <cell r="H3784">
            <v>1</v>
          </cell>
          <cell r="I3784" t="str">
            <v>--</v>
          </cell>
          <cell r="J3784">
            <v>2</v>
          </cell>
          <cell r="K3784">
            <v>2</v>
          </cell>
        </row>
        <row r="3785">
          <cell r="A3785" t="str">
            <v>M2</v>
          </cell>
          <cell r="B3785" t="str">
            <v>A5C</v>
          </cell>
          <cell r="C3785" t="str">
            <v>P</v>
          </cell>
          <cell r="D3785" t="str">
            <v>24014</v>
          </cell>
          <cell r="E3785" t="str">
            <v>SW FLG</v>
          </cell>
          <cell r="F3785">
            <v>3</v>
          </cell>
          <cell r="G3785" t="str">
            <v>CB240108000100</v>
          </cell>
          <cell r="H3785">
            <v>1</v>
          </cell>
          <cell r="I3785" t="str">
            <v>--</v>
          </cell>
          <cell r="J3785">
            <v>2</v>
          </cell>
          <cell r="K3785">
            <v>2</v>
          </cell>
        </row>
        <row r="3786">
          <cell r="A3786" t="str">
            <v>M2</v>
          </cell>
          <cell r="B3786" t="str">
            <v>A5C</v>
          </cell>
          <cell r="C3786" t="str">
            <v>P</v>
          </cell>
          <cell r="D3786" t="str">
            <v>24020</v>
          </cell>
          <cell r="E3786" t="str">
            <v>SW FLG</v>
          </cell>
          <cell r="F3786">
            <v>3</v>
          </cell>
          <cell r="G3786" t="str">
            <v>CB240208000100</v>
          </cell>
          <cell r="H3786">
            <v>1</v>
          </cell>
          <cell r="I3786" t="str">
            <v>--</v>
          </cell>
          <cell r="J3786">
            <v>2</v>
          </cell>
          <cell r="K3786">
            <v>2</v>
          </cell>
        </row>
        <row r="3787">
          <cell r="A3787" t="str">
            <v>M2</v>
          </cell>
          <cell r="B3787" t="str">
            <v>A5C</v>
          </cell>
          <cell r="C3787" t="str">
            <v>P</v>
          </cell>
          <cell r="D3787" t="str">
            <v>99003</v>
          </cell>
          <cell r="E3787" t="str">
            <v>SW FLG</v>
          </cell>
          <cell r="F3787">
            <v>3</v>
          </cell>
          <cell r="G3787" t="str">
            <v>CB240208000100</v>
          </cell>
          <cell r="H3787">
            <v>1</v>
          </cell>
          <cell r="I3787" t="str">
            <v>--</v>
          </cell>
          <cell r="J3787">
            <v>2</v>
          </cell>
          <cell r="K3787">
            <v>2</v>
          </cell>
        </row>
        <row r="3788">
          <cell r="A3788" t="str">
            <v>M2</v>
          </cell>
          <cell r="B3788" t="str">
            <v>A5C</v>
          </cell>
          <cell r="C3788" t="str">
            <v>P</v>
          </cell>
          <cell r="D3788" t="str">
            <v>23006</v>
          </cell>
          <cell r="E3788" t="str">
            <v>SW FLG</v>
          </cell>
          <cell r="F3788">
            <v>3</v>
          </cell>
          <cell r="G3788" t="str">
            <v>CB240108000100</v>
          </cell>
          <cell r="H3788">
            <v>1</v>
          </cell>
          <cell r="I3788" t="str">
            <v>--</v>
          </cell>
          <cell r="J3788">
            <v>2</v>
          </cell>
          <cell r="K3788">
            <v>2</v>
          </cell>
        </row>
        <row r="3789">
          <cell r="A3789" t="str">
            <v>M2</v>
          </cell>
          <cell r="B3789" t="str">
            <v>A5C</v>
          </cell>
          <cell r="C3789" t="str">
            <v>P</v>
          </cell>
          <cell r="D3789" t="str">
            <v>23067</v>
          </cell>
          <cell r="E3789" t="str">
            <v>SW FLG</v>
          </cell>
          <cell r="F3789">
            <v>3</v>
          </cell>
          <cell r="G3789" t="str">
            <v>CB240108000100</v>
          </cell>
          <cell r="H3789">
            <v>1</v>
          </cell>
          <cell r="I3789" t="str">
            <v>--</v>
          </cell>
          <cell r="J3789">
            <v>1</v>
          </cell>
          <cell r="K3789">
            <v>1</v>
          </cell>
        </row>
        <row r="3790">
          <cell r="A3790" t="str">
            <v>M2</v>
          </cell>
          <cell r="B3790" t="str">
            <v>A5C</v>
          </cell>
          <cell r="C3790" t="str">
            <v>P</v>
          </cell>
          <cell r="D3790" t="str">
            <v>23083</v>
          </cell>
          <cell r="E3790" t="str">
            <v>SW FLG</v>
          </cell>
          <cell r="F3790">
            <v>3</v>
          </cell>
          <cell r="G3790" t="str">
            <v>CB240108000100</v>
          </cell>
          <cell r="H3790">
            <v>1</v>
          </cell>
          <cell r="I3790" t="str">
            <v>--</v>
          </cell>
          <cell r="J3790">
            <v>1</v>
          </cell>
          <cell r="K3790">
            <v>1</v>
          </cell>
        </row>
        <row r="3791">
          <cell r="A3791" t="str">
            <v>M2</v>
          </cell>
          <cell r="B3791" t="str">
            <v>A5C</v>
          </cell>
          <cell r="C3791" t="str">
            <v>P</v>
          </cell>
          <cell r="D3791" t="str">
            <v>23083</v>
          </cell>
          <cell r="E3791" t="str">
            <v>SW FLG</v>
          </cell>
          <cell r="F3791">
            <v>3</v>
          </cell>
          <cell r="G3791" t="str">
            <v>CB240208000100</v>
          </cell>
          <cell r="H3791">
            <v>1</v>
          </cell>
          <cell r="I3791" t="str">
            <v>--</v>
          </cell>
          <cell r="J3791">
            <v>2</v>
          </cell>
          <cell r="K3791">
            <v>2</v>
          </cell>
        </row>
        <row r="3792">
          <cell r="A3792" t="str">
            <v>M2</v>
          </cell>
          <cell r="B3792" t="str">
            <v>A5C</v>
          </cell>
          <cell r="C3792" t="str">
            <v>P</v>
          </cell>
          <cell r="D3792" t="str">
            <v>23113</v>
          </cell>
          <cell r="E3792" t="str">
            <v>SW FLG</v>
          </cell>
          <cell r="F3792">
            <v>3</v>
          </cell>
          <cell r="G3792" t="str">
            <v>CB240108000100</v>
          </cell>
          <cell r="H3792">
            <v>1</v>
          </cell>
          <cell r="I3792" t="str">
            <v>--</v>
          </cell>
          <cell r="J3792">
            <v>1</v>
          </cell>
          <cell r="K3792">
            <v>1</v>
          </cell>
        </row>
        <row r="3793">
          <cell r="A3793" t="str">
            <v>M2</v>
          </cell>
          <cell r="B3793" t="str">
            <v>A5C</v>
          </cell>
          <cell r="C3793" t="str">
            <v>P</v>
          </cell>
          <cell r="D3793" t="str">
            <v>23122</v>
          </cell>
          <cell r="E3793" t="str">
            <v>SW FLG</v>
          </cell>
          <cell r="F3793">
            <v>3</v>
          </cell>
          <cell r="G3793" t="str">
            <v>CB240108000100</v>
          </cell>
          <cell r="H3793">
            <v>1</v>
          </cell>
          <cell r="I3793" t="str">
            <v>--</v>
          </cell>
          <cell r="J3793">
            <v>2</v>
          </cell>
          <cell r="K3793">
            <v>2</v>
          </cell>
        </row>
        <row r="3794">
          <cell r="A3794" t="str">
            <v>M2</v>
          </cell>
          <cell r="B3794" t="str">
            <v>A5C</v>
          </cell>
          <cell r="C3794" t="str">
            <v>P</v>
          </cell>
          <cell r="D3794" t="str">
            <v>23147</v>
          </cell>
          <cell r="E3794" t="str">
            <v>SW FLG</v>
          </cell>
          <cell r="F3794">
            <v>3</v>
          </cell>
          <cell r="G3794" t="str">
            <v>CB240108000100</v>
          </cell>
          <cell r="H3794">
            <v>1</v>
          </cell>
          <cell r="I3794" t="str">
            <v>--</v>
          </cell>
          <cell r="J3794">
            <v>2</v>
          </cell>
          <cell r="K3794">
            <v>2</v>
          </cell>
        </row>
        <row r="3795">
          <cell r="A3795" t="str">
            <v>M2</v>
          </cell>
          <cell r="B3795" t="str">
            <v>A5C</v>
          </cell>
          <cell r="C3795" t="str">
            <v>P</v>
          </cell>
          <cell r="D3795" t="str">
            <v>23204</v>
          </cell>
          <cell r="E3795" t="str">
            <v>SW FLG</v>
          </cell>
          <cell r="F3795">
            <v>3</v>
          </cell>
          <cell r="G3795" t="str">
            <v>CB240208000100</v>
          </cell>
          <cell r="H3795">
            <v>1</v>
          </cell>
          <cell r="I3795" t="str">
            <v>--</v>
          </cell>
          <cell r="J3795">
            <v>2</v>
          </cell>
          <cell r="K3795">
            <v>2</v>
          </cell>
        </row>
        <row r="3796">
          <cell r="A3796" t="str">
            <v>M2</v>
          </cell>
          <cell r="B3796" t="str">
            <v>A5C</v>
          </cell>
          <cell r="C3796" t="str">
            <v>P</v>
          </cell>
          <cell r="D3796" t="str">
            <v>23206</v>
          </cell>
          <cell r="E3796" t="str">
            <v>SW FLG</v>
          </cell>
          <cell r="F3796">
            <v>3</v>
          </cell>
          <cell r="G3796" t="str">
            <v>CB240208000100</v>
          </cell>
          <cell r="H3796">
            <v>1</v>
          </cell>
          <cell r="I3796" t="str">
            <v>--</v>
          </cell>
          <cell r="J3796">
            <v>2</v>
          </cell>
          <cell r="K3796">
            <v>2</v>
          </cell>
        </row>
        <row r="3797">
          <cell r="A3797" t="str">
            <v>M2</v>
          </cell>
          <cell r="B3797" t="str">
            <v>A5C</v>
          </cell>
          <cell r="C3797" t="str">
            <v>P</v>
          </cell>
          <cell r="D3797" t="str">
            <v>23235</v>
          </cell>
          <cell r="E3797" t="str">
            <v>SW FLG</v>
          </cell>
          <cell r="F3797">
            <v>3</v>
          </cell>
          <cell r="G3797" t="str">
            <v>CB240208000100</v>
          </cell>
          <cell r="H3797">
            <v>1</v>
          </cell>
          <cell r="I3797" t="str">
            <v>--</v>
          </cell>
          <cell r="J3797">
            <v>2</v>
          </cell>
          <cell r="K3797">
            <v>2</v>
          </cell>
        </row>
        <row r="3798">
          <cell r="A3798" t="str">
            <v>M2</v>
          </cell>
          <cell r="B3798" t="str">
            <v>A5C</v>
          </cell>
          <cell r="C3798" t="str">
            <v>P</v>
          </cell>
          <cell r="D3798" t="str">
            <v>23238</v>
          </cell>
          <cell r="E3798" t="str">
            <v>SW FLG</v>
          </cell>
          <cell r="F3798">
            <v>3</v>
          </cell>
          <cell r="G3798" t="str">
            <v>CB240108000100</v>
          </cell>
          <cell r="H3798">
            <v>1</v>
          </cell>
          <cell r="I3798" t="str">
            <v>--</v>
          </cell>
          <cell r="J3798">
            <v>1</v>
          </cell>
          <cell r="K3798">
            <v>1</v>
          </cell>
        </row>
        <row r="3799">
          <cell r="A3799" t="str">
            <v>M2</v>
          </cell>
          <cell r="B3799" t="str">
            <v>A5C</v>
          </cell>
          <cell r="C3799" t="str">
            <v>P</v>
          </cell>
          <cell r="D3799" t="str">
            <v>23245</v>
          </cell>
          <cell r="E3799" t="str">
            <v>SW FLG</v>
          </cell>
          <cell r="F3799">
            <v>3</v>
          </cell>
          <cell r="G3799" t="str">
            <v>CB240208000100</v>
          </cell>
          <cell r="H3799">
            <v>1</v>
          </cell>
          <cell r="I3799" t="str">
            <v>--</v>
          </cell>
          <cell r="J3799">
            <v>2</v>
          </cell>
          <cell r="K3799">
            <v>2</v>
          </cell>
        </row>
        <row r="3800">
          <cell r="A3800" t="str">
            <v>M2</v>
          </cell>
          <cell r="B3800" t="str">
            <v>A5C</v>
          </cell>
          <cell r="C3800" t="str">
            <v>P</v>
          </cell>
          <cell r="D3800" t="str">
            <v>24008</v>
          </cell>
          <cell r="E3800" t="str">
            <v>SW FLG</v>
          </cell>
          <cell r="F3800">
            <v>3</v>
          </cell>
          <cell r="G3800" t="str">
            <v>CB240208000100</v>
          </cell>
          <cell r="H3800">
            <v>1</v>
          </cell>
          <cell r="I3800" t="str">
            <v>--</v>
          </cell>
          <cell r="J3800">
            <v>2</v>
          </cell>
          <cell r="K3800">
            <v>2</v>
          </cell>
        </row>
        <row r="3801">
          <cell r="A3801" t="str">
            <v>M2</v>
          </cell>
          <cell r="B3801" t="str">
            <v>A5C</v>
          </cell>
          <cell r="C3801" t="str">
            <v>P</v>
          </cell>
          <cell r="D3801" t="str">
            <v>24020</v>
          </cell>
          <cell r="E3801" t="str">
            <v>SW FLG</v>
          </cell>
          <cell r="F3801">
            <v>3</v>
          </cell>
          <cell r="G3801" t="str">
            <v>CB240108000100</v>
          </cell>
          <cell r="H3801">
            <v>1</v>
          </cell>
          <cell r="I3801" t="str">
            <v>--</v>
          </cell>
          <cell r="J3801">
            <v>3</v>
          </cell>
          <cell r="K3801">
            <v>3</v>
          </cell>
        </row>
        <row r="3802">
          <cell r="A3802" t="str">
            <v>M2</v>
          </cell>
          <cell r="B3802" t="str">
            <v>A5C</v>
          </cell>
          <cell r="C3802" t="str">
            <v>P</v>
          </cell>
          <cell r="D3802" t="str">
            <v>24024</v>
          </cell>
          <cell r="E3802" t="str">
            <v>SW FLG</v>
          </cell>
          <cell r="F3802">
            <v>3</v>
          </cell>
          <cell r="G3802" t="str">
            <v>CB240108000100</v>
          </cell>
          <cell r="H3802">
            <v>1</v>
          </cell>
          <cell r="I3802" t="str">
            <v>--</v>
          </cell>
          <cell r="J3802">
            <v>1</v>
          </cell>
          <cell r="K3802">
            <v>1</v>
          </cell>
        </row>
        <row r="3803">
          <cell r="A3803" t="str">
            <v>M2</v>
          </cell>
          <cell r="B3803" t="str">
            <v>A5C</v>
          </cell>
          <cell r="C3803" t="str">
            <v>TRIM</v>
          </cell>
          <cell r="D3803" t="str">
            <v>V-2316</v>
          </cell>
          <cell r="E3803" t="str">
            <v>SW FLG</v>
          </cell>
          <cell r="F3803">
            <v>3</v>
          </cell>
          <cell r="G3803" t="str">
            <v>CB240108000100</v>
          </cell>
          <cell r="H3803">
            <v>1</v>
          </cell>
          <cell r="I3803" t="str">
            <v>--</v>
          </cell>
          <cell r="J3803">
            <v>3</v>
          </cell>
          <cell r="K3803">
            <v>3</v>
          </cell>
        </row>
        <row r="3804">
          <cell r="A3804" t="str">
            <v>M2</v>
          </cell>
          <cell r="B3804" t="str">
            <v>A5C</v>
          </cell>
          <cell r="C3804" t="str">
            <v>P</v>
          </cell>
          <cell r="D3804" t="str">
            <v>23055</v>
          </cell>
          <cell r="E3804" t="str">
            <v>SW FLG</v>
          </cell>
          <cell r="F3804">
            <v>3</v>
          </cell>
          <cell r="G3804" t="str">
            <v>CB240108000100</v>
          </cell>
          <cell r="H3804">
            <v>1</v>
          </cell>
          <cell r="I3804" t="str">
            <v>--</v>
          </cell>
          <cell r="J3804">
            <v>2</v>
          </cell>
          <cell r="K3804">
            <v>2</v>
          </cell>
        </row>
        <row r="3805">
          <cell r="A3805" t="str">
            <v>M2</v>
          </cell>
          <cell r="B3805" t="str">
            <v>A5C</v>
          </cell>
          <cell r="C3805" t="str">
            <v>P</v>
          </cell>
          <cell r="D3805" t="str">
            <v>23059</v>
          </cell>
          <cell r="E3805" t="str">
            <v>SW FLG</v>
          </cell>
          <cell r="F3805">
            <v>3</v>
          </cell>
          <cell r="G3805" t="str">
            <v>CB240108000100</v>
          </cell>
          <cell r="H3805">
            <v>1</v>
          </cell>
          <cell r="I3805" t="str">
            <v>--</v>
          </cell>
          <cell r="J3805">
            <v>1</v>
          </cell>
          <cell r="K3805">
            <v>1</v>
          </cell>
        </row>
        <row r="3806">
          <cell r="A3806" t="str">
            <v>M2</v>
          </cell>
          <cell r="B3806" t="str">
            <v>A5C</v>
          </cell>
          <cell r="C3806" t="str">
            <v>P</v>
          </cell>
          <cell r="D3806" t="str">
            <v>23183</v>
          </cell>
          <cell r="E3806" t="str">
            <v>SW FLG</v>
          </cell>
          <cell r="F3806">
            <v>3</v>
          </cell>
          <cell r="G3806" t="str">
            <v>CB240108000100</v>
          </cell>
          <cell r="H3806">
            <v>1</v>
          </cell>
          <cell r="I3806" t="str">
            <v>--</v>
          </cell>
          <cell r="J3806">
            <v>1</v>
          </cell>
          <cell r="K3806">
            <v>1</v>
          </cell>
        </row>
        <row r="3807">
          <cell r="A3807" t="str">
            <v>M2</v>
          </cell>
          <cell r="B3807" t="str">
            <v>A5C</v>
          </cell>
          <cell r="C3807" t="str">
            <v>TRIM</v>
          </cell>
          <cell r="D3807" t="str">
            <v>V-2352</v>
          </cell>
          <cell r="E3807" t="str">
            <v>SW FLG</v>
          </cell>
          <cell r="F3807">
            <v>3</v>
          </cell>
          <cell r="G3807" t="str">
            <v>CB240108000100</v>
          </cell>
          <cell r="H3807">
            <v>1</v>
          </cell>
          <cell r="I3807" t="str">
            <v>--</v>
          </cell>
          <cell r="J3807">
            <v>2</v>
          </cell>
          <cell r="K3807">
            <v>2</v>
          </cell>
        </row>
        <row r="3808">
          <cell r="A3808" t="str">
            <v>M2</v>
          </cell>
          <cell r="B3808" t="str">
            <v>A5C</v>
          </cell>
          <cell r="C3808" t="str">
            <v>P</v>
          </cell>
          <cell r="D3808" t="str">
            <v>23008</v>
          </cell>
          <cell r="E3808" t="str">
            <v>LWN FLG</v>
          </cell>
          <cell r="F3808">
            <v>3</v>
          </cell>
          <cell r="G3808" t="str">
            <v>CB2901000001WL</v>
          </cell>
          <cell r="H3808">
            <v>1</v>
          </cell>
          <cell r="I3808" t="str">
            <v>150mm</v>
          </cell>
          <cell r="J3808">
            <v>1</v>
          </cell>
          <cell r="K3808">
            <v>1</v>
          </cell>
        </row>
        <row r="3809">
          <cell r="A3809" t="str">
            <v>M2</v>
          </cell>
          <cell r="B3809" t="str">
            <v>A5C</v>
          </cell>
          <cell r="C3809" t="str">
            <v>P</v>
          </cell>
          <cell r="D3809" t="str">
            <v>23016</v>
          </cell>
          <cell r="E3809" t="str">
            <v>LWN FLG</v>
          </cell>
          <cell r="F3809">
            <v>3</v>
          </cell>
          <cell r="G3809" t="str">
            <v>CB2901000001WL</v>
          </cell>
          <cell r="H3809">
            <v>1</v>
          </cell>
          <cell r="I3809" t="str">
            <v>150mm</v>
          </cell>
          <cell r="J3809">
            <v>1</v>
          </cell>
          <cell r="K3809">
            <v>1</v>
          </cell>
        </row>
        <row r="3810">
          <cell r="A3810" t="str">
            <v>M2</v>
          </cell>
          <cell r="B3810" t="str">
            <v>A5C</v>
          </cell>
          <cell r="C3810" t="str">
            <v>P</v>
          </cell>
          <cell r="D3810" t="str">
            <v>23025</v>
          </cell>
          <cell r="E3810" t="str">
            <v>LWN FLG</v>
          </cell>
          <cell r="F3810">
            <v>3</v>
          </cell>
          <cell r="G3810" t="str">
            <v>CB2901000001WL</v>
          </cell>
          <cell r="H3810">
            <v>1</v>
          </cell>
          <cell r="I3810" t="str">
            <v>150mm</v>
          </cell>
          <cell r="J3810">
            <v>1</v>
          </cell>
          <cell r="K3810">
            <v>1</v>
          </cell>
        </row>
        <row r="3811">
          <cell r="A3811" t="str">
            <v>M2</v>
          </cell>
          <cell r="B3811" t="str">
            <v>A5C</v>
          </cell>
          <cell r="C3811" t="str">
            <v>P</v>
          </cell>
          <cell r="D3811" t="str">
            <v>23032</v>
          </cell>
          <cell r="E3811" t="str">
            <v>LWN FLG</v>
          </cell>
          <cell r="F3811">
            <v>3</v>
          </cell>
          <cell r="G3811" t="str">
            <v>CB2901000001WL</v>
          </cell>
          <cell r="H3811">
            <v>1</v>
          </cell>
          <cell r="I3811" t="str">
            <v>150mm</v>
          </cell>
          <cell r="J3811">
            <v>1</v>
          </cell>
          <cell r="K3811">
            <v>1</v>
          </cell>
        </row>
        <row r="3812">
          <cell r="A3812" t="str">
            <v>M2</v>
          </cell>
          <cell r="B3812" t="str">
            <v>A5C</v>
          </cell>
          <cell r="C3812" t="str">
            <v>P</v>
          </cell>
          <cell r="D3812" t="str">
            <v>23050</v>
          </cell>
          <cell r="E3812" t="str">
            <v>LWN FLG</v>
          </cell>
          <cell r="F3812">
            <v>3</v>
          </cell>
          <cell r="G3812" t="str">
            <v>CB2901000001WL</v>
          </cell>
          <cell r="H3812">
            <v>1</v>
          </cell>
          <cell r="I3812" t="str">
            <v>150mm</v>
          </cell>
          <cell r="J3812">
            <v>1</v>
          </cell>
          <cell r="K3812">
            <v>1</v>
          </cell>
        </row>
        <row r="3813">
          <cell r="A3813" t="str">
            <v>M2</v>
          </cell>
          <cell r="B3813" t="str">
            <v>A5C</v>
          </cell>
          <cell r="C3813" t="str">
            <v>P</v>
          </cell>
          <cell r="D3813" t="str">
            <v>23061</v>
          </cell>
          <cell r="E3813" t="str">
            <v>LWN FLG</v>
          </cell>
          <cell r="F3813">
            <v>3</v>
          </cell>
          <cell r="G3813" t="str">
            <v>CB2901000001WL</v>
          </cell>
          <cell r="H3813">
            <v>1</v>
          </cell>
          <cell r="I3813" t="str">
            <v>150mm</v>
          </cell>
          <cell r="J3813">
            <v>1</v>
          </cell>
          <cell r="K3813">
            <v>1</v>
          </cell>
        </row>
        <row r="3814">
          <cell r="A3814" t="str">
            <v>M2</v>
          </cell>
          <cell r="B3814" t="str">
            <v>A5C</v>
          </cell>
          <cell r="C3814" t="str">
            <v>P</v>
          </cell>
          <cell r="D3814" t="str">
            <v>23170</v>
          </cell>
          <cell r="E3814" t="str">
            <v>LWN FLG</v>
          </cell>
          <cell r="F3814">
            <v>3</v>
          </cell>
          <cell r="G3814" t="str">
            <v>CB2901000001WL</v>
          </cell>
          <cell r="H3814">
            <v>1</v>
          </cell>
          <cell r="I3814" t="str">
            <v>150mm</v>
          </cell>
          <cell r="J3814">
            <v>1</v>
          </cell>
          <cell r="K3814">
            <v>1</v>
          </cell>
        </row>
        <row r="3815">
          <cell r="A3815" t="str">
            <v>M2</v>
          </cell>
          <cell r="B3815" t="str">
            <v>A5C</v>
          </cell>
          <cell r="C3815" t="str">
            <v>P</v>
          </cell>
          <cell r="D3815" t="str">
            <v>23173</v>
          </cell>
          <cell r="E3815" t="str">
            <v>LWN FLG</v>
          </cell>
          <cell r="F3815">
            <v>3</v>
          </cell>
          <cell r="G3815" t="str">
            <v>CB2901000001WL</v>
          </cell>
          <cell r="H3815">
            <v>1</v>
          </cell>
          <cell r="I3815" t="str">
            <v>150mm</v>
          </cell>
          <cell r="J3815">
            <v>1</v>
          </cell>
          <cell r="K3815">
            <v>1</v>
          </cell>
        </row>
        <row r="3816">
          <cell r="A3816" t="str">
            <v>M2</v>
          </cell>
          <cell r="B3816" t="str">
            <v>A5C</v>
          </cell>
          <cell r="C3816" t="str">
            <v>P</v>
          </cell>
          <cell r="D3816" t="str">
            <v>23180</v>
          </cell>
          <cell r="E3816" t="str">
            <v>LWN FLG</v>
          </cell>
          <cell r="F3816">
            <v>3</v>
          </cell>
          <cell r="G3816" t="str">
            <v>CB2901000001WL</v>
          </cell>
          <cell r="H3816">
            <v>1</v>
          </cell>
          <cell r="I3816" t="str">
            <v>150mm</v>
          </cell>
          <cell r="J3816">
            <v>1</v>
          </cell>
          <cell r="K3816">
            <v>1</v>
          </cell>
        </row>
        <row r="3817">
          <cell r="A3817" t="str">
            <v>M2</v>
          </cell>
          <cell r="B3817" t="str">
            <v>A5C</v>
          </cell>
          <cell r="C3817" t="str">
            <v>P</v>
          </cell>
          <cell r="D3817" t="str">
            <v>24016</v>
          </cell>
          <cell r="E3817" t="str">
            <v>LWN FLG</v>
          </cell>
          <cell r="F3817">
            <v>3</v>
          </cell>
          <cell r="G3817" t="str">
            <v>CB2901000001WL</v>
          </cell>
          <cell r="H3817">
            <v>1</v>
          </cell>
          <cell r="I3817" t="str">
            <v>150mm</v>
          </cell>
          <cell r="J3817">
            <v>1</v>
          </cell>
          <cell r="K3817">
            <v>1</v>
          </cell>
        </row>
        <row r="3818">
          <cell r="A3818" t="str">
            <v>M2</v>
          </cell>
          <cell r="B3818" t="str">
            <v>A5C</v>
          </cell>
          <cell r="C3818" t="str">
            <v>P</v>
          </cell>
          <cell r="D3818" t="str">
            <v>23076</v>
          </cell>
          <cell r="E3818" t="str">
            <v>LWN FLG</v>
          </cell>
          <cell r="F3818">
            <v>3</v>
          </cell>
          <cell r="G3818" t="str">
            <v>CB2901000001WL</v>
          </cell>
          <cell r="H3818">
            <v>1</v>
          </cell>
          <cell r="I3818" t="str">
            <v>150mm</v>
          </cell>
          <cell r="J3818">
            <v>1</v>
          </cell>
          <cell r="K3818">
            <v>1</v>
          </cell>
        </row>
        <row r="3819">
          <cell r="A3819" t="str">
            <v>M2</v>
          </cell>
          <cell r="B3819" t="str">
            <v>A5C</v>
          </cell>
          <cell r="C3819" t="str">
            <v>P</v>
          </cell>
          <cell r="D3819" t="str">
            <v>23191</v>
          </cell>
          <cell r="E3819" t="str">
            <v>LWN FLG</v>
          </cell>
          <cell r="F3819">
            <v>3</v>
          </cell>
          <cell r="G3819" t="str">
            <v>CB2901000001WL</v>
          </cell>
          <cell r="H3819">
            <v>1</v>
          </cell>
          <cell r="I3819" t="str">
            <v>150mm</v>
          </cell>
          <cell r="J3819">
            <v>1</v>
          </cell>
          <cell r="K3819">
            <v>1</v>
          </cell>
        </row>
        <row r="3820">
          <cell r="A3820" t="str">
            <v>M2</v>
          </cell>
          <cell r="B3820" t="str">
            <v>A5C</v>
          </cell>
          <cell r="C3820" t="str">
            <v>P</v>
          </cell>
          <cell r="D3820" t="str">
            <v>24018</v>
          </cell>
          <cell r="E3820" t="str">
            <v>LWN FLG</v>
          </cell>
          <cell r="F3820">
            <v>3</v>
          </cell>
          <cell r="G3820" t="str">
            <v>CB2901000001WL</v>
          </cell>
          <cell r="H3820">
            <v>1</v>
          </cell>
          <cell r="I3820" t="str">
            <v>150mm</v>
          </cell>
          <cell r="J3820">
            <v>1</v>
          </cell>
          <cell r="K3820">
            <v>1</v>
          </cell>
        </row>
        <row r="3821">
          <cell r="A3821" t="str">
            <v>M2</v>
          </cell>
          <cell r="B3821" t="str">
            <v>A5C</v>
          </cell>
          <cell r="C3821" t="str">
            <v>P</v>
          </cell>
          <cell r="D3821" t="str">
            <v>23018</v>
          </cell>
          <cell r="E3821" t="str">
            <v>SW FLG</v>
          </cell>
          <cell r="F3821">
            <v>3</v>
          </cell>
          <cell r="G3821" t="str">
            <v>CB240108000100</v>
          </cell>
          <cell r="H3821">
            <v>1</v>
          </cell>
          <cell r="I3821" t="str">
            <v>--</v>
          </cell>
          <cell r="J3821">
            <v>2</v>
          </cell>
          <cell r="K3821">
            <v>2</v>
          </cell>
        </row>
        <row r="3822">
          <cell r="A3822" t="str">
            <v>M2</v>
          </cell>
          <cell r="B3822" t="str">
            <v>A5C</v>
          </cell>
          <cell r="C3822" t="str">
            <v>P</v>
          </cell>
          <cell r="D3822" t="str">
            <v>23027</v>
          </cell>
          <cell r="E3822" t="str">
            <v>SW FLG</v>
          </cell>
          <cell r="F3822">
            <v>3</v>
          </cell>
          <cell r="G3822" t="str">
            <v>CB240108000100</v>
          </cell>
          <cell r="H3822">
            <v>1</v>
          </cell>
          <cell r="I3822" t="str">
            <v>--</v>
          </cell>
          <cell r="J3822">
            <v>1</v>
          </cell>
          <cell r="K3822">
            <v>1</v>
          </cell>
        </row>
        <row r="3823">
          <cell r="A3823" t="str">
            <v>M2</v>
          </cell>
          <cell r="B3823" t="str">
            <v>A5C</v>
          </cell>
          <cell r="C3823" t="str">
            <v>P</v>
          </cell>
          <cell r="D3823" t="str">
            <v>23033</v>
          </cell>
          <cell r="E3823" t="str">
            <v>SW FLG</v>
          </cell>
          <cell r="F3823">
            <v>3</v>
          </cell>
          <cell r="G3823" t="str">
            <v>CB240108000100</v>
          </cell>
          <cell r="H3823">
            <v>1</v>
          </cell>
          <cell r="I3823" t="str">
            <v>--</v>
          </cell>
          <cell r="J3823">
            <v>2</v>
          </cell>
          <cell r="K3823">
            <v>2</v>
          </cell>
        </row>
        <row r="3824">
          <cell r="A3824" t="str">
            <v>M2</v>
          </cell>
          <cell r="B3824" t="str">
            <v>A5C</v>
          </cell>
          <cell r="C3824" t="str">
            <v>P</v>
          </cell>
          <cell r="D3824" t="str">
            <v>23044</v>
          </cell>
          <cell r="E3824" t="str">
            <v>SW FLG</v>
          </cell>
          <cell r="F3824">
            <v>3</v>
          </cell>
          <cell r="G3824" t="str">
            <v>CB240108000100</v>
          </cell>
          <cell r="H3824">
            <v>1</v>
          </cell>
          <cell r="I3824" t="str">
            <v>--</v>
          </cell>
          <cell r="J3824">
            <v>2</v>
          </cell>
          <cell r="K3824">
            <v>2</v>
          </cell>
        </row>
        <row r="3825">
          <cell r="A3825" t="str">
            <v>M2</v>
          </cell>
          <cell r="B3825" t="str">
            <v>A5C</v>
          </cell>
          <cell r="C3825" t="str">
            <v>P</v>
          </cell>
          <cell r="D3825" t="str">
            <v>23039</v>
          </cell>
          <cell r="E3825" t="str">
            <v>SW FLG</v>
          </cell>
          <cell r="F3825">
            <v>3</v>
          </cell>
          <cell r="G3825" t="str">
            <v>CB240108000100</v>
          </cell>
          <cell r="H3825">
            <v>1</v>
          </cell>
          <cell r="I3825" t="str">
            <v>--</v>
          </cell>
          <cell r="J3825">
            <v>2</v>
          </cell>
          <cell r="K3825">
            <v>2</v>
          </cell>
        </row>
        <row r="3826">
          <cell r="A3826" t="str">
            <v>M2</v>
          </cell>
          <cell r="B3826" t="str">
            <v>A5C</v>
          </cell>
          <cell r="C3826" t="str">
            <v>P</v>
          </cell>
          <cell r="D3826" t="str">
            <v>23074</v>
          </cell>
          <cell r="E3826" t="str">
            <v>SW FLG</v>
          </cell>
          <cell r="F3826">
            <v>3</v>
          </cell>
          <cell r="G3826" t="str">
            <v>CB240108000100</v>
          </cell>
          <cell r="H3826">
            <v>1</v>
          </cell>
          <cell r="I3826" t="str">
            <v>--</v>
          </cell>
          <cell r="J3826">
            <v>1</v>
          </cell>
          <cell r="K3826">
            <v>1</v>
          </cell>
        </row>
        <row r="3827">
          <cell r="A3827" t="str">
            <v>M2</v>
          </cell>
          <cell r="B3827" t="str">
            <v>A5C</v>
          </cell>
          <cell r="C3827" t="str">
            <v>P</v>
          </cell>
          <cell r="D3827" t="str">
            <v>23079</v>
          </cell>
          <cell r="E3827" t="str">
            <v>SW FLG</v>
          </cell>
          <cell r="F3827">
            <v>3</v>
          </cell>
          <cell r="G3827" t="str">
            <v>CB240108000100</v>
          </cell>
          <cell r="H3827">
            <v>1</v>
          </cell>
          <cell r="I3827" t="str">
            <v>--</v>
          </cell>
          <cell r="J3827">
            <v>1</v>
          </cell>
          <cell r="K3827">
            <v>1</v>
          </cell>
        </row>
        <row r="3828">
          <cell r="A3828" t="str">
            <v>M2</v>
          </cell>
          <cell r="B3828" t="str">
            <v>A5C</v>
          </cell>
          <cell r="C3828" t="str">
            <v>P</v>
          </cell>
          <cell r="D3828" t="str">
            <v>23219</v>
          </cell>
          <cell r="E3828" t="str">
            <v>SW FLG</v>
          </cell>
          <cell r="F3828">
            <v>3</v>
          </cell>
          <cell r="G3828" t="str">
            <v>CB240108000100</v>
          </cell>
          <cell r="H3828">
            <v>1</v>
          </cell>
          <cell r="I3828" t="str">
            <v>--</v>
          </cell>
          <cell r="J3828">
            <v>1</v>
          </cell>
          <cell r="K3828">
            <v>1</v>
          </cell>
        </row>
        <row r="3829">
          <cell r="A3829" t="str">
            <v>M2</v>
          </cell>
          <cell r="B3829" t="str">
            <v>A5C</v>
          </cell>
          <cell r="C3829" t="str">
            <v>P</v>
          </cell>
          <cell r="D3829" t="str">
            <v>23223</v>
          </cell>
          <cell r="E3829" t="str">
            <v>SW FLG</v>
          </cell>
          <cell r="F3829">
            <v>3</v>
          </cell>
          <cell r="G3829" t="str">
            <v>CB240208000100</v>
          </cell>
          <cell r="H3829">
            <v>1</v>
          </cell>
          <cell r="I3829" t="str">
            <v>--</v>
          </cell>
          <cell r="J3829">
            <v>2</v>
          </cell>
          <cell r="K3829">
            <v>2</v>
          </cell>
        </row>
        <row r="3830">
          <cell r="A3830" t="str">
            <v>M2</v>
          </cell>
          <cell r="B3830" t="str">
            <v>A5C</v>
          </cell>
          <cell r="C3830" t="str">
            <v>P</v>
          </cell>
          <cell r="D3830" t="str">
            <v>24015</v>
          </cell>
          <cell r="E3830" t="str">
            <v>SW FLG</v>
          </cell>
          <cell r="F3830">
            <v>3</v>
          </cell>
          <cell r="G3830" t="str">
            <v>CB240108000100</v>
          </cell>
          <cell r="H3830">
            <v>1</v>
          </cell>
          <cell r="I3830" t="str">
            <v>--</v>
          </cell>
          <cell r="J3830">
            <v>2</v>
          </cell>
          <cell r="K3830">
            <v>2</v>
          </cell>
        </row>
        <row r="3831">
          <cell r="A3831" t="str">
            <v>M2</v>
          </cell>
          <cell r="B3831" t="str">
            <v>A5C</v>
          </cell>
          <cell r="C3831" t="str">
            <v>P</v>
          </cell>
          <cell r="D3831" t="str">
            <v>24016</v>
          </cell>
          <cell r="E3831" t="str">
            <v>SW FLG</v>
          </cell>
          <cell r="F3831">
            <v>3</v>
          </cell>
          <cell r="G3831" t="str">
            <v>CB240108000100</v>
          </cell>
          <cell r="H3831">
            <v>1</v>
          </cell>
          <cell r="I3831" t="str">
            <v>--</v>
          </cell>
          <cell r="J3831">
            <v>2</v>
          </cell>
          <cell r="K3831">
            <v>2</v>
          </cell>
        </row>
        <row r="3832">
          <cell r="A3832" t="str">
            <v>M2</v>
          </cell>
          <cell r="B3832" t="str">
            <v>A5C</v>
          </cell>
          <cell r="C3832" t="str">
            <v>P</v>
          </cell>
          <cell r="D3832" t="str">
            <v>24017</v>
          </cell>
          <cell r="E3832" t="str">
            <v>SW FLG</v>
          </cell>
          <cell r="F3832">
            <v>3</v>
          </cell>
          <cell r="G3832" t="str">
            <v>CB240108000100</v>
          </cell>
          <cell r="H3832">
            <v>1</v>
          </cell>
          <cell r="I3832" t="str">
            <v>--</v>
          </cell>
          <cell r="J3832">
            <v>1</v>
          </cell>
          <cell r="K3832">
            <v>1</v>
          </cell>
        </row>
        <row r="3833">
          <cell r="A3833" t="str">
            <v>M2</v>
          </cell>
          <cell r="B3833" t="str">
            <v>A5C</v>
          </cell>
          <cell r="C3833" t="str">
            <v>P</v>
          </cell>
          <cell r="D3833" t="str">
            <v>24018</v>
          </cell>
          <cell r="E3833" t="str">
            <v>SW FLG</v>
          </cell>
          <cell r="F3833">
            <v>3</v>
          </cell>
          <cell r="G3833" t="str">
            <v>CB240108000100</v>
          </cell>
          <cell r="H3833">
            <v>1</v>
          </cell>
          <cell r="I3833" t="str">
            <v>--</v>
          </cell>
          <cell r="J3833">
            <v>1</v>
          </cell>
          <cell r="K3833">
            <v>1</v>
          </cell>
        </row>
        <row r="3834">
          <cell r="A3834" t="str">
            <v>M2</v>
          </cell>
          <cell r="B3834" t="str">
            <v>A5C</v>
          </cell>
          <cell r="C3834" t="str">
            <v>TRIM</v>
          </cell>
          <cell r="D3834" t="str">
            <v>C-2302</v>
          </cell>
          <cell r="E3834" t="str">
            <v>SW FLG</v>
          </cell>
          <cell r="F3834">
            <v>3</v>
          </cell>
          <cell r="G3834" t="str">
            <v>CB240108000100</v>
          </cell>
          <cell r="H3834">
            <v>1</v>
          </cell>
          <cell r="I3834" t="str">
            <v>--</v>
          </cell>
          <cell r="J3834">
            <v>1</v>
          </cell>
          <cell r="K3834">
            <v>1</v>
          </cell>
        </row>
        <row r="3835">
          <cell r="A3835" t="str">
            <v>M2</v>
          </cell>
          <cell r="B3835" t="str">
            <v>A5C</v>
          </cell>
          <cell r="C3835" t="str">
            <v>TRIM</v>
          </cell>
          <cell r="D3835" t="str">
            <v>C-2303</v>
          </cell>
          <cell r="E3835" t="str">
            <v>SW FLG</v>
          </cell>
          <cell r="F3835">
            <v>3</v>
          </cell>
          <cell r="G3835" t="str">
            <v>CB240108000100</v>
          </cell>
          <cell r="H3835">
            <v>1</v>
          </cell>
          <cell r="I3835" t="str">
            <v>--</v>
          </cell>
          <cell r="J3835">
            <v>1</v>
          </cell>
          <cell r="K3835">
            <v>1</v>
          </cell>
        </row>
        <row r="3836">
          <cell r="A3836" t="str">
            <v>M2</v>
          </cell>
          <cell r="B3836" t="str">
            <v>A5C</v>
          </cell>
          <cell r="C3836" t="str">
            <v>TRIM</v>
          </cell>
          <cell r="D3836" t="str">
            <v>C-2304</v>
          </cell>
          <cell r="E3836" t="str">
            <v>SW FLG</v>
          </cell>
          <cell r="F3836">
            <v>3</v>
          </cell>
          <cell r="G3836" t="str">
            <v>CB240108000100</v>
          </cell>
          <cell r="H3836">
            <v>1</v>
          </cell>
          <cell r="I3836" t="str">
            <v>--</v>
          </cell>
          <cell r="J3836">
            <v>1</v>
          </cell>
          <cell r="K3836">
            <v>1</v>
          </cell>
        </row>
        <row r="3837">
          <cell r="A3837" t="str">
            <v>M2</v>
          </cell>
          <cell r="B3837" t="str">
            <v>A5C</v>
          </cell>
          <cell r="C3837" t="str">
            <v>TRIM</v>
          </cell>
          <cell r="D3837" t="str">
            <v>C-2305</v>
          </cell>
          <cell r="E3837" t="str">
            <v>SW FLG</v>
          </cell>
          <cell r="F3837">
            <v>3</v>
          </cell>
          <cell r="G3837" t="str">
            <v>CB240108000100</v>
          </cell>
          <cell r="H3837">
            <v>1</v>
          </cell>
          <cell r="I3837" t="str">
            <v>--</v>
          </cell>
          <cell r="J3837">
            <v>1</v>
          </cell>
          <cell r="K3837">
            <v>1</v>
          </cell>
        </row>
        <row r="3838">
          <cell r="A3838" t="str">
            <v>M2</v>
          </cell>
          <cell r="B3838" t="str">
            <v>A5C</v>
          </cell>
          <cell r="C3838" t="str">
            <v>TRIM</v>
          </cell>
          <cell r="D3838" t="str">
            <v>C-2306</v>
          </cell>
          <cell r="E3838" t="str">
            <v>SW FLG</v>
          </cell>
          <cell r="F3838">
            <v>3</v>
          </cell>
          <cell r="G3838" t="str">
            <v>CB240108000100</v>
          </cell>
          <cell r="H3838">
            <v>1</v>
          </cell>
          <cell r="I3838" t="str">
            <v>--</v>
          </cell>
          <cell r="J3838">
            <v>1</v>
          </cell>
          <cell r="K3838">
            <v>1</v>
          </cell>
        </row>
        <row r="3839">
          <cell r="A3839" t="str">
            <v>M2</v>
          </cell>
          <cell r="B3839" t="str">
            <v>A5C</v>
          </cell>
          <cell r="C3839" t="str">
            <v>P</v>
          </cell>
          <cell r="D3839" t="str">
            <v>23019</v>
          </cell>
          <cell r="E3839" t="str">
            <v>SW FLG</v>
          </cell>
          <cell r="F3839">
            <v>3</v>
          </cell>
          <cell r="G3839" t="str">
            <v>CB240208000100</v>
          </cell>
          <cell r="H3839">
            <v>1</v>
          </cell>
          <cell r="I3839" t="str">
            <v>--</v>
          </cell>
          <cell r="J3839">
            <v>2</v>
          </cell>
          <cell r="K3839">
            <v>2</v>
          </cell>
        </row>
        <row r="3840">
          <cell r="A3840" t="str">
            <v>M2</v>
          </cell>
          <cell r="B3840" t="str">
            <v>A5C</v>
          </cell>
          <cell r="C3840" t="str">
            <v>P</v>
          </cell>
          <cell r="D3840" t="str">
            <v>23039</v>
          </cell>
          <cell r="E3840" t="str">
            <v>SW FLG</v>
          </cell>
          <cell r="F3840">
            <v>3</v>
          </cell>
          <cell r="G3840" t="str">
            <v>CB240208000100</v>
          </cell>
          <cell r="H3840">
            <v>1</v>
          </cell>
          <cell r="I3840" t="str">
            <v>--</v>
          </cell>
          <cell r="J3840">
            <v>2</v>
          </cell>
          <cell r="K3840">
            <v>2</v>
          </cell>
        </row>
        <row r="3841">
          <cell r="A3841" t="str">
            <v>M2</v>
          </cell>
          <cell r="B3841" t="str">
            <v>A5C</v>
          </cell>
          <cell r="C3841" t="str">
            <v>P</v>
          </cell>
          <cell r="D3841" t="str">
            <v>23077</v>
          </cell>
          <cell r="E3841" t="str">
            <v>SW FLG</v>
          </cell>
          <cell r="F3841">
            <v>3</v>
          </cell>
          <cell r="G3841" t="str">
            <v>CB240108000100</v>
          </cell>
          <cell r="H3841">
            <v>1</v>
          </cell>
          <cell r="I3841" t="str">
            <v>--</v>
          </cell>
          <cell r="J3841">
            <v>2</v>
          </cell>
          <cell r="K3841">
            <v>2</v>
          </cell>
        </row>
        <row r="3842">
          <cell r="A3842" t="str">
            <v>M2</v>
          </cell>
          <cell r="B3842" t="str">
            <v>A5C</v>
          </cell>
          <cell r="C3842" t="str">
            <v>P</v>
          </cell>
          <cell r="D3842" t="str">
            <v>23194</v>
          </cell>
          <cell r="E3842" t="str">
            <v>SW FLG</v>
          </cell>
          <cell r="F3842">
            <v>3</v>
          </cell>
          <cell r="G3842" t="str">
            <v>CB240108000100</v>
          </cell>
          <cell r="H3842">
            <v>1</v>
          </cell>
          <cell r="I3842" t="str">
            <v>--</v>
          </cell>
          <cell r="J3842">
            <v>3</v>
          </cell>
          <cell r="K3842">
            <v>3</v>
          </cell>
        </row>
        <row r="3843">
          <cell r="A3843" t="str">
            <v>M2</v>
          </cell>
          <cell r="B3843" t="str">
            <v>A5C</v>
          </cell>
          <cell r="C3843" t="str">
            <v>TRIM</v>
          </cell>
          <cell r="D3843" t="str">
            <v>V-2325</v>
          </cell>
          <cell r="E3843" t="str">
            <v>SW FLG</v>
          </cell>
          <cell r="F3843">
            <v>3</v>
          </cell>
          <cell r="G3843" t="str">
            <v>CB240108000100</v>
          </cell>
          <cell r="H3843">
            <v>1</v>
          </cell>
          <cell r="I3843" t="str">
            <v>--</v>
          </cell>
          <cell r="J3843">
            <v>3</v>
          </cell>
          <cell r="K3843">
            <v>3</v>
          </cell>
        </row>
        <row r="3844">
          <cell r="A3844" t="str">
            <v>M2</v>
          </cell>
          <cell r="B3844" t="str">
            <v>A5C</v>
          </cell>
          <cell r="C3844" t="str">
            <v>P</v>
          </cell>
          <cell r="D3844" t="str">
            <v>23015</v>
          </cell>
          <cell r="E3844" t="str">
            <v>LWN FLG</v>
          </cell>
          <cell r="F3844">
            <v>3</v>
          </cell>
          <cell r="G3844" t="str">
            <v>CB2901000001WL</v>
          </cell>
          <cell r="H3844">
            <v>1</v>
          </cell>
          <cell r="I3844" t="str">
            <v>150mm</v>
          </cell>
          <cell r="J3844">
            <v>1</v>
          </cell>
          <cell r="K3844">
            <v>1</v>
          </cell>
        </row>
        <row r="3845">
          <cell r="A3845" t="str">
            <v>M2</v>
          </cell>
          <cell r="B3845" t="str">
            <v>A5C</v>
          </cell>
          <cell r="C3845" t="str">
            <v>P</v>
          </cell>
          <cell r="D3845" t="str">
            <v>23009</v>
          </cell>
          <cell r="E3845" t="str">
            <v>SW FLG</v>
          </cell>
          <cell r="F3845">
            <v>3</v>
          </cell>
          <cell r="G3845" t="str">
            <v>CB240108000100</v>
          </cell>
          <cell r="H3845">
            <v>1</v>
          </cell>
          <cell r="I3845" t="str">
            <v>--</v>
          </cell>
          <cell r="J3845">
            <v>2</v>
          </cell>
          <cell r="K3845">
            <v>2</v>
          </cell>
        </row>
        <row r="3846">
          <cell r="A3846" t="str">
            <v>M2</v>
          </cell>
          <cell r="B3846" t="str">
            <v>A5C</v>
          </cell>
          <cell r="C3846" t="str">
            <v>P</v>
          </cell>
          <cell r="D3846" t="str">
            <v>23154</v>
          </cell>
          <cell r="E3846" t="str">
            <v>SW FLG</v>
          </cell>
          <cell r="F3846">
            <v>3</v>
          </cell>
          <cell r="G3846" t="str">
            <v>CB240108000100</v>
          </cell>
          <cell r="H3846">
            <v>1</v>
          </cell>
          <cell r="I3846" t="str">
            <v>--</v>
          </cell>
          <cell r="J3846">
            <v>3</v>
          </cell>
          <cell r="K3846">
            <v>3</v>
          </cell>
        </row>
        <row r="3847">
          <cell r="A3847" t="str">
            <v>M2</v>
          </cell>
          <cell r="B3847" t="str">
            <v>A5C</v>
          </cell>
          <cell r="C3847" t="str">
            <v>P</v>
          </cell>
          <cell r="D3847" t="str">
            <v>23156</v>
          </cell>
          <cell r="E3847" t="str">
            <v>SW FLG</v>
          </cell>
          <cell r="F3847">
            <v>3</v>
          </cell>
          <cell r="G3847" t="str">
            <v>CB240108000100</v>
          </cell>
          <cell r="H3847">
            <v>1</v>
          </cell>
          <cell r="I3847" t="str">
            <v>--</v>
          </cell>
          <cell r="J3847">
            <v>1</v>
          </cell>
          <cell r="K3847">
            <v>1</v>
          </cell>
        </row>
        <row r="3848">
          <cell r="A3848" t="str">
            <v>M2</v>
          </cell>
          <cell r="B3848" t="str">
            <v>A5C</v>
          </cell>
          <cell r="C3848" t="str">
            <v>P</v>
          </cell>
          <cell r="D3848" t="str">
            <v>24002</v>
          </cell>
          <cell r="E3848" t="str">
            <v>SW FLG</v>
          </cell>
          <cell r="F3848">
            <v>3</v>
          </cell>
          <cell r="G3848" t="str">
            <v>CB240108000100</v>
          </cell>
          <cell r="H3848">
            <v>1</v>
          </cell>
          <cell r="I3848" t="str">
            <v>--</v>
          </cell>
          <cell r="J3848">
            <v>1</v>
          </cell>
          <cell r="K3848">
            <v>1</v>
          </cell>
        </row>
        <row r="3849">
          <cell r="A3849" t="str">
            <v>M2</v>
          </cell>
          <cell r="B3849" t="str">
            <v>A5C</v>
          </cell>
          <cell r="C3849" t="str">
            <v>P</v>
          </cell>
          <cell r="D3849" t="str">
            <v>24002</v>
          </cell>
          <cell r="E3849" t="str">
            <v>SW FLG</v>
          </cell>
          <cell r="F3849">
            <v>3</v>
          </cell>
          <cell r="G3849" t="str">
            <v>CB240208000100</v>
          </cell>
          <cell r="H3849">
            <v>1</v>
          </cell>
          <cell r="I3849" t="str">
            <v>--</v>
          </cell>
          <cell r="J3849">
            <v>2</v>
          </cell>
          <cell r="K3849">
            <v>2</v>
          </cell>
        </row>
        <row r="3850">
          <cell r="A3850" t="str">
            <v>M2</v>
          </cell>
          <cell r="B3850" t="str">
            <v>A5C</v>
          </cell>
          <cell r="C3850" t="str">
            <v>P</v>
          </cell>
          <cell r="D3850" t="str">
            <v>24004</v>
          </cell>
          <cell r="E3850" t="str">
            <v>SW FLG</v>
          </cell>
          <cell r="F3850">
            <v>3</v>
          </cell>
          <cell r="G3850" t="str">
            <v>CB240208000100</v>
          </cell>
          <cell r="H3850">
            <v>1</v>
          </cell>
          <cell r="I3850" t="str">
            <v>--</v>
          </cell>
          <cell r="J3850">
            <v>2</v>
          </cell>
          <cell r="K3850">
            <v>2</v>
          </cell>
        </row>
        <row r="3851">
          <cell r="A3851" t="str">
            <v>M2</v>
          </cell>
          <cell r="B3851" t="str">
            <v>A5C</v>
          </cell>
          <cell r="C3851" t="str">
            <v>P</v>
          </cell>
          <cell r="D3851" t="str">
            <v>24010</v>
          </cell>
          <cell r="E3851" t="str">
            <v>SW FLG</v>
          </cell>
          <cell r="F3851">
            <v>3</v>
          </cell>
          <cell r="G3851" t="str">
            <v>CB240108000100</v>
          </cell>
          <cell r="H3851">
            <v>1</v>
          </cell>
          <cell r="I3851" t="str">
            <v>--</v>
          </cell>
          <cell r="J3851">
            <v>2</v>
          </cell>
          <cell r="K3851">
            <v>2</v>
          </cell>
        </row>
        <row r="3852">
          <cell r="A3852" t="str">
            <v>M2</v>
          </cell>
          <cell r="B3852" t="str">
            <v>A5C</v>
          </cell>
          <cell r="C3852" t="str">
            <v>P</v>
          </cell>
          <cell r="D3852" t="str">
            <v>24004</v>
          </cell>
          <cell r="E3852" t="str">
            <v>SW FLG</v>
          </cell>
          <cell r="F3852">
            <v>3</v>
          </cell>
          <cell r="G3852" t="str">
            <v>CB240108000100</v>
          </cell>
          <cell r="H3852">
            <v>1</v>
          </cell>
          <cell r="I3852" t="str">
            <v>--</v>
          </cell>
          <cell r="J3852">
            <v>3</v>
          </cell>
          <cell r="K3852">
            <v>3</v>
          </cell>
        </row>
        <row r="3853">
          <cell r="A3853" t="str">
            <v>M2</v>
          </cell>
          <cell r="B3853" t="str">
            <v>A5C</v>
          </cell>
          <cell r="C3853" t="str">
            <v>P</v>
          </cell>
          <cell r="D3853" t="str">
            <v>24026</v>
          </cell>
          <cell r="E3853" t="str">
            <v>SW FLG</v>
          </cell>
          <cell r="F3853">
            <v>3</v>
          </cell>
          <cell r="G3853" t="str">
            <v>CB240208000100</v>
          </cell>
          <cell r="H3853">
            <v>1</v>
          </cell>
          <cell r="I3853" t="str">
            <v>--</v>
          </cell>
          <cell r="J3853">
            <v>2</v>
          </cell>
          <cell r="K3853">
            <v>2</v>
          </cell>
        </row>
        <row r="3854">
          <cell r="A3854" t="str">
            <v>M2</v>
          </cell>
          <cell r="B3854" t="str">
            <v>A5C</v>
          </cell>
          <cell r="C3854" t="str">
            <v>P</v>
          </cell>
          <cell r="D3854" t="str">
            <v>24029</v>
          </cell>
          <cell r="E3854" t="str">
            <v>SW FLG</v>
          </cell>
          <cell r="F3854">
            <v>3</v>
          </cell>
          <cell r="G3854" t="str">
            <v>CB240108000100</v>
          </cell>
          <cell r="H3854">
            <v>1</v>
          </cell>
          <cell r="I3854" t="str">
            <v>--</v>
          </cell>
          <cell r="J3854">
            <v>1</v>
          </cell>
          <cell r="K3854">
            <v>1</v>
          </cell>
        </row>
        <row r="3855">
          <cell r="A3855" t="str">
            <v>M2</v>
          </cell>
          <cell r="B3855" t="str">
            <v>A5C</v>
          </cell>
          <cell r="C3855" t="str">
            <v>P</v>
          </cell>
          <cell r="D3855" t="str">
            <v>24032</v>
          </cell>
          <cell r="E3855" t="str">
            <v>SW FLG</v>
          </cell>
          <cell r="F3855">
            <v>3</v>
          </cell>
          <cell r="G3855" t="str">
            <v>CB240108000100</v>
          </cell>
          <cell r="H3855">
            <v>1</v>
          </cell>
          <cell r="I3855" t="str">
            <v>--</v>
          </cell>
          <cell r="J3855">
            <v>1</v>
          </cell>
          <cell r="K3855">
            <v>1</v>
          </cell>
        </row>
        <row r="3856">
          <cell r="A3856" t="str">
            <v>M2</v>
          </cell>
          <cell r="B3856" t="str">
            <v>A5C</v>
          </cell>
          <cell r="C3856" t="str">
            <v>P</v>
          </cell>
          <cell r="D3856" t="str">
            <v>24033</v>
          </cell>
          <cell r="E3856" t="str">
            <v>SW FLG</v>
          </cell>
          <cell r="F3856">
            <v>3</v>
          </cell>
          <cell r="G3856" t="str">
            <v>CB240108000100</v>
          </cell>
          <cell r="H3856">
            <v>1</v>
          </cell>
          <cell r="I3856" t="str">
            <v>--</v>
          </cell>
          <cell r="J3856">
            <v>1</v>
          </cell>
          <cell r="K3856">
            <v>1</v>
          </cell>
        </row>
        <row r="3857">
          <cell r="A3857" t="str">
            <v>M2</v>
          </cell>
          <cell r="B3857" t="str">
            <v>A5C</v>
          </cell>
          <cell r="C3857" t="str">
            <v>P</v>
          </cell>
          <cell r="D3857" t="str">
            <v>24031</v>
          </cell>
          <cell r="E3857" t="str">
            <v>SW FLG</v>
          </cell>
          <cell r="F3857">
            <v>3</v>
          </cell>
          <cell r="G3857" t="str">
            <v>CB240108000100</v>
          </cell>
          <cell r="H3857">
            <v>1</v>
          </cell>
          <cell r="I3857" t="str">
            <v>--</v>
          </cell>
          <cell r="J3857">
            <v>1</v>
          </cell>
          <cell r="K3857">
            <v>1</v>
          </cell>
        </row>
        <row r="3858">
          <cell r="A3858" t="str">
            <v>M2</v>
          </cell>
          <cell r="B3858" t="str">
            <v>A5C</v>
          </cell>
          <cell r="C3858" t="str">
            <v>P</v>
          </cell>
          <cell r="D3858" t="str">
            <v>99004</v>
          </cell>
          <cell r="E3858" t="str">
            <v>SW FLG</v>
          </cell>
          <cell r="F3858">
            <v>3</v>
          </cell>
          <cell r="G3858" t="str">
            <v>CB240108000100</v>
          </cell>
          <cell r="H3858">
            <v>1</v>
          </cell>
          <cell r="I3858" t="str">
            <v>--</v>
          </cell>
          <cell r="J3858">
            <v>1</v>
          </cell>
          <cell r="K3858">
            <v>1</v>
          </cell>
        </row>
        <row r="3859">
          <cell r="A3859" t="str">
            <v>M2</v>
          </cell>
          <cell r="B3859" t="str">
            <v>A5C</v>
          </cell>
          <cell r="C3859" t="str">
            <v>TRIM</v>
          </cell>
          <cell r="D3859" t="str">
            <v>C-2301</v>
          </cell>
          <cell r="E3859" t="str">
            <v>SW FLG</v>
          </cell>
          <cell r="F3859">
            <v>3</v>
          </cell>
          <cell r="G3859" t="str">
            <v>CB240108000100</v>
          </cell>
          <cell r="H3859">
            <v>1</v>
          </cell>
          <cell r="I3859" t="str">
            <v>--</v>
          </cell>
          <cell r="J3859">
            <v>1</v>
          </cell>
          <cell r="K3859">
            <v>1</v>
          </cell>
        </row>
        <row r="3860">
          <cell r="A3860" t="str">
            <v>M2</v>
          </cell>
          <cell r="B3860" t="str">
            <v>A5C</v>
          </cell>
          <cell r="C3860" t="str">
            <v>TRIM</v>
          </cell>
          <cell r="D3860" t="str">
            <v>R-2401</v>
          </cell>
          <cell r="E3860" t="str">
            <v>SW FLG</v>
          </cell>
          <cell r="F3860">
            <v>3</v>
          </cell>
          <cell r="G3860" t="str">
            <v>CB240108000100</v>
          </cell>
          <cell r="H3860">
            <v>1</v>
          </cell>
          <cell r="I3860" t="str">
            <v>--</v>
          </cell>
          <cell r="J3860">
            <v>1</v>
          </cell>
          <cell r="K3860">
            <v>1</v>
          </cell>
        </row>
        <row r="3861">
          <cell r="A3861" t="str">
            <v>M2</v>
          </cell>
          <cell r="B3861" t="str">
            <v>A5C</v>
          </cell>
          <cell r="C3861" t="str">
            <v>P</v>
          </cell>
          <cell r="D3861" t="str">
            <v>24001</v>
          </cell>
          <cell r="E3861" t="str">
            <v>SW FLG</v>
          </cell>
          <cell r="F3861">
            <v>3</v>
          </cell>
          <cell r="G3861" t="str">
            <v>CB240108000100</v>
          </cell>
          <cell r="H3861">
            <v>1</v>
          </cell>
          <cell r="I3861" t="str">
            <v>--</v>
          </cell>
          <cell r="J3861">
            <v>2</v>
          </cell>
          <cell r="K3861">
            <v>2</v>
          </cell>
        </row>
        <row r="3862">
          <cell r="A3862" t="str">
            <v>M2</v>
          </cell>
          <cell r="B3862" t="str">
            <v>A5C</v>
          </cell>
          <cell r="C3862" t="str">
            <v>P</v>
          </cell>
          <cell r="D3862" t="str">
            <v>24025</v>
          </cell>
          <cell r="E3862" t="str">
            <v>SW FLG</v>
          </cell>
          <cell r="F3862">
            <v>3</v>
          </cell>
          <cell r="G3862" t="str">
            <v>CB240108000100</v>
          </cell>
          <cell r="H3862">
            <v>1</v>
          </cell>
          <cell r="I3862" t="str">
            <v>--</v>
          </cell>
          <cell r="J3862">
            <v>7</v>
          </cell>
          <cell r="K3862">
            <v>7</v>
          </cell>
        </row>
        <row r="3863">
          <cell r="A3863" t="str">
            <v>M2</v>
          </cell>
          <cell r="B3863" t="str">
            <v>A5C</v>
          </cell>
          <cell r="C3863" t="str">
            <v>P</v>
          </cell>
          <cell r="D3863" t="str">
            <v>24026</v>
          </cell>
          <cell r="E3863" t="str">
            <v>SW FLG</v>
          </cell>
          <cell r="F3863">
            <v>3</v>
          </cell>
          <cell r="G3863" t="str">
            <v>CB240108000100</v>
          </cell>
          <cell r="H3863">
            <v>1</v>
          </cell>
          <cell r="I3863" t="str">
            <v>--</v>
          </cell>
          <cell r="J3863">
            <v>1</v>
          </cell>
          <cell r="K3863">
            <v>1</v>
          </cell>
        </row>
        <row r="3864">
          <cell r="A3864" t="str">
            <v>M2</v>
          </cell>
          <cell r="B3864" t="str">
            <v>A5C</v>
          </cell>
          <cell r="C3864" t="str">
            <v>P</v>
          </cell>
          <cell r="D3864" t="str">
            <v>23006</v>
          </cell>
          <cell r="E3864" t="str">
            <v>SW FLG</v>
          </cell>
          <cell r="F3864">
            <v>3</v>
          </cell>
          <cell r="G3864" t="str">
            <v>CB240108001H00</v>
          </cell>
          <cell r="H3864">
            <v>1.5</v>
          </cell>
          <cell r="I3864" t="str">
            <v>--</v>
          </cell>
          <cell r="J3864">
            <v>1</v>
          </cell>
          <cell r="K3864">
            <v>1</v>
          </cell>
        </row>
        <row r="3865">
          <cell r="A3865" t="str">
            <v>M2</v>
          </cell>
          <cell r="B3865" t="str">
            <v>A5C</v>
          </cell>
          <cell r="C3865" t="str">
            <v>P</v>
          </cell>
          <cell r="D3865" t="str">
            <v>22102</v>
          </cell>
          <cell r="E3865" t="str">
            <v>SW FLG</v>
          </cell>
          <cell r="F3865">
            <v>3</v>
          </cell>
          <cell r="G3865" t="str">
            <v>CB240108001H00</v>
          </cell>
          <cell r="H3865">
            <v>1.5</v>
          </cell>
          <cell r="I3865" t="str">
            <v>--</v>
          </cell>
          <cell r="J3865">
            <v>1</v>
          </cell>
          <cell r="K3865">
            <v>1</v>
          </cell>
        </row>
        <row r="3866">
          <cell r="A3866" t="str">
            <v>M2</v>
          </cell>
          <cell r="B3866" t="str">
            <v>A5C</v>
          </cell>
          <cell r="C3866" t="str">
            <v>P</v>
          </cell>
          <cell r="D3866" t="str">
            <v>23001</v>
          </cell>
          <cell r="E3866" t="str">
            <v>SW FLG</v>
          </cell>
          <cell r="F3866">
            <v>3</v>
          </cell>
          <cell r="G3866" t="str">
            <v>CB240108001H00</v>
          </cell>
          <cell r="H3866">
            <v>1.5</v>
          </cell>
          <cell r="I3866" t="str">
            <v>--</v>
          </cell>
          <cell r="J3866">
            <v>2</v>
          </cell>
          <cell r="K3866">
            <v>2</v>
          </cell>
        </row>
        <row r="3867">
          <cell r="A3867" t="str">
            <v>M2</v>
          </cell>
          <cell r="B3867" t="str">
            <v>A5C</v>
          </cell>
          <cell r="C3867" t="str">
            <v>P</v>
          </cell>
          <cell r="D3867" t="str">
            <v>23005</v>
          </cell>
          <cell r="E3867" t="str">
            <v>SW FLG</v>
          </cell>
          <cell r="F3867">
            <v>3</v>
          </cell>
          <cell r="G3867" t="str">
            <v>CB240108001H00</v>
          </cell>
          <cell r="H3867">
            <v>1.5</v>
          </cell>
          <cell r="I3867" t="str">
            <v>--</v>
          </cell>
          <cell r="J3867">
            <v>2</v>
          </cell>
          <cell r="K3867">
            <v>2</v>
          </cell>
        </row>
        <row r="3868">
          <cell r="A3868" t="str">
            <v>M2</v>
          </cell>
          <cell r="B3868" t="str">
            <v>A5C</v>
          </cell>
          <cell r="C3868" t="str">
            <v>P</v>
          </cell>
          <cell r="D3868" t="str">
            <v>23037</v>
          </cell>
          <cell r="E3868" t="str">
            <v>SW FLG</v>
          </cell>
          <cell r="F3868">
            <v>3</v>
          </cell>
          <cell r="G3868" t="str">
            <v>CB240108001H00</v>
          </cell>
          <cell r="H3868">
            <v>1.5</v>
          </cell>
          <cell r="I3868" t="str">
            <v>--</v>
          </cell>
          <cell r="J3868">
            <v>1</v>
          </cell>
          <cell r="K3868">
            <v>1</v>
          </cell>
        </row>
        <row r="3869">
          <cell r="A3869" t="str">
            <v>M2</v>
          </cell>
          <cell r="B3869" t="str">
            <v>A5C</v>
          </cell>
          <cell r="C3869" t="str">
            <v>P</v>
          </cell>
          <cell r="D3869" t="str">
            <v>23035</v>
          </cell>
          <cell r="E3869" t="str">
            <v>SW FLG</v>
          </cell>
          <cell r="F3869">
            <v>3</v>
          </cell>
          <cell r="G3869" t="str">
            <v>CB240108001H00</v>
          </cell>
          <cell r="H3869">
            <v>1.5</v>
          </cell>
          <cell r="I3869" t="str">
            <v>--</v>
          </cell>
          <cell r="J3869">
            <v>5</v>
          </cell>
          <cell r="K3869">
            <v>5</v>
          </cell>
        </row>
        <row r="3870">
          <cell r="A3870" t="str">
            <v>M2</v>
          </cell>
          <cell r="B3870" t="str">
            <v>A5C</v>
          </cell>
          <cell r="C3870" t="str">
            <v>P</v>
          </cell>
          <cell r="D3870" t="str">
            <v>23038</v>
          </cell>
          <cell r="E3870" t="str">
            <v>SW FLG</v>
          </cell>
          <cell r="F3870">
            <v>3</v>
          </cell>
          <cell r="G3870" t="str">
            <v>CB240108001H00</v>
          </cell>
          <cell r="H3870">
            <v>1.5</v>
          </cell>
          <cell r="I3870" t="str">
            <v>--</v>
          </cell>
          <cell r="J3870">
            <v>4</v>
          </cell>
          <cell r="K3870">
            <v>4</v>
          </cell>
        </row>
        <row r="3871">
          <cell r="A3871" t="str">
            <v>M2</v>
          </cell>
          <cell r="B3871" t="str">
            <v>A5C</v>
          </cell>
          <cell r="C3871" t="str">
            <v>P</v>
          </cell>
          <cell r="D3871" t="str">
            <v>23052</v>
          </cell>
          <cell r="E3871" t="str">
            <v>SW FLG</v>
          </cell>
          <cell r="F3871">
            <v>3</v>
          </cell>
          <cell r="G3871" t="str">
            <v>CB240108001H00</v>
          </cell>
          <cell r="H3871">
            <v>1.5</v>
          </cell>
          <cell r="I3871" t="str">
            <v>--</v>
          </cell>
          <cell r="J3871">
            <v>1</v>
          </cell>
          <cell r="K3871">
            <v>1</v>
          </cell>
        </row>
        <row r="3872">
          <cell r="A3872" t="str">
            <v>M2</v>
          </cell>
          <cell r="B3872" t="str">
            <v>A5C</v>
          </cell>
          <cell r="C3872" t="str">
            <v>P</v>
          </cell>
          <cell r="D3872" t="str">
            <v>23063</v>
          </cell>
          <cell r="E3872" t="str">
            <v>SW FLG</v>
          </cell>
          <cell r="F3872">
            <v>3</v>
          </cell>
          <cell r="G3872" t="str">
            <v>CB240108001H00</v>
          </cell>
          <cell r="H3872">
            <v>1.5</v>
          </cell>
          <cell r="I3872" t="str">
            <v>--</v>
          </cell>
          <cell r="J3872">
            <v>1</v>
          </cell>
          <cell r="K3872">
            <v>1</v>
          </cell>
        </row>
        <row r="3873">
          <cell r="A3873" t="str">
            <v>M2</v>
          </cell>
          <cell r="B3873" t="str">
            <v>A5C</v>
          </cell>
          <cell r="C3873" t="str">
            <v>P</v>
          </cell>
          <cell r="D3873" t="str">
            <v>23070</v>
          </cell>
          <cell r="E3873" t="str">
            <v>SW FLG</v>
          </cell>
          <cell r="F3873">
            <v>3</v>
          </cell>
          <cell r="G3873" t="str">
            <v>CB240108001H00</v>
          </cell>
          <cell r="H3873">
            <v>1.5</v>
          </cell>
          <cell r="I3873" t="str">
            <v>--</v>
          </cell>
          <cell r="J3873">
            <v>4</v>
          </cell>
          <cell r="K3873">
            <v>4</v>
          </cell>
        </row>
        <row r="3874">
          <cell r="A3874" t="str">
            <v>M2</v>
          </cell>
          <cell r="B3874" t="str">
            <v>A5C</v>
          </cell>
          <cell r="C3874" t="str">
            <v>P</v>
          </cell>
          <cell r="D3874" t="str">
            <v>23073</v>
          </cell>
          <cell r="E3874" t="str">
            <v>SW FLG</v>
          </cell>
          <cell r="F3874">
            <v>3</v>
          </cell>
          <cell r="G3874" t="str">
            <v>CB240108001H00</v>
          </cell>
          <cell r="H3874">
            <v>1.5</v>
          </cell>
          <cell r="I3874" t="str">
            <v>--</v>
          </cell>
          <cell r="J3874">
            <v>2</v>
          </cell>
          <cell r="K3874">
            <v>2</v>
          </cell>
        </row>
        <row r="3875">
          <cell r="A3875" t="str">
            <v>M2</v>
          </cell>
          <cell r="B3875" t="str">
            <v>A5C</v>
          </cell>
          <cell r="C3875" t="str">
            <v>P</v>
          </cell>
          <cell r="D3875" t="str">
            <v>23078</v>
          </cell>
          <cell r="E3875" t="str">
            <v>SW FLG</v>
          </cell>
          <cell r="F3875">
            <v>3</v>
          </cell>
          <cell r="G3875" t="str">
            <v>CB240108001H00</v>
          </cell>
          <cell r="H3875">
            <v>1.5</v>
          </cell>
          <cell r="I3875" t="str">
            <v>--</v>
          </cell>
          <cell r="J3875">
            <v>1</v>
          </cell>
          <cell r="K3875">
            <v>1</v>
          </cell>
        </row>
        <row r="3876">
          <cell r="A3876" t="str">
            <v>M2</v>
          </cell>
          <cell r="B3876" t="str">
            <v>A5C</v>
          </cell>
          <cell r="C3876" t="str">
            <v>P</v>
          </cell>
          <cell r="D3876" t="str">
            <v>23096</v>
          </cell>
          <cell r="E3876" t="str">
            <v>SW FLG</v>
          </cell>
          <cell r="F3876">
            <v>3</v>
          </cell>
          <cell r="G3876" t="str">
            <v>CB240108001H00</v>
          </cell>
          <cell r="H3876">
            <v>1.5</v>
          </cell>
          <cell r="I3876" t="str">
            <v>--</v>
          </cell>
          <cell r="J3876">
            <v>2</v>
          </cell>
          <cell r="K3876">
            <v>2</v>
          </cell>
        </row>
        <row r="3877">
          <cell r="A3877" t="str">
            <v>M2</v>
          </cell>
          <cell r="B3877" t="str">
            <v>A5C</v>
          </cell>
          <cell r="C3877" t="str">
            <v>P</v>
          </cell>
          <cell r="D3877" t="str">
            <v>23107</v>
          </cell>
          <cell r="E3877" t="str">
            <v>SW FLG</v>
          </cell>
          <cell r="F3877">
            <v>3</v>
          </cell>
          <cell r="G3877" t="str">
            <v>CB240108001H00</v>
          </cell>
          <cell r="H3877">
            <v>1.5</v>
          </cell>
          <cell r="I3877" t="str">
            <v>--</v>
          </cell>
          <cell r="J3877">
            <v>5</v>
          </cell>
          <cell r="K3877">
            <v>5</v>
          </cell>
        </row>
        <row r="3878">
          <cell r="A3878" t="str">
            <v>M2</v>
          </cell>
          <cell r="B3878" t="str">
            <v>A5C</v>
          </cell>
          <cell r="C3878" t="str">
            <v>P</v>
          </cell>
          <cell r="D3878" t="str">
            <v>23111</v>
          </cell>
          <cell r="E3878" t="str">
            <v>SW FLG</v>
          </cell>
          <cell r="F3878">
            <v>3</v>
          </cell>
          <cell r="G3878" t="str">
            <v>CB240108001H00</v>
          </cell>
          <cell r="H3878">
            <v>1.5</v>
          </cell>
          <cell r="I3878" t="str">
            <v>--</v>
          </cell>
          <cell r="J3878">
            <v>5</v>
          </cell>
          <cell r="K3878">
            <v>5</v>
          </cell>
        </row>
        <row r="3879">
          <cell r="A3879" t="str">
            <v>M2</v>
          </cell>
          <cell r="B3879" t="str">
            <v>A5C</v>
          </cell>
          <cell r="C3879" t="str">
            <v>P</v>
          </cell>
          <cell r="D3879" t="str">
            <v>23115</v>
          </cell>
          <cell r="E3879" t="str">
            <v>SW FLG</v>
          </cell>
          <cell r="F3879">
            <v>3</v>
          </cell>
          <cell r="G3879" t="str">
            <v>CB240108001H00</v>
          </cell>
          <cell r="H3879">
            <v>1.5</v>
          </cell>
          <cell r="I3879" t="str">
            <v>--</v>
          </cell>
          <cell r="J3879">
            <v>2</v>
          </cell>
          <cell r="K3879">
            <v>2</v>
          </cell>
        </row>
        <row r="3880">
          <cell r="A3880" t="str">
            <v>M2</v>
          </cell>
          <cell r="B3880" t="str">
            <v>A5C</v>
          </cell>
          <cell r="C3880" t="str">
            <v>P</v>
          </cell>
          <cell r="D3880" t="str">
            <v>23117</v>
          </cell>
          <cell r="E3880" t="str">
            <v>SW FLG</v>
          </cell>
          <cell r="F3880">
            <v>3</v>
          </cell>
          <cell r="G3880" t="str">
            <v>CB240108001H00</v>
          </cell>
          <cell r="H3880">
            <v>1.5</v>
          </cell>
          <cell r="I3880" t="str">
            <v>--</v>
          </cell>
          <cell r="J3880">
            <v>4</v>
          </cell>
          <cell r="K3880">
            <v>4</v>
          </cell>
        </row>
        <row r="3881">
          <cell r="A3881" t="str">
            <v>M2</v>
          </cell>
          <cell r="B3881" t="str">
            <v>A5C</v>
          </cell>
          <cell r="C3881" t="str">
            <v>P</v>
          </cell>
          <cell r="D3881" t="str">
            <v>23143</v>
          </cell>
          <cell r="E3881" t="str">
            <v>SW FLG</v>
          </cell>
          <cell r="F3881">
            <v>3</v>
          </cell>
          <cell r="G3881" t="str">
            <v>CB240108001H00</v>
          </cell>
          <cell r="H3881">
            <v>1.5</v>
          </cell>
          <cell r="I3881" t="str">
            <v>--</v>
          </cell>
          <cell r="J3881">
            <v>5</v>
          </cell>
          <cell r="K3881">
            <v>5</v>
          </cell>
        </row>
        <row r="3882">
          <cell r="A3882" t="str">
            <v>M2</v>
          </cell>
          <cell r="B3882" t="str">
            <v>A5C</v>
          </cell>
          <cell r="C3882" t="str">
            <v>P</v>
          </cell>
          <cell r="D3882" t="str">
            <v>23147</v>
          </cell>
          <cell r="E3882" t="str">
            <v>SW FLG</v>
          </cell>
          <cell r="F3882">
            <v>3</v>
          </cell>
          <cell r="G3882" t="str">
            <v>CB240108001H00</v>
          </cell>
          <cell r="H3882">
            <v>1.5</v>
          </cell>
          <cell r="I3882" t="str">
            <v>--</v>
          </cell>
          <cell r="J3882">
            <v>5</v>
          </cell>
          <cell r="K3882">
            <v>5</v>
          </cell>
        </row>
        <row r="3883">
          <cell r="A3883" t="str">
            <v>M2</v>
          </cell>
          <cell r="B3883" t="str">
            <v>A5C</v>
          </cell>
          <cell r="C3883" t="str">
            <v>P</v>
          </cell>
          <cell r="D3883" t="str">
            <v>23157</v>
          </cell>
          <cell r="E3883" t="str">
            <v>SW FLG</v>
          </cell>
          <cell r="F3883">
            <v>3</v>
          </cell>
          <cell r="G3883" t="str">
            <v>CB240108001H00</v>
          </cell>
          <cell r="H3883">
            <v>1.5</v>
          </cell>
          <cell r="I3883" t="str">
            <v>--</v>
          </cell>
          <cell r="J3883">
            <v>4</v>
          </cell>
          <cell r="K3883">
            <v>4</v>
          </cell>
        </row>
        <row r="3884">
          <cell r="A3884" t="str">
            <v>M2</v>
          </cell>
          <cell r="B3884" t="str">
            <v>A5C</v>
          </cell>
          <cell r="C3884" t="str">
            <v>P</v>
          </cell>
          <cell r="D3884" t="str">
            <v>23185</v>
          </cell>
          <cell r="E3884" t="str">
            <v>SW FLG</v>
          </cell>
          <cell r="F3884">
            <v>3</v>
          </cell>
          <cell r="G3884" t="str">
            <v>CB240108001H00</v>
          </cell>
          <cell r="H3884">
            <v>1.5</v>
          </cell>
          <cell r="I3884" t="str">
            <v>--</v>
          </cell>
          <cell r="J3884">
            <v>4</v>
          </cell>
          <cell r="K3884">
            <v>4</v>
          </cell>
        </row>
        <row r="3885">
          <cell r="A3885" t="str">
            <v>M2</v>
          </cell>
          <cell r="B3885" t="str">
            <v>A5C</v>
          </cell>
          <cell r="C3885" t="str">
            <v>P</v>
          </cell>
          <cell r="D3885" t="str">
            <v>23196</v>
          </cell>
          <cell r="E3885" t="str">
            <v>SW FLG</v>
          </cell>
          <cell r="F3885">
            <v>3</v>
          </cell>
          <cell r="G3885" t="str">
            <v>CB240108001H00</v>
          </cell>
          <cell r="H3885">
            <v>1.5</v>
          </cell>
          <cell r="I3885" t="str">
            <v>--</v>
          </cell>
          <cell r="J3885">
            <v>4</v>
          </cell>
          <cell r="K3885">
            <v>4</v>
          </cell>
        </row>
        <row r="3886">
          <cell r="A3886" t="str">
            <v>M2</v>
          </cell>
          <cell r="B3886" t="str">
            <v>A5C</v>
          </cell>
          <cell r="C3886" t="str">
            <v>P</v>
          </cell>
          <cell r="D3886" t="str">
            <v>23217</v>
          </cell>
          <cell r="E3886" t="str">
            <v>SW FLG</v>
          </cell>
          <cell r="F3886">
            <v>3</v>
          </cell>
          <cell r="G3886" t="str">
            <v>CB240108001H00</v>
          </cell>
          <cell r="H3886">
            <v>1.5</v>
          </cell>
          <cell r="I3886" t="str">
            <v>--</v>
          </cell>
          <cell r="J3886">
            <v>2</v>
          </cell>
          <cell r="K3886">
            <v>2</v>
          </cell>
        </row>
        <row r="3887">
          <cell r="A3887" t="str">
            <v>M2</v>
          </cell>
          <cell r="B3887" t="str">
            <v>A5C</v>
          </cell>
          <cell r="C3887" t="str">
            <v>P</v>
          </cell>
          <cell r="D3887" t="str">
            <v>23226</v>
          </cell>
          <cell r="E3887" t="str">
            <v>SW FLG</v>
          </cell>
          <cell r="F3887">
            <v>3</v>
          </cell>
          <cell r="G3887" t="str">
            <v>CB240108001H00</v>
          </cell>
          <cell r="H3887">
            <v>1.5</v>
          </cell>
          <cell r="I3887" t="str">
            <v>--</v>
          </cell>
          <cell r="J3887">
            <v>2</v>
          </cell>
          <cell r="K3887">
            <v>2</v>
          </cell>
        </row>
        <row r="3888">
          <cell r="A3888" t="str">
            <v>M2</v>
          </cell>
          <cell r="B3888" t="str">
            <v>A5C</v>
          </cell>
          <cell r="C3888" t="str">
            <v>P</v>
          </cell>
          <cell r="D3888" t="str">
            <v>23246</v>
          </cell>
          <cell r="E3888" t="str">
            <v>SW FLG</v>
          </cell>
          <cell r="F3888">
            <v>3</v>
          </cell>
          <cell r="G3888" t="str">
            <v>CB240108001H00</v>
          </cell>
          <cell r="H3888">
            <v>1.5</v>
          </cell>
          <cell r="I3888" t="str">
            <v>--</v>
          </cell>
          <cell r="J3888">
            <v>2</v>
          </cell>
          <cell r="K3888">
            <v>2</v>
          </cell>
        </row>
        <row r="3889">
          <cell r="A3889" t="str">
            <v>M2</v>
          </cell>
          <cell r="B3889" t="str">
            <v>A5C</v>
          </cell>
          <cell r="C3889" t="str">
            <v>P</v>
          </cell>
          <cell r="D3889" t="str">
            <v>23248</v>
          </cell>
          <cell r="E3889" t="str">
            <v>SW FLG</v>
          </cell>
          <cell r="F3889">
            <v>3</v>
          </cell>
          <cell r="G3889" t="str">
            <v>CB240108001H00</v>
          </cell>
          <cell r="H3889">
            <v>1.5</v>
          </cell>
          <cell r="I3889" t="str">
            <v>--</v>
          </cell>
          <cell r="J3889">
            <v>2</v>
          </cell>
          <cell r="K3889">
            <v>2</v>
          </cell>
        </row>
        <row r="3890">
          <cell r="A3890" t="str">
            <v>M2</v>
          </cell>
          <cell r="B3890" t="str">
            <v>A5C</v>
          </cell>
          <cell r="C3890" t="str">
            <v>P</v>
          </cell>
          <cell r="D3890" t="str">
            <v>23253</v>
          </cell>
          <cell r="E3890" t="str">
            <v>SW FLG</v>
          </cell>
          <cell r="F3890">
            <v>3</v>
          </cell>
          <cell r="G3890" t="str">
            <v>CB240108001H00</v>
          </cell>
          <cell r="H3890">
            <v>1.5</v>
          </cell>
          <cell r="I3890" t="str">
            <v>--</v>
          </cell>
          <cell r="J3890">
            <v>1</v>
          </cell>
          <cell r="K3890">
            <v>1</v>
          </cell>
        </row>
        <row r="3891">
          <cell r="A3891" t="str">
            <v>M2</v>
          </cell>
          <cell r="B3891" t="str">
            <v>A5C</v>
          </cell>
          <cell r="C3891" t="str">
            <v>P</v>
          </cell>
          <cell r="D3891" t="str">
            <v>23259</v>
          </cell>
          <cell r="E3891" t="str">
            <v>SW FLG</v>
          </cell>
          <cell r="F3891">
            <v>3</v>
          </cell>
          <cell r="G3891" t="str">
            <v>CB240108001H00</v>
          </cell>
          <cell r="H3891">
            <v>1.5</v>
          </cell>
          <cell r="I3891" t="str">
            <v>--</v>
          </cell>
          <cell r="J3891">
            <v>4</v>
          </cell>
          <cell r="K3891">
            <v>4</v>
          </cell>
        </row>
        <row r="3892">
          <cell r="A3892" t="str">
            <v>M2</v>
          </cell>
          <cell r="B3892" t="str">
            <v>A5C</v>
          </cell>
          <cell r="C3892" t="str">
            <v>P</v>
          </cell>
          <cell r="D3892" t="str">
            <v>24014</v>
          </cell>
          <cell r="E3892" t="str">
            <v>SW FLG</v>
          </cell>
          <cell r="F3892">
            <v>3</v>
          </cell>
          <cell r="G3892" t="str">
            <v>CB240108001H00</v>
          </cell>
          <cell r="H3892">
            <v>1.5</v>
          </cell>
          <cell r="I3892" t="str">
            <v>--</v>
          </cell>
          <cell r="J3892">
            <v>4</v>
          </cell>
          <cell r="K3892">
            <v>4</v>
          </cell>
        </row>
        <row r="3893">
          <cell r="A3893" t="str">
            <v>M2</v>
          </cell>
          <cell r="B3893" t="str">
            <v>A5C</v>
          </cell>
          <cell r="C3893" t="str">
            <v>P</v>
          </cell>
          <cell r="D3893" t="str">
            <v>24021</v>
          </cell>
          <cell r="E3893" t="str">
            <v>SW FLG</v>
          </cell>
          <cell r="F3893">
            <v>3</v>
          </cell>
          <cell r="G3893" t="str">
            <v>CB240108001H00</v>
          </cell>
          <cell r="H3893">
            <v>1.5</v>
          </cell>
          <cell r="I3893" t="str">
            <v>--</v>
          </cell>
          <cell r="J3893">
            <v>2</v>
          </cell>
          <cell r="K3893">
            <v>2</v>
          </cell>
        </row>
        <row r="3894">
          <cell r="A3894" t="str">
            <v>M2</v>
          </cell>
          <cell r="B3894" t="str">
            <v>A5C</v>
          </cell>
          <cell r="C3894" t="str">
            <v>P</v>
          </cell>
          <cell r="D3894" t="str">
            <v>99003</v>
          </cell>
          <cell r="E3894" t="str">
            <v>SW FLG</v>
          </cell>
          <cell r="F3894">
            <v>3</v>
          </cell>
          <cell r="G3894" t="str">
            <v>CB240108001H00</v>
          </cell>
          <cell r="H3894">
            <v>1.5</v>
          </cell>
          <cell r="I3894" t="str">
            <v>--</v>
          </cell>
          <cell r="J3894">
            <v>6</v>
          </cell>
          <cell r="K3894">
            <v>6</v>
          </cell>
        </row>
        <row r="3895">
          <cell r="A3895" t="str">
            <v>M2</v>
          </cell>
          <cell r="B3895" t="str">
            <v>A5C</v>
          </cell>
          <cell r="C3895" t="str">
            <v>P</v>
          </cell>
          <cell r="D3895" t="str">
            <v>99003</v>
          </cell>
          <cell r="E3895" t="str">
            <v>SW FLG</v>
          </cell>
          <cell r="F3895">
            <v>3</v>
          </cell>
          <cell r="G3895" t="str">
            <v>CB240108001H00</v>
          </cell>
          <cell r="H3895">
            <v>1.5</v>
          </cell>
          <cell r="I3895" t="str">
            <v>--</v>
          </cell>
          <cell r="J3895">
            <v>1</v>
          </cell>
          <cell r="K3895">
            <v>1</v>
          </cell>
        </row>
        <row r="3896">
          <cell r="A3896" t="str">
            <v>M2</v>
          </cell>
          <cell r="B3896" t="str">
            <v>A5C</v>
          </cell>
          <cell r="C3896" t="str">
            <v>P</v>
          </cell>
          <cell r="D3896" t="str">
            <v>23072</v>
          </cell>
          <cell r="E3896" t="str">
            <v>SW FLG</v>
          </cell>
          <cell r="F3896">
            <v>3</v>
          </cell>
          <cell r="G3896" t="str">
            <v>CB240108001H00</v>
          </cell>
          <cell r="H3896">
            <v>1.5</v>
          </cell>
          <cell r="I3896" t="str">
            <v>--</v>
          </cell>
          <cell r="J3896">
            <v>1</v>
          </cell>
          <cell r="K3896">
            <v>1</v>
          </cell>
        </row>
        <row r="3897">
          <cell r="A3897" t="str">
            <v>M2</v>
          </cell>
          <cell r="B3897" t="str">
            <v>A5C</v>
          </cell>
          <cell r="C3897" t="str">
            <v>P</v>
          </cell>
          <cell r="D3897" t="str">
            <v>23085</v>
          </cell>
          <cell r="E3897" t="str">
            <v>SW FLG</v>
          </cell>
          <cell r="F3897">
            <v>3</v>
          </cell>
          <cell r="G3897" t="str">
            <v>CB240108001H00</v>
          </cell>
          <cell r="H3897">
            <v>1.5</v>
          </cell>
          <cell r="I3897" t="str">
            <v>--</v>
          </cell>
          <cell r="J3897">
            <v>2</v>
          </cell>
          <cell r="K3897">
            <v>2</v>
          </cell>
        </row>
        <row r="3898">
          <cell r="A3898" t="str">
            <v>M2</v>
          </cell>
          <cell r="B3898" t="str">
            <v>A5C</v>
          </cell>
          <cell r="C3898" t="str">
            <v>P</v>
          </cell>
          <cell r="D3898" t="str">
            <v>23102</v>
          </cell>
          <cell r="E3898" t="str">
            <v>SW FLG</v>
          </cell>
          <cell r="F3898">
            <v>3</v>
          </cell>
          <cell r="G3898" t="str">
            <v>CB240108001H00</v>
          </cell>
          <cell r="H3898">
            <v>1.5</v>
          </cell>
          <cell r="I3898" t="str">
            <v>--</v>
          </cell>
          <cell r="J3898">
            <v>2</v>
          </cell>
          <cell r="K3898">
            <v>2</v>
          </cell>
        </row>
        <row r="3899">
          <cell r="A3899" t="str">
            <v>M2</v>
          </cell>
          <cell r="B3899" t="str">
            <v>A5C</v>
          </cell>
          <cell r="C3899" t="str">
            <v>P</v>
          </cell>
          <cell r="D3899" t="str">
            <v>23103</v>
          </cell>
          <cell r="E3899" t="str">
            <v>SW FLG</v>
          </cell>
          <cell r="F3899">
            <v>3</v>
          </cell>
          <cell r="G3899" t="str">
            <v>CB240108001H00</v>
          </cell>
          <cell r="H3899">
            <v>1.5</v>
          </cell>
          <cell r="I3899" t="str">
            <v>--</v>
          </cell>
          <cell r="J3899">
            <v>5</v>
          </cell>
          <cell r="K3899">
            <v>5</v>
          </cell>
        </row>
        <row r="3900">
          <cell r="A3900" t="str">
            <v>M2</v>
          </cell>
          <cell r="B3900" t="str">
            <v>A5C</v>
          </cell>
          <cell r="C3900" t="str">
            <v>P</v>
          </cell>
          <cell r="D3900" t="str">
            <v>23106</v>
          </cell>
          <cell r="E3900" t="str">
            <v>SW FLG</v>
          </cell>
          <cell r="F3900">
            <v>3</v>
          </cell>
          <cell r="G3900" t="str">
            <v>CB240108001H00</v>
          </cell>
          <cell r="H3900">
            <v>1.5</v>
          </cell>
          <cell r="I3900" t="str">
            <v>--</v>
          </cell>
          <cell r="J3900">
            <v>2</v>
          </cell>
          <cell r="K3900">
            <v>2</v>
          </cell>
        </row>
        <row r="3901">
          <cell r="A3901" t="str">
            <v>M2</v>
          </cell>
          <cell r="B3901" t="str">
            <v>A5C</v>
          </cell>
          <cell r="C3901" t="str">
            <v>P</v>
          </cell>
          <cell r="D3901" t="str">
            <v>23135</v>
          </cell>
          <cell r="E3901" t="str">
            <v>SW FLG</v>
          </cell>
          <cell r="F3901">
            <v>3</v>
          </cell>
          <cell r="G3901" t="str">
            <v>CB240108001H00</v>
          </cell>
          <cell r="H3901">
            <v>1.5</v>
          </cell>
          <cell r="I3901" t="str">
            <v>--</v>
          </cell>
          <cell r="J3901">
            <v>2</v>
          </cell>
          <cell r="K3901">
            <v>2</v>
          </cell>
        </row>
        <row r="3902">
          <cell r="A3902" t="str">
            <v>M2</v>
          </cell>
          <cell r="B3902" t="str">
            <v>A5C</v>
          </cell>
          <cell r="C3902" t="str">
            <v>P</v>
          </cell>
          <cell r="D3902" t="str">
            <v>23192</v>
          </cell>
          <cell r="E3902" t="str">
            <v>SW FLG</v>
          </cell>
          <cell r="F3902">
            <v>3</v>
          </cell>
          <cell r="G3902" t="str">
            <v>CB240208001H00</v>
          </cell>
          <cell r="H3902">
            <v>1.5</v>
          </cell>
          <cell r="I3902" t="str">
            <v>--</v>
          </cell>
          <cell r="J3902">
            <v>2</v>
          </cell>
          <cell r="K3902">
            <v>2</v>
          </cell>
        </row>
        <row r="3903">
          <cell r="A3903" t="str">
            <v>M2</v>
          </cell>
          <cell r="B3903" t="str">
            <v>A5C</v>
          </cell>
          <cell r="C3903" t="str">
            <v>P</v>
          </cell>
          <cell r="D3903" t="str">
            <v>23231</v>
          </cell>
          <cell r="E3903" t="str">
            <v>SW FLG</v>
          </cell>
          <cell r="F3903">
            <v>3</v>
          </cell>
          <cell r="G3903" t="str">
            <v>CB240108001H00</v>
          </cell>
          <cell r="H3903">
            <v>1.5</v>
          </cell>
          <cell r="I3903" t="str">
            <v>--</v>
          </cell>
          <cell r="J3903">
            <v>1</v>
          </cell>
          <cell r="K3903">
            <v>1</v>
          </cell>
        </row>
        <row r="3904">
          <cell r="A3904" t="str">
            <v>M2</v>
          </cell>
          <cell r="B3904" t="str">
            <v>A5C</v>
          </cell>
          <cell r="C3904" t="str">
            <v>TRIM</v>
          </cell>
          <cell r="D3904" t="str">
            <v>V-2301</v>
          </cell>
          <cell r="E3904" t="str">
            <v>SW FLG</v>
          </cell>
          <cell r="F3904">
            <v>3</v>
          </cell>
          <cell r="G3904" t="str">
            <v>CB240108001H00</v>
          </cell>
          <cell r="H3904">
            <v>1.5</v>
          </cell>
          <cell r="I3904" t="str">
            <v>--</v>
          </cell>
          <cell r="J3904">
            <v>2</v>
          </cell>
          <cell r="K3904">
            <v>2</v>
          </cell>
        </row>
        <row r="3905">
          <cell r="A3905" t="str">
            <v>M2</v>
          </cell>
          <cell r="B3905" t="str">
            <v>A5C</v>
          </cell>
          <cell r="C3905" t="str">
            <v>P</v>
          </cell>
          <cell r="D3905" t="str">
            <v>23055</v>
          </cell>
          <cell r="E3905" t="str">
            <v>SW FLG</v>
          </cell>
          <cell r="F3905">
            <v>3</v>
          </cell>
          <cell r="G3905" t="str">
            <v>CB240108001H00</v>
          </cell>
          <cell r="H3905">
            <v>1.5</v>
          </cell>
          <cell r="I3905" t="str">
            <v>--</v>
          </cell>
          <cell r="J3905">
            <v>4</v>
          </cell>
          <cell r="K3905">
            <v>4</v>
          </cell>
        </row>
        <row r="3906">
          <cell r="A3906" t="str">
            <v>M2</v>
          </cell>
          <cell r="B3906" t="str">
            <v>A5C</v>
          </cell>
          <cell r="C3906" t="str">
            <v>P</v>
          </cell>
          <cell r="D3906" t="str">
            <v>23008</v>
          </cell>
          <cell r="E3906" t="str">
            <v>SW FLG</v>
          </cell>
          <cell r="F3906">
            <v>3</v>
          </cell>
          <cell r="G3906" t="str">
            <v>CB240108001H00</v>
          </cell>
          <cell r="H3906">
            <v>1.5</v>
          </cell>
          <cell r="I3906" t="str">
            <v>--</v>
          </cell>
          <cell r="J3906">
            <v>4</v>
          </cell>
          <cell r="K3906">
            <v>4</v>
          </cell>
        </row>
        <row r="3907">
          <cell r="A3907" t="str">
            <v>M2</v>
          </cell>
          <cell r="B3907" t="str">
            <v>A5C</v>
          </cell>
          <cell r="C3907" t="str">
            <v>P</v>
          </cell>
          <cell r="D3907" t="str">
            <v>23027</v>
          </cell>
          <cell r="E3907" t="str">
            <v>SW FLG</v>
          </cell>
          <cell r="F3907">
            <v>3</v>
          </cell>
          <cell r="G3907" t="str">
            <v>CB240108001H00</v>
          </cell>
          <cell r="H3907">
            <v>1.5</v>
          </cell>
          <cell r="I3907" t="str">
            <v>--</v>
          </cell>
          <cell r="J3907">
            <v>1</v>
          </cell>
          <cell r="K3907">
            <v>1</v>
          </cell>
        </row>
        <row r="3908">
          <cell r="A3908" t="str">
            <v>M2</v>
          </cell>
          <cell r="B3908" t="str">
            <v>A5C</v>
          </cell>
          <cell r="C3908" t="str">
            <v>P</v>
          </cell>
          <cell r="D3908" t="str">
            <v>23030</v>
          </cell>
          <cell r="E3908" t="str">
            <v>SW FLG</v>
          </cell>
          <cell r="F3908">
            <v>3</v>
          </cell>
          <cell r="G3908" t="str">
            <v>CB240108001H00</v>
          </cell>
          <cell r="H3908">
            <v>1.5</v>
          </cell>
          <cell r="I3908" t="str">
            <v>--</v>
          </cell>
          <cell r="J3908">
            <v>2</v>
          </cell>
          <cell r="K3908">
            <v>2</v>
          </cell>
        </row>
        <row r="3909">
          <cell r="A3909" t="str">
            <v>M2</v>
          </cell>
          <cell r="B3909" t="str">
            <v>A5C</v>
          </cell>
          <cell r="C3909" t="str">
            <v>P</v>
          </cell>
          <cell r="D3909" t="str">
            <v>23036</v>
          </cell>
          <cell r="E3909" t="str">
            <v>SW FLG</v>
          </cell>
          <cell r="F3909">
            <v>3</v>
          </cell>
          <cell r="G3909" t="str">
            <v>CB240108001H00</v>
          </cell>
          <cell r="H3909">
            <v>1.5</v>
          </cell>
          <cell r="I3909" t="str">
            <v>--</v>
          </cell>
          <cell r="J3909">
            <v>2</v>
          </cell>
          <cell r="K3909">
            <v>2</v>
          </cell>
        </row>
        <row r="3910">
          <cell r="A3910" t="str">
            <v>M2</v>
          </cell>
          <cell r="B3910" t="str">
            <v>A5C</v>
          </cell>
          <cell r="C3910" t="str">
            <v>P</v>
          </cell>
          <cell r="D3910" t="str">
            <v>23033</v>
          </cell>
          <cell r="E3910" t="str">
            <v>SW FLG</v>
          </cell>
          <cell r="F3910">
            <v>3</v>
          </cell>
          <cell r="G3910" t="str">
            <v>CB240108001H00</v>
          </cell>
          <cell r="H3910">
            <v>1.5</v>
          </cell>
          <cell r="I3910" t="str">
            <v>--</v>
          </cell>
          <cell r="J3910">
            <v>1</v>
          </cell>
          <cell r="K3910">
            <v>1</v>
          </cell>
        </row>
        <row r="3911">
          <cell r="A3911" t="str">
            <v>M2</v>
          </cell>
          <cell r="B3911" t="str">
            <v>A5C</v>
          </cell>
          <cell r="C3911" t="str">
            <v>P</v>
          </cell>
          <cell r="D3911" t="str">
            <v>23039</v>
          </cell>
          <cell r="E3911" t="str">
            <v>SW FLG</v>
          </cell>
          <cell r="F3911">
            <v>3</v>
          </cell>
          <cell r="G3911" t="str">
            <v>CB240108001H00</v>
          </cell>
          <cell r="H3911">
            <v>1.5</v>
          </cell>
          <cell r="I3911" t="str">
            <v>--</v>
          </cell>
          <cell r="J3911">
            <v>1</v>
          </cell>
          <cell r="K3911">
            <v>1</v>
          </cell>
        </row>
        <row r="3912">
          <cell r="A3912" t="str">
            <v>M2</v>
          </cell>
          <cell r="B3912" t="str">
            <v>A5C</v>
          </cell>
          <cell r="C3912" t="str">
            <v>P</v>
          </cell>
          <cell r="D3912" t="str">
            <v>23044</v>
          </cell>
          <cell r="E3912" t="str">
            <v>SW FLG</v>
          </cell>
          <cell r="F3912">
            <v>3</v>
          </cell>
          <cell r="G3912" t="str">
            <v>CB240108001H00</v>
          </cell>
          <cell r="H3912">
            <v>1.5</v>
          </cell>
          <cell r="I3912" t="str">
            <v>--</v>
          </cell>
          <cell r="J3912">
            <v>4</v>
          </cell>
          <cell r="K3912">
            <v>4</v>
          </cell>
        </row>
        <row r="3913">
          <cell r="A3913" t="str">
            <v>M2</v>
          </cell>
          <cell r="B3913" t="str">
            <v>A5C</v>
          </cell>
          <cell r="C3913" t="str">
            <v>P</v>
          </cell>
          <cell r="D3913" t="str">
            <v>23054</v>
          </cell>
          <cell r="E3913" t="str">
            <v>SW FLG</v>
          </cell>
          <cell r="F3913">
            <v>3</v>
          </cell>
          <cell r="G3913" t="str">
            <v>CB240208001H00</v>
          </cell>
          <cell r="H3913">
            <v>1.5</v>
          </cell>
          <cell r="I3913" t="str">
            <v>--</v>
          </cell>
          <cell r="J3913">
            <v>2</v>
          </cell>
          <cell r="K3913">
            <v>2</v>
          </cell>
        </row>
        <row r="3914">
          <cell r="A3914" t="str">
            <v>M2</v>
          </cell>
          <cell r="B3914" t="str">
            <v>A5C</v>
          </cell>
          <cell r="C3914" t="str">
            <v>P</v>
          </cell>
          <cell r="D3914" t="str">
            <v>23076</v>
          </cell>
          <cell r="E3914" t="str">
            <v>SW FLG</v>
          </cell>
          <cell r="F3914">
            <v>3</v>
          </cell>
          <cell r="G3914" t="str">
            <v>CB240108001H00</v>
          </cell>
          <cell r="H3914">
            <v>1.5</v>
          </cell>
          <cell r="I3914" t="str">
            <v>--</v>
          </cell>
          <cell r="J3914">
            <v>2</v>
          </cell>
          <cell r="K3914">
            <v>2</v>
          </cell>
        </row>
        <row r="3915">
          <cell r="A3915" t="str">
            <v>M2</v>
          </cell>
          <cell r="B3915" t="str">
            <v>A5C</v>
          </cell>
          <cell r="C3915" t="str">
            <v>P</v>
          </cell>
          <cell r="D3915" t="str">
            <v>23077</v>
          </cell>
          <cell r="E3915" t="str">
            <v>SW FLG</v>
          </cell>
          <cell r="F3915">
            <v>3</v>
          </cell>
          <cell r="G3915" t="str">
            <v>CB240108001H00</v>
          </cell>
          <cell r="H3915">
            <v>1.5</v>
          </cell>
          <cell r="I3915" t="str">
            <v>--</v>
          </cell>
          <cell r="J3915">
            <v>5</v>
          </cell>
          <cell r="K3915">
            <v>5</v>
          </cell>
        </row>
        <row r="3916">
          <cell r="A3916" t="str">
            <v>M2</v>
          </cell>
          <cell r="B3916" t="str">
            <v>A5C</v>
          </cell>
          <cell r="C3916" t="str">
            <v>P</v>
          </cell>
          <cell r="D3916" t="str">
            <v>23170</v>
          </cell>
          <cell r="E3916" t="str">
            <v>SW FLG</v>
          </cell>
          <cell r="F3916">
            <v>3</v>
          </cell>
          <cell r="G3916" t="str">
            <v>CB240108001H00</v>
          </cell>
          <cell r="H3916">
            <v>1.5</v>
          </cell>
          <cell r="I3916" t="str">
            <v>--</v>
          </cell>
          <cell r="J3916">
            <v>4</v>
          </cell>
          <cell r="K3916">
            <v>4</v>
          </cell>
        </row>
        <row r="3917">
          <cell r="A3917" t="str">
            <v>M2</v>
          </cell>
          <cell r="B3917" t="str">
            <v>A5C</v>
          </cell>
          <cell r="C3917" t="str">
            <v>P</v>
          </cell>
          <cell r="D3917" t="str">
            <v>23216</v>
          </cell>
          <cell r="E3917" t="str">
            <v>SW FLG</v>
          </cell>
          <cell r="F3917">
            <v>3</v>
          </cell>
          <cell r="G3917" t="str">
            <v>CB240108001H00</v>
          </cell>
          <cell r="H3917">
            <v>1.5</v>
          </cell>
          <cell r="I3917" t="str">
            <v>--</v>
          </cell>
          <cell r="J3917">
            <v>2</v>
          </cell>
          <cell r="K3917">
            <v>2</v>
          </cell>
        </row>
        <row r="3918">
          <cell r="A3918" t="str">
            <v>M2</v>
          </cell>
          <cell r="B3918" t="str">
            <v>A5C</v>
          </cell>
          <cell r="C3918" t="str">
            <v>P</v>
          </cell>
          <cell r="D3918" t="str">
            <v>23220</v>
          </cell>
          <cell r="E3918" t="str">
            <v>SW FLG</v>
          </cell>
          <cell r="F3918">
            <v>3</v>
          </cell>
          <cell r="G3918" t="str">
            <v>CB240108001H00</v>
          </cell>
          <cell r="H3918">
            <v>1.5</v>
          </cell>
          <cell r="I3918" t="str">
            <v>--</v>
          </cell>
          <cell r="J3918">
            <v>1</v>
          </cell>
          <cell r="K3918">
            <v>1</v>
          </cell>
        </row>
        <row r="3919">
          <cell r="A3919" t="str">
            <v>M2</v>
          </cell>
          <cell r="B3919" t="str">
            <v>A5C</v>
          </cell>
          <cell r="C3919" t="str">
            <v>P</v>
          </cell>
          <cell r="D3919" t="str">
            <v>23224</v>
          </cell>
          <cell r="E3919" t="str">
            <v>SW FLG</v>
          </cell>
          <cell r="F3919">
            <v>3</v>
          </cell>
          <cell r="G3919" t="str">
            <v>CB240108001H00</v>
          </cell>
          <cell r="H3919">
            <v>1.5</v>
          </cell>
          <cell r="I3919" t="str">
            <v>--</v>
          </cell>
          <cell r="J3919">
            <v>2</v>
          </cell>
          <cell r="K3919">
            <v>2</v>
          </cell>
        </row>
        <row r="3920">
          <cell r="A3920" t="str">
            <v>M2</v>
          </cell>
          <cell r="B3920" t="str">
            <v>A5C</v>
          </cell>
          <cell r="C3920" t="str">
            <v>TRIM</v>
          </cell>
          <cell r="D3920" t="str">
            <v>C-2303</v>
          </cell>
          <cell r="E3920" t="str">
            <v>SW FLG</v>
          </cell>
          <cell r="F3920">
            <v>3</v>
          </cell>
          <cell r="G3920" t="str">
            <v>CB240108001H00</v>
          </cell>
          <cell r="H3920">
            <v>1.5</v>
          </cell>
          <cell r="I3920" t="str">
            <v>--</v>
          </cell>
          <cell r="J3920">
            <v>2</v>
          </cell>
          <cell r="K3920">
            <v>2</v>
          </cell>
        </row>
        <row r="3921">
          <cell r="A3921" t="str">
            <v>M2</v>
          </cell>
          <cell r="B3921" t="str">
            <v>A5C</v>
          </cell>
          <cell r="C3921" t="str">
            <v>TRIM</v>
          </cell>
          <cell r="D3921" t="str">
            <v>C-2305</v>
          </cell>
          <cell r="E3921" t="str">
            <v>SW FLG</v>
          </cell>
          <cell r="F3921">
            <v>3</v>
          </cell>
          <cell r="G3921" t="str">
            <v>CB240108001H00</v>
          </cell>
          <cell r="H3921">
            <v>1.5</v>
          </cell>
          <cell r="I3921" t="str">
            <v>--</v>
          </cell>
          <cell r="J3921">
            <v>2</v>
          </cell>
          <cell r="K3921">
            <v>2</v>
          </cell>
        </row>
        <row r="3922">
          <cell r="A3922" t="str">
            <v>M2</v>
          </cell>
          <cell r="B3922" t="str">
            <v>A5C</v>
          </cell>
          <cell r="C3922" t="str">
            <v>TRIM</v>
          </cell>
          <cell r="D3922" t="str">
            <v>V-2302</v>
          </cell>
          <cell r="E3922" t="str">
            <v>SW FLG</v>
          </cell>
          <cell r="F3922">
            <v>3</v>
          </cell>
          <cell r="G3922" t="str">
            <v>CB240108001H00</v>
          </cell>
          <cell r="H3922">
            <v>1.5</v>
          </cell>
          <cell r="I3922" t="str">
            <v>--</v>
          </cell>
          <cell r="J3922">
            <v>2</v>
          </cell>
          <cell r="K3922">
            <v>2</v>
          </cell>
        </row>
        <row r="3923">
          <cell r="A3923" t="str">
            <v>M2</v>
          </cell>
          <cell r="B3923" t="str">
            <v>A5C</v>
          </cell>
          <cell r="C3923" t="str">
            <v>TRIM</v>
          </cell>
          <cell r="D3923" t="str">
            <v>C-2306</v>
          </cell>
          <cell r="E3923" t="str">
            <v>SW FLG</v>
          </cell>
          <cell r="F3923">
            <v>3</v>
          </cell>
          <cell r="G3923" t="str">
            <v>CB240108001H00</v>
          </cell>
          <cell r="H3923">
            <v>1.5</v>
          </cell>
          <cell r="I3923" t="str">
            <v>--</v>
          </cell>
          <cell r="J3923">
            <v>2</v>
          </cell>
          <cell r="K3923">
            <v>2</v>
          </cell>
        </row>
        <row r="3924">
          <cell r="A3924" t="str">
            <v>M2</v>
          </cell>
          <cell r="B3924" t="str">
            <v>A5C</v>
          </cell>
          <cell r="C3924" t="str">
            <v>TRIM</v>
          </cell>
          <cell r="D3924" t="str">
            <v>V-2304</v>
          </cell>
          <cell r="E3924" t="str">
            <v>SW FLG</v>
          </cell>
          <cell r="F3924">
            <v>3</v>
          </cell>
          <cell r="G3924" t="str">
            <v>CB240108001H00</v>
          </cell>
          <cell r="H3924">
            <v>1.5</v>
          </cell>
          <cell r="I3924" t="str">
            <v>--</v>
          </cell>
          <cell r="J3924">
            <v>2</v>
          </cell>
          <cell r="K3924">
            <v>2</v>
          </cell>
        </row>
        <row r="3925">
          <cell r="A3925" t="str">
            <v>M2</v>
          </cell>
          <cell r="B3925" t="str">
            <v>A5C</v>
          </cell>
          <cell r="C3925" t="str">
            <v>TRIM</v>
          </cell>
          <cell r="D3925" t="str">
            <v>V-2306</v>
          </cell>
          <cell r="E3925" t="str">
            <v>SW FLG</v>
          </cell>
          <cell r="F3925">
            <v>3</v>
          </cell>
          <cell r="G3925" t="str">
            <v>CB240108001H00</v>
          </cell>
          <cell r="H3925">
            <v>1.5</v>
          </cell>
          <cell r="I3925" t="str">
            <v>--</v>
          </cell>
          <cell r="J3925">
            <v>2</v>
          </cell>
          <cell r="K3925">
            <v>2</v>
          </cell>
        </row>
        <row r="3926">
          <cell r="A3926" t="str">
            <v>M2</v>
          </cell>
          <cell r="B3926" t="str">
            <v>A5C</v>
          </cell>
          <cell r="C3926" t="str">
            <v>TRIM</v>
          </cell>
          <cell r="D3926" t="str">
            <v>V-2308</v>
          </cell>
          <cell r="E3926" t="str">
            <v>SW FLG</v>
          </cell>
          <cell r="F3926">
            <v>3</v>
          </cell>
          <cell r="G3926" t="str">
            <v>CB240108001H00</v>
          </cell>
          <cell r="H3926">
            <v>1.5</v>
          </cell>
          <cell r="I3926" t="str">
            <v>--</v>
          </cell>
          <cell r="J3926">
            <v>2</v>
          </cell>
          <cell r="K3926">
            <v>2</v>
          </cell>
        </row>
        <row r="3927">
          <cell r="A3927" t="str">
            <v>M2</v>
          </cell>
          <cell r="B3927" t="str">
            <v>A5C</v>
          </cell>
          <cell r="C3927" t="str">
            <v>P</v>
          </cell>
          <cell r="D3927" t="str">
            <v>23019</v>
          </cell>
          <cell r="E3927" t="str">
            <v>SW FLG</v>
          </cell>
          <cell r="F3927">
            <v>3</v>
          </cell>
          <cell r="G3927" t="str">
            <v>CB240108001H00</v>
          </cell>
          <cell r="H3927">
            <v>1.5</v>
          </cell>
          <cell r="I3927" t="str">
            <v>--</v>
          </cell>
          <cell r="J3927">
            <v>2</v>
          </cell>
          <cell r="K3927">
            <v>2</v>
          </cell>
        </row>
        <row r="3928">
          <cell r="A3928" t="str">
            <v>M2</v>
          </cell>
          <cell r="B3928" t="str">
            <v>A5C</v>
          </cell>
          <cell r="C3928" t="str">
            <v>P</v>
          </cell>
          <cell r="D3928" t="str">
            <v>23019</v>
          </cell>
          <cell r="E3928" t="str">
            <v>SW FLG</v>
          </cell>
          <cell r="F3928">
            <v>3</v>
          </cell>
          <cell r="G3928" t="str">
            <v>CB240108001H00</v>
          </cell>
          <cell r="H3928">
            <v>1.5</v>
          </cell>
          <cell r="I3928" t="str">
            <v>--</v>
          </cell>
          <cell r="J3928">
            <v>1</v>
          </cell>
          <cell r="K3928">
            <v>1</v>
          </cell>
        </row>
        <row r="3929">
          <cell r="A3929" t="str">
            <v>M2</v>
          </cell>
          <cell r="B3929" t="str">
            <v>A5C</v>
          </cell>
          <cell r="C3929" t="str">
            <v>P</v>
          </cell>
          <cell r="D3929" t="str">
            <v>23020</v>
          </cell>
          <cell r="E3929" t="str">
            <v>SW FLG</v>
          </cell>
          <cell r="F3929">
            <v>3</v>
          </cell>
          <cell r="G3929" t="str">
            <v>CB240208001H00</v>
          </cell>
          <cell r="H3929">
            <v>1.5</v>
          </cell>
          <cell r="I3929" t="str">
            <v>--</v>
          </cell>
          <cell r="J3929">
            <v>2</v>
          </cell>
          <cell r="K3929">
            <v>2</v>
          </cell>
        </row>
        <row r="3930">
          <cell r="A3930" t="str">
            <v>M2</v>
          </cell>
          <cell r="B3930" t="str">
            <v>A5C</v>
          </cell>
          <cell r="C3930" t="str">
            <v>P</v>
          </cell>
          <cell r="D3930" t="str">
            <v>23053</v>
          </cell>
          <cell r="E3930" t="str">
            <v>SW FLG</v>
          </cell>
          <cell r="F3930">
            <v>3</v>
          </cell>
          <cell r="G3930" t="str">
            <v>CB240108001H00</v>
          </cell>
          <cell r="H3930">
            <v>1.5</v>
          </cell>
          <cell r="I3930" t="str">
            <v>--</v>
          </cell>
          <cell r="J3930">
            <v>2</v>
          </cell>
          <cell r="K3930">
            <v>2</v>
          </cell>
        </row>
        <row r="3931">
          <cell r="A3931" t="str">
            <v>M2</v>
          </cell>
          <cell r="B3931" t="str">
            <v>A5C</v>
          </cell>
          <cell r="C3931" t="str">
            <v>P</v>
          </cell>
          <cell r="D3931" t="str">
            <v>23243</v>
          </cell>
          <cell r="E3931" t="str">
            <v>SW FLG</v>
          </cell>
          <cell r="F3931">
            <v>3</v>
          </cell>
          <cell r="G3931" t="str">
            <v>CB240108001H00</v>
          </cell>
          <cell r="H3931">
            <v>1.5</v>
          </cell>
          <cell r="I3931" t="str">
            <v>--</v>
          </cell>
          <cell r="J3931">
            <v>1</v>
          </cell>
          <cell r="K3931">
            <v>1</v>
          </cell>
        </row>
        <row r="3932">
          <cell r="A3932" t="str">
            <v>M2</v>
          </cell>
          <cell r="B3932" t="str">
            <v>A5C</v>
          </cell>
          <cell r="C3932" t="str">
            <v>TRIM</v>
          </cell>
          <cell r="D3932" t="str">
            <v>C-2302</v>
          </cell>
          <cell r="E3932" t="str">
            <v>SW FLG</v>
          </cell>
          <cell r="F3932">
            <v>3</v>
          </cell>
          <cell r="G3932" t="str">
            <v>CB240108001H00</v>
          </cell>
          <cell r="H3932">
            <v>1.5</v>
          </cell>
          <cell r="I3932" t="str">
            <v>--</v>
          </cell>
          <cell r="J3932">
            <v>2</v>
          </cell>
          <cell r="K3932">
            <v>2</v>
          </cell>
        </row>
        <row r="3933">
          <cell r="A3933" t="str">
            <v>M2</v>
          </cell>
          <cell r="B3933" t="str">
            <v>A5C</v>
          </cell>
          <cell r="C3933" t="str">
            <v>TRIM</v>
          </cell>
          <cell r="D3933" t="str">
            <v>C-2304</v>
          </cell>
          <cell r="E3933" t="str">
            <v>SW FLG</v>
          </cell>
          <cell r="F3933">
            <v>3</v>
          </cell>
          <cell r="G3933" t="str">
            <v>CB240108001H00</v>
          </cell>
          <cell r="H3933">
            <v>1.5</v>
          </cell>
          <cell r="I3933" t="str">
            <v>--</v>
          </cell>
          <cell r="J3933">
            <v>2</v>
          </cell>
          <cell r="K3933">
            <v>2</v>
          </cell>
        </row>
        <row r="3934">
          <cell r="A3934" t="str">
            <v>M2</v>
          </cell>
          <cell r="B3934" t="str">
            <v>A5C</v>
          </cell>
          <cell r="C3934" t="str">
            <v>TRIM</v>
          </cell>
          <cell r="D3934" t="str">
            <v>V-2310</v>
          </cell>
          <cell r="E3934" t="str">
            <v>SW FLG</v>
          </cell>
          <cell r="F3934">
            <v>3</v>
          </cell>
          <cell r="G3934" t="str">
            <v>CB240108001H00</v>
          </cell>
          <cell r="H3934">
            <v>1.5</v>
          </cell>
          <cell r="I3934" t="str">
            <v>--</v>
          </cell>
          <cell r="J3934">
            <v>2</v>
          </cell>
          <cell r="K3934">
            <v>2</v>
          </cell>
        </row>
        <row r="3935">
          <cell r="A3935" t="str">
            <v>M2</v>
          </cell>
          <cell r="B3935" t="str">
            <v>A5C</v>
          </cell>
          <cell r="C3935" t="str">
            <v>TRIM</v>
          </cell>
          <cell r="D3935" t="str">
            <v>V-2313</v>
          </cell>
          <cell r="E3935" t="str">
            <v>SW FLG</v>
          </cell>
          <cell r="F3935">
            <v>3</v>
          </cell>
          <cell r="G3935" t="str">
            <v>CB240108001H00</v>
          </cell>
          <cell r="H3935">
            <v>1.5</v>
          </cell>
          <cell r="I3935" t="str">
            <v>--</v>
          </cell>
          <cell r="J3935">
            <v>2</v>
          </cell>
          <cell r="K3935">
            <v>2</v>
          </cell>
        </row>
        <row r="3936">
          <cell r="A3936" t="str">
            <v>M2</v>
          </cell>
          <cell r="B3936" t="str">
            <v>A5C</v>
          </cell>
          <cell r="C3936" t="str">
            <v>P</v>
          </cell>
          <cell r="D3936" t="str">
            <v>23009</v>
          </cell>
          <cell r="E3936" t="str">
            <v>SW FLG</v>
          </cell>
          <cell r="F3936">
            <v>3</v>
          </cell>
          <cell r="G3936" t="str">
            <v>CB240108001H00</v>
          </cell>
          <cell r="H3936">
            <v>1.5</v>
          </cell>
          <cell r="I3936" t="str">
            <v>--</v>
          </cell>
          <cell r="J3936">
            <v>4</v>
          </cell>
          <cell r="K3936">
            <v>4</v>
          </cell>
        </row>
        <row r="3937">
          <cell r="A3937" t="str">
            <v>M2</v>
          </cell>
          <cell r="B3937" t="str">
            <v>A5C</v>
          </cell>
          <cell r="C3937" t="str">
            <v>P</v>
          </cell>
          <cell r="D3937" t="str">
            <v>24001</v>
          </cell>
          <cell r="E3937" t="str">
            <v>SW FLG</v>
          </cell>
          <cell r="F3937">
            <v>3</v>
          </cell>
          <cell r="G3937" t="str">
            <v>CB240108001H00</v>
          </cell>
          <cell r="H3937">
            <v>1.5</v>
          </cell>
          <cell r="I3937" t="str">
            <v>--</v>
          </cell>
          <cell r="J3937">
            <v>5</v>
          </cell>
          <cell r="K3937">
            <v>5</v>
          </cell>
        </row>
        <row r="3938">
          <cell r="A3938" t="str">
            <v>M2</v>
          </cell>
          <cell r="B3938" t="str">
            <v>A5C</v>
          </cell>
          <cell r="C3938" t="str">
            <v>P</v>
          </cell>
          <cell r="D3938" t="str">
            <v>24012</v>
          </cell>
          <cell r="E3938" t="str">
            <v>SW FLG</v>
          </cell>
          <cell r="F3938">
            <v>3</v>
          </cell>
          <cell r="G3938" t="str">
            <v>CB240108001H00</v>
          </cell>
          <cell r="H3938">
            <v>1.5</v>
          </cell>
          <cell r="I3938" t="str">
            <v>--</v>
          </cell>
          <cell r="J3938">
            <v>2</v>
          </cell>
          <cell r="K3938">
            <v>2</v>
          </cell>
        </row>
        <row r="3939">
          <cell r="A3939" t="str">
            <v>M2</v>
          </cell>
          <cell r="B3939" t="str">
            <v>A5C</v>
          </cell>
          <cell r="C3939" t="str">
            <v>P</v>
          </cell>
          <cell r="D3939" t="str">
            <v>24003</v>
          </cell>
          <cell r="E3939" t="str">
            <v>SW FLG</v>
          </cell>
          <cell r="F3939">
            <v>3</v>
          </cell>
          <cell r="G3939" t="str">
            <v>CB240108001H00</v>
          </cell>
          <cell r="H3939">
            <v>1.5</v>
          </cell>
          <cell r="I3939" t="str">
            <v>--</v>
          </cell>
          <cell r="J3939">
            <v>2</v>
          </cell>
          <cell r="K3939">
            <v>2</v>
          </cell>
        </row>
        <row r="3940">
          <cell r="A3940" t="str">
            <v>M2</v>
          </cell>
          <cell r="B3940" t="str">
            <v>A5C</v>
          </cell>
          <cell r="C3940" t="str">
            <v>P</v>
          </cell>
          <cell r="D3940" t="str">
            <v>24027</v>
          </cell>
          <cell r="E3940" t="str">
            <v>SW FLG</v>
          </cell>
          <cell r="F3940">
            <v>3</v>
          </cell>
          <cell r="G3940" t="str">
            <v>CB240108001H00</v>
          </cell>
          <cell r="H3940">
            <v>1.5</v>
          </cell>
          <cell r="I3940" t="str">
            <v>--</v>
          </cell>
          <cell r="J3940">
            <v>2</v>
          </cell>
          <cell r="K3940">
            <v>2</v>
          </cell>
        </row>
        <row r="3941">
          <cell r="A3941" t="str">
            <v>M2</v>
          </cell>
          <cell r="B3941" t="str">
            <v>A5C</v>
          </cell>
          <cell r="C3941" t="str">
            <v>TRIM</v>
          </cell>
          <cell r="D3941" t="str">
            <v>C-2301</v>
          </cell>
          <cell r="E3941" t="str">
            <v>SW FLG</v>
          </cell>
          <cell r="F3941">
            <v>3</v>
          </cell>
          <cell r="G3941" t="str">
            <v>CB240108001H00</v>
          </cell>
          <cell r="H3941">
            <v>1.5</v>
          </cell>
          <cell r="I3941" t="str">
            <v>--</v>
          </cell>
          <cell r="J3941">
            <v>2</v>
          </cell>
          <cell r="K3941">
            <v>2</v>
          </cell>
        </row>
        <row r="3942">
          <cell r="A3942" t="str">
            <v>M2</v>
          </cell>
          <cell r="B3942" t="str">
            <v>B2C</v>
          </cell>
          <cell r="C3942" t="str">
            <v>SH</v>
          </cell>
          <cell r="D3942" t="str">
            <v>23612</v>
          </cell>
          <cell r="E3942" t="str">
            <v>WN FLG</v>
          </cell>
          <cell r="F3942">
            <v>3</v>
          </cell>
          <cell r="G3942" t="str">
            <v>CB200208000200</v>
          </cell>
          <cell r="H3942">
            <v>2</v>
          </cell>
          <cell r="I3942" t="str">
            <v>--</v>
          </cell>
          <cell r="J3942">
            <v>4</v>
          </cell>
          <cell r="K3942">
            <v>5</v>
          </cell>
        </row>
        <row r="3943">
          <cell r="A3943" t="str">
            <v>M2</v>
          </cell>
          <cell r="B3943" t="str">
            <v>A5C</v>
          </cell>
          <cell r="C3943" t="str">
            <v>P</v>
          </cell>
          <cell r="D3943" t="str">
            <v>23001</v>
          </cell>
          <cell r="E3943" t="str">
            <v>WN FLG</v>
          </cell>
          <cell r="F3943">
            <v>3</v>
          </cell>
          <cell r="G3943" t="str">
            <v>CB200108000200</v>
          </cell>
          <cell r="H3943">
            <v>2</v>
          </cell>
          <cell r="I3943" t="str">
            <v>--</v>
          </cell>
          <cell r="J3943">
            <v>5</v>
          </cell>
          <cell r="K3943">
            <v>6</v>
          </cell>
        </row>
        <row r="3944">
          <cell r="A3944" t="str">
            <v>M2</v>
          </cell>
          <cell r="B3944" t="str">
            <v>A5C</v>
          </cell>
          <cell r="C3944" t="str">
            <v>P</v>
          </cell>
          <cell r="D3944" t="str">
            <v>23022</v>
          </cell>
          <cell r="E3944" t="str">
            <v>WN FLG</v>
          </cell>
          <cell r="F3944">
            <v>3</v>
          </cell>
          <cell r="G3944" t="str">
            <v>CB200108000200</v>
          </cell>
          <cell r="H3944">
            <v>2</v>
          </cell>
          <cell r="I3944" t="str">
            <v>--</v>
          </cell>
          <cell r="J3944">
            <v>1</v>
          </cell>
          <cell r="K3944">
            <v>2</v>
          </cell>
        </row>
        <row r="3945">
          <cell r="A3945" t="str">
            <v>M2</v>
          </cell>
          <cell r="B3945" t="str">
            <v>A5C</v>
          </cell>
          <cell r="C3945" t="str">
            <v>P</v>
          </cell>
          <cell r="D3945" t="str">
            <v>23047</v>
          </cell>
          <cell r="E3945" t="str">
            <v>WN FLG</v>
          </cell>
          <cell r="F3945">
            <v>3</v>
          </cell>
          <cell r="G3945" t="str">
            <v>CB200108000200</v>
          </cell>
          <cell r="H3945">
            <v>2</v>
          </cell>
          <cell r="I3945" t="str">
            <v>--</v>
          </cell>
          <cell r="J3945">
            <v>2</v>
          </cell>
          <cell r="K3945">
            <v>3</v>
          </cell>
        </row>
        <row r="3946">
          <cell r="A3946" t="str">
            <v>M2</v>
          </cell>
          <cell r="B3946" t="str">
            <v>A5C</v>
          </cell>
          <cell r="C3946" t="str">
            <v>P</v>
          </cell>
          <cell r="D3946" t="str">
            <v>23046</v>
          </cell>
          <cell r="E3946" t="str">
            <v>WN FLG</v>
          </cell>
          <cell r="F3946">
            <v>3</v>
          </cell>
          <cell r="G3946" t="str">
            <v>CB200108000200</v>
          </cell>
          <cell r="H3946">
            <v>2</v>
          </cell>
          <cell r="I3946" t="str">
            <v>--</v>
          </cell>
          <cell r="J3946">
            <v>1</v>
          </cell>
          <cell r="K3946">
            <v>2</v>
          </cell>
        </row>
        <row r="3947">
          <cell r="A3947" t="str">
            <v>M2</v>
          </cell>
          <cell r="B3947" t="str">
            <v>A5C</v>
          </cell>
          <cell r="C3947" t="str">
            <v>P</v>
          </cell>
          <cell r="D3947" t="str">
            <v>23057</v>
          </cell>
          <cell r="E3947" t="str">
            <v>WN FLG</v>
          </cell>
          <cell r="F3947">
            <v>3</v>
          </cell>
          <cell r="G3947" t="str">
            <v>CB200108000200</v>
          </cell>
          <cell r="H3947">
            <v>2</v>
          </cell>
          <cell r="I3947" t="str">
            <v>--</v>
          </cell>
          <cell r="J3947">
            <v>1</v>
          </cell>
          <cell r="K3947">
            <v>2</v>
          </cell>
        </row>
        <row r="3948">
          <cell r="A3948" t="str">
            <v>M2</v>
          </cell>
          <cell r="B3948" t="str">
            <v>A5C</v>
          </cell>
          <cell r="C3948" t="str">
            <v>P</v>
          </cell>
          <cell r="D3948" t="str">
            <v>23073</v>
          </cell>
          <cell r="E3948" t="str">
            <v>WN FLG</v>
          </cell>
          <cell r="F3948">
            <v>3</v>
          </cell>
          <cell r="G3948" t="str">
            <v>CB200108000200</v>
          </cell>
          <cell r="H3948">
            <v>2</v>
          </cell>
          <cell r="I3948" t="str">
            <v>--</v>
          </cell>
          <cell r="J3948">
            <v>4</v>
          </cell>
          <cell r="K3948">
            <v>5</v>
          </cell>
        </row>
        <row r="3949">
          <cell r="A3949" t="str">
            <v>M2</v>
          </cell>
          <cell r="B3949" t="str">
            <v>A5C</v>
          </cell>
          <cell r="C3949" t="str">
            <v>P</v>
          </cell>
          <cell r="D3949" t="str">
            <v>23085</v>
          </cell>
          <cell r="E3949" t="str">
            <v>WN FLG</v>
          </cell>
          <cell r="F3949">
            <v>3</v>
          </cell>
          <cell r="G3949" t="str">
            <v>CB200108000200</v>
          </cell>
          <cell r="H3949">
            <v>2</v>
          </cell>
          <cell r="I3949" t="str">
            <v>--</v>
          </cell>
          <cell r="J3949">
            <v>9</v>
          </cell>
          <cell r="K3949">
            <v>10</v>
          </cell>
        </row>
        <row r="3950">
          <cell r="A3950" t="str">
            <v>M2</v>
          </cell>
          <cell r="B3950" t="str">
            <v>A5C</v>
          </cell>
          <cell r="C3950" t="str">
            <v>P</v>
          </cell>
          <cell r="D3950" t="str">
            <v>23082</v>
          </cell>
          <cell r="E3950" t="str">
            <v>WN FLG</v>
          </cell>
          <cell r="F3950">
            <v>3</v>
          </cell>
          <cell r="G3950" t="str">
            <v>CB200108000200</v>
          </cell>
          <cell r="H3950">
            <v>2</v>
          </cell>
          <cell r="I3950" t="str">
            <v>--</v>
          </cell>
          <cell r="J3950">
            <v>2</v>
          </cell>
          <cell r="K3950">
            <v>3</v>
          </cell>
        </row>
        <row r="3951">
          <cell r="A3951" t="str">
            <v>M2</v>
          </cell>
          <cell r="B3951" t="str">
            <v>A5C</v>
          </cell>
          <cell r="C3951" t="str">
            <v>P</v>
          </cell>
          <cell r="D3951" t="str">
            <v>23085</v>
          </cell>
          <cell r="E3951" t="str">
            <v>WN FLG</v>
          </cell>
          <cell r="F3951">
            <v>3</v>
          </cell>
          <cell r="G3951" t="str">
            <v>CB200108000200</v>
          </cell>
          <cell r="H3951">
            <v>2</v>
          </cell>
          <cell r="I3951" t="str">
            <v>--</v>
          </cell>
          <cell r="J3951">
            <v>2</v>
          </cell>
          <cell r="K3951">
            <v>3</v>
          </cell>
        </row>
        <row r="3952">
          <cell r="A3952" t="str">
            <v>M2</v>
          </cell>
          <cell r="B3952" t="str">
            <v>A5C</v>
          </cell>
          <cell r="C3952" t="str">
            <v>P</v>
          </cell>
          <cell r="D3952" t="str">
            <v>23096</v>
          </cell>
          <cell r="E3952" t="str">
            <v>WN FLG</v>
          </cell>
          <cell r="F3952">
            <v>3</v>
          </cell>
          <cell r="G3952" t="str">
            <v>CB200208000200</v>
          </cell>
          <cell r="H3952">
            <v>2</v>
          </cell>
          <cell r="I3952" t="str">
            <v>--</v>
          </cell>
          <cell r="J3952">
            <v>2</v>
          </cell>
          <cell r="K3952">
            <v>3</v>
          </cell>
        </row>
        <row r="3953">
          <cell r="A3953" t="str">
            <v>M2</v>
          </cell>
          <cell r="B3953" t="str">
            <v>A5C</v>
          </cell>
          <cell r="C3953" t="str">
            <v>P</v>
          </cell>
          <cell r="D3953" t="str">
            <v>23102</v>
          </cell>
          <cell r="E3953" t="str">
            <v>WN FLG</v>
          </cell>
          <cell r="F3953">
            <v>3</v>
          </cell>
          <cell r="G3953" t="str">
            <v>CB200108000200</v>
          </cell>
          <cell r="H3953">
            <v>2</v>
          </cell>
          <cell r="I3953" t="str">
            <v>--</v>
          </cell>
          <cell r="J3953">
            <v>1</v>
          </cell>
          <cell r="K3953">
            <v>2</v>
          </cell>
        </row>
        <row r="3954">
          <cell r="A3954" t="str">
            <v>M2</v>
          </cell>
          <cell r="B3954" t="str">
            <v>A5C</v>
          </cell>
          <cell r="C3954" t="str">
            <v>P</v>
          </cell>
          <cell r="D3954" t="str">
            <v>23102</v>
          </cell>
          <cell r="E3954" t="str">
            <v>WN FLG</v>
          </cell>
          <cell r="F3954">
            <v>3</v>
          </cell>
          <cell r="G3954" t="str">
            <v>CB200108000200</v>
          </cell>
          <cell r="H3954">
            <v>2</v>
          </cell>
          <cell r="I3954" t="str">
            <v>--</v>
          </cell>
          <cell r="J3954">
            <v>4</v>
          </cell>
          <cell r="K3954">
            <v>5</v>
          </cell>
        </row>
        <row r="3955">
          <cell r="A3955" t="str">
            <v>M2</v>
          </cell>
          <cell r="B3955" t="str">
            <v>A5C</v>
          </cell>
          <cell r="C3955" t="str">
            <v>P</v>
          </cell>
          <cell r="D3955" t="str">
            <v>23096</v>
          </cell>
          <cell r="E3955" t="str">
            <v>WN FLG</v>
          </cell>
          <cell r="F3955">
            <v>3</v>
          </cell>
          <cell r="G3955" t="str">
            <v>CB200108000200</v>
          </cell>
          <cell r="H3955">
            <v>2</v>
          </cell>
          <cell r="I3955" t="str">
            <v>--</v>
          </cell>
          <cell r="J3955">
            <v>13</v>
          </cell>
          <cell r="K3955">
            <v>15</v>
          </cell>
        </row>
        <row r="3956">
          <cell r="A3956" t="str">
            <v>M2</v>
          </cell>
          <cell r="B3956" t="str">
            <v>A5C</v>
          </cell>
          <cell r="C3956" t="str">
            <v>P</v>
          </cell>
          <cell r="D3956" t="str">
            <v>23096</v>
          </cell>
          <cell r="E3956" t="str">
            <v>WN FLG</v>
          </cell>
          <cell r="F3956">
            <v>3</v>
          </cell>
          <cell r="G3956" t="str">
            <v>CB200108000200</v>
          </cell>
          <cell r="H3956">
            <v>2</v>
          </cell>
          <cell r="I3956" t="str">
            <v>--</v>
          </cell>
          <cell r="J3956">
            <v>4</v>
          </cell>
          <cell r="K3956">
            <v>5</v>
          </cell>
        </row>
        <row r="3957">
          <cell r="A3957" t="str">
            <v>M2</v>
          </cell>
          <cell r="B3957" t="str">
            <v>A5C</v>
          </cell>
          <cell r="C3957" t="str">
            <v>P</v>
          </cell>
          <cell r="D3957" t="str">
            <v>23115</v>
          </cell>
          <cell r="E3957" t="str">
            <v>WN FLG</v>
          </cell>
          <cell r="F3957">
            <v>3</v>
          </cell>
          <cell r="G3957" t="str">
            <v>CB200108000200</v>
          </cell>
          <cell r="H3957">
            <v>2</v>
          </cell>
          <cell r="I3957" t="str">
            <v>--</v>
          </cell>
          <cell r="J3957">
            <v>9</v>
          </cell>
          <cell r="K3957">
            <v>10</v>
          </cell>
        </row>
        <row r="3958">
          <cell r="A3958" t="str">
            <v>M2</v>
          </cell>
          <cell r="B3958" t="str">
            <v>A5C</v>
          </cell>
          <cell r="C3958" t="str">
            <v>P</v>
          </cell>
          <cell r="D3958" t="str">
            <v>23124</v>
          </cell>
          <cell r="E3958" t="str">
            <v>WN FLG</v>
          </cell>
          <cell r="F3958">
            <v>3</v>
          </cell>
          <cell r="G3958" t="str">
            <v>CB200108000200</v>
          </cell>
          <cell r="H3958">
            <v>2</v>
          </cell>
          <cell r="I3958" t="str">
            <v>--</v>
          </cell>
          <cell r="J3958">
            <v>2</v>
          </cell>
          <cell r="K3958">
            <v>3</v>
          </cell>
        </row>
        <row r="3959">
          <cell r="A3959" t="str">
            <v>M2</v>
          </cell>
          <cell r="B3959" t="str">
            <v>A5C</v>
          </cell>
          <cell r="C3959" t="str">
            <v>P</v>
          </cell>
          <cell r="D3959" t="str">
            <v>23131</v>
          </cell>
          <cell r="E3959" t="str">
            <v>WN FLG</v>
          </cell>
          <cell r="F3959">
            <v>3</v>
          </cell>
          <cell r="G3959" t="str">
            <v>CB200108000200</v>
          </cell>
          <cell r="H3959">
            <v>2</v>
          </cell>
          <cell r="I3959" t="str">
            <v>--</v>
          </cell>
          <cell r="J3959">
            <v>3</v>
          </cell>
          <cell r="K3959">
            <v>4</v>
          </cell>
        </row>
        <row r="3960">
          <cell r="A3960" t="str">
            <v>M2</v>
          </cell>
          <cell r="B3960" t="str">
            <v>A5C</v>
          </cell>
          <cell r="C3960" t="str">
            <v>P</v>
          </cell>
          <cell r="D3960" t="str">
            <v>23135</v>
          </cell>
          <cell r="E3960" t="str">
            <v>WN FLG</v>
          </cell>
          <cell r="F3960">
            <v>3</v>
          </cell>
          <cell r="G3960" t="str">
            <v>CB200108000200</v>
          </cell>
          <cell r="H3960">
            <v>2</v>
          </cell>
          <cell r="I3960" t="str">
            <v>--</v>
          </cell>
          <cell r="J3960">
            <v>13</v>
          </cell>
          <cell r="K3960">
            <v>15</v>
          </cell>
        </row>
        <row r="3961">
          <cell r="A3961" t="str">
            <v>M2</v>
          </cell>
          <cell r="B3961" t="str">
            <v>A5C</v>
          </cell>
          <cell r="C3961" t="str">
            <v>P</v>
          </cell>
          <cell r="D3961" t="str">
            <v>23131</v>
          </cell>
          <cell r="E3961" t="str">
            <v>WN FLG</v>
          </cell>
          <cell r="F3961">
            <v>3</v>
          </cell>
          <cell r="G3961" t="str">
            <v>CB200208000200</v>
          </cell>
          <cell r="H3961">
            <v>2</v>
          </cell>
          <cell r="I3961" t="str">
            <v>--</v>
          </cell>
          <cell r="J3961">
            <v>2</v>
          </cell>
          <cell r="K3961">
            <v>3</v>
          </cell>
        </row>
        <row r="3962">
          <cell r="A3962" t="str">
            <v>M2</v>
          </cell>
          <cell r="B3962" t="str">
            <v>A5C</v>
          </cell>
          <cell r="C3962" t="str">
            <v>P</v>
          </cell>
          <cell r="D3962" t="str">
            <v>23142</v>
          </cell>
          <cell r="E3962" t="str">
            <v>WN FLG</v>
          </cell>
          <cell r="F3962">
            <v>3</v>
          </cell>
          <cell r="G3962" t="str">
            <v>CB200108000200</v>
          </cell>
          <cell r="H3962">
            <v>2</v>
          </cell>
          <cell r="I3962" t="str">
            <v>--</v>
          </cell>
          <cell r="J3962">
            <v>2</v>
          </cell>
          <cell r="K3962">
            <v>3</v>
          </cell>
        </row>
        <row r="3963">
          <cell r="A3963" t="str">
            <v>M2</v>
          </cell>
          <cell r="B3963" t="str">
            <v>A5C</v>
          </cell>
          <cell r="C3963" t="str">
            <v>P</v>
          </cell>
          <cell r="D3963" t="str">
            <v>23135</v>
          </cell>
          <cell r="E3963" t="str">
            <v>WN FLG</v>
          </cell>
          <cell r="F3963">
            <v>3</v>
          </cell>
          <cell r="G3963" t="str">
            <v>CB200208000200</v>
          </cell>
          <cell r="H3963">
            <v>2</v>
          </cell>
          <cell r="I3963" t="str">
            <v>--</v>
          </cell>
          <cell r="J3963">
            <v>2</v>
          </cell>
          <cell r="K3963">
            <v>3</v>
          </cell>
        </row>
        <row r="3964">
          <cell r="A3964" t="str">
            <v>M2</v>
          </cell>
          <cell r="B3964" t="str">
            <v>A5C</v>
          </cell>
          <cell r="C3964" t="str">
            <v>P</v>
          </cell>
          <cell r="D3964" t="str">
            <v>23192</v>
          </cell>
          <cell r="E3964" t="str">
            <v>WN FLG</v>
          </cell>
          <cell r="F3964">
            <v>3</v>
          </cell>
          <cell r="G3964" t="str">
            <v>CB200108000200</v>
          </cell>
          <cell r="H3964">
            <v>2</v>
          </cell>
          <cell r="I3964" t="str">
            <v>--</v>
          </cell>
          <cell r="J3964">
            <v>1</v>
          </cell>
          <cell r="K3964">
            <v>2</v>
          </cell>
        </row>
        <row r="3965">
          <cell r="A3965" t="str">
            <v>M2</v>
          </cell>
          <cell r="B3965" t="str">
            <v>A5C</v>
          </cell>
          <cell r="C3965" t="str">
            <v>P</v>
          </cell>
          <cell r="D3965" t="str">
            <v>23229</v>
          </cell>
          <cell r="E3965" t="str">
            <v>WN FLG</v>
          </cell>
          <cell r="F3965">
            <v>3</v>
          </cell>
          <cell r="G3965" t="str">
            <v>CB200108000200</v>
          </cell>
          <cell r="H3965">
            <v>2</v>
          </cell>
          <cell r="I3965" t="str">
            <v>--</v>
          </cell>
          <cell r="J3965">
            <v>1</v>
          </cell>
          <cell r="K3965">
            <v>2</v>
          </cell>
        </row>
        <row r="3966">
          <cell r="A3966" t="str">
            <v>M2</v>
          </cell>
          <cell r="B3966" t="str">
            <v>A5C</v>
          </cell>
          <cell r="C3966" t="str">
            <v>P</v>
          </cell>
          <cell r="D3966" t="str">
            <v>23232</v>
          </cell>
          <cell r="E3966" t="str">
            <v>WN FLG</v>
          </cell>
          <cell r="F3966">
            <v>3</v>
          </cell>
          <cell r="G3966" t="str">
            <v>CB200108000200</v>
          </cell>
          <cell r="H3966">
            <v>2</v>
          </cell>
          <cell r="I3966" t="str">
            <v>--</v>
          </cell>
          <cell r="J3966">
            <v>2</v>
          </cell>
          <cell r="K3966">
            <v>3</v>
          </cell>
        </row>
        <row r="3967">
          <cell r="A3967" t="str">
            <v>M2</v>
          </cell>
          <cell r="B3967" t="str">
            <v>A5C</v>
          </cell>
          <cell r="C3967" t="str">
            <v>P</v>
          </cell>
          <cell r="D3967" t="str">
            <v>23233</v>
          </cell>
          <cell r="E3967" t="str">
            <v>WN FLG</v>
          </cell>
          <cell r="F3967">
            <v>3</v>
          </cell>
          <cell r="G3967" t="str">
            <v>CB200108000200</v>
          </cell>
          <cell r="H3967">
            <v>2</v>
          </cell>
          <cell r="I3967" t="str">
            <v>--</v>
          </cell>
          <cell r="J3967">
            <v>1</v>
          </cell>
          <cell r="K3967">
            <v>2</v>
          </cell>
        </row>
        <row r="3968">
          <cell r="A3968" t="str">
            <v>M2</v>
          </cell>
          <cell r="B3968" t="str">
            <v>A5C</v>
          </cell>
          <cell r="C3968" t="str">
            <v>P</v>
          </cell>
          <cell r="D3968" t="str">
            <v>23240</v>
          </cell>
          <cell r="E3968" t="str">
            <v>WN FLG</v>
          </cell>
          <cell r="F3968">
            <v>3</v>
          </cell>
          <cell r="G3968" t="str">
            <v>CB200108000200</v>
          </cell>
          <cell r="H3968">
            <v>2</v>
          </cell>
          <cell r="I3968" t="str">
            <v>--</v>
          </cell>
          <cell r="J3968">
            <v>2</v>
          </cell>
          <cell r="K3968">
            <v>3</v>
          </cell>
        </row>
        <row r="3969">
          <cell r="A3969" t="str">
            <v>M2</v>
          </cell>
          <cell r="B3969" t="str">
            <v>A5C</v>
          </cell>
          <cell r="C3969" t="str">
            <v>P</v>
          </cell>
          <cell r="D3969" t="str">
            <v>23251</v>
          </cell>
          <cell r="E3969" t="str">
            <v>WN FLG</v>
          </cell>
          <cell r="F3969">
            <v>3</v>
          </cell>
          <cell r="G3969" t="str">
            <v>CB200108000200</v>
          </cell>
          <cell r="H3969">
            <v>2</v>
          </cell>
          <cell r="I3969" t="str">
            <v>--</v>
          </cell>
          <cell r="J3969">
            <v>1</v>
          </cell>
          <cell r="K3969">
            <v>2</v>
          </cell>
        </row>
        <row r="3970">
          <cell r="A3970" t="str">
            <v>M2</v>
          </cell>
          <cell r="B3970" t="str">
            <v>A5C</v>
          </cell>
          <cell r="C3970" t="str">
            <v>P</v>
          </cell>
          <cell r="D3970" t="str">
            <v>23254</v>
          </cell>
          <cell r="E3970" t="str">
            <v>WN FLG</v>
          </cell>
          <cell r="F3970">
            <v>3</v>
          </cell>
          <cell r="G3970" t="str">
            <v>CB200108000200</v>
          </cell>
          <cell r="H3970">
            <v>2</v>
          </cell>
          <cell r="I3970" t="str">
            <v>--</v>
          </cell>
          <cell r="J3970">
            <v>2</v>
          </cell>
          <cell r="K3970">
            <v>3</v>
          </cell>
        </row>
        <row r="3971">
          <cell r="A3971" t="str">
            <v>M2</v>
          </cell>
          <cell r="B3971" t="str">
            <v>A5C</v>
          </cell>
          <cell r="C3971" t="str">
            <v>P</v>
          </cell>
          <cell r="D3971" t="str">
            <v>23255</v>
          </cell>
          <cell r="E3971" t="str">
            <v>WN FLG</v>
          </cell>
          <cell r="F3971">
            <v>3</v>
          </cell>
          <cell r="G3971" t="str">
            <v>CB200108000200</v>
          </cell>
          <cell r="H3971">
            <v>2</v>
          </cell>
          <cell r="I3971" t="str">
            <v>--</v>
          </cell>
          <cell r="J3971">
            <v>1</v>
          </cell>
          <cell r="K3971">
            <v>2</v>
          </cell>
        </row>
        <row r="3972">
          <cell r="A3972" t="str">
            <v>M2</v>
          </cell>
          <cell r="B3972" t="str">
            <v>A5C</v>
          </cell>
          <cell r="C3972" t="str">
            <v>P</v>
          </cell>
          <cell r="D3972" t="str">
            <v>23253</v>
          </cell>
          <cell r="E3972" t="str">
            <v>WN FLG</v>
          </cell>
          <cell r="F3972">
            <v>3</v>
          </cell>
          <cell r="G3972" t="str">
            <v>CB200108000200</v>
          </cell>
          <cell r="H3972">
            <v>2</v>
          </cell>
          <cell r="I3972" t="str">
            <v>--</v>
          </cell>
          <cell r="J3972">
            <v>1</v>
          </cell>
          <cell r="K3972">
            <v>2</v>
          </cell>
        </row>
        <row r="3973">
          <cell r="A3973" t="str">
            <v>M2</v>
          </cell>
          <cell r="B3973" t="str">
            <v>A5C</v>
          </cell>
          <cell r="C3973" t="str">
            <v>P</v>
          </cell>
          <cell r="D3973" t="str">
            <v>23261</v>
          </cell>
          <cell r="E3973" t="str">
            <v>WN FLG</v>
          </cell>
          <cell r="F3973">
            <v>3</v>
          </cell>
          <cell r="G3973" t="str">
            <v>CB200108000200</v>
          </cell>
          <cell r="H3973">
            <v>2</v>
          </cell>
          <cell r="I3973" t="str">
            <v>--</v>
          </cell>
          <cell r="J3973">
            <v>2</v>
          </cell>
          <cell r="K3973">
            <v>3</v>
          </cell>
        </row>
        <row r="3974">
          <cell r="A3974" t="str">
            <v>M2</v>
          </cell>
          <cell r="B3974" t="str">
            <v>A5C</v>
          </cell>
          <cell r="C3974" t="str">
            <v>P</v>
          </cell>
          <cell r="D3974" t="str">
            <v>24007</v>
          </cell>
          <cell r="E3974" t="str">
            <v>WN FLG</v>
          </cell>
          <cell r="F3974">
            <v>3</v>
          </cell>
          <cell r="G3974" t="str">
            <v>CB200108000200</v>
          </cell>
          <cell r="H3974">
            <v>2</v>
          </cell>
          <cell r="I3974" t="str">
            <v>--</v>
          </cell>
          <cell r="J3974">
            <v>1</v>
          </cell>
          <cell r="K3974">
            <v>2</v>
          </cell>
        </row>
        <row r="3975">
          <cell r="A3975" t="str">
            <v>M2</v>
          </cell>
          <cell r="B3975" t="str">
            <v>A5C</v>
          </cell>
          <cell r="C3975" t="str">
            <v>P</v>
          </cell>
          <cell r="D3975" t="str">
            <v>24006</v>
          </cell>
          <cell r="E3975" t="str">
            <v>WN FLG</v>
          </cell>
          <cell r="F3975">
            <v>3</v>
          </cell>
          <cell r="G3975" t="str">
            <v>CB200108000200</v>
          </cell>
          <cell r="H3975">
            <v>2</v>
          </cell>
          <cell r="I3975" t="str">
            <v>--</v>
          </cell>
          <cell r="J3975">
            <v>3</v>
          </cell>
          <cell r="K3975">
            <v>4</v>
          </cell>
        </row>
        <row r="3976">
          <cell r="A3976" t="str">
            <v>M2</v>
          </cell>
          <cell r="B3976" t="str">
            <v>A5C</v>
          </cell>
          <cell r="C3976" t="str">
            <v>P</v>
          </cell>
          <cell r="D3976" t="str">
            <v>24020</v>
          </cell>
          <cell r="E3976" t="str">
            <v>WN FLG</v>
          </cell>
          <cell r="F3976">
            <v>3</v>
          </cell>
          <cell r="G3976" t="str">
            <v>CB200108000200</v>
          </cell>
          <cell r="H3976">
            <v>2</v>
          </cell>
          <cell r="I3976" t="str">
            <v>--</v>
          </cell>
          <cell r="J3976">
            <v>1</v>
          </cell>
          <cell r="K3976">
            <v>2</v>
          </cell>
        </row>
        <row r="3977">
          <cell r="A3977" t="str">
            <v>M2</v>
          </cell>
          <cell r="B3977" t="str">
            <v>A5C</v>
          </cell>
          <cell r="C3977" t="str">
            <v>P</v>
          </cell>
          <cell r="D3977" t="str">
            <v>24021</v>
          </cell>
          <cell r="E3977" t="str">
            <v>WN FLG</v>
          </cell>
          <cell r="F3977">
            <v>3</v>
          </cell>
          <cell r="G3977" t="str">
            <v>CB200108000200</v>
          </cell>
          <cell r="H3977">
            <v>2</v>
          </cell>
          <cell r="I3977" t="str">
            <v>--</v>
          </cell>
          <cell r="J3977">
            <v>8</v>
          </cell>
          <cell r="K3977">
            <v>9</v>
          </cell>
        </row>
        <row r="3978">
          <cell r="A3978" t="str">
            <v>M2</v>
          </cell>
          <cell r="B3978" t="str">
            <v>A5C</v>
          </cell>
          <cell r="C3978" t="str">
            <v>TRIM</v>
          </cell>
          <cell r="D3978" t="str">
            <v>V-2316</v>
          </cell>
          <cell r="E3978" t="str">
            <v>WN FLG</v>
          </cell>
          <cell r="F3978">
            <v>3</v>
          </cell>
          <cell r="G3978" t="str">
            <v>CB200108000200</v>
          </cell>
          <cell r="H3978">
            <v>2</v>
          </cell>
          <cell r="I3978" t="str">
            <v>--</v>
          </cell>
          <cell r="J3978">
            <v>2</v>
          </cell>
          <cell r="K3978">
            <v>3</v>
          </cell>
        </row>
        <row r="3979">
          <cell r="A3979" t="str">
            <v>M2</v>
          </cell>
          <cell r="B3979" t="str">
            <v>A5C</v>
          </cell>
          <cell r="C3979" t="str">
            <v>TRIM</v>
          </cell>
          <cell r="D3979" t="str">
            <v>V-2315</v>
          </cell>
          <cell r="E3979" t="str">
            <v>WN FLG</v>
          </cell>
          <cell r="F3979">
            <v>3</v>
          </cell>
          <cell r="G3979" t="str">
            <v>CB200108000200</v>
          </cell>
          <cell r="H3979">
            <v>2</v>
          </cell>
          <cell r="I3979" t="str">
            <v>--</v>
          </cell>
          <cell r="J3979">
            <v>2</v>
          </cell>
          <cell r="K3979">
            <v>3</v>
          </cell>
        </row>
        <row r="3980">
          <cell r="A3980" t="str">
            <v>M2</v>
          </cell>
          <cell r="B3980" t="str">
            <v>A5C</v>
          </cell>
          <cell r="C3980" t="str">
            <v>TRIM</v>
          </cell>
          <cell r="D3980" t="str">
            <v>V-2321</v>
          </cell>
          <cell r="E3980" t="str">
            <v>WN FLG</v>
          </cell>
          <cell r="F3980">
            <v>3</v>
          </cell>
          <cell r="G3980" t="str">
            <v>CB200108000200</v>
          </cell>
          <cell r="H3980">
            <v>2</v>
          </cell>
          <cell r="I3980" t="str">
            <v>--</v>
          </cell>
          <cell r="J3980">
            <v>2</v>
          </cell>
          <cell r="K3980">
            <v>3</v>
          </cell>
        </row>
        <row r="3981">
          <cell r="A3981" t="str">
            <v>M2</v>
          </cell>
          <cell r="B3981" t="str">
            <v>A5C</v>
          </cell>
          <cell r="C3981" t="str">
            <v>TRIM</v>
          </cell>
          <cell r="D3981" t="str">
            <v>V-2317</v>
          </cell>
          <cell r="E3981" t="str">
            <v>WN FLG</v>
          </cell>
          <cell r="F3981">
            <v>3</v>
          </cell>
          <cell r="G3981" t="str">
            <v>CB200108000200</v>
          </cell>
          <cell r="H3981">
            <v>2</v>
          </cell>
          <cell r="I3981" t="str">
            <v>--</v>
          </cell>
          <cell r="J3981">
            <v>2</v>
          </cell>
          <cell r="K3981">
            <v>3</v>
          </cell>
        </row>
        <row r="3982">
          <cell r="A3982" t="str">
            <v>M2</v>
          </cell>
          <cell r="B3982" t="str">
            <v>A5C</v>
          </cell>
          <cell r="C3982" t="str">
            <v>TRIM</v>
          </cell>
          <cell r="D3982" t="str">
            <v>V-2318</v>
          </cell>
          <cell r="E3982" t="str">
            <v>WN FLG</v>
          </cell>
          <cell r="F3982">
            <v>3</v>
          </cell>
          <cell r="G3982" t="str">
            <v>CB200108000200</v>
          </cell>
          <cell r="H3982">
            <v>2</v>
          </cell>
          <cell r="I3982" t="str">
            <v>--</v>
          </cell>
          <cell r="J3982">
            <v>2</v>
          </cell>
          <cell r="K3982">
            <v>3</v>
          </cell>
        </row>
        <row r="3983">
          <cell r="A3983" t="str">
            <v>M2</v>
          </cell>
          <cell r="B3983" t="str">
            <v>A5C</v>
          </cell>
          <cell r="C3983" t="str">
            <v>TRIM</v>
          </cell>
          <cell r="D3983" t="str">
            <v>V-2320</v>
          </cell>
          <cell r="E3983" t="str">
            <v>WN FLG</v>
          </cell>
          <cell r="F3983">
            <v>3</v>
          </cell>
          <cell r="G3983" t="str">
            <v>CB200108000200</v>
          </cell>
          <cell r="H3983">
            <v>2</v>
          </cell>
          <cell r="I3983" t="str">
            <v>--</v>
          </cell>
          <cell r="J3983">
            <v>2</v>
          </cell>
          <cell r="K3983">
            <v>3</v>
          </cell>
        </row>
        <row r="3984">
          <cell r="A3984" t="str">
            <v>M2</v>
          </cell>
          <cell r="B3984" t="str">
            <v>A5C</v>
          </cell>
          <cell r="C3984" t="str">
            <v>TRIM</v>
          </cell>
          <cell r="D3984" t="str">
            <v>V-2323</v>
          </cell>
          <cell r="E3984" t="str">
            <v>WN FLG</v>
          </cell>
          <cell r="F3984">
            <v>3</v>
          </cell>
          <cell r="G3984" t="str">
            <v>CB200108000200</v>
          </cell>
          <cell r="H3984">
            <v>2</v>
          </cell>
          <cell r="I3984" t="str">
            <v>--</v>
          </cell>
          <cell r="J3984">
            <v>2</v>
          </cell>
          <cell r="K3984">
            <v>3</v>
          </cell>
        </row>
        <row r="3985">
          <cell r="A3985" t="str">
            <v>M2</v>
          </cell>
          <cell r="B3985" t="str">
            <v>A5C</v>
          </cell>
          <cell r="C3985" t="str">
            <v>TRIM</v>
          </cell>
          <cell r="D3985" t="str">
            <v>V-2324</v>
          </cell>
          <cell r="E3985" t="str">
            <v>WN FLG</v>
          </cell>
          <cell r="F3985">
            <v>3</v>
          </cell>
          <cell r="G3985" t="str">
            <v>CB200108000200</v>
          </cell>
          <cell r="H3985">
            <v>2</v>
          </cell>
          <cell r="I3985" t="str">
            <v>--</v>
          </cell>
          <cell r="J3985">
            <v>2</v>
          </cell>
          <cell r="K3985">
            <v>3</v>
          </cell>
        </row>
        <row r="3986">
          <cell r="A3986" t="str">
            <v>M2</v>
          </cell>
          <cell r="B3986" t="str">
            <v>A5C</v>
          </cell>
          <cell r="C3986" t="str">
            <v>TRIM</v>
          </cell>
          <cell r="D3986" t="str">
            <v>V-2326</v>
          </cell>
          <cell r="E3986" t="str">
            <v>WN FLG</v>
          </cell>
          <cell r="F3986">
            <v>3</v>
          </cell>
          <cell r="G3986" t="str">
            <v>CB200108000200</v>
          </cell>
          <cell r="H3986">
            <v>2</v>
          </cell>
          <cell r="I3986" t="str">
            <v>--</v>
          </cell>
          <cell r="J3986">
            <v>2</v>
          </cell>
          <cell r="K3986">
            <v>3</v>
          </cell>
        </row>
        <row r="3987">
          <cell r="A3987" t="str">
            <v>M2</v>
          </cell>
          <cell r="B3987" t="str">
            <v>A5C</v>
          </cell>
          <cell r="C3987" t="str">
            <v>TRIM</v>
          </cell>
          <cell r="D3987" t="str">
            <v>V-2327</v>
          </cell>
          <cell r="E3987" t="str">
            <v>WN FLG</v>
          </cell>
          <cell r="F3987">
            <v>3</v>
          </cell>
          <cell r="G3987" t="str">
            <v>CB200108000200</v>
          </cell>
          <cell r="H3987">
            <v>2</v>
          </cell>
          <cell r="I3987" t="str">
            <v>--</v>
          </cell>
          <cell r="J3987">
            <v>2</v>
          </cell>
          <cell r="K3987">
            <v>3</v>
          </cell>
        </row>
        <row r="3988">
          <cell r="A3988" t="str">
            <v>M2</v>
          </cell>
          <cell r="B3988" t="str">
            <v>A5C</v>
          </cell>
          <cell r="C3988" t="str">
            <v>TRIM</v>
          </cell>
          <cell r="D3988" t="str">
            <v>V-2328</v>
          </cell>
          <cell r="E3988" t="str">
            <v>WN FLG</v>
          </cell>
          <cell r="F3988">
            <v>3</v>
          </cell>
          <cell r="G3988" t="str">
            <v>CB200108000200</v>
          </cell>
          <cell r="H3988">
            <v>2</v>
          </cell>
          <cell r="I3988" t="str">
            <v>--</v>
          </cell>
          <cell r="J3988">
            <v>2</v>
          </cell>
          <cell r="K3988">
            <v>3</v>
          </cell>
        </row>
        <row r="3989">
          <cell r="A3989" t="str">
            <v>M2</v>
          </cell>
          <cell r="B3989" t="str">
            <v>A5C</v>
          </cell>
          <cell r="C3989" t="str">
            <v>TRIM</v>
          </cell>
          <cell r="D3989" t="str">
            <v>V-2329</v>
          </cell>
          <cell r="E3989" t="str">
            <v>WN FLG</v>
          </cell>
          <cell r="F3989">
            <v>3</v>
          </cell>
          <cell r="G3989" t="str">
            <v>CB200108000200</v>
          </cell>
          <cell r="H3989">
            <v>2</v>
          </cell>
          <cell r="I3989" t="str">
            <v>--</v>
          </cell>
          <cell r="J3989">
            <v>2</v>
          </cell>
          <cell r="K3989">
            <v>3</v>
          </cell>
        </row>
        <row r="3990">
          <cell r="A3990" t="str">
            <v>M2</v>
          </cell>
          <cell r="B3990" t="str">
            <v>A5C</v>
          </cell>
          <cell r="C3990" t="str">
            <v>TRIM</v>
          </cell>
          <cell r="D3990" t="str">
            <v>V-2330</v>
          </cell>
          <cell r="E3990" t="str">
            <v>WN FLG</v>
          </cell>
          <cell r="F3990">
            <v>3</v>
          </cell>
          <cell r="G3990" t="str">
            <v>CB200108000200</v>
          </cell>
          <cell r="H3990">
            <v>2</v>
          </cell>
          <cell r="I3990" t="str">
            <v>--</v>
          </cell>
          <cell r="J3990">
            <v>2</v>
          </cell>
          <cell r="K3990">
            <v>3</v>
          </cell>
        </row>
        <row r="3991">
          <cell r="A3991" t="str">
            <v>M2</v>
          </cell>
          <cell r="B3991" t="str">
            <v>A5C</v>
          </cell>
          <cell r="C3991" t="str">
            <v>TRIM</v>
          </cell>
          <cell r="D3991" t="str">
            <v>V-2331</v>
          </cell>
          <cell r="E3991" t="str">
            <v>WN FLG</v>
          </cell>
          <cell r="F3991">
            <v>3</v>
          </cell>
          <cell r="G3991" t="str">
            <v>CB200108000200</v>
          </cell>
          <cell r="H3991">
            <v>2</v>
          </cell>
          <cell r="I3991" t="str">
            <v>--</v>
          </cell>
          <cell r="J3991">
            <v>2</v>
          </cell>
          <cell r="K3991">
            <v>3</v>
          </cell>
        </row>
        <row r="3992">
          <cell r="A3992" t="str">
            <v>M2</v>
          </cell>
          <cell r="B3992" t="str">
            <v>A5C</v>
          </cell>
          <cell r="C3992" t="str">
            <v>TRIM</v>
          </cell>
          <cell r="D3992" t="str">
            <v>V-2332</v>
          </cell>
          <cell r="E3992" t="str">
            <v>WN FLG</v>
          </cell>
          <cell r="F3992">
            <v>3</v>
          </cell>
          <cell r="G3992" t="str">
            <v>CB200108000200</v>
          </cell>
          <cell r="H3992">
            <v>2</v>
          </cell>
          <cell r="I3992" t="str">
            <v>--</v>
          </cell>
          <cell r="J3992">
            <v>2</v>
          </cell>
          <cell r="K3992">
            <v>3</v>
          </cell>
        </row>
        <row r="3993">
          <cell r="A3993" t="str">
            <v>M2</v>
          </cell>
          <cell r="B3993" t="str">
            <v>A5C</v>
          </cell>
          <cell r="C3993" t="str">
            <v>TRIM</v>
          </cell>
          <cell r="D3993" t="str">
            <v>V-2333</v>
          </cell>
          <cell r="E3993" t="str">
            <v>WN FLG</v>
          </cell>
          <cell r="F3993">
            <v>3</v>
          </cell>
          <cell r="G3993" t="str">
            <v>CB200108000200</v>
          </cell>
          <cell r="H3993">
            <v>2</v>
          </cell>
          <cell r="I3993" t="str">
            <v>--</v>
          </cell>
          <cell r="J3993">
            <v>2</v>
          </cell>
          <cell r="K3993">
            <v>3</v>
          </cell>
        </row>
        <row r="3994">
          <cell r="A3994" t="str">
            <v>M2</v>
          </cell>
          <cell r="B3994" t="str">
            <v>A5C</v>
          </cell>
          <cell r="C3994" t="str">
            <v>TRIM</v>
          </cell>
          <cell r="D3994" t="str">
            <v>V-2351</v>
          </cell>
          <cell r="E3994" t="str">
            <v>WN FLG</v>
          </cell>
          <cell r="F3994">
            <v>3</v>
          </cell>
          <cell r="G3994" t="str">
            <v>CB200108000200</v>
          </cell>
          <cell r="H3994">
            <v>2</v>
          </cell>
          <cell r="I3994" t="str">
            <v>--</v>
          </cell>
          <cell r="J3994">
            <v>3</v>
          </cell>
          <cell r="K3994">
            <v>4</v>
          </cell>
        </row>
        <row r="3995">
          <cell r="A3995" t="str">
            <v>M2</v>
          </cell>
          <cell r="B3995" t="str">
            <v>A5C</v>
          </cell>
          <cell r="C3995" t="str">
            <v>TRIM</v>
          </cell>
          <cell r="D3995" t="str">
            <v>V-2402</v>
          </cell>
          <cell r="E3995" t="str">
            <v>WN FLG</v>
          </cell>
          <cell r="F3995">
            <v>3</v>
          </cell>
          <cell r="G3995" t="str">
            <v>CB200108000200</v>
          </cell>
          <cell r="H3995">
            <v>2</v>
          </cell>
          <cell r="I3995" t="str">
            <v>--</v>
          </cell>
          <cell r="J3995">
            <v>2</v>
          </cell>
          <cell r="K3995">
            <v>3</v>
          </cell>
        </row>
        <row r="3996">
          <cell r="A3996" t="str">
            <v>M2</v>
          </cell>
          <cell r="B3996" t="str">
            <v>A5C</v>
          </cell>
          <cell r="C3996" t="str">
            <v>P</v>
          </cell>
          <cell r="D3996" t="str">
            <v>23011</v>
          </cell>
          <cell r="E3996" t="str">
            <v>WN FLG</v>
          </cell>
          <cell r="F3996">
            <v>3</v>
          </cell>
          <cell r="G3996" t="str">
            <v>CB200108000200</v>
          </cell>
          <cell r="H3996">
            <v>2</v>
          </cell>
          <cell r="I3996" t="str">
            <v>--</v>
          </cell>
          <cell r="J3996">
            <v>1</v>
          </cell>
          <cell r="K3996">
            <v>2</v>
          </cell>
        </row>
        <row r="3997">
          <cell r="A3997" t="str">
            <v>M2</v>
          </cell>
          <cell r="B3997" t="str">
            <v>A5C</v>
          </cell>
          <cell r="C3997" t="str">
            <v>P</v>
          </cell>
          <cell r="D3997" t="str">
            <v>23135</v>
          </cell>
          <cell r="E3997" t="str">
            <v>WN FLG</v>
          </cell>
          <cell r="F3997">
            <v>3</v>
          </cell>
          <cell r="G3997" t="str">
            <v>CB200108000200</v>
          </cell>
          <cell r="H3997">
            <v>2</v>
          </cell>
          <cell r="I3997" t="str">
            <v>--</v>
          </cell>
          <cell r="J3997">
            <v>4</v>
          </cell>
          <cell r="K3997">
            <v>5</v>
          </cell>
        </row>
        <row r="3998">
          <cell r="A3998" t="str">
            <v>M2</v>
          </cell>
          <cell r="B3998" t="str">
            <v>A5C</v>
          </cell>
          <cell r="C3998" t="str">
            <v>P</v>
          </cell>
          <cell r="D3998" t="str">
            <v>23192</v>
          </cell>
          <cell r="E3998" t="str">
            <v>WN FLG</v>
          </cell>
          <cell r="F3998">
            <v>3</v>
          </cell>
          <cell r="G3998" t="str">
            <v>CB200108000200</v>
          </cell>
          <cell r="H3998">
            <v>2</v>
          </cell>
          <cell r="I3998" t="str">
            <v>--</v>
          </cell>
          <cell r="J3998">
            <v>4</v>
          </cell>
          <cell r="K3998">
            <v>5</v>
          </cell>
        </row>
        <row r="3999">
          <cell r="A3999" t="str">
            <v>M2</v>
          </cell>
          <cell r="B3999" t="str">
            <v>A5C</v>
          </cell>
          <cell r="C3999" t="str">
            <v>P</v>
          </cell>
          <cell r="D3999" t="str">
            <v>23231</v>
          </cell>
          <cell r="E3999" t="str">
            <v>WN FLG</v>
          </cell>
          <cell r="F3999">
            <v>3</v>
          </cell>
          <cell r="G3999" t="str">
            <v>CB200108000200</v>
          </cell>
          <cell r="H3999">
            <v>2</v>
          </cell>
          <cell r="I3999" t="str">
            <v>--</v>
          </cell>
          <cell r="J3999">
            <v>1</v>
          </cell>
          <cell r="K3999">
            <v>2</v>
          </cell>
        </row>
        <row r="4000">
          <cell r="A4000" t="str">
            <v>M2</v>
          </cell>
          <cell r="B4000" t="str">
            <v>A5C</v>
          </cell>
          <cell r="C4000" t="str">
            <v>P</v>
          </cell>
          <cell r="D4000" t="str">
            <v>23236</v>
          </cell>
          <cell r="E4000" t="str">
            <v>WN FLG</v>
          </cell>
          <cell r="F4000">
            <v>3</v>
          </cell>
          <cell r="G4000" t="str">
            <v>CB200108000200</v>
          </cell>
          <cell r="H4000">
            <v>2</v>
          </cell>
          <cell r="I4000" t="str">
            <v>--</v>
          </cell>
          <cell r="J4000">
            <v>2</v>
          </cell>
          <cell r="K4000">
            <v>3</v>
          </cell>
        </row>
        <row r="4001">
          <cell r="A4001" t="str">
            <v>M2</v>
          </cell>
          <cell r="B4001" t="str">
            <v>A5C</v>
          </cell>
          <cell r="C4001" t="str">
            <v>TRIM</v>
          </cell>
          <cell r="D4001" t="str">
            <v>V-2301</v>
          </cell>
          <cell r="E4001" t="str">
            <v>WN FLG</v>
          </cell>
          <cell r="F4001">
            <v>3</v>
          </cell>
          <cell r="G4001" t="str">
            <v>CB200108000200</v>
          </cell>
          <cell r="H4001">
            <v>2</v>
          </cell>
          <cell r="I4001" t="str">
            <v>--</v>
          </cell>
          <cell r="J4001">
            <v>2</v>
          </cell>
          <cell r="K4001">
            <v>3</v>
          </cell>
        </row>
        <row r="4002">
          <cell r="A4002" t="str">
            <v>M2</v>
          </cell>
          <cell r="B4002" t="str">
            <v>A5C</v>
          </cell>
          <cell r="C4002" t="str">
            <v>TRIM</v>
          </cell>
          <cell r="D4002" t="str">
            <v>V-2319</v>
          </cell>
          <cell r="E4002" t="str">
            <v>WN FLG</v>
          </cell>
          <cell r="F4002">
            <v>3</v>
          </cell>
          <cell r="G4002" t="str">
            <v>CB200108000200</v>
          </cell>
          <cell r="H4002">
            <v>2</v>
          </cell>
          <cell r="I4002" t="str">
            <v>--</v>
          </cell>
          <cell r="J4002">
            <v>2</v>
          </cell>
          <cell r="K4002">
            <v>3</v>
          </cell>
        </row>
        <row r="4003">
          <cell r="A4003" t="str">
            <v>M2</v>
          </cell>
          <cell r="B4003" t="str">
            <v>A5C</v>
          </cell>
          <cell r="C4003" t="str">
            <v>P</v>
          </cell>
          <cell r="D4003" t="str">
            <v>23263</v>
          </cell>
          <cell r="E4003" t="str">
            <v>WN FLG</v>
          </cell>
          <cell r="F4003">
            <v>3</v>
          </cell>
          <cell r="G4003" t="str">
            <v>CB200108000200</v>
          </cell>
          <cell r="H4003">
            <v>2</v>
          </cell>
          <cell r="I4003" t="str">
            <v>--</v>
          </cell>
          <cell r="J4003">
            <v>1</v>
          </cell>
          <cell r="K4003">
            <v>2</v>
          </cell>
        </row>
        <row r="4004">
          <cell r="A4004" t="str">
            <v>M2</v>
          </cell>
          <cell r="B4004" t="str">
            <v>A5C</v>
          </cell>
          <cell r="C4004" t="str">
            <v>P</v>
          </cell>
          <cell r="D4004" t="str">
            <v>23264</v>
          </cell>
          <cell r="E4004" t="str">
            <v>WN FLG</v>
          </cell>
          <cell r="F4004">
            <v>3</v>
          </cell>
          <cell r="G4004" t="str">
            <v>CB200108000200</v>
          </cell>
          <cell r="H4004">
            <v>2</v>
          </cell>
          <cell r="I4004" t="str">
            <v>--</v>
          </cell>
          <cell r="J4004">
            <v>4</v>
          </cell>
          <cell r="K4004">
            <v>5</v>
          </cell>
        </row>
        <row r="4005">
          <cell r="A4005" t="str">
            <v>M2</v>
          </cell>
          <cell r="B4005" t="str">
            <v>A5C</v>
          </cell>
          <cell r="C4005" t="str">
            <v>P</v>
          </cell>
          <cell r="D4005" t="str">
            <v>24009</v>
          </cell>
          <cell r="E4005" t="str">
            <v>WN FLG</v>
          </cell>
          <cell r="F4005">
            <v>3</v>
          </cell>
          <cell r="G4005" t="str">
            <v>CB200108000200</v>
          </cell>
          <cell r="H4005">
            <v>2</v>
          </cell>
          <cell r="I4005" t="str">
            <v>--</v>
          </cell>
          <cell r="J4005">
            <v>4</v>
          </cell>
          <cell r="K4005">
            <v>5</v>
          </cell>
        </row>
        <row r="4006">
          <cell r="A4006" t="str">
            <v>M2</v>
          </cell>
          <cell r="B4006" t="str">
            <v>A5C</v>
          </cell>
          <cell r="C4006" t="str">
            <v>TRIM</v>
          </cell>
          <cell r="D4006" t="str">
            <v>V-2352</v>
          </cell>
          <cell r="E4006" t="str">
            <v>WN FLG</v>
          </cell>
          <cell r="F4006">
            <v>3</v>
          </cell>
          <cell r="G4006" t="str">
            <v>CB200108000200</v>
          </cell>
          <cell r="H4006">
            <v>2</v>
          </cell>
          <cell r="I4006" t="str">
            <v>--</v>
          </cell>
          <cell r="J4006">
            <v>2</v>
          </cell>
          <cell r="K4006">
            <v>3</v>
          </cell>
        </row>
        <row r="4007">
          <cell r="A4007" t="str">
            <v>M2</v>
          </cell>
          <cell r="B4007" t="str">
            <v>A5C</v>
          </cell>
          <cell r="C4007" t="str">
            <v>P</v>
          </cell>
          <cell r="D4007" t="str">
            <v>23017</v>
          </cell>
          <cell r="E4007" t="str">
            <v>WN FLG</v>
          </cell>
          <cell r="F4007">
            <v>3</v>
          </cell>
          <cell r="G4007" t="str">
            <v>CB200108000200</v>
          </cell>
          <cell r="H4007">
            <v>2</v>
          </cell>
          <cell r="I4007" t="str">
            <v>--</v>
          </cell>
          <cell r="J4007">
            <v>2</v>
          </cell>
          <cell r="K4007">
            <v>3</v>
          </cell>
        </row>
        <row r="4008">
          <cell r="A4008" t="str">
            <v>M2</v>
          </cell>
          <cell r="B4008" t="str">
            <v>A5C</v>
          </cell>
          <cell r="C4008" t="str">
            <v>P</v>
          </cell>
          <cell r="D4008" t="str">
            <v>23019</v>
          </cell>
          <cell r="E4008" t="str">
            <v>WN FLG</v>
          </cell>
          <cell r="F4008">
            <v>3</v>
          </cell>
          <cell r="G4008" t="str">
            <v>CB200108000200</v>
          </cell>
          <cell r="H4008">
            <v>2</v>
          </cell>
          <cell r="I4008" t="str">
            <v>--</v>
          </cell>
          <cell r="J4008">
            <v>8</v>
          </cell>
          <cell r="K4008">
            <v>9</v>
          </cell>
        </row>
        <row r="4009">
          <cell r="A4009" t="str">
            <v>M2</v>
          </cell>
          <cell r="B4009" t="str">
            <v>A5C</v>
          </cell>
          <cell r="C4009" t="str">
            <v>P</v>
          </cell>
          <cell r="D4009" t="str">
            <v>23020</v>
          </cell>
          <cell r="E4009" t="str">
            <v>WN FLG</v>
          </cell>
          <cell r="F4009">
            <v>3</v>
          </cell>
          <cell r="G4009" t="str">
            <v>CB200108000200</v>
          </cell>
          <cell r="H4009">
            <v>2</v>
          </cell>
          <cell r="I4009" t="str">
            <v>--</v>
          </cell>
          <cell r="J4009">
            <v>5</v>
          </cell>
          <cell r="K4009">
            <v>6</v>
          </cell>
        </row>
        <row r="4010">
          <cell r="A4010" t="str">
            <v>M2</v>
          </cell>
          <cell r="B4010" t="str">
            <v>A5C</v>
          </cell>
          <cell r="C4010" t="str">
            <v>P</v>
          </cell>
          <cell r="D4010" t="str">
            <v>23036</v>
          </cell>
          <cell r="E4010" t="str">
            <v>WN FLG</v>
          </cell>
          <cell r="F4010">
            <v>3</v>
          </cell>
          <cell r="G4010" t="str">
            <v>CB200108000200</v>
          </cell>
          <cell r="H4010">
            <v>2</v>
          </cell>
          <cell r="I4010" t="str">
            <v>--</v>
          </cell>
          <cell r="J4010">
            <v>5</v>
          </cell>
          <cell r="K4010">
            <v>6</v>
          </cell>
        </row>
        <row r="4011">
          <cell r="A4011" t="str">
            <v>M2</v>
          </cell>
          <cell r="B4011" t="str">
            <v>A5C</v>
          </cell>
          <cell r="C4011" t="str">
            <v>P</v>
          </cell>
          <cell r="D4011" t="str">
            <v>23054</v>
          </cell>
          <cell r="E4011" t="str">
            <v>WN FLG</v>
          </cell>
          <cell r="F4011">
            <v>3</v>
          </cell>
          <cell r="G4011" t="str">
            <v>CB200108000200</v>
          </cell>
          <cell r="H4011">
            <v>2</v>
          </cell>
          <cell r="I4011" t="str">
            <v>--</v>
          </cell>
          <cell r="J4011">
            <v>5</v>
          </cell>
          <cell r="K4011">
            <v>6</v>
          </cell>
        </row>
        <row r="4012">
          <cell r="A4012" t="str">
            <v>M2</v>
          </cell>
          <cell r="B4012" t="str">
            <v>A5C</v>
          </cell>
          <cell r="C4012" t="str">
            <v>P</v>
          </cell>
          <cell r="D4012" t="str">
            <v>23051</v>
          </cell>
          <cell r="E4012" t="str">
            <v>WN FLG</v>
          </cell>
          <cell r="F4012">
            <v>3</v>
          </cell>
          <cell r="G4012" t="str">
            <v>CB200108000200</v>
          </cell>
          <cell r="H4012">
            <v>2</v>
          </cell>
          <cell r="I4012" t="str">
            <v>--</v>
          </cell>
          <cell r="J4012">
            <v>2</v>
          </cell>
          <cell r="K4012">
            <v>3</v>
          </cell>
        </row>
        <row r="4013">
          <cell r="A4013" t="str">
            <v>M2</v>
          </cell>
          <cell r="B4013" t="str">
            <v>A5C</v>
          </cell>
          <cell r="C4013" t="str">
            <v>P</v>
          </cell>
          <cell r="D4013" t="str">
            <v>23064</v>
          </cell>
          <cell r="E4013" t="str">
            <v>WN FLG</v>
          </cell>
          <cell r="F4013">
            <v>3</v>
          </cell>
          <cell r="G4013" t="str">
            <v>CB200108000200</v>
          </cell>
          <cell r="H4013">
            <v>2</v>
          </cell>
          <cell r="I4013" t="str">
            <v>--</v>
          </cell>
          <cell r="J4013">
            <v>2</v>
          </cell>
          <cell r="K4013">
            <v>3</v>
          </cell>
        </row>
        <row r="4014">
          <cell r="A4014" t="str">
            <v>M2</v>
          </cell>
          <cell r="B4014" t="str">
            <v>A5C</v>
          </cell>
          <cell r="C4014" t="str">
            <v>P</v>
          </cell>
          <cell r="D4014" t="str">
            <v>23064</v>
          </cell>
          <cell r="E4014" t="str">
            <v>WN FLG</v>
          </cell>
          <cell r="F4014">
            <v>3</v>
          </cell>
          <cell r="G4014" t="str">
            <v>CB200208000200</v>
          </cell>
          <cell r="H4014">
            <v>2</v>
          </cell>
          <cell r="I4014" t="str">
            <v>--</v>
          </cell>
          <cell r="J4014">
            <v>2</v>
          </cell>
          <cell r="K4014">
            <v>3</v>
          </cell>
        </row>
        <row r="4015">
          <cell r="A4015" t="str">
            <v>M2</v>
          </cell>
          <cell r="B4015" t="str">
            <v>A5C</v>
          </cell>
          <cell r="C4015" t="str">
            <v>P</v>
          </cell>
          <cell r="D4015" t="str">
            <v>23092</v>
          </cell>
          <cell r="E4015" t="str">
            <v>WN FLG</v>
          </cell>
          <cell r="F4015">
            <v>3</v>
          </cell>
          <cell r="G4015" t="str">
            <v>CB200108000200</v>
          </cell>
          <cell r="H4015">
            <v>2</v>
          </cell>
          <cell r="I4015" t="str">
            <v>--</v>
          </cell>
          <cell r="J4015">
            <v>2</v>
          </cell>
          <cell r="K4015">
            <v>3</v>
          </cell>
        </row>
        <row r="4016">
          <cell r="A4016" t="str">
            <v>M2</v>
          </cell>
          <cell r="B4016" t="str">
            <v>A5C</v>
          </cell>
          <cell r="C4016" t="str">
            <v>P</v>
          </cell>
          <cell r="D4016" t="str">
            <v>23092</v>
          </cell>
          <cell r="E4016" t="str">
            <v>WN FLG</v>
          </cell>
          <cell r="F4016">
            <v>3</v>
          </cell>
          <cell r="G4016" t="str">
            <v>CB200108000200</v>
          </cell>
          <cell r="H4016">
            <v>2</v>
          </cell>
          <cell r="I4016" t="str">
            <v>--</v>
          </cell>
          <cell r="J4016">
            <v>3</v>
          </cell>
          <cell r="K4016">
            <v>4</v>
          </cell>
        </row>
        <row r="4017">
          <cell r="A4017" t="str">
            <v>M2</v>
          </cell>
          <cell r="B4017" t="str">
            <v>A5C</v>
          </cell>
          <cell r="C4017" t="str">
            <v>P</v>
          </cell>
          <cell r="D4017" t="str">
            <v>23224</v>
          </cell>
          <cell r="E4017" t="str">
            <v>WN FLG</v>
          </cell>
          <cell r="F4017">
            <v>3</v>
          </cell>
          <cell r="G4017" t="str">
            <v>CB200108000200</v>
          </cell>
          <cell r="H4017">
            <v>2</v>
          </cell>
          <cell r="I4017" t="str">
            <v>--</v>
          </cell>
          <cell r="J4017">
            <v>9</v>
          </cell>
          <cell r="K4017">
            <v>10</v>
          </cell>
        </row>
        <row r="4018">
          <cell r="A4018" t="str">
            <v>M2</v>
          </cell>
          <cell r="B4018" t="str">
            <v>A5C</v>
          </cell>
          <cell r="C4018" t="str">
            <v>TRIM</v>
          </cell>
          <cell r="D4018" t="str">
            <v>C-2303</v>
          </cell>
          <cell r="E4018" t="str">
            <v>WN FLG</v>
          </cell>
          <cell r="F4018">
            <v>3</v>
          </cell>
          <cell r="G4018" t="str">
            <v>CB200108000200</v>
          </cell>
          <cell r="H4018">
            <v>2</v>
          </cell>
          <cell r="I4018" t="str">
            <v>--</v>
          </cell>
          <cell r="J4018">
            <v>2</v>
          </cell>
          <cell r="K4018">
            <v>3</v>
          </cell>
        </row>
        <row r="4019">
          <cell r="A4019" t="str">
            <v>M2</v>
          </cell>
          <cell r="B4019" t="str">
            <v>A5C</v>
          </cell>
          <cell r="C4019" t="str">
            <v>TRIM</v>
          </cell>
          <cell r="D4019" t="str">
            <v>C-2304</v>
          </cell>
          <cell r="E4019" t="str">
            <v>WN FLG</v>
          </cell>
          <cell r="F4019">
            <v>3</v>
          </cell>
          <cell r="G4019" t="str">
            <v>CB200108000200</v>
          </cell>
          <cell r="H4019">
            <v>2</v>
          </cell>
          <cell r="I4019" t="str">
            <v>--</v>
          </cell>
          <cell r="J4019">
            <v>2</v>
          </cell>
          <cell r="K4019">
            <v>3</v>
          </cell>
        </row>
        <row r="4020">
          <cell r="A4020" t="str">
            <v>M2</v>
          </cell>
          <cell r="B4020" t="str">
            <v>A5C</v>
          </cell>
          <cell r="C4020" t="str">
            <v>TRIM</v>
          </cell>
          <cell r="D4020" t="str">
            <v>C-2305</v>
          </cell>
          <cell r="E4020" t="str">
            <v>WN FLG</v>
          </cell>
          <cell r="F4020">
            <v>3</v>
          </cell>
          <cell r="G4020" t="str">
            <v>CB200108000200</v>
          </cell>
          <cell r="H4020">
            <v>2</v>
          </cell>
          <cell r="I4020" t="str">
            <v>--</v>
          </cell>
          <cell r="J4020">
            <v>2</v>
          </cell>
          <cell r="K4020">
            <v>3</v>
          </cell>
        </row>
        <row r="4021">
          <cell r="A4021" t="str">
            <v>M2</v>
          </cell>
          <cell r="B4021" t="str">
            <v>A5C</v>
          </cell>
          <cell r="C4021" t="str">
            <v>TRIM</v>
          </cell>
          <cell r="D4021" t="str">
            <v>C-2306</v>
          </cell>
          <cell r="E4021" t="str">
            <v>WN FLG</v>
          </cell>
          <cell r="F4021">
            <v>3</v>
          </cell>
          <cell r="G4021" t="str">
            <v>CB200108000200</v>
          </cell>
          <cell r="H4021">
            <v>2</v>
          </cell>
          <cell r="I4021" t="str">
            <v>--</v>
          </cell>
          <cell r="J4021">
            <v>2</v>
          </cell>
          <cell r="K4021">
            <v>3</v>
          </cell>
        </row>
        <row r="4022">
          <cell r="A4022" t="str">
            <v>M2</v>
          </cell>
          <cell r="B4022" t="str">
            <v>A5C</v>
          </cell>
          <cell r="C4022" t="str">
            <v>TRIM</v>
          </cell>
          <cell r="D4022" t="str">
            <v>V-2302</v>
          </cell>
          <cell r="E4022" t="str">
            <v>WN FLG</v>
          </cell>
          <cell r="F4022">
            <v>3</v>
          </cell>
          <cell r="G4022" t="str">
            <v>CB200108000200</v>
          </cell>
          <cell r="H4022">
            <v>2</v>
          </cell>
          <cell r="I4022" t="str">
            <v>--</v>
          </cell>
          <cell r="J4022">
            <v>2</v>
          </cell>
          <cell r="K4022">
            <v>3</v>
          </cell>
        </row>
        <row r="4023">
          <cell r="A4023" t="str">
            <v>M2</v>
          </cell>
          <cell r="B4023" t="str">
            <v>A5C</v>
          </cell>
          <cell r="C4023" t="str">
            <v>TRIM</v>
          </cell>
          <cell r="D4023" t="str">
            <v>V-2306</v>
          </cell>
          <cell r="E4023" t="str">
            <v>WN FLG</v>
          </cell>
          <cell r="F4023">
            <v>3</v>
          </cell>
          <cell r="G4023" t="str">
            <v>CB200108000200</v>
          </cell>
          <cell r="H4023">
            <v>2</v>
          </cell>
          <cell r="I4023" t="str">
            <v>--</v>
          </cell>
          <cell r="J4023">
            <v>2</v>
          </cell>
          <cell r="K4023">
            <v>3</v>
          </cell>
        </row>
        <row r="4024">
          <cell r="A4024" t="str">
            <v>M2</v>
          </cell>
          <cell r="B4024" t="str">
            <v>A5C</v>
          </cell>
          <cell r="C4024" t="str">
            <v>P</v>
          </cell>
          <cell r="D4024" t="str">
            <v>23030</v>
          </cell>
          <cell r="E4024" t="str">
            <v>WN FLG</v>
          </cell>
          <cell r="F4024">
            <v>3</v>
          </cell>
          <cell r="G4024" t="str">
            <v>CB200108000200</v>
          </cell>
          <cell r="H4024">
            <v>2</v>
          </cell>
          <cell r="I4024" t="str">
            <v>--</v>
          </cell>
          <cell r="J4024">
            <v>4</v>
          </cell>
          <cell r="K4024">
            <v>5</v>
          </cell>
        </row>
        <row r="4025">
          <cell r="A4025" t="str">
            <v>M2</v>
          </cell>
          <cell r="B4025" t="str">
            <v>A5C</v>
          </cell>
          <cell r="C4025" t="str">
            <v>P</v>
          </cell>
          <cell r="D4025" t="str">
            <v>23032</v>
          </cell>
          <cell r="E4025" t="str">
            <v>WN FLG</v>
          </cell>
          <cell r="F4025">
            <v>3</v>
          </cell>
          <cell r="G4025" t="str">
            <v>CB200108000200</v>
          </cell>
          <cell r="H4025">
            <v>2</v>
          </cell>
          <cell r="I4025" t="str">
            <v>--</v>
          </cell>
          <cell r="J4025">
            <v>1</v>
          </cell>
          <cell r="K4025">
            <v>2</v>
          </cell>
        </row>
        <row r="4026">
          <cell r="A4026" t="str">
            <v>M2</v>
          </cell>
          <cell r="B4026" t="str">
            <v>A5C</v>
          </cell>
          <cell r="C4026" t="str">
            <v>P</v>
          </cell>
          <cell r="D4026" t="str">
            <v>23053</v>
          </cell>
          <cell r="E4026" t="str">
            <v>WN FLG</v>
          </cell>
          <cell r="F4026">
            <v>3</v>
          </cell>
          <cell r="G4026" t="str">
            <v>CB200108000200</v>
          </cell>
          <cell r="H4026">
            <v>2</v>
          </cell>
          <cell r="I4026" t="str">
            <v>--</v>
          </cell>
          <cell r="J4026">
            <v>8</v>
          </cell>
          <cell r="K4026">
            <v>9</v>
          </cell>
        </row>
        <row r="4027">
          <cell r="A4027" t="str">
            <v>M2</v>
          </cell>
          <cell r="B4027" t="str">
            <v>A5C</v>
          </cell>
          <cell r="C4027" t="str">
            <v>TRIM</v>
          </cell>
          <cell r="D4027" t="str">
            <v>C-2302</v>
          </cell>
          <cell r="E4027" t="str">
            <v>WN FLG</v>
          </cell>
          <cell r="F4027">
            <v>3</v>
          </cell>
          <cell r="G4027" t="str">
            <v>CB200108000200</v>
          </cell>
          <cell r="H4027">
            <v>2</v>
          </cell>
          <cell r="I4027" t="str">
            <v>--</v>
          </cell>
          <cell r="J4027">
            <v>2</v>
          </cell>
          <cell r="K4027">
            <v>3</v>
          </cell>
        </row>
        <row r="4028">
          <cell r="A4028" t="str">
            <v>M2</v>
          </cell>
          <cell r="B4028" t="str">
            <v>A5C</v>
          </cell>
          <cell r="C4028" t="str">
            <v>TRIM</v>
          </cell>
          <cell r="D4028" t="str">
            <v>V-2304</v>
          </cell>
          <cell r="E4028" t="str">
            <v>WN FLG</v>
          </cell>
          <cell r="F4028">
            <v>3</v>
          </cell>
          <cell r="G4028" t="str">
            <v>CB200108000200</v>
          </cell>
          <cell r="H4028">
            <v>2</v>
          </cell>
          <cell r="I4028" t="str">
            <v>--</v>
          </cell>
          <cell r="J4028">
            <v>2</v>
          </cell>
          <cell r="K4028">
            <v>3</v>
          </cell>
        </row>
        <row r="4029">
          <cell r="A4029" t="str">
            <v>M2</v>
          </cell>
          <cell r="B4029" t="str">
            <v>A5C</v>
          </cell>
          <cell r="C4029" t="str">
            <v>TRIM</v>
          </cell>
          <cell r="D4029" t="str">
            <v>V-2308</v>
          </cell>
          <cell r="E4029" t="str">
            <v>WN FLG</v>
          </cell>
          <cell r="F4029">
            <v>3</v>
          </cell>
          <cell r="G4029" t="str">
            <v>CB200108000200</v>
          </cell>
          <cell r="H4029">
            <v>2</v>
          </cell>
          <cell r="I4029" t="str">
            <v>--</v>
          </cell>
          <cell r="J4029">
            <v>2</v>
          </cell>
          <cell r="K4029">
            <v>3</v>
          </cell>
        </row>
        <row r="4030">
          <cell r="A4030" t="str">
            <v>M2</v>
          </cell>
          <cell r="B4030" t="str">
            <v>A5C</v>
          </cell>
          <cell r="C4030" t="str">
            <v>TRIM</v>
          </cell>
          <cell r="D4030" t="str">
            <v>V-2310</v>
          </cell>
          <cell r="E4030" t="str">
            <v>WN FLG</v>
          </cell>
          <cell r="F4030">
            <v>3</v>
          </cell>
          <cell r="G4030" t="str">
            <v>CB200108000200</v>
          </cell>
          <cell r="H4030">
            <v>2</v>
          </cell>
          <cell r="I4030" t="str">
            <v>--</v>
          </cell>
          <cell r="J4030">
            <v>2</v>
          </cell>
          <cell r="K4030">
            <v>3</v>
          </cell>
        </row>
        <row r="4031">
          <cell r="A4031" t="str">
            <v>M2</v>
          </cell>
          <cell r="B4031" t="str">
            <v>A5C</v>
          </cell>
          <cell r="C4031" t="str">
            <v>TRIM</v>
          </cell>
          <cell r="D4031" t="str">
            <v>V-2313</v>
          </cell>
          <cell r="E4031" t="str">
            <v>WN FLG</v>
          </cell>
          <cell r="F4031">
            <v>3</v>
          </cell>
          <cell r="G4031" t="str">
            <v>CB200108000200</v>
          </cell>
          <cell r="H4031">
            <v>2</v>
          </cell>
          <cell r="I4031" t="str">
            <v>--</v>
          </cell>
          <cell r="J4031">
            <v>2</v>
          </cell>
          <cell r="K4031">
            <v>3</v>
          </cell>
        </row>
        <row r="4032">
          <cell r="A4032" t="str">
            <v>M2</v>
          </cell>
          <cell r="B4032" t="str">
            <v>A5C</v>
          </cell>
          <cell r="C4032" t="str">
            <v>TRIM</v>
          </cell>
          <cell r="D4032" t="str">
            <v>V-2325</v>
          </cell>
          <cell r="E4032" t="str">
            <v>WN FLG</v>
          </cell>
          <cell r="F4032">
            <v>3</v>
          </cell>
          <cell r="G4032" t="str">
            <v>CB200108000200</v>
          </cell>
          <cell r="H4032">
            <v>2</v>
          </cell>
          <cell r="I4032" t="str">
            <v>--</v>
          </cell>
          <cell r="J4032">
            <v>2</v>
          </cell>
          <cell r="K4032">
            <v>3</v>
          </cell>
        </row>
        <row r="4033">
          <cell r="A4033" t="str">
            <v>M2</v>
          </cell>
          <cell r="B4033" t="str">
            <v>A5C</v>
          </cell>
          <cell r="C4033" t="str">
            <v>TRIM</v>
          </cell>
          <cell r="D4033" t="str">
            <v>V-2403</v>
          </cell>
          <cell r="E4033" t="str">
            <v>WN FLG</v>
          </cell>
          <cell r="F4033">
            <v>3</v>
          </cell>
          <cell r="G4033" t="str">
            <v>CB200108000200</v>
          </cell>
          <cell r="H4033">
            <v>2</v>
          </cell>
          <cell r="I4033" t="str">
            <v>--</v>
          </cell>
          <cell r="J4033">
            <v>6</v>
          </cell>
          <cell r="K4033">
            <v>7</v>
          </cell>
        </row>
        <row r="4034">
          <cell r="A4034" t="str">
            <v>M2</v>
          </cell>
          <cell r="B4034" t="str">
            <v>A5C</v>
          </cell>
          <cell r="C4034" t="str">
            <v>TRIM</v>
          </cell>
          <cell r="D4034" t="str">
            <v>R-2401</v>
          </cell>
          <cell r="E4034" t="str">
            <v>WN FLG</v>
          </cell>
          <cell r="F4034">
            <v>3</v>
          </cell>
          <cell r="G4034" t="str">
            <v>CB200108000200</v>
          </cell>
          <cell r="H4034">
            <v>2</v>
          </cell>
          <cell r="I4034" t="str">
            <v>--</v>
          </cell>
          <cell r="J4034">
            <v>5</v>
          </cell>
          <cell r="K4034">
            <v>6</v>
          </cell>
        </row>
        <row r="4035">
          <cell r="A4035" t="str">
            <v>M2</v>
          </cell>
          <cell r="B4035" t="str">
            <v>A5C</v>
          </cell>
          <cell r="C4035" t="str">
            <v>TRIM</v>
          </cell>
          <cell r="D4035" t="str">
            <v>V-2401</v>
          </cell>
          <cell r="E4035" t="str">
            <v>WN FLG</v>
          </cell>
          <cell r="F4035">
            <v>3</v>
          </cell>
          <cell r="G4035" t="str">
            <v>CB200108000200</v>
          </cell>
          <cell r="H4035">
            <v>2</v>
          </cell>
          <cell r="I4035" t="str">
            <v>--</v>
          </cell>
          <cell r="J4035">
            <v>6</v>
          </cell>
          <cell r="K4035">
            <v>7</v>
          </cell>
        </row>
        <row r="4036">
          <cell r="A4036" t="str">
            <v>M2</v>
          </cell>
          <cell r="B4036" t="str">
            <v>A5C</v>
          </cell>
          <cell r="C4036" t="str">
            <v>TRIM</v>
          </cell>
          <cell r="D4036" t="str">
            <v>V-2404</v>
          </cell>
          <cell r="E4036" t="str">
            <v>WN FLG</v>
          </cell>
          <cell r="F4036">
            <v>3</v>
          </cell>
          <cell r="G4036" t="str">
            <v>CB200108000200</v>
          </cell>
          <cell r="H4036">
            <v>2</v>
          </cell>
          <cell r="I4036" t="str">
            <v>--</v>
          </cell>
          <cell r="J4036">
            <v>6</v>
          </cell>
          <cell r="K4036">
            <v>7</v>
          </cell>
        </row>
        <row r="4037">
          <cell r="A4037" t="str">
            <v>M2</v>
          </cell>
          <cell r="B4037" t="str">
            <v>A5C</v>
          </cell>
          <cell r="C4037" t="str">
            <v>TRIM</v>
          </cell>
          <cell r="D4037" t="str">
            <v>C-2301</v>
          </cell>
          <cell r="E4037" t="str">
            <v>WN FLG</v>
          </cell>
          <cell r="F4037">
            <v>3</v>
          </cell>
          <cell r="G4037" t="str">
            <v>CB200108000200</v>
          </cell>
          <cell r="H4037">
            <v>2</v>
          </cell>
          <cell r="I4037" t="str">
            <v>--</v>
          </cell>
          <cell r="J4037">
            <v>2</v>
          </cell>
          <cell r="K4037">
            <v>3</v>
          </cell>
        </row>
        <row r="4038">
          <cell r="A4038" t="str">
            <v>M2</v>
          </cell>
          <cell r="B4038" t="str">
            <v>B2C</v>
          </cell>
          <cell r="C4038" t="str">
            <v>SH</v>
          </cell>
          <cell r="D4038" t="str">
            <v>23601</v>
          </cell>
          <cell r="E4038" t="str">
            <v>WN FLG</v>
          </cell>
          <cell r="F4038">
            <v>3</v>
          </cell>
          <cell r="G4038" t="str">
            <v>CB200204000300</v>
          </cell>
          <cell r="H4038">
            <v>3</v>
          </cell>
          <cell r="I4038" t="str">
            <v>--</v>
          </cell>
          <cell r="J4038">
            <v>3</v>
          </cell>
          <cell r="K4038">
            <v>4</v>
          </cell>
        </row>
        <row r="4039">
          <cell r="A4039" t="str">
            <v>M2</v>
          </cell>
          <cell r="B4039" t="str">
            <v>B2C</v>
          </cell>
          <cell r="C4039" t="str">
            <v>SH</v>
          </cell>
          <cell r="D4039" t="str">
            <v>23612</v>
          </cell>
          <cell r="E4039" t="str">
            <v>WN FLG</v>
          </cell>
          <cell r="F4039">
            <v>3</v>
          </cell>
          <cell r="G4039" t="str">
            <v>CB200204000300</v>
          </cell>
          <cell r="H4039">
            <v>3</v>
          </cell>
          <cell r="I4039" t="str">
            <v>--</v>
          </cell>
          <cell r="J4039">
            <v>5</v>
          </cell>
          <cell r="K4039">
            <v>6</v>
          </cell>
        </row>
        <row r="4040">
          <cell r="A4040" t="str">
            <v>M2</v>
          </cell>
          <cell r="B4040" t="str">
            <v>A5C</v>
          </cell>
          <cell r="C4040" t="str">
            <v>P</v>
          </cell>
          <cell r="D4040" t="str">
            <v>23005</v>
          </cell>
          <cell r="E4040" t="str">
            <v>WN FLG</v>
          </cell>
          <cell r="F4040">
            <v>3</v>
          </cell>
          <cell r="G4040" t="str">
            <v>CB200104000300</v>
          </cell>
          <cell r="H4040">
            <v>3</v>
          </cell>
          <cell r="I4040" t="str">
            <v>--</v>
          </cell>
          <cell r="J4040">
            <v>9</v>
          </cell>
          <cell r="K4040">
            <v>10</v>
          </cell>
        </row>
        <row r="4041">
          <cell r="A4041" t="str">
            <v>M2</v>
          </cell>
          <cell r="B4041" t="str">
            <v>A5C</v>
          </cell>
          <cell r="C4041" t="str">
            <v>P</v>
          </cell>
          <cell r="D4041" t="str">
            <v>23012</v>
          </cell>
          <cell r="E4041" t="str">
            <v>WN FLG</v>
          </cell>
          <cell r="F4041">
            <v>3</v>
          </cell>
          <cell r="G4041" t="str">
            <v>CB200104000300</v>
          </cell>
          <cell r="H4041">
            <v>3</v>
          </cell>
          <cell r="I4041" t="str">
            <v>--</v>
          </cell>
          <cell r="J4041">
            <v>2</v>
          </cell>
          <cell r="K4041">
            <v>3</v>
          </cell>
        </row>
        <row r="4042">
          <cell r="A4042" t="str">
            <v>M2</v>
          </cell>
          <cell r="B4042" t="str">
            <v>A5C</v>
          </cell>
          <cell r="C4042" t="str">
            <v>P</v>
          </cell>
          <cell r="D4042" t="str">
            <v>23047</v>
          </cell>
          <cell r="E4042" t="str">
            <v>WN FLG</v>
          </cell>
          <cell r="F4042">
            <v>3</v>
          </cell>
          <cell r="G4042" t="str">
            <v>CB200104000300</v>
          </cell>
          <cell r="H4042">
            <v>3</v>
          </cell>
          <cell r="I4042" t="str">
            <v>--</v>
          </cell>
          <cell r="J4042">
            <v>4</v>
          </cell>
          <cell r="K4042">
            <v>5</v>
          </cell>
        </row>
        <row r="4043">
          <cell r="A4043" t="str">
            <v>M2</v>
          </cell>
          <cell r="B4043" t="str">
            <v>A5C</v>
          </cell>
          <cell r="C4043" t="str">
            <v>P</v>
          </cell>
          <cell r="D4043" t="str">
            <v>23058</v>
          </cell>
          <cell r="E4043" t="str">
            <v>WN FLG</v>
          </cell>
          <cell r="F4043">
            <v>3</v>
          </cell>
          <cell r="G4043" t="str">
            <v>CB200104000300</v>
          </cell>
          <cell r="H4043">
            <v>3</v>
          </cell>
          <cell r="I4043" t="str">
            <v>--</v>
          </cell>
          <cell r="J4043">
            <v>2</v>
          </cell>
          <cell r="K4043">
            <v>3</v>
          </cell>
        </row>
        <row r="4044">
          <cell r="A4044" t="str">
            <v>M2</v>
          </cell>
          <cell r="B4044" t="str">
            <v>A5C</v>
          </cell>
          <cell r="C4044" t="str">
            <v>P</v>
          </cell>
          <cell r="D4044" t="str">
            <v>23106</v>
          </cell>
          <cell r="E4044" t="str">
            <v>WN FLG</v>
          </cell>
          <cell r="F4044">
            <v>3</v>
          </cell>
          <cell r="G4044" t="str">
            <v>CB200104000300</v>
          </cell>
          <cell r="H4044">
            <v>3</v>
          </cell>
          <cell r="I4044" t="str">
            <v>--</v>
          </cell>
          <cell r="J4044">
            <v>1</v>
          </cell>
          <cell r="K4044">
            <v>2</v>
          </cell>
        </row>
        <row r="4045">
          <cell r="A4045" t="str">
            <v>M2</v>
          </cell>
          <cell r="B4045" t="str">
            <v>A5C</v>
          </cell>
          <cell r="C4045" t="str">
            <v>P</v>
          </cell>
          <cell r="D4045" t="str">
            <v>23106</v>
          </cell>
          <cell r="E4045" t="str">
            <v>WN FLG</v>
          </cell>
          <cell r="F4045">
            <v>3</v>
          </cell>
          <cell r="G4045" t="str">
            <v>CB200104000300</v>
          </cell>
          <cell r="H4045">
            <v>3</v>
          </cell>
          <cell r="I4045" t="str">
            <v>--</v>
          </cell>
          <cell r="J4045">
            <v>4</v>
          </cell>
          <cell r="K4045">
            <v>5</v>
          </cell>
        </row>
        <row r="4046">
          <cell r="A4046" t="str">
            <v>M2</v>
          </cell>
          <cell r="B4046" t="str">
            <v>A5C</v>
          </cell>
          <cell r="C4046" t="str">
            <v>P</v>
          </cell>
          <cell r="D4046" t="str">
            <v>23110</v>
          </cell>
          <cell r="E4046" t="str">
            <v>WN FLG</v>
          </cell>
          <cell r="F4046">
            <v>3</v>
          </cell>
          <cell r="G4046" t="str">
            <v>CB200104000300</v>
          </cell>
          <cell r="H4046">
            <v>3</v>
          </cell>
          <cell r="I4046" t="str">
            <v>--</v>
          </cell>
          <cell r="J4046">
            <v>2</v>
          </cell>
          <cell r="K4046">
            <v>3</v>
          </cell>
        </row>
        <row r="4047">
          <cell r="A4047" t="str">
            <v>M2</v>
          </cell>
          <cell r="B4047" t="str">
            <v>A5C</v>
          </cell>
          <cell r="C4047" t="str">
            <v>P</v>
          </cell>
          <cell r="D4047" t="str">
            <v>23114</v>
          </cell>
          <cell r="E4047" t="str">
            <v>WN FLG</v>
          </cell>
          <cell r="F4047">
            <v>3</v>
          </cell>
          <cell r="G4047" t="str">
            <v>CB200104000300</v>
          </cell>
          <cell r="H4047">
            <v>3</v>
          </cell>
          <cell r="I4047" t="str">
            <v>--</v>
          </cell>
          <cell r="J4047">
            <v>2</v>
          </cell>
          <cell r="K4047">
            <v>3</v>
          </cell>
        </row>
        <row r="4048">
          <cell r="A4048" t="str">
            <v>M2</v>
          </cell>
          <cell r="B4048" t="str">
            <v>A5C</v>
          </cell>
          <cell r="C4048" t="str">
            <v>P</v>
          </cell>
          <cell r="D4048" t="str">
            <v>23121</v>
          </cell>
          <cell r="E4048" t="str">
            <v>WN FLG</v>
          </cell>
          <cell r="F4048">
            <v>3</v>
          </cell>
          <cell r="G4048" t="str">
            <v>CB200104000300</v>
          </cell>
          <cell r="H4048">
            <v>3</v>
          </cell>
          <cell r="I4048" t="str">
            <v>--</v>
          </cell>
          <cell r="J4048">
            <v>2</v>
          </cell>
          <cell r="K4048">
            <v>3</v>
          </cell>
        </row>
        <row r="4049">
          <cell r="A4049" t="str">
            <v>M2</v>
          </cell>
          <cell r="B4049" t="str">
            <v>A5C</v>
          </cell>
          <cell r="C4049" t="str">
            <v>P</v>
          </cell>
          <cell r="D4049" t="str">
            <v>23124</v>
          </cell>
          <cell r="E4049" t="str">
            <v>WN FLG</v>
          </cell>
          <cell r="F4049">
            <v>3</v>
          </cell>
          <cell r="G4049" t="str">
            <v>CB200204000300</v>
          </cell>
          <cell r="H4049">
            <v>3</v>
          </cell>
          <cell r="I4049" t="str">
            <v>--</v>
          </cell>
          <cell r="J4049">
            <v>2</v>
          </cell>
          <cell r="K4049">
            <v>3</v>
          </cell>
        </row>
        <row r="4050">
          <cell r="A4050" t="str">
            <v>M2</v>
          </cell>
          <cell r="B4050" t="str">
            <v>A5C</v>
          </cell>
          <cell r="C4050" t="str">
            <v>P</v>
          </cell>
          <cell r="D4050" t="str">
            <v>23124</v>
          </cell>
          <cell r="E4050" t="str">
            <v>WN FLG</v>
          </cell>
          <cell r="F4050">
            <v>3</v>
          </cell>
          <cell r="G4050" t="str">
            <v>CB200104000300</v>
          </cell>
          <cell r="H4050">
            <v>3</v>
          </cell>
          <cell r="I4050" t="str">
            <v>--</v>
          </cell>
          <cell r="J4050">
            <v>9</v>
          </cell>
          <cell r="K4050">
            <v>10</v>
          </cell>
        </row>
        <row r="4051">
          <cell r="A4051" t="str">
            <v>M2</v>
          </cell>
          <cell r="B4051" t="str">
            <v>A5C</v>
          </cell>
          <cell r="C4051" t="str">
            <v>P</v>
          </cell>
          <cell r="D4051" t="str">
            <v>23123</v>
          </cell>
          <cell r="E4051" t="str">
            <v>WN FLG</v>
          </cell>
          <cell r="F4051">
            <v>3</v>
          </cell>
          <cell r="G4051" t="str">
            <v>CB200104000300</v>
          </cell>
          <cell r="H4051">
            <v>3</v>
          </cell>
          <cell r="I4051" t="str">
            <v>--</v>
          </cell>
          <cell r="J4051">
            <v>2</v>
          </cell>
          <cell r="K4051">
            <v>3</v>
          </cell>
        </row>
        <row r="4052">
          <cell r="A4052" t="str">
            <v>M2</v>
          </cell>
          <cell r="B4052" t="str">
            <v>A5C</v>
          </cell>
          <cell r="C4052" t="str">
            <v>P</v>
          </cell>
          <cell r="D4052" t="str">
            <v>23127</v>
          </cell>
          <cell r="E4052" t="str">
            <v>WN FLG</v>
          </cell>
          <cell r="F4052">
            <v>3</v>
          </cell>
          <cell r="G4052" t="str">
            <v>CB200104000300</v>
          </cell>
          <cell r="H4052">
            <v>3</v>
          </cell>
          <cell r="I4052" t="str">
            <v>--</v>
          </cell>
          <cell r="J4052">
            <v>2</v>
          </cell>
          <cell r="K4052">
            <v>3</v>
          </cell>
        </row>
        <row r="4053">
          <cell r="A4053" t="str">
            <v>M2</v>
          </cell>
          <cell r="B4053" t="str">
            <v>A5C</v>
          </cell>
          <cell r="C4053" t="str">
            <v>P</v>
          </cell>
          <cell r="D4053" t="str">
            <v>23134</v>
          </cell>
          <cell r="E4053" t="str">
            <v>WN FLG</v>
          </cell>
          <cell r="F4053">
            <v>3</v>
          </cell>
          <cell r="G4053" t="str">
            <v>CB200104000300</v>
          </cell>
          <cell r="H4053">
            <v>3</v>
          </cell>
          <cell r="I4053" t="str">
            <v>--</v>
          </cell>
          <cell r="J4053">
            <v>2</v>
          </cell>
          <cell r="K4053">
            <v>3</v>
          </cell>
        </row>
        <row r="4054">
          <cell r="A4054" t="str">
            <v>M2</v>
          </cell>
          <cell r="B4054" t="str">
            <v>A5C</v>
          </cell>
          <cell r="C4054" t="str">
            <v>P</v>
          </cell>
          <cell r="D4054" t="str">
            <v>23142</v>
          </cell>
          <cell r="E4054" t="str">
            <v>WN FLG</v>
          </cell>
          <cell r="F4054">
            <v>3</v>
          </cell>
          <cell r="G4054" t="str">
            <v>CB200104000300</v>
          </cell>
          <cell r="H4054">
            <v>3</v>
          </cell>
          <cell r="I4054" t="str">
            <v>--</v>
          </cell>
          <cell r="J4054">
            <v>9</v>
          </cell>
          <cell r="K4054">
            <v>10</v>
          </cell>
        </row>
        <row r="4055">
          <cell r="A4055" t="str">
            <v>M2</v>
          </cell>
          <cell r="B4055" t="str">
            <v>A5C</v>
          </cell>
          <cell r="C4055" t="str">
            <v>P</v>
          </cell>
          <cell r="D4055" t="str">
            <v>23174</v>
          </cell>
          <cell r="E4055" t="str">
            <v>WN FLG</v>
          </cell>
          <cell r="F4055">
            <v>3</v>
          </cell>
          <cell r="G4055" t="str">
            <v>CB200204000300</v>
          </cell>
          <cell r="H4055">
            <v>3</v>
          </cell>
          <cell r="I4055" t="str">
            <v>--</v>
          </cell>
          <cell r="J4055">
            <v>2</v>
          </cell>
          <cell r="K4055">
            <v>3</v>
          </cell>
        </row>
        <row r="4056">
          <cell r="A4056" t="str">
            <v>M2</v>
          </cell>
          <cell r="B4056" t="str">
            <v>A5C</v>
          </cell>
          <cell r="C4056" t="str">
            <v>P</v>
          </cell>
          <cell r="D4056" t="str">
            <v>23174</v>
          </cell>
          <cell r="E4056" t="str">
            <v>WN FLG</v>
          </cell>
          <cell r="F4056">
            <v>3</v>
          </cell>
          <cell r="G4056" t="str">
            <v>CB200104000300</v>
          </cell>
          <cell r="H4056">
            <v>3</v>
          </cell>
          <cell r="I4056" t="str">
            <v>--</v>
          </cell>
          <cell r="J4056">
            <v>2</v>
          </cell>
          <cell r="K4056">
            <v>3</v>
          </cell>
        </row>
        <row r="4057">
          <cell r="A4057" t="str">
            <v>M2</v>
          </cell>
          <cell r="B4057" t="str">
            <v>A5C</v>
          </cell>
          <cell r="C4057" t="str">
            <v>P</v>
          </cell>
          <cell r="D4057" t="str">
            <v>23232</v>
          </cell>
          <cell r="E4057" t="str">
            <v>WN FLG</v>
          </cell>
          <cell r="F4057">
            <v>3</v>
          </cell>
          <cell r="G4057" t="str">
            <v>CB200104000300</v>
          </cell>
          <cell r="H4057">
            <v>3</v>
          </cell>
          <cell r="I4057" t="str">
            <v>--</v>
          </cell>
          <cell r="J4057">
            <v>9</v>
          </cell>
          <cell r="K4057">
            <v>10</v>
          </cell>
        </row>
        <row r="4058">
          <cell r="A4058" t="str">
            <v>M2</v>
          </cell>
          <cell r="B4058" t="str">
            <v>A5C</v>
          </cell>
          <cell r="C4058" t="str">
            <v>P</v>
          </cell>
          <cell r="D4058" t="str">
            <v>23240</v>
          </cell>
          <cell r="E4058" t="str">
            <v>WN FLG</v>
          </cell>
          <cell r="F4058">
            <v>3</v>
          </cell>
          <cell r="G4058" t="str">
            <v>CB200104000300</v>
          </cell>
          <cell r="H4058">
            <v>3</v>
          </cell>
          <cell r="I4058" t="str">
            <v>--</v>
          </cell>
          <cell r="J4058">
            <v>8</v>
          </cell>
          <cell r="K4058">
            <v>9</v>
          </cell>
        </row>
        <row r="4059">
          <cell r="A4059" t="str">
            <v>M2</v>
          </cell>
          <cell r="B4059" t="str">
            <v>A5C</v>
          </cell>
          <cell r="C4059" t="str">
            <v>P</v>
          </cell>
          <cell r="D4059" t="str">
            <v>23236</v>
          </cell>
          <cell r="E4059" t="str">
            <v>WN FLG</v>
          </cell>
          <cell r="F4059">
            <v>3</v>
          </cell>
          <cell r="G4059" t="str">
            <v>CB200104000300</v>
          </cell>
          <cell r="H4059">
            <v>3</v>
          </cell>
          <cell r="I4059" t="str">
            <v>--</v>
          </cell>
          <cell r="J4059">
            <v>1</v>
          </cell>
          <cell r="K4059">
            <v>2</v>
          </cell>
        </row>
        <row r="4060">
          <cell r="A4060" t="str">
            <v>M2</v>
          </cell>
          <cell r="B4060" t="str">
            <v>A5C</v>
          </cell>
          <cell r="C4060" t="str">
            <v>P</v>
          </cell>
          <cell r="D4060" t="str">
            <v>23236</v>
          </cell>
          <cell r="E4060" t="str">
            <v>WN FLG</v>
          </cell>
          <cell r="F4060">
            <v>3</v>
          </cell>
          <cell r="G4060" t="str">
            <v>CB200104000300</v>
          </cell>
          <cell r="H4060">
            <v>3</v>
          </cell>
          <cell r="I4060" t="str">
            <v>--</v>
          </cell>
          <cell r="J4060">
            <v>8</v>
          </cell>
          <cell r="K4060">
            <v>9</v>
          </cell>
        </row>
        <row r="4061">
          <cell r="A4061" t="str">
            <v>M2</v>
          </cell>
          <cell r="B4061" t="str">
            <v>A5C</v>
          </cell>
          <cell r="C4061" t="str">
            <v>P</v>
          </cell>
          <cell r="D4061" t="str">
            <v>23256</v>
          </cell>
          <cell r="E4061" t="str">
            <v>WN FLG</v>
          </cell>
          <cell r="F4061">
            <v>3</v>
          </cell>
          <cell r="G4061" t="str">
            <v>CB200104000300</v>
          </cell>
          <cell r="H4061">
            <v>3</v>
          </cell>
          <cell r="I4061" t="str">
            <v>--</v>
          </cell>
          <cell r="J4061">
            <v>2</v>
          </cell>
          <cell r="K4061">
            <v>3</v>
          </cell>
        </row>
        <row r="4062">
          <cell r="A4062" t="str">
            <v>M2</v>
          </cell>
          <cell r="B4062" t="str">
            <v>A5C</v>
          </cell>
          <cell r="C4062" t="str">
            <v>P</v>
          </cell>
          <cell r="D4062" t="str">
            <v>23257</v>
          </cell>
          <cell r="E4062" t="str">
            <v>WN FLG</v>
          </cell>
          <cell r="F4062">
            <v>3</v>
          </cell>
          <cell r="G4062" t="str">
            <v>CB200104000300</v>
          </cell>
          <cell r="H4062">
            <v>3</v>
          </cell>
          <cell r="I4062" t="str">
            <v>--</v>
          </cell>
          <cell r="J4062">
            <v>2</v>
          </cell>
          <cell r="K4062">
            <v>3</v>
          </cell>
        </row>
        <row r="4063">
          <cell r="A4063" t="str">
            <v>M2</v>
          </cell>
          <cell r="B4063" t="str">
            <v>A5C</v>
          </cell>
          <cell r="C4063" t="str">
            <v>P</v>
          </cell>
          <cell r="D4063" t="str">
            <v>23258</v>
          </cell>
          <cell r="E4063" t="str">
            <v>WN FLG</v>
          </cell>
          <cell r="F4063">
            <v>3</v>
          </cell>
          <cell r="G4063" t="str">
            <v>CB200104000300</v>
          </cell>
          <cell r="H4063">
            <v>3</v>
          </cell>
          <cell r="I4063" t="str">
            <v>--</v>
          </cell>
          <cell r="J4063">
            <v>2</v>
          </cell>
          <cell r="K4063">
            <v>3</v>
          </cell>
        </row>
        <row r="4064">
          <cell r="A4064" t="str">
            <v>M2</v>
          </cell>
          <cell r="B4064" t="str">
            <v>A5C</v>
          </cell>
          <cell r="C4064" t="str">
            <v>P</v>
          </cell>
          <cell r="D4064" t="str">
            <v>23254</v>
          </cell>
          <cell r="E4064" t="str">
            <v>WN FLG</v>
          </cell>
          <cell r="F4064">
            <v>3</v>
          </cell>
          <cell r="G4064" t="str">
            <v>CB200104000300</v>
          </cell>
          <cell r="H4064">
            <v>3</v>
          </cell>
          <cell r="I4064" t="str">
            <v>--</v>
          </cell>
          <cell r="J4064">
            <v>9</v>
          </cell>
          <cell r="K4064">
            <v>10</v>
          </cell>
        </row>
        <row r="4065">
          <cell r="A4065" t="str">
            <v>M2</v>
          </cell>
          <cell r="B4065" t="str">
            <v>A5C</v>
          </cell>
          <cell r="C4065" t="str">
            <v>P</v>
          </cell>
          <cell r="D4065" t="str">
            <v>23082</v>
          </cell>
          <cell r="E4065" t="str">
            <v>WN FLG</v>
          </cell>
          <cell r="F4065">
            <v>3</v>
          </cell>
          <cell r="G4065" t="str">
            <v>CB200104000300</v>
          </cell>
          <cell r="H4065">
            <v>3</v>
          </cell>
          <cell r="I4065" t="str">
            <v>--</v>
          </cell>
          <cell r="J4065">
            <v>9</v>
          </cell>
          <cell r="K4065">
            <v>10</v>
          </cell>
        </row>
        <row r="4066">
          <cell r="A4066" t="str">
            <v>M2</v>
          </cell>
          <cell r="B4066" t="str">
            <v>A5C</v>
          </cell>
          <cell r="C4066" t="str">
            <v>P</v>
          </cell>
          <cell r="D4066" t="str">
            <v>23146</v>
          </cell>
          <cell r="E4066" t="str">
            <v>WN FLG</v>
          </cell>
          <cell r="F4066">
            <v>3</v>
          </cell>
          <cell r="G4066" t="str">
            <v>CB200104000300</v>
          </cell>
          <cell r="H4066">
            <v>3</v>
          </cell>
          <cell r="I4066" t="str">
            <v>--</v>
          </cell>
          <cell r="J4066">
            <v>2</v>
          </cell>
          <cell r="K4066">
            <v>3</v>
          </cell>
        </row>
        <row r="4067">
          <cell r="A4067" t="str">
            <v>M2</v>
          </cell>
          <cell r="B4067" t="str">
            <v>A5C</v>
          </cell>
          <cell r="C4067" t="str">
            <v>P</v>
          </cell>
          <cell r="D4067" t="str">
            <v>23240</v>
          </cell>
          <cell r="E4067" t="str">
            <v>WN FLG</v>
          </cell>
          <cell r="F4067">
            <v>3</v>
          </cell>
          <cell r="G4067" t="str">
            <v>CB200104000300</v>
          </cell>
          <cell r="H4067">
            <v>3</v>
          </cell>
          <cell r="I4067" t="str">
            <v>--</v>
          </cell>
          <cell r="J4067">
            <v>1</v>
          </cell>
          <cell r="K4067">
            <v>2</v>
          </cell>
        </row>
        <row r="4068">
          <cell r="A4068" t="str">
            <v>M2</v>
          </cell>
          <cell r="B4068" t="str">
            <v>A5C</v>
          </cell>
          <cell r="C4068" t="str">
            <v>P</v>
          </cell>
          <cell r="D4068" t="str">
            <v>23246</v>
          </cell>
          <cell r="E4068" t="str">
            <v>WN FLG</v>
          </cell>
          <cell r="F4068">
            <v>3</v>
          </cell>
          <cell r="G4068" t="str">
            <v>CB200104000300</v>
          </cell>
          <cell r="H4068">
            <v>3</v>
          </cell>
          <cell r="I4068" t="str">
            <v>--</v>
          </cell>
          <cell r="J4068">
            <v>9</v>
          </cell>
          <cell r="K4068">
            <v>10</v>
          </cell>
        </row>
        <row r="4069">
          <cell r="A4069" t="str">
            <v>M2</v>
          </cell>
          <cell r="B4069" t="str">
            <v>A5C</v>
          </cell>
          <cell r="C4069" t="str">
            <v>P</v>
          </cell>
          <cell r="D4069" t="str">
            <v>23016</v>
          </cell>
          <cell r="E4069" t="str">
            <v>WN FLG</v>
          </cell>
          <cell r="F4069">
            <v>3</v>
          </cell>
          <cell r="G4069" t="str">
            <v>CB200104000300</v>
          </cell>
          <cell r="H4069">
            <v>3</v>
          </cell>
          <cell r="I4069" t="str">
            <v>--</v>
          </cell>
          <cell r="J4069">
            <v>2</v>
          </cell>
          <cell r="K4069">
            <v>3</v>
          </cell>
        </row>
        <row r="4070">
          <cell r="A4070" t="str">
            <v>M2</v>
          </cell>
          <cell r="B4070" t="str">
            <v>A5C</v>
          </cell>
          <cell r="C4070" t="str">
            <v>P</v>
          </cell>
          <cell r="D4070" t="str">
            <v>23017</v>
          </cell>
          <cell r="E4070" t="str">
            <v>WN FLG</v>
          </cell>
          <cell r="F4070">
            <v>3</v>
          </cell>
          <cell r="G4070" t="str">
            <v>CB200104000300</v>
          </cell>
          <cell r="H4070">
            <v>3</v>
          </cell>
          <cell r="I4070" t="str">
            <v>--</v>
          </cell>
          <cell r="J4070">
            <v>5</v>
          </cell>
          <cell r="K4070">
            <v>6</v>
          </cell>
        </row>
        <row r="4071">
          <cell r="A4071" t="str">
            <v>M2</v>
          </cell>
          <cell r="B4071" t="str">
            <v>A5C</v>
          </cell>
          <cell r="C4071" t="str">
            <v>P</v>
          </cell>
          <cell r="D4071" t="str">
            <v>23024</v>
          </cell>
          <cell r="E4071" t="str">
            <v>WN FLG</v>
          </cell>
          <cell r="F4071">
            <v>3</v>
          </cell>
          <cell r="G4071" t="str">
            <v>CB200104000300</v>
          </cell>
          <cell r="H4071">
            <v>3</v>
          </cell>
          <cell r="I4071" t="str">
            <v>--</v>
          </cell>
          <cell r="J4071">
            <v>2</v>
          </cell>
          <cell r="K4071">
            <v>3</v>
          </cell>
        </row>
        <row r="4072">
          <cell r="A4072" t="str">
            <v>M2</v>
          </cell>
          <cell r="B4072" t="str">
            <v>A5C</v>
          </cell>
          <cell r="C4072" t="str">
            <v>P</v>
          </cell>
          <cell r="D4072" t="str">
            <v>23024</v>
          </cell>
          <cell r="E4072" t="str">
            <v>WN FLG</v>
          </cell>
          <cell r="F4072">
            <v>3</v>
          </cell>
          <cell r="G4072" t="str">
            <v>CB200204000300</v>
          </cell>
          <cell r="H4072">
            <v>3</v>
          </cell>
          <cell r="I4072" t="str">
            <v>--</v>
          </cell>
          <cell r="J4072">
            <v>2</v>
          </cell>
          <cell r="K4072">
            <v>3</v>
          </cell>
        </row>
        <row r="4073">
          <cell r="A4073" t="str">
            <v>M2</v>
          </cell>
          <cell r="B4073" t="str">
            <v>A5C</v>
          </cell>
          <cell r="C4073" t="str">
            <v>P</v>
          </cell>
          <cell r="D4073" t="str">
            <v>23024</v>
          </cell>
          <cell r="E4073" t="str">
            <v>WN FLG</v>
          </cell>
          <cell r="F4073">
            <v>3</v>
          </cell>
          <cell r="G4073" t="str">
            <v>CB200104000300</v>
          </cell>
          <cell r="H4073">
            <v>3</v>
          </cell>
          <cell r="I4073" t="str">
            <v>--</v>
          </cell>
          <cell r="J4073">
            <v>2</v>
          </cell>
          <cell r="K4073">
            <v>3</v>
          </cell>
        </row>
        <row r="4074">
          <cell r="A4074" t="str">
            <v>M2</v>
          </cell>
          <cell r="B4074" t="str">
            <v>A5C</v>
          </cell>
          <cell r="C4074" t="str">
            <v>P</v>
          </cell>
          <cell r="D4074" t="str">
            <v>23029</v>
          </cell>
          <cell r="E4074" t="str">
            <v>WN FLG</v>
          </cell>
          <cell r="F4074">
            <v>3</v>
          </cell>
          <cell r="G4074" t="str">
            <v>CB200104000300</v>
          </cell>
          <cell r="H4074">
            <v>3</v>
          </cell>
          <cell r="I4074" t="str">
            <v>--</v>
          </cell>
          <cell r="J4074">
            <v>2</v>
          </cell>
          <cell r="K4074">
            <v>3</v>
          </cell>
        </row>
        <row r="4075">
          <cell r="A4075" t="str">
            <v>M2</v>
          </cell>
          <cell r="B4075" t="str">
            <v>A5C</v>
          </cell>
          <cell r="C4075" t="str">
            <v>P</v>
          </cell>
          <cell r="D4075" t="str">
            <v>23029</v>
          </cell>
          <cell r="E4075" t="str">
            <v>WN FLG</v>
          </cell>
          <cell r="F4075">
            <v>3</v>
          </cell>
          <cell r="G4075" t="str">
            <v>CB200204000300</v>
          </cell>
          <cell r="H4075">
            <v>3</v>
          </cell>
          <cell r="I4075" t="str">
            <v>--</v>
          </cell>
          <cell r="J4075">
            <v>2</v>
          </cell>
          <cell r="K4075">
            <v>3</v>
          </cell>
        </row>
        <row r="4076">
          <cell r="A4076" t="str">
            <v>M2</v>
          </cell>
          <cell r="B4076" t="str">
            <v>A5C</v>
          </cell>
          <cell r="C4076" t="str">
            <v>P</v>
          </cell>
          <cell r="D4076" t="str">
            <v>23050</v>
          </cell>
          <cell r="E4076" t="str">
            <v>WN FLG</v>
          </cell>
          <cell r="F4076">
            <v>3</v>
          </cell>
          <cell r="G4076" t="str">
            <v>CB200104000300</v>
          </cell>
          <cell r="H4076">
            <v>3</v>
          </cell>
          <cell r="I4076" t="str">
            <v>--</v>
          </cell>
          <cell r="J4076">
            <v>2</v>
          </cell>
          <cell r="K4076">
            <v>3</v>
          </cell>
        </row>
        <row r="4077">
          <cell r="A4077" t="str">
            <v>M2</v>
          </cell>
          <cell r="B4077" t="str">
            <v>A5C</v>
          </cell>
          <cell r="C4077" t="str">
            <v>P</v>
          </cell>
          <cell r="D4077" t="str">
            <v>23051</v>
          </cell>
          <cell r="E4077" t="str">
            <v>WN FLG</v>
          </cell>
          <cell r="F4077">
            <v>3</v>
          </cell>
          <cell r="G4077" t="str">
            <v>CB200104000300</v>
          </cell>
          <cell r="H4077">
            <v>3</v>
          </cell>
          <cell r="I4077" t="str">
            <v>--</v>
          </cell>
          <cell r="J4077">
            <v>5</v>
          </cell>
          <cell r="K4077">
            <v>6</v>
          </cell>
        </row>
        <row r="4078">
          <cell r="A4078" t="str">
            <v>M2</v>
          </cell>
          <cell r="B4078" t="str">
            <v>A5C</v>
          </cell>
          <cell r="C4078" t="str">
            <v>P</v>
          </cell>
          <cell r="D4078" t="str">
            <v>23061</v>
          </cell>
          <cell r="E4078" t="str">
            <v>WN FLG</v>
          </cell>
          <cell r="F4078">
            <v>3</v>
          </cell>
          <cell r="G4078" t="str">
            <v>CB200104000300</v>
          </cell>
          <cell r="H4078">
            <v>3</v>
          </cell>
          <cell r="I4078" t="str">
            <v>--</v>
          </cell>
          <cell r="J4078">
            <v>2</v>
          </cell>
          <cell r="K4078">
            <v>3</v>
          </cell>
        </row>
        <row r="4079">
          <cell r="A4079" t="str">
            <v>M2</v>
          </cell>
          <cell r="B4079" t="str">
            <v>A5C</v>
          </cell>
          <cell r="C4079" t="str">
            <v>P</v>
          </cell>
          <cell r="D4079" t="str">
            <v>23064</v>
          </cell>
          <cell r="E4079" t="str">
            <v>WN FLG</v>
          </cell>
          <cell r="F4079">
            <v>3</v>
          </cell>
          <cell r="G4079" t="str">
            <v>CB200104000300</v>
          </cell>
          <cell r="H4079">
            <v>3</v>
          </cell>
          <cell r="I4079" t="str">
            <v>--</v>
          </cell>
          <cell r="J4079">
            <v>7</v>
          </cell>
          <cell r="K4079">
            <v>8</v>
          </cell>
        </row>
        <row r="4080">
          <cell r="A4080" t="str">
            <v>M2</v>
          </cell>
          <cell r="B4080" t="str">
            <v>A5C</v>
          </cell>
          <cell r="C4080" t="str">
            <v>P</v>
          </cell>
          <cell r="D4080" t="str">
            <v>23086</v>
          </cell>
          <cell r="E4080" t="str">
            <v>WN FLG</v>
          </cell>
          <cell r="F4080">
            <v>3</v>
          </cell>
          <cell r="G4080" t="str">
            <v>CB200104000300</v>
          </cell>
          <cell r="H4080">
            <v>3</v>
          </cell>
          <cell r="I4080" t="str">
            <v>--</v>
          </cell>
          <cell r="J4080">
            <v>4</v>
          </cell>
          <cell r="K4080">
            <v>5</v>
          </cell>
        </row>
        <row r="4081">
          <cell r="A4081" t="str">
            <v>M2</v>
          </cell>
          <cell r="B4081" t="str">
            <v>A5C</v>
          </cell>
          <cell r="C4081" t="str">
            <v>P</v>
          </cell>
          <cell r="D4081" t="str">
            <v>23125</v>
          </cell>
          <cell r="E4081" t="str">
            <v>WN FLG</v>
          </cell>
          <cell r="F4081">
            <v>3</v>
          </cell>
          <cell r="G4081" t="str">
            <v>CB200104000300</v>
          </cell>
          <cell r="H4081">
            <v>3</v>
          </cell>
          <cell r="I4081" t="str">
            <v>--</v>
          </cell>
          <cell r="J4081">
            <v>4</v>
          </cell>
          <cell r="K4081">
            <v>5</v>
          </cell>
        </row>
        <row r="4082">
          <cell r="A4082" t="str">
            <v>M2</v>
          </cell>
          <cell r="B4082" t="str">
            <v>A5C</v>
          </cell>
          <cell r="C4082" t="str">
            <v>P</v>
          </cell>
          <cell r="D4082" t="str">
            <v>23029</v>
          </cell>
          <cell r="E4082" t="str">
            <v>WN FLG</v>
          </cell>
          <cell r="F4082">
            <v>3</v>
          </cell>
          <cell r="G4082" t="str">
            <v>CB200104000300</v>
          </cell>
          <cell r="H4082">
            <v>3</v>
          </cell>
          <cell r="I4082" t="str">
            <v>--</v>
          </cell>
          <cell r="J4082">
            <v>2</v>
          </cell>
          <cell r="K4082">
            <v>3</v>
          </cell>
        </row>
        <row r="4083">
          <cell r="A4083" t="str">
            <v>M2</v>
          </cell>
          <cell r="B4083" t="str">
            <v>A5C</v>
          </cell>
          <cell r="C4083" t="str">
            <v>P</v>
          </cell>
          <cell r="D4083" t="str">
            <v>23062</v>
          </cell>
          <cell r="E4083" t="str">
            <v>WN FLG</v>
          </cell>
          <cell r="F4083">
            <v>3</v>
          </cell>
          <cell r="G4083" t="str">
            <v>CB200104000300</v>
          </cell>
          <cell r="H4083">
            <v>3</v>
          </cell>
          <cell r="I4083" t="str">
            <v>--</v>
          </cell>
          <cell r="J4083">
            <v>2</v>
          </cell>
          <cell r="K4083">
            <v>3</v>
          </cell>
        </row>
        <row r="4084">
          <cell r="A4084" t="str">
            <v>M2</v>
          </cell>
          <cell r="B4084" t="str">
            <v>A5C</v>
          </cell>
          <cell r="C4084" t="str">
            <v>P</v>
          </cell>
          <cell r="D4084" t="str">
            <v>23064</v>
          </cell>
          <cell r="E4084" t="str">
            <v>WN FLG</v>
          </cell>
          <cell r="F4084">
            <v>3</v>
          </cell>
          <cell r="G4084" t="str">
            <v>CB200104000300</v>
          </cell>
          <cell r="H4084">
            <v>3</v>
          </cell>
          <cell r="I4084" t="str">
            <v>--</v>
          </cell>
          <cell r="J4084">
            <v>8</v>
          </cell>
          <cell r="K4084">
            <v>9</v>
          </cell>
        </row>
        <row r="4085">
          <cell r="A4085" t="str">
            <v>M2</v>
          </cell>
          <cell r="B4085" t="str">
            <v>A5C</v>
          </cell>
          <cell r="C4085" t="str">
            <v>P</v>
          </cell>
          <cell r="D4085" t="str">
            <v>23071</v>
          </cell>
          <cell r="E4085" t="str">
            <v>WN FLG</v>
          </cell>
          <cell r="F4085">
            <v>3</v>
          </cell>
          <cell r="G4085" t="str">
            <v>CB200104000300</v>
          </cell>
          <cell r="H4085">
            <v>3</v>
          </cell>
          <cell r="I4085" t="str">
            <v>--</v>
          </cell>
          <cell r="J4085">
            <v>2</v>
          </cell>
          <cell r="K4085">
            <v>3</v>
          </cell>
        </row>
        <row r="4086">
          <cell r="A4086" t="str">
            <v>M2</v>
          </cell>
          <cell r="B4086" t="str">
            <v>A5C</v>
          </cell>
          <cell r="C4086" t="str">
            <v>P</v>
          </cell>
          <cell r="D4086" t="str">
            <v>24002</v>
          </cell>
          <cell r="E4086" t="str">
            <v>WN FLG</v>
          </cell>
          <cell r="F4086">
            <v>3</v>
          </cell>
          <cell r="G4086" t="str">
            <v>CB200104000300</v>
          </cell>
          <cell r="H4086">
            <v>3</v>
          </cell>
          <cell r="I4086" t="str">
            <v>--</v>
          </cell>
          <cell r="J4086">
            <v>1</v>
          </cell>
          <cell r="K4086">
            <v>2</v>
          </cell>
        </row>
        <row r="4087">
          <cell r="A4087" t="str">
            <v>M2</v>
          </cell>
          <cell r="B4087" t="str">
            <v>A5C</v>
          </cell>
          <cell r="C4087" t="str">
            <v>P</v>
          </cell>
          <cell r="D4087" t="str">
            <v>24026</v>
          </cell>
          <cell r="E4087" t="str">
            <v>WN FLG</v>
          </cell>
          <cell r="F4087">
            <v>3</v>
          </cell>
          <cell r="G4087" t="str">
            <v>CB200104000300</v>
          </cell>
          <cell r="H4087">
            <v>3</v>
          </cell>
          <cell r="I4087" t="str">
            <v>--</v>
          </cell>
          <cell r="J4087">
            <v>1</v>
          </cell>
          <cell r="K4087">
            <v>2</v>
          </cell>
        </row>
        <row r="4088">
          <cell r="A4088" t="str">
            <v>M2</v>
          </cell>
          <cell r="B4088" t="str">
            <v>A5C</v>
          </cell>
          <cell r="C4088" t="str">
            <v>P</v>
          </cell>
          <cell r="D4088" t="str">
            <v>24003</v>
          </cell>
          <cell r="E4088" t="str">
            <v>WN FLG</v>
          </cell>
          <cell r="F4088">
            <v>3</v>
          </cell>
          <cell r="G4088" t="str">
            <v>CB200104000300</v>
          </cell>
          <cell r="H4088">
            <v>3</v>
          </cell>
          <cell r="I4088" t="str">
            <v>--</v>
          </cell>
          <cell r="J4088">
            <v>8</v>
          </cell>
          <cell r="K4088">
            <v>9</v>
          </cell>
        </row>
        <row r="4089">
          <cell r="A4089" t="str">
            <v>M2</v>
          </cell>
          <cell r="B4089" t="str">
            <v>A5C</v>
          </cell>
          <cell r="C4089" t="str">
            <v>P</v>
          </cell>
          <cell r="D4089" t="str">
            <v>24027</v>
          </cell>
          <cell r="E4089" t="str">
            <v>WN FLG</v>
          </cell>
          <cell r="F4089">
            <v>3</v>
          </cell>
          <cell r="G4089" t="str">
            <v>CB200104000300</v>
          </cell>
          <cell r="H4089">
            <v>3</v>
          </cell>
          <cell r="I4089" t="str">
            <v>--</v>
          </cell>
          <cell r="J4089">
            <v>8</v>
          </cell>
          <cell r="K4089">
            <v>9</v>
          </cell>
        </row>
        <row r="4090">
          <cell r="A4090" t="str">
            <v>M2</v>
          </cell>
          <cell r="B4090" t="str">
            <v>A5C</v>
          </cell>
          <cell r="C4090" t="str">
            <v>P</v>
          </cell>
          <cell r="D4090" t="str">
            <v>23012</v>
          </cell>
          <cell r="E4090" t="str">
            <v>WN FLG</v>
          </cell>
          <cell r="F4090">
            <v>3</v>
          </cell>
          <cell r="G4090" t="str">
            <v>CB200104000400</v>
          </cell>
          <cell r="H4090">
            <v>4</v>
          </cell>
          <cell r="I4090" t="str">
            <v>--</v>
          </cell>
          <cell r="J4090">
            <v>6</v>
          </cell>
          <cell r="K4090">
            <v>7</v>
          </cell>
        </row>
        <row r="4091">
          <cell r="A4091" t="str">
            <v>M2</v>
          </cell>
          <cell r="B4091" t="str">
            <v>A5C</v>
          </cell>
          <cell r="C4091" t="str">
            <v>P</v>
          </cell>
          <cell r="D4091" t="str">
            <v>23068</v>
          </cell>
          <cell r="E4091" t="str">
            <v>WN FLG</v>
          </cell>
          <cell r="F4091">
            <v>3</v>
          </cell>
          <cell r="G4091" t="str">
            <v>CB200104000400</v>
          </cell>
          <cell r="H4091">
            <v>4</v>
          </cell>
          <cell r="I4091" t="str">
            <v>--</v>
          </cell>
          <cell r="J4091">
            <v>8</v>
          </cell>
          <cell r="K4091">
            <v>10</v>
          </cell>
        </row>
        <row r="4092">
          <cell r="A4092" t="str">
            <v>M2</v>
          </cell>
          <cell r="B4092" t="str">
            <v>A5C</v>
          </cell>
          <cell r="C4092" t="str">
            <v>P</v>
          </cell>
          <cell r="D4092" t="str">
            <v>23072</v>
          </cell>
          <cell r="E4092" t="str">
            <v>WN FLG</v>
          </cell>
          <cell r="F4092">
            <v>3</v>
          </cell>
          <cell r="G4092" t="str">
            <v>CB200204000400</v>
          </cell>
          <cell r="H4092">
            <v>4</v>
          </cell>
          <cell r="I4092" t="str">
            <v>--</v>
          </cell>
          <cell r="J4092">
            <v>2</v>
          </cell>
          <cell r="K4092">
            <v>3</v>
          </cell>
        </row>
        <row r="4093">
          <cell r="A4093" t="str">
            <v>M2</v>
          </cell>
          <cell r="B4093" t="str">
            <v>A5C</v>
          </cell>
          <cell r="C4093" t="str">
            <v>P</v>
          </cell>
          <cell r="D4093" t="str">
            <v>23095</v>
          </cell>
          <cell r="E4093" t="str">
            <v>WN FLG</v>
          </cell>
          <cell r="F4093">
            <v>3</v>
          </cell>
          <cell r="G4093" t="str">
            <v>CB200104000400</v>
          </cell>
          <cell r="H4093">
            <v>4</v>
          </cell>
          <cell r="I4093" t="str">
            <v>--</v>
          </cell>
          <cell r="J4093">
            <v>1</v>
          </cell>
          <cell r="K4093">
            <v>2</v>
          </cell>
        </row>
        <row r="4094">
          <cell r="A4094" t="str">
            <v>M2</v>
          </cell>
          <cell r="B4094" t="str">
            <v>A5C</v>
          </cell>
          <cell r="C4094" t="str">
            <v>P</v>
          </cell>
          <cell r="D4094" t="str">
            <v>23100</v>
          </cell>
          <cell r="E4094" t="str">
            <v>WN FLG</v>
          </cell>
          <cell r="F4094">
            <v>3</v>
          </cell>
          <cell r="G4094" t="str">
            <v>CB200104000400</v>
          </cell>
          <cell r="H4094">
            <v>4</v>
          </cell>
          <cell r="I4094" t="str">
            <v>--</v>
          </cell>
          <cell r="J4094">
            <v>2</v>
          </cell>
          <cell r="K4094">
            <v>3</v>
          </cell>
        </row>
        <row r="4095">
          <cell r="A4095" t="str">
            <v>M2</v>
          </cell>
          <cell r="B4095" t="str">
            <v>A5C</v>
          </cell>
          <cell r="C4095" t="str">
            <v>P</v>
          </cell>
          <cell r="D4095" t="str">
            <v>23100</v>
          </cell>
          <cell r="E4095" t="str">
            <v>WN FLG</v>
          </cell>
          <cell r="F4095">
            <v>3</v>
          </cell>
          <cell r="G4095" t="str">
            <v>CB200104000400</v>
          </cell>
          <cell r="H4095">
            <v>4</v>
          </cell>
          <cell r="I4095" t="str">
            <v>--</v>
          </cell>
          <cell r="J4095">
            <v>3</v>
          </cell>
          <cell r="K4095">
            <v>4</v>
          </cell>
        </row>
        <row r="4096">
          <cell r="A4096" t="str">
            <v>M2</v>
          </cell>
          <cell r="B4096" t="str">
            <v>A5C</v>
          </cell>
          <cell r="C4096" t="str">
            <v>P</v>
          </cell>
          <cell r="D4096" t="str">
            <v>23110</v>
          </cell>
          <cell r="E4096" t="str">
            <v>WN FLG</v>
          </cell>
          <cell r="F4096">
            <v>3</v>
          </cell>
          <cell r="G4096" t="str">
            <v>CB200104000400</v>
          </cell>
          <cell r="H4096">
            <v>4</v>
          </cell>
          <cell r="I4096" t="str">
            <v>--</v>
          </cell>
          <cell r="J4096">
            <v>1</v>
          </cell>
          <cell r="K4096">
            <v>2</v>
          </cell>
        </row>
        <row r="4097">
          <cell r="A4097" t="str">
            <v>M2</v>
          </cell>
          <cell r="B4097" t="str">
            <v>A5C</v>
          </cell>
          <cell r="C4097" t="str">
            <v>P</v>
          </cell>
          <cell r="D4097" t="str">
            <v>23110</v>
          </cell>
          <cell r="E4097" t="str">
            <v>WN FLG</v>
          </cell>
          <cell r="F4097">
            <v>3</v>
          </cell>
          <cell r="G4097" t="str">
            <v>CB200104000400</v>
          </cell>
          <cell r="H4097">
            <v>4</v>
          </cell>
          <cell r="I4097" t="str">
            <v>--</v>
          </cell>
          <cell r="J4097">
            <v>8</v>
          </cell>
          <cell r="K4097">
            <v>10</v>
          </cell>
        </row>
        <row r="4098">
          <cell r="A4098" t="str">
            <v>M2</v>
          </cell>
          <cell r="B4098" t="str">
            <v>A5C</v>
          </cell>
          <cell r="C4098" t="str">
            <v>P</v>
          </cell>
          <cell r="D4098" t="str">
            <v>23114</v>
          </cell>
          <cell r="E4098" t="str">
            <v>WN FLG</v>
          </cell>
          <cell r="F4098">
            <v>3</v>
          </cell>
          <cell r="G4098" t="str">
            <v>CB200104000400</v>
          </cell>
          <cell r="H4098">
            <v>4</v>
          </cell>
          <cell r="I4098" t="str">
            <v>--</v>
          </cell>
          <cell r="J4098">
            <v>1</v>
          </cell>
          <cell r="K4098">
            <v>2</v>
          </cell>
        </row>
        <row r="4099">
          <cell r="A4099" t="str">
            <v>M2</v>
          </cell>
          <cell r="B4099" t="str">
            <v>A5C</v>
          </cell>
          <cell r="C4099" t="str">
            <v>P</v>
          </cell>
          <cell r="D4099" t="str">
            <v>23121</v>
          </cell>
          <cell r="E4099" t="str">
            <v>WN FLG</v>
          </cell>
          <cell r="F4099">
            <v>3</v>
          </cell>
          <cell r="G4099" t="str">
            <v>CB200104000400</v>
          </cell>
          <cell r="H4099">
            <v>4</v>
          </cell>
          <cell r="I4099" t="str">
            <v>--</v>
          </cell>
          <cell r="J4099">
            <v>9</v>
          </cell>
          <cell r="K4099">
            <v>11</v>
          </cell>
        </row>
        <row r="4100">
          <cell r="A4100" t="str">
            <v>M2</v>
          </cell>
          <cell r="B4100" t="str">
            <v>A5C</v>
          </cell>
          <cell r="C4100" t="str">
            <v>P</v>
          </cell>
          <cell r="D4100" t="str">
            <v>23123</v>
          </cell>
          <cell r="E4100" t="str">
            <v>WN FLG</v>
          </cell>
          <cell r="F4100">
            <v>3</v>
          </cell>
          <cell r="G4100" t="str">
            <v>CB200104000400</v>
          </cell>
          <cell r="H4100">
            <v>4</v>
          </cell>
          <cell r="I4100" t="str">
            <v>--</v>
          </cell>
          <cell r="J4100">
            <v>8</v>
          </cell>
          <cell r="K4100">
            <v>10</v>
          </cell>
        </row>
        <row r="4101">
          <cell r="A4101" t="str">
            <v>M2</v>
          </cell>
          <cell r="B4101" t="str">
            <v>A5C</v>
          </cell>
          <cell r="C4101" t="str">
            <v>P</v>
          </cell>
          <cell r="D4101" t="str">
            <v>23152</v>
          </cell>
          <cell r="E4101" t="str">
            <v>WN FLG</v>
          </cell>
          <cell r="F4101">
            <v>3</v>
          </cell>
          <cell r="G4101" t="str">
            <v>CB200204000400</v>
          </cell>
          <cell r="H4101">
            <v>4</v>
          </cell>
          <cell r="I4101" t="str">
            <v>--</v>
          </cell>
          <cell r="J4101">
            <v>2</v>
          </cell>
          <cell r="K4101">
            <v>3</v>
          </cell>
        </row>
        <row r="4102">
          <cell r="A4102" t="str">
            <v>M2</v>
          </cell>
          <cell r="B4102" t="str">
            <v>A5C</v>
          </cell>
          <cell r="C4102" t="str">
            <v>P</v>
          </cell>
          <cell r="D4102" t="str">
            <v>23152</v>
          </cell>
          <cell r="E4102" t="str">
            <v>WN FLG</v>
          </cell>
          <cell r="F4102">
            <v>3</v>
          </cell>
          <cell r="G4102" t="str">
            <v>CB200104000400</v>
          </cell>
          <cell r="H4102">
            <v>4</v>
          </cell>
          <cell r="I4102" t="str">
            <v>--</v>
          </cell>
          <cell r="J4102">
            <v>2</v>
          </cell>
          <cell r="K4102">
            <v>3</v>
          </cell>
        </row>
        <row r="4103">
          <cell r="A4103" t="str">
            <v>M2</v>
          </cell>
          <cell r="B4103" t="str">
            <v>A5C</v>
          </cell>
          <cell r="C4103" t="str">
            <v>P</v>
          </cell>
          <cell r="D4103" t="str">
            <v>23181</v>
          </cell>
          <cell r="E4103" t="str">
            <v>WN FLG</v>
          </cell>
          <cell r="F4103">
            <v>3</v>
          </cell>
          <cell r="G4103" t="str">
            <v>CB200104000400</v>
          </cell>
          <cell r="H4103">
            <v>4</v>
          </cell>
          <cell r="I4103" t="str">
            <v>--</v>
          </cell>
          <cell r="J4103">
            <v>2</v>
          </cell>
          <cell r="K4103">
            <v>3</v>
          </cell>
        </row>
        <row r="4104">
          <cell r="A4104" t="str">
            <v>M2</v>
          </cell>
          <cell r="B4104" t="str">
            <v>A5C</v>
          </cell>
          <cell r="C4104" t="str">
            <v>P</v>
          </cell>
          <cell r="D4104" t="str">
            <v>23181</v>
          </cell>
          <cell r="E4104" t="str">
            <v>WN FLG</v>
          </cell>
          <cell r="F4104">
            <v>3</v>
          </cell>
          <cell r="G4104" t="str">
            <v>CB200204000400</v>
          </cell>
          <cell r="H4104">
            <v>4</v>
          </cell>
          <cell r="I4104" t="str">
            <v>--</v>
          </cell>
          <cell r="J4104">
            <v>2</v>
          </cell>
          <cell r="K4104">
            <v>3</v>
          </cell>
        </row>
        <row r="4105">
          <cell r="A4105" t="str">
            <v>M2</v>
          </cell>
          <cell r="B4105" t="str">
            <v>A5C</v>
          </cell>
          <cell r="C4105" t="str">
            <v>P</v>
          </cell>
          <cell r="D4105" t="str">
            <v>23227</v>
          </cell>
          <cell r="E4105" t="str">
            <v>WN FLG</v>
          </cell>
          <cell r="F4105">
            <v>3</v>
          </cell>
          <cell r="G4105" t="str">
            <v>CB200104000400</v>
          </cell>
          <cell r="H4105">
            <v>4</v>
          </cell>
          <cell r="I4105" t="str">
            <v>--</v>
          </cell>
          <cell r="J4105">
            <v>2</v>
          </cell>
          <cell r="K4105">
            <v>3</v>
          </cell>
        </row>
        <row r="4106">
          <cell r="A4106" t="str">
            <v>M2</v>
          </cell>
          <cell r="B4106" t="str">
            <v>A5C</v>
          </cell>
          <cell r="C4106" t="str">
            <v>P</v>
          </cell>
          <cell r="D4106" t="str">
            <v>23228</v>
          </cell>
          <cell r="E4106" t="str">
            <v>WN FLG</v>
          </cell>
          <cell r="F4106">
            <v>3</v>
          </cell>
          <cell r="G4106" t="str">
            <v>CB200104000400</v>
          </cell>
          <cell r="H4106">
            <v>4</v>
          </cell>
          <cell r="I4106" t="str">
            <v>--</v>
          </cell>
          <cell r="J4106">
            <v>2</v>
          </cell>
          <cell r="K4106">
            <v>3</v>
          </cell>
        </row>
        <row r="4107">
          <cell r="A4107" t="str">
            <v>M2</v>
          </cell>
          <cell r="B4107" t="str">
            <v>A5C</v>
          </cell>
          <cell r="C4107" t="str">
            <v>P</v>
          </cell>
          <cell r="D4107" t="str">
            <v>23237</v>
          </cell>
          <cell r="E4107" t="str">
            <v>WN FLG</v>
          </cell>
          <cell r="F4107">
            <v>3</v>
          </cell>
          <cell r="G4107" t="str">
            <v>CB200104000400</v>
          </cell>
          <cell r="H4107">
            <v>4</v>
          </cell>
          <cell r="I4107" t="str">
            <v>--</v>
          </cell>
          <cell r="J4107">
            <v>2</v>
          </cell>
          <cell r="K4107">
            <v>3</v>
          </cell>
        </row>
        <row r="4108">
          <cell r="A4108" t="str">
            <v>M2</v>
          </cell>
          <cell r="B4108" t="str">
            <v>A5C</v>
          </cell>
          <cell r="C4108" t="str">
            <v>P</v>
          </cell>
          <cell r="D4108" t="str">
            <v>23237</v>
          </cell>
          <cell r="E4108" t="str">
            <v>WN FLG</v>
          </cell>
          <cell r="F4108">
            <v>3</v>
          </cell>
          <cell r="G4108" t="str">
            <v>CB200104000400</v>
          </cell>
          <cell r="H4108">
            <v>4</v>
          </cell>
          <cell r="I4108" t="str">
            <v>--</v>
          </cell>
          <cell r="J4108">
            <v>1</v>
          </cell>
          <cell r="K4108">
            <v>2</v>
          </cell>
        </row>
        <row r="4109">
          <cell r="A4109" t="str">
            <v>M2</v>
          </cell>
          <cell r="B4109" t="str">
            <v>A5C</v>
          </cell>
          <cell r="C4109" t="str">
            <v>P</v>
          </cell>
          <cell r="D4109" t="str">
            <v>23241</v>
          </cell>
          <cell r="E4109" t="str">
            <v>WN FLG</v>
          </cell>
          <cell r="F4109">
            <v>3</v>
          </cell>
          <cell r="G4109" t="str">
            <v>CB200104000400</v>
          </cell>
          <cell r="H4109">
            <v>4</v>
          </cell>
          <cell r="I4109" t="str">
            <v>--</v>
          </cell>
          <cell r="J4109">
            <v>1</v>
          </cell>
          <cell r="K4109">
            <v>2</v>
          </cell>
        </row>
        <row r="4110">
          <cell r="A4110" t="str">
            <v>M2</v>
          </cell>
          <cell r="B4110" t="str">
            <v>A5C</v>
          </cell>
          <cell r="C4110" t="str">
            <v>P</v>
          </cell>
          <cell r="D4110" t="str">
            <v>23241</v>
          </cell>
          <cell r="E4110" t="str">
            <v>WN FLG</v>
          </cell>
          <cell r="F4110">
            <v>3</v>
          </cell>
          <cell r="G4110" t="str">
            <v>CB200204000400</v>
          </cell>
          <cell r="H4110">
            <v>4</v>
          </cell>
          <cell r="I4110" t="str">
            <v>--</v>
          </cell>
          <cell r="J4110">
            <v>2</v>
          </cell>
          <cell r="K4110">
            <v>3</v>
          </cell>
        </row>
        <row r="4111">
          <cell r="A4111" t="str">
            <v>M2</v>
          </cell>
          <cell r="B4111" t="str">
            <v>A5C</v>
          </cell>
          <cell r="C4111" t="str">
            <v>P</v>
          </cell>
          <cell r="D4111" t="str">
            <v>23249</v>
          </cell>
          <cell r="E4111" t="str">
            <v>WN FLG</v>
          </cell>
          <cell r="F4111">
            <v>3</v>
          </cell>
          <cell r="G4111" t="str">
            <v>CB200104000400</v>
          </cell>
          <cell r="H4111">
            <v>4</v>
          </cell>
          <cell r="I4111" t="str">
            <v>--</v>
          </cell>
          <cell r="J4111">
            <v>2</v>
          </cell>
          <cell r="K4111">
            <v>3</v>
          </cell>
        </row>
        <row r="4112">
          <cell r="A4112" t="str">
            <v>M2</v>
          </cell>
          <cell r="B4112" t="str">
            <v>A5C</v>
          </cell>
          <cell r="C4112" t="str">
            <v>P</v>
          </cell>
          <cell r="D4112" t="str">
            <v>23250</v>
          </cell>
          <cell r="E4112" t="str">
            <v>WN FLG</v>
          </cell>
          <cell r="F4112">
            <v>3</v>
          </cell>
          <cell r="G4112" t="str">
            <v>CB200104000400</v>
          </cell>
          <cell r="H4112">
            <v>4</v>
          </cell>
          <cell r="I4112" t="str">
            <v>--</v>
          </cell>
          <cell r="J4112">
            <v>2</v>
          </cell>
          <cell r="K4112">
            <v>3</v>
          </cell>
        </row>
        <row r="4113">
          <cell r="A4113" t="str">
            <v>M2</v>
          </cell>
          <cell r="B4113" t="str">
            <v>A5C</v>
          </cell>
          <cell r="C4113" t="str">
            <v>P</v>
          </cell>
          <cell r="D4113" t="str">
            <v>23058</v>
          </cell>
          <cell r="E4113" t="str">
            <v>WN FLG</v>
          </cell>
          <cell r="F4113">
            <v>3</v>
          </cell>
          <cell r="G4113" t="str">
            <v>CB200104000400</v>
          </cell>
          <cell r="H4113">
            <v>4</v>
          </cell>
          <cell r="I4113" t="str">
            <v>--</v>
          </cell>
          <cell r="J4113">
            <v>4</v>
          </cell>
          <cell r="K4113">
            <v>5</v>
          </cell>
        </row>
        <row r="4114">
          <cell r="A4114" t="str">
            <v>M2</v>
          </cell>
          <cell r="B4114" t="str">
            <v>A5C</v>
          </cell>
          <cell r="C4114" t="str">
            <v>P</v>
          </cell>
          <cell r="D4114" t="str">
            <v>23072</v>
          </cell>
          <cell r="E4114" t="str">
            <v>WN FLG</v>
          </cell>
          <cell r="F4114">
            <v>3</v>
          </cell>
          <cell r="G4114" t="str">
            <v>CB200104000400</v>
          </cell>
          <cell r="H4114">
            <v>4</v>
          </cell>
          <cell r="I4114" t="str">
            <v>--</v>
          </cell>
          <cell r="J4114">
            <v>2</v>
          </cell>
          <cell r="K4114">
            <v>3</v>
          </cell>
        </row>
        <row r="4115">
          <cell r="A4115" t="str">
            <v>M2</v>
          </cell>
          <cell r="B4115" t="str">
            <v>A5C</v>
          </cell>
          <cell r="C4115" t="str">
            <v>P</v>
          </cell>
          <cell r="D4115" t="str">
            <v>23084</v>
          </cell>
          <cell r="E4115" t="str">
            <v>WN FLG</v>
          </cell>
          <cell r="F4115">
            <v>3</v>
          </cell>
          <cell r="G4115" t="str">
            <v>CB200104000400</v>
          </cell>
          <cell r="H4115">
            <v>4</v>
          </cell>
          <cell r="I4115" t="str">
            <v>--</v>
          </cell>
          <cell r="J4115">
            <v>2</v>
          </cell>
          <cell r="K4115">
            <v>3</v>
          </cell>
        </row>
        <row r="4116">
          <cell r="A4116" t="str">
            <v>M2</v>
          </cell>
          <cell r="B4116" t="str">
            <v>A5C</v>
          </cell>
          <cell r="C4116" t="str">
            <v>P</v>
          </cell>
          <cell r="D4116" t="str">
            <v>23114</v>
          </cell>
          <cell r="E4116" t="str">
            <v>WN FLG</v>
          </cell>
          <cell r="F4116">
            <v>3</v>
          </cell>
          <cell r="G4116" t="str">
            <v>CB200104000400</v>
          </cell>
          <cell r="H4116">
            <v>4</v>
          </cell>
          <cell r="I4116" t="str">
            <v>--</v>
          </cell>
          <cell r="J4116">
            <v>8</v>
          </cell>
          <cell r="K4116">
            <v>10</v>
          </cell>
        </row>
        <row r="4117">
          <cell r="A4117" t="str">
            <v>M2</v>
          </cell>
          <cell r="B4117" t="str">
            <v>A5C</v>
          </cell>
          <cell r="C4117" t="str">
            <v>P</v>
          </cell>
          <cell r="D4117" t="str">
            <v>23127</v>
          </cell>
          <cell r="E4117" t="str">
            <v>WN FLG</v>
          </cell>
          <cell r="F4117">
            <v>3</v>
          </cell>
          <cell r="G4117" t="str">
            <v>CB200104000400</v>
          </cell>
          <cell r="H4117">
            <v>4</v>
          </cell>
          <cell r="I4117" t="str">
            <v>--</v>
          </cell>
          <cell r="J4117">
            <v>8</v>
          </cell>
          <cell r="K4117">
            <v>10</v>
          </cell>
        </row>
        <row r="4118">
          <cell r="A4118" t="str">
            <v>M2</v>
          </cell>
          <cell r="B4118" t="str">
            <v>A5C</v>
          </cell>
          <cell r="C4118" t="str">
            <v>P</v>
          </cell>
          <cell r="D4118" t="str">
            <v>23134</v>
          </cell>
          <cell r="E4118" t="str">
            <v>WN FLG</v>
          </cell>
          <cell r="F4118">
            <v>3</v>
          </cell>
          <cell r="G4118" t="str">
            <v>CB200104000400</v>
          </cell>
          <cell r="H4118">
            <v>4</v>
          </cell>
          <cell r="I4118" t="str">
            <v>--</v>
          </cell>
          <cell r="J4118">
            <v>9</v>
          </cell>
          <cell r="K4118">
            <v>11</v>
          </cell>
        </row>
        <row r="4119">
          <cell r="A4119" t="str">
            <v>M2</v>
          </cell>
          <cell r="B4119" t="str">
            <v>A5C</v>
          </cell>
          <cell r="C4119" t="str">
            <v>P</v>
          </cell>
          <cell r="D4119" t="str">
            <v>23139</v>
          </cell>
          <cell r="E4119" t="str">
            <v>WN FLG</v>
          </cell>
          <cell r="F4119">
            <v>3</v>
          </cell>
          <cell r="G4119" t="str">
            <v>CB200104000400</v>
          </cell>
          <cell r="H4119">
            <v>4</v>
          </cell>
          <cell r="I4119" t="str">
            <v>--</v>
          </cell>
          <cell r="J4119">
            <v>1</v>
          </cell>
          <cell r="K4119">
            <v>2</v>
          </cell>
        </row>
        <row r="4120">
          <cell r="A4120" t="str">
            <v>M2</v>
          </cell>
          <cell r="B4120" t="str">
            <v>A5C</v>
          </cell>
          <cell r="C4120" t="str">
            <v>P</v>
          </cell>
          <cell r="D4120" t="str">
            <v>23139</v>
          </cell>
          <cell r="E4120" t="str">
            <v>WN FLG</v>
          </cell>
          <cell r="F4120">
            <v>3</v>
          </cell>
          <cell r="G4120" t="str">
            <v>CB200204000400</v>
          </cell>
          <cell r="H4120">
            <v>4</v>
          </cell>
          <cell r="I4120" t="str">
            <v>--</v>
          </cell>
          <cell r="J4120">
            <v>1</v>
          </cell>
          <cell r="K4120">
            <v>2</v>
          </cell>
        </row>
        <row r="4121">
          <cell r="A4121" t="str">
            <v>M2</v>
          </cell>
          <cell r="B4121" t="str">
            <v>A5C</v>
          </cell>
          <cell r="C4121" t="str">
            <v>P</v>
          </cell>
          <cell r="D4121" t="str">
            <v>23146</v>
          </cell>
          <cell r="E4121" t="str">
            <v>WN FLG</v>
          </cell>
          <cell r="F4121">
            <v>3</v>
          </cell>
          <cell r="G4121" t="str">
            <v>CB200104000400</v>
          </cell>
          <cell r="H4121">
            <v>4</v>
          </cell>
          <cell r="I4121" t="str">
            <v>--</v>
          </cell>
          <cell r="J4121">
            <v>9</v>
          </cell>
          <cell r="K4121">
            <v>11</v>
          </cell>
        </row>
        <row r="4122">
          <cell r="A4122" t="str">
            <v>M2</v>
          </cell>
          <cell r="B4122" t="str">
            <v>A5C</v>
          </cell>
          <cell r="C4122" t="str">
            <v>P</v>
          </cell>
          <cell r="D4122" t="str">
            <v>23174</v>
          </cell>
          <cell r="E4122" t="str">
            <v>WN FLG</v>
          </cell>
          <cell r="F4122">
            <v>3</v>
          </cell>
          <cell r="G4122" t="str">
            <v>CB200104000400</v>
          </cell>
          <cell r="H4122">
            <v>4</v>
          </cell>
          <cell r="I4122" t="str">
            <v>--</v>
          </cell>
          <cell r="J4122">
            <v>5</v>
          </cell>
          <cell r="K4122">
            <v>6</v>
          </cell>
        </row>
        <row r="4123">
          <cell r="A4123" t="str">
            <v>M2</v>
          </cell>
          <cell r="B4123" t="str">
            <v>A5C</v>
          </cell>
          <cell r="C4123" t="str">
            <v>P</v>
          </cell>
          <cell r="D4123" t="str">
            <v>23267</v>
          </cell>
          <cell r="E4123" t="str">
            <v>WN FLG</v>
          </cell>
          <cell r="F4123">
            <v>3</v>
          </cell>
          <cell r="G4123" t="str">
            <v>CB200104000400</v>
          </cell>
          <cell r="H4123">
            <v>4</v>
          </cell>
          <cell r="I4123" t="str">
            <v>--</v>
          </cell>
          <cell r="J4123">
            <v>2</v>
          </cell>
          <cell r="K4123">
            <v>3</v>
          </cell>
        </row>
        <row r="4124">
          <cell r="A4124" t="str">
            <v>M2</v>
          </cell>
          <cell r="B4124" t="str">
            <v>A5C</v>
          </cell>
          <cell r="C4124" t="str">
            <v>P</v>
          </cell>
          <cell r="D4124" t="str">
            <v>23021</v>
          </cell>
          <cell r="E4124" t="str">
            <v>WN FLG</v>
          </cell>
          <cell r="F4124">
            <v>3</v>
          </cell>
          <cell r="G4124" t="str">
            <v>CB200104000400</v>
          </cell>
          <cell r="H4124">
            <v>4</v>
          </cell>
          <cell r="I4124" t="str">
            <v>--</v>
          </cell>
          <cell r="J4124">
            <v>2</v>
          </cell>
          <cell r="K4124">
            <v>3</v>
          </cell>
        </row>
        <row r="4125">
          <cell r="A4125" t="str">
            <v>M2</v>
          </cell>
          <cell r="B4125" t="str">
            <v>A5C</v>
          </cell>
          <cell r="C4125" t="str">
            <v>P</v>
          </cell>
          <cell r="D4125" t="str">
            <v>23024</v>
          </cell>
          <cell r="E4125" t="str">
            <v>WN FLG</v>
          </cell>
          <cell r="F4125">
            <v>3</v>
          </cell>
          <cell r="G4125" t="str">
            <v>CB200104000400</v>
          </cell>
          <cell r="H4125">
            <v>4</v>
          </cell>
          <cell r="I4125" t="str">
            <v>--</v>
          </cell>
          <cell r="J4125">
            <v>8</v>
          </cell>
          <cell r="K4125">
            <v>10</v>
          </cell>
        </row>
        <row r="4126">
          <cell r="A4126" t="str">
            <v>M2</v>
          </cell>
          <cell r="B4126" t="str">
            <v>A5C</v>
          </cell>
          <cell r="C4126" t="str">
            <v>P</v>
          </cell>
          <cell r="D4126" t="str">
            <v>23026</v>
          </cell>
          <cell r="E4126" t="str">
            <v>WN FLG</v>
          </cell>
          <cell r="F4126">
            <v>3</v>
          </cell>
          <cell r="G4126" t="str">
            <v>CB200104000400</v>
          </cell>
          <cell r="H4126">
            <v>4</v>
          </cell>
          <cell r="I4126" t="str">
            <v>--</v>
          </cell>
          <cell r="J4126">
            <v>2</v>
          </cell>
          <cell r="K4126">
            <v>3</v>
          </cell>
        </row>
        <row r="4127">
          <cell r="A4127" t="str">
            <v>M2</v>
          </cell>
          <cell r="B4127" t="str">
            <v>A5C</v>
          </cell>
          <cell r="C4127" t="str">
            <v>P</v>
          </cell>
          <cell r="D4127" t="str">
            <v>23029</v>
          </cell>
          <cell r="E4127" t="str">
            <v>WN FLG</v>
          </cell>
          <cell r="F4127">
            <v>3</v>
          </cell>
          <cell r="G4127" t="str">
            <v>CB200104000400</v>
          </cell>
          <cell r="H4127">
            <v>4</v>
          </cell>
          <cell r="I4127" t="str">
            <v>--</v>
          </cell>
          <cell r="J4127">
            <v>5</v>
          </cell>
          <cell r="K4127">
            <v>6</v>
          </cell>
        </row>
        <row r="4128">
          <cell r="A4128" t="str">
            <v>M2</v>
          </cell>
          <cell r="B4128" t="str">
            <v>A5C</v>
          </cell>
          <cell r="C4128" t="str">
            <v>P</v>
          </cell>
          <cell r="D4128" t="str">
            <v>23029</v>
          </cell>
          <cell r="E4128" t="str">
            <v>WN FLG</v>
          </cell>
          <cell r="F4128">
            <v>3</v>
          </cell>
          <cell r="G4128" t="str">
            <v>CB200104000400</v>
          </cell>
          <cell r="H4128">
            <v>4</v>
          </cell>
          <cell r="I4128" t="str">
            <v>--</v>
          </cell>
          <cell r="J4128">
            <v>8</v>
          </cell>
          <cell r="K4128">
            <v>10</v>
          </cell>
        </row>
        <row r="4129">
          <cell r="A4129" t="str">
            <v>M2</v>
          </cell>
          <cell r="B4129" t="str">
            <v>A5C</v>
          </cell>
          <cell r="C4129" t="str">
            <v>P</v>
          </cell>
          <cell r="D4129" t="str">
            <v>23045</v>
          </cell>
          <cell r="E4129" t="str">
            <v>WN FLG</v>
          </cell>
          <cell r="F4129">
            <v>3</v>
          </cell>
          <cell r="G4129" t="str">
            <v>CB200104000400</v>
          </cell>
          <cell r="H4129">
            <v>4</v>
          </cell>
          <cell r="I4129" t="str">
            <v>--</v>
          </cell>
          <cell r="J4129">
            <v>2</v>
          </cell>
          <cell r="K4129">
            <v>3</v>
          </cell>
        </row>
        <row r="4130">
          <cell r="A4130" t="str">
            <v>M2</v>
          </cell>
          <cell r="B4130" t="str">
            <v>A5C</v>
          </cell>
          <cell r="C4130" t="str">
            <v>P</v>
          </cell>
          <cell r="D4130" t="str">
            <v>23024</v>
          </cell>
          <cell r="E4130" t="str">
            <v>WN FLG</v>
          </cell>
          <cell r="F4130">
            <v>3</v>
          </cell>
          <cell r="G4130" t="str">
            <v>CB200104000400</v>
          </cell>
          <cell r="H4130">
            <v>4</v>
          </cell>
          <cell r="I4130" t="str">
            <v>--</v>
          </cell>
          <cell r="J4130">
            <v>5</v>
          </cell>
          <cell r="K4130">
            <v>6</v>
          </cell>
        </row>
        <row r="4131">
          <cell r="A4131" t="str">
            <v>M2</v>
          </cell>
          <cell r="B4131" t="str">
            <v>A5C</v>
          </cell>
          <cell r="C4131" t="str">
            <v>P</v>
          </cell>
          <cell r="D4131" t="str">
            <v>23062</v>
          </cell>
          <cell r="E4131" t="str">
            <v>WN FLG</v>
          </cell>
          <cell r="F4131">
            <v>3</v>
          </cell>
          <cell r="G4131" t="str">
            <v>CB200104000400</v>
          </cell>
          <cell r="H4131">
            <v>4</v>
          </cell>
          <cell r="I4131" t="str">
            <v>--</v>
          </cell>
          <cell r="J4131">
            <v>5</v>
          </cell>
          <cell r="K4131">
            <v>6</v>
          </cell>
        </row>
        <row r="4132">
          <cell r="A4132" t="str">
            <v>M2</v>
          </cell>
          <cell r="B4132" t="str">
            <v>A5C</v>
          </cell>
          <cell r="C4132" t="str">
            <v>P</v>
          </cell>
          <cell r="D4132" t="str">
            <v>23091</v>
          </cell>
          <cell r="E4132" t="str">
            <v>WN FLG</v>
          </cell>
          <cell r="F4132">
            <v>3</v>
          </cell>
          <cell r="G4132" t="str">
            <v>CB200104000400</v>
          </cell>
          <cell r="H4132">
            <v>4</v>
          </cell>
          <cell r="I4132" t="str">
            <v>--</v>
          </cell>
          <cell r="J4132">
            <v>2</v>
          </cell>
          <cell r="K4132">
            <v>3</v>
          </cell>
        </row>
        <row r="4133">
          <cell r="A4133" t="str">
            <v>M2</v>
          </cell>
          <cell r="B4133" t="str">
            <v>A5C</v>
          </cell>
          <cell r="C4133" t="str">
            <v>P</v>
          </cell>
          <cell r="D4133" t="str">
            <v>23130</v>
          </cell>
          <cell r="E4133" t="str">
            <v>WN FLG</v>
          </cell>
          <cell r="F4133">
            <v>3</v>
          </cell>
          <cell r="G4133" t="str">
            <v>CB200104000400</v>
          </cell>
          <cell r="H4133">
            <v>4</v>
          </cell>
          <cell r="I4133" t="str">
            <v>--</v>
          </cell>
          <cell r="J4133">
            <v>2</v>
          </cell>
          <cell r="K4133">
            <v>3</v>
          </cell>
        </row>
        <row r="4134">
          <cell r="A4134" t="str">
            <v>M2</v>
          </cell>
          <cell r="B4134" t="str">
            <v>A5C</v>
          </cell>
          <cell r="C4134" t="str">
            <v>P</v>
          </cell>
          <cell r="D4134" t="str">
            <v>23023</v>
          </cell>
          <cell r="E4134" t="str">
            <v>WN FLG</v>
          </cell>
          <cell r="F4134">
            <v>3</v>
          </cell>
          <cell r="G4134" t="str">
            <v>CB200104000600</v>
          </cell>
          <cell r="H4134">
            <v>6</v>
          </cell>
          <cell r="I4134" t="str">
            <v>--</v>
          </cell>
          <cell r="J4134">
            <v>2</v>
          </cell>
          <cell r="K4134">
            <v>3</v>
          </cell>
        </row>
        <row r="4135">
          <cell r="A4135" t="str">
            <v>M2</v>
          </cell>
          <cell r="B4135" t="str">
            <v>A5C</v>
          </cell>
          <cell r="C4135" t="str">
            <v>P</v>
          </cell>
          <cell r="D4135" t="str">
            <v>23084</v>
          </cell>
          <cell r="E4135" t="str">
            <v>WN FLG</v>
          </cell>
          <cell r="F4135">
            <v>3</v>
          </cell>
          <cell r="G4135" t="str">
            <v>CB200104000600</v>
          </cell>
          <cell r="H4135">
            <v>6</v>
          </cell>
          <cell r="I4135" t="str">
            <v>--</v>
          </cell>
          <cell r="J4135">
            <v>8</v>
          </cell>
          <cell r="K4135">
            <v>10</v>
          </cell>
        </row>
        <row r="4136">
          <cell r="A4136" t="str">
            <v>M2</v>
          </cell>
          <cell r="B4136" t="str">
            <v>A5C</v>
          </cell>
          <cell r="C4136" t="str">
            <v>P</v>
          </cell>
          <cell r="D4136" t="str">
            <v>23097</v>
          </cell>
          <cell r="E4136" t="str">
            <v>WN FLG</v>
          </cell>
          <cell r="F4136">
            <v>3</v>
          </cell>
          <cell r="G4136" t="str">
            <v>CB200104000600</v>
          </cell>
          <cell r="H4136">
            <v>6</v>
          </cell>
          <cell r="I4136" t="str">
            <v>--</v>
          </cell>
          <cell r="J4136">
            <v>2</v>
          </cell>
          <cell r="K4136">
            <v>3</v>
          </cell>
        </row>
        <row r="4137">
          <cell r="A4137" t="str">
            <v>M2</v>
          </cell>
          <cell r="B4137" t="str">
            <v>A5C</v>
          </cell>
          <cell r="C4137" t="str">
            <v>P</v>
          </cell>
          <cell r="D4137" t="str">
            <v>23136</v>
          </cell>
          <cell r="E4137" t="str">
            <v>WN FLG</v>
          </cell>
          <cell r="F4137">
            <v>3</v>
          </cell>
          <cell r="G4137" t="str">
            <v>CB200104000600</v>
          </cell>
          <cell r="H4137">
            <v>6</v>
          </cell>
          <cell r="I4137" t="str">
            <v>--</v>
          </cell>
          <cell r="J4137">
            <v>2</v>
          </cell>
          <cell r="K4137">
            <v>3</v>
          </cell>
        </row>
        <row r="4138">
          <cell r="A4138" t="str">
            <v>M2</v>
          </cell>
          <cell r="B4138" t="str">
            <v>A5C</v>
          </cell>
          <cell r="C4138" t="str">
            <v>P</v>
          </cell>
          <cell r="D4138" t="str">
            <v>23152</v>
          </cell>
          <cell r="E4138" t="str">
            <v>WN FLG</v>
          </cell>
          <cell r="F4138">
            <v>3</v>
          </cell>
          <cell r="G4138" t="str">
            <v>CB200104000600</v>
          </cell>
          <cell r="H4138">
            <v>6</v>
          </cell>
          <cell r="I4138" t="str">
            <v>--</v>
          </cell>
          <cell r="J4138">
            <v>5</v>
          </cell>
          <cell r="K4138">
            <v>6</v>
          </cell>
        </row>
        <row r="4139">
          <cell r="A4139" t="str">
            <v>M2</v>
          </cell>
          <cell r="B4139" t="str">
            <v>A5C</v>
          </cell>
          <cell r="C4139" t="str">
            <v>P</v>
          </cell>
          <cell r="D4139" t="str">
            <v>23160</v>
          </cell>
          <cell r="E4139" t="str">
            <v>WN FLG</v>
          </cell>
          <cell r="F4139">
            <v>3</v>
          </cell>
          <cell r="G4139" t="str">
            <v>CB200104000600</v>
          </cell>
          <cell r="H4139">
            <v>6</v>
          </cell>
          <cell r="I4139" t="str">
            <v>--</v>
          </cell>
          <cell r="J4139">
            <v>2</v>
          </cell>
          <cell r="K4139">
            <v>3</v>
          </cell>
        </row>
        <row r="4140">
          <cell r="A4140" t="str">
            <v>M2</v>
          </cell>
          <cell r="B4140" t="str">
            <v>A5C</v>
          </cell>
          <cell r="C4140" t="str">
            <v>P</v>
          </cell>
          <cell r="D4140" t="str">
            <v>23160</v>
          </cell>
          <cell r="E4140" t="str">
            <v>WN FLG</v>
          </cell>
          <cell r="F4140">
            <v>3</v>
          </cell>
          <cell r="G4140" t="str">
            <v>CB200204000600</v>
          </cell>
          <cell r="H4140">
            <v>6</v>
          </cell>
          <cell r="I4140" t="str">
            <v>--</v>
          </cell>
          <cell r="J4140">
            <v>2</v>
          </cell>
          <cell r="K4140">
            <v>3</v>
          </cell>
        </row>
        <row r="4141">
          <cell r="A4141" t="str">
            <v>M2</v>
          </cell>
          <cell r="B4141" t="str">
            <v>A5C</v>
          </cell>
          <cell r="C4141" t="str">
            <v>P</v>
          </cell>
          <cell r="D4141" t="str">
            <v>23181</v>
          </cell>
          <cell r="E4141" t="str">
            <v>WN FLG</v>
          </cell>
          <cell r="F4141">
            <v>3</v>
          </cell>
          <cell r="G4141" t="str">
            <v>CB200104000600</v>
          </cell>
          <cell r="H4141">
            <v>6</v>
          </cell>
          <cell r="I4141" t="str">
            <v>--</v>
          </cell>
          <cell r="J4141">
            <v>4</v>
          </cell>
          <cell r="K4141">
            <v>5</v>
          </cell>
        </row>
        <row r="4142">
          <cell r="A4142" t="str">
            <v>M2</v>
          </cell>
          <cell r="B4142" t="str">
            <v>A5C</v>
          </cell>
          <cell r="C4142" t="str">
            <v>P</v>
          </cell>
          <cell r="D4142" t="str">
            <v>23181</v>
          </cell>
          <cell r="E4142" t="str">
            <v>WN FLG</v>
          </cell>
          <cell r="F4142">
            <v>3</v>
          </cell>
          <cell r="G4142" t="str">
            <v>CB200104000600</v>
          </cell>
          <cell r="H4142">
            <v>6</v>
          </cell>
          <cell r="I4142" t="str">
            <v>--</v>
          </cell>
          <cell r="J4142">
            <v>1</v>
          </cell>
          <cell r="K4142">
            <v>2</v>
          </cell>
        </row>
        <row r="4143">
          <cell r="A4143" t="str">
            <v>M2</v>
          </cell>
          <cell r="B4143" t="str">
            <v>A5C</v>
          </cell>
          <cell r="C4143" t="str">
            <v>P</v>
          </cell>
          <cell r="D4143" t="str">
            <v>23083</v>
          </cell>
          <cell r="E4143" t="str">
            <v>WN FLG</v>
          </cell>
          <cell r="F4143">
            <v>3</v>
          </cell>
          <cell r="G4143" t="str">
            <v>CB200104000600</v>
          </cell>
          <cell r="H4143">
            <v>6</v>
          </cell>
          <cell r="I4143" t="str">
            <v>--</v>
          </cell>
          <cell r="J4143">
            <v>1</v>
          </cell>
          <cell r="K4143">
            <v>2</v>
          </cell>
        </row>
        <row r="4144">
          <cell r="A4144" t="str">
            <v>M2</v>
          </cell>
          <cell r="B4144" t="str">
            <v>A5C</v>
          </cell>
          <cell r="C4144" t="str">
            <v>P</v>
          </cell>
          <cell r="D4144" t="str">
            <v>23056</v>
          </cell>
          <cell r="E4144" t="str">
            <v>WN FLG</v>
          </cell>
          <cell r="F4144">
            <v>3</v>
          </cell>
          <cell r="G4144" t="str">
            <v>CB200104000600</v>
          </cell>
          <cell r="H4144">
            <v>6</v>
          </cell>
          <cell r="I4144" t="str">
            <v>--</v>
          </cell>
          <cell r="J4144">
            <v>2</v>
          </cell>
          <cell r="K4144">
            <v>3</v>
          </cell>
        </row>
        <row r="4145">
          <cell r="A4145" t="str">
            <v>M2</v>
          </cell>
          <cell r="B4145" t="str">
            <v>A5C</v>
          </cell>
          <cell r="C4145" t="str">
            <v>P</v>
          </cell>
          <cell r="D4145" t="str">
            <v>23075</v>
          </cell>
          <cell r="E4145" t="str">
            <v>WN FLG</v>
          </cell>
          <cell r="F4145">
            <v>3</v>
          </cell>
          <cell r="G4145" t="str">
            <v>CB200104000600</v>
          </cell>
          <cell r="H4145">
            <v>6</v>
          </cell>
          <cell r="I4145" t="str">
            <v>--</v>
          </cell>
          <cell r="J4145">
            <v>2</v>
          </cell>
          <cell r="K4145">
            <v>3</v>
          </cell>
        </row>
        <row r="4146">
          <cell r="A4146" t="str">
            <v>M2</v>
          </cell>
          <cell r="B4146" t="str">
            <v>A5C</v>
          </cell>
          <cell r="C4146" t="str">
            <v>P</v>
          </cell>
          <cell r="D4146" t="str">
            <v>23089</v>
          </cell>
          <cell r="E4146" t="str">
            <v>WN FLG</v>
          </cell>
          <cell r="F4146">
            <v>3</v>
          </cell>
          <cell r="G4146" t="str">
            <v>CB200104000600</v>
          </cell>
          <cell r="H4146">
            <v>6</v>
          </cell>
          <cell r="I4146" t="str">
            <v>--</v>
          </cell>
          <cell r="J4146">
            <v>2</v>
          </cell>
          <cell r="K4146">
            <v>3</v>
          </cell>
        </row>
        <row r="4147">
          <cell r="A4147" t="str">
            <v>M2</v>
          </cell>
          <cell r="B4147" t="str">
            <v>A5C</v>
          </cell>
          <cell r="C4147" t="str">
            <v>P</v>
          </cell>
          <cell r="D4147" t="str">
            <v>23090</v>
          </cell>
          <cell r="E4147" t="str">
            <v>WN FLG</v>
          </cell>
          <cell r="F4147">
            <v>3</v>
          </cell>
          <cell r="G4147" t="str">
            <v>CB200104000600</v>
          </cell>
          <cell r="H4147">
            <v>6</v>
          </cell>
          <cell r="I4147" t="str">
            <v>--</v>
          </cell>
          <cell r="J4147">
            <v>2</v>
          </cell>
          <cell r="K4147">
            <v>3</v>
          </cell>
        </row>
        <row r="4148">
          <cell r="A4148" t="str">
            <v>M2</v>
          </cell>
          <cell r="B4148" t="str">
            <v>A5C</v>
          </cell>
          <cell r="C4148" t="str">
            <v>P</v>
          </cell>
          <cell r="D4148" t="str">
            <v>23091</v>
          </cell>
          <cell r="E4148" t="str">
            <v>WN FLG</v>
          </cell>
          <cell r="F4148">
            <v>3</v>
          </cell>
          <cell r="G4148" t="str">
            <v>CB200104000600</v>
          </cell>
          <cell r="H4148">
            <v>6</v>
          </cell>
          <cell r="I4148" t="str">
            <v>--</v>
          </cell>
          <cell r="J4148">
            <v>9</v>
          </cell>
          <cell r="K4148">
            <v>11</v>
          </cell>
        </row>
        <row r="4149">
          <cell r="A4149" t="str">
            <v>M2</v>
          </cell>
          <cell r="B4149" t="str">
            <v>A5C</v>
          </cell>
          <cell r="C4149" t="str">
            <v>P</v>
          </cell>
          <cell r="D4149" t="str">
            <v>23091</v>
          </cell>
          <cell r="E4149" t="str">
            <v>WN FLG</v>
          </cell>
          <cell r="F4149">
            <v>3</v>
          </cell>
          <cell r="G4149" t="str">
            <v>CB200104000600</v>
          </cell>
          <cell r="H4149">
            <v>6</v>
          </cell>
          <cell r="I4149" t="str">
            <v>--</v>
          </cell>
          <cell r="J4149">
            <v>2</v>
          </cell>
          <cell r="K4149">
            <v>3</v>
          </cell>
        </row>
        <row r="4150">
          <cell r="A4150" t="str">
            <v>M2</v>
          </cell>
          <cell r="B4150" t="str">
            <v>A5C</v>
          </cell>
          <cell r="C4150" t="str">
            <v>P</v>
          </cell>
          <cell r="D4150" t="str">
            <v>23129</v>
          </cell>
          <cell r="E4150" t="str">
            <v>WN FLG</v>
          </cell>
          <cell r="F4150">
            <v>3</v>
          </cell>
          <cell r="G4150" t="str">
            <v>CB200104000600</v>
          </cell>
          <cell r="H4150">
            <v>6</v>
          </cell>
          <cell r="I4150" t="str">
            <v>--</v>
          </cell>
          <cell r="J4150">
            <v>2</v>
          </cell>
          <cell r="K4150">
            <v>3</v>
          </cell>
        </row>
        <row r="4151">
          <cell r="A4151" t="str">
            <v>M2</v>
          </cell>
          <cell r="B4151" t="str">
            <v>A5C</v>
          </cell>
          <cell r="C4151" t="str">
            <v>P</v>
          </cell>
          <cell r="D4151" t="str">
            <v>23130</v>
          </cell>
          <cell r="E4151" t="str">
            <v>WN FLG</v>
          </cell>
          <cell r="F4151">
            <v>3</v>
          </cell>
          <cell r="G4151" t="str">
            <v>CB200104000600</v>
          </cell>
          <cell r="H4151">
            <v>6</v>
          </cell>
          <cell r="I4151" t="str">
            <v>--</v>
          </cell>
          <cell r="J4151">
            <v>9</v>
          </cell>
          <cell r="K4151">
            <v>11</v>
          </cell>
        </row>
        <row r="4152">
          <cell r="A4152" t="str">
            <v>M2</v>
          </cell>
          <cell r="B4152" t="str">
            <v>A5C</v>
          </cell>
          <cell r="C4152" t="str">
            <v>P</v>
          </cell>
          <cell r="D4152" t="str">
            <v>23130</v>
          </cell>
          <cell r="E4152" t="str">
            <v>WN FLG</v>
          </cell>
          <cell r="F4152">
            <v>3</v>
          </cell>
          <cell r="G4152" t="str">
            <v>CB200204000600</v>
          </cell>
          <cell r="H4152">
            <v>6</v>
          </cell>
          <cell r="I4152" t="str">
            <v>--</v>
          </cell>
          <cell r="J4152">
            <v>2</v>
          </cell>
          <cell r="K4152">
            <v>3</v>
          </cell>
        </row>
        <row r="4153">
          <cell r="A4153" t="str">
            <v>M2</v>
          </cell>
          <cell r="B4153" t="str">
            <v>A5C</v>
          </cell>
          <cell r="C4153" t="str">
            <v>P</v>
          </cell>
          <cell r="D4153" t="str">
            <v>23021</v>
          </cell>
          <cell r="E4153" t="str">
            <v>WN FLG</v>
          </cell>
          <cell r="F4153">
            <v>3</v>
          </cell>
          <cell r="G4153" t="str">
            <v>CB200104000600</v>
          </cell>
          <cell r="H4153">
            <v>6</v>
          </cell>
          <cell r="I4153" t="str">
            <v>--</v>
          </cell>
          <cell r="J4153">
            <v>5</v>
          </cell>
          <cell r="K4153">
            <v>6</v>
          </cell>
        </row>
        <row r="4154">
          <cell r="A4154" t="str">
            <v>M2</v>
          </cell>
          <cell r="B4154" t="str">
            <v>A5C</v>
          </cell>
          <cell r="C4154" t="str">
            <v>P</v>
          </cell>
          <cell r="D4154" t="str">
            <v>23025</v>
          </cell>
          <cell r="E4154" t="str">
            <v>WN FLG</v>
          </cell>
          <cell r="F4154">
            <v>3</v>
          </cell>
          <cell r="G4154" t="str">
            <v>CB200104000600</v>
          </cell>
          <cell r="H4154">
            <v>6</v>
          </cell>
          <cell r="I4154" t="str">
            <v>--</v>
          </cell>
          <cell r="J4154">
            <v>2</v>
          </cell>
          <cell r="K4154">
            <v>3</v>
          </cell>
        </row>
        <row r="4155">
          <cell r="A4155" t="str">
            <v>M2</v>
          </cell>
          <cell r="B4155" t="str">
            <v>A5C</v>
          </cell>
          <cell r="C4155" t="str">
            <v>P</v>
          </cell>
          <cell r="D4155" t="str">
            <v>23026</v>
          </cell>
          <cell r="E4155" t="str">
            <v>WN FLG</v>
          </cell>
          <cell r="F4155">
            <v>3</v>
          </cell>
          <cell r="G4155" t="str">
            <v>CB200104000600</v>
          </cell>
          <cell r="H4155">
            <v>6</v>
          </cell>
          <cell r="I4155" t="str">
            <v>--</v>
          </cell>
          <cell r="J4155">
            <v>5</v>
          </cell>
          <cell r="K4155">
            <v>6</v>
          </cell>
        </row>
        <row r="4156">
          <cell r="A4156" t="str">
            <v>M2</v>
          </cell>
          <cell r="B4156" t="str">
            <v>A5C</v>
          </cell>
          <cell r="C4156" t="str">
            <v>P</v>
          </cell>
          <cell r="D4156" t="str">
            <v>23128</v>
          </cell>
          <cell r="E4156" t="str">
            <v>WN FLG</v>
          </cell>
          <cell r="F4156">
            <v>3</v>
          </cell>
          <cell r="G4156" t="str">
            <v>CB200104000600</v>
          </cell>
          <cell r="H4156">
            <v>6</v>
          </cell>
          <cell r="I4156" t="str">
            <v>--</v>
          </cell>
          <cell r="J4156">
            <v>2</v>
          </cell>
          <cell r="K4156">
            <v>3</v>
          </cell>
        </row>
        <row r="4157">
          <cell r="A4157" t="str">
            <v>M2</v>
          </cell>
          <cell r="B4157" t="str">
            <v>A5C</v>
          </cell>
          <cell r="C4157" t="str">
            <v>P</v>
          </cell>
          <cell r="D4157" t="str">
            <v>23221</v>
          </cell>
          <cell r="E4157" t="str">
            <v>WN FLG</v>
          </cell>
          <cell r="F4157">
            <v>3</v>
          </cell>
          <cell r="G4157" t="str">
            <v>CB200104000600</v>
          </cell>
          <cell r="H4157">
            <v>6</v>
          </cell>
          <cell r="I4157" t="str">
            <v>--</v>
          </cell>
          <cell r="J4157">
            <v>5</v>
          </cell>
          <cell r="K4157">
            <v>6</v>
          </cell>
        </row>
        <row r="4158">
          <cell r="A4158" t="str">
            <v>M2</v>
          </cell>
          <cell r="B4158" t="str">
            <v>A5C</v>
          </cell>
          <cell r="C4158" t="str">
            <v>P</v>
          </cell>
          <cell r="D4158" t="str">
            <v>23221</v>
          </cell>
          <cell r="E4158" t="str">
            <v>WN FLG</v>
          </cell>
          <cell r="F4158">
            <v>3</v>
          </cell>
          <cell r="G4158" t="str">
            <v>CB200104000600</v>
          </cell>
          <cell r="H4158">
            <v>6</v>
          </cell>
          <cell r="I4158" t="str">
            <v>--</v>
          </cell>
          <cell r="J4158">
            <v>2</v>
          </cell>
          <cell r="K4158">
            <v>3</v>
          </cell>
        </row>
        <row r="4159">
          <cell r="A4159" t="str">
            <v>M2</v>
          </cell>
          <cell r="B4159" t="str">
            <v>A5C</v>
          </cell>
          <cell r="C4159" t="str">
            <v>P</v>
          </cell>
          <cell r="D4159" t="str">
            <v>23244</v>
          </cell>
          <cell r="E4159" t="str">
            <v>WN FLG</v>
          </cell>
          <cell r="F4159">
            <v>3</v>
          </cell>
          <cell r="G4159" t="str">
            <v>CB200204000600</v>
          </cell>
          <cell r="H4159">
            <v>6</v>
          </cell>
          <cell r="I4159" t="str">
            <v>--</v>
          </cell>
          <cell r="J4159">
            <v>2</v>
          </cell>
          <cell r="K4159">
            <v>3</v>
          </cell>
        </row>
        <row r="4160">
          <cell r="A4160" t="str">
            <v>M2</v>
          </cell>
          <cell r="B4160" t="str">
            <v>A5C</v>
          </cell>
          <cell r="C4160" t="str">
            <v>P</v>
          </cell>
          <cell r="D4160" t="str">
            <v>23244</v>
          </cell>
          <cell r="E4160" t="str">
            <v>WN FLG</v>
          </cell>
          <cell r="F4160">
            <v>3</v>
          </cell>
          <cell r="G4160" t="str">
            <v>CB200104000600</v>
          </cell>
          <cell r="H4160">
            <v>6</v>
          </cell>
          <cell r="I4160" t="str">
            <v>--</v>
          </cell>
          <cell r="J4160">
            <v>5</v>
          </cell>
          <cell r="K4160">
            <v>6</v>
          </cell>
        </row>
        <row r="4161">
          <cell r="A4161" t="str">
            <v>M2</v>
          </cell>
          <cell r="B4161" t="str">
            <v>A5C</v>
          </cell>
          <cell r="C4161" t="str">
            <v>P</v>
          </cell>
          <cell r="D4161" t="str">
            <v>23046</v>
          </cell>
          <cell r="E4161" t="str">
            <v>WN FLG</v>
          </cell>
          <cell r="F4161">
            <v>3</v>
          </cell>
          <cell r="G4161" t="str">
            <v>CB200104000800</v>
          </cell>
          <cell r="H4161">
            <v>8</v>
          </cell>
          <cell r="I4161" t="str">
            <v>--</v>
          </cell>
          <cell r="J4161">
            <v>2</v>
          </cell>
          <cell r="K4161">
            <v>3</v>
          </cell>
        </row>
        <row r="4162">
          <cell r="A4162" t="str">
            <v>M2</v>
          </cell>
          <cell r="B4162" t="str">
            <v>A5C</v>
          </cell>
          <cell r="C4162" t="str">
            <v>P</v>
          </cell>
          <cell r="D4162" t="str">
            <v>23046</v>
          </cell>
          <cell r="E4162" t="str">
            <v>WN FLG</v>
          </cell>
          <cell r="F4162">
            <v>3</v>
          </cell>
          <cell r="G4162" t="str">
            <v>CB200204000800</v>
          </cell>
          <cell r="H4162">
            <v>8</v>
          </cell>
          <cell r="I4162" t="str">
            <v>--</v>
          </cell>
          <cell r="J4162">
            <v>2</v>
          </cell>
          <cell r="K4162">
            <v>3</v>
          </cell>
        </row>
        <row r="4163">
          <cell r="A4163" t="str">
            <v>M2</v>
          </cell>
          <cell r="B4163" t="str">
            <v>A5C</v>
          </cell>
          <cell r="C4163" t="str">
            <v>P</v>
          </cell>
          <cell r="D4163" t="str">
            <v>23067</v>
          </cell>
          <cell r="E4163" t="str">
            <v>WN FLG</v>
          </cell>
          <cell r="F4163">
            <v>3</v>
          </cell>
          <cell r="G4163" t="str">
            <v>CB200104000800</v>
          </cell>
          <cell r="H4163">
            <v>8</v>
          </cell>
          <cell r="I4163" t="str">
            <v>--</v>
          </cell>
          <cell r="J4163">
            <v>2</v>
          </cell>
          <cell r="K4163">
            <v>3</v>
          </cell>
        </row>
        <row r="4164">
          <cell r="A4164" t="str">
            <v>M2</v>
          </cell>
          <cell r="B4164" t="str">
            <v>A5C</v>
          </cell>
          <cell r="C4164" t="str">
            <v>P</v>
          </cell>
          <cell r="D4164" t="str">
            <v>23126</v>
          </cell>
          <cell r="E4164" t="str">
            <v>WN FLG</v>
          </cell>
          <cell r="F4164">
            <v>3</v>
          </cell>
          <cell r="G4164" t="str">
            <v>CB200104000800</v>
          </cell>
          <cell r="H4164">
            <v>8</v>
          </cell>
          <cell r="I4164" t="str">
            <v>--</v>
          </cell>
          <cell r="J4164">
            <v>2</v>
          </cell>
          <cell r="K4164">
            <v>3</v>
          </cell>
        </row>
        <row r="4165">
          <cell r="A4165" t="str">
            <v>M2</v>
          </cell>
          <cell r="B4165" t="str">
            <v>A5C</v>
          </cell>
          <cell r="C4165" t="str">
            <v>P</v>
          </cell>
          <cell r="D4165" t="str">
            <v>23160</v>
          </cell>
          <cell r="E4165" t="str">
            <v>WN FLG</v>
          </cell>
          <cell r="F4165">
            <v>3</v>
          </cell>
          <cell r="G4165" t="str">
            <v>CB200104000800</v>
          </cell>
          <cell r="H4165">
            <v>8</v>
          </cell>
          <cell r="I4165" t="str">
            <v>--</v>
          </cell>
          <cell r="J4165">
            <v>5</v>
          </cell>
          <cell r="K4165">
            <v>6</v>
          </cell>
        </row>
        <row r="4166">
          <cell r="A4166" t="str">
            <v>M2</v>
          </cell>
          <cell r="B4166" t="str">
            <v>A5C</v>
          </cell>
          <cell r="C4166" t="str">
            <v>P</v>
          </cell>
          <cell r="D4166" t="str">
            <v>23089</v>
          </cell>
          <cell r="E4166" t="str">
            <v>WN FLG</v>
          </cell>
          <cell r="F4166">
            <v>3</v>
          </cell>
          <cell r="G4166" t="str">
            <v>CB200104000800</v>
          </cell>
          <cell r="H4166">
            <v>8</v>
          </cell>
          <cell r="I4166" t="str">
            <v>--</v>
          </cell>
          <cell r="J4166">
            <v>5</v>
          </cell>
          <cell r="K4166">
            <v>6</v>
          </cell>
        </row>
        <row r="4167">
          <cell r="A4167" t="str">
            <v>M2</v>
          </cell>
          <cell r="B4167" t="str">
            <v>A5C</v>
          </cell>
          <cell r="C4167" t="str">
            <v>P</v>
          </cell>
          <cell r="D4167" t="str">
            <v>23093</v>
          </cell>
          <cell r="E4167" t="str">
            <v>WN FLG</v>
          </cell>
          <cell r="F4167">
            <v>3</v>
          </cell>
          <cell r="G4167" t="str">
            <v>CB200104000800</v>
          </cell>
          <cell r="H4167">
            <v>8</v>
          </cell>
          <cell r="I4167" t="str">
            <v>--</v>
          </cell>
          <cell r="J4167">
            <v>2</v>
          </cell>
          <cell r="K4167">
            <v>3</v>
          </cell>
        </row>
        <row r="4168">
          <cell r="A4168" t="str">
            <v>M2</v>
          </cell>
          <cell r="B4168" t="str">
            <v>A5C</v>
          </cell>
          <cell r="C4168" t="str">
            <v>P</v>
          </cell>
          <cell r="D4168" t="str">
            <v>23128</v>
          </cell>
          <cell r="E4168" t="str">
            <v>WN FLG</v>
          </cell>
          <cell r="F4168">
            <v>3</v>
          </cell>
          <cell r="G4168" t="str">
            <v>CB200104000800</v>
          </cell>
          <cell r="H4168">
            <v>8</v>
          </cell>
          <cell r="I4168" t="str">
            <v>--</v>
          </cell>
          <cell r="J4168">
            <v>5</v>
          </cell>
          <cell r="K4168">
            <v>6</v>
          </cell>
        </row>
        <row r="4169">
          <cell r="A4169" t="str">
            <v>M2</v>
          </cell>
          <cell r="B4169" t="str">
            <v>A5C</v>
          </cell>
          <cell r="C4169" t="str">
            <v>P</v>
          </cell>
          <cell r="D4169" t="str">
            <v>23132</v>
          </cell>
          <cell r="E4169" t="str">
            <v>WN FLG</v>
          </cell>
          <cell r="F4169">
            <v>3</v>
          </cell>
          <cell r="G4169" t="str">
            <v>CB200104000800</v>
          </cell>
          <cell r="H4169">
            <v>8</v>
          </cell>
          <cell r="I4169" t="str">
            <v>--</v>
          </cell>
          <cell r="J4169">
            <v>2</v>
          </cell>
          <cell r="K4169">
            <v>3</v>
          </cell>
        </row>
        <row r="4170">
          <cell r="A4170" t="str">
            <v>M2</v>
          </cell>
          <cell r="B4170" t="str">
            <v>A5C</v>
          </cell>
          <cell r="C4170" t="str">
            <v>P</v>
          </cell>
          <cell r="D4170" t="str">
            <v>23010</v>
          </cell>
          <cell r="E4170" t="str">
            <v>WN FLG</v>
          </cell>
          <cell r="F4170">
            <v>3</v>
          </cell>
          <cell r="G4170" t="str">
            <v>CB200104000800</v>
          </cell>
          <cell r="H4170">
            <v>8</v>
          </cell>
          <cell r="I4170" t="str">
            <v>--</v>
          </cell>
          <cell r="J4170">
            <v>2</v>
          </cell>
          <cell r="K4170">
            <v>3</v>
          </cell>
        </row>
        <row r="4171">
          <cell r="A4171" t="str">
            <v>M2</v>
          </cell>
          <cell r="B4171" t="str">
            <v>A5C</v>
          </cell>
          <cell r="C4171" t="str">
            <v>P</v>
          </cell>
          <cell r="D4171" t="str">
            <v>23011</v>
          </cell>
          <cell r="E4171" t="str">
            <v>WN FLG</v>
          </cell>
          <cell r="F4171">
            <v>3</v>
          </cell>
          <cell r="G4171" t="str">
            <v>CB200204001000</v>
          </cell>
          <cell r="H4171">
            <v>10</v>
          </cell>
          <cell r="I4171" t="str">
            <v>--</v>
          </cell>
          <cell r="J4171">
            <v>2</v>
          </cell>
          <cell r="K4171">
            <v>3</v>
          </cell>
        </row>
        <row r="4172">
          <cell r="A4172" t="str">
            <v>M2</v>
          </cell>
          <cell r="B4172" t="str">
            <v>A5C</v>
          </cell>
          <cell r="C4172" t="str">
            <v>P</v>
          </cell>
          <cell r="D4172" t="str">
            <v>23011</v>
          </cell>
          <cell r="E4172" t="str">
            <v>WN FLG</v>
          </cell>
          <cell r="F4172">
            <v>3</v>
          </cell>
          <cell r="G4172" t="str">
            <v>CB200104001000</v>
          </cell>
          <cell r="H4172">
            <v>10</v>
          </cell>
          <cell r="I4172" t="str">
            <v>--</v>
          </cell>
          <cell r="J4172">
            <v>2</v>
          </cell>
          <cell r="K4172">
            <v>3</v>
          </cell>
        </row>
        <row r="4173">
          <cell r="A4173" t="str">
            <v>M2</v>
          </cell>
          <cell r="B4173" t="str">
            <v>A5C</v>
          </cell>
          <cell r="C4173" t="str">
            <v>P</v>
          </cell>
          <cell r="D4173" t="str">
            <v>23023</v>
          </cell>
          <cell r="E4173" t="str">
            <v>WN FLG</v>
          </cell>
          <cell r="F4173">
            <v>3</v>
          </cell>
          <cell r="G4173" t="str">
            <v>CB200104001000</v>
          </cell>
          <cell r="H4173">
            <v>10</v>
          </cell>
          <cell r="I4173" t="str">
            <v>--</v>
          </cell>
          <cell r="J4173">
            <v>4</v>
          </cell>
          <cell r="K4173">
            <v>5</v>
          </cell>
        </row>
        <row r="4174">
          <cell r="A4174" t="str">
            <v>M2</v>
          </cell>
          <cell r="B4174" t="str">
            <v>A5C</v>
          </cell>
          <cell r="C4174" t="str">
            <v>P</v>
          </cell>
          <cell r="D4174" t="str">
            <v>23057</v>
          </cell>
          <cell r="E4174" t="str">
            <v>WN FLG</v>
          </cell>
          <cell r="F4174">
            <v>3</v>
          </cell>
          <cell r="G4174" t="str">
            <v>CB200104001000</v>
          </cell>
          <cell r="H4174">
            <v>10</v>
          </cell>
          <cell r="I4174" t="str">
            <v>--</v>
          </cell>
          <cell r="J4174">
            <v>2</v>
          </cell>
          <cell r="K4174">
            <v>3</v>
          </cell>
        </row>
        <row r="4175">
          <cell r="A4175" t="str">
            <v>M2</v>
          </cell>
          <cell r="B4175" t="str">
            <v>A5C</v>
          </cell>
          <cell r="C4175" t="str">
            <v>P</v>
          </cell>
          <cell r="D4175" t="str">
            <v>23057</v>
          </cell>
          <cell r="E4175" t="str">
            <v>WN FLG</v>
          </cell>
          <cell r="F4175">
            <v>3</v>
          </cell>
          <cell r="G4175" t="str">
            <v>CB200204001000</v>
          </cell>
          <cell r="H4175">
            <v>10</v>
          </cell>
          <cell r="I4175" t="str">
            <v>--</v>
          </cell>
          <cell r="J4175">
            <v>2</v>
          </cell>
          <cell r="K4175">
            <v>3</v>
          </cell>
        </row>
        <row r="4176">
          <cell r="A4176" t="str">
            <v>M2</v>
          </cell>
          <cell r="B4176" t="str">
            <v>A5C</v>
          </cell>
          <cell r="C4176" t="str">
            <v>P</v>
          </cell>
          <cell r="D4176" t="str">
            <v>23049</v>
          </cell>
          <cell r="E4176" t="str">
            <v>WN FLG</v>
          </cell>
          <cell r="F4176">
            <v>3</v>
          </cell>
          <cell r="G4176" t="str">
            <v>CB200104001000</v>
          </cell>
          <cell r="H4176">
            <v>10</v>
          </cell>
          <cell r="I4176" t="str">
            <v>--</v>
          </cell>
          <cell r="J4176">
            <v>2</v>
          </cell>
          <cell r="K4176">
            <v>3</v>
          </cell>
        </row>
        <row r="4177">
          <cell r="A4177" t="str">
            <v>M2</v>
          </cell>
          <cell r="B4177" t="str">
            <v>A5C</v>
          </cell>
          <cell r="C4177" t="str">
            <v>P</v>
          </cell>
          <cell r="D4177" t="str">
            <v>23060</v>
          </cell>
          <cell r="E4177" t="str">
            <v>WN FLG</v>
          </cell>
          <cell r="F4177">
            <v>3</v>
          </cell>
          <cell r="G4177" t="str">
            <v>CB200104001000</v>
          </cell>
          <cell r="H4177">
            <v>10</v>
          </cell>
          <cell r="I4177" t="str">
            <v>--</v>
          </cell>
          <cell r="J4177">
            <v>2</v>
          </cell>
          <cell r="K4177">
            <v>3</v>
          </cell>
        </row>
        <row r="4178">
          <cell r="A4178" t="str">
            <v>M2</v>
          </cell>
          <cell r="B4178" t="str">
            <v>A5C</v>
          </cell>
          <cell r="C4178" t="str">
            <v>P</v>
          </cell>
          <cell r="D4178" t="str">
            <v>23022</v>
          </cell>
          <cell r="E4178" t="str">
            <v>WN FLG</v>
          </cell>
          <cell r="F4178">
            <v>3</v>
          </cell>
          <cell r="G4178" t="str">
            <v>CB200204001200</v>
          </cell>
          <cell r="H4178">
            <v>12</v>
          </cell>
          <cell r="I4178" t="str">
            <v>--</v>
          </cell>
          <cell r="J4178">
            <v>2</v>
          </cell>
          <cell r="K4178">
            <v>3</v>
          </cell>
        </row>
        <row r="4179">
          <cell r="A4179" t="str">
            <v>M2</v>
          </cell>
          <cell r="B4179" t="str">
            <v>A5C</v>
          </cell>
          <cell r="C4179" t="str">
            <v>P</v>
          </cell>
          <cell r="D4179" t="str">
            <v>23031</v>
          </cell>
          <cell r="E4179" t="str">
            <v>WN FLG</v>
          </cell>
          <cell r="F4179">
            <v>3</v>
          </cell>
          <cell r="G4179" t="str">
            <v>CB200104001200</v>
          </cell>
          <cell r="H4179">
            <v>12</v>
          </cell>
          <cell r="I4179" t="str">
            <v>--</v>
          </cell>
          <cell r="J4179">
            <v>1</v>
          </cell>
          <cell r="K4179">
            <v>2</v>
          </cell>
        </row>
        <row r="4180">
          <cell r="A4180" t="str">
            <v>M2</v>
          </cell>
          <cell r="B4180" t="str">
            <v>A5C</v>
          </cell>
          <cell r="C4180" t="str">
            <v>P</v>
          </cell>
          <cell r="D4180" t="str">
            <v>23015</v>
          </cell>
          <cell r="E4180" t="str">
            <v>WN FLG</v>
          </cell>
          <cell r="F4180">
            <v>3</v>
          </cell>
          <cell r="G4180" t="str">
            <v>CB200104001200</v>
          </cell>
          <cell r="H4180">
            <v>12</v>
          </cell>
          <cell r="I4180" t="str">
            <v>--</v>
          </cell>
          <cell r="J4180">
            <v>1</v>
          </cell>
          <cell r="K4180">
            <v>2</v>
          </cell>
        </row>
        <row r="4181">
          <cell r="A4181" t="str">
            <v>M2</v>
          </cell>
          <cell r="B4181" t="str">
            <v>A5C</v>
          </cell>
          <cell r="C4181" t="str">
            <v>P</v>
          </cell>
          <cell r="D4181" t="str">
            <v>23032</v>
          </cell>
          <cell r="E4181" t="str">
            <v>WN FLG</v>
          </cell>
          <cell r="F4181">
            <v>3</v>
          </cell>
          <cell r="G4181" t="str">
            <v>CB200104001600</v>
          </cell>
          <cell r="H4181">
            <v>16</v>
          </cell>
          <cell r="I4181" t="str">
            <v>--</v>
          </cell>
          <cell r="J4181">
            <v>2</v>
          </cell>
          <cell r="K4181">
            <v>2</v>
          </cell>
        </row>
        <row r="4182">
          <cell r="A4182" t="str">
            <v>M2</v>
          </cell>
          <cell r="B4182" t="str">
            <v>A5C</v>
          </cell>
          <cell r="C4182" t="str">
            <v>P</v>
          </cell>
          <cell r="D4182" t="str">
            <v>23022</v>
          </cell>
          <cell r="E4182" t="str">
            <v>WN FLG</v>
          </cell>
          <cell r="F4182">
            <v>3</v>
          </cell>
          <cell r="G4182" t="str">
            <v>CB200104001800</v>
          </cell>
          <cell r="H4182">
            <v>18</v>
          </cell>
          <cell r="I4182" t="str">
            <v>--</v>
          </cell>
          <cell r="J4182">
            <v>1</v>
          </cell>
          <cell r="K4182">
            <v>1</v>
          </cell>
        </row>
        <row r="4183">
          <cell r="A4183" t="str">
            <v>M2</v>
          </cell>
          <cell r="B4183" t="str">
            <v>A5C</v>
          </cell>
          <cell r="C4183" t="str">
            <v>P</v>
          </cell>
          <cell r="D4183" t="str">
            <v>23022</v>
          </cell>
          <cell r="E4183" t="str">
            <v>WN FLG</v>
          </cell>
          <cell r="F4183">
            <v>3</v>
          </cell>
          <cell r="G4183" t="str">
            <v>CB200104002000</v>
          </cell>
          <cell r="H4183">
            <v>20</v>
          </cell>
          <cell r="I4183" t="str">
            <v>--</v>
          </cell>
          <cell r="J4183">
            <v>1</v>
          </cell>
          <cell r="K4183">
            <v>1</v>
          </cell>
        </row>
        <row r="4184">
          <cell r="A4184" t="str">
            <v>M2</v>
          </cell>
          <cell r="B4184" t="str">
            <v>A5C</v>
          </cell>
          <cell r="C4184" t="str">
            <v>P</v>
          </cell>
          <cell r="D4184" t="str">
            <v>23034</v>
          </cell>
          <cell r="E4184" t="str">
            <v>WN FLG</v>
          </cell>
          <cell r="F4184">
            <v>3</v>
          </cell>
          <cell r="G4184" t="str">
            <v>CB200104002000</v>
          </cell>
          <cell r="H4184">
            <v>20</v>
          </cell>
          <cell r="I4184" t="str">
            <v>--</v>
          </cell>
          <cell r="J4184">
            <v>1</v>
          </cell>
          <cell r="K4184">
            <v>1</v>
          </cell>
        </row>
        <row r="4185">
          <cell r="A4185" t="str">
            <v>M2</v>
          </cell>
          <cell r="B4185" t="str">
            <v>B2C</v>
          </cell>
          <cell r="C4185" t="str">
            <v>SH</v>
          </cell>
          <cell r="D4185" t="str">
            <v>23601</v>
          </cell>
          <cell r="E4185" t="str">
            <v>GATE VA</v>
          </cell>
          <cell r="F4185">
            <v>6</v>
          </cell>
          <cell r="G4185" t="str">
            <v>VG8010400000H00</v>
          </cell>
          <cell r="H4185">
            <v>0.5</v>
          </cell>
          <cell r="I4185" t="str">
            <v>--</v>
          </cell>
          <cell r="J4185">
            <v>2</v>
          </cell>
          <cell r="K4185">
            <v>2</v>
          </cell>
        </row>
        <row r="4186">
          <cell r="A4186" t="str">
            <v>M2</v>
          </cell>
          <cell r="B4186" t="str">
            <v>B2C</v>
          </cell>
          <cell r="C4186" t="str">
            <v>SH</v>
          </cell>
          <cell r="D4186" t="str">
            <v>23612</v>
          </cell>
          <cell r="E4186" t="str">
            <v>GATE VA</v>
          </cell>
          <cell r="F4186">
            <v>6</v>
          </cell>
          <cell r="G4186" t="str">
            <v>VG8010400000H00</v>
          </cell>
          <cell r="H4186">
            <v>0.5</v>
          </cell>
          <cell r="I4186" t="str">
            <v>--</v>
          </cell>
          <cell r="J4186">
            <v>2</v>
          </cell>
          <cell r="K4186">
            <v>2</v>
          </cell>
        </row>
        <row r="4187">
          <cell r="A4187" t="str">
            <v>M2</v>
          </cell>
          <cell r="B4187" t="str">
            <v>A5C</v>
          </cell>
          <cell r="C4187" t="str">
            <v>P</v>
          </cell>
          <cell r="D4187" t="str">
            <v>23081</v>
          </cell>
          <cell r="E4187" t="str">
            <v>BALL VA</v>
          </cell>
          <cell r="F4187">
            <v>6</v>
          </cell>
          <cell r="G4187" t="str">
            <v>VB8010600000H00</v>
          </cell>
          <cell r="H4187">
            <v>0.5</v>
          </cell>
          <cell r="I4187" t="str">
            <v>--</v>
          </cell>
          <cell r="J4187">
            <v>2</v>
          </cell>
          <cell r="K4187">
            <v>2</v>
          </cell>
        </row>
        <row r="4188">
          <cell r="A4188" t="str">
            <v>M2</v>
          </cell>
          <cell r="B4188" t="str">
            <v>A5C</v>
          </cell>
          <cell r="C4188" t="str">
            <v>P</v>
          </cell>
          <cell r="D4188" t="str">
            <v>23085</v>
          </cell>
          <cell r="E4188" t="str">
            <v>BALL VA</v>
          </cell>
          <cell r="F4188">
            <v>6</v>
          </cell>
          <cell r="G4188" t="str">
            <v>VB8010600000H00</v>
          </cell>
          <cell r="H4188">
            <v>0.5</v>
          </cell>
          <cell r="I4188" t="str">
            <v>--</v>
          </cell>
          <cell r="J4188">
            <v>2</v>
          </cell>
          <cell r="K4188">
            <v>2</v>
          </cell>
        </row>
        <row r="4189">
          <cell r="A4189" t="str">
            <v>M2</v>
          </cell>
          <cell r="B4189" t="str">
            <v>A5C</v>
          </cell>
          <cell r="C4189" t="str">
            <v>P</v>
          </cell>
          <cell r="D4189" t="str">
            <v>23094</v>
          </cell>
          <cell r="E4189" t="str">
            <v>BALL VA</v>
          </cell>
          <cell r="F4189">
            <v>6</v>
          </cell>
          <cell r="G4189" t="str">
            <v>VB8010600000H00</v>
          </cell>
          <cell r="H4189">
            <v>0.5</v>
          </cell>
          <cell r="I4189" t="str">
            <v>--</v>
          </cell>
          <cell r="J4189">
            <v>2</v>
          </cell>
          <cell r="K4189">
            <v>2</v>
          </cell>
        </row>
        <row r="4190">
          <cell r="A4190" t="str">
            <v>M2</v>
          </cell>
          <cell r="B4190" t="str">
            <v>A5C</v>
          </cell>
          <cell r="C4190" t="str">
            <v>P</v>
          </cell>
          <cell r="D4190" t="str">
            <v>23096</v>
          </cell>
          <cell r="E4190" t="str">
            <v>BALL VA</v>
          </cell>
          <cell r="F4190">
            <v>6</v>
          </cell>
          <cell r="G4190" t="str">
            <v>VB8010600000H00</v>
          </cell>
          <cell r="H4190">
            <v>0.5</v>
          </cell>
          <cell r="I4190" t="str">
            <v>--</v>
          </cell>
          <cell r="J4190">
            <v>2</v>
          </cell>
          <cell r="K4190">
            <v>2</v>
          </cell>
        </row>
        <row r="4191">
          <cell r="A4191" t="str">
            <v>M2</v>
          </cell>
          <cell r="B4191" t="str">
            <v>A5C</v>
          </cell>
          <cell r="C4191" t="str">
            <v>P</v>
          </cell>
          <cell r="D4191" t="str">
            <v>23113</v>
          </cell>
          <cell r="E4191" t="str">
            <v>BALL VA</v>
          </cell>
          <cell r="F4191">
            <v>6</v>
          </cell>
          <cell r="G4191" t="str">
            <v>VB8010600000H00</v>
          </cell>
          <cell r="H4191">
            <v>0.5</v>
          </cell>
          <cell r="I4191" t="str">
            <v>--</v>
          </cell>
          <cell r="J4191">
            <v>2</v>
          </cell>
          <cell r="K4191">
            <v>2</v>
          </cell>
        </row>
        <row r="4192">
          <cell r="A4192" t="str">
            <v>M2</v>
          </cell>
          <cell r="B4192" t="str">
            <v>A5C</v>
          </cell>
          <cell r="C4192" t="str">
            <v>P</v>
          </cell>
          <cell r="D4192" t="str">
            <v>23225</v>
          </cell>
          <cell r="E4192" t="str">
            <v>BALL VA</v>
          </cell>
          <cell r="F4192">
            <v>6</v>
          </cell>
          <cell r="G4192" t="str">
            <v>VB8010600000H00</v>
          </cell>
          <cell r="H4192">
            <v>0.5</v>
          </cell>
          <cell r="I4192" t="str">
            <v>--</v>
          </cell>
          <cell r="J4192">
            <v>2</v>
          </cell>
          <cell r="K4192">
            <v>2</v>
          </cell>
        </row>
        <row r="4193">
          <cell r="A4193" t="str">
            <v>M2</v>
          </cell>
          <cell r="B4193" t="str">
            <v>A5C</v>
          </cell>
          <cell r="C4193" t="str">
            <v>P</v>
          </cell>
          <cell r="D4193" t="str">
            <v>23247</v>
          </cell>
          <cell r="E4193" t="str">
            <v>BALL VA</v>
          </cell>
          <cell r="F4193">
            <v>6</v>
          </cell>
          <cell r="G4193" t="str">
            <v>VB8010600000H00</v>
          </cell>
          <cell r="H4193">
            <v>0.5</v>
          </cell>
          <cell r="I4193" t="str">
            <v>--</v>
          </cell>
          <cell r="J4193">
            <v>2</v>
          </cell>
          <cell r="K4193">
            <v>2</v>
          </cell>
        </row>
        <row r="4194">
          <cell r="A4194" t="str">
            <v>M2</v>
          </cell>
          <cell r="B4194" t="str">
            <v>A5C</v>
          </cell>
          <cell r="C4194" t="str">
            <v>P</v>
          </cell>
          <cell r="D4194" t="str">
            <v>24008</v>
          </cell>
          <cell r="E4194" t="str">
            <v>BALL VA</v>
          </cell>
          <cell r="F4194">
            <v>6</v>
          </cell>
          <cell r="G4194" t="str">
            <v>VB8010600000H00</v>
          </cell>
          <cell r="H4194">
            <v>0.5</v>
          </cell>
          <cell r="I4194" t="str">
            <v>--</v>
          </cell>
          <cell r="J4194">
            <v>2</v>
          </cell>
          <cell r="K4194">
            <v>2</v>
          </cell>
        </row>
        <row r="4195">
          <cell r="A4195" t="str">
            <v>M2</v>
          </cell>
          <cell r="B4195" t="str">
            <v>A5C</v>
          </cell>
          <cell r="C4195" t="str">
            <v>P</v>
          </cell>
          <cell r="D4195" t="str">
            <v>24024</v>
          </cell>
          <cell r="E4195" t="str">
            <v>BALL VA</v>
          </cell>
          <cell r="F4195">
            <v>6</v>
          </cell>
          <cell r="G4195" t="str">
            <v>VB8010600000H00</v>
          </cell>
          <cell r="H4195">
            <v>0.5</v>
          </cell>
          <cell r="I4195" t="str">
            <v>--</v>
          </cell>
          <cell r="J4195">
            <v>2</v>
          </cell>
          <cell r="K4195">
            <v>2</v>
          </cell>
        </row>
        <row r="4196">
          <cell r="A4196" t="str">
            <v>M2</v>
          </cell>
          <cell r="B4196" t="str">
            <v>A5C</v>
          </cell>
          <cell r="C4196" t="str">
            <v>P</v>
          </cell>
          <cell r="D4196" t="str">
            <v>23006</v>
          </cell>
          <cell r="E4196" t="str">
            <v>BALL VA</v>
          </cell>
          <cell r="F4196">
            <v>6</v>
          </cell>
          <cell r="G4196" t="str">
            <v>VB8010600000H00</v>
          </cell>
          <cell r="H4196">
            <v>0.5</v>
          </cell>
          <cell r="I4196" t="str">
            <v>--</v>
          </cell>
          <cell r="J4196">
            <v>2</v>
          </cell>
          <cell r="K4196">
            <v>2</v>
          </cell>
        </row>
        <row r="4197">
          <cell r="A4197" t="str">
            <v>M2</v>
          </cell>
          <cell r="B4197" t="str">
            <v>A5C</v>
          </cell>
          <cell r="C4197" t="str">
            <v>P</v>
          </cell>
          <cell r="D4197" t="str">
            <v>23124</v>
          </cell>
          <cell r="E4197" t="str">
            <v>BALL VA</v>
          </cell>
          <cell r="F4197">
            <v>6</v>
          </cell>
          <cell r="G4197" t="str">
            <v>VB8010600000H00</v>
          </cell>
          <cell r="H4197">
            <v>0.5</v>
          </cell>
          <cell r="I4197" t="str">
            <v>--</v>
          </cell>
          <cell r="J4197">
            <v>2</v>
          </cell>
          <cell r="K4197">
            <v>2</v>
          </cell>
        </row>
        <row r="4198">
          <cell r="A4198" t="str">
            <v>M2</v>
          </cell>
          <cell r="B4198" t="str">
            <v>A5C</v>
          </cell>
          <cell r="C4198" t="str">
            <v>P</v>
          </cell>
          <cell r="D4198" t="str">
            <v>23094</v>
          </cell>
          <cell r="E4198" t="str">
            <v>GLOBE VA</v>
          </cell>
          <cell r="F4198">
            <v>6</v>
          </cell>
          <cell r="G4198" t="str">
            <v>VL8010100000H00</v>
          </cell>
          <cell r="H4198">
            <v>0.5</v>
          </cell>
          <cell r="I4198" t="str">
            <v>--</v>
          </cell>
          <cell r="J4198">
            <v>1</v>
          </cell>
          <cell r="K4198">
            <v>1</v>
          </cell>
        </row>
        <row r="4199">
          <cell r="A4199" t="str">
            <v>M2</v>
          </cell>
          <cell r="B4199" t="str">
            <v>A5C</v>
          </cell>
          <cell r="C4199" t="str">
            <v>P</v>
          </cell>
          <cell r="D4199" t="str">
            <v>23113</v>
          </cell>
          <cell r="E4199" t="str">
            <v>GLOBE VA</v>
          </cell>
          <cell r="F4199">
            <v>6</v>
          </cell>
          <cell r="G4199" t="str">
            <v>VL8010100000H00</v>
          </cell>
          <cell r="H4199">
            <v>0.5</v>
          </cell>
          <cell r="I4199" t="str">
            <v>--</v>
          </cell>
          <cell r="J4199">
            <v>1</v>
          </cell>
          <cell r="K4199">
            <v>1</v>
          </cell>
        </row>
        <row r="4200">
          <cell r="A4200" t="str">
            <v>M2</v>
          </cell>
          <cell r="B4200" t="str">
            <v>A5C</v>
          </cell>
          <cell r="C4200" t="str">
            <v>P</v>
          </cell>
          <cell r="D4200" t="str">
            <v>23059</v>
          </cell>
          <cell r="E4200" t="str">
            <v>BALL VA</v>
          </cell>
          <cell r="F4200">
            <v>6</v>
          </cell>
          <cell r="G4200" t="str">
            <v>VB8010600000H00</v>
          </cell>
          <cell r="H4200">
            <v>0.5</v>
          </cell>
          <cell r="I4200" t="str">
            <v>--</v>
          </cell>
          <cell r="J4200">
            <v>2</v>
          </cell>
          <cell r="K4200">
            <v>2</v>
          </cell>
        </row>
        <row r="4201">
          <cell r="A4201" t="str">
            <v>M2</v>
          </cell>
          <cell r="B4201" t="str">
            <v>A5C</v>
          </cell>
          <cell r="C4201" t="str">
            <v>P</v>
          </cell>
          <cell r="D4201" t="str">
            <v>23019</v>
          </cell>
          <cell r="E4201" t="str">
            <v>BALL VA</v>
          </cell>
          <cell r="F4201">
            <v>6</v>
          </cell>
          <cell r="G4201" t="str">
            <v>VB8010600000H00</v>
          </cell>
          <cell r="H4201">
            <v>0.5</v>
          </cell>
          <cell r="I4201" t="str">
            <v>--</v>
          </cell>
          <cell r="J4201">
            <v>2</v>
          </cell>
          <cell r="K4201">
            <v>2</v>
          </cell>
        </row>
        <row r="4202">
          <cell r="A4202" t="str">
            <v>M2</v>
          </cell>
          <cell r="B4202" t="str">
            <v>A5C</v>
          </cell>
          <cell r="C4202" t="str">
            <v>P</v>
          </cell>
          <cell r="D4202" t="str">
            <v>23024</v>
          </cell>
          <cell r="E4202" t="str">
            <v>BALL VA</v>
          </cell>
          <cell r="F4202">
            <v>6</v>
          </cell>
          <cell r="G4202" t="str">
            <v>VB8010600000H00</v>
          </cell>
          <cell r="H4202">
            <v>0.5</v>
          </cell>
          <cell r="I4202" t="str">
            <v>--</v>
          </cell>
          <cell r="J4202">
            <v>2</v>
          </cell>
          <cell r="K4202">
            <v>2</v>
          </cell>
        </row>
        <row r="4203">
          <cell r="A4203" t="str">
            <v>M2</v>
          </cell>
          <cell r="B4203" t="str">
            <v>A5C</v>
          </cell>
          <cell r="C4203" t="str">
            <v>P</v>
          </cell>
          <cell r="D4203" t="str">
            <v>23028</v>
          </cell>
          <cell r="E4203" t="str">
            <v>BALL VA</v>
          </cell>
          <cell r="F4203">
            <v>6</v>
          </cell>
          <cell r="G4203" t="str">
            <v>VB8010600000H00</v>
          </cell>
          <cell r="H4203">
            <v>0.5</v>
          </cell>
          <cell r="I4203" t="str">
            <v>--</v>
          </cell>
          <cell r="J4203">
            <v>4</v>
          </cell>
          <cell r="K4203">
            <v>4</v>
          </cell>
        </row>
        <row r="4204">
          <cell r="A4204" t="str">
            <v>M2</v>
          </cell>
          <cell r="B4204" t="str">
            <v>A5C</v>
          </cell>
          <cell r="C4204" t="str">
            <v>P</v>
          </cell>
          <cell r="D4204" t="str">
            <v>23039</v>
          </cell>
          <cell r="E4204" t="str">
            <v>BALL VA</v>
          </cell>
          <cell r="F4204">
            <v>6</v>
          </cell>
          <cell r="G4204" t="str">
            <v>VB8010600000H00</v>
          </cell>
          <cell r="H4204">
            <v>0.5</v>
          </cell>
          <cell r="I4204" t="str">
            <v>--</v>
          </cell>
          <cell r="J4204">
            <v>2</v>
          </cell>
          <cell r="K4204">
            <v>2</v>
          </cell>
        </row>
        <row r="4205">
          <cell r="A4205" t="str">
            <v>M2</v>
          </cell>
          <cell r="B4205" t="str">
            <v>A5C</v>
          </cell>
          <cell r="C4205" t="str">
            <v>P</v>
          </cell>
          <cell r="D4205" t="str">
            <v>23048</v>
          </cell>
          <cell r="E4205" t="str">
            <v>BALL VA</v>
          </cell>
          <cell r="F4205">
            <v>6</v>
          </cell>
          <cell r="G4205" t="str">
            <v>VB8010600000H00</v>
          </cell>
          <cell r="H4205">
            <v>0.5</v>
          </cell>
          <cell r="I4205" t="str">
            <v>--</v>
          </cell>
          <cell r="J4205">
            <v>2</v>
          </cell>
          <cell r="K4205">
            <v>2</v>
          </cell>
        </row>
        <row r="4206">
          <cell r="A4206" t="str">
            <v>M2</v>
          </cell>
          <cell r="B4206" t="str">
            <v>A5C</v>
          </cell>
          <cell r="C4206" t="str">
            <v>P</v>
          </cell>
          <cell r="D4206" t="str">
            <v>23053</v>
          </cell>
          <cell r="E4206" t="str">
            <v>BALL VA</v>
          </cell>
          <cell r="F4206">
            <v>6</v>
          </cell>
          <cell r="G4206" t="str">
            <v>VB8010600000H00</v>
          </cell>
          <cell r="H4206">
            <v>0.5</v>
          </cell>
          <cell r="I4206" t="str">
            <v>--</v>
          </cell>
          <cell r="J4206">
            <v>2</v>
          </cell>
          <cell r="K4206">
            <v>2</v>
          </cell>
        </row>
        <row r="4207">
          <cell r="A4207" t="str">
            <v>M2</v>
          </cell>
          <cell r="B4207" t="str">
            <v>A5C</v>
          </cell>
          <cell r="C4207" t="str">
            <v>P</v>
          </cell>
          <cell r="D4207" t="str">
            <v>23054</v>
          </cell>
          <cell r="E4207" t="str">
            <v>BALL VA</v>
          </cell>
          <cell r="F4207">
            <v>6</v>
          </cell>
          <cell r="G4207" t="str">
            <v>VB8010600000H00</v>
          </cell>
          <cell r="H4207">
            <v>0.5</v>
          </cell>
          <cell r="I4207" t="str">
            <v>--</v>
          </cell>
          <cell r="J4207">
            <v>2</v>
          </cell>
          <cell r="K4207">
            <v>2</v>
          </cell>
        </row>
        <row r="4208">
          <cell r="A4208" t="str">
            <v>M2</v>
          </cell>
          <cell r="B4208" t="str">
            <v>A5C</v>
          </cell>
          <cell r="C4208" t="str">
            <v>P</v>
          </cell>
          <cell r="D4208" t="str">
            <v>23064</v>
          </cell>
          <cell r="E4208" t="str">
            <v>BALL VA</v>
          </cell>
          <cell r="F4208">
            <v>6</v>
          </cell>
          <cell r="G4208" t="str">
            <v>VB8010600000H00</v>
          </cell>
          <cell r="H4208">
            <v>0.5</v>
          </cell>
          <cell r="I4208" t="str">
            <v>--</v>
          </cell>
          <cell r="J4208">
            <v>2</v>
          </cell>
          <cell r="K4208">
            <v>2</v>
          </cell>
        </row>
        <row r="4209">
          <cell r="A4209" t="str">
            <v>M2</v>
          </cell>
          <cell r="B4209" t="str">
            <v>A5C</v>
          </cell>
          <cell r="C4209" t="str">
            <v>P</v>
          </cell>
          <cell r="D4209" t="str">
            <v>23079</v>
          </cell>
          <cell r="E4209" t="str">
            <v>BALL VA</v>
          </cell>
          <cell r="F4209">
            <v>6</v>
          </cell>
          <cell r="G4209" t="str">
            <v>VB8010600000H00</v>
          </cell>
          <cell r="H4209">
            <v>0.5</v>
          </cell>
          <cell r="I4209" t="str">
            <v>--</v>
          </cell>
          <cell r="J4209">
            <v>2</v>
          </cell>
          <cell r="K4209">
            <v>2</v>
          </cell>
        </row>
        <row r="4210">
          <cell r="A4210" t="str">
            <v>M2</v>
          </cell>
          <cell r="B4210" t="str">
            <v>A5C</v>
          </cell>
          <cell r="C4210" t="str">
            <v>P</v>
          </cell>
          <cell r="D4210" t="str">
            <v>24016</v>
          </cell>
          <cell r="E4210" t="str">
            <v>BALL VA</v>
          </cell>
          <cell r="F4210">
            <v>6</v>
          </cell>
          <cell r="G4210" t="str">
            <v>VB8010600000H00</v>
          </cell>
          <cell r="H4210">
            <v>0.5</v>
          </cell>
          <cell r="I4210" t="str">
            <v>--</v>
          </cell>
          <cell r="J4210">
            <v>2</v>
          </cell>
          <cell r="K4210">
            <v>2</v>
          </cell>
        </row>
        <row r="4211">
          <cell r="A4211" t="str">
            <v>M2</v>
          </cell>
          <cell r="B4211" t="str">
            <v>A5C</v>
          </cell>
          <cell r="C4211" t="str">
            <v>P</v>
          </cell>
          <cell r="D4211" t="str">
            <v>24018</v>
          </cell>
          <cell r="E4211" t="str">
            <v>BALL VA</v>
          </cell>
          <cell r="F4211">
            <v>6</v>
          </cell>
          <cell r="G4211" t="str">
            <v>VB8010600000H00</v>
          </cell>
          <cell r="H4211">
            <v>0.5</v>
          </cell>
          <cell r="I4211" t="str">
            <v>--</v>
          </cell>
          <cell r="J4211">
            <v>2</v>
          </cell>
          <cell r="K4211">
            <v>2</v>
          </cell>
        </row>
        <row r="4212">
          <cell r="A4212" t="str">
            <v>M2</v>
          </cell>
          <cell r="B4212" t="str">
            <v>A5C</v>
          </cell>
          <cell r="C4212" t="str">
            <v>P</v>
          </cell>
          <cell r="D4212" t="str">
            <v>23020</v>
          </cell>
          <cell r="E4212" t="str">
            <v>BALL VA</v>
          </cell>
          <cell r="F4212">
            <v>6</v>
          </cell>
          <cell r="G4212" t="str">
            <v>VB8010600000H00</v>
          </cell>
          <cell r="H4212">
            <v>0.5</v>
          </cell>
          <cell r="I4212" t="str">
            <v>--</v>
          </cell>
          <cell r="J4212">
            <v>2</v>
          </cell>
          <cell r="K4212">
            <v>2</v>
          </cell>
        </row>
        <row r="4213">
          <cell r="A4213" t="str">
            <v>M2</v>
          </cell>
          <cell r="B4213" t="str">
            <v>A5C</v>
          </cell>
          <cell r="C4213" t="str">
            <v>P</v>
          </cell>
          <cell r="D4213" t="str">
            <v>23029</v>
          </cell>
          <cell r="E4213" t="str">
            <v>BALL VA</v>
          </cell>
          <cell r="F4213">
            <v>6</v>
          </cell>
          <cell r="G4213" t="str">
            <v>VB8010600000H00</v>
          </cell>
          <cell r="H4213">
            <v>0.5</v>
          </cell>
          <cell r="I4213" t="str">
            <v>--</v>
          </cell>
          <cell r="J4213">
            <v>2</v>
          </cell>
          <cell r="K4213">
            <v>2</v>
          </cell>
        </row>
        <row r="4214">
          <cell r="A4214" t="str">
            <v>M2</v>
          </cell>
          <cell r="B4214" t="str">
            <v>A5C</v>
          </cell>
          <cell r="C4214" t="str">
            <v>P</v>
          </cell>
          <cell r="D4214" t="str">
            <v>23080</v>
          </cell>
          <cell r="E4214" t="str">
            <v>BALL VA</v>
          </cell>
          <cell r="F4214">
            <v>6</v>
          </cell>
          <cell r="G4214" t="str">
            <v>VB8010600000H00</v>
          </cell>
          <cell r="H4214">
            <v>0.5</v>
          </cell>
          <cell r="I4214" t="str">
            <v>--</v>
          </cell>
          <cell r="J4214">
            <v>2</v>
          </cell>
          <cell r="K4214">
            <v>2</v>
          </cell>
        </row>
        <row r="4215">
          <cell r="A4215" t="str">
            <v>M2</v>
          </cell>
          <cell r="B4215" t="str">
            <v>A5C</v>
          </cell>
          <cell r="C4215" t="str">
            <v>P</v>
          </cell>
          <cell r="D4215" t="str">
            <v>23156</v>
          </cell>
          <cell r="E4215" t="str">
            <v>BALL VA</v>
          </cell>
          <cell r="F4215">
            <v>6</v>
          </cell>
          <cell r="G4215" t="str">
            <v>VB8010600000H00</v>
          </cell>
          <cell r="H4215">
            <v>0.5</v>
          </cell>
          <cell r="I4215" t="str">
            <v>--</v>
          </cell>
          <cell r="J4215">
            <v>2</v>
          </cell>
          <cell r="K4215">
            <v>2</v>
          </cell>
        </row>
        <row r="4216">
          <cell r="A4216" t="str">
            <v>M2</v>
          </cell>
          <cell r="B4216" t="str">
            <v>A5C</v>
          </cell>
          <cell r="C4216" t="str">
            <v>P</v>
          </cell>
          <cell r="D4216" t="str">
            <v>24004</v>
          </cell>
          <cell r="E4216" t="str">
            <v>BALL VA</v>
          </cell>
          <cell r="F4216">
            <v>6</v>
          </cell>
          <cell r="G4216" t="str">
            <v>VB8010600000H00</v>
          </cell>
          <cell r="H4216">
            <v>0.5</v>
          </cell>
          <cell r="I4216" t="str">
            <v>--</v>
          </cell>
          <cell r="J4216">
            <v>2</v>
          </cell>
          <cell r="K4216">
            <v>2</v>
          </cell>
        </row>
        <row r="4217">
          <cell r="A4217" t="str">
            <v>M2</v>
          </cell>
          <cell r="B4217" t="str">
            <v>A5C</v>
          </cell>
          <cell r="C4217" t="str">
            <v>P</v>
          </cell>
          <cell r="D4217" t="str">
            <v>99004</v>
          </cell>
          <cell r="E4217" t="str">
            <v>BALL VA</v>
          </cell>
          <cell r="F4217">
            <v>6</v>
          </cell>
          <cell r="G4217" t="str">
            <v>VB8010600000H00</v>
          </cell>
          <cell r="H4217">
            <v>0.5</v>
          </cell>
          <cell r="I4217" t="str">
            <v>--</v>
          </cell>
          <cell r="J4217">
            <v>2</v>
          </cell>
          <cell r="K4217">
            <v>2</v>
          </cell>
        </row>
        <row r="4218">
          <cell r="A4218" t="str">
            <v>M2</v>
          </cell>
          <cell r="B4218" t="str">
            <v>B2C</v>
          </cell>
          <cell r="C4218" t="str">
            <v>SCH</v>
          </cell>
          <cell r="D4218" t="str">
            <v>23613</v>
          </cell>
          <cell r="E4218" t="str">
            <v>GATE VA</v>
          </cell>
          <cell r="F4218">
            <v>6</v>
          </cell>
          <cell r="G4218" t="str">
            <v>VG8010100000T00</v>
          </cell>
          <cell r="H4218">
            <v>0.75</v>
          </cell>
          <cell r="I4218" t="str">
            <v>--</v>
          </cell>
          <cell r="J4218">
            <v>2</v>
          </cell>
          <cell r="K4218">
            <v>2</v>
          </cell>
        </row>
        <row r="4219">
          <cell r="A4219" t="str">
            <v>M2</v>
          </cell>
          <cell r="B4219" t="str">
            <v>B2C</v>
          </cell>
          <cell r="C4219" t="str">
            <v>SCL</v>
          </cell>
          <cell r="D4219" t="str">
            <v>TRAP</v>
          </cell>
          <cell r="E4219" t="str">
            <v>GATE VA</v>
          </cell>
          <cell r="F4219">
            <v>6</v>
          </cell>
          <cell r="G4219" t="str">
            <v>VG8010100000T00</v>
          </cell>
          <cell r="H4219">
            <v>0.75</v>
          </cell>
          <cell r="I4219" t="str">
            <v>--</v>
          </cell>
          <cell r="J4219">
            <v>6</v>
          </cell>
          <cell r="K4219">
            <v>6</v>
          </cell>
        </row>
        <row r="4220">
          <cell r="A4220" t="str">
            <v>M2</v>
          </cell>
          <cell r="B4220" t="str">
            <v>B2C</v>
          </cell>
          <cell r="C4220" t="str">
            <v>SH</v>
          </cell>
          <cell r="D4220" t="str">
            <v>23601</v>
          </cell>
          <cell r="E4220" t="str">
            <v>GATE VA</v>
          </cell>
          <cell r="F4220">
            <v>6</v>
          </cell>
          <cell r="G4220" t="str">
            <v>VG8010100000T00</v>
          </cell>
          <cell r="H4220">
            <v>0.75</v>
          </cell>
          <cell r="I4220" t="str">
            <v>--</v>
          </cell>
          <cell r="J4220">
            <v>2</v>
          </cell>
          <cell r="K4220">
            <v>2</v>
          </cell>
        </row>
        <row r="4221">
          <cell r="A4221" t="str">
            <v>M2</v>
          </cell>
          <cell r="B4221" t="str">
            <v>B2C</v>
          </cell>
          <cell r="C4221" t="str">
            <v>SH</v>
          </cell>
          <cell r="D4221" t="str">
            <v>23612</v>
          </cell>
          <cell r="E4221" t="str">
            <v>GATE VA</v>
          </cell>
          <cell r="F4221">
            <v>6</v>
          </cell>
          <cell r="G4221" t="str">
            <v>VG8010400000T00</v>
          </cell>
          <cell r="H4221">
            <v>0.75</v>
          </cell>
          <cell r="I4221" t="str">
            <v>--</v>
          </cell>
          <cell r="J4221">
            <v>1</v>
          </cell>
          <cell r="K4221">
            <v>1</v>
          </cell>
        </row>
        <row r="4222">
          <cell r="A4222" t="str">
            <v>M2</v>
          </cell>
          <cell r="B4222" t="str">
            <v>B2C</v>
          </cell>
          <cell r="C4222" t="str">
            <v>SH</v>
          </cell>
          <cell r="D4222" t="str">
            <v>24612</v>
          </cell>
          <cell r="E4222" t="str">
            <v>GATE VA</v>
          </cell>
          <cell r="F4222">
            <v>6</v>
          </cell>
          <cell r="G4222" t="str">
            <v>VG8010100000T00</v>
          </cell>
          <cell r="H4222">
            <v>0.75</v>
          </cell>
          <cell r="I4222" t="str">
            <v>--</v>
          </cell>
          <cell r="J4222">
            <v>4</v>
          </cell>
          <cell r="K4222">
            <v>4</v>
          </cell>
        </row>
        <row r="4223">
          <cell r="A4223" t="str">
            <v>M2</v>
          </cell>
          <cell r="B4223" t="str">
            <v>B2C</v>
          </cell>
          <cell r="C4223" t="str">
            <v>SH</v>
          </cell>
          <cell r="D4223" t="str">
            <v>24612</v>
          </cell>
          <cell r="E4223" t="str">
            <v>GLOBE VA</v>
          </cell>
          <cell r="F4223">
            <v>6</v>
          </cell>
          <cell r="G4223" t="str">
            <v>VL8010100000T00</v>
          </cell>
          <cell r="H4223">
            <v>0.75</v>
          </cell>
          <cell r="I4223" t="str">
            <v>--</v>
          </cell>
          <cell r="J4223">
            <v>1</v>
          </cell>
          <cell r="K4223">
            <v>1</v>
          </cell>
        </row>
        <row r="4224">
          <cell r="A4224" t="str">
            <v>M2</v>
          </cell>
          <cell r="B4224" t="str">
            <v>A5C</v>
          </cell>
          <cell r="C4224" t="str">
            <v>N</v>
          </cell>
          <cell r="D4224" t="str">
            <v>23613</v>
          </cell>
          <cell r="E4224" t="str">
            <v>BALL VA</v>
          </cell>
          <cell r="F4224">
            <v>6</v>
          </cell>
          <cell r="G4224" t="str">
            <v>VB8010600000T00</v>
          </cell>
          <cell r="H4224">
            <v>0.75</v>
          </cell>
          <cell r="I4224" t="str">
            <v>--</v>
          </cell>
          <cell r="J4224">
            <v>3</v>
          </cell>
          <cell r="K4224">
            <v>3</v>
          </cell>
        </row>
        <row r="4225">
          <cell r="A4225" t="str">
            <v>M2</v>
          </cell>
          <cell r="B4225" t="str">
            <v>A5C</v>
          </cell>
          <cell r="C4225" t="str">
            <v>N</v>
          </cell>
          <cell r="D4225" t="str">
            <v>23620</v>
          </cell>
          <cell r="E4225" t="str">
            <v>BALL VA</v>
          </cell>
          <cell r="F4225">
            <v>6</v>
          </cell>
          <cell r="G4225" t="str">
            <v>VB8010600000T00</v>
          </cell>
          <cell r="H4225">
            <v>0.75</v>
          </cell>
          <cell r="I4225" t="str">
            <v>--</v>
          </cell>
          <cell r="J4225">
            <v>3</v>
          </cell>
          <cell r="K4225">
            <v>3</v>
          </cell>
        </row>
        <row r="4226">
          <cell r="A4226" t="str">
            <v>M2</v>
          </cell>
          <cell r="B4226" t="str">
            <v>A5C</v>
          </cell>
          <cell r="C4226" t="str">
            <v>N</v>
          </cell>
          <cell r="D4226" t="str">
            <v>23620</v>
          </cell>
          <cell r="E4226" t="str">
            <v>BALL VA</v>
          </cell>
          <cell r="F4226">
            <v>6</v>
          </cell>
          <cell r="G4226" t="str">
            <v>VB8010600000T00</v>
          </cell>
          <cell r="H4226">
            <v>0.75</v>
          </cell>
          <cell r="I4226" t="str">
            <v>--</v>
          </cell>
          <cell r="J4226">
            <v>1</v>
          </cell>
          <cell r="K4226">
            <v>1</v>
          </cell>
        </row>
        <row r="4227">
          <cell r="A4227" t="str">
            <v>M2</v>
          </cell>
          <cell r="B4227" t="str">
            <v>A5C</v>
          </cell>
          <cell r="C4227" t="str">
            <v>N</v>
          </cell>
          <cell r="D4227" t="str">
            <v>23621</v>
          </cell>
          <cell r="E4227" t="str">
            <v>BALL VA</v>
          </cell>
          <cell r="F4227">
            <v>6</v>
          </cell>
          <cell r="G4227" t="str">
            <v>VB8010600000T00</v>
          </cell>
          <cell r="H4227">
            <v>0.75</v>
          </cell>
          <cell r="I4227" t="str">
            <v>--</v>
          </cell>
          <cell r="J4227">
            <v>3</v>
          </cell>
          <cell r="K4227">
            <v>3</v>
          </cell>
        </row>
        <row r="4228">
          <cell r="A4228" t="str">
            <v>M2</v>
          </cell>
          <cell r="B4228" t="str">
            <v>A5C</v>
          </cell>
          <cell r="C4228" t="str">
            <v>N</v>
          </cell>
          <cell r="D4228" t="str">
            <v>23631</v>
          </cell>
          <cell r="E4228" t="str">
            <v>BALL VA</v>
          </cell>
          <cell r="F4228">
            <v>6</v>
          </cell>
          <cell r="G4228" t="str">
            <v>VB8010600000T00</v>
          </cell>
          <cell r="H4228">
            <v>0.75</v>
          </cell>
          <cell r="I4228" t="str">
            <v>--</v>
          </cell>
          <cell r="J4228">
            <v>1</v>
          </cell>
          <cell r="K4228">
            <v>1</v>
          </cell>
        </row>
        <row r="4229">
          <cell r="A4229" t="str">
            <v>M2</v>
          </cell>
          <cell r="B4229" t="str">
            <v>A5C</v>
          </cell>
          <cell r="C4229" t="str">
            <v>N</v>
          </cell>
          <cell r="D4229" t="str">
            <v>23632</v>
          </cell>
          <cell r="E4229" t="str">
            <v>BALL VA</v>
          </cell>
          <cell r="F4229">
            <v>6</v>
          </cell>
          <cell r="G4229" t="str">
            <v>VB8010600000T00</v>
          </cell>
          <cell r="H4229">
            <v>0.75</v>
          </cell>
          <cell r="I4229" t="str">
            <v>--</v>
          </cell>
          <cell r="J4229">
            <v>1</v>
          </cell>
          <cell r="K4229">
            <v>1</v>
          </cell>
        </row>
        <row r="4230">
          <cell r="A4230" t="str">
            <v>M2</v>
          </cell>
          <cell r="B4230" t="str">
            <v>A5C</v>
          </cell>
          <cell r="C4230" t="str">
            <v>N</v>
          </cell>
          <cell r="D4230" t="str">
            <v>23633</v>
          </cell>
          <cell r="E4230" t="str">
            <v>BALL VA</v>
          </cell>
          <cell r="F4230">
            <v>6</v>
          </cell>
          <cell r="G4230" t="str">
            <v>VB8010600000T00</v>
          </cell>
          <cell r="H4230">
            <v>0.75</v>
          </cell>
          <cell r="I4230" t="str">
            <v>--</v>
          </cell>
          <cell r="J4230">
            <v>1</v>
          </cell>
          <cell r="K4230">
            <v>1</v>
          </cell>
        </row>
        <row r="4231">
          <cell r="A4231" t="str">
            <v>M2</v>
          </cell>
          <cell r="B4231" t="str">
            <v>A5C</v>
          </cell>
          <cell r="C4231" t="str">
            <v>N</v>
          </cell>
          <cell r="D4231" t="str">
            <v>23642</v>
          </cell>
          <cell r="E4231" t="str">
            <v>BALL VA</v>
          </cell>
          <cell r="F4231">
            <v>6</v>
          </cell>
          <cell r="G4231" t="str">
            <v>VB8010600000T00</v>
          </cell>
          <cell r="H4231">
            <v>0.75</v>
          </cell>
          <cell r="I4231" t="str">
            <v>--</v>
          </cell>
          <cell r="J4231">
            <v>1</v>
          </cell>
          <cell r="K4231">
            <v>1</v>
          </cell>
        </row>
        <row r="4232">
          <cell r="A4232" t="str">
            <v>M2</v>
          </cell>
          <cell r="B4232" t="str">
            <v>A5C</v>
          </cell>
          <cell r="C4232" t="str">
            <v>N</v>
          </cell>
          <cell r="D4232" t="str">
            <v>23642</v>
          </cell>
          <cell r="E4232" t="str">
            <v>BALL VA</v>
          </cell>
          <cell r="F4232">
            <v>6</v>
          </cell>
          <cell r="G4232" t="str">
            <v>VB8010600000T00</v>
          </cell>
          <cell r="H4232">
            <v>0.75</v>
          </cell>
          <cell r="I4232" t="str">
            <v>--</v>
          </cell>
          <cell r="J4232">
            <v>3</v>
          </cell>
          <cell r="K4232">
            <v>3</v>
          </cell>
        </row>
        <row r="4233">
          <cell r="A4233" t="str">
            <v>M2</v>
          </cell>
          <cell r="B4233" t="str">
            <v>A5C</v>
          </cell>
          <cell r="C4233" t="str">
            <v>N</v>
          </cell>
          <cell r="D4233" t="str">
            <v>23647</v>
          </cell>
          <cell r="E4233" t="str">
            <v>BALL VA</v>
          </cell>
          <cell r="F4233">
            <v>6</v>
          </cell>
          <cell r="G4233" t="str">
            <v>VB8010600000T00</v>
          </cell>
          <cell r="H4233">
            <v>0.75</v>
          </cell>
          <cell r="I4233" t="str">
            <v>--</v>
          </cell>
          <cell r="J4233">
            <v>1</v>
          </cell>
          <cell r="K4233">
            <v>1</v>
          </cell>
        </row>
        <row r="4234">
          <cell r="A4234" t="str">
            <v>M2</v>
          </cell>
          <cell r="B4234" t="str">
            <v>A5C</v>
          </cell>
          <cell r="C4234" t="str">
            <v>N</v>
          </cell>
          <cell r="D4234" t="str">
            <v>24611</v>
          </cell>
          <cell r="E4234" t="str">
            <v>BALL VA</v>
          </cell>
          <cell r="F4234">
            <v>6</v>
          </cell>
          <cell r="G4234" t="str">
            <v>VB8010600000T00</v>
          </cell>
          <cell r="H4234">
            <v>0.75</v>
          </cell>
          <cell r="I4234" t="str">
            <v>--</v>
          </cell>
          <cell r="J4234">
            <v>3</v>
          </cell>
          <cell r="K4234">
            <v>3</v>
          </cell>
        </row>
        <row r="4235">
          <cell r="A4235" t="str">
            <v>M2</v>
          </cell>
          <cell r="B4235" t="str">
            <v>A5C</v>
          </cell>
          <cell r="C4235" t="str">
            <v>N</v>
          </cell>
          <cell r="D4235" t="str">
            <v>24611</v>
          </cell>
          <cell r="E4235" t="str">
            <v>BALL VA</v>
          </cell>
          <cell r="F4235">
            <v>6</v>
          </cell>
          <cell r="G4235" t="str">
            <v>VB8010600000T00</v>
          </cell>
          <cell r="H4235">
            <v>0.75</v>
          </cell>
          <cell r="I4235" t="str">
            <v>--</v>
          </cell>
          <cell r="J4235">
            <v>1</v>
          </cell>
          <cell r="K4235">
            <v>1</v>
          </cell>
        </row>
        <row r="4236">
          <cell r="A4236" t="str">
            <v>M2</v>
          </cell>
          <cell r="B4236" t="str">
            <v>A5C</v>
          </cell>
          <cell r="C4236" t="str">
            <v>N</v>
          </cell>
          <cell r="D4236" t="str">
            <v>23646</v>
          </cell>
          <cell r="E4236" t="str">
            <v>BALL VA</v>
          </cell>
          <cell r="F4236">
            <v>6</v>
          </cell>
          <cell r="G4236" t="str">
            <v>VB8010600000T00</v>
          </cell>
          <cell r="H4236">
            <v>0.75</v>
          </cell>
          <cell r="I4236" t="str">
            <v>--</v>
          </cell>
          <cell r="J4236">
            <v>1</v>
          </cell>
          <cell r="K4236">
            <v>1</v>
          </cell>
        </row>
        <row r="4237">
          <cell r="A4237" t="str">
            <v>M2</v>
          </cell>
          <cell r="B4237" t="str">
            <v>A5C</v>
          </cell>
          <cell r="C4237" t="str">
            <v>N</v>
          </cell>
          <cell r="D4237" t="str">
            <v>23646</v>
          </cell>
          <cell r="E4237" t="str">
            <v>BALL VA</v>
          </cell>
          <cell r="F4237">
            <v>6</v>
          </cell>
          <cell r="G4237" t="str">
            <v>VB8010600000T00</v>
          </cell>
          <cell r="H4237">
            <v>0.75</v>
          </cell>
          <cell r="I4237" t="str">
            <v>--</v>
          </cell>
          <cell r="J4237">
            <v>3</v>
          </cell>
          <cell r="K4237">
            <v>3</v>
          </cell>
        </row>
        <row r="4238">
          <cell r="A4238" t="str">
            <v>M2</v>
          </cell>
          <cell r="B4238" t="str">
            <v>A5C</v>
          </cell>
          <cell r="C4238" t="str">
            <v>N</v>
          </cell>
          <cell r="D4238" t="str">
            <v>24612</v>
          </cell>
          <cell r="E4238" t="str">
            <v>BALL VA</v>
          </cell>
          <cell r="F4238">
            <v>6</v>
          </cell>
          <cell r="G4238" t="str">
            <v>VB8010600000T00</v>
          </cell>
          <cell r="H4238">
            <v>0.75</v>
          </cell>
          <cell r="I4238" t="str">
            <v>--</v>
          </cell>
          <cell r="J4238">
            <v>3</v>
          </cell>
          <cell r="K4238">
            <v>3</v>
          </cell>
        </row>
        <row r="4239">
          <cell r="A4239" t="str">
            <v>M2</v>
          </cell>
          <cell r="B4239" t="str">
            <v>A5C</v>
          </cell>
          <cell r="C4239" t="str">
            <v>N</v>
          </cell>
          <cell r="D4239" t="str">
            <v>24614</v>
          </cell>
          <cell r="E4239" t="str">
            <v>BALL VA</v>
          </cell>
          <cell r="F4239">
            <v>6</v>
          </cell>
          <cell r="G4239" t="str">
            <v>VB8010600000T00</v>
          </cell>
          <cell r="H4239">
            <v>0.75</v>
          </cell>
          <cell r="I4239" t="str">
            <v>--</v>
          </cell>
          <cell r="J4239">
            <v>1</v>
          </cell>
          <cell r="K4239">
            <v>1</v>
          </cell>
        </row>
        <row r="4240">
          <cell r="A4240" t="str">
            <v>M2</v>
          </cell>
          <cell r="B4240" t="str">
            <v>A5C</v>
          </cell>
          <cell r="C4240" t="str">
            <v>P</v>
          </cell>
          <cell r="D4240" t="str">
            <v>23006</v>
          </cell>
          <cell r="E4240" t="str">
            <v>BALL VA</v>
          </cell>
          <cell r="F4240">
            <v>6</v>
          </cell>
          <cell r="G4240" t="str">
            <v>VB8010600000T00</v>
          </cell>
          <cell r="H4240">
            <v>0.75</v>
          </cell>
          <cell r="I4240" t="str">
            <v>--</v>
          </cell>
          <cell r="J4240">
            <v>1</v>
          </cell>
          <cell r="K4240">
            <v>1</v>
          </cell>
        </row>
        <row r="4241">
          <cell r="A4241" t="str">
            <v>M2</v>
          </cell>
          <cell r="B4241" t="str">
            <v>A5C</v>
          </cell>
          <cell r="C4241" t="str">
            <v>P</v>
          </cell>
          <cell r="D4241" t="str">
            <v>23006</v>
          </cell>
          <cell r="E4241" t="str">
            <v>BALL VA</v>
          </cell>
          <cell r="F4241">
            <v>6</v>
          </cell>
          <cell r="G4241" t="str">
            <v>VB8010600000T00</v>
          </cell>
          <cell r="H4241">
            <v>0.75</v>
          </cell>
          <cell r="I4241" t="str">
            <v>--</v>
          </cell>
          <cell r="J4241">
            <v>2</v>
          </cell>
          <cell r="K4241">
            <v>2</v>
          </cell>
        </row>
        <row r="4242">
          <cell r="A4242" t="str">
            <v>M2</v>
          </cell>
          <cell r="B4242" t="str">
            <v>A5C</v>
          </cell>
          <cell r="C4242" t="str">
            <v>P</v>
          </cell>
          <cell r="D4242" t="str">
            <v>23011</v>
          </cell>
          <cell r="E4242" t="str">
            <v>BALL VA</v>
          </cell>
          <cell r="F4242">
            <v>6</v>
          </cell>
          <cell r="G4242" t="str">
            <v>VB8010600000T00</v>
          </cell>
          <cell r="H4242">
            <v>0.75</v>
          </cell>
          <cell r="I4242" t="str">
            <v>--</v>
          </cell>
          <cell r="J4242">
            <v>2</v>
          </cell>
          <cell r="K4242">
            <v>2</v>
          </cell>
        </row>
        <row r="4243">
          <cell r="A4243" t="str">
            <v>M2</v>
          </cell>
          <cell r="B4243" t="str">
            <v>A5C</v>
          </cell>
          <cell r="C4243" t="str">
            <v>P</v>
          </cell>
          <cell r="D4243" t="str">
            <v>23022</v>
          </cell>
          <cell r="E4243" t="str">
            <v>BALL VA</v>
          </cell>
          <cell r="F4243">
            <v>6</v>
          </cell>
          <cell r="G4243" t="str">
            <v>VB8010600000T00</v>
          </cell>
          <cell r="H4243">
            <v>0.75</v>
          </cell>
          <cell r="I4243" t="str">
            <v>--</v>
          </cell>
          <cell r="J4243">
            <v>2</v>
          </cell>
          <cell r="K4243">
            <v>2</v>
          </cell>
        </row>
        <row r="4244">
          <cell r="A4244" t="str">
            <v>M2</v>
          </cell>
          <cell r="B4244" t="str">
            <v>A5C</v>
          </cell>
          <cell r="C4244" t="str">
            <v>P</v>
          </cell>
          <cell r="D4244" t="str">
            <v>23023</v>
          </cell>
          <cell r="E4244" t="str">
            <v>BALL VA</v>
          </cell>
          <cell r="F4244">
            <v>6</v>
          </cell>
          <cell r="G4244" t="str">
            <v>VB8010600000T00</v>
          </cell>
          <cell r="H4244">
            <v>0.75</v>
          </cell>
          <cell r="I4244" t="str">
            <v>--</v>
          </cell>
          <cell r="J4244">
            <v>2</v>
          </cell>
          <cell r="K4244">
            <v>2</v>
          </cell>
        </row>
        <row r="4245">
          <cell r="A4245" t="str">
            <v>M2</v>
          </cell>
          <cell r="B4245" t="str">
            <v>A5C</v>
          </cell>
          <cell r="C4245" t="str">
            <v>P</v>
          </cell>
          <cell r="D4245" t="str">
            <v>23035</v>
          </cell>
          <cell r="E4245" t="str">
            <v>BALL VA</v>
          </cell>
          <cell r="F4245">
            <v>6</v>
          </cell>
          <cell r="G4245" t="str">
            <v>VB8010600000T00</v>
          </cell>
          <cell r="H4245">
            <v>0.75</v>
          </cell>
          <cell r="I4245" t="str">
            <v>--</v>
          </cell>
          <cell r="J4245">
            <v>3</v>
          </cell>
          <cell r="K4245">
            <v>3</v>
          </cell>
        </row>
        <row r="4246">
          <cell r="A4246" t="str">
            <v>M2</v>
          </cell>
          <cell r="B4246" t="str">
            <v>A5C</v>
          </cell>
          <cell r="C4246" t="str">
            <v>P</v>
          </cell>
          <cell r="D4246" t="str">
            <v>23037</v>
          </cell>
          <cell r="E4246" t="str">
            <v>BALL VA</v>
          </cell>
          <cell r="F4246">
            <v>6</v>
          </cell>
          <cell r="G4246" t="str">
            <v>VB8010600000T00</v>
          </cell>
          <cell r="H4246">
            <v>0.75</v>
          </cell>
          <cell r="I4246" t="str">
            <v>--</v>
          </cell>
          <cell r="J4246">
            <v>1</v>
          </cell>
          <cell r="K4246">
            <v>1</v>
          </cell>
        </row>
        <row r="4247">
          <cell r="A4247" t="str">
            <v>M2</v>
          </cell>
          <cell r="B4247" t="str">
            <v>A5C</v>
          </cell>
          <cell r="C4247" t="str">
            <v>P</v>
          </cell>
          <cell r="D4247" t="str">
            <v>23037</v>
          </cell>
          <cell r="E4247" t="str">
            <v>BALL VA</v>
          </cell>
          <cell r="F4247">
            <v>6</v>
          </cell>
          <cell r="G4247" t="str">
            <v>VB8010600000T00</v>
          </cell>
          <cell r="H4247">
            <v>0.75</v>
          </cell>
          <cell r="I4247" t="str">
            <v>--</v>
          </cell>
          <cell r="J4247">
            <v>2</v>
          </cell>
          <cell r="K4247">
            <v>2</v>
          </cell>
        </row>
        <row r="4248">
          <cell r="A4248" t="str">
            <v>M2</v>
          </cell>
          <cell r="B4248" t="str">
            <v>A5C</v>
          </cell>
          <cell r="C4248" t="str">
            <v>P</v>
          </cell>
          <cell r="D4248" t="str">
            <v>23038</v>
          </cell>
          <cell r="E4248" t="str">
            <v>BALL VA</v>
          </cell>
          <cell r="F4248">
            <v>6</v>
          </cell>
          <cell r="G4248" t="str">
            <v>VB8010600000T00</v>
          </cell>
          <cell r="H4248">
            <v>0.75</v>
          </cell>
          <cell r="I4248" t="str">
            <v>--</v>
          </cell>
          <cell r="J4248">
            <v>2</v>
          </cell>
          <cell r="K4248">
            <v>2</v>
          </cell>
        </row>
        <row r="4249">
          <cell r="A4249" t="str">
            <v>M2</v>
          </cell>
          <cell r="B4249" t="str">
            <v>A5C</v>
          </cell>
          <cell r="C4249" t="str">
            <v>P</v>
          </cell>
          <cell r="D4249" t="str">
            <v>23046</v>
          </cell>
          <cell r="E4249" t="str">
            <v>BALL VA</v>
          </cell>
          <cell r="F4249">
            <v>6</v>
          </cell>
          <cell r="G4249" t="str">
            <v>VB8010600000T00</v>
          </cell>
          <cell r="H4249">
            <v>0.75</v>
          </cell>
          <cell r="I4249" t="str">
            <v>--</v>
          </cell>
          <cell r="J4249">
            <v>2</v>
          </cell>
          <cell r="K4249">
            <v>2</v>
          </cell>
        </row>
        <row r="4250">
          <cell r="A4250" t="str">
            <v>M2</v>
          </cell>
          <cell r="B4250" t="str">
            <v>A5C</v>
          </cell>
          <cell r="C4250" t="str">
            <v>P</v>
          </cell>
          <cell r="D4250" t="str">
            <v>23047</v>
          </cell>
          <cell r="E4250" t="str">
            <v>BALL VA</v>
          </cell>
          <cell r="F4250">
            <v>6</v>
          </cell>
          <cell r="G4250" t="str">
            <v>VB8010600000T00</v>
          </cell>
          <cell r="H4250">
            <v>0.75</v>
          </cell>
          <cell r="I4250" t="str">
            <v>--</v>
          </cell>
          <cell r="J4250">
            <v>2</v>
          </cell>
          <cell r="K4250">
            <v>2</v>
          </cell>
        </row>
        <row r="4251">
          <cell r="A4251" t="str">
            <v>M2</v>
          </cell>
          <cell r="B4251" t="str">
            <v>A5C</v>
          </cell>
          <cell r="C4251" t="str">
            <v>P</v>
          </cell>
          <cell r="D4251" t="str">
            <v>23052</v>
          </cell>
          <cell r="E4251" t="str">
            <v>BALL VA</v>
          </cell>
          <cell r="F4251">
            <v>6</v>
          </cell>
          <cell r="G4251" t="str">
            <v>VB8010600000T00</v>
          </cell>
          <cell r="H4251">
            <v>0.75</v>
          </cell>
          <cell r="I4251" t="str">
            <v>--</v>
          </cell>
          <cell r="J4251">
            <v>1</v>
          </cell>
          <cell r="K4251">
            <v>1</v>
          </cell>
        </row>
        <row r="4252">
          <cell r="A4252" t="str">
            <v>M2</v>
          </cell>
          <cell r="B4252" t="str">
            <v>A5C</v>
          </cell>
          <cell r="C4252" t="str">
            <v>P</v>
          </cell>
          <cell r="D4252" t="str">
            <v>23052</v>
          </cell>
          <cell r="E4252" t="str">
            <v>BALL VA</v>
          </cell>
          <cell r="F4252">
            <v>6</v>
          </cell>
          <cell r="G4252" t="str">
            <v>VB8010600000T00</v>
          </cell>
          <cell r="H4252">
            <v>0.75</v>
          </cell>
          <cell r="I4252" t="str">
            <v>--</v>
          </cell>
          <cell r="J4252">
            <v>2</v>
          </cell>
          <cell r="K4252">
            <v>2</v>
          </cell>
        </row>
        <row r="4253">
          <cell r="A4253" t="str">
            <v>M2</v>
          </cell>
          <cell r="B4253" t="str">
            <v>A5C</v>
          </cell>
          <cell r="C4253" t="str">
            <v>P</v>
          </cell>
          <cell r="D4253" t="str">
            <v>23057</v>
          </cell>
          <cell r="E4253" t="str">
            <v>BALL VA</v>
          </cell>
          <cell r="F4253">
            <v>6</v>
          </cell>
          <cell r="G4253" t="str">
            <v>VB8010600000T00</v>
          </cell>
          <cell r="H4253">
            <v>0.75</v>
          </cell>
          <cell r="I4253" t="str">
            <v>--</v>
          </cell>
          <cell r="J4253">
            <v>2</v>
          </cell>
          <cell r="K4253">
            <v>2</v>
          </cell>
        </row>
        <row r="4254">
          <cell r="A4254" t="str">
            <v>M2</v>
          </cell>
          <cell r="B4254" t="str">
            <v>A5C</v>
          </cell>
          <cell r="C4254" t="str">
            <v>P</v>
          </cell>
          <cell r="D4254" t="str">
            <v>23058</v>
          </cell>
          <cell r="E4254" t="str">
            <v>BALL VA</v>
          </cell>
          <cell r="F4254">
            <v>6</v>
          </cell>
          <cell r="G4254" t="str">
            <v>VB8010600000T00</v>
          </cell>
          <cell r="H4254">
            <v>0.75</v>
          </cell>
          <cell r="I4254" t="str">
            <v>--</v>
          </cell>
          <cell r="J4254">
            <v>2</v>
          </cell>
          <cell r="K4254">
            <v>2</v>
          </cell>
        </row>
        <row r="4255">
          <cell r="A4255" t="str">
            <v>M2</v>
          </cell>
          <cell r="B4255" t="str">
            <v>A5C</v>
          </cell>
          <cell r="C4255" t="str">
            <v>P</v>
          </cell>
          <cell r="D4255" t="str">
            <v>23063</v>
          </cell>
          <cell r="E4255" t="str">
            <v>BALL VA</v>
          </cell>
          <cell r="F4255">
            <v>6</v>
          </cell>
          <cell r="G4255" t="str">
            <v>VB8010600000T00</v>
          </cell>
          <cell r="H4255">
            <v>0.75</v>
          </cell>
          <cell r="I4255" t="str">
            <v>--</v>
          </cell>
          <cell r="J4255">
            <v>3</v>
          </cell>
          <cell r="K4255">
            <v>3</v>
          </cell>
        </row>
        <row r="4256">
          <cell r="A4256" t="str">
            <v>M2</v>
          </cell>
          <cell r="B4256" t="str">
            <v>A5C</v>
          </cell>
          <cell r="C4256" t="str">
            <v>P</v>
          </cell>
          <cell r="D4256" t="str">
            <v>23067</v>
          </cell>
          <cell r="E4256" t="str">
            <v>BALL VA</v>
          </cell>
          <cell r="F4256">
            <v>6</v>
          </cell>
          <cell r="G4256" t="str">
            <v>VB8010600000T00</v>
          </cell>
          <cell r="H4256">
            <v>0.75</v>
          </cell>
          <cell r="I4256" t="str">
            <v>--</v>
          </cell>
          <cell r="J4256">
            <v>2</v>
          </cell>
          <cell r="K4256">
            <v>2</v>
          </cell>
        </row>
        <row r="4257">
          <cell r="A4257" t="str">
            <v>M2</v>
          </cell>
          <cell r="B4257" t="str">
            <v>A5C</v>
          </cell>
          <cell r="C4257" t="str">
            <v>P</v>
          </cell>
          <cell r="D4257" t="str">
            <v>23072</v>
          </cell>
          <cell r="E4257" t="str">
            <v>BALL VA</v>
          </cell>
          <cell r="F4257">
            <v>6</v>
          </cell>
          <cell r="G4257" t="str">
            <v>VB8010600000T00</v>
          </cell>
          <cell r="H4257">
            <v>0.75</v>
          </cell>
          <cell r="I4257" t="str">
            <v>--</v>
          </cell>
          <cell r="J4257">
            <v>2</v>
          </cell>
          <cell r="K4257">
            <v>2</v>
          </cell>
        </row>
        <row r="4258">
          <cell r="A4258" t="str">
            <v>M2</v>
          </cell>
          <cell r="B4258" t="str">
            <v>A5C</v>
          </cell>
          <cell r="C4258" t="str">
            <v>P</v>
          </cell>
          <cell r="D4258" t="str">
            <v>23073</v>
          </cell>
          <cell r="E4258" t="str">
            <v>BALL VA</v>
          </cell>
          <cell r="F4258">
            <v>6</v>
          </cell>
          <cell r="G4258" t="str">
            <v>VB8010600000T00</v>
          </cell>
          <cell r="H4258">
            <v>0.75</v>
          </cell>
          <cell r="I4258" t="str">
            <v>--</v>
          </cell>
          <cell r="J4258">
            <v>2</v>
          </cell>
          <cell r="K4258">
            <v>2</v>
          </cell>
        </row>
        <row r="4259">
          <cell r="A4259" t="str">
            <v>M2</v>
          </cell>
          <cell r="B4259" t="str">
            <v>A5C</v>
          </cell>
          <cell r="C4259" t="str">
            <v>P</v>
          </cell>
          <cell r="D4259" t="str">
            <v>23078</v>
          </cell>
          <cell r="E4259" t="str">
            <v>BALL VA</v>
          </cell>
          <cell r="F4259">
            <v>6</v>
          </cell>
          <cell r="G4259" t="str">
            <v>VB8010600000T00</v>
          </cell>
          <cell r="H4259">
            <v>0.75</v>
          </cell>
          <cell r="I4259" t="str">
            <v>--</v>
          </cell>
          <cell r="J4259">
            <v>2</v>
          </cell>
          <cell r="K4259">
            <v>2</v>
          </cell>
        </row>
        <row r="4260">
          <cell r="A4260" t="str">
            <v>M2</v>
          </cell>
          <cell r="B4260" t="str">
            <v>A5C</v>
          </cell>
          <cell r="C4260" t="str">
            <v>P</v>
          </cell>
          <cell r="D4260" t="str">
            <v>23078</v>
          </cell>
          <cell r="E4260" t="str">
            <v>BALL VA</v>
          </cell>
          <cell r="F4260">
            <v>6</v>
          </cell>
          <cell r="G4260" t="str">
            <v>VB8010600000T00</v>
          </cell>
          <cell r="H4260">
            <v>0.75</v>
          </cell>
          <cell r="I4260" t="str">
            <v>--</v>
          </cell>
          <cell r="J4260">
            <v>1</v>
          </cell>
          <cell r="K4260">
            <v>1</v>
          </cell>
        </row>
        <row r="4261">
          <cell r="A4261" t="str">
            <v>M2</v>
          </cell>
          <cell r="B4261" t="str">
            <v>A5C</v>
          </cell>
          <cell r="C4261" t="str">
            <v>P</v>
          </cell>
          <cell r="D4261" t="str">
            <v>23084</v>
          </cell>
          <cell r="E4261" t="str">
            <v>BALL VA</v>
          </cell>
          <cell r="F4261">
            <v>6</v>
          </cell>
          <cell r="G4261" t="str">
            <v>VB8010600000T00</v>
          </cell>
          <cell r="H4261">
            <v>0.75</v>
          </cell>
          <cell r="I4261" t="str">
            <v>--</v>
          </cell>
          <cell r="J4261">
            <v>2</v>
          </cell>
          <cell r="K4261">
            <v>2</v>
          </cell>
        </row>
        <row r="4262">
          <cell r="A4262" t="str">
            <v>M2</v>
          </cell>
          <cell r="B4262" t="str">
            <v>A5C</v>
          </cell>
          <cell r="C4262" t="str">
            <v>P</v>
          </cell>
          <cell r="D4262" t="str">
            <v>23081</v>
          </cell>
          <cell r="E4262" t="str">
            <v>BALL VA</v>
          </cell>
          <cell r="F4262">
            <v>6</v>
          </cell>
          <cell r="G4262" t="str">
            <v>VB8010600000T00</v>
          </cell>
          <cell r="H4262">
            <v>0.75</v>
          </cell>
          <cell r="I4262" t="str">
            <v>--</v>
          </cell>
          <cell r="J4262">
            <v>3</v>
          </cell>
          <cell r="K4262">
            <v>3</v>
          </cell>
        </row>
        <row r="4263">
          <cell r="A4263" t="str">
            <v>M2</v>
          </cell>
          <cell r="B4263" t="str">
            <v>A5C</v>
          </cell>
          <cell r="C4263" t="str">
            <v>P</v>
          </cell>
          <cell r="D4263" t="str">
            <v>23082</v>
          </cell>
          <cell r="E4263" t="str">
            <v>BALL VA</v>
          </cell>
          <cell r="F4263">
            <v>6</v>
          </cell>
          <cell r="G4263" t="str">
            <v>VB8010600000T00</v>
          </cell>
          <cell r="H4263">
            <v>0.75</v>
          </cell>
          <cell r="I4263" t="str">
            <v>--</v>
          </cell>
          <cell r="J4263">
            <v>2</v>
          </cell>
          <cell r="K4263">
            <v>2</v>
          </cell>
        </row>
        <row r="4264">
          <cell r="A4264" t="str">
            <v>M2</v>
          </cell>
          <cell r="B4264" t="str">
            <v>A5C</v>
          </cell>
          <cell r="C4264" t="str">
            <v>P</v>
          </cell>
          <cell r="D4264" t="str">
            <v>23083</v>
          </cell>
          <cell r="E4264" t="str">
            <v>BALL VA</v>
          </cell>
          <cell r="F4264">
            <v>6</v>
          </cell>
          <cell r="G4264" t="str">
            <v>VB8010600000T00</v>
          </cell>
          <cell r="H4264">
            <v>0.75</v>
          </cell>
          <cell r="I4264" t="str">
            <v>--</v>
          </cell>
          <cell r="J4264">
            <v>1</v>
          </cell>
          <cell r="K4264">
            <v>1</v>
          </cell>
        </row>
        <row r="4265">
          <cell r="A4265" t="str">
            <v>M2</v>
          </cell>
          <cell r="B4265" t="str">
            <v>A5C</v>
          </cell>
          <cell r="C4265" t="str">
            <v>P</v>
          </cell>
          <cell r="D4265" t="str">
            <v>23085</v>
          </cell>
          <cell r="E4265" t="str">
            <v>BALL VA</v>
          </cell>
          <cell r="F4265">
            <v>6</v>
          </cell>
          <cell r="G4265" t="str">
            <v>VB8010600000T00</v>
          </cell>
          <cell r="H4265">
            <v>0.75</v>
          </cell>
          <cell r="I4265" t="str">
            <v>--</v>
          </cell>
          <cell r="J4265">
            <v>5</v>
          </cell>
          <cell r="K4265">
            <v>5</v>
          </cell>
        </row>
        <row r="4266">
          <cell r="A4266" t="str">
            <v>M2</v>
          </cell>
          <cell r="B4266" t="str">
            <v>A5C</v>
          </cell>
          <cell r="C4266" t="str">
            <v>P</v>
          </cell>
          <cell r="D4266" t="str">
            <v>23094</v>
          </cell>
          <cell r="E4266" t="str">
            <v>BALL VA</v>
          </cell>
          <cell r="F4266">
            <v>6</v>
          </cell>
          <cell r="G4266" t="str">
            <v>VB8010600000T00</v>
          </cell>
          <cell r="H4266">
            <v>0.75</v>
          </cell>
          <cell r="I4266" t="str">
            <v>--</v>
          </cell>
          <cell r="J4266">
            <v>3</v>
          </cell>
          <cell r="K4266">
            <v>3</v>
          </cell>
        </row>
        <row r="4267">
          <cell r="A4267" t="str">
            <v>M2</v>
          </cell>
          <cell r="B4267" t="str">
            <v>A5C</v>
          </cell>
          <cell r="C4267" t="str">
            <v>P</v>
          </cell>
          <cell r="D4267" t="str">
            <v>23095</v>
          </cell>
          <cell r="E4267" t="str">
            <v>BALL VA</v>
          </cell>
          <cell r="F4267">
            <v>6</v>
          </cell>
          <cell r="G4267" t="str">
            <v>VB8010600000T00</v>
          </cell>
          <cell r="H4267">
            <v>0.75</v>
          </cell>
          <cell r="I4267" t="str">
            <v>--</v>
          </cell>
          <cell r="J4267">
            <v>2</v>
          </cell>
          <cell r="K4267">
            <v>2</v>
          </cell>
        </row>
        <row r="4268">
          <cell r="A4268" t="str">
            <v>M2</v>
          </cell>
          <cell r="B4268" t="str">
            <v>A5C</v>
          </cell>
          <cell r="C4268" t="str">
            <v>P</v>
          </cell>
          <cell r="D4268" t="str">
            <v>23096</v>
          </cell>
          <cell r="E4268" t="str">
            <v>BALL VA</v>
          </cell>
          <cell r="F4268">
            <v>6</v>
          </cell>
          <cell r="G4268" t="str">
            <v>VB8010600000T00</v>
          </cell>
          <cell r="H4268">
            <v>0.75</v>
          </cell>
          <cell r="I4268" t="str">
            <v>--</v>
          </cell>
          <cell r="J4268">
            <v>3</v>
          </cell>
          <cell r="K4268">
            <v>3</v>
          </cell>
        </row>
        <row r="4269">
          <cell r="A4269" t="str">
            <v>M2</v>
          </cell>
          <cell r="B4269" t="str">
            <v>A5C</v>
          </cell>
          <cell r="C4269" t="str">
            <v>P</v>
          </cell>
          <cell r="D4269" t="str">
            <v>23096</v>
          </cell>
          <cell r="E4269" t="str">
            <v>BALL VA</v>
          </cell>
          <cell r="F4269">
            <v>6</v>
          </cell>
          <cell r="G4269" t="str">
            <v>VB8010600000T00</v>
          </cell>
          <cell r="H4269">
            <v>0.75</v>
          </cell>
          <cell r="I4269" t="str">
            <v>--</v>
          </cell>
          <cell r="J4269">
            <v>2</v>
          </cell>
          <cell r="K4269">
            <v>2</v>
          </cell>
        </row>
        <row r="4270">
          <cell r="A4270" t="str">
            <v>M2</v>
          </cell>
          <cell r="B4270" t="str">
            <v>A5C</v>
          </cell>
          <cell r="C4270" t="str">
            <v>P</v>
          </cell>
          <cell r="D4270" t="str">
            <v>23104</v>
          </cell>
          <cell r="E4270" t="str">
            <v>BALL VA</v>
          </cell>
          <cell r="F4270">
            <v>6</v>
          </cell>
          <cell r="G4270" t="str">
            <v>VB8010600000T00</v>
          </cell>
          <cell r="H4270">
            <v>0.75</v>
          </cell>
          <cell r="I4270" t="str">
            <v>--</v>
          </cell>
          <cell r="J4270">
            <v>1</v>
          </cell>
          <cell r="K4270">
            <v>1</v>
          </cell>
        </row>
        <row r="4271">
          <cell r="A4271" t="str">
            <v>M2</v>
          </cell>
          <cell r="B4271" t="str">
            <v>A5C</v>
          </cell>
          <cell r="C4271" t="str">
            <v>P</v>
          </cell>
          <cell r="D4271" t="str">
            <v>23101</v>
          </cell>
          <cell r="E4271" t="str">
            <v>BALL VA</v>
          </cell>
          <cell r="F4271">
            <v>6</v>
          </cell>
          <cell r="G4271" t="str">
            <v>VB8010600000T00</v>
          </cell>
          <cell r="H4271">
            <v>0.75</v>
          </cell>
          <cell r="I4271" t="str">
            <v>--</v>
          </cell>
          <cell r="J4271">
            <v>1</v>
          </cell>
          <cell r="K4271">
            <v>1</v>
          </cell>
        </row>
        <row r="4272">
          <cell r="A4272" t="str">
            <v>M2</v>
          </cell>
          <cell r="B4272" t="str">
            <v>A5C</v>
          </cell>
          <cell r="C4272" t="str">
            <v>P</v>
          </cell>
          <cell r="D4272" t="str">
            <v>23103</v>
          </cell>
          <cell r="E4272" t="str">
            <v>BALL VA</v>
          </cell>
          <cell r="F4272">
            <v>6</v>
          </cell>
          <cell r="G4272" t="str">
            <v>VB8010600000T00</v>
          </cell>
          <cell r="H4272">
            <v>0.75</v>
          </cell>
          <cell r="I4272" t="str">
            <v>--</v>
          </cell>
          <cell r="J4272">
            <v>2</v>
          </cell>
          <cell r="K4272">
            <v>2</v>
          </cell>
        </row>
        <row r="4273">
          <cell r="A4273" t="str">
            <v>M2</v>
          </cell>
          <cell r="B4273" t="str">
            <v>A5C</v>
          </cell>
          <cell r="C4273" t="str">
            <v>P</v>
          </cell>
          <cell r="D4273" t="str">
            <v>23104</v>
          </cell>
          <cell r="E4273" t="str">
            <v>BALL VA</v>
          </cell>
          <cell r="F4273">
            <v>6</v>
          </cell>
          <cell r="G4273" t="str">
            <v>VB8010600000T00</v>
          </cell>
          <cell r="H4273">
            <v>0.75</v>
          </cell>
          <cell r="I4273" t="str">
            <v>--</v>
          </cell>
          <cell r="J4273">
            <v>1</v>
          </cell>
          <cell r="K4273">
            <v>1</v>
          </cell>
        </row>
        <row r="4274">
          <cell r="A4274" t="str">
            <v>M2</v>
          </cell>
          <cell r="B4274" t="str">
            <v>A5C</v>
          </cell>
          <cell r="C4274" t="str">
            <v>P</v>
          </cell>
          <cell r="D4274" t="str">
            <v>23104</v>
          </cell>
          <cell r="E4274" t="str">
            <v>BALL VA</v>
          </cell>
          <cell r="F4274">
            <v>6</v>
          </cell>
          <cell r="G4274" t="str">
            <v>VB8010600000T00</v>
          </cell>
          <cell r="H4274">
            <v>0.75</v>
          </cell>
          <cell r="I4274" t="str">
            <v>--</v>
          </cell>
          <cell r="J4274">
            <v>1</v>
          </cell>
          <cell r="K4274">
            <v>1</v>
          </cell>
        </row>
        <row r="4275">
          <cell r="A4275" t="str">
            <v>M2</v>
          </cell>
          <cell r="B4275" t="str">
            <v>A5C</v>
          </cell>
          <cell r="C4275" t="str">
            <v>P</v>
          </cell>
          <cell r="D4275" t="str">
            <v>23104</v>
          </cell>
          <cell r="E4275" t="str">
            <v>BALL VA</v>
          </cell>
          <cell r="F4275">
            <v>6</v>
          </cell>
          <cell r="G4275" t="str">
            <v>VB8010600000T00</v>
          </cell>
          <cell r="H4275">
            <v>0.75</v>
          </cell>
          <cell r="I4275" t="str">
            <v>--</v>
          </cell>
          <cell r="J4275">
            <v>1</v>
          </cell>
          <cell r="K4275">
            <v>1</v>
          </cell>
        </row>
        <row r="4276">
          <cell r="A4276" t="str">
            <v>M2</v>
          </cell>
          <cell r="B4276" t="str">
            <v>A5C</v>
          </cell>
          <cell r="C4276" t="str">
            <v>P</v>
          </cell>
          <cell r="D4276" t="str">
            <v>23105</v>
          </cell>
          <cell r="E4276" t="str">
            <v>BALL VA</v>
          </cell>
          <cell r="F4276">
            <v>6</v>
          </cell>
          <cell r="G4276" t="str">
            <v>VB8010600000T00</v>
          </cell>
          <cell r="H4276">
            <v>0.75</v>
          </cell>
          <cell r="I4276" t="str">
            <v>--</v>
          </cell>
          <cell r="J4276">
            <v>1</v>
          </cell>
          <cell r="K4276">
            <v>1</v>
          </cell>
        </row>
        <row r="4277">
          <cell r="A4277" t="str">
            <v>M2</v>
          </cell>
          <cell r="B4277" t="str">
            <v>A5C</v>
          </cell>
          <cell r="C4277" t="str">
            <v>P</v>
          </cell>
          <cell r="D4277" t="str">
            <v>23108</v>
          </cell>
          <cell r="E4277" t="str">
            <v>BALL VA</v>
          </cell>
          <cell r="F4277">
            <v>6</v>
          </cell>
          <cell r="G4277" t="str">
            <v>VB8010600000T00</v>
          </cell>
          <cell r="H4277">
            <v>0.75</v>
          </cell>
          <cell r="I4277" t="str">
            <v>--</v>
          </cell>
          <cell r="J4277">
            <v>1</v>
          </cell>
          <cell r="K4277">
            <v>1</v>
          </cell>
        </row>
        <row r="4278">
          <cell r="A4278" t="str">
            <v>M2</v>
          </cell>
          <cell r="B4278" t="str">
            <v>A5C</v>
          </cell>
          <cell r="C4278" t="str">
            <v>P</v>
          </cell>
          <cell r="D4278" t="str">
            <v>23107</v>
          </cell>
          <cell r="E4278" t="str">
            <v>BALL VA</v>
          </cell>
          <cell r="F4278">
            <v>6</v>
          </cell>
          <cell r="G4278" t="str">
            <v>VB8010600000T00</v>
          </cell>
          <cell r="H4278">
            <v>0.75</v>
          </cell>
          <cell r="I4278" t="str">
            <v>--</v>
          </cell>
          <cell r="J4278">
            <v>2</v>
          </cell>
          <cell r="K4278">
            <v>2</v>
          </cell>
        </row>
        <row r="4279">
          <cell r="A4279" t="str">
            <v>M2</v>
          </cell>
          <cell r="B4279" t="str">
            <v>A5C</v>
          </cell>
          <cell r="C4279" t="str">
            <v>P</v>
          </cell>
          <cell r="D4279" t="str">
            <v>23108</v>
          </cell>
          <cell r="E4279" t="str">
            <v>BALL VA</v>
          </cell>
          <cell r="F4279">
            <v>6</v>
          </cell>
          <cell r="G4279" t="str">
            <v>VB8010600000T00</v>
          </cell>
          <cell r="H4279">
            <v>0.75</v>
          </cell>
          <cell r="I4279" t="str">
            <v>--</v>
          </cell>
          <cell r="J4279">
            <v>1</v>
          </cell>
          <cell r="K4279">
            <v>1</v>
          </cell>
        </row>
        <row r="4280">
          <cell r="A4280" t="str">
            <v>M2</v>
          </cell>
          <cell r="B4280" t="str">
            <v>A5C</v>
          </cell>
          <cell r="C4280" t="str">
            <v>P</v>
          </cell>
          <cell r="D4280" t="str">
            <v>23111</v>
          </cell>
          <cell r="E4280" t="str">
            <v>BALL VA</v>
          </cell>
          <cell r="F4280">
            <v>6</v>
          </cell>
          <cell r="G4280" t="str">
            <v>VB8010600000T00</v>
          </cell>
          <cell r="H4280">
            <v>0.75</v>
          </cell>
          <cell r="I4280" t="str">
            <v>--</v>
          </cell>
          <cell r="J4280">
            <v>2</v>
          </cell>
          <cell r="K4280">
            <v>2</v>
          </cell>
        </row>
        <row r="4281">
          <cell r="A4281" t="str">
            <v>M2</v>
          </cell>
          <cell r="B4281" t="str">
            <v>A5C</v>
          </cell>
          <cell r="C4281" t="str">
            <v>P</v>
          </cell>
          <cell r="D4281" t="str">
            <v>23112</v>
          </cell>
          <cell r="E4281" t="str">
            <v>BALL VA</v>
          </cell>
          <cell r="F4281">
            <v>6</v>
          </cell>
          <cell r="G4281" t="str">
            <v>VB8010600000T00</v>
          </cell>
          <cell r="H4281">
            <v>0.75</v>
          </cell>
          <cell r="I4281" t="str">
            <v>--</v>
          </cell>
          <cell r="J4281">
            <v>1</v>
          </cell>
          <cell r="K4281">
            <v>1</v>
          </cell>
        </row>
        <row r="4282">
          <cell r="A4282" t="str">
            <v>M2</v>
          </cell>
          <cell r="B4282" t="str">
            <v>A5C</v>
          </cell>
          <cell r="C4282" t="str">
            <v>P</v>
          </cell>
          <cell r="D4282" t="str">
            <v>23113</v>
          </cell>
          <cell r="E4282" t="str">
            <v>BALL VA</v>
          </cell>
          <cell r="F4282">
            <v>6</v>
          </cell>
          <cell r="G4282" t="str">
            <v>VB8010600000T00</v>
          </cell>
          <cell r="H4282">
            <v>0.75</v>
          </cell>
          <cell r="I4282" t="str">
            <v>--</v>
          </cell>
          <cell r="J4282">
            <v>3</v>
          </cell>
          <cell r="K4282">
            <v>3</v>
          </cell>
        </row>
        <row r="4283">
          <cell r="A4283" t="str">
            <v>M2</v>
          </cell>
          <cell r="B4283" t="str">
            <v>A5C</v>
          </cell>
          <cell r="C4283" t="str">
            <v>P</v>
          </cell>
          <cell r="D4283" t="str">
            <v>23113</v>
          </cell>
          <cell r="E4283" t="str">
            <v>BALL VA</v>
          </cell>
          <cell r="F4283">
            <v>6</v>
          </cell>
          <cell r="G4283" t="str">
            <v>VB8010600000T00</v>
          </cell>
          <cell r="H4283">
            <v>0.75</v>
          </cell>
          <cell r="I4283" t="str">
            <v>--</v>
          </cell>
          <cell r="J4283">
            <v>1</v>
          </cell>
          <cell r="K4283">
            <v>1</v>
          </cell>
        </row>
        <row r="4284">
          <cell r="A4284" t="str">
            <v>M2</v>
          </cell>
          <cell r="B4284" t="str">
            <v>A5C</v>
          </cell>
          <cell r="C4284" t="str">
            <v>P</v>
          </cell>
          <cell r="D4284" t="str">
            <v>23116</v>
          </cell>
          <cell r="E4284" t="str">
            <v>BALL VA</v>
          </cell>
          <cell r="F4284">
            <v>6</v>
          </cell>
          <cell r="G4284" t="str">
            <v>VB8010600000T00</v>
          </cell>
          <cell r="H4284">
            <v>0.75</v>
          </cell>
          <cell r="I4284" t="str">
            <v>--</v>
          </cell>
          <cell r="J4284">
            <v>2</v>
          </cell>
          <cell r="K4284">
            <v>2</v>
          </cell>
        </row>
        <row r="4285">
          <cell r="A4285" t="str">
            <v>M2</v>
          </cell>
          <cell r="B4285" t="str">
            <v>A5C</v>
          </cell>
          <cell r="C4285" t="str">
            <v>P</v>
          </cell>
          <cell r="D4285" t="str">
            <v>23116</v>
          </cell>
          <cell r="E4285" t="str">
            <v>BALL VA</v>
          </cell>
          <cell r="F4285">
            <v>6</v>
          </cell>
          <cell r="G4285" t="str">
            <v>VB8010600000T00</v>
          </cell>
          <cell r="H4285">
            <v>0.75</v>
          </cell>
          <cell r="I4285" t="str">
            <v>--</v>
          </cell>
          <cell r="J4285">
            <v>2</v>
          </cell>
          <cell r="K4285">
            <v>2</v>
          </cell>
        </row>
        <row r="4286">
          <cell r="A4286" t="str">
            <v>M2</v>
          </cell>
          <cell r="B4286" t="str">
            <v>A5C</v>
          </cell>
          <cell r="C4286" t="str">
            <v>P</v>
          </cell>
          <cell r="D4286" t="str">
            <v>23117</v>
          </cell>
          <cell r="E4286" t="str">
            <v>BALL VA</v>
          </cell>
          <cell r="F4286">
            <v>6</v>
          </cell>
          <cell r="G4286" t="str">
            <v>VB8010600000T00</v>
          </cell>
          <cell r="H4286">
            <v>0.75</v>
          </cell>
          <cell r="I4286" t="str">
            <v>--</v>
          </cell>
          <cell r="J4286">
            <v>2</v>
          </cell>
          <cell r="K4286">
            <v>2</v>
          </cell>
        </row>
        <row r="4287">
          <cell r="A4287" t="str">
            <v>M2</v>
          </cell>
          <cell r="B4287" t="str">
            <v>A5C</v>
          </cell>
          <cell r="C4287" t="str">
            <v>P</v>
          </cell>
          <cell r="D4287" t="str">
            <v>23121</v>
          </cell>
          <cell r="E4287" t="str">
            <v>BALL VA</v>
          </cell>
          <cell r="F4287">
            <v>6</v>
          </cell>
          <cell r="G4287" t="str">
            <v>VB8010600000T00</v>
          </cell>
          <cell r="H4287">
            <v>0.75</v>
          </cell>
          <cell r="I4287" t="str">
            <v>--</v>
          </cell>
          <cell r="J4287">
            <v>2</v>
          </cell>
          <cell r="K4287">
            <v>2</v>
          </cell>
        </row>
        <row r="4288">
          <cell r="A4288" t="str">
            <v>M2</v>
          </cell>
          <cell r="B4288" t="str">
            <v>A5C</v>
          </cell>
          <cell r="C4288" t="str">
            <v>P</v>
          </cell>
          <cell r="D4288" t="str">
            <v>23123</v>
          </cell>
          <cell r="E4288" t="str">
            <v>BALL VA</v>
          </cell>
          <cell r="F4288">
            <v>6</v>
          </cell>
          <cell r="G4288" t="str">
            <v>VB8010600000T00</v>
          </cell>
          <cell r="H4288">
            <v>0.75</v>
          </cell>
          <cell r="I4288" t="str">
            <v>--</v>
          </cell>
          <cell r="J4288">
            <v>2</v>
          </cell>
          <cell r="K4288">
            <v>2</v>
          </cell>
        </row>
        <row r="4289">
          <cell r="A4289" t="str">
            <v>M2</v>
          </cell>
          <cell r="B4289" t="str">
            <v>A5C</v>
          </cell>
          <cell r="C4289" t="str">
            <v>P</v>
          </cell>
          <cell r="D4289" t="str">
            <v>23122</v>
          </cell>
          <cell r="E4289" t="str">
            <v>BALL VA</v>
          </cell>
          <cell r="F4289">
            <v>6</v>
          </cell>
          <cell r="G4289" t="str">
            <v>VB8010600000T00</v>
          </cell>
          <cell r="H4289">
            <v>0.75</v>
          </cell>
          <cell r="I4289" t="str">
            <v>--</v>
          </cell>
          <cell r="J4289">
            <v>1</v>
          </cell>
          <cell r="K4289">
            <v>1</v>
          </cell>
        </row>
        <row r="4290">
          <cell r="A4290" t="str">
            <v>M2</v>
          </cell>
          <cell r="B4290" t="str">
            <v>A5C</v>
          </cell>
          <cell r="C4290" t="str">
            <v>P</v>
          </cell>
          <cell r="D4290" t="str">
            <v>23124</v>
          </cell>
          <cell r="E4290" t="str">
            <v>BALL VA</v>
          </cell>
          <cell r="F4290">
            <v>6</v>
          </cell>
          <cell r="G4290" t="str">
            <v>VB8010600000T00</v>
          </cell>
          <cell r="H4290">
            <v>0.75</v>
          </cell>
          <cell r="I4290" t="str">
            <v>--</v>
          </cell>
          <cell r="J4290">
            <v>3</v>
          </cell>
          <cell r="K4290">
            <v>3</v>
          </cell>
        </row>
        <row r="4291">
          <cell r="A4291" t="str">
            <v>M2</v>
          </cell>
          <cell r="B4291" t="str">
            <v>A5C</v>
          </cell>
          <cell r="C4291" t="str">
            <v>P</v>
          </cell>
          <cell r="D4291" t="str">
            <v>23124</v>
          </cell>
          <cell r="E4291" t="str">
            <v>BALL VA</v>
          </cell>
          <cell r="F4291">
            <v>6</v>
          </cell>
          <cell r="G4291" t="str">
            <v>VB8010600000T00</v>
          </cell>
          <cell r="H4291">
            <v>0.75</v>
          </cell>
          <cell r="I4291" t="str">
            <v>--</v>
          </cell>
          <cell r="J4291">
            <v>2</v>
          </cell>
          <cell r="K4291">
            <v>2</v>
          </cell>
        </row>
        <row r="4292">
          <cell r="A4292" t="str">
            <v>M2</v>
          </cell>
          <cell r="B4292" t="str">
            <v>A5C</v>
          </cell>
          <cell r="C4292" t="str">
            <v>P</v>
          </cell>
          <cell r="D4292" t="str">
            <v>23127</v>
          </cell>
          <cell r="E4292" t="str">
            <v>BALL VA</v>
          </cell>
          <cell r="F4292">
            <v>6</v>
          </cell>
          <cell r="G4292" t="str">
            <v>VB8010600000T00</v>
          </cell>
          <cell r="H4292">
            <v>0.75</v>
          </cell>
          <cell r="I4292" t="str">
            <v>--</v>
          </cell>
          <cell r="J4292">
            <v>2</v>
          </cell>
          <cell r="K4292">
            <v>2</v>
          </cell>
        </row>
        <row r="4293">
          <cell r="A4293" t="str">
            <v>M2</v>
          </cell>
          <cell r="B4293" t="str">
            <v>A5C</v>
          </cell>
          <cell r="C4293" t="str">
            <v>P</v>
          </cell>
          <cell r="D4293" t="str">
            <v>23126</v>
          </cell>
          <cell r="E4293" t="str">
            <v>BALL VA</v>
          </cell>
          <cell r="F4293">
            <v>6</v>
          </cell>
          <cell r="G4293" t="str">
            <v>VB8010600000T00</v>
          </cell>
          <cell r="H4293">
            <v>0.75</v>
          </cell>
          <cell r="I4293" t="str">
            <v>--</v>
          </cell>
          <cell r="J4293">
            <v>2</v>
          </cell>
          <cell r="K4293">
            <v>2</v>
          </cell>
        </row>
        <row r="4294">
          <cell r="A4294" t="str">
            <v>M2</v>
          </cell>
          <cell r="B4294" t="str">
            <v>A5C</v>
          </cell>
          <cell r="C4294" t="str">
            <v>P</v>
          </cell>
          <cell r="D4294" t="str">
            <v>23133</v>
          </cell>
          <cell r="E4294" t="str">
            <v>BALL VA</v>
          </cell>
          <cell r="F4294">
            <v>6</v>
          </cell>
          <cell r="G4294" t="str">
            <v>VB8010600000T00</v>
          </cell>
          <cell r="H4294">
            <v>0.75</v>
          </cell>
          <cell r="I4294" t="str">
            <v>--</v>
          </cell>
          <cell r="J4294">
            <v>1</v>
          </cell>
          <cell r="K4294">
            <v>1</v>
          </cell>
        </row>
        <row r="4295">
          <cell r="A4295" t="str">
            <v>M2</v>
          </cell>
          <cell r="B4295" t="str">
            <v>A5C</v>
          </cell>
          <cell r="C4295" t="str">
            <v>P</v>
          </cell>
          <cell r="D4295" t="str">
            <v>23134</v>
          </cell>
          <cell r="E4295" t="str">
            <v>BALL VA</v>
          </cell>
          <cell r="F4295">
            <v>6</v>
          </cell>
          <cell r="G4295" t="str">
            <v>VB8010600000T00</v>
          </cell>
          <cell r="H4295">
            <v>0.75</v>
          </cell>
          <cell r="I4295" t="str">
            <v>--</v>
          </cell>
          <cell r="J4295">
            <v>2</v>
          </cell>
          <cell r="K4295">
            <v>2</v>
          </cell>
        </row>
        <row r="4296">
          <cell r="A4296" t="str">
            <v>M2</v>
          </cell>
          <cell r="B4296" t="str">
            <v>A5C</v>
          </cell>
          <cell r="C4296" t="str">
            <v>P</v>
          </cell>
          <cell r="D4296" t="str">
            <v>23135</v>
          </cell>
          <cell r="E4296" t="str">
            <v>BALL VA</v>
          </cell>
          <cell r="F4296">
            <v>6</v>
          </cell>
          <cell r="G4296" t="str">
            <v>VB8010600000T00</v>
          </cell>
          <cell r="H4296">
            <v>0.75</v>
          </cell>
          <cell r="I4296" t="str">
            <v>--</v>
          </cell>
          <cell r="J4296">
            <v>3</v>
          </cell>
          <cell r="K4296">
            <v>3</v>
          </cell>
        </row>
        <row r="4297">
          <cell r="A4297" t="str">
            <v>M2</v>
          </cell>
          <cell r="B4297" t="str">
            <v>A5C</v>
          </cell>
          <cell r="C4297" t="str">
            <v>P</v>
          </cell>
          <cell r="D4297" t="str">
            <v>23135</v>
          </cell>
          <cell r="E4297" t="str">
            <v>BALL VA</v>
          </cell>
          <cell r="F4297">
            <v>6</v>
          </cell>
          <cell r="G4297" t="str">
            <v>VB8010600000T00</v>
          </cell>
          <cell r="H4297">
            <v>0.75</v>
          </cell>
          <cell r="I4297" t="str">
            <v>--</v>
          </cell>
          <cell r="J4297">
            <v>4</v>
          </cell>
          <cell r="K4297">
            <v>4</v>
          </cell>
        </row>
        <row r="4298">
          <cell r="A4298" t="str">
            <v>M2</v>
          </cell>
          <cell r="B4298" t="str">
            <v>A5C</v>
          </cell>
          <cell r="C4298" t="str">
            <v>P</v>
          </cell>
          <cell r="D4298" t="str">
            <v>23141</v>
          </cell>
          <cell r="E4298" t="str">
            <v>BALL VA</v>
          </cell>
          <cell r="F4298">
            <v>6</v>
          </cell>
          <cell r="G4298" t="str">
            <v>VB8010600000T00</v>
          </cell>
          <cell r="H4298">
            <v>0.75</v>
          </cell>
          <cell r="I4298" t="str">
            <v>--</v>
          </cell>
          <cell r="J4298">
            <v>3</v>
          </cell>
          <cell r="K4298">
            <v>3</v>
          </cell>
        </row>
        <row r="4299">
          <cell r="A4299" t="str">
            <v>M2</v>
          </cell>
          <cell r="B4299" t="str">
            <v>A5C</v>
          </cell>
          <cell r="C4299" t="str">
            <v>P</v>
          </cell>
          <cell r="D4299" t="str">
            <v>23142</v>
          </cell>
          <cell r="E4299" t="str">
            <v>BALL VA</v>
          </cell>
          <cell r="F4299">
            <v>6</v>
          </cell>
          <cell r="G4299" t="str">
            <v>VB8010600000T00</v>
          </cell>
          <cell r="H4299">
            <v>0.75</v>
          </cell>
          <cell r="I4299" t="str">
            <v>--</v>
          </cell>
          <cell r="J4299">
            <v>2</v>
          </cell>
          <cell r="K4299">
            <v>2</v>
          </cell>
        </row>
        <row r="4300">
          <cell r="A4300" t="str">
            <v>M2</v>
          </cell>
          <cell r="B4300" t="str">
            <v>A5C</v>
          </cell>
          <cell r="C4300" t="str">
            <v>P</v>
          </cell>
          <cell r="D4300" t="str">
            <v>23143</v>
          </cell>
          <cell r="E4300" t="str">
            <v>BALL VA</v>
          </cell>
          <cell r="F4300">
            <v>6</v>
          </cell>
          <cell r="G4300" t="str">
            <v>VB8010600000T00</v>
          </cell>
          <cell r="H4300">
            <v>0.75</v>
          </cell>
          <cell r="I4300" t="str">
            <v>--</v>
          </cell>
          <cell r="J4300">
            <v>2</v>
          </cell>
          <cell r="K4300">
            <v>2</v>
          </cell>
        </row>
        <row r="4301">
          <cell r="A4301" t="str">
            <v>M2</v>
          </cell>
          <cell r="B4301" t="str">
            <v>A5C</v>
          </cell>
          <cell r="C4301" t="str">
            <v>P</v>
          </cell>
          <cell r="D4301" t="str">
            <v>23144</v>
          </cell>
          <cell r="E4301" t="str">
            <v>BALL VA</v>
          </cell>
          <cell r="F4301">
            <v>6</v>
          </cell>
          <cell r="G4301" t="str">
            <v>VB8010600000T00</v>
          </cell>
          <cell r="H4301">
            <v>0.75</v>
          </cell>
          <cell r="I4301" t="str">
            <v>--</v>
          </cell>
          <cell r="J4301">
            <v>2</v>
          </cell>
          <cell r="K4301">
            <v>2</v>
          </cell>
        </row>
        <row r="4302">
          <cell r="A4302" t="str">
            <v>M2</v>
          </cell>
          <cell r="B4302" t="str">
            <v>A5C</v>
          </cell>
          <cell r="C4302" t="str">
            <v>P</v>
          </cell>
          <cell r="D4302" t="str">
            <v>23144</v>
          </cell>
          <cell r="E4302" t="str">
            <v>BALL VA</v>
          </cell>
          <cell r="F4302">
            <v>6</v>
          </cell>
          <cell r="G4302" t="str">
            <v>VB8010600000T00</v>
          </cell>
          <cell r="H4302">
            <v>0.75</v>
          </cell>
          <cell r="I4302" t="str">
            <v>--</v>
          </cell>
          <cell r="J4302">
            <v>2</v>
          </cell>
          <cell r="K4302">
            <v>2</v>
          </cell>
        </row>
        <row r="4303">
          <cell r="A4303" t="str">
            <v>M2</v>
          </cell>
          <cell r="B4303" t="str">
            <v>A5C</v>
          </cell>
          <cell r="C4303" t="str">
            <v>P</v>
          </cell>
          <cell r="D4303" t="str">
            <v>23145</v>
          </cell>
          <cell r="E4303" t="str">
            <v>BALL VA</v>
          </cell>
          <cell r="F4303">
            <v>6</v>
          </cell>
          <cell r="G4303" t="str">
            <v>VB8010600000T00</v>
          </cell>
          <cell r="H4303">
            <v>0.75</v>
          </cell>
          <cell r="I4303" t="str">
            <v>--</v>
          </cell>
          <cell r="J4303">
            <v>1</v>
          </cell>
          <cell r="K4303">
            <v>1</v>
          </cell>
        </row>
        <row r="4304">
          <cell r="A4304" t="str">
            <v>M2</v>
          </cell>
          <cell r="B4304" t="str">
            <v>A5C</v>
          </cell>
          <cell r="C4304" t="str">
            <v>P</v>
          </cell>
          <cell r="D4304" t="str">
            <v>23146</v>
          </cell>
          <cell r="E4304" t="str">
            <v>BALL VA</v>
          </cell>
          <cell r="F4304">
            <v>6</v>
          </cell>
          <cell r="G4304" t="str">
            <v>VB8010600000T00</v>
          </cell>
          <cell r="H4304">
            <v>0.75</v>
          </cell>
          <cell r="I4304" t="str">
            <v>--</v>
          </cell>
          <cell r="J4304">
            <v>2</v>
          </cell>
          <cell r="K4304">
            <v>2</v>
          </cell>
        </row>
        <row r="4305">
          <cell r="A4305" t="str">
            <v>M2</v>
          </cell>
          <cell r="B4305" t="str">
            <v>A5C</v>
          </cell>
          <cell r="C4305" t="str">
            <v>P</v>
          </cell>
          <cell r="D4305" t="str">
            <v>23147</v>
          </cell>
          <cell r="E4305" t="str">
            <v>BALL VA</v>
          </cell>
          <cell r="F4305">
            <v>6</v>
          </cell>
          <cell r="G4305" t="str">
            <v>VB8010600000T00</v>
          </cell>
          <cell r="H4305">
            <v>0.75</v>
          </cell>
          <cell r="I4305" t="str">
            <v>--</v>
          </cell>
          <cell r="J4305">
            <v>2</v>
          </cell>
          <cell r="K4305">
            <v>2</v>
          </cell>
        </row>
        <row r="4306">
          <cell r="A4306" t="str">
            <v>M2</v>
          </cell>
          <cell r="B4306" t="str">
            <v>A5C</v>
          </cell>
          <cell r="C4306" t="str">
            <v>P</v>
          </cell>
          <cell r="D4306" t="str">
            <v>23148</v>
          </cell>
          <cell r="E4306" t="str">
            <v>BALL VA</v>
          </cell>
          <cell r="F4306">
            <v>6</v>
          </cell>
          <cell r="G4306" t="str">
            <v>VB8010600000T00</v>
          </cell>
          <cell r="H4306">
            <v>0.75</v>
          </cell>
          <cell r="I4306" t="str">
            <v>--</v>
          </cell>
          <cell r="J4306">
            <v>2</v>
          </cell>
          <cell r="K4306">
            <v>2</v>
          </cell>
        </row>
        <row r="4307">
          <cell r="A4307" t="str">
            <v>M2</v>
          </cell>
          <cell r="B4307" t="str">
            <v>A5C</v>
          </cell>
          <cell r="C4307" t="str">
            <v>P</v>
          </cell>
          <cell r="D4307" t="str">
            <v>23148</v>
          </cell>
          <cell r="E4307" t="str">
            <v>BALL VA</v>
          </cell>
          <cell r="F4307">
            <v>6</v>
          </cell>
          <cell r="G4307" t="str">
            <v>VB8010600000T00</v>
          </cell>
          <cell r="H4307">
            <v>0.75</v>
          </cell>
          <cell r="I4307" t="str">
            <v>--</v>
          </cell>
          <cell r="J4307">
            <v>2</v>
          </cell>
          <cell r="K4307">
            <v>2</v>
          </cell>
        </row>
        <row r="4308">
          <cell r="A4308" t="str">
            <v>M2</v>
          </cell>
          <cell r="B4308" t="str">
            <v>A5C</v>
          </cell>
          <cell r="C4308" t="str">
            <v>P</v>
          </cell>
          <cell r="D4308" t="str">
            <v>23149</v>
          </cell>
          <cell r="E4308" t="str">
            <v>BALL VA</v>
          </cell>
          <cell r="F4308">
            <v>6</v>
          </cell>
          <cell r="G4308" t="str">
            <v>VB8010600000T00</v>
          </cell>
          <cell r="H4308">
            <v>0.75</v>
          </cell>
          <cell r="I4308" t="str">
            <v>--</v>
          </cell>
          <cell r="J4308">
            <v>1</v>
          </cell>
          <cell r="K4308">
            <v>1</v>
          </cell>
        </row>
        <row r="4309">
          <cell r="A4309" t="str">
            <v>M2</v>
          </cell>
          <cell r="B4309" t="str">
            <v>A5C</v>
          </cell>
          <cell r="C4309" t="str">
            <v>P</v>
          </cell>
          <cell r="D4309" t="str">
            <v>23149</v>
          </cell>
          <cell r="E4309" t="str">
            <v>BALL VA</v>
          </cell>
          <cell r="F4309">
            <v>6</v>
          </cell>
          <cell r="G4309" t="str">
            <v>VB8010600000T00</v>
          </cell>
          <cell r="H4309">
            <v>0.75</v>
          </cell>
          <cell r="I4309" t="str">
            <v>--</v>
          </cell>
          <cell r="J4309">
            <v>2</v>
          </cell>
          <cell r="K4309">
            <v>2</v>
          </cell>
        </row>
        <row r="4310">
          <cell r="A4310" t="str">
            <v>M2</v>
          </cell>
          <cell r="B4310" t="str">
            <v>A5C</v>
          </cell>
          <cell r="C4310" t="str">
            <v>P</v>
          </cell>
          <cell r="D4310" t="str">
            <v>23152</v>
          </cell>
          <cell r="E4310" t="str">
            <v>BALL VA</v>
          </cell>
          <cell r="F4310">
            <v>6</v>
          </cell>
          <cell r="G4310" t="str">
            <v>VB8010600000T00</v>
          </cell>
          <cell r="H4310">
            <v>0.75</v>
          </cell>
          <cell r="I4310" t="str">
            <v>--</v>
          </cell>
          <cell r="J4310">
            <v>1</v>
          </cell>
          <cell r="K4310">
            <v>1</v>
          </cell>
        </row>
        <row r="4311">
          <cell r="A4311" t="str">
            <v>M2</v>
          </cell>
          <cell r="B4311" t="str">
            <v>A5C</v>
          </cell>
          <cell r="C4311" t="str">
            <v>P</v>
          </cell>
          <cell r="D4311" t="str">
            <v>23160</v>
          </cell>
          <cell r="E4311" t="str">
            <v>BALL VA</v>
          </cell>
          <cell r="F4311">
            <v>6</v>
          </cell>
          <cell r="G4311" t="str">
            <v>VB8010600000T00</v>
          </cell>
          <cell r="H4311">
            <v>0.75</v>
          </cell>
          <cell r="I4311" t="str">
            <v>--</v>
          </cell>
          <cell r="J4311">
            <v>2</v>
          </cell>
          <cell r="K4311">
            <v>2</v>
          </cell>
        </row>
        <row r="4312">
          <cell r="A4312" t="str">
            <v>M2</v>
          </cell>
          <cell r="B4312" t="str">
            <v>A5C</v>
          </cell>
          <cell r="C4312" t="str">
            <v>P</v>
          </cell>
          <cell r="D4312" t="str">
            <v>23160</v>
          </cell>
          <cell r="E4312" t="str">
            <v>BALL VA</v>
          </cell>
          <cell r="F4312">
            <v>6</v>
          </cell>
          <cell r="G4312" t="str">
            <v>VB8010600000T00</v>
          </cell>
          <cell r="H4312">
            <v>0.75</v>
          </cell>
          <cell r="I4312" t="str">
            <v>--</v>
          </cell>
          <cell r="J4312">
            <v>1</v>
          </cell>
          <cell r="K4312">
            <v>1</v>
          </cell>
        </row>
        <row r="4313">
          <cell r="A4313" t="str">
            <v>M2</v>
          </cell>
          <cell r="B4313" t="str">
            <v>A5C</v>
          </cell>
          <cell r="C4313" t="str">
            <v>P</v>
          </cell>
          <cell r="D4313" t="str">
            <v>23164</v>
          </cell>
          <cell r="E4313" t="str">
            <v>BALL VA</v>
          </cell>
          <cell r="F4313">
            <v>6</v>
          </cell>
          <cell r="G4313" t="str">
            <v>VB8010600000T00</v>
          </cell>
          <cell r="H4313">
            <v>0.75</v>
          </cell>
          <cell r="I4313" t="str">
            <v>--</v>
          </cell>
          <cell r="J4313">
            <v>2</v>
          </cell>
          <cell r="K4313">
            <v>2</v>
          </cell>
        </row>
        <row r="4314">
          <cell r="A4314" t="str">
            <v>M2</v>
          </cell>
          <cell r="B4314" t="str">
            <v>A5C</v>
          </cell>
          <cell r="C4314" t="str">
            <v>P</v>
          </cell>
          <cell r="D4314" t="str">
            <v>23174</v>
          </cell>
          <cell r="E4314" t="str">
            <v>BALL VA</v>
          </cell>
          <cell r="F4314">
            <v>6</v>
          </cell>
          <cell r="G4314" t="str">
            <v>VB8010600000T00</v>
          </cell>
          <cell r="H4314">
            <v>0.75</v>
          </cell>
          <cell r="I4314" t="str">
            <v>--</v>
          </cell>
          <cell r="J4314">
            <v>2</v>
          </cell>
          <cell r="K4314">
            <v>2</v>
          </cell>
        </row>
        <row r="4315">
          <cell r="A4315" t="str">
            <v>M2</v>
          </cell>
          <cell r="B4315" t="str">
            <v>A5C</v>
          </cell>
          <cell r="C4315" t="str">
            <v>P</v>
          </cell>
          <cell r="D4315" t="str">
            <v>23174</v>
          </cell>
          <cell r="E4315" t="str">
            <v>BALL VA</v>
          </cell>
          <cell r="F4315">
            <v>6</v>
          </cell>
          <cell r="G4315" t="str">
            <v>VB8010600000T00</v>
          </cell>
          <cell r="H4315">
            <v>0.75</v>
          </cell>
          <cell r="I4315" t="str">
            <v>--</v>
          </cell>
          <cell r="J4315">
            <v>1</v>
          </cell>
          <cell r="K4315">
            <v>1</v>
          </cell>
        </row>
        <row r="4316">
          <cell r="A4316" t="str">
            <v>M2</v>
          </cell>
          <cell r="B4316" t="str">
            <v>A5C</v>
          </cell>
          <cell r="C4316" t="str">
            <v>P</v>
          </cell>
          <cell r="D4316" t="str">
            <v>23181</v>
          </cell>
          <cell r="E4316" t="str">
            <v>BALL VA</v>
          </cell>
          <cell r="F4316">
            <v>6</v>
          </cell>
          <cell r="G4316" t="str">
            <v>VB8010600000T00</v>
          </cell>
          <cell r="H4316">
            <v>0.75</v>
          </cell>
          <cell r="I4316" t="str">
            <v>--</v>
          </cell>
          <cell r="J4316">
            <v>2</v>
          </cell>
          <cell r="K4316">
            <v>2</v>
          </cell>
        </row>
        <row r="4317">
          <cell r="A4317" t="str">
            <v>M2</v>
          </cell>
          <cell r="B4317" t="str">
            <v>A5C</v>
          </cell>
          <cell r="C4317" t="str">
            <v>P</v>
          </cell>
          <cell r="D4317" t="str">
            <v>23185</v>
          </cell>
          <cell r="E4317" t="str">
            <v>BALL VA</v>
          </cell>
          <cell r="F4317">
            <v>6</v>
          </cell>
          <cell r="G4317" t="str">
            <v>VB8010600000T00</v>
          </cell>
          <cell r="H4317">
            <v>0.75</v>
          </cell>
          <cell r="I4317" t="str">
            <v>--</v>
          </cell>
          <cell r="J4317">
            <v>2</v>
          </cell>
          <cell r="K4317">
            <v>2</v>
          </cell>
        </row>
        <row r="4318">
          <cell r="A4318" t="str">
            <v>M2</v>
          </cell>
          <cell r="B4318" t="str">
            <v>A5C</v>
          </cell>
          <cell r="C4318" t="str">
            <v>P</v>
          </cell>
          <cell r="D4318" t="str">
            <v>23188</v>
          </cell>
          <cell r="E4318" t="str">
            <v>BALL VA</v>
          </cell>
          <cell r="F4318">
            <v>6</v>
          </cell>
          <cell r="G4318" t="str">
            <v>VB8010600000T00</v>
          </cell>
          <cell r="H4318">
            <v>0.75</v>
          </cell>
          <cell r="I4318" t="str">
            <v>--</v>
          </cell>
          <cell r="J4318">
            <v>9</v>
          </cell>
          <cell r="K4318">
            <v>9</v>
          </cell>
        </row>
        <row r="4319">
          <cell r="A4319" t="str">
            <v>M2</v>
          </cell>
          <cell r="B4319" t="str">
            <v>A5C</v>
          </cell>
          <cell r="C4319" t="str">
            <v>P</v>
          </cell>
          <cell r="D4319" t="str">
            <v>23188</v>
          </cell>
          <cell r="E4319" t="str">
            <v>BALL VA</v>
          </cell>
          <cell r="F4319">
            <v>6</v>
          </cell>
          <cell r="G4319" t="str">
            <v>VB8010600000T00</v>
          </cell>
          <cell r="H4319">
            <v>0.75</v>
          </cell>
          <cell r="I4319" t="str">
            <v>--</v>
          </cell>
          <cell r="J4319">
            <v>2</v>
          </cell>
          <cell r="K4319">
            <v>2</v>
          </cell>
        </row>
        <row r="4320">
          <cell r="A4320" t="str">
            <v>M2</v>
          </cell>
          <cell r="B4320" t="str">
            <v>A5C</v>
          </cell>
          <cell r="C4320" t="str">
            <v>P</v>
          </cell>
          <cell r="D4320" t="str">
            <v>23192</v>
          </cell>
          <cell r="E4320" t="str">
            <v>BALL VA</v>
          </cell>
          <cell r="F4320">
            <v>6</v>
          </cell>
          <cell r="G4320" t="str">
            <v>VB8010600000T00</v>
          </cell>
          <cell r="H4320">
            <v>0.75</v>
          </cell>
          <cell r="I4320" t="str">
            <v>--</v>
          </cell>
          <cell r="J4320">
            <v>1</v>
          </cell>
          <cell r="K4320">
            <v>1</v>
          </cell>
        </row>
        <row r="4321">
          <cell r="A4321" t="str">
            <v>M2</v>
          </cell>
          <cell r="B4321" t="str">
            <v>A5C</v>
          </cell>
          <cell r="C4321" t="str">
            <v>P</v>
          </cell>
          <cell r="D4321" t="str">
            <v>23192</v>
          </cell>
          <cell r="E4321" t="str">
            <v>BALL VA</v>
          </cell>
          <cell r="F4321">
            <v>6</v>
          </cell>
          <cell r="G4321" t="str">
            <v>VB8010600000T00</v>
          </cell>
          <cell r="H4321">
            <v>0.75</v>
          </cell>
          <cell r="I4321" t="str">
            <v>--</v>
          </cell>
          <cell r="J4321">
            <v>2</v>
          </cell>
          <cell r="K4321">
            <v>2</v>
          </cell>
        </row>
        <row r="4322">
          <cell r="A4322" t="str">
            <v>M2</v>
          </cell>
          <cell r="B4322" t="str">
            <v>A5C</v>
          </cell>
          <cell r="C4322" t="str">
            <v>P</v>
          </cell>
          <cell r="D4322" t="str">
            <v>23205</v>
          </cell>
          <cell r="E4322" t="str">
            <v>BALL VA</v>
          </cell>
          <cell r="F4322">
            <v>6</v>
          </cell>
          <cell r="G4322" t="str">
            <v>VB8010600000T00</v>
          </cell>
          <cell r="H4322">
            <v>0.75</v>
          </cell>
          <cell r="I4322" t="str">
            <v>--</v>
          </cell>
          <cell r="J4322">
            <v>1</v>
          </cell>
          <cell r="K4322">
            <v>1</v>
          </cell>
        </row>
        <row r="4323">
          <cell r="A4323" t="str">
            <v>M2</v>
          </cell>
          <cell r="B4323" t="str">
            <v>A5C</v>
          </cell>
          <cell r="C4323" t="str">
            <v>P</v>
          </cell>
          <cell r="D4323" t="str">
            <v>23208</v>
          </cell>
          <cell r="E4323" t="str">
            <v>BALL VA</v>
          </cell>
          <cell r="F4323">
            <v>6</v>
          </cell>
          <cell r="G4323" t="str">
            <v>VB8010600000T00</v>
          </cell>
          <cell r="H4323">
            <v>0.75</v>
          </cell>
          <cell r="I4323" t="str">
            <v>--</v>
          </cell>
          <cell r="J4323">
            <v>1</v>
          </cell>
          <cell r="K4323">
            <v>1</v>
          </cell>
        </row>
        <row r="4324">
          <cell r="A4324" t="str">
            <v>M2</v>
          </cell>
          <cell r="B4324" t="str">
            <v>A5C</v>
          </cell>
          <cell r="C4324" t="str">
            <v>P</v>
          </cell>
          <cell r="D4324" t="str">
            <v>23212</v>
          </cell>
          <cell r="E4324" t="str">
            <v>BALL VA</v>
          </cell>
          <cell r="F4324">
            <v>6</v>
          </cell>
          <cell r="G4324" t="str">
            <v>VB8010600000T00</v>
          </cell>
          <cell r="H4324">
            <v>0.75</v>
          </cell>
          <cell r="I4324" t="str">
            <v>--</v>
          </cell>
          <cell r="J4324">
            <v>1</v>
          </cell>
          <cell r="K4324">
            <v>1</v>
          </cell>
        </row>
        <row r="4325">
          <cell r="A4325" t="str">
            <v>M2</v>
          </cell>
          <cell r="B4325" t="str">
            <v>A5C</v>
          </cell>
          <cell r="C4325" t="str">
            <v>P</v>
          </cell>
          <cell r="D4325" t="str">
            <v>23207</v>
          </cell>
          <cell r="E4325" t="str">
            <v>BALL VA</v>
          </cell>
          <cell r="F4325">
            <v>6</v>
          </cell>
          <cell r="G4325" t="str">
            <v>VB8010600000T00</v>
          </cell>
          <cell r="H4325">
            <v>0.75</v>
          </cell>
          <cell r="I4325" t="str">
            <v>--</v>
          </cell>
          <cell r="J4325">
            <v>1</v>
          </cell>
          <cell r="K4325">
            <v>1</v>
          </cell>
        </row>
        <row r="4326">
          <cell r="A4326" t="str">
            <v>M2</v>
          </cell>
          <cell r="B4326" t="str">
            <v>A5C</v>
          </cell>
          <cell r="C4326" t="str">
            <v>P</v>
          </cell>
          <cell r="D4326" t="str">
            <v>23213</v>
          </cell>
          <cell r="E4326" t="str">
            <v>BALL VA</v>
          </cell>
          <cell r="F4326">
            <v>6</v>
          </cell>
          <cell r="G4326" t="str">
            <v>VB8010600000T00</v>
          </cell>
          <cell r="H4326">
            <v>0.75</v>
          </cell>
          <cell r="I4326" t="str">
            <v>--</v>
          </cell>
          <cell r="J4326">
            <v>1</v>
          </cell>
          <cell r="K4326">
            <v>1</v>
          </cell>
        </row>
        <row r="4327">
          <cell r="A4327" t="str">
            <v>M2</v>
          </cell>
          <cell r="B4327" t="str">
            <v>A5C</v>
          </cell>
          <cell r="C4327" t="str">
            <v>P</v>
          </cell>
          <cell r="D4327" t="str">
            <v>23225</v>
          </cell>
          <cell r="E4327" t="str">
            <v>BALL VA</v>
          </cell>
          <cell r="F4327">
            <v>6</v>
          </cell>
          <cell r="G4327" t="str">
            <v>VB8010600000T00</v>
          </cell>
          <cell r="H4327">
            <v>0.75</v>
          </cell>
          <cell r="I4327" t="str">
            <v>--</v>
          </cell>
          <cell r="J4327">
            <v>3</v>
          </cell>
          <cell r="K4327">
            <v>3</v>
          </cell>
        </row>
        <row r="4328">
          <cell r="A4328" t="str">
            <v>M2</v>
          </cell>
          <cell r="B4328" t="str">
            <v>A5C</v>
          </cell>
          <cell r="C4328" t="str">
            <v>P</v>
          </cell>
          <cell r="D4328" t="str">
            <v>23226</v>
          </cell>
          <cell r="E4328" t="str">
            <v>BALL VA</v>
          </cell>
          <cell r="F4328">
            <v>6</v>
          </cell>
          <cell r="G4328" t="str">
            <v>VB8010600000T00</v>
          </cell>
          <cell r="H4328">
            <v>0.75</v>
          </cell>
          <cell r="I4328" t="str">
            <v>--</v>
          </cell>
          <cell r="J4328">
            <v>1</v>
          </cell>
          <cell r="K4328">
            <v>1</v>
          </cell>
        </row>
        <row r="4329">
          <cell r="A4329" t="str">
            <v>M2</v>
          </cell>
          <cell r="B4329" t="str">
            <v>A5C</v>
          </cell>
          <cell r="C4329" t="str">
            <v>P</v>
          </cell>
          <cell r="D4329" t="str">
            <v>23230</v>
          </cell>
          <cell r="E4329" t="str">
            <v>BALL VA</v>
          </cell>
          <cell r="F4329">
            <v>6</v>
          </cell>
          <cell r="G4329" t="str">
            <v>VB8010600000T00</v>
          </cell>
          <cell r="H4329">
            <v>0.75</v>
          </cell>
          <cell r="I4329" t="str">
            <v>--</v>
          </cell>
          <cell r="J4329">
            <v>1</v>
          </cell>
          <cell r="K4329">
            <v>1</v>
          </cell>
        </row>
        <row r="4330">
          <cell r="A4330" t="str">
            <v>M2</v>
          </cell>
          <cell r="B4330" t="str">
            <v>A5C</v>
          </cell>
          <cell r="C4330" t="str">
            <v>P</v>
          </cell>
          <cell r="D4330" t="str">
            <v>23230</v>
          </cell>
          <cell r="E4330" t="str">
            <v>BALL VA</v>
          </cell>
          <cell r="F4330">
            <v>6</v>
          </cell>
          <cell r="G4330" t="str">
            <v>VB8010600000T00</v>
          </cell>
          <cell r="H4330">
            <v>0.75</v>
          </cell>
          <cell r="I4330" t="str">
            <v>--</v>
          </cell>
          <cell r="J4330">
            <v>1</v>
          </cell>
          <cell r="K4330">
            <v>1</v>
          </cell>
        </row>
        <row r="4331">
          <cell r="A4331" t="str">
            <v>M2</v>
          </cell>
          <cell r="B4331" t="str">
            <v>A5C</v>
          </cell>
          <cell r="C4331" t="str">
            <v>P</v>
          </cell>
          <cell r="D4331" t="str">
            <v>23229</v>
          </cell>
          <cell r="E4331" t="str">
            <v>BALL VA</v>
          </cell>
          <cell r="F4331">
            <v>6</v>
          </cell>
          <cell r="G4331" t="str">
            <v>VB8010600000T00</v>
          </cell>
          <cell r="H4331">
            <v>0.75</v>
          </cell>
          <cell r="I4331" t="str">
            <v>--</v>
          </cell>
          <cell r="J4331">
            <v>1</v>
          </cell>
          <cell r="K4331">
            <v>1</v>
          </cell>
        </row>
        <row r="4332">
          <cell r="A4332" t="str">
            <v>M2</v>
          </cell>
          <cell r="B4332" t="str">
            <v>A5C</v>
          </cell>
          <cell r="C4332" t="str">
            <v>P</v>
          </cell>
          <cell r="D4332" t="str">
            <v>23236</v>
          </cell>
          <cell r="E4332" t="str">
            <v>BALL VA</v>
          </cell>
          <cell r="F4332">
            <v>6</v>
          </cell>
          <cell r="G4332" t="str">
            <v>VB8010600000T00</v>
          </cell>
          <cell r="H4332">
            <v>0.75</v>
          </cell>
          <cell r="I4332" t="str">
            <v>--</v>
          </cell>
          <cell r="J4332">
            <v>2</v>
          </cell>
          <cell r="K4332">
            <v>2</v>
          </cell>
        </row>
        <row r="4333">
          <cell r="A4333" t="str">
            <v>M2</v>
          </cell>
          <cell r="B4333" t="str">
            <v>A5C</v>
          </cell>
          <cell r="C4333" t="str">
            <v>P</v>
          </cell>
          <cell r="D4333" t="str">
            <v>23231</v>
          </cell>
          <cell r="E4333" t="str">
            <v>BALL VA</v>
          </cell>
          <cell r="F4333">
            <v>6</v>
          </cell>
          <cell r="G4333" t="str">
            <v>VB8010600000T00</v>
          </cell>
          <cell r="H4333">
            <v>0.75</v>
          </cell>
          <cell r="I4333" t="str">
            <v>--</v>
          </cell>
          <cell r="J4333">
            <v>1</v>
          </cell>
          <cell r="K4333">
            <v>1</v>
          </cell>
        </row>
        <row r="4334">
          <cell r="A4334" t="str">
            <v>M2</v>
          </cell>
          <cell r="B4334" t="str">
            <v>A5C</v>
          </cell>
          <cell r="C4334" t="str">
            <v>P</v>
          </cell>
          <cell r="D4334" t="str">
            <v>23235</v>
          </cell>
          <cell r="E4334" t="str">
            <v>BALL VA</v>
          </cell>
          <cell r="F4334">
            <v>6</v>
          </cell>
          <cell r="G4334" t="str">
            <v>VB8010600000T00</v>
          </cell>
          <cell r="H4334">
            <v>0.75</v>
          </cell>
          <cell r="I4334" t="str">
            <v>--</v>
          </cell>
          <cell r="J4334">
            <v>1</v>
          </cell>
          <cell r="K4334">
            <v>1</v>
          </cell>
        </row>
        <row r="4335">
          <cell r="A4335" t="str">
            <v>M2</v>
          </cell>
          <cell r="B4335" t="str">
            <v>A5C</v>
          </cell>
          <cell r="C4335" t="str">
            <v>P</v>
          </cell>
          <cell r="D4335" t="str">
            <v>23238</v>
          </cell>
          <cell r="E4335" t="str">
            <v>BALL VA</v>
          </cell>
          <cell r="F4335">
            <v>6</v>
          </cell>
          <cell r="G4335" t="str">
            <v>VB8010600000T00</v>
          </cell>
          <cell r="H4335">
            <v>0.75</v>
          </cell>
          <cell r="I4335" t="str">
            <v>--</v>
          </cell>
          <cell r="J4335">
            <v>1</v>
          </cell>
          <cell r="K4335">
            <v>1</v>
          </cell>
        </row>
        <row r="4336">
          <cell r="A4336" t="str">
            <v>M2</v>
          </cell>
          <cell r="B4336" t="str">
            <v>A5C</v>
          </cell>
          <cell r="C4336" t="str">
            <v>P</v>
          </cell>
          <cell r="D4336" t="str">
            <v>23239</v>
          </cell>
          <cell r="E4336" t="str">
            <v>BALL VA</v>
          </cell>
          <cell r="F4336">
            <v>6</v>
          </cell>
          <cell r="G4336" t="str">
            <v>VB8010600000T00</v>
          </cell>
          <cell r="H4336">
            <v>0.75</v>
          </cell>
          <cell r="I4336" t="str">
            <v>--</v>
          </cell>
          <cell r="J4336">
            <v>1</v>
          </cell>
          <cell r="K4336">
            <v>1</v>
          </cell>
        </row>
        <row r="4337">
          <cell r="A4337" t="str">
            <v>M2</v>
          </cell>
          <cell r="B4337" t="str">
            <v>A5C</v>
          </cell>
          <cell r="C4337" t="str">
            <v>P</v>
          </cell>
          <cell r="D4337" t="str">
            <v>23240</v>
          </cell>
          <cell r="E4337" t="str">
            <v>BALL VA</v>
          </cell>
          <cell r="F4337">
            <v>6</v>
          </cell>
          <cell r="G4337" t="str">
            <v>VB8010600000T00</v>
          </cell>
          <cell r="H4337">
            <v>0.75</v>
          </cell>
          <cell r="I4337" t="str">
            <v>--</v>
          </cell>
          <cell r="J4337">
            <v>2</v>
          </cell>
          <cell r="K4337">
            <v>2</v>
          </cell>
        </row>
        <row r="4338">
          <cell r="A4338" t="str">
            <v>M2</v>
          </cell>
          <cell r="B4338" t="str">
            <v>A5C</v>
          </cell>
          <cell r="C4338" t="str">
            <v>P</v>
          </cell>
          <cell r="D4338" t="str">
            <v>23247</v>
          </cell>
          <cell r="E4338" t="str">
            <v>BALL VA</v>
          </cell>
          <cell r="F4338">
            <v>6</v>
          </cell>
          <cell r="G4338" t="str">
            <v>VB8010600000T00</v>
          </cell>
          <cell r="H4338">
            <v>0.75</v>
          </cell>
          <cell r="I4338" t="str">
            <v>--</v>
          </cell>
          <cell r="J4338">
            <v>3</v>
          </cell>
          <cell r="K4338">
            <v>3</v>
          </cell>
        </row>
        <row r="4339">
          <cell r="A4339" t="str">
            <v>M2</v>
          </cell>
          <cell r="B4339" t="str">
            <v>A5C</v>
          </cell>
          <cell r="C4339" t="str">
            <v>P</v>
          </cell>
          <cell r="D4339" t="str">
            <v>23248</v>
          </cell>
          <cell r="E4339" t="str">
            <v>BALL VA</v>
          </cell>
          <cell r="F4339">
            <v>6</v>
          </cell>
          <cell r="G4339" t="str">
            <v>VB8010600000T00</v>
          </cell>
          <cell r="H4339">
            <v>0.75</v>
          </cell>
          <cell r="I4339" t="str">
            <v>--</v>
          </cell>
          <cell r="J4339">
            <v>1</v>
          </cell>
          <cell r="K4339">
            <v>1</v>
          </cell>
        </row>
        <row r="4340">
          <cell r="A4340" t="str">
            <v>M2</v>
          </cell>
          <cell r="B4340" t="str">
            <v>A5C</v>
          </cell>
          <cell r="C4340" t="str">
            <v>P</v>
          </cell>
          <cell r="D4340" t="str">
            <v>23258</v>
          </cell>
          <cell r="E4340" t="str">
            <v>BALL VA</v>
          </cell>
          <cell r="F4340">
            <v>6</v>
          </cell>
          <cell r="G4340" t="str">
            <v>VB8010600000T00</v>
          </cell>
          <cell r="H4340">
            <v>0.75</v>
          </cell>
          <cell r="I4340" t="str">
            <v>--</v>
          </cell>
          <cell r="J4340">
            <v>1</v>
          </cell>
          <cell r="K4340">
            <v>1</v>
          </cell>
        </row>
        <row r="4341">
          <cell r="A4341" t="str">
            <v>M2</v>
          </cell>
          <cell r="B4341" t="str">
            <v>A5C</v>
          </cell>
          <cell r="C4341" t="str">
            <v>P</v>
          </cell>
          <cell r="D4341" t="str">
            <v>23252</v>
          </cell>
          <cell r="E4341" t="str">
            <v>BALL VA</v>
          </cell>
          <cell r="F4341">
            <v>6</v>
          </cell>
          <cell r="G4341" t="str">
            <v>VB8010600000T00</v>
          </cell>
          <cell r="H4341">
            <v>0.75</v>
          </cell>
          <cell r="I4341" t="str">
            <v>--</v>
          </cell>
          <cell r="J4341">
            <v>1</v>
          </cell>
          <cell r="K4341">
            <v>1</v>
          </cell>
        </row>
        <row r="4342">
          <cell r="A4342" t="str">
            <v>M2</v>
          </cell>
          <cell r="B4342" t="str">
            <v>A5C</v>
          </cell>
          <cell r="C4342" t="str">
            <v>P</v>
          </cell>
          <cell r="D4342" t="str">
            <v>23252</v>
          </cell>
          <cell r="E4342" t="str">
            <v>BALL VA</v>
          </cell>
          <cell r="F4342">
            <v>6</v>
          </cell>
          <cell r="G4342" t="str">
            <v>VB8010600000T00</v>
          </cell>
          <cell r="H4342">
            <v>0.75</v>
          </cell>
          <cell r="I4342" t="str">
            <v>--</v>
          </cell>
          <cell r="J4342">
            <v>1</v>
          </cell>
          <cell r="K4342">
            <v>1</v>
          </cell>
        </row>
        <row r="4343">
          <cell r="A4343" t="str">
            <v>M2</v>
          </cell>
          <cell r="B4343" t="str">
            <v>A5C</v>
          </cell>
          <cell r="C4343" t="str">
            <v>P</v>
          </cell>
          <cell r="D4343" t="str">
            <v>23254</v>
          </cell>
          <cell r="E4343" t="str">
            <v>BALL VA</v>
          </cell>
          <cell r="F4343">
            <v>6</v>
          </cell>
          <cell r="G4343" t="str">
            <v>VB8010600000T00</v>
          </cell>
          <cell r="H4343">
            <v>0.75</v>
          </cell>
          <cell r="I4343" t="str">
            <v>--</v>
          </cell>
          <cell r="J4343">
            <v>2</v>
          </cell>
          <cell r="K4343">
            <v>2</v>
          </cell>
        </row>
        <row r="4344">
          <cell r="A4344" t="str">
            <v>M2</v>
          </cell>
          <cell r="B4344" t="str">
            <v>A5C</v>
          </cell>
          <cell r="C4344" t="str">
            <v>P</v>
          </cell>
          <cell r="D4344" t="str">
            <v>23259</v>
          </cell>
          <cell r="E4344" t="str">
            <v>BALL VA</v>
          </cell>
          <cell r="F4344">
            <v>6</v>
          </cell>
          <cell r="G4344" t="str">
            <v>VB8010600000T00</v>
          </cell>
          <cell r="H4344">
            <v>0.75</v>
          </cell>
          <cell r="I4344" t="str">
            <v>--</v>
          </cell>
          <cell r="J4344">
            <v>2</v>
          </cell>
          <cell r="K4344">
            <v>2</v>
          </cell>
        </row>
        <row r="4345">
          <cell r="A4345" t="str">
            <v>M2</v>
          </cell>
          <cell r="B4345" t="str">
            <v>A5C</v>
          </cell>
          <cell r="C4345" t="str">
            <v>P</v>
          </cell>
          <cell r="D4345" t="str">
            <v>24008</v>
          </cell>
          <cell r="E4345" t="str">
            <v>BALL VA</v>
          </cell>
          <cell r="F4345">
            <v>6</v>
          </cell>
          <cell r="G4345" t="str">
            <v>VB8010600000T00</v>
          </cell>
          <cell r="H4345">
            <v>0.75</v>
          </cell>
          <cell r="I4345" t="str">
            <v>--</v>
          </cell>
          <cell r="J4345">
            <v>1</v>
          </cell>
          <cell r="K4345">
            <v>1</v>
          </cell>
        </row>
        <row r="4346">
          <cell r="A4346" t="str">
            <v>M2</v>
          </cell>
          <cell r="B4346" t="str">
            <v>A5C</v>
          </cell>
          <cell r="C4346" t="str">
            <v>P</v>
          </cell>
          <cell r="D4346" t="str">
            <v>24008</v>
          </cell>
          <cell r="E4346" t="str">
            <v>BALL VA</v>
          </cell>
          <cell r="F4346">
            <v>6</v>
          </cell>
          <cell r="G4346" t="str">
            <v>VB8010600000T00</v>
          </cell>
          <cell r="H4346">
            <v>0.75</v>
          </cell>
          <cell r="I4346" t="str">
            <v>--</v>
          </cell>
          <cell r="J4346">
            <v>2</v>
          </cell>
          <cell r="K4346">
            <v>2</v>
          </cell>
        </row>
        <row r="4347">
          <cell r="A4347" t="str">
            <v>M2</v>
          </cell>
          <cell r="B4347" t="str">
            <v>A5C</v>
          </cell>
          <cell r="C4347" t="str">
            <v>P</v>
          </cell>
          <cell r="D4347" t="str">
            <v>24014</v>
          </cell>
          <cell r="E4347" t="str">
            <v>BALL VA</v>
          </cell>
          <cell r="F4347">
            <v>6</v>
          </cell>
          <cell r="G4347" t="str">
            <v>VB8010600000T00</v>
          </cell>
          <cell r="H4347">
            <v>0.75</v>
          </cell>
          <cell r="I4347" t="str">
            <v>--</v>
          </cell>
          <cell r="J4347">
            <v>2</v>
          </cell>
          <cell r="K4347">
            <v>2</v>
          </cell>
        </row>
        <row r="4348">
          <cell r="A4348" t="str">
            <v>M2</v>
          </cell>
          <cell r="B4348" t="str">
            <v>A5C</v>
          </cell>
          <cell r="C4348" t="str">
            <v>P</v>
          </cell>
          <cell r="D4348" t="str">
            <v>24020</v>
          </cell>
          <cell r="E4348" t="str">
            <v>BALL VA</v>
          </cell>
          <cell r="F4348">
            <v>6</v>
          </cell>
          <cell r="G4348" t="str">
            <v>VB8010600000T00</v>
          </cell>
          <cell r="H4348">
            <v>0.75</v>
          </cell>
          <cell r="I4348" t="str">
            <v>--</v>
          </cell>
          <cell r="J4348">
            <v>1</v>
          </cell>
          <cell r="K4348">
            <v>1</v>
          </cell>
        </row>
        <row r="4349">
          <cell r="A4349" t="str">
            <v>M2</v>
          </cell>
          <cell r="B4349" t="str">
            <v>A5C</v>
          </cell>
          <cell r="C4349" t="str">
            <v>P</v>
          </cell>
          <cell r="D4349" t="str">
            <v>24021</v>
          </cell>
          <cell r="E4349" t="str">
            <v>BALL VA</v>
          </cell>
          <cell r="F4349">
            <v>6</v>
          </cell>
          <cell r="G4349" t="str">
            <v>VB8010600000T00</v>
          </cell>
          <cell r="H4349">
            <v>0.75</v>
          </cell>
          <cell r="I4349" t="str">
            <v>--</v>
          </cell>
          <cell r="J4349">
            <v>2</v>
          </cell>
          <cell r="K4349">
            <v>2</v>
          </cell>
        </row>
        <row r="4350">
          <cell r="A4350" t="str">
            <v>M2</v>
          </cell>
          <cell r="B4350" t="str">
            <v>A5C</v>
          </cell>
          <cell r="C4350" t="str">
            <v>P</v>
          </cell>
          <cell r="D4350" t="str">
            <v>24024</v>
          </cell>
          <cell r="E4350" t="str">
            <v>BALL VA</v>
          </cell>
          <cell r="F4350">
            <v>6</v>
          </cell>
          <cell r="G4350" t="str">
            <v>VB8010600000T00</v>
          </cell>
          <cell r="H4350">
            <v>0.75</v>
          </cell>
          <cell r="I4350" t="str">
            <v>--</v>
          </cell>
          <cell r="J4350">
            <v>5</v>
          </cell>
          <cell r="K4350">
            <v>5</v>
          </cell>
        </row>
        <row r="4351">
          <cell r="A4351" t="str">
            <v>M2</v>
          </cell>
          <cell r="B4351" t="str">
            <v>A5C</v>
          </cell>
          <cell r="C4351" t="str">
            <v>P</v>
          </cell>
          <cell r="D4351" t="str">
            <v>99003</v>
          </cell>
          <cell r="E4351" t="str">
            <v>BALL VA</v>
          </cell>
          <cell r="F4351">
            <v>6</v>
          </cell>
          <cell r="G4351" t="str">
            <v>VB8010600000T00</v>
          </cell>
          <cell r="H4351">
            <v>0.75</v>
          </cell>
          <cell r="I4351" t="str">
            <v>--</v>
          </cell>
          <cell r="J4351">
            <v>2</v>
          </cell>
          <cell r="K4351">
            <v>2</v>
          </cell>
        </row>
        <row r="4352">
          <cell r="A4352" t="str">
            <v>M2</v>
          </cell>
          <cell r="B4352" t="str">
            <v>A5C</v>
          </cell>
          <cell r="C4352" t="str">
            <v>P</v>
          </cell>
          <cell r="D4352" t="str">
            <v>99003</v>
          </cell>
          <cell r="E4352" t="str">
            <v>BALL VA</v>
          </cell>
          <cell r="F4352">
            <v>6</v>
          </cell>
          <cell r="G4352" t="str">
            <v>VB8010600000T00</v>
          </cell>
          <cell r="H4352">
            <v>0.75</v>
          </cell>
          <cell r="I4352" t="str">
            <v>--</v>
          </cell>
          <cell r="J4352">
            <v>2</v>
          </cell>
          <cell r="K4352">
            <v>2</v>
          </cell>
        </row>
        <row r="4353">
          <cell r="A4353" t="str">
            <v>M2</v>
          </cell>
          <cell r="B4353" t="str">
            <v>A5C</v>
          </cell>
          <cell r="C4353" t="str">
            <v>P</v>
          </cell>
          <cell r="D4353" t="str">
            <v>99003</v>
          </cell>
          <cell r="E4353" t="str">
            <v>BALL VA</v>
          </cell>
          <cell r="F4353">
            <v>6</v>
          </cell>
          <cell r="G4353" t="str">
            <v>VB8010600000T00</v>
          </cell>
          <cell r="H4353">
            <v>0.75</v>
          </cell>
          <cell r="I4353" t="str">
            <v>--</v>
          </cell>
          <cell r="J4353">
            <v>1</v>
          </cell>
          <cell r="K4353">
            <v>1</v>
          </cell>
        </row>
        <row r="4354">
          <cell r="A4354" t="str">
            <v>M2</v>
          </cell>
          <cell r="B4354" t="str">
            <v>A5C</v>
          </cell>
          <cell r="C4354" t="str">
            <v>TRIM</v>
          </cell>
          <cell r="D4354" t="str">
            <v>V-2301</v>
          </cell>
          <cell r="E4354" t="str">
            <v>BALL VA</v>
          </cell>
          <cell r="F4354">
            <v>6</v>
          </cell>
          <cell r="G4354" t="str">
            <v>VB8010600000T00</v>
          </cell>
          <cell r="H4354">
            <v>0.75</v>
          </cell>
          <cell r="I4354" t="str">
            <v>--</v>
          </cell>
          <cell r="J4354">
            <v>2</v>
          </cell>
          <cell r="K4354">
            <v>2</v>
          </cell>
        </row>
        <row r="4355">
          <cell r="A4355" t="str">
            <v>M2</v>
          </cell>
          <cell r="B4355" t="str">
            <v>A5C</v>
          </cell>
          <cell r="C4355" t="str">
            <v>TRIM</v>
          </cell>
          <cell r="D4355" t="str">
            <v>V-2301</v>
          </cell>
          <cell r="E4355" t="str">
            <v>BALL VA</v>
          </cell>
          <cell r="F4355">
            <v>6</v>
          </cell>
          <cell r="G4355" t="str">
            <v>VB8010600000T00</v>
          </cell>
          <cell r="H4355">
            <v>0.75</v>
          </cell>
          <cell r="I4355" t="str">
            <v>--</v>
          </cell>
          <cell r="J4355">
            <v>2</v>
          </cell>
          <cell r="K4355">
            <v>2</v>
          </cell>
        </row>
        <row r="4356">
          <cell r="A4356" t="str">
            <v>M2</v>
          </cell>
          <cell r="B4356" t="str">
            <v>A5C</v>
          </cell>
          <cell r="C4356" t="str">
            <v>TRIM</v>
          </cell>
          <cell r="D4356" t="str">
            <v>V-2315</v>
          </cell>
          <cell r="E4356" t="str">
            <v>BALL VA</v>
          </cell>
          <cell r="F4356">
            <v>6</v>
          </cell>
          <cell r="G4356" t="str">
            <v>VB8010600000T00</v>
          </cell>
          <cell r="H4356">
            <v>0.75</v>
          </cell>
          <cell r="I4356" t="str">
            <v>--</v>
          </cell>
          <cell r="J4356">
            <v>2</v>
          </cell>
          <cell r="K4356">
            <v>2</v>
          </cell>
        </row>
        <row r="4357">
          <cell r="A4357" t="str">
            <v>M2</v>
          </cell>
          <cell r="B4357" t="str">
            <v>A5C</v>
          </cell>
          <cell r="C4357" t="str">
            <v>TRIM</v>
          </cell>
          <cell r="D4357" t="str">
            <v>V-2316</v>
          </cell>
          <cell r="E4357" t="str">
            <v>BALL VA</v>
          </cell>
          <cell r="F4357">
            <v>6</v>
          </cell>
          <cell r="G4357" t="str">
            <v>VB8010600000T00</v>
          </cell>
          <cell r="H4357">
            <v>0.75</v>
          </cell>
          <cell r="I4357" t="str">
            <v>--</v>
          </cell>
          <cell r="J4357">
            <v>2</v>
          </cell>
          <cell r="K4357">
            <v>2</v>
          </cell>
        </row>
        <row r="4358">
          <cell r="A4358" t="str">
            <v>M2</v>
          </cell>
          <cell r="B4358" t="str">
            <v>A5C</v>
          </cell>
          <cell r="C4358" t="str">
            <v>TRIM</v>
          </cell>
          <cell r="D4358" t="str">
            <v>V-2316</v>
          </cell>
          <cell r="E4358" t="str">
            <v>BALL VA</v>
          </cell>
          <cell r="F4358">
            <v>6</v>
          </cell>
          <cell r="G4358" t="str">
            <v>VB8010600000T00</v>
          </cell>
          <cell r="H4358">
            <v>0.75</v>
          </cell>
          <cell r="I4358" t="str">
            <v>--</v>
          </cell>
          <cell r="J4358">
            <v>4</v>
          </cell>
          <cell r="K4358">
            <v>4</v>
          </cell>
        </row>
        <row r="4359">
          <cell r="A4359" t="str">
            <v>M2</v>
          </cell>
          <cell r="B4359" t="str">
            <v>A5C</v>
          </cell>
          <cell r="C4359" t="str">
            <v>TRIM</v>
          </cell>
          <cell r="D4359" t="str">
            <v>V-2318</v>
          </cell>
          <cell r="E4359" t="str">
            <v>BALL VA</v>
          </cell>
          <cell r="F4359">
            <v>6</v>
          </cell>
          <cell r="G4359" t="str">
            <v>VB8010600000T00</v>
          </cell>
          <cell r="H4359">
            <v>0.75</v>
          </cell>
          <cell r="I4359" t="str">
            <v>--</v>
          </cell>
          <cell r="J4359">
            <v>2</v>
          </cell>
          <cell r="K4359">
            <v>2</v>
          </cell>
        </row>
        <row r="4360">
          <cell r="A4360" t="str">
            <v>M2</v>
          </cell>
          <cell r="B4360" t="str">
            <v>A5C</v>
          </cell>
          <cell r="C4360" t="str">
            <v>TRIM</v>
          </cell>
          <cell r="D4360" t="str">
            <v>V-2320</v>
          </cell>
          <cell r="E4360" t="str">
            <v>BALL VA</v>
          </cell>
          <cell r="F4360">
            <v>6</v>
          </cell>
          <cell r="G4360" t="str">
            <v>VB8010600000T00</v>
          </cell>
          <cell r="H4360">
            <v>0.75</v>
          </cell>
          <cell r="I4360" t="str">
            <v>--</v>
          </cell>
          <cell r="J4360">
            <v>2</v>
          </cell>
          <cell r="K4360">
            <v>2</v>
          </cell>
        </row>
        <row r="4361">
          <cell r="A4361" t="str">
            <v>M2</v>
          </cell>
          <cell r="B4361" t="str">
            <v>A5C</v>
          </cell>
          <cell r="C4361" t="str">
            <v>TRIM</v>
          </cell>
          <cell r="D4361" t="str">
            <v>V-2320</v>
          </cell>
          <cell r="E4361" t="str">
            <v>BALL VA</v>
          </cell>
          <cell r="F4361">
            <v>6</v>
          </cell>
          <cell r="G4361" t="str">
            <v>VB8010600000T00</v>
          </cell>
          <cell r="H4361">
            <v>0.75</v>
          </cell>
          <cell r="I4361" t="str">
            <v>--</v>
          </cell>
          <cell r="J4361">
            <v>4</v>
          </cell>
          <cell r="K4361">
            <v>4</v>
          </cell>
        </row>
        <row r="4362">
          <cell r="A4362" t="str">
            <v>M2</v>
          </cell>
          <cell r="B4362" t="str">
            <v>A5C</v>
          </cell>
          <cell r="C4362" t="str">
            <v>TRIM</v>
          </cell>
          <cell r="D4362" t="str">
            <v>V-2321</v>
          </cell>
          <cell r="E4362" t="str">
            <v>BALL VA</v>
          </cell>
          <cell r="F4362">
            <v>6</v>
          </cell>
          <cell r="G4362" t="str">
            <v>VB8010600000T00</v>
          </cell>
          <cell r="H4362">
            <v>0.75</v>
          </cell>
          <cell r="I4362" t="str">
            <v>--</v>
          </cell>
          <cell r="J4362">
            <v>4</v>
          </cell>
          <cell r="K4362">
            <v>4</v>
          </cell>
        </row>
        <row r="4363">
          <cell r="A4363" t="str">
            <v>M2</v>
          </cell>
          <cell r="B4363" t="str">
            <v>A5C</v>
          </cell>
          <cell r="C4363" t="str">
            <v>TRIM</v>
          </cell>
          <cell r="D4363" t="str">
            <v>V-2321</v>
          </cell>
          <cell r="E4363" t="str">
            <v>BALL VA</v>
          </cell>
          <cell r="F4363">
            <v>6</v>
          </cell>
          <cell r="G4363" t="str">
            <v>VB8010600000T00</v>
          </cell>
          <cell r="H4363">
            <v>0.75</v>
          </cell>
          <cell r="I4363" t="str">
            <v>--</v>
          </cell>
          <cell r="J4363">
            <v>2</v>
          </cell>
          <cell r="K4363">
            <v>2</v>
          </cell>
        </row>
        <row r="4364">
          <cell r="A4364" t="str">
            <v>M2</v>
          </cell>
          <cell r="B4364" t="str">
            <v>A5C</v>
          </cell>
          <cell r="C4364" t="str">
            <v>TRIM</v>
          </cell>
          <cell r="D4364" t="str">
            <v>V-2323</v>
          </cell>
          <cell r="E4364" t="str">
            <v>BALL VA</v>
          </cell>
          <cell r="F4364">
            <v>6</v>
          </cell>
          <cell r="G4364" t="str">
            <v>VB8010600000T00</v>
          </cell>
          <cell r="H4364">
            <v>0.75</v>
          </cell>
          <cell r="I4364" t="str">
            <v>--</v>
          </cell>
          <cell r="J4364">
            <v>4</v>
          </cell>
          <cell r="K4364">
            <v>4</v>
          </cell>
        </row>
        <row r="4365">
          <cell r="A4365" t="str">
            <v>M2</v>
          </cell>
          <cell r="B4365" t="str">
            <v>A5C</v>
          </cell>
          <cell r="C4365" t="str">
            <v>TRIM</v>
          </cell>
          <cell r="D4365" t="str">
            <v>V-2323</v>
          </cell>
          <cell r="E4365" t="str">
            <v>BALL VA</v>
          </cell>
          <cell r="F4365">
            <v>6</v>
          </cell>
          <cell r="G4365" t="str">
            <v>VB8010600000T00</v>
          </cell>
          <cell r="H4365">
            <v>0.75</v>
          </cell>
          <cell r="I4365" t="str">
            <v>--</v>
          </cell>
          <cell r="J4365">
            <v>2</v>
          </cell>
          <cell r="K4365">
            <v>2</v>
          </cell>
        </row>
        <row r="4366">
          <cell r="A4366" t="str">
            <v>M2</v>
          </cell>
          <cell r="B4366" t="str">
            <v>A5C</v>
          </cell>
          <cell r="C4366" t="str">
            <v>TRIM</v>
          </cell>
          <cell r="D4366" t="str">
            <v>V-2324</v>
          </cell>
          <cell r="E4366" t="str">
            <v>BALL VA</v>
          </cell>
          <cell r="F4366">
            <v>6</v>
          </cell>
          <cell r="G4366" t="str">
            <v>VB8010600000T00</v>
          </cell>
          <cell r="H4366">
            <v>0.75</v>
          </cell>
          <cell r="I4366" t="str">
            <v>--</v>
          </cell>
          <cell r="J4366">
            <v>2</v>
          </cell>
          <cell r="K4366">
            <v>2</v>
          </cell>
        </row>
        <row r="4367">
          <cell r="A4367" t="str">
            <v>M2</v>
          </cell>
          <cell r="B4367" t="str">
            <v>A5C</v>
          </cell>
          <cell r="C4367" t="str">
            <v>TRIM</v>
          </cell>
          <cell r="D4367" t="str">
            <v>V-2324</v>
          </cell>
          <cell r="E4367" t="str">
            <v>BALL VA</v>
          </cell>
          <cell r="F4367">
            <v>6</v>
          </cell>
          <cell r="G4367" t="str">
            <v>VB8010600000T00</v>
          </cell>
          <cell r="H4367">
            <v>0.75</v>
          </cell>
          <cell r="I4367" t="str">
            <v>--</v>
          </cell>
          <cell r="J4367">
            <v>4</v>
          </cell>
          <cell r="K4367">
            <v>4</v>
          </cell>
        </row>
        <row r="4368">
          <cell r="A4368" t="str">
            <v>M2</v>
          </cell>
          <cell r="B4368" t="str">
            <v>A5C</v>
          </cell>
          <cell r="C4368" t="str">
            <v>TRIM</v>
          </cell>
          <cell r="D4368" t="str">
            <v>V-2326</v>
          </cell>
          <cell r="E4368" t="str">
            <v>BALL VA</v>
          </cell>
          <cell r="F4368">
            <v>6</v>
          </cell>
          <cell r="G4368" t="str">
            <v>VB8010600000T00</v>
          </cell>
          <cell r="H4368">
            <v>0.75</v>
          </cell>
          <cell r="I4368" t="str">
            <v>--</v>
          </cell>
          <cell r="J4368">
            <v>4</v>
          </cell>
          <cell r="K4368">
            <v>4</v>
          </cell>
        </row>
        <row r="4369">
          <cell r="A4369" t="str">
            <v>M2</v>
          </cell>
          <cell r="B4369" t="str">
            <v>A5C</v>
          </cell>
          <cell r="C4369" t="str">
            <v>TRIM</v>
          </cell>
          <cell r="D4369" t="str">
            <v>V-2326</v>
          </cell>
          <cell r="E4369" t="str">
            <v>BALL VA</v>
          </cell>
          <cell r="F4369">
            <v>6</v>
          </cell>
          <cell r="G4369" t="str">
            <v>VB8010600000T00</v>
          </cell>
          <cell r="H4369">
            <v>0.75</v>
          </cell>
          <cell r="I4369" t="str">
            <v>--</v>
          </cell>
          <cell r="J4369">
            <v>2</v>
          </cell>
          <cell r="K4369">
            <v>2</v>
          </cell>
        </row>
        <row r="4370">
          <cell r="A4370" t="str">
            <v>M2</v>
          </cell>
          <cell r="B4370" t="str">
            <v>A5C</v>
          </cell>
          <cell r="C4370" t="str">
            <v>TRIM</v>
          </cell>
          <cell r="D4370" t="str">
            <v>V-2328</v>
          </cell>
          <cell r="E4370" t="str">
            <v>BALL VA</v>
          </cell>
          <cell r="F4370">
            <v>6</v>
          </cell>
          <cell r="G4370" t="str">
            <v>VB8010600000T00</v>
          </cell>
          <cell r="H4370">
            <v>0.75</v>
          </cell>
          <cell r="I4370" t="str">
            <v>--</v>
          </cell>
          <cell r="J4370">
            <v>2</v>
          </cell>
          <cell r="K4370">
            <v>2</v>
          </cell>
        </row>
        <row r="4371">
          <cell r="A4371" t="str">
            <v>M2</v>
          </cell>
          <cell r="B4371" t="str">
            <v>A5C</v>
          </cell>
          <cell r="C4371" t="str">
            <v>TRIM</v>
          </cell>
          <cell r="D4371" t="str">
            <v>V-2329</v>
          </cell>
          <cell r="E4371" t="str">
            <v>BALL VA</v>
          </cell>
          <cell r="F4371">
            <v>6</v>
          </cell>
          <cell r="G4371" t="str">
            <v>VB8010600000T00</v>
          </cell>
          <cell r="H4371">
            <v>0.75</v>
          </cell>
          <cell r="I4371" t="str">
            <v>--</v>
          </cell>
          <cell r="J4371">
            <v>4</v>
          </cell>
          <cell r="K4371">
            <v>4</v>
          </cell>
        </row>
        <row r="4372">
          <cell r="A4372" t="str">
            <v>M2</v>
          </cell>
          <cell r="B4372" t="str">
            <v>A5C</v>
          </cell>
          <cell r="C4372" t="str">
            <v>TRIM</v>
          </cell>
          <cell r="D4372" t="str">
            <v>V-2330</v>
          </cell>
          <cell r="E4372" t="str">
            <v>BALL VA</v>
          </cell>
          <cell r="F4372">
            <v>6</v>
          </cell>
          <cell r="G4372" t="str">
            <v>VB8010600000T00</v>
          </cell>
          <cell r="H4372">
            <v>0.75</v>
          </cell>
          <cell r="I4372" t="str">
            <v>--</v>
          </cell>
          <cell r="J4372">
            <v>4</v>
          </cell>
          <cell r="K4372">
            <v>4</v>
          </cell>
        </row>
        <row r="4373">
          <cell r="A4373" t="str">
            <v>M2</v>
          </cell>
          <cell r="B4373" t="str">
            <v>A5C</v>
          </cell>
          <cell r="C4373" t="str">
            <v>TRIM</v>
          </cell>
          <cell r="D4373" t="str">
            <v>V-2330</v>
          </cell>
          <cell r="E4373" t="str">
            <v>BALL VA</v>
          </cell>
          <cell r="F4373">
            <v>6</v>
          </cell>
          <cell r="G4373" t="str">
            <v>VB8010600000T00</v>
          </cell>
          <cell r="H4373">
            <v>0.75</v>
          </cell>
          <cell r="I4373" t="str">
            <v>--</v>
          </cell>
          <cell r="J4373">
            <v>2</v>
          </cell>
          <cell r="K4373">
            <v>2</v>
          </cell>
        </row>
        <row r="4374">
          <cell r="A4374" t="str">
            <v>M2</v>
          </cell>
          <cell r="B4374" t="str">
            <v>A5C</v>
          </cell>
          <cell r="C4374" t="str">
            <v>TRIM</v>
          </cell>
          <cell r="D4374" t="str">
            <v>V-2331</v>
          </cell>
          <cell r="E4374" t="str">
            <v>BALL VA</v>
          </cell>
          <cell r="F4374">
            <v>6</v>
          </cell>
          <cell r="G4374" t="str">
            <v>VB8010600000T00</v>
          </cell>
          <cell r="H4374">
            <v>0.75</v>
          </cell>
          <cell r="I4374" t="str">
            <v>--</v>
          </cell>
          <cell r="J4374">
            <v>2</v>
          </cell>
          <cell r="K4374">
            <v>2</v>
          </cell>
        </row>
        <row r="4375">
          <cell r="A4375" t="str">
            <v>M2</v>
          </cell>
          <cell r="B4375" t="str">
            <v>A5C</v>
          </cell>
          <cell r="C4375" t="str">
            <v>TRIM</v>
          </cell>
          <cell r="D4375" t="str">
            <v>V-2331</v>
          </cell>
          <cell r="E4375" t="str">
            <v>BALL VA</v>
          </cell>
          <cell r="F4375">
            <v>6</v>
          </cell>
          <cell r="G4375" t="str">
            <v>VB8010600000T00</v>
          </cell>
          <cell r="H4375">
            <v>0.75</v>
          </cell>
          <cell r="I4375" t="str">
            <v>--</v>
          </cell>
          <cell r="J4375">
            <v>4</v>
          </cell>
          <cell r="K4375">
            <v>4</v>
          </cell>
        </row>
        <row r="4376">
          <cell r="A4376" t="str">
            <v>M2</v>
          </cell>
          <cell r="B4376" t="str">
            <v>A5C</v>
          </cell>
          <cell r="C4376" t="str">
            <v>TRIM</v>
          </cell>
          <cell r="D4376" t="str">
            <v>V-2332</v>
          </cell>
          <cell r="E4376" t="str">
            <v>BALL VA</v>
          </cell>
          <cell r="F4376">
            <v>6</v>
          </cell>
          <cell r="G4376" t="str">
            <v>VB8010600000T00</v>
          </cell>
          <cell r="H4376">
            <v>0.75</v>
          </cell>
          <cell r="I4376" t="str">
            <v>--</v>
          </cell>
          <cell r="J4376">
            <v>2</v>
          </cell>
          <cell r="K4376">
            <v>2</v>
          </cell>
        </row>
        <row r="4377">
          <cell r="A4377" t="str">
            <v>M2</v>
          </cell>
          <cell r="B4377" t="str">
            <v>A5C</v>
          </cell>
          <cell r="C4377" t="str">
            <v>TRIM</v>
          </cell>
          <cell r="D4377" t="str">
            <v>V-2332</v>
          </cell>
          <cell r="E4377" t="str">
            <v>BALL VA</v>
          </cell>
          <cell r="F4377">
            <v>6</v>
          </cell>
          <cell r="G4377" t="str">
            <v>VB8010600000T00</v>
          </cell>
          <cell r="H4377">
            <v>0.75</v>
          </cell>
          <cell r="I4377" t="str">
            <v>--</v>
          </cell>
          <cell r="J4377">
            <v>4</v>
          </cell>
          <cell r="K4377">
            <v>4</v>
          </cell>
        </row>
        <row r="4378">
          <cell r="A4378" t="str">
            <v>M2</v>
          </cell>
          <cell r="B4378" t="str">
            <v>A5C</v>
          </cell>
          <cell r="C4378" t="str">
            <v>TRIM</v>
          </cell>
          <cell r="D4378" t="str">
            <v>V-2333</v>
          </cell>
          <cell r="E4378" t="str">
            <v>BALL VA</v>
          </cell>
          <cell r="F4378">
            <v>6</v>
          </cell>
          <cell r="G4378" t="str">
            <v>VB8010600000T00</v>
          </cell>
          <cell r="H4378">
            <v>0.75</v>
          </cell>
          <cell r="I4378" t="str">
            <v>--</v>
          </cell>
          <cell r="J4378">
            <v>2</v>
          </cell>
          <cell r="K4378">
            <v>2</v>
          </cell>
        </row>
        <row r="4379">
          <cell r="A4379" t="str">
            <v>M2</v>
          </cell>
          <cell r="B4379" t="str">
            <v>A5C</v>
          </cell>
          <cell r="C4379" t="str">
            <v>TRIM</v>
          </cell>
          <cell r="D4379" t="str">
            <v>V-2351</v>
          </cell>
          <cell r="E4379" t="str">
            <v>BALL VA</v>
          </cell>
          <cell r="F4379">
            <v>6</v>
          </cell>
          <cell r="G4379" t="str">
            <v>VB8010600000T00</v>
          </cell>
          <cell r="H4379">
            <v>0.75</v>
          </cell>
          <cell r="I4379" t="str">
            <v>--</v>
          </cell>
          <cell r="J4379">
            <v>2</v>
          </cell>
          <cell r="K4379">
            <v>2</v>
          </cell>
        </row>
        <row r="4380">
          <cell r="A4380" t="str">
            <v>M2</v>
          </cell>
          <cell r="B4380" t="str">
            <v>A5C</v>
          </cell>
          <cell r="C4380" t="str">
            <v>TRIM</v>
          </cell>
          <cell r="D4380" t="str">
            <v>V-2351</v>
          </cell>
          <cell r="E4380" t="str">
            <v>BALL VA</v>
          </cell>
          <cell r="F4380">
            <v>6</v>
          </cell>
          <cell r="G4380" t="str">
            <v>VB8010600000T00</v>
          </cell>
          <cell r="H4380">
            <v>0.75</v>
          </cell>
          <cell r="I4380" t="str">
            <v>--</v>
          </cell>
          <cell r="J4380">
            <v>2</v>
          </cell>
          <cell r="K4380">
            <v>2</v>
          </cell>
        </row>
        <row r="4381">
          <cell r="A4381" t="str">
            <v>M2</v>
          </cell>
          <cell r="B4381" t="str">
            <v>A5C</v>
          </cell>
          <cell r="C4381" t="str">
            <v>TRIM</v>
          </cell>
          <cell r="D4381" t="str">
            <v>V-2327</v>
          </cell>
          <cell r="E4381" t="str">
            <v>BALL VA</v>
          </cell>
          <cell r="F4381">
            <v>6</v>
          </cell>
          <cell r="G4381" t="str">
            <v>VB8010600000T00</v>
          </cell>
          <cell r="H4381">
            <v>0.75</v>
          </cell>
          <cell r="I4381" t="str">
            <v>--</v>
          </cell>
          <cell r="J4381">
            <v>4</v>
          </cell>
          <cell r="K4381">
            <v>4</v>
          </cell>
        </row>
        <row r="4382">
          <cell r="A4382" t="str">
            <v>M2</v>
          </cell>
          <cell r="B4382" t="str">
            <v>A5C</v>
          </cell>
          <cell r="C4382" t="str">
            <v>TRIM</v>
          </cell>
          <cell r="D4382" t="str">
            <v>V-2333</v>
          </cell>
          <cell r="E4382" t="str">
            <v>BALL VA</v>
          </cell>
          <cell r="F4382">
            <v>6</v>
          </cell>
          <cell r="G4382" t="str">
            <v>VB8010600000T00</v>
          </cell>
          <cell r="H4382">
            <v>0.75</v>
          </cell>
          <cell r="I4382" t="str">
            <v>--</v>
          </cell>
          <cell r="J4382">
            <v>4</v>
          </cell>
          <cell r="K4382">
            <v>4</v>
          </cell>
        </row>
        <row r="4383">
          <cell r="A4383" t="str">
            <v>M2</v>
          </cell>
          <cell r="B4383" t="str">
            <v>A5C</v>
          </cell>
          <cell r="C4383" t="str">
            <v>N</v>
          </cell>
          <cell r="D4383" t="str">
            <v>23613</v>
          </cell>
          <cell r="E4383" t="str">
            <v>BALL VA</v>
          </cell>
          <cell r="F4383">
            <v>6</v>
          </cell>
          <cell r="G4383" t="str">
            <v>VB8010600000T00</v>
          </cell>
          <cell r="H4383">
            <v>0.75</v>
          </cell>
          <cell r="I4383" t="str">
            <v>--</v>
          </cell>
          <cell r="J4383">
            <v>1</v>
          </cell>
          <cell r="K4383">
            <v>1</v>
          </cell>
        </row>
        <row r="4384">
          <cell r="A4384" t="str">
            <v>M2</v>
          </cell>
          <cell r="B4384" t="str">
            <v>A5C</v>
          </cell>
          <cell r="C4384" t="str">
            <v>N</v>
          </cell>
          <cell r="D4384" t="str">
            <v>23619</v>
          </cell>
          <cell r="E4384" t="str">
            <v>BALL VA</v>
          </cell>
          <cell r="F4384">
            <v>6</v>
          </cell>
          <cell r="G4384" t="str">
            <v>VB8010600000T00</v>
          </cell>
          <cell r="H4384">
            <v>0.75</v>
          </cell>
          <cell r="I4384" t="str">
            <v>--</v>
          </cell>
          <cell r="J4384">
            <v>3</v>
          </cell>
          <cell r="K4384">
            <v>3</v>
          </cell>
        </row>
        <row r="4385">
          <cell r="A4385" t="str">
            <v>M2</v>
          </cell>
          <cell r="B4385" t="str">
            <v>A5C</v>
          </cell>
          <cell r="C4385" t="str">
            <v>N</v>
          </cell>
          <cell r="D4385" t="str">
            <v>23619</v>
          </cell>
          <cell r="E4385" t="str">
            <v>BALL VA</v>
          </cell>
          <cell r="F4385">
            <v>6</v>
          </cell>
          <cell r="G4385" t="str">
            <v>VB8010600000T00</v>
          </cell>
          <cell r="H4385">
            <v>0.75</v>
          </cell>
          <cell r="I4385" t="str">
            <v>--</v>
          </cell>
          <cell r="J4385">
            <v>1</v>
          </cell>
          <cell r="K4385">
            <v>1</v>
          </cell>
        </row>
        <row r="4386">
          <cell r="A4386" t="str">
            <v>M2</v>
          </cell>
          <cell r="B4386" t="str">
            <v>A5C</v>
          </cell>
          <cell r="C4386" t="str">
            <v>N</v>
          </cell>
          <cell r="D4386" t="str">
            <v>23634</v>
          </cell>
          <cell r="E4386" t="str">
            <v>BALL VA</v>
          </cell>
          <cell r="F4386">
            <v>6</v>
          </cell>
          <cell r="G4386" t="str">
            <v>VB8010600000T00</v>
          </cell>
          <cell r="H4386">
            <v>0.75</v>
          </cell>
          <cell r="I4386" t="str">
            <v>--</v>
          </cell>
          <cell r="J4386">
            <v>1</v>
          </cell>
          <cell r="K4386">
            <v>1</v>
          </cell>
        </row>
        <row r="4387">
          <cell r="A4387" t="str">
            <v>M2</v>
          </cell>
          <cell r="B4387" t="str">
            <v>A5C</v>
          </cell>
          <cell r="C4387" t="str">
            <v>N</v>
          </cell>
          <cell r="D4387" t="str">
            <v>23635</v>
          </cell>
          <cell r="E4387" t="str">
            <v>BALL VA</v>
          </cell>
          <cell r="F4387">
            <v>6</v>
          </cell>
          <cell r="G4387" t="str">
            <v>VB8010600000T00</v>
          </cell>
          <cell r="H4387">
            <v>0.75</v>
          </cell>
          <cell r="I4387" t="str">
            <v>--</v>
          </cell>
          <cell r="J4387">
            <v>1</v>
          </cell>
          <cell r="K4387">
            <v>1</v>
          </cell>
        </row>
        <row r="4388">
          <cell r="A4388" t="str">
            <v>M2</v>
          </cell>
          <cell r="B4388" t="str">
            <v>A5C</v>
          </cell>
          <cell r="C4388" t="str">
            <v>N</v>
          </cell>
          <cell r="D4388" t="str">
            <v>23636</v>
          </cell>
          <cell r="E4388" t="str">
            <v>BALL VA</v>
          </cell>
          <cell r="F4388">
            <v>6</v>
          </cell>
          <cell r="G4388" t="str">
            <v>VB8010600000T00</v>
          </cell>
          <cell r="H4388">
            <v>0.75</v>
          </cell>
          <cell r="I4388" t="str">
            <v>--</v>
          </cell>
          <cell r="J4388">
            <v>1</v>
          </cell>
          <cell r="K4388">
            <v>1</v>
          </cell>
        </row>
        <row r="4389">
          <cell r="A4389" t="str">
            <v>M2</v>
          </cell>
          <cell r="B4389" t="str">
            <v>A5C</v>
          </cell>
          <cell r="C4389" t="str">
            <v>N</v>
          </cell>
          <cell r="D4389" t="str">
            <v>23637</v>
          </cell>
          <cell r="E4389" t="str">
            <v>BALL VA</v>
          </cell>
          <cell r="F4389">
            <v>6</v>
          </cell>
          <cell r="G4389" t="str">
            <v>VB8010600000T00</v>
          </cell>
          <cell r="H4389">
            <v>0.75</v>
          </cell>
          <cell r="I4389" t="str">
            <v>--</v>
          </cell>
          <cell r="J4389">
            <v>1</v>
          </cell>
          <cell r="K4389">
            <v>1</v>
          </cell>
        </row>
        <row r="4390">
          <cell r="A4390" t="str">
            <v>M2</v>
          </cell>
          <cell r="B4390" t="str">
            <v>A5C</v>
          </cell>
          <cell r="C4390" t="str">
            <v>N</v>
          </cell>
          <cell r="D4390" t="str">
            <v>23638</v>
          </cell>
          <cell r="E4390" t="str">
            <v>BALL VA</v>
          </cell>
          <cell r="F4390">
            <v>6</v>
          </cell>
          <cell r="G4390" t="str">
            <v>VB8010600000T00</v>
          </cell>
          <cell r="H4390">
            <v>0.75</v>
          </cell>
          <cell r="I4390" t="str">
            <v>--</v>
          </cell>
          <cell r="J4390">
            <v>1</v>
          </cell>
          <cell r="K4390">
            <v>1</v>
          </cell>
        </row>
        <row r="4391">
          <cell r="A4391" t="str">
            <v>M2</v>
          </cell>
          <cell r="B4391" t="str">
            <v>A5C</v>
          </cell>
          <cell r="C4391" t="str">
            <v>N</v>
          </cell>
          <cell r="D4391" t="str">
            <v>23639</v>
          </cell>
          <cell r="E4391" t="str">
            <v>BALL VA</v>
          </cell>
          <cell r="F4391">
            <v>6</v>
          </cell>
          <cell r="G4391" t="str">
            <v>VB8010600000T00</v>
          </cell>
          <cell r="H4391">
            <v>0.75</v>
          </cell>
          <cell r="I4391" t="str">
            <v>--</v>
          </cell>
          <cell r="J4391">
            <v>1</v>
          </cell>
          <cell r="K4391">
            <v>1</v>
          </cell>
        </row>
        <row r="4392">
          <cell r="A4392" t="str">
            <v>M2</v>
          </cell>
          <cell r="B4392" t="str">
            <v>A5C</v>
          </cell>
          <cell r="C4392" t="str">
            <v>N</v>
          </cell>
          <cell r="D4392" t="str">
            <v>23640</v>
          </cell>
          <cell r="E4392" t="str">
            <v>BALL VA</v>
          </cell>
          <cell r="F4392">
            <v>6</v>
          </cell>
          <cell r="G4392" t="str">
            <v>VB8010600000T00</v>
          </cell>
          <cell r="H4392">
            <v>0.75</v>
          </cell>
          <cell r="I4392" t="str">
            <v>--</v>
          </cell>
          <cell r="J4392">
            <v>1</v>
          </cell>
          <cell r="K4392">
            <v>1</v>
          </cell>
        </row>
        <row r="4393">
          <cell r="A4393" t="str">
            <v>M2</v>
          </cell>
          <cell r="B4393" t="str">
            <v>A5C</v>
          </cell>
          <cell r="C4393" t="str">
            <v>N</v>
          </cell>
          <cell r="D4393" t="str">
            <v>24612</v>
          </cell>
          <cell r="E4393" t="str">
            <v>BALL VA</v>
          </cell>
          <cell r="F4393">
            <v>6</v>
          </cell>
          <cell r="G4393" t="str">
            <v>VB8010600000T00</v>
          </cell>
          <cell r="H4393">
            <v>0.75</v>
          </cell>
          <cell r="I4393" t="str">
            <v>--</v>
          </cell>
          <cell r="J4393">
            <v>1</v>
          </cell>
          <cell r="K4393">
            <v>1</v>
          </cell>
        </row>
        <row r="4394">
          <cell r="A4394" t="str">
            <v>M2</v>
          </cell>
          <cell r="B4394" t="str">
            <v>A5C</v>
          </cell>
          <cell r="C4394" t="str">
            <v>N</v>
          </cell>
          <cell r="D4394" t="str">
            <v>24613</v>
          </cell>
          <cell r="E4394" t="str">
            <v>BALL VA</v>
          </cell>
          <cell r="F4394">
            <v>6</v>
          </cell>
          <cell r="G4394" t="str">
            <v>VB8010600000T00</v>
          </cell>
          <cell r="H4394">
            <v>0.75</v>
          </cell>
          <cell r="I4394" t="str">
            <v>--</v>
          </cell>
          <cell r="J4394">
            <v>3</v>
          </cell>
          <cell r="K4394">
            <v>3</v>
          </cell>
        </row>
        <row r="4395">
          <cell r="A4395" t="str">
            <v>M2</v>
          </cell>
          <cell r="B4395" t="str">
            <v>A5C</v>
          </cell>
          <cell r="C4395" t="str">
            <v>N</v>
          </cell>
          <cell r="D4395" t="str">
            <v>24614</v>
          </cell>
          <cell r="E4395" t="str">
            <v>BALL VA</v>
          </cell>
          <cell r="F4395">
            <v>6</v>
          </cell>
          <cell r="G4395" t="str">
            <v>VB8010600000T00</v>
          </cell>
          <cell r="H4395">
            <v>0.75</v>
          </cell>
          <cell r="I4395" t="str">
            <v>--</v>
          </cell>
          <cell r="J4395">
            <v>3</v>
          </cell>
          <cell r="K4395">
            <v>3</v>
          </cell>
        </row>
        <row r="4396">
          <cell r="A4396" t="str">
            <v>M2</v>
          </cell>
          <cell r="B4396" t="str">
            <v>A5C</v>
          </cell>
          <cell r="C4396" t="str">
            <v>P</v>
          </cell>
          <cell r="D4396" t="str">
            <v>23005</v>
          </cell>
          <cell r="E4396" t="str">
            <v>BALL VA</v>
          </cell>
          <cell r="F4396">
            <v>6</v>
          </cell>
          <cell r="G4396" t="str">
            <v>VB8010600000T00</v>
          </cell>
          <cell r="H4396">
            <v>0.75</v>
          </cell>
          <cell r="I4396" t="str">
            <v>--</v>
          </cell>
          <cell r="J4396">
            <v>2</v>
          </cell>
          <cell r="K4396">
            <v>2</v>
          </cell>
        </row>
        <row r="4397">
          <cell r="A4397" t="str">
            <v>M2</v>
          </cell>
          <cell r="B4397" t="str">
            <v>A5C</v>
          </cell>
          <cell r="C4397" t="str">
            <v>P</v>
          </cell>
          <cell r="D4397" t="str">
            <v>23006</v>
          </cell>
          <cell r="E4397" t="str">
            <v>BALL VA</v>
          </cell>
          <cell r="F4397">
            <v>6</v>
          </cell>
          <cell r="G4397" t="str">
            <v>VB8010600000T00</v>
          </cell>
          <cell r="H4397">
            <v>0.75</v>
          </cell>
          <cell r="I4397" t="str">
            <v>--</v>
          </cell>
          <cell r="J4397">
            <v>2</v>
          </cell>
          <cell r="K4397">
            <v>2</v>
          </cell>
        </row>
        <row r="4398">
          <cell r="A4398" t="str">
            <v>M2</v>
          </cell>
          <cell r="B4398" t="str">
            <v>A5C</v>
          </cell>
          <cell r="C4398" t="str">
            <v>P</v>
          </cell>
          <cell r="D4398" t="str">
            <v>23012</v>
          </cell>
          <cell r="E4398" t="str">
            <v>BALL VA</v>
          </cell>
          <cell r="F4398">
            <v>6</v>
          </cell>
          <cell r="G4398" t="str">
            <v>VB8010600000T00</v>
          </cell>
          <cell r="H4398">
            <v>0.75</v>
          </cell>
          <cell r="I4398" t="str">
            <v>--</v>
          </cell>
          <cell r="J4398">
            <v>2</v>
          </cell>
          <cell r="K4398">
            <v>2</v>
          </cell>
        </row>
        <row r="4399">
          <cell r="A4399" t="str">
            <v>M2</v>
          </cell>
          <cell r="B4399" t="str">
            <v>A5C</v>
          </cell>
          <cell r="C4399" t="str">
            <v>P</v>
          </cell>
          <cell r="D4399" t="str">
            <v>23035</v>
          </cell>
          <cell r="E4399" t="str">
            <v>BALL VA</v>
          </cell>
          <cell r="F4399">
            <v>6</v>
          </cell>
          <cell r="G4399" t="str">
            <v>VB8010600000T00</v>
          </cell>
          <cell r="H4399">
            <v>0.75</v>
          </cell>
          <cell r="I4399" t="str">
            <v>--</v>
          </cell>
          <cell r="J4399">
            <v>2</v>
          </cell>
          <cell r="K4399">
            <v>2</v>
          </cell>
        </row>
        <row r="4400">
          <cell r="A4400" t="str">
            <v>M2</v>
          </cell>
          <cell r="B4400" t="str">
            <v>A5C</v>
          </cell>
          <cell r="C4400" t="str">
            <v>P</v>
          </cell>
          <cell r="D4400" t="str">
            <v>23035</v>
          </cell>
          <cell r="E4400" t="str">
            <v>BALL VA</v>
          </cell>
          <cell r="F4400">
            <v>6</v>
          </cell>
          <cell r="G4400" t="str">
            <v>VB8010600000T00</v>
          </cell>
          <cell r="H4400">
            <v>0.75</v>
          </cell>
          <cell r="I4400" t="str">
            <v>--</v>
          </cell>
          <cell r="J4400">
            <v>1</v>
          </cell>
          <cell r="K4400">
            <v>1</v>
          </cell>
        </row>
        <row r="4401">
          <cell r="A4401" t="str">
            <v>M2</v>
          </cell>
          <cell r="B4401" t="str">
            <v>A5C</v>
          </cell>
          <cell r="C4401" t="str">
            <v>P</v>
          </cell>
          <cell r="D4401" t="str">
            <v>23068</v>
          </cell>
          <cell r="E4401" t="str">
            <v>BALL VA</v>
          </cell>
          <cell r="F4401">
            <v>6</v>
          </cell>
          <cell r="G4401" t="str">
            <v>VB8010600000T00</v>
          </cell>
          <cell r="H4401">
            <v>0.75</v>
          </cell>
          <cell r="I4401" t="str">
            <v>--</v>
          </cell>
          <cell r="J4401">
            <v>2</v>
          </cell>
          <cell r="K4401">
            <v>2</v>
          </cell>
        </row>
        <row r="4402">
          <cell r="A4402" t="str">
            <v>M2</v>
          </cell>
          <cell r="B4402" t="str">
            <v>A5C</v>
          </cell>
          <cell r="C4402" t="str">
            <v>P</v>
          </cell>
          <cell r="D4402" t="str">
            <v>23094</v>
          </cell>
          <cell r="E4402" t="str">
            <v>BALL VA</v>
          </cell>
          <cell r="F4402">
            <v>6</v>
          </cell>
          <cell r="G4402" t="str">
            <v>VB8010600000T00</v>
          </cell>
          <cell r="H4402">
            <v>0.75</v>
          </cell>
          <cell r="I4402" t="str">
            <v>--</v>
          </cell>
          <cell r="J4402">
            <v>1</v>
          </cell>
          <cell r="K4402">
            <v>1</v>
          </cell>
        </row>
        <row r="4403">
          <cell r="A4403" t="str">
            <v>M2</v>
          </cell>
          <cell r="B4403" t="str">
            <v>A5C</v>
          </cell>
          <cell r="C4403" t="str">
            <v>P</v>
          </cell>
          <cell r="D4403" t="str">
            <v>23102</v>
          </cell>
          <cell r="E4403" t="str">
            <v>BALL VA</v>
          </cell>
          <cell r="F4403">
            <v>6</v>
          </cell>
          <cell r="G4403" t="str">
            <v>VB8010600000T00</v>
          </cell>
          <cell r="H4403">
            <v>0.75</v>
          </cell>
          <cell r="I4403" t="str">
            <v>--</v>
          </cell>
          <cell r="J4403">
            <v>2</v>
          </cell>
          <cell r="K4403">
            <v>2</v>
          </cell>
        </row>
        <row r="4404">
          <cell r="A4404" t="str">
            <v>M2</v>
          </cell>
          <cell r="B4404" t="str">
            <v>A5C</v>
          </cell>
          <cell r="C4404" t="str">
            <v>P</v>
          </cell>
          <cell r="D4404" t="str">
            <v>23106</v>
          </cell>
          <cell r="E4404" t="str">
            <v>BALL VA</v>
          </cell>
          <cell r="F4404">
            <v>6</v>
          </cell>
          <cell r="G4404" t="str">
            <v>VB8010600000T00</v>
          </cell>
          <cell r="H4404">
            <v>0.75</v>
          </cell>
          <cell r="I4404" t="str">
            <v>--</v>
          </cell>
          <cell r="J4404">
            <v>2</v>
          </cell>
          <cell r="K4404">
            <v>2</v>
          </cell>
        </row>
        <row r="4405">
          <cell r="A4405" t="str">
            <v>M2</v>
          </cell>
          <cell r="B4405" t="str">
            <v>A5C</v>
          </cell>
          <cell r="C4405" t="str">
            <v>P</v>
          </cell>
          <cell r="D4405" t="str">
            <v>23108</v>
          </cell>
          <cell r="E4405" t="str">
            <v>BALL VA</v>
          </cell>
          <cell r="F4405">
            <v>6</v>
          </cell>
          <cell r="G4405" t="str">
            <v>VB8010600000T00</v>
          </cell>
          <cell r="H4405">
            <v>0.75</v>
          </cell>
          <cell r="I4405" t="str">
            <v>--</v>
          </cell>
          <cell r="J4405">
            <v>1</v>
          </cell>
          <cell r="K4405">
            <v>1</v>
          </cell>
        </row>
        <row r="4406">
          <cell r="A4406" t="str">
            <v>M2</v>
          </cell>
          <cell r="B4406" t="str">
            <v>A5C</v>
          </cell>
          <cell r="C4406" t="str">
            <v>P</v>
          </cell>
          <cell r="D4406" t="str">
            <v>23108</v>
          </cell>
          <cell r="E4406" t="str">
            <v>BALL VA</v>
          </cell>
          <cell r="F4406">
            <v>6</v>
          </cell>
          <cell r="G4406" t="str">
            <v>VB8010600000T00</v>
          </cell>
          <cell r="H4406">
            <v>0.75</v>
          </cell>
          <cell r="I4406" t="str">
            <v>--</v>
          </cell>
          <cell r="J4406">
            <v>1</v>
          </cell>
          <cell r="K4406">
            <v>1</v>
          </cell>
        </row>
        <row r="4407">
          <cell r="A4407" t="str">
            <v>M2</v>
          </cell>
          <cell r="B4407" t="str">
            <v>A5C</v>
          </cell>
          <cell r="C4407" t="str">
            <v>P</v>
          </cell>
          <cell r="D4407" t="str">
            <v>23109</v>
          </cell>
          <cell r="E4407" t="str">
            <v>BALL VA</v>
          </cell>
          <cell r="F4407">
            <v>6</v>
          </cell>
          <cell r="G4407" t="str">
            <v>VB8010600000T00</v>
          </cell>
          <cell r="H4407">
            <v>0.75</v>
          </cell>
          <cell r="I4407" t="str">
            <v>--</v>
          </cell>
          <cell r="J4407">
            <v>1</v>
          </cell>
          <cell r="K4407">
            <v>1</v>
          </cell>
        </row>
        <row r="4408">
          <cell r="A4408" t="str">
            <v>M2</v>
          </cell>
          <cell r="B4408" t="str">
            <v>A5C</v>
          </cell>
          <cell r="C4408" t="str">
            <v>P</v>
          </cell>
          <cell r="D4408" t="str">
            <v>23110</v>
          </cell>
          <cell r="E4408" t="str">
            <v>BALL VA</v>
          </cell>
          <cell r="F4408">
            <v>6</v>
          </cell>
          <cell r="G4408" t="str">
            <v>VB8010600000T00</v>
          </cell>
          <cell r="H4408">
            <v>0.75</v>
          </cell>
          <cell r="I4408" t="str">
            <v>--</v>
          </cell>
          <cell r="J4408">
            <v>2</v>
          </cell>
          <cell r="K4408">
            <v>2</v>
          </cell>
        </row>
        <row r="4409">
          <cell r="A4409" t="str">
            <v>M2</v>
          </cell>
          <cell r="B4409" t="str">
            <v>A5C</v>
          </cell>
          <cell r="C4409" t="str">
            <v>P</v>
          </cell>
          <cell r="D4409" t="str">
            <v>23112</v>
          </cell>
          <cell r="E4409" t="str">
            <v>BALL VA</v>
          </cell>
          <cell r="F4409">
            <v>6</v>
          </cell>
          <cell r="G4409" t="str">
            <v>VB8010600000T00</v>
          </cell>
          <cell r="H4409">
            <v>0.75</v>
          </cell>
          <cell r="I4409" t="str">
            <v>--</v>
          </cell>
          <cell r="J4409">
            <v>1</v>
          </cell>
          <cell r="K4409">
            <v>1</v>
          </cell>
        </row>
        <row r="4410">
          <cell r="A4410" t="str">
            <v>M2</v>
          </cell>
          <cell r="B4410" t="str">
            <v>A5C</v>
          </cell>
          <cell r="C4410" t="str">
            <v>P</v>
          </cell>
          <cell r="D4410" t="str">
            <v>23112</v>
          </cell>
          <cell r="E4410" t="str">
            <v>BALL VA</v>
          </cell>
          <cell r="F4410">
            <v>6</v>
          </cell>
          <cell r="G4410" t="str">
            <v>VB8010600000T00</v>
          </cell>
          <cell r="H4410">
            <v>0.75</v>
          </cell>
          <cell r="I4410" t="str">
            <v>--</v>
          </cell>
          <cell r="J4410">
            <v>1</v>
          </cell>
          <cell r="K4410">
            <v>1</v>
          </cell>
        </row>
        <row r="4411">
          <cell r="A4411" t="str">
            <v>M2</v>
          </cell>
          <cell r="B4411" t="str">
            <v>A5C</v>
          </cell>
          <cell r="C4411" t="str">
            <v>P</v>
          </cell>
          <cell r="D4411" t="str">
            <v>23112</v>
          </cell>
          <cell r="E4411" t="str">
            <v>BALL VA</v>
          </cell>
          <cell r="F4411">
            <v>6</v>
          </cell>
          <cell r="G4411" t="str">
            <v>VB8010600000T00</v>
          </cell>
          <cell r="H4411">
            <v>0.75</v>
          </cell>
          <cell r="I4411" t="str">
            <v>--</v>
          </cell>
          <cell r="J4411">
            <v>1</v>
          </cell>
          <cell r="K4411">
            <v>1</v>
          </cell>
        </row>
        <row r="4412">
          <cell r="A4412" t="str">
            <v>M2</v>
          </cell>
          <cell r="B4412" t="str">
            <v>A5C</v>
          </cell>
          <cell r="C4412" t="str">
            <v>P</v>
          </cell>
          <cell r="D4412" t="str">
            <v>23114</v>
          </cell>
          <cell r="E4412" t="str">
            <v>BALL VA</v>
          </cell>
          <cell r="F4412">
            <v>6</v>
          </cell>
          <cell r="G4412" t="str">
            <v>VB8010600000T00</v>
          </cell>
          <cell r="H4412">
            <v>0.75</v>
          </cell>
          <cell r="I4412" t="str">
            <v>--</v>
          </cell>
          <cell r="J4412">
            <v>2</v>
          </cell>
          <cell r="K4412">
            <v>2</v>
          </cell>
        </row>
        <row r="4413">
          <cell r="A4413" t="str">
            <v>M2</v>
          </cell>
          <cell r="B4413" t="str">
            <v>A5C</v>
          </cell>
          <cell r="C4413" t="str">
            <v>P</v>
          </cell>
          <cell r="D4413" t="str">
            <v>23141</v>
          </cell>
          <cell r="E4413" t="str">
            <v>BALL VA</v>
          </cell>
          <cell r="F4413">
            <v>6</v>
          </cell>
          <cell r="G4413" t="str">
            <v>VB8010600000T00</v>
          </cell>
          <cell r="H4413">
            <v>0.75</v>
          </cell>
          <cell r="I4413" t="str">
            <v>--</v>
          </cell>
          <cell r="J4413">
            <v>1</v>
          </cell>
          <cell r="K4413">
            <v>1</v>
          </cell>
        </row>
        <row r="4414">
          <cell r="A4414" t="str">
            <v>M2</v>
          </cell>
          <cell r="B4414" t="str">
            <v>A5C</v>
          </cell>
          <cell r="C4414" t="str">
            <v>P</v>
          </cell>
          <cell r="D4414" t="str">
            <v>23141</v>
          </cell>
          <cell r="E4414" t="str">
            <v>BALL VA</v>
          </cell>
          <cell r="F4414">
            <v>6</v>
          </cell>
          <cell r="G4414" t="str">
            <v>VB8010600000T00</v>
          </cell>
          <cell r="H4414">
            <v>0.75</v>
          </cell>
          <cell r="I4414" t="str">
            <v>--</v>
          </cell>
          <cell r="J4414">
            <v>2</v>
          </cell>
          <cell r="K4414">
            <v>2</v>
          </cell>
        </row>
        <row r="4415">
          <cell r="A4415" t="str">
            <v>M2</v>
          </cell>
          <cell r="B4415" t="str">
            <v>A5C</v>
          </cell>
          <cell r="C4415" t="str">
            <v>P</v>
          </cell>
          <cell r="D4415" t="str">
            <v>23152</v>
          </cell>
          <cell r="E4415" t="str">
            <v>BALL VA</v>
          </cell>
          <cell r="F4415">
            <v>6</v>
          </cell>
          <cell r="G4415" t="str">
            <v>VB8010600000T00</v>
          </cell>
          <cell r="H4415">
            <v>0.75</v>
          </cell>
          <cell r="I4415" t="str">
            <v>--</v>
          </cell>
          <cell r="J4415">
            <v>2</v>
          </cell>
          <cell r="K4415">
            <v>2</v>
          </cell>
        </row>
        <row r="4416">
          <cell r="A4416" t="str">
            <v>M2</v>
          </cell>
          <cell r="B4416" t="str">
            <v>A5C</v>
          </cell>
          <cell r="C4416" t="str">
            <v>P</v>
          </cell>
          <cell r="D4416" t="str">
            <v>23157</v>
          </cell>
          <cell r="E4416" t="str">
            <v>BALL VA</v>
          </cell>
          <cell r="F4416">
            <v>6</v>
          </cell>
          <cell r="G4416" t="str">
            <v>VB8010600000T00</v>
          </cell>
          <cell r="H4416">
            <v>0.75</v>
          </cell>
          <cell r="I4416" t="str">
            <v>--</v>
          </cell>
          <cell r="J4416">
            <v>2</v>
          </cell>
          <cell r="K4416">
            <v>2</v>
          </cell>
        </row>
        <row r="4417">
          <cell r="A4417" t="str">
            <v>M2</v>
          </cell>
          <cell r="B4417" t="str">
            <v>A5C</v>
          </cell>
          <cell r="C4417" t="str">
            <v>P</v>
          </cell>
          <cell r="D4417" t="str">
            <v>23181</v>
          </cell>
          <cell r="E4417" t="str">
            <v>BALL VA</v>
          </cell>
          <cell r="F4417">
            <v>6</v>
          </cell>
          <cell r="G4417" t="str">
            <v>VB8010600000T00</v>
          </cell>
          <cell r="H4417">
            <v>0.75</v>
          </cell>
          <cell r="I4417" t="str">
            <v>--</v>
          </cell>
          <cell r="J4417">
            <v>1</v>
          </cell>
          <cell r="K4417">
            <v>1</v>
          </cell>
        </row>
        <row r="4418">
          <cell r="A4418" t="str">
            <v>M2</v>
          </cell>
          <cell r="B4418" t="str">
            <v>A5C</v>
          </cell>
          <cell r="C4418" t="str">
            <v>P</v>
          </cell>
          <cell r="D4418" t="str">
            <v>23196</v>
          </cell>
          <cell r="E4418" t="str">
            <v>BALL VA</v>
          </cell>
          <cell r="F4418">
            <v>6</v>
          </cell>
          <cell r="G4418" t="str">
            <v>VB8010600000T00</v>
          </cell>
          <cell r="H4418">
            <v>0.75</v>
          </cell>
          <cell r="I4418" t="str">
            <v>--</v>
          </cell>
          <cell r="J4418">
            <v>2</v>
          </cell>
          <cell r="K4418">
            <v>2</v>
          </cell>
        </row>
        <row r="4419">
          <cell r="A4419" t="str">
            <v>M2</v>
          </cell>
          <cell r="B4419" t="str">
            <v>A5C</v>
          </cell>
          <cell r="C4419" t="str">
            <v>P</v>
          </cell>
          <cell r="D4419" t="str">
            <v>23204</v>
          </cell>
          <cell r="E4419" t="str">
            <v>BALL VA</v>
          </cell>
          <cell r="F4419">
            <v>6</v>
          </cell>
          <cell r="G4419" t="str">
            <v>VB8010600000T00</v>
          </cell>
          <cell r="H4419">
            <v>0.75</v>
          </cell>
          <cell r="I4419" t="str">
            <v>--</v>
          </cell>
          <cell r="J4419">
            <v>1</v>
          </cell>
          <cell r="K4419">
            <v>1</v>
          </cell>
        </row>
        <row r="4420">
          <cell r="A4420" t="str">
            <v>M2</v>
          </cell>
          <cell r="B4420" t="str">
            <v>A5C</v>
          </cell>
          <cell r="C4420" t="str">
            <v>P</v>
          </cell>
          <cell r="D4420" t="str">
            <v>23206</v>
          </cell>
          <cell r="E4420" t="str">
            <v>BALL VA</v>
          </cell>
          <cell r="F4420">
            <v>6</v>
          </cell>
          <cell r="G4420" t="str">
            <v>VB8010600000T00</v>
          </cell>
          <cell r="H4420">
            <v>0.75</v>
          </cell>
          <cell r="I4420" t="str">
            <v>--</v>
          </cell>
          <cell r="J4420">
            <v>1</v>
          </cell>
          <cell r="K4420">
            <v>1</v>
          </cell>
        </row>
        <row r="4421">
          <cell r="A4421" t="str">
            <v>M2</v>
          </cell>
          <cell r="B4421" t="str">
            <v>A5C</v>
          </cell>
          <cell r="C4421" t="str">
            <v>P</v>
          </cell>
          <cell r="D4421" t="str">
            <v>23212</v>
          </cell>
          <cell r="E4421" t="str">
            <v>BALL VA</v>
          </cell>
          <cell r="F4421">
            <v>6</v>
          </cell>
          <cell r="G4421" t="str">
            <v>VB8010600000T00</v>
          </cell>
          <cell r="H4421">
            <v>0.75</v>
          </cell>
          <cell r="I4421" t="str">
            <v>--</v>
          </cell>
          <cell r="J4421">
            <v>1</v>
          </cell>
          <cell r="K4421">
            <v>1</v>
          </cell>
        </row>
        <row r="4422">
          <cell r="A4422" t="str">
            <v>M2</v>
          </cell>
          <cell r="B4422" t="str">
            <v>A5C</v>
          </cell>
          <cell r="C4422" t="str">
            <v>P</v>
          </cell>
          <cell r="D4422" t="str">
            <v>23213</v>
          </cell>
          <cell r="E4422" t="str">
            <v>BALL VA</v>
          </cell>
          <cell r="F4422">
            <v>6</v>
          </cell>
          <cell r="G4422" t="str">
            <v>VB8010600000T00</v>
          </cell>
          <cell r="H4422">
            <v>0.75</v>
          </cell>
          <cell r="I4422" t="str">
            <v>--</v>
          </cell>
          <cell r="J4422">
            <v>1</v>
          </cell>
          <cell r="K4422">
            <v>1</v>
          </cell>
        </row>
        <row r="4423">
          <cell r="A4423" t="str">
            <v>M2</v>
          </cell>
          <cell r="B4423" t="str">
            <v>A5C</v>
          </cell>
          <cell r="C4423" t="str">
            <v>P</v>
          </cell>
          <cell r="D4423" t="str">
            <v>23214</v>
          </cell>
          <cell r="E4423" t="str">
            <v>BALL VA</v>
          </cell>
          <cell r="F4423">
            <v>6</v>
          </cell>
          <cell r="G4423" t="str">
            <v>VB8010600000T00</v>
          </cell>
          <cell r="H4423">
            <v>0.75</v>
          </cell>
          <cell r="I4423" t="str">
            <v>--</v>
          </cell>
          <cell r="J4423">
            <v>1</v>
          </cell>
          <cell r="K4423">
            <v>1</v>
          </cell>
        </row>
        <row r="4424">
          <cell r="A4424" t="str">
            <v>M2</v>
          </cell>
          <cell r="B4424" t="str">
            <v>A5C</v>
          </cell>
          <cell r="C4424" t="str">
            <v>P</v>
          </cell>
          <cell r="D4424" t="str">
            <v>23214</v>
          </cell>
          <cell r="E4424" t="str">
            <v>BALL VA</v>
          </cell>
          <cell r="F4424">
            <v>6</v>
          </cell>
          <cell r="G4424" t="str">
            <v>VB8010600000T00</v>
          </cell>
          <cell r="H4424">
            <v>0.75</v>
          </cell>
          <cell r="I4424" t="str">
            <v>--</v>
          </cell>
          <cell r="J4424">
            <v>1</v>
          </cell>
          <cell r="K4424">
            <v>1</v>
          </cell>
        </row>
        <row r="4425">
          <cell r="A4425" t="str">
            <v>M2</v>
          </cell>
          <cell r="B4425" t="str">
            <v>A5C</v>
          </cell>
          <cell r="C4425" t="str">
            <v>P</v>
          </cell>
          <cell r="D4425" t="str">
            <v>23232</v>
          </cell>
          <cell r="E4425" t="str">
            <v>BALL VA</v>
          </cell>
          <cell r="F4425">
            <v>6</v>
          </cell>
          <cell r="G4425" t="str">
            <v>VB8010600000T00</v>
          </cell>
          <cell r="H4425">
            <v>0.75</v>
          </cell>
          <cell r="I4425" t="str">
            <v>--</v>
          </cell>
          <cell r="J4425">
            <v>2</v>
          </cell>
          <cell r="K4425">
            <v>2</v>
          </cell>
        </row>
        <row r="4426">
          <cell r="A4426" t="str">
            <v>M2</v>
          </cell>
          <cell r="B4426" t="str">
            <v>A5C</v>
          </cell>
          <cell r="C4426" t="str">
            <v>P</v>
          </cell>
          <cell r="D4426" t="str">
            <v>23234</v>
          </cell>
          <cell r="E4426" t="str">
            <v>BALL VA</v>
          </cell>
          <cell r="F4426">
            <v>6</v>
          </cell>
          <cell r="G4426" t="str">
            <v>VB8010600000T00</v>
          </cell>
          <cell r="H4426">
            <v>0.75</v>
          </cell>
          <cell r="I4426" t="str">
            <v>--</v>
          </cell>
          <cell r="J4426">
            <v>1</v>
          </cell>
          <cell r="K4426">
            <v>1</v>
          </cell>
        </row>
        <row r="4427">
          <cell r="A4427" t="str">
            <v>M2</v>
          </cell>
          <cell r="B4427" t="str">
            <v>A5C</v>
          </cell>
          <cell r="C4427" t="str">
            <v>P</v>
          </cell>
          <cell r="D4427" t="str">
            <v>23245</v>
          </cell>
          <cell r="E4427" t="str">
            <v>BALL VA</v>
          </cell>
          <cell r="F4427">
            <v>6</v>
          </cell>
          <cell r="G4427" t="str">
            <v>VB8010600000T00</v>
          </cell>
          <cell r="H4427">
            <v>0.75</v>
          </cell>
          <cell r="I4427" t="str">
            <v>--</v>
          </cell>
          <cell r="J4427">
            <v>1</v>
          </cell>
          <cell r="K4427">
            <v>1</v>
          </cell>
        </row>
        <row r="4428">
          <cell r="A4428" t="str">
            <v>M2</v>
          </cell>
          <cell r="B4428" t="str">
            <v>A5C</v>
          </cell>
          <cell r="C4428" t="str">
            <v>P</v>
          </cell>
          <cell r="D4428" t="str">
            <v>23245</v>
          </cell>
          <cell r="E4428" t="str">
            <v>BALL VA</v>
          </cell>
          <cell r="F4428">
            <v>6</v>
          </cell>
          <cell r="G4428" t="str">
            <v>VB8010600000T00</v>
          </cell>
          <cell r="H4428">
            <v>0.75</v>
          </cell>
          <cell r="I4428" t="str">
            <v>--</v>
          </cell>
          <cell r="J4428">
            <v>1</v>
          </cell>
          <cell r="K4428">
            <v>1</v>
          </cell>
        </row>
        <row r="4429">
          <cell r="A4429" t="str">
            <v>M2</v>
          </cell>
          <cell r="B4429" t="str">
            <v>A5C</v>
          </cell>
          <cell r="C4429" t="str">
            <v>P</v>
          </cell>
          <cell r="D4429" t="str">
            <v>23246</v>
          </cell>
          <cell r="E4429" t="str">
            <v>BALL VA</v>
          </cell>
          <cell r="F4429">
            <v>6</v>
          </cell>
          <cell r="G4429" t="str">
            <v>VB8010600000T00</v>
          </cell>
          <cell r="H4429">
            <v>0.75</v>
          </cell>
          <cell r="I4429" t="str">
            <v>--</v>
          </cell>
          <cell r="J4429">
            <v>2</v>
          </cell>
          <cell r="K4429">
            <v>2</v>
          </cell>
        </row>
        <row r="4430">
          <cell r="A4430" t="str">
            <v>M2</v>
          </cell>
          <cell r="B4430" t="str">
            <v>A5C</v>
          </cell>
          <cell r="C4430" t="str">
            <v>P</v>
          </cell>
          <cell r="D4430" t="str">
            <v>23251</v>
          </cell>
          <cell r="E4430" t="str">
            <v>BALL VA</v>
          </cell>
          <cell r="F4430">
            <v>6</v>
          </cell>
          <cell r="G4430" t="str">
            <v>VB8010600000T00</v>
          </cell>
          <cell r="H4430">
            <v>0.75</v>
          </cell>
          <cell r="I4430" t="str">
            <v>--</v>
          </cell>
          <cell r="J4430">
            <v>1</v>
          </cell>
          <cell r="K4430">
            <v>1</v>
          </cell>
        </row>
        <row r="4431">
          <cell r="A4431" t="str">
            <v>M2</v>
          </cell>
          <cell r="B4431" t="str">
            <v>A5C</v>
          </cell>
          <cell r="C4431" t="str">
            <v>P</v>
          </cell>
          <cell r="D4431" t="str">
            <v>23253</v>
          </cell>
          <cell r="E4431" t="str">
            <v>BALL VA</v>
          </cell>
          <cell r="F4431">
            <v>6</v>
          </cell>
          <cell r="G4431" t="str">
            <v>VB8010600000T00</v>
          </cell>
          <cell r="H4431">
            <v>0.75</v>
          </cell>
          <cell r="I4431" t="str">
            <v>--</v>
          </cell>
          <cell r="J4431">
            <v>1</v>
          </cell>
          <cell r="K4431">
            <v>1</v>
          </cell>
        </row>
        <row r="4432">
          <cell r="A4432" t="str">
            <v>M2</v>
          </cell>
          <cell r="B4432" t="str">
            <v>A5C</v>
          </cell>
          <cell r="C4432" t="str">
            <v>P</v>
          </cell>
          <cell r="D4432" t="str">
            <v>24007</v>
          </cell>
          <cell r="E4432" t="str">
            <v>BALL VA</v>
          </cell>
          <cell r="F4432">
            <v>6</v>
          </cell>
          <cell r="G4432" t="str">
            <v>VB8010600000T00</v>
          </cell>
          <cell r="H4432">
            <v>0.75</v>
          </cell>
          <cell r="I4432" t="str">
            <v>--</v>
          </cell>
          <cell r="J4432">
            <v>1</v>
          </cell>
          <cell r="K4432">
            <v>1</v>
          </cell>
        </row>
        <row r="4433">
          <cell r="A4433" t="str">
            <v>M2</v>
          </cell>
          <cell r="B4433" t="str">
            <v>A5C</v>
          </cell>
          <cell r="C4433" t="str">
            <v>P</v>
          </cell>
          <cell r="D4433" t="str">
            <v>24013</v>
          </cell>
          <cell r="E4433" t="str">
            <v>BALL VA</v>
          </cell>
          <cell r="F4433">
            <v>6</v>
          </cell>
          <cell r="G4433" t="str">
            <v>VB8010600000T00</v>
          </cell>
          <cell r="H4433">
            <v>0.75</v>
          </cell>
          <cell r="I4433" t="str">
            <v>--</v>
          </cell>
          <cell r="J4433">
            <v>2</v>
          </cell>
          <cell r="K4433">
            <v>2</v>
          </cell>
        </row>
        <row r="4434">
          <cell r="A4434" t="str">
            <v>M2</v>
          </cell>
          <cell r="B4434" t="str">
            <v>A5C</v>
          </cell>
          <cell r="C4434" t="str">
            <v>TRIM</v>
          </cell>
          <cell r="D4434" t="str">
            <v>V-2315</v>
          </cell>
          <cell r="E4434" t="str">
            <v>BALL VA</v>
          </cell>
          <cell r="F4434">
            <v>6</v>
          </cell>
          <cell r="G4434" t="str">
            <v>VB8010600000T00</v>
          </cell>
          <cell r="H4434">
            <v>0.75</v>
          </cell>
          <cell r="I4434" t="str">
            <v>--</v>
          </cell>
          <cell r="J4434">
            <v>4</v>
          </cell>
          <cell r="K4434">
            <v>4</v>
          </cell>
        </row>
        <row r="4435">
          <cell r="A4435" t="str">
            <v>M2</v>
          </cell>
          <cell r="B4435" t="str">
            <v>A5C</v>
          </cell>
          <cell r="C4435" t="str">
            <v>TRIM</v>
          </cell>
          <cell r="D4435" t="str">
            <v>V-2317</v>
          </cell>
          <cell r="E4435" t="str">
            <v>BALL VA</v>
          </cell>
          <cell r="F4435">
            <v>6</v>
          </cell>
          <cell r="G4435" t="str">
            <v>VB8010600000T00</v>
          </cell>
          <cell r="H4435">
            <v>0.75</v>
          </cell>
          <cell r="I4435" t="str">
            <v>--</v>
          </cell>
          <cell r="J4435">
            <v>4</v>
          </cell>
          <cell r="K4435">
            <v>4</v>
          </cell>
        </row>
        <row r="4436">
          <cell r="A4436" t="str">
            <v>M2</v>
          </cell>
          <cell r="B4436" t="str">
            <v>A5C</v>
          </cell>
          <cell r="C4436" t="str">
            <v>TRIM</v>
          </cell>
          <cell r="D4436" t="str">
            <v>V-2317</v>
          </cell>
          <cell r="E4436" t="str">
            <v>BALL VA</v>
          </cell>
          <cell r="F4436">
            <v>6</v>
          </cell>
          <cell r="G4436" t="str">
            <v>VB8010600000T00</v>
          </cell>
          <cell r="H4436">
            <v>0.75</v>
          </cell>
          <cell r="I4436" t="str">
            <v>--</v>
          </cell>
          <cell r="J4436">
            <v>2</v>
          </cell>
          <cell r="K4436">
            <v>2</v>
          </cell>
        </row>
        <row r="4437">
          <cell r="A4437" t="str">
            <v>M2</v>
          </cell>
          <cell r="B4437" t="str">
            <v>A5C</v>
          </cell>
          <cell r="C4437" t="str">
            <v>TRIM</v>
          </cell>
          <cell r="D4437" t="str">
            <v>V-2318</v>
          </cell>
          <cell r="E4437" t="str">
            <v>BALL VA</v>
          </cell>
          <cell r="F4437">
            <v>6</v>
          </cell>
          <cell r="G4437" t="str">
            <v>VB8010600000T00</v>
          </cell>
          <cell r="H4437">
            <v>0.75</v>
          </cell>
          <cell r="I4437" t="str">
            <v>--</v>
          </cell>
          <cell r="J4437">
            <v>4</v>
          </cell>
          <cell r="K4437">
            <v>4</v>
          </cell>
        </row>
        <row r="4438">
          <cell r="A4438" t="str">
            <v>M2</v>
          </cell>
          <cell r="B4438" t="str">
            <v>A5C</v>
          </cell>
          <cell r="C4438" t="str">
            <v>TRIM</v>
          </cell>
          <cell r="D4438" t="str">
            <v>V-2319</v>
          </cell>
          <cell r="E4438" t="str">
            <v>BALL VA</v>
          </cell>
          <cell r="F4438">
            <v>6</v>
          </cell>
          <cell r="G4438" t="str">
            <v>VB8010600000T00</v>
          </cell>
          <cell r="H4438">
            <v>0.75</v>
          </cell>
          <cell r="I4438" t="str">
            <v>--</v>
          </cell>
          <cell r="J4438">
            <v>4</v>
          </cell>
          <cell r="K4438">
            <v>4</v>
          </cell>
        </row>
        <row r="4439">
          <cell r="A4439" t="str">
            <v>M2</v>
          </cell>
          <cell r="B4439" t="str">
            <v>A5C</v>
          </cell>
          <cell r="C4439" t="str">
            <v>TRIM</v>
          </cell>
          <cell r="D4439" t="str">
            <v>V-2319</v>
          </cell>
          <cell r="E4439" t="str">
            <v>BALL VA</v>
          </cell>
          <cell r="F4439">
            <v>6</v>
          </cell>
          <cell r="G4439" t="str">
            <v>VB8010600000T00</v>
          </cell>
          <cell r="H4439">
            <v>0.75</v>
          </cell>
          <cell r="I4439" t="str">
            <v>--</v>
          </cell>
          <cell r="J4439">
            <v>2</v>
          </cell>
          <cell r="K4439">
            <v>2</v>
          </cell>
        </row>
        <row r="4440">
          <cell r="A4440" t="str">
            <v>M2</v>
          </cell>
          <cell r="B4440" t="str">
            <v>A5C</v>
          </cell>
          <cell r="C4440" t="str">
            <v>TRIM</v>
          </cell>
          <cell r="D4440" t="str">
            <v>V-2327</v>
          </cell>
          <cell r="E4440" t="str">
            <v>BALL VA</v>
          </cell>
          <cell r="F4440">
            <v>6</v>
          </cell>
          <cell r="G4440" t="str">
            <v>VB8010600000T00</v>
          </cell>
          <cell r="H4440">
            <v>0.75</v>
          </cell>
          <cell r="I4440" t="str">
            <v>--</v>
          </cell>
          <cell r="J4440">
            <v>2</v>
          </cell>
          <cell r="K4440">
            <v>2</v>
          </cell>
        </row>
        <row r="4441">
          <cell r="A4441" t="str">
            <v>M2</v>
          </cell>
          <cell r="B4441" t="str">
            <v>A5C</v>
          </cell>
          <cell r="C4441" t="str">
            <v>TRIM</v>
          </cell>
          <cell r="D4441" t="str">
            <v>V-2328</v>
          </cell>
          <cell r="E4441" t="str">
            <v>BALL VA</v>
          </cell>
          <cell r="F4441">
            <v>6</v>
          </cell>
          <cell r="G4441" t="str">
            <v>VB8010600000T00</v>
          </cell>
          <cell r="H4441">
            <v>0.75</v>
          </cell>
          <cell r="I4441" t="str">
            <v>--</v>
          </cell>
          <cell r="J4441">
            <v>4</v>
          </cell>
          <cell r="K4441">
            <v>4</v>
          </cell>
        </row>
        <row r="4442">
          <cell r="A4442" t="str">
            <v>M2</v>
          </cell>
          <cell r="B4442" t="str">
            <v>A5C</v>
          </cell>
          <cell r="C4442" t="str">
            <v>TRIM</v>
          </cell>
          <cell r="D4442" t="str">
            <v>V-2329</v>
          </cell>
          <cell r="E4442" t="str">
            <v>BALL VA</v>
          </cell>
          <cell r="F4442">
            <v>6</v>
          </cell>
          <cell r="G4442" t="str">
            <v>VB8010600000T00</v>
          </cell>
          <cell r="H4442">
            <v>0.75</v>
          </cell>
          <cell r="I4442" t="str">
            <v>--</v>
          </cell>
          <cell r="J4442">
            <v>2</v>
          </cell>
          <cell r="K4442">
            <v>2</v>
          </cell>
        </row>
        <row r="4443">
          <cell r="A4443" t="str">
            <v>M2</v>
          </cell>
          <cell r="B4443" t="str">
            <v>A5C</v>
          </cell>
          <cell r="C4443" t="str">
            <v>N</v>
          </cell>
          <cell r="D4443" t="str">
            <v>23613</v>
          </cell>
          <cell r="E4443" t="str">
            <v>CHECK VA</v>
          </cell>
          <cell r="F4443">
            <v>6</v>
          </cell>
          <cell r="G4443" t="str">
            <v>VCB8010400000T00</v>
          </cell>
          <cell r="H4443">
            <v>0.75</v>
          </cell>
          <cell r="I4443" t="str">
            <v>--</v>
          </cell>
          <cell r="J4443">
            <v>1</v>
          </cell>
          <cell r="K4443">
            <v>1</v>
          </cell>
        </row>
        <row r="4444">
          <cell r="A4444" t="str">
            <v>M2</v>
          </cell>
          <cell r="B4444" t="str">
            <v>A5C</v>
          </cell>
          <cell r="C4444" t="str">
            <v>N</v>
          </cell>
          <cell r="D4444" t="str">
            <v>23619</v>
          </cell>
          <cell r="E4444" t="str">
            <v>CHECK VA</v>
          </cell>
          <cell r="F4444">
            <v>6</v>
          </cell>
          <cell r="G4444" t="str">
            <v>VCB8010400000T00</v>
          </cell>
          <cell r="H4444">
            <v>0.75</v>
          </cell>
          <cell r="I4444" t="str">
            <v>--</v>
          </cell>
          <cell r="J4444">
            <v>1</v>
          </cell>
          <cell r="K4444">
            <v>1</v>
          </cell>
        </row>
        <row r="4445">
          <cell r="A4445" t="str">
            <v>M2</v>
          </cell>
          <cell r="B4445" t="str">
            <v>A5C</v>
          </cell>
          <cell r="C4445" t="str">
            <v>N</v>
          </cell>
          <cell r="D4445" t="str">
            <v>23620</v>
          </cell>
          <cell r="E4445" t="str">
            <v>CHECK VA</v>
          </cell>
          <cell r="F4445">
            <v>6</v>
          </cell>
          <cell r="G4445" t="str">
            <v>VCB8010400000T00</v>
          </cell>
          <cell r="H4445">
            <v>0.75</v>
          </cell>
          <cell r="I4445" t="str">
            <v>--</v>
          </cell>
          <cell r="J4445">
            <v>1</v>
          </cell>
          <cell r="K4445">
            <v>1</v>
          </cell>
        </row>
        <row r="4446">
          <cell r="A4446" t="str">
            <v>M2</v>
          </cell>
          <cell r="B4446" t="str">
            <v>A5C</v>
          </cell>
          <cell r="C4446" t="str">
            <v>N</v>
          </cell>
          <cell r="D4446" t="str">
            <v>23628</v>
          </cell>
          <cell r="E4446" t="str">
            <v>CHECK VA</v>
          </cell>
          <cell r="F4446">
            <v>6</v>
          </cell>
          <cell r="G4446" t="str">
            <v>VCB8010400000T00</v>
          </cell>
          <cell r="H4446">
            <v>0.75</v>
          </cell>
          <cell r="I4446" t="str">
            <v>--</v>
          </cell>
          <cell r="J4446">
            <v>1</v>
          </cell>
          <cell r="K4446">
            <v>1</v>
          </cell>
        </row>
        <row r="4447">
          <cell r="A4447" t="str">
            <v>M2</v>
          </cell>
          <cell r="B4447" t="str">
            <v>A5C</v>
          </cell>
          <cell r="C4447" t="str">
            <v>N</v>
          </cell>
          <cell r="D4447" t="str">
            <v>23630</v>
          </cell>
          <cell r="E4447" t="str">
            <v>CHECK VA</v>
          </cell>
          <cell r="F4447">
            <v>6</v>
          </cell>
          <cell r="G4447" t="str">
            <v>VCB8010400000T00</v>
          </cell>
          <cell r="H4447">
            <v>0.75</v>
          </cell>
          <cell r="I4447" t="str">
            <v>--</v>
          </cell>
          <cell r="J4447">
            <v>1</v>
          </cell>
          <cell r="K4447">
            <v>1</v>
          </cell>
        </row>
        <row r="4448">
          <cell r="A4448" t="str">
            <v>M2</v>
          </cell>
          <cell r="B4448" t="str">
            <v>A5C</v>
          </cell>
          <cell r="C4448" t="str">
            <v>N</v>
          </cell>
          <cell r="D4448" t="str">
            <v>23629</v>
          </cell>
          <cell r="E4448" t="str">
            <v>CHECK VA</v>
          </cell>
          <cell r="F4448">
            <v>6</v>
          </cell>
          <cell r="G4448" t="str">
            <v>VCB8010400000T00</v>
          </cell>
          <cell r="H4448">
            <v>0.75</v>
          </cell>
          <cell r="I4448" t="str">
            <v>--</v>
          </cell>
          <cell r="J4448">
            <v>1</v>
          </cell>
          <cell r="K4448">
            <v>1</v>
          </cell>
        </row>
        <row r="4449">
          <cell r="A4449" t="str">
            <v>M2</v>
          </cell>
          <cell r="B4449" t="str">
            <v>A5C</v>
          </cell>
          <cell r="C4449" t="str">
            <v>N</v>
          </cell>
          <cell r="D4449" t="str">
            <v>24611</v>
          </cell>
          <cell r="E4449" t="str">
            <v>CHECK VA</v>
          </cell>
          <cell r="F4449">
            <v>6</v>
          </cell>
          <cell r="G4449" t="str">
            <v>VCB8010400000T00</v>
          </cell>
          <cell r="H4449">
            <v>0.75</v>
          </cell>
          <cell r="I4449" t="str">
            <v>--</v>
          </cell>
          <cell r="J4449">
            <v>1</v>
          </cell>
          <cell r="K4449">
            <v>1</v>
          </cell>
        </row>
        <row r="4450">
          <cell r="A4450" t="str">
            <v>M2</v>
          </cell>
          <cell r="B4450" t="str">
            <v>A5C</v>
          </cell>
          <cell r="C4450" t="str">
            <v>N</v>
          </cell>
          <cell r="D4450" t="str">
            <v>24612</v>
          </cell>
          <cell r="E4450" t="str">
            <v>CHECK VA</v>
          </cell>
          <cell r="F4450">
            <v>6</v>
          </cell>
          <cell r="G4450" t="str">
            <v>VCB8010400000T00</v>
          </cell>
          <cell r="H4450">
            <v>0.75</v>
          </cell>
          <cell r="I4450" t="str">
            <v>--</v>
          </cell>
          <cell r="J4450">
            <v>1</v>
          </cell>
          <cell r="K4450">
            <v>1</v>
          </cell>
        </row>
        <row r="4451">
          <cell r="A4451" t="str">
            <v>M2</v>
          </cell>
          <cell r="B4451" t="str">
            <v>A5C</v>
          </cell>
          <cell r="C4451" t="str">
            <v>N</v>
          </cell>
          <cell r="D4451" t="str">
            <v>23648</v>
          </cell>
          <cell r="E4451" t="str">
            <v>CHECK VA</v>
          </cell>
          <cell r="F4451">
            <v>6</v>
          </cell>
          <cell r="G4451" t="str">
            <v>VCB8010400000T00</v>
          </cell>
          <cell r="H4451">
            <v>0.75</v>
          </cell>
          <cell r="I4451" t="str">
            <v>--</v>
          </cell>
          <cell r="J4451">
            <v>1</v>
          </cell>
          <cell r="K4451">
            <v>1</v>
          </cell>
        </row>
        <row r="4452">
          <cell r="A4452" t="str">
            <v>M2</v>
          </cell>
          <cell r="B4452" t="str">
            <v>A5C</v>
          </cell>
          <cell r="C4452" t="str">
            <v>N</v>
          </cell>
          <cell r="D4452" t="str">
            <v>24613</v>
          </cell>
          <cell r="E4452" t="str">
            <v>CHECK VA</v>
          </cell>
          <cell r="F4452">
            <v>6</v>
          </cell>
          <cell r="G4452" t="str">
            <v>VCB8010400000T00</v>
          </cell>
          <cell r="H4452">
            <v>0.75</v>
          </cell>
          <cell r="I4452" t="str">
            <v>--</v>
          </cell>
          <cell r="J4452">
            <v>1</v>
          </cell>
          <cell r="K4452">
            <v>1</v>
          </cell>
        </row>
        <row r="4453">
          <cell r="A4453" t="str">
            <v>M2</v>
          </cell>
          <cell r="B4453" t="str">
            <v>A5C</v>
          </cell>
          <cell r="C4453" t="str">
            <v>P</v>
          </cell>
          <cell r="D4453" t="str">
            <v>23204</v>
          </cell>
          <cell r="E4453" t="str">
            <v>CHECK VA</v>
          </cell>
          <cell r="F4453">
            <v>6</v>
          </cell>
          <cell r="G4453" t="str">
            <v>VCB8010400000T00</v>
          </cell>
          <cell r="H4453">
            <v>0.75</v>
          </cell>
          <cell r="I4453" t="str">
            <v>--</v>
          </cell>
          <cell r="J4453">
            <v>1</v>
          </cell>
          <cell r="K4453">
            <v>1</v>
          </cell>
        </row>
        <row r="4454">
          <cell r="A4454" t="str">
            <v>M2</v>
          </cell>
          <cell r="B4454" t="str">
            <v>A5C</v>
          </cell>
          <cell r="C4454" t="str">
            <v>P</v>
          </cell>
          <cell r="D4454" t="str">
            <v>23207</v>
          </cell>
          <cell r="E4454" t="str">
            <v>CHECK VA</v>
          </cell>
          <cell r="F4454">
            <v>6</v>
          </cell>
          <cell r="G4454" t="str">
            <v>VCB8010400000T00</v>
          </cell>
          <cell r="H4454">
            <v>0.75</v>
          </cell>
          <cell r="I4454" t="str">
            <v>--</v>
          </cell>
          <cell r="J4454">
            <v>1</v>
          </cell>
          <cell r="K4454">
            <v>1</v>
          </cell>
        </row>
        <row r="4455">
          <cell r="A4455" t="str">
            <v>M2</v>
          </cell>
          <cell r="B4455" t="str">
            <v>A5C</v>
          </cell>
          <cell r="C4455" t="str">
            <v>P</v>
          </cell>
          <cell r="D4455" t="str">
            <v>23239</v>
          </cell>
          <cell r="E4455" t="str">
            <v>CHECK VA</v>
          </cell>
          <cell r="F4455">
            <v>6</v>
          </cell>
          <cell r="G4455" t="str">
            <v>VCB8010400000T00</v>
          </cell>
          <cell r="H4455">
            <v>0.75</v>
          </cell>
          <cell r="I4455" t="str">
            <v>--</v>
          </cell>
          <cell r="J4455">
            <v>1</v>
          </cell>
          <cell r="K4455">
            <v>1</v>
          </cell>
        </row>
        <row r="4456">
          <cell r="A4456" t="str">
            <v>M2</v>
          </cell>
          <cell r="B4456" t="str">
            <v>A5C</v>
          </cell>
          <cell r="C4456" t="str">
            <v>N</v>
          </cell>
          <cell r="D4456" t="str">
            <v>23621</v>
          </cell>
          <cell r="E4456" t="str">
            <v>CHECK VA</v>
          </cell>
          <cell r="F4456">
            <v>6</v>
          </cell>
          <cell r="G4456" t="str">
            <v>VCB8010400000T00</v>
          </cell>
          <cell r="H4456">
            <v>0.75</v>
          </cell>
          <cell r="I4456" t="str">
            <v>--</v>
          </cell>
          <cell r="J4456">
            <v>1</v>
          </cell>
          <cell r="K4456">
            <v>1</v>
          </cell>
        </row>
        <row r="4457">
          <cell r="A4457" t="str">
            <v>M2</v>
          </cell>
          <cell r="B4457" t="str">
            <v>A5C</v>
          </cell>
          <cell r="C4457" t="str">
            <v>N</v>
          </cell>
          <cell r="D4457" t="str">
            <v>23641</v>
          </cell>
          <cell r="E4457" t="str">
            <v>CHECK VA</v>
          </cell>
          <cell r="F4457">
            <v>6</v>
          </cell>
          <cell r="G4457" t="str">
            <v>VCB8010400000T00</v>
          </cell>
          <cell r="H4457">
            <v>0.75</v>
          </cell>
          <cell r="I4457" t="str">
            <v>--</v>
          </cell>
          <cell r="J4457">
            <v>1</v>
          </cell>
          <cell r="K4457">
            <v>1</v>
          </cell>
        </row>
        <row r="4458">
          <cell r="A4458" t="str">
            <v>M2</v>
          </cell>
          <cell r="B4458" t="str">
            <v>A5C</v>
          </cell>
          <cell r="C4458" t="str">
            <v>N</v>
          </cell>
          <cell r="D4458" t="str">
            <v>23642</v>
          </cell>
          <cell r="E4458" t="str">
            <v>CHECK VA</v>
          </cell>
          <cell r="F4458">
            <v>6</v>
          </cell>
          <cell r="G4458" t="str">
            <v>VCB8010400000T00</v>
          </cell>
          <cell r="H4458">
            <v>0.75</v>
          </cell>
          <cell r="I4458" t="str">
            <v>--</v>
          </cell>
          <cell r="J4458">
            <v>1</v>
          </cell>
          <cell r="K4458">
            <v>1</v>
          </cell>
        </row>
        <row r="4459">
          <cell r="A4459" t="str">
            <v>M2</v>
          </cell>
          <cell r="B4459" t="str">
            <v>A5C</v>
          </cell>
          <cell r="C4459" t="str">
            <v>N</v>
          </cell>
          <cell r="D4459" t="str">
            <v>23645</v>
          </cell>
          <cell r="E4459" t="str">
            <v>CHECK VA</v>
          </cell>
          <cell r="F4459">
            <v>6</v>
          </cell>
          <cell r="G4459" t="str">
            <v>VCB8010400000T00</v>
          </cell>
          <cell r="H4459">
            <v>0.75</v>
          </cell>
          <cell r="I4459" t="str">
            <v>--</v>
          </cell>
          <cell r="J4459">
            <v>1</v>
          </cell>
          <cell r="K4459">
            <v>1</v>
          </cell>
        </row>
        <row r="4460">
          <cell r="A4460" t="str">
            <v>M2</v>
          </cell>
          <cell r="B4460" t="str">
            <v>A5C</v>
          </cell>
          <cell r="C4460" t="str">
            <v>N</v>
          </cell>
          <cell r="D4460" t="str">
            <v>23646</v>
          </cell>
          <cell r="E4460" t="str">
            <v>CHECK VA</v>
          </cell>
          <cell r="F4460">
            <v>6</v>
          </cell>
          <cell r="G4460" t="str">
            <v>VCB8010400000T00</v>
          </cell>
          <cell r="H4460">
            <v>0.75</v>
          </cell>
          <cell r="I4460" t="str">
            <v>--</v>
          </cell>
          <cell r="J4460">
            <v>1</v>
          </cell>
          <cell r="K4460">
            <v>1</v>
          </cell>
        </row>
        <row r="4461">
          <cell r="A4461" t="str">
            <v>M2</v>
          </cell>
          <cell r="B4461" t="str">
            <v>A5C</v>
          </cell>
          <cell r="C4461" t="str">
            <v>N</v>
          </cell>
          <cell r="D4461" t="str">
            <v>24614</v>
          </cell>
          <cell r="E4461" t="str">
            <v>CHECK VA</v>
          </cell>
          <cell r="F4461">
            <v>6</v>
          </cell>
          <cell r="G4461" t="str">
            <v>VCB8010400000T00</v>
          </cell>
          <cell r="H4461">
            <v>0.75</v>
          </cell>
          <cell r="I4461" t="str">
            <v>--</v>
          </cell>
          <cell r="J4461">
            <v>1</v>
          </cell>
          <cell r="K4461">
            <v>1</v>
          </cell>
        </row>
        <row r="4462">
          <cell r="A4462" t="str">
            <v>M2</v>
          </cell>
          <cell r="B4462" t="str">
            <v>A5C</v>
          </cell>
          <cell r="C4462" t="str">
            <v>P</v>
          </cell>
          <cell r="D4462" t="str">
            <v>23205</v>
          </cell>
          <cell r="E4462" t="str">
            <v>CHECK VA</v>
          </cell>
          <cell r="F4462">
            <v>6</v>
          </cell>
          <cell r="G4462" t="str">
            <v>VCB8010400000T00</v>
          </cell>
          <cell r="H4462">
            <v>0.75</v>
          </cell>
          <cell r="I4462" t="str">
            <v>--</v>
          </cell>
          <cell r="J4462">
            <v>1</v>
          </cell>
          <cell r="K4462">
            <v>1</v>
          </cell>
        </row>
        <row r="4463">
          <cell r="A4463" t="str">
            <v>M2</v>
          </cell>
          <cell r="B4463" t="str">
            <v>A5C</v>
          </cell>
          <cell r="C4463" t="str">
            <v>P</v>
          </cell>
          <cell r="D4463" t="str">
            <v>23206</v>
          </cell>
          <cell r="E4463" t="str">
            <v>CHECK VA</v>
          </cell>
          <cell r="F4463">
            <v>6</v>
          </cell>
          <cell r="G4463" t="str">
            <v>VCB8010400000T00</v>
          </cell>
          <cell r="H4463">
            <v>0.75</v>
          </cell>
          <cell r="I4463" t="str">
            <v>--</v>
          </cell>
          <cell r="J4463">
            <v>1</v>
          </cell>
          <cell r="K4463">
            <v>1</v>
          </cell>
        </row>
        <row r="4464">
          <cell r="A4464" t="str">
            <v>M2</v>
          </cell>
          <cell r="B4464" t="str">
            <v>A5C</v>
          </cell>
          <cell r="C4464" t="str">
            <v>P</v>
          </cell>
          <cell r="D4464" t="str">
            <v>23208</v>
          </cell>
          <cell r="E4464" t="str">
            <v>CHECK VA</v>
          </cell>
          <cell r="F4464">
            <v>6</v>
          </cell>
          <cell r="G4464" t="str">
            <v>VCB8010400000T00</v>
          </cell>
          <cell r="H4464">
            <v>0.75</v>
          </cell>
          <cell r="I4464" t="str">
            <v>--</v>
          </cell>
          <cell r="J4464">
            <v>1</v>
          </cell>
          <cell r="K4464">
            <v>1</v>
          </cell>
        </row>
        <row r="4465">
          <cell r="A4465" t="str">
            <v>M2</v>
          </cell>
          <cell r="B4465" t="str">
            <v>A5C</v>
          </cell>
          <cell r="C4465" t="str">
            <v>P</v>
          </cell>
          <cell r="D4465" t="str">
            <v>23235</v>
          </cell>
          <cell r="E4465" t="str">
            <v>CHECK VA</v>
          </cell>
          <cell r="F4465">
            <v>6</v>
          </cell>
          <cell r="G4465" t="str">
            <v>VCB8010400000T00</v>
          </cell>
          <cell r="H4465">
            <v>0.75</v>
          </cell>
          <cell r="I4465" t="str">
            <v>--</v>
          </cell>
          <cell r="J4465">
            <v>1</v>
          </cell>
          <cell r="K4465">
            <v>1</v>
          </cell>
        </row>
        <row r="4466">
          <cell r="A4466" t="str">
            <v>M2</v>
          </cell>
          <cell r="B4466" t="str">
            <v>A5C</v>
          </cell>
          <cell r="C4466" t="str">
            <v>P</v>
          </cell>
          <cell r="D4466" t="str">
            <v>24006</v>
          </cell>
          <cell r="E4466" t="str">
            <v>GATE VA</v>
          </cell>
          <cell r="F4466">
            <v>6</v>
          </cell>
          <cell r="G4466" t="str">
            <v>VG8010100000T00</v>
          </cell>
          <cell r="H4466">
            <v>0.75</v>
          </cell>
          <cell r="I4466" t="str">
            <v>--</v>
          </cell>
          <cell r="J4466">
            <v>1</v>
          </cell>
          <cell r="K4466">
            <v>1</v>
          </cell>
        </row>
        <row r="4467">
          <cell r="A4467" t="str">
            <v>M2</v>
          </cell>
          <cell r="B4467" t="str">
            <v>A5C</v>
          </cell>
          <cell r="C4467" t="str">
            <v>N</v>
          </cell>
          <cell r="D4467" t="str">
            <v>23619</v>
          </cell>
          <cell r="E4467" t="str">
            <v>GLOBE VA</v>
          </cell>
          <cell r="F4467">
            <v>6</v>
          </cell>
          <cell r="G4467" t="str">
            <v>VL8010100000T00</v>
          </cell>
          <cell r="H4467">
            <v>0.75</v>
          </cell>
          <cell r="I4467" t="str">
            <v>--</v>
          </cell>
          <cell r="J4467">
            <v>1</v>
          </cell>
          <cell r="K4467">
            <v>1</v>
          </cell>
        </row>
        <row r="4468">
          <cell r="A4468" t="str">
            <v>M2</v>
          </cell>
          <cell r="B4468" t="str">
            <v>A5C</v>
          </cell>
          <cell r="C4468" t="str">
            <v>N</v>
          </cell>
          <cell r="D4468" t="str">
            <v>23642</v>
          </cell>
          <cell r="E4468" t="str">
            <v>GLOBE VA</v>
          </cell>
          <cell r="F4468">
            <v>6</v>
          </cell>
          <cell r="G4468" t="str">
            <v>VL8010100000T00</v>
          </cell>
          <cell r="H4468">
            <v>0.75</v>
          </cell>
          <cell r="I4468" t="str">
            <v>--</v>
          </cell>
          <cell r="J4468">
            <v>1</v>
          </cell>
          <cell r="K4468">
            <v>1</v>
          </cell>
        </row>
        <row r="4469">
          <cell r="A4469" t="str">
            <v>M2</v>
          </cell>
          <cell r="B4469" t="str">
            <v>A5C</v>
          </cell>
          <cell r="C4469" t="str">
            <v>N</v>
          </cell>
          <cell r="D4469" t="str">
            <v>23646</v>
          </cell>
          <cell r="E4469" t="str">
            <v>GLOBE VA</v>
          </cell>
          <cell r="F4469">
            <v>6</v>
          </cell>
          <cell r="G4469" t="str">
            <v>VL8010100000T00</v>
          </cell>
          <cell r="H4469">
            <v>0.75</v>
          </cell>
          <cell r="I4469" t="str">
            <v>--</v>
          </cell>
          <cell r="J4469">
            <v>1</v>
          </cell>
          <cell r="K4469">
            <v>1</v>
          </cell>
        </row>
        <row r="4470">
          <cell r="A4470" t="str">
            <v>M2</v>
          </cell>
          <cell r="B4470" t="str">
            <v>A5C</v>
          </cell>
          <cell r="C4470" t="str">
            <v>N</v>
          </cell>
          <cell r="D4470" t="str">
            <v>24611</v>
          </cell>
          <cell r="E4470" t="str">
            <v>GLOBE VA</v>
          </cell>
          <cell r="F4470">
            <v>6</v>
          </cell>
          <cell r="G4470" t="str">
            <v>VL8010100000T00</v>
          </cell>
          <cell r="H4470">
            <v>0.75</v>
          </cell>
          <cell r="I4470" t="str">
            <v>--</v>
          </cell>
          <cell r="J4470">
            <v>1</v>
          </cell>
          <cell r="K4470">
            <v>1</v>
          </cell>
        </row>
        <row r="4471">
          <cell r="A4471" t="str">
            <v>M2</v>
          </cell>
          <cell r="B4471" t="str">
            <v>A5C</v>
          </cell>
          <cell r="C4471" t="str">
            <v>N</v>
          </cell>
          <cell r="D4471" t="str">
            <v>23647</v>
          </cell>
          <cell r="E4471" t="str">
            <v>GLOBE VA</v>
          </cell>
          <cell r="F4471">
            <v>6</v>
          </cell>
          <cell r="G4471" t="str">
            <v>VL8010100000T00</v>
          </cell>
          <cell r="H4471">
            <v>0.75</v>
          </cell>
          <cell r="I4471" t="str">
            <v>--</v>
          </cell>
          <cell r="J4471">
            <v>2</v>
          </cell>
          <cell r="K4471">
            <v>2</v>
          </cell>
        </row>
        <row r="4472">
          <cell r="A4472" t="str">
            <v>M2</v>
          </cell>
          <cell r="B4472" t="str">
            <v>A5C</v>
          </cell>
          <cell r="C4472" t="str">
            <v>N</v>
          </cell>
          <cell r="D4472" t="str">
            <v>23648</v>
          </cell>
          <cell r="E4472" t="str">
            <v>GLOBE VA</v>
          </cell>
          <cell r="F4472">
            <v>6</v>
          </cell>
          <cell r="G4472" t="str">
            <v>VL8010100000T00</v>
          </cell>
          <cell r="H4472">
            <v>0.75</v>
          </cell>
          <cell r="I4472" t="str">
            <v>--</v>
          </cell>
          <cell r="J4472">
            <v>1</v>
          </cell>
          <cell r="K4472">
            <v>1</v>
          </cell>
        </row>
        <row r="4473">
          <cell r="A4473" t="str">
            <v>M2</v>
          </cell>
          <cell r="B4473" t="str">
            <v>A5C</v>
          </cell>
          <cell r="C4473" t="str">
            <v>N</v>
          </cell>
          <cell r="D4473" t="str">
            <v>24612</v>
          </cell>
          <cell r="E4473" t="str">
            <v>GLOBE VA</v>
          </cell>
          <cell r="F4473">
            <v>6</v>
          </cell>
          <cell r="G4473" t="str">
            <v>VL8010100000T00</v>
          </cell>
          <cell r="H4473">
            <v>0.75</v>
          </cell>
          <cell r="I4473" t="str">
            <v>--</v>
          </cell>
          <cell r="J4473">
            <v>1</v>
          </cell>
          <cell r="K4473">
            <v>1</v>
          </cell>
        </row>
        <row r="4474">
          <cell r="A4474" t="str">
            <v>M2</v>
          </cell>
          <cell r="B4474" t="str">
            <v>A5C</v>
          </cell>
          <cell r="C4474" t="str">
            <v>P</v>
          </cell>
          <cell r="D4474" t="str">
            <v>23037</v>
          </cell>
          <cell r="E4474" t="str">
            <v>GLOBE VA</v>
          </cell>
          <cell r="F4474">
            <v>6</v>
          </cell>
          <cell r="G4474" t="str">
            <v>VL8010100000T00</v>
          </cell>
          <cell r="H4474">
            <v>0.75</v>
          </cell>
          <cell r="I4474" t="str">
            <v>--</v>
          </cell>
          <cell r="J4474">
            <v>1</v>
          </cell>
          <cell r="K4474">
            <v>1</v>
          </cell>
        </row>
        <row r="4475">
          <cell r="A4475" t="str">
            <v>M2</v>
          </cell>
          <cell r="B4475" t="str">
            <v>A5C</v>
          </cell>
          <cell r="C4475" t="str">
            <v>P</v>
          </cell>
          <cell r="D4475" t="str">
            <v>23052</v>
          </cell>
          <cell r="E4475" t="str">
            <v>GLOBE VA</v>
          </cell>
          <cell r="F4475">
            <v>6</v>
          </cell>
          <cell r="G4475" t="str">
            <v>VL8010100000T00</v>
          </cell>
          <cell r="H4475">
            <v>0.75</v>
          </cell>
          <cell r="I4475" t="str">
            <v>--</v>
          </cell>
          <cell r="J4475">
            <v>1</v>
          </cell>
          <cell r="K4475">
            <v>1</v>
          </cell>
        </row>
        <row r="4476">
          <cell r="A4476" t="str">
            <v>M2</v>
          </cell>
          <cell r="B4476" t="str">
            <v>A5C</v>
          </cell>
          <cell r="C4476" t="str">
            <v>P</v>
          </cell>
          <cell r="D4476" t="str">
            <v>23081</v>
          </cell>
          <cell r="E4476" t="str">
            <v>GLOBE VA</v>
          </cell>
          <cell r="F4476">
            <v>6</v>
          </cell>
          <cell r="G4476" t="str">
            <v>VL8010100000T00</v>
          </cell>
          <cell r="H4476">
            <v>0.75</v>
          </cell>
          <cell r="I4476" t="str">
            <v>--</v>
          </cell>
          <cell r="J4476">
            <v>1</v>
          </cell>
          <cell r="K4476">
            <v>1</v>
          </cell>
        </row>
        <row r="4477">
          <cell r="A4477" t="str">
            <v>M2</v>
          </cell>
          <cell r="B4477" t="str">
            <v>A5C</v>
          </cell>
          <cell r="C4477" t="str">
            <v>P</v>
          </cell>
          <cell r="D4477" t="str">
            <v>23188</v>
          </cell>
          <cell r="E4477" t="str">
            <v>GLOBE VA</v>
          </cell>
          <cell r="F4477">
            <v>6</v>
          </cell>
          <cell r="G4477" t="str">
            <v>VL8010100000T00</v>
          </cell>
          <cell r="H4477">
            <v>0.75</v>
          </cell>
          <cell r="I4477" t="str">
            <v>--</v>
          </cell>
          <cell r="J4477">
            <v>1</v>
          </cell>
          <cell r="K4477">
            <v>1</v>
          </cell>
        </row>
        <row r="4478">
          <cell r="A4478" t="str">
            <v>M2</v>
          </cell>
          <cell r="B4478" t="str">
            <v>A5C</v>
          </cell>
          <cell r="C4478" t="str">
            <v>P</v>
          </cell>
          <cell r="D4478" t="str">
            <v>23247</v>
          </cell>
          <cell r="E4478" t="str">
            <v>GLOBE VA</v>
          </cell>
          <cell r="F4478">
            <v>6</v>
          </cell>
          <cell r="G4478" t="str">
            <v>VL8010100000T00</v>
          </cell>
          <cell r="H4478">
            <v>0.75</v>
          </cell>
          <cell r="I4478" t="str">
            <v>--</v>
          </cell>
          <cell r="J4478">
            <v>1</v>
          </cell>
          <cell r="K4478">
            <v>1</v>
          </cell>
        </row>
        <row r="4479">
          <cell r="A4479" t="str">
            <v>M2</v>
          </cell>
          <cell r="B4479" t="str">
            <v>A5C</v>
          </cell>
          <cell r="C4479" t="str">
            <v>P</v>
          </cell>
          <cell r="D4479" t="str">
            <v>24024</v>
          </cell>
          <cell r="E4479" t="str">
            <v>GLOBE VA</v>
          </cell>
          <cell r="F4479">
            <v>6</v>
          </cell>
          <cell r="G4479" t="str">
            <v>VL8010100000T00</v>
          </cell>
          <cell r="H4479">
            <v>0.75</v>
          </cell>
          <cell r="I4479" t="str">
            <v>--</v>
          </cell>
          <cell r="J4479">
            <v>1</v>
          </cell>
          <cell r="K4479">
            <v>1</v>
          </cell>
        </row>
        <row r="4480">
          <cell r="A4480" t="str">
            <v>M2</v>
          </cell>
          <cell r="B4480" t="str">
            <v>A5C</v>
          </cell>
          <cell r="C4480" t="str">
            <v>TRIM</v>
          </cell>
          <cell r="D4480" t="str">
            <v>V-2316</v>
          </cell>
          <cell r="E4480" t="str">
            <v>GLOBE VA</v>
          </cell>
          <cell r="F4480">
            <v>6</v>
          </cell>
          <cell r="G4480" t="str">
            <v>VL8010100000T00</v>
          </cell>
          <cell r="H4480">
            <v>0.75</v>
          </cell>
          <cell r="I4480" t="str">
            <v>--</v>
          </cell>
          <cell r="J4480">
            <v>1</v>
          </cell>
          <cell r="K4480">
            <v>1</v>
          </cell>
        </row>
        <row r="4481">
          <cell r="A4481" t="str">
            <v>M2</v>
          </cell>
          <cell r="B4481" t="str">
            <v>A5C</v>
          </cell>
          <cell r="C4481" t="str">
            <v>N</v>
          </cell>
          <cell r="D4481" t="str">
            <v>23613</v>
          </cell>
          <cell r="E4481" t="str">
            <v>GLOBE VA</v>
          </cell>
          <cell r="F4481">
            <v>6</v>
          </cell>
          <cell r="G4481" t="str">
            <v>VL8010100000T00</v>
          </cell>
          <cell r="H4481">
            <v>0.75</v>
          </cell>
          <cell r="I4481" t="str">
            <v>--</v>
          </cell>
          <cell r="J4481">
            <v>1</v>
          </cell>
          <cell r="K4481">
            <v>1</v>
          </cell>
        </row>
        <row r="4482">
          <cell r="A4482" t="str">
            <v>M2</v>
          </cell>
          <cell r="B4482" t="str">
            <v>A5C</v>
          </cell>
          <cell r="C4482" t="str">
            <v>N</v>
          </cell>
          <cell r="D4482" t="str">
            <v>23620</v>
          </cell>
          <cell r="E4482" t="str">
            <v>GLOBE VA</v>
          </cell>
          <cell r="F4482">
            <v>6</v>
          </cell>
          <cell r="G4482" t="str">
            <v>VL8010100000T00</v>
          </cell>
          <cell r="H4482">
            <v>0.75</v>
          </cell>
          <cell r="I4482" t="str">
            <v>--</v>
          </cell>
          <cell r="J4482">
            <v>1</v>
          </cell>
          <cell r="K4482">
            <v>1</v>
          </cell>
        </row>
        <row r="4483">
          <cell r="A4483" t="str">
            <v>M2</v>
          </cell>
          <cell r="B4483" t="str">
            <v>A5C</v>
          </cell>
          <cell r="C4483" t="str">
            <v>N</v>
          </cell>
          <cell r="D4483" t="str">
            <v>23621</v>
          </cell>
          <cell r="E4483" t="str">
            <v>GLOBE VA</v>
          </cell>
          <cell r="F4483">
            <v>6</v>
          </cell>
          <cell r="G4483" t="str">
            <v>VL8010100000T00</v>
          </cell>
          <cell r="H4483">
            <v>0.75</v>
          </cell>
          <cell r="I4483" t="str">
            <v>--</v>
          </cell>
          <cell r="J4483">
            <v>1</v>
          </cell>
          <cell r="K4483">
            <v>1</v>
          </cell>
        </row>
        <row r="4484">
          <cell r="A4484" t="str">
            <v>M2</v>
          </cell>
          <cell r="B4484" t="str">
            <v>A5C</v>
          </cell>
          <cell r="C4484" t="str">
            <v>N</v>
          </cell>
          <cell r="D4484" t="str">
            <v>24613</v>
          </cell>
          <cell r="E4484" t="str">
            <v>GLOBE VA</v>
          </cell>
          <cell r="F4484">
            <v>6</v>
          </cell>
          <cell r="G4484" t="str">
            <v>VL8010100000T00</v>
          </cell>
          <cell r="H4484">
            <v>0.75</v>
          </cell>
          <cell r="I4484" t="str">
            <v>--</v>
          </cell>
          <cell r="J4484">
            <v>1</v>
          </cell>
          <cell r="K4484">
            <v>1</v>
          </cell>
        </row>
        <row r="4485">
          <cell r="A4485" t="str">
            <v>M2</v>
          </cell>
          <cell r="B4485" t="str">
            <v>A5C</v>
          </cell>
          <cell r="C4485" t="str">
            <v>N</v>
          </cell>
          <cell r="D4485" t="str">
            <v>24614</v>
          </cell>
          <cell r="E4485" t="str">
            <v>GLOBE VA</v>
          </cell>
          <cell r="F4485">
            <v>6</v>
          </cell>
          <cell r="G4485" t="str">
            <v>VL8010100000T00</v>
          </cell>
          <cell r="H4485">
            <v>0.75</v>
          </cell>
          <cell r="I4485" t="str">
            <v>--</v>
          </cell>
          <cell r="J4485">
            <v>1</v>
          </cell>
          <cell r="K4485">
            <v>1</v>
          </cell>
        </row>
        <row r="4486">
          <cell r="A4486" t="str">
            <v>M2</v>
          </cell>
          <cell r="B4486" t="str">
            <v>A5C</v>
          </cell>
          <cell r="C4486" t="str">
            <v>P</v>
          </cell>
          <cell r="D4486" t="str">
            <v>23141</v>
          </cell>
          <cell r="E4486" t="str">
            <v>GLOBE VA</v>
          </cell>
          <cell r="F4486">
            <v>6</v>
          </cell>
          <cell r="G4486" t="str">
            <v>VL8010100000T00</v>
          </cell>
          <cell r="H4486">
            <v>0.75</v>
          </cell>
          <cell r="I4486" t="str">
            <v>--</v>
          </cell>
          <cell r="J4486">
            <v>1</v>
          </cell>
          <cell r="K4486">
            <v>1</v>
          </cell>
        </row>
        <row r="4487">
          <cell r="A4487" t="str">
            <v>M2</v>
          </cell>
          <cell r="B4487" t="str">
            <v>A5C</v>
          </cell>
          <cell r="C4487" t="str">
            <v>P</v>
          </cell>
          <cell r="D4487" t="str">
            <v>23149</v>
          </cell>
          <cell r="E4487" t="str">
            <v>GLOBE VA</v>
          </cell>
          <cell r="F4487">
            <v>6</v>
          </cell>
          <cell r="G4487" t="str">
            <v>VL8010100000T00</v>
          </cell>
          <cell r="H4487">
            <v>0.75</v>
          </cell>
          <cell r="I4487" t="str">
            <v>--</v>
          </cell>
          <cell r="J4487">
            <v>1</v>
          </cell>
          <cell r="K4487">
            <v>1</v>
          </cell>
        </row>
        <row r="4488">
          <cell r="A4488" t="str">
            <v>M2</v>
          </cell>
          <cell r="B4488" t="str">
            <v>A5C</v>
          </cell>
          <cell r="C4488" t="str">
            <v>P</v>
          </cell>
          <cell r="D4488" t="str">
            <v>23225</v>
          </cell>
          <cell r="E4488" t="str">
            <v>GLOBE VA</v>
          </cell>
          <cell r="F4488">
            <v>6</v>
          </cell>
          <cell r="G4488" t="str">
            <v>VL8010100000T00</v>
          </cell>
          <cell r="H4488">
            <v>0.75</v>
          </cell>
          <cell r="I4488" t="str">
            <v>--</v>
          </cell>
          <cell r="J4488">
            <v>1</v>
          </cell>
          <cell r="K4488">
            <v>1</v>
          </cell>
        </row>
        <row r="4489">
          <cell r="A4489" t="str">
            <v>M2</v>
          </cell>
          <cell r="B4489" t="str">
            <v>A5C</v>
          </cell>
          <cell r="C4489" t="str">
            <v>P</v>
          </cell>
          <cell r="D4489" t="str">
            <v>23059</v>
          </cell>
          <cell r="E4489" t="str">
            <v>BALL VA</v>
          </cell>
          <cell r="F4489">
            <v>6</v>
          </cell>
          <cell r="G4489" t="str">
            <v>VB8010600000T00</v>
          </cell>
          <cell r="H4489">
            <v>0.75</v>
          </cell>
          <cell r="I4489" t="str">
            <v>--</v>
          </cell>
          <cell r="J4489">
            <v>2</v>
          </cell>
          <cell r="K4489">
            <v>2</v>
          </cell>
        </row>
        <row r="4490">
          <cell r="A4490" t="str">
            <v>M2</v>
          </cell>
          <cell r="B4490" t="str">
            <v>A5C</v>
          </cell>
          <cell r="C4490" t="str">
            <v>P</v>
          </cell>
          <cell r="D4490" t="str">
            <v>23059</v>
          </cell>
          <cell r="E4490" t="str">
            <v>BALL VA</v>
          </cell>
          <cell r="F4490">
            <v>6</v>
          </cell>
          <cell r="G4490" t="str">
            <v>VB8010600000T00</v>
          </cell>
          <cell r="H4490">
            <v>0.75</v>
          </cell>
          <cell r="I4490" t="str">
            <v>--</v>
          </cell>
          <cell r="J4490">
            <v>2</v>
          </cell>
          <cell r="K4490">
            <v>2</v>
          </cell>
        </row>
        <row r="4491">
          <cell r="A4491" t="str">
            <v>M2</v>
          </cell>
          <cell r="B4491" t="str">
            <v>A5C</v>
          </cell>
          <cell r="C4491" t="str">
            <v>P</v>
          </cell>
          <cell r="D4491" t="str">
            <v>23059</v>
          </cell>
          <cell r="E4491" t="str">
            <v>BALL VA</v>
          </cell>
          <cell r="F4491">
            <v>6</v>
          </cell>
          <cell r="G4491" t="str">
            <v>VB8010600000T00</v>
          </cell>
          <cell r="H4491">
            <v>0.75</v>
          </cell>
          <cell r="I4491" t="str">
            <v>--</v>
          </cell>
          <cell r="J4491">
            <v>3</v>
          </cell>
          <cell r="K4491">
            <v>3</v>
          </cell>
        </row>
        <row r="4492">
          <cell r="A4492" t="str">
            <v>M2</v>
          </cell>
          <cell r="B4492" t="str">
            <v>A5C</v>
          </cell>
          <cell r="C4492" t="str">
            <v>P</v>
          </cell>
          <cell r="D4492" t="str">
            <v>23183</v>
          </cell>
          <cell r="E4492" t="str">
            <v>BALL VA</v>
          </cell>
          <cell r="F4492">
            <v>6</v>
          </cell>
          <cell r="G4492" t="str">
            <v>VB8010600000T00</v>
          </cell>
          <cell r="H4492">
            <v>0.75</v>
          </cell>
          <cell r="I4492" t="str">
            <v>--</v>
          </cell>
          <cell r="J4492">
            <v>1</v>
          </cell>
          <cell r="K4492">
            <v>1</v>
          </cell>
        </row>
        <row r="4493">
          <cell r="A4493" t="str">
            <v>M2</v>
          </cell>
          <cell r="B4493" t="str">
            <v>A5C</v>
          </cell>
          <cell r="C4493" t="str">
            <v>P</v>
          </cell>
          <cell r="D4493" t="str">
            <v>23264</v>
          </cell>
          <cell r="E4493" t="str">
            <v>BALL VA</v>
          </cell>
          <cell r="F4493">
            <v>6</v>
          </cell>
          <cell r="G4493" t="str">
            <v>VB8010600000T00</v>
          </cell>
          <cell r="H4493">
            <v>0.75</v>
          </cell>
          <cell r="I4493" t="str">
            <v>--</v>
          </cell>
          <cell r="J4493">
            <v>1</v>
          </cell>
          <cell r="K4493">
            <v>1</v>
          </cell>
        </row>
        <row r="4494">
          <cell r="A4494" t="str">
            <v>M2</v>
          </cell>
          <cell r="B4494" t="str">
            <v>A5C</v>
          </cell>
          <cell r="C4494" t="str">
            <v>P</v>
          </cell>
          <cell r="D4494" t="str">
            <v>23264</v>
          </cell>
          <cell r="E4494" t="str">
            <v>BALL VA</v>
          </cell>
          <cell r="F4494">
            <v>6</v>
          </cell>
          <cell r="G4494" t="str">
            <v>VB8010600000T00</v>
          </cell>
          <cell r="H4494">
            <v>0.75</v>
          </cell>
          <cell r="I4494" t="str">
            <v>--</v>
          </cell>
          <cell r="J4494">
            <v>1</v>
          </cell>
          <cell r="K4494">
            <v>1</v>
          </cell>
        </row>
        <row r="4495">
          <cell r="A4495" t="str">
            <v>M2</v>
          </cell>
          <cell r="B4495" t="str">
            <v>A5C</v>
          </cell>
          <cell r="C4495" t="str">
            <v>TRIM</v>
          </cell>
          <cell r="D4495" t="str">
            <v>V-2352</v>
          </cell>
          <cell r="E4495" t="str">
            <v>BALL VA</v>
          </cell>
          <cell r="F4495">
            <v>6</v>
          </cell>
          <cell r="G4495" t="str">
            <v>VB8010600000T00</v>
          </cell>
          <cell r="H4495">
            <v>0.75</v>
          </cell>
          <cell r="I4495" t="str">
            <v>--</v>
          </cell>
          <cell r="J4495">
            <v>2</v>
          </cell>
          <cell r="K4495">
            <v>2</v>
          </cell>
        </row>
        <row r="4496">
          <cell r="A4496" t="str">
            <v>M2</v>
          </cell>
          <cell r="B4496" t="str">
            <v>A5C</v>
          </cell>
          <cell r="C4496" t="str">
            <v>TRIM</v>
          </cell>
          <cell r="D4496" t="str">
            <v>V-2352</v>
          </cell>
          <cell r="E4496" t="str">
            <v>BALL VA</v>
          </cell>
          <cell r="F4496">
            <v>6</v>
          </cell>
          <cell r="G4496" t="str">
            <v>VB8010600000T00</v>
          </cell>
          <cell r="H4496">
            <v>0.75</v>
          </cell>
          <cell r="I4496" t="str">
            <v>--</v>
          </cell>
          <cell r="J4496">
            <v>3</v>
          </cell>
          <cell r="K4496">
            <v>3</v>
          </cell>
        </row>
        <row r="4497">
          <cell r="A4497" t="str">
            <v>M2</v>
          </cell>
          <cell r="B4497" t="str">
            <v>A5C</v>
          </cell>
          <cell r="C4497" t="str">
            <v>P</v>
          </cell>
          <cell r="D4497" t="str">
            <v>23059</v>
          </cell>
          <cell r="E4497" t="str">
            <v>GLOBE VA</v>
          </cell>
          <cell r="F4497">
            <v>6</v>
          </cell>
          <cell r="G4497" t="str">
            <v>VL8010100000T00</v>
          </cell>
          <cell r="H4497">
            <v>0.75</v>
          </cell>
          <cell r="I4497" t="str">
            <v>--</v>
          </cell>
          <cell r="J4497">
            <v>1</v>
          </cell>
          <cell r="K4497">
            <v>1</v>
          </cell>
        </row>
        <row r="4498">
          <cell r="A4498" t="str">
            <v>M2</v>
          </cell>
          <cell r="B4498" t="str">
            <v>A5C</v>
          </cell>
          <cell r="C4498" t="str">
            <v>TRIM</v>
          </cell>
          <cell r="D4498" t="str">
            <v>C-2303</v>
          </cell>
          <cell r="E4498" t="str">
            <v>BALL VA</v>
          </cell>
          <cell r="F4498">
            <v>6</v>
          </cell>
          <cell r="G4498" t="str">
            <v>VB8010600000T00</v>
          </cell>
          <cell r="H4498">
            <v>0.75</v>
          </cell>
          <cell r="I4498" t="str">
            <v>--</v>
          </cell>
          <cell r="J4498">
            <v>4</v>
          </cell>
          <cell r="K4498">
            <v>4</v>
          </cell>
        </row>
        <row r="4499">
          <cell r="A4499" t="str">
            <v>M2</v>
          </cell>
          <cell r="B4499" t="str">
            <v>A5C</v>
          </cell>
          <cell r="C4499" t="str">
            <v>P</v>
          </cell>
          <cell r="D4499" t="str">
            <v>23018</v>
          </cell>
          <cell r="E4499" t="str">
            <v>BALL VA</v>
          </cell>
          <cell r="F4499">
            <v>6</v>
          </cell>
          <cell r="G4499" t="str">
            <v>VB8010600000T00</v>
          </cell>
          <cell r="H4499">
            <v>0.75</v>
          </cell>
          <cell r="I4499" t="str">
            <v>--</v>
          </cell>
          <cell r="J4499">
            <v>2</v>
          </cell>
          <cell r="K4499">
            <v>2</v>
          </cell>
        </row>
        <row r="4500">
          <cell r="A4500" t="str">
            <v>M2</v>
          </cell>
          <cell r="B4500" t="str">
            <v>A5C</v>
          </cell>
          <cell r="C4500" t="str">
            <v>P</v>
          </cell>
          <cell r="D4500" t="str">
            <v>23018</v>
          </cell>
          <cell r="E4500" t="str">
            <v>BALL VA</v>
          </cell>
          <cell r="F4500">
            <v>6</v>
          </cell>
          <cell r="G4500" t="str">
            <v>VB8010600000T00</v>
          </cell>
          <cell r="H4500">
            <v>0.75</v>
          </cell>
          <cell r="I4500" t="str">
            <v>--</v>
          </cell>
          <cell r="J4500">
            <v>1</v>
          </cell>
          <cell r="K4500">
            <v>1</v>
          </cell>
        </row>
        <row r="4501">
          <cell r="A4501" t="str">
            <v>M2</v>
          </cell>
          <cell r="B4501" t="str">
            <v>A5C</v>
          </cell>
          <cell r="C4501" t="str">
            <v>P</v>
          </cell>
          <cell r="D4501" t="str">
            <v>23018</v>
          </cell>
          <cell r="E4501" t="str">
            <v>BALL VA</v>
          </cell>
          <cell r="F4501">
            <v>6</v>
          </cell>
          <cell r="G4501" t="str">
            <v>VB8010600000T00</v>
          </cell>
          <cell r="H4501">
            <v>0.75</v>
          </cell>
          <cell r="I4501" t="str">
            <v>--</v>
          </cell>
          <cell r="J4501">
            <v>1</v>
          </cell>
          <cell r="K4501">
            <v>1</v>
          </cell>
        </row>
        <row r="4502">
          <cell r="A4502" t="str">
            <v>M2</v>
          </cell>
          <cell r="B4502" t="str">
            <v>A5C</v>
          </cell>
          <cell r="C4502" t="str">
            <v>P</v>
          </cell>
          <cell r="D4502" t="str">
            <v>23019</v>
          </cell>
          <cell r="E4502" t="str">
            <v>BALL VA</v>
          </cell>
          <cell r="F4502">
            <v>6</v>
          </cell>
          <cell r="G4502" t="str">
            <v>VB8010600000T00</v>
          </cell>
          <cell r="H4502">
            <v>0.75</v>
          </cell>
          <cell r="I4502" t="str">
            <v>--</v>
          </cell>
          <cell r="J4502">
            <v>2</v>
          </cell>
          <cell r="K4502">
            <v>2</v>
          </cell>
        </row>
        <row r="4503">
          <cell r="A4503" t="str">
            <v>M2</v>
          </cell>
          <cell r="B4503" t="str">
            <v>A5C</v>
          </cell>
          <cell r="C4503" t="str">
            <v>P</v>
          </cell>
          <cell r="D4503" t="str">
            <v>23019</v>
          </cell>
          <cell r="E4503" t="str">
            <v>BALL VA</v>
          </cell>
          <cell r="F4503">
            <v>6</v>
          </cell>
          <cell r="G4503" t="str">
            <v>VB8010600000T00</v>
          </cell>
          <cell r="H4503">
            <v>0.75</v>
          </cell>
          <cell r="I4503" t="str">
            <v>--</v>
          </cell>
          <cell r="J4503">
            <v>2</v>
          </cell>
          <cell r="K4503">
            <v>2</v>
          </cell>
        </row>
        <row r="4504">
          <cell r="A4504" t="str">
            <v>M2</v>
          </cell>
          <cell r="B4504" t="str">
            <v>A5C</v>
          </cell>
          <cell r="C4504" t="str">
            <v>P</v>
          </cell>
          <cell r="D4504" t="str">
            <v>23020</v>
          </cell>
          <cell r="E4504" t="str">
            <v>BALL VA</v>
          </cell>
          <cell r="F4504">
            <v>6</v>
          </cell>
          <cell r="G4504" t="str">
            <v>VB8010600000T00</v>
          </cell>
          <cell r="H4504">
            <v>0.75</v>
          </cell>
          <cell r="I4504" t="str">
            <v>--</v>
          </cell>
          <cell r="J4504">
            <v>1</v>
          </cell>
          <cell r="K4504">
            <v>1</v>
          </cell>
        </row>
        <row r="4505">
          <cell r="A4505" t="str">
            <v>M2</v>
          </cell>
          <cell r="B4505" t="str">
            <v>A5C</v>
          </cell>
          <cell r="C4505" t="str">
            <v>P</v>
          </cell>
          <cell r="D4505" t="str">
            <v>23024</v>
          </cell>
          <cell r="E4505" t="str">
            <v>BALL VA</v>
          </cell>
          <cell r="F4505">
            <v>6</v>
          </cell>
          <cell r="G4505" t="str">
            <v>VB8010600000T00</v>
          </cell>
          <cell r="H4505">
            <v>0.75</v>
          </cell>
          <cell r="I4505" t="str">
            <v>--</v>
          </cell>
          <cell r="J4505">
            <v>2</v>
          </cell>
          <cell r="K4505">
            <v>2</v>
          </cell>
        </row>
        <row r="4506">
          <cell r="A4506" t="str">
            <v>M2</v>
          </cell>
          <cell r="B4506" t="str">
            <v>A5C</v>
          </cell>
          <cell r="C4506" t="str">
            <v>P</v>
          </cell>
          <cell r="D4506" t="str">
            <v>23024</v>
          </cell>
          <cell r="E4506" t="str">
            <v>BALL VA</v>
          </cell>
          <cell r="F4506">
            <v>6</v>
          </cell>
          <cell r="G4506" t="str">
            <v>VB8010600000T00</v>
          </cell>
          <cell r="H4506">
            <v>0.75</v>
          </cell>
          <cell r="I4506" t="str">
            <v>--</v>
          </cell>
          <cell r="J4506">
            <v>2</v>
          </cell>
          <cell r="K4506">
            <v>2</v>
          </cell>
        </row>
        <row r="4507">
          <cell r="A4507" t="str">
            <v>M2</v>
          </cell>
          <cell r="B4507" t="str">
            <v>A5C</v>
          </cell>
          <cell r="C4507" t="str">
            <v>P</v>
          </cell>
          <cell r="D4507" t="str">
            <v>23027</v>
          </cell>
          <cell r="E4507" t="str">
            <v>BALL VA</v>
          </cell>
          <cell r="F4507">
            <v>6</v>
          </cell>
          <cell r="G4507" t="str">
            <v>VB8010600000T00</v>
          </cell>
          <cell r="H4507">
            <v>0.75</v>
          </cell>
          <cell r="I4507" t="str">
            <v>--</v>
          </cell>
          <cell r="J4507">
            <v>1</v>
          </cell>
          <cell r="K4507">
            <v>1</v>
          </cell>
        </row>
        <row r="4508">
          <cell r="A4508" t="str">
            <v>M2</v>
          </cell>
          <cell r="B4508" t="str">
            <v>A5C</v>
          </cell>
          <cell r="C4508" t="str">
            <v>P</v>
          </cell>
          <cell r="D4508" t="str">
            <v>23027</v>
          </cell>
          <cell r="E4508" t="str">
            <v>BALL VA</v>
          </cell>
          <cell r="F4508">
            <v>6</v>
          </cell>
          <cell r="G4508" t="str">
            <v>VB8010600000T00</v>
          </cell>
          <cell r="H4508">
            <v>0.75</v>
          </cell>
          <cell r="I4508" t="str">
            <v>--</v>
          </cell>
          <cell r="J4508">
            <v>2</v>
          </cell>
          <cell r="K4508">
            <v>2</v>
          </cell>
        </row>
        <row r="4509">
          <cell r="A4509" t="str">
            <v>M2</v>
          </cell>
          <cell r="B4509" t="str">
            <v>A5C</v>
          </cell>
          <cell r="C4509" t="str">
            <v>P</v>
          </cell>
          <cell r="D4509" t="str">
            <v>23028</v>
          </cell>
          <cell r="E4509" t="str">
            <v>BALL VA</v>
          </cell>
          <cell r="F4509">
            <v>6</v>
          </cell>
          <cell r="G4509" t="str">
            <v>VB8010600000T00</v>
          </cell>
          <cell r="H4509">
            <v>0.75</v>
          </cell>
          <cell r="I4509" t="str">
            <v>--</v>
          </cell>
          <cell r="J4509">
            <v>3</v>
          </cell>
          <cell r="K4509">
            <v>3</v>
          </cell>
        </row>
        <row r="4510">
          <cell r="A4510" t="str">
            <v>M2</v>
          </cell>
          <cell r="B4510" t="str">
            <v>A5C</v>
          </cell>
          <cell r="C4510" t="str">
            <v>P</v>
          </cell>
          <cell r="D4510" t="str">
            <v>23029</v>
          </cell>
          <cell r="E4510" t="str">
            <v>BALL VA</v>
          </cell>
          <cell r="F4510">
            <v>6</v>
          </cell>
          <cell r="G4510" t="str">
            <v>VB8010600000T00</v>
          </cell>
          <cell r="H4510">
            <v>0.75</v>
          </cell>
          <cell r="I4510" t="str">
            <v>--</v>
          </cell>
          <cell r="J4510">
            <v>2</v>
          </cell>
          <cell r="K4510">
            <v>2</v>
          </cell>
        </row>
        <row r="4511">
          <cell r="A4511" t="str">
            <v>M2</v>
          </cell>
          <cell r="B4511" t="str">
            <v>A5C</v>
          </cell>
          <cell r="C4511" t="str">
            <v>P</v>
          </cell>
          <cell r="D4511" t="str">
            <v>23029</v>
          </cell>
          <cell r="E4511" t="str">
            <v>BALL VA</v>
          </cell>
          <cell r="F4511">
            <v>6</v>
          </cell>
          <cell r="G4511" t="str">
            <v>VB8010600000T00</v>
          </cell>
          <cell r="H4511">
            <v>0.75</v>
          </cell>
          <cell r="I4511" t="str">
            <v>--</v>
          </cell>
          <cell r="J4511">
            <v>1</v>
          </cell>
          <cell r="K4511">
            <v>1</v>
          </cell>
        </row>
        <row r="4512">
          <cell r="A4512" t="str">
            <v>M2</v>
          </cell>
          <cell r="B4512" t="str">
            <v>A5C</v>
          </cell>
          <cell r="C4512" t="str">
            <v>P</v>
          </cell>
          <cell r="D4512" t="str">
            <v>23032</v>
          </cell>
          <cell r="E4512" t="str">
            <v>BALL VA</v>
          </cell>
          <cell r="F4512">
            <v>6</v>
          </cell>
          <cell r="G4512" t="str">
            <v>VB8010600000T00</v>
          </cell>
          <cell r="H4512">
            <v>0.75</v>
          </cell>
          <cell r="I4512" t="str">
            <v>--</v>
          </cell>
          <cell r="J4512">
            <v>2</v>
          </cell>
          <cell r="K4512">
            <v>2</v>
          </cell>
        </row>
        <row r="4513">
          <cell r="A4513" t="str">
            <v>M2</v>
          </cell>
          <cell r="B4513" t="str">
            <v>A5C</v>
          </cell>
          <cell r="C4513" t="str">
            <v>P</v>
          </cell>
          <cell r="D4513" t="str">
            <v>23033</v>
          </cell>
          <cell r="E4513" t="str">
            <v>BALL VA</v>
          </cell>
          <cell r="F4513">
            <v>6</v>
          </cell>
          <cell r="G4513" t="str">
            <v>VB8010600000T00</v>
          </cell>
          <cell r="H4513">
            <v>0.75</v>
          </cell>
          <cell r="I4513" t="str">
            <v>--</v>
          </cell>
          <cell r="J4513">
            <v>2</v>
          </cell>
          <cell r="K4513">
            <v>2</v>
          </cell>
        </row>
        <row r="4514">
          <cell r="A4514" t="str">
            <v>M2</v>
          </cell>
          <cell r="B4514" t="str">
            <v>A5C</v>
          </cell>
          <cell r="C4514" t="str">
            <v>P</v>
          </cell>
          <cell r="D4514" t="str">
            <v>23039</v>
          </cell>
          <cell r="E4514" t="str">
            <v>BALL VA</v>
          </cell>
          <cell r="F4514">
            <v>6</v>
          </cell>
          <cell r="G4514" t="str">
            <v>VB8010600000T00</v>
          </cell>
          <cell r="H4514">
            <v>0.75</v>
          </cell>
          <cell r="I4514" t="str">
            <v>--</v>
          </cell>
          <cell r="J4514">
            <v>2</v>
          </cell>
          <cell r="K4514">
            <v>2</v>
          </cell>
        </row>
        <row r="4515">
          <cell r="A4515" t="str">
            <v>M2</v>
          </cell>
          <cell r="B4515" t="str">
            <v>A5C</v>
          </cell>
          <cell r="C4515" t="str">
            <v>P</v>
          </cell>
          <cell r="D4515" t="str">
            <v>23039</v>
          </cell>
          <cell r="E4515" t="str">
            <v>BALL VA</v>
          </cell>
          <cell r="F4515">
            <v>6</v>
          </cell>
          <cell r="G4515" t="str">
            <v>VB8010600000T00</v>
          </cell>
          <cell r="H4515">
            <v>0.75</v>
          </cell>
          <cell r="I4515" t="str">
            <v>--</v>
          </cell>
          <cell r="J4515">
            <v>2</v>
          </cell>
          <cell r="K4515">
            <v>2</v>
          </cell>
        </row>
        <row r="4516">
          <cell r="A4516" t="str">
            <v>M2</v>
          </cell>
          <cell r="B4516" t="str">
            <v>A5C</v>
          </cell>
          <cell r="C4516" t="str">
            <v>P</v>
          </cell>
          <cell r="D4516" t="str">
            <v>23039</v>
          </cell>
          <cell r="E4516" t="str">
            <v>BALL VA</v>
          </cell>
          <cell r="F4516">
            <v>6</v>
          </cell>
          <cell r="G4516" t="str">
            <v>VB8010600000T00</v>
          </cell>
          <cell r="H4516">
            <v>0.75</v>
          </cell>
          <cell r="I4516" t="str">
            <v>--</v>
          </cell>
          <cell r="J4516">
            <v>1</v>
          </cell>
          <cell r="K4516">
            <v>1</v>
          </cell>
        </row>
        <row r="4517">
          <cell r="A4517" t="str">
            <v>M2</v>
          </cell>
          <cell r="B4517" t="str">
            <v>A5C</v>
          </cell>
          <cell r="C4517" t="str">
            <v>P</v>
          </cell>
          <cell r="D4517" t="str">
            <v>23048</v>
          </cell>
          <cell r="E4517" t="str">
            <v>BALL VA</v>
          </cell>
          <cell r="F4517">
            <v>6</v>
          </cell>
          <cell r="G4517" t="str">
            <v>VB8010600000T00</v>
          </cell>
          <cell r="H4517">
            <v>0.75</v>
          </cell>
          <cell r="I4517" t="str">
            <v>--</v>
          </cell>
          <cell r="J4517">
            <v>2</v>
          </cell>
          <cell r="K4517">
            <v>2</v>
          </cell>
        </row>
        <row r="4518">
          <cell r="A4518" t="str">
            <v>M2</v>
          </cell>
          <cell r="B4518" t="str">
            <v>A5C</v>
          </cell>
          <cell r="C4518" t="str">
            <v>P</v>
          </cell>
          <cell r="D4518" t="str">
            <v>23048</v>
          </cell>
          <cell r="E4518" t="str">
            <v>BALL VA</v>
          </cell>
          <cell r="F4518">
            <v>6</v>
          </cell>
          <cell r="G4518" t="str">
            <v>VB8010600000T00</v>
          </cell>
          <cell r="H4518">
            <v>0.75</v>
          </cell>
          <cell r="I4518" t="str">
            <v>--</v>
          </cell>
          <cell r="J4518">
            <v>2</v>
          </cell>
          <cell r="K4518">
            <v>2</v>
          </cell>
        </row>
        <row r="4519">
          <cell r="A4519" t="str">
            <v>M2</v>
          </cell>
          <cell r="B4519" t="str">
            <v>A5C</v>
          </cell>
          <cell r="C4519" t="str">
            <v>P</v>
          </cell>
          <cell r="D4519" t="str">
            <v>23048</v>
          </cell>
          <cell r="E4519" t="str">
            <v>BALL VA</v>
          </cell>
          <cell r="F4519">
            <v>6</v>
          </cell>
          <cell r="G4519" t="str">
            <v>VB8010600000T00</v>
          </cell>
          <cell r="H4519">
            <v>0.75</v>
          </cell>
          <cell r="I4519" t="str">
            <v>--</v>
          </cell>
          <cell r="J4519">
            <v>3</v>
          </cell>
          <cell r="K4519">
            <v>3</v>
          </cell>
        </row>
        <row r="4520">
          <cell r="A4520" t="str">
            <v>M2</v>
          </cell>
          <cell r="B4520" t="str">
            <v>A5C</v>
          </cell>
          <cell r="C4520" t="str">
            <v>P</v>
          </cell>
          <cell r="D4520" t="str">
            <v>23051</v>
          </cell>
          <cell r="E4520" t="str">
            <v>BALL VA</v>
          </cell>
          <cell r="F4520">
            <v>6</v>
          </cell>
          <cell r="G4520" t="str">
            <v>VB8010600000T00</v>
          </cell>
          <cell r="H4520">
            <v>0.75</v>
          </cell>
          <cell r="I4520" t="str">
            <v>--</v>
          </cell>
          <cell r="J4520">
            <v>2</v>
          </cell>
          <cell r="K4520">
            <v>2</v>
          </cell>
        </row>
        <row r="4521">
          <cell r="A4521" t="str">
            <v>M2</v>
          </cell>
          <cell r="B4521" t="str">
            <v>A5C</v>
          </cell>
          <cell r="C4521" t="str">
            <v>P</v>
          </cell>
          <cell r="D4521" t="str">
            <v>23053</v>
          </cell>
          <cell r="E4521" t="str">
            <v>BALL VA</v>
          </cell>
          <cell r="F4521">
            <v>6</v>
          </cell>
          <cell r="G4521" t="str">
            <v>VB8010600000T00</v>
          </cell>
          <cell r="H4521">
            <v>0.75</v>
          </cell>
          <cell r="I4521" t="str">
            <v>--</v>
          </cell>
          <cell r="J4521">
            <v>2</v>
          </cell>
          <cell r="K4521">
            <v>2</v>
          </cell>
        </row>
        <row r="4522">
          <cell r="A4522" t="str">
            <v>M2</v>
          </cell>
          <cell r="B4522" t="str">
            <v>A5C</v>
          </cell>
          <cell r="C4522" t="str">
            <v>P</v>
          </cell>
          <cell r="D4522" t="str">
            <v>23053</v>
          </cell>
          <cell r="E4522" t="str">
            <v>BALL VA</v>
          </cell>
          <cell r="F4522">
            <v>6</v>
          </cell>
          <cell r="G4522" t="str">
            <v>VB8010600000T00</v>
          </cell>
          <cell r="H4522">
            <v>0.75</v>
          </cell>
          <cell r="I4522" t="str">
            <v>--</v>
          </cell>
          <cell r="J4522">
            <v>2</v>
          </cell>
          <cell r="K4522">
            <v>2</v>
          </cell>
        </row>
        <row r="4523">
          <cell r="A4523" t="str">
            <v>M2</v>
          </cell>
          <cell r="B4523" t="str">
            <v>A5C</v>
          </cell>
          <cell r="C4523" t="str">
            <v>P</v>
          </cell>
          <cell r="D4523" t="str">
            <v>23053</v>
          </cell>
          <cell r="E4523" t="str">
            <v>BALL VA</v>
          </cell>
          <cell r="F4523">
            <v>6</v>
          </cell>
          <cell r="G4523" t="str">
            <v>VB8010600000T00</v>
          </cell>
          <cell r="H4523">
            <v>0.75</v>
          </cell>
          <cell r="I4523" t="str">
            <v>--</v>
          </cell>
          <cell r="J4523">
            <v>1</v>
          </cell>
          <cell r="K4523">
            <v>1</v>
          </cell>
        </row>
        <row r="4524">
          <cell r="A4524" t="str">
            <v>M2</v>
          </cell>
          <cell r="B4524" t="str">
            <v>A5C</v>
          </cell>
          <cell r="C4524" t="str">
            <v>P</v>
          </cell>
          <cell r="D4524" t="str">
            <v>23053</v>
          </cell>
          <cell r="E4524" t="str">
            <v>BALL VA</v>
          </cell>
          <cell r="F4524">
            <v>6</v>
          </cell>
          <cell r="G4524" t="str">
            <v>VB8010600000T00</v>
          </cell>
          <cell r="H4524">
            <v>0.75</v>
          </cell>
          <cell r="I4524" t="str">
            <v>--</v>
          </cell>
          <cell r="J4524">
            <v>2</v>
          </cell>
          <cell r="K4524">
            <v>2</v>
          </cell>
        </row>
        <row r="4525">
          <cell r="A4525" t="str">
            <v>M2</v>
          </cell>
          <cell r="B4525" t="str">
            <v>A5C</v>
          </cell>
          <cell r="C4525" t="str">
            <v>P</v>
          </cell>
          <cell r="D4525" t="str">
            <v>23064</v>
          </cell>
          <cell r="E4525" t="str">
            <v>BALL VA</v>
          </cell>
          <cell r="F4525">
            <v>6</v>
          </cell>
          <cell r="G4525" t="str">
            <v>VB8010600000T00</v>
          </cell>
          <cell r="H4525">
            <v>0.75</v>
          </cell>
          <cell r="I4525" t="str">
            <v>--</v>
          </cell>
          <cell r="J4525">
            <v>2</v>
          </cell>
          <cell r="K4525">
            <v>2</v>
          </cell>
        </row>
        <row r="4526">
          <cell r="A4526" t="str">
            <v>M2</v>
          </cell>
          <cell r="B4526" t="str">
            <v>A5C</v>
          </cell>
          <cell r="C4526" t="str">
            <v>P</v>
          </cell>
          <cell r="D4526" t="str">
            <v>23064</v>
          </cell>
          <cell r="E4526" t="str">
            <v>BALL VA</v>
          </cell>
          <cell r="F4526">
            <v>6</v>
          </cell>
          <cell r="G4526" t="str">
            <v>VB8010600000T00</v>
          </cell>
          <cell r="H4526">
            <v>0.75</v>
          </cell>
          <cell r="I4526" t="str">
            <v>--</v>
          </cell>
          <cell r="J4526">
            <v>2</v>
          </cell>
          <cell r="K4526">
            <v>2</v>
          </cell>
        </row>
        <row r="4527">
          <cell r="A4527" t="str">
            <v>M2</v>
          </cell>
          <cell r="B4527" t="str">
            <v>A5C</v>
          </cell>
          <cell r="C4527" t="str">
            <v>P</v>
          </cell>
          <cell r="D4527" t="str">
            <v>23064</v>
          </cell>
          <cell r="E4527" t="str">
            <v>BALL VA</v>
          </cell>
          <cell r="F4527">
            <v>6</v>
          </cell>
          <cell r="G4527" t="str">
            <v>VB8010600000T00</v>
          </cell>
          <cell r="H4527">
            <v>0.75</v>
          </cell>
          <cell r="I4527" t="str">
            <v>--</v>
          </cell>
          <cell r="J4527">
            <v>1</v>
          </cell>
          <cell r="K4527">
            <v>1</v>
          </cell>
        </row>
        <row r="4528">
          <cell r="A4528" t="str">
            <v>M2</v>
          </cell>
          <cell r="B4528" t="str">
            <v>A5C</v>
          </cell>
          <cell r="C4528" t="str">
            <v>P</v>
          </cell>
          <cell r="D4528" t="str">
            <v>23074</v>
          </cell>
          <cell r="E4528" t="str">
            <v>BALL VA</v>
          </cell>
          <cell r="F4528">
            <v>6</v>
          </cell>
          <cell r="G4528" t="str">
            <v>VB8010600000T00</v>
          </cell>
          <cell r="H4528">
            <v>0.75</v>
          </cell>
          <cell r="I4528" t="str">
            <v>--</v>
          </cell>
          <cell r="J4528">
            <v>2</v>
          </cell>
          <cell r="K4528">
            <v>2</v>
          </cell>
        </row>
        <row r="4529">
          <cell r="A4529" t="str">
            <v>M2</v>
          </cell>
          <cell r="B4529" t="str">
            <v>A5C</v>
          </cell>
          <cell r="C4529" t="str">
            <v>P</v>
          </cell>
          <cell r="D4529" t="str">
            <v>23079</v>
          </cell>
          <cell r="E4529" t="str">
            <v>BALL VA</v>
          </cell>
          <cell r="F4529">
            <v>6</v>
          </cell>
          <cell r="G4529" t="str">
            <v>VB8010600000T00</v>
          </cell>
          <cell r="H4529">
            <v>0.75</v>
          </cell>
          <cell r="I4529" t="str">
            <v>--</v>
          </cell>
          <cell r="J4529">
            <v>2</v>
          </cell>
          <cell r="K4529">
            <v>2</v>
          </cell>
        </row>
        <row r="4530">
          <cell r="A4530" t="str">
            <v>M2</v>
          </cell>
          <cell r="B4530" t="str">
            <v>A5C</v>
          </cell>
          <cell r="C4530" t="str">
            <v>P</v>
          </cell>
          <cell r="D4530" t="str">
            <v>23079</v>
          </cell>
          <cell r="E4530" t="str">
            <v>BALL VA</v>
          </cell>
          <cell r="F4530">
            <v>6</v>
          </cell>
          <cell r="G4530" t="str">
            <v>VB8010600000T00</v>
          </cell>
          <cell r="H4530">
            <v>0.75</v>
          </cell>
          <cell r="I4530" t="str">
            <v>--</v>
          </cell>
          <cell r="J4530">
            <v>2</v>
          </cell>
          <cell r="K4530">
            <v>2</v>
          </cell>
        </row>
        <row r="4531">
          <cell r="A4531" t="str">
            <v>M2</v>
          </cell>
          <cell r="B4531" t="str">
            <v>A5C</v>
          </cell>
          <cell r="C4531" t="str">
            <v>P</v>
          </cell>
          <cell r="D4531" t="str">
            <v>23089</v>
          </cell>
          <cell r="E4531" t="str">
            <v>BALL VA</v>
          </cell>
          <cell r="F4531">
            <v>6</v>
          </cell>
          <cell r="G4531" t="str">
            <v>VB8010600000T00</v>
          </cell>
          <cell r="H4531">
            <v>0.75</v>
          </cell>
          <cell r="I4531" t="str">
            <v>--</v>
          </cell>
          <cell r="J4531">
            <v>2</v>
          </cell>
          <cell r="K4531">
            <v>2</v>
          </cell>
        </row>
        <row r="4532">
          <cell r="A4532" t="str">
            <v>M2</v>
          </cell>
          <cell r="B4532" t="str">
            <v>A5C</v>
          </cell>
          <cell r="C4532" t="str">
            <v>P</v>
          </cell>
          <cell r="D4532" t="str">
            <v>23091</v>
          </cell>
          <cell r="E4532" t="str">
            <v>BALL VA</v>
          </cell>
          <cell r="F4532">
            <v>6</v>
          </cell>
          <cell r="G4532" t="str">
            <v>VB8010600000T00</v>
          </cell>
          <cell r="H4532">
            <v>0.75</v>
          </cell>
          <cell r="I4532" t="str">
            <v>--</v>
          </cell>
          <cell r="J4532">
            <v>2</v>
          </cell>
          <cell r="K4532">
            <v>2</v>
          </cell>
        </row>
        <row r="4533">
          <cell r="A4533" t="str">
            <v>M2</v>
          </cell>
          <cell r="B4533" t="str">
            <v>A5C</v>
          </cell>
          <cell r="C4533" t="str">
            <v>P</v>
          </cell>
          <cell r="D4533" t="str">
            <v>23091</v>
          </cell>
          <cell r="E4533" t="str">
            <v>BALL VA</v>
          </cell>
          <cell r="F4533">
            <v>6</v>
          </cell>
          <cell r="G4533" t="str">
            <v>VB8010600000T00</v>
          </cell>
          <cell r="H4533">
            <v>0.75</v>
          </cell>
          <cell r="I4533" t="str">
            <v>--</v>
          </cell>
          <cell r="J4533">
            <v>2</v>
          </cell>
          <cell r="K4533">
            <v>2</v>
          </cell>
        </row>
        <row r="4534">
          <cell r="A4534" t="str">
            <v>M2</v>
          </cell>
          <cell r="B4534" t="str">
            <v>A5C</v>
          </cell>
          <cell r="C4534" t="str">
            <v>P</v>
          </cell>
          <cell r="D4534" t="str">
            <v>23128</v>
          </cell>
          <cell r="E4534" t="str">
            <v>BALL VA</v>
          </cell>
          <cell r="F4534">
            <v>6</v>
          </cell>
          <cell r="G4534" t="str">
            <v>VB8010600000T00</v>
          </cell>
          <cell r="H4534">
            <v>0.75</v>
          </cell>
          <cell r="I4534" t="str">
            <v>--</v>
          </cell>
          <cell r="J4534">
            <v>2</v>
          </cell>
          <cell r="K4534">
            <v>2</v>
          </cell>
        </row>
        <row r="4535">
          <cell r="A4535" t="str">
            <v>M2</v>
          </cell>
          <cell r="B4535" t="str">
            <v>A5C</v>
          </cell>
          <cell r="C4535" t="str">
            <v>P</v>
          </cell>
          <cell r="D4535" t="str">
            <v>23130</v>
          </cell>
          <cell r="E4535" t="str">
            <v>BALL VA</v>
          </cell>
          <cell r="F4535">
            <v>6</v>
          </cell>
          <cell r="G4535" t="str">
            <v>VB8010600000T00</v>
          </cell>
          <cell r="H4535">
            <v>0.75</v>
          </cell>
          <cell r="I4535" t="str">
            <v>--</v>
          </cell>
          <cell r="J4535">
            <v>2</v>
          </cell>
          <cell r="K4535">
            <v>2</v>
          </cell>
        </row>
        <row r="4536">
          <cell r="A4536" t="str">
            <v>M2</v>
          </cell>
          <cell r="B4536" t="str">
            <v>A5C</v>
          </cell>
          <cell r="C4536" t="str">
            <v>P</v>
          </cell>
          <cell r="D4536" t="str">
            <v>23130</v>
          </cell>
          <cell r="E4536" t="str">
            <v>BALL VA</v>
          </cell>
          <cell r="F4536">
            <v>6</v>
          </cell>
          <cell r="G4536" t="str">
            <v>VB8010600000T00</v>
          </cell>
          <cell r="H4536">
            <v>0.75</v>
          </cell>
          <cell r="I4536" t="str">
            <v>--</v>
          </cell>
          <cell r="J4536">
            <v>2</v>
          </cell>
          <cell r="K4536">
            <v>2</v>
          </cell>
        </row>
        <row r="4537">
          <cell r="A4537" t="str">
            <v>M2</v>
          </cell>
          <cell r="B4537" t="str">
            <v>A5C</v>
          </cell>
          <cell r="C4537" t="str">
            <v>P</v>
          </cell>
          <cell r="D4537" t="str">
            <v>23155</v>
          </cell>
          <cell r="E4537" t="str">
            <v>BALL VA</v>
          </cell>
          <cell r="F4537">
            <v>6</v>
          </cell>
          <cell r="G4537" t="str">
            <v>VB8010600000T00</v>
          </cell>
          <cell r="H4537">
            <v>0.75</v>
          </cell>
          <cell r="I4537" t="str">
            <v>--</v>
          </cell>
          <cell r="J4537">
            <v>1</v>
          </cell>
          <cell r="K4537">
            <v>1</v>
          </cell>
        </row>
        <row r="4538">
          <cell r="A4538" t="str">
            <v>M2</v>
          </cell>
          <cell r="B4538" t="str">
            <v>A5C</v>
          </cell>
          <cell r="C4538" t="str">
            <v>P</v>
          </cell>
          <cell r="D4538" t="str">
            <v>23163</v>
          </cell>
          <cell r="E4538" t="str">
            <v>BALL VA</v>
          </cell>
          <cell r="F4538">
            <v>6</v>
          </cell>
          <cell r="G4538" t="str">
            <v>VB8010600000T00</v>
          </cell>
          <cell r="H4538">
            <v>0.75</v>
          </cell>
          <cell r="I4538" t="str">
            <v>--</v>
          </cell>
          <cell r="J4538">
            <v>1</v>
          </cell>
          <cell r="K4538">
            <v>1</v>
          </cell>
        </row>
        <row r="4539">
          <cell r="A4539" t="str">
            <v>M2</v>
          </cell>
          <cell r="B4539" t="str">
            <v>A5C</v>
          </cell>
          <cell r="C4539" t="str">
            <v>P</v>
          </cell>
          <cell r="D4539" t="str">
            <v>23180</v>
          </cell>
          <cell r="E4539" t="str">
            <v>BALL VA</v>
          </cell>
          <cell r="F4539">
            <v>6</v>
          </cell>
          <cell r="G4539" t="str">
            <v>VB8010600000T00</v>
          </cell>
          <cell r="H4539">
            <v>0.75</v>
          </cell>
          <cell r="I4539" t="str">
            <v>--</v>
          </cell>
          <cell r="J4539">
            <v>3</v>
          </cell>
          <cell r="K4539">
            <v>3</v>
          </cell>
        </row>
        <row r="4540">
          <cell r="A4540" t="str">
            <v>M2</v>
          </cell>
          <cell r="B4540" t="str">
            <v>A5C</v>
          </cell>
          <cell r="C4540" t="str">
            <v>P</v>
          </cell>
          <cell r="D4540" t="str">
            <v>23184</v>
          </cell>
          <cell r="E4540" t="str">
            <v>BALL VA</v>
          </cell>
          <cell r="F4540">
            <v>6</v>
          </cell>
          <cell r="G4540" t="str">
            <v>VB8010600000T00</v>
          </cell>
          <cell r="H4540">
            <v>0.75</v>
          </cell>
          <cell r="I4540" t="str">
            <v>--</v>
          </cell>
          <cell r="J4540">
            <v>1</v>
          </cell>
          <cell r="K4540">
            <v>1</v>
          </cell>
        </row>
        <row r="4541">
          <cell r="A4541" t="str">
            <v>M2</v>
          </cell>
          <cell r="B4541" t="str">
            <v>A5C</v>
          </cell>
          <cell r="C4541" t="str">
            <v>P</v>
          </cell>
          <cell r="D4541" t="str">
            <v>23191</v>
          </cell>
          <cell r="E4541" t="str">
            <v>BALL VA</v>
          </cell>
          <cell r="F4541">
            <v>6</v>
          </cell>
          <cell r="G4541" t="str">
            <v>VB8010600000T00</v>
          </cell>
          <cell r="H4541">
            <v>0.75</v>
          </cell>
          <cell r="I4541" t="str">
            <v>--</v>
          </cell>
          <cell r="J4541">
            <v>3</v>
          </cell>
          <cell r="K4541">
            <v>3</v>
          </cell>
        </row>
        <row r="4542">
          <cell r="A4542" t="str">
            <v>M2</v>
          </cell>
          <cell r="B4542" t="str">
            <v>A5C</v>
          </cell>
          <cell r="C4542" t="str">
            <v>P</v>
          </cell>
          <cell r="D4542" t="str">
            <v>23193</v>
          </cell>
          <cell r="E4542" t="str">
            <v>BALL VA</v>
          </cell>
          <cell r="F4542">
            <v>6</v>
          </cell>
          <cell r="G4542" t="str">
            <v>VB8010600000T00</v>
          </cell>
          <cell r="H4542">
            <v>0.75</v>
          </cell>
          <cell r="I4542" t="str">
            <v>--</v>
          </cell>
          <cell r="J4542">
            <v>1</v>
          </cell>
          <cell r="K4542">
            <v>1</v>
          </cell>
        </row>
        <row r="4543">
          <cell r="A4543" t="str">
            <v>M2</v>
          </cell>
          <cell r="B4543" t="str">
            <v>A5C</v>
          </cell>
          <cell r="C4543" t="str">
            <v>P</v>
          </cell>
          <cell r="D4543" t="str">
            <v>23224</v>
          </cell>
          <cell r="E4543" t="str">
            <v>BALL VA</v>
          </cell>
          <cell r="F4543">
            <v>6</v>
          </cell>
          <cell r="G4543" t="str">
            <v>VB8010600000T00</v>
          </cell>
          <cell r="H4543">
            <v>0.75</v>
          </cell>
          <cell r="I4543" t="str">
            <v>--</v>
          </cell>
          <cell r="J4543">
            <v>2</v>
          </cell>
          <cell r="K4543">
            <v>2</v>
          </cell>
        </row>
        <row r="4544">
          <cell r="A4544" t="str">
            <v>M2</v>
          </cell>
          <cell r="B4544" t="str">
            <v>A5C</v>
          </cell>
          <cell r="C4544" t="str">
            <v>P</v>
          </cell>
          <cell r="D4544" t="str">
            <v>24016</v>
          </cell>
          <cell r="E4544" t="str">
            <v>BALL VA</v>
          </cell>
          <cell r="F4544">
            <v>6</v>
          </cell>
          <cell r="G4544" t="str">
            <v>VB8010600000T00</v>
          </cell>
          <cell r="H4544">
            <v>0.75</v>
          </cell>
          <cell r="I4544" t="str">
            <v>--</v>
          </cell>
          <cell r="J4544">
            <v>3</v>
          </cell>
          <cell r="K4544">
            <v>3</v>
          </cell>
        </row>
        <row r="4545">
          <cell r="A4545" t="str">
            <v>M2</v>
          </cell>
          <cell r="B4545" t="str">
            <v>A5C</v>
          </cell>
          <cell r="C4545" t="str">
            <v>P</v>
          </cell>
          <cell r="D4545" t="str">
            <v>24017</v>
          </cell>
          <cell r="E4545" t="str">
            <v>BALL VA</v>
          </cell>
          <cell r="F4545">
            <v>6</v>
          </cell>
          <cell r="G4545" t="str">
            <v>VB8010600000T00</v>
          </cell>
          <cell r="H4545">
            <v>0.75</v>
          </cell>
          <cell r="I4545" t="str">
            <v>--</v>
          </cell>
          <cell r="J4545">
            <v>4</v>
          </cell>
          <cell r="K4545">
            <v>4</v>
          </cell>
        </row>
        <row r="4546">
          <cell r="A4546" t="str">
            <v>M2</v>
          </cell>
          <cell r="B4546" t="str">
            <v>A5C</v>
          </cell>
          <cell r="C4546" t="str">
            <v>P</v>
          </cell>
          <cell r="D4546" t="str">
            <v>24017</v>
          </cell>
          <cell r="E4546" t="str">
            <v>BALL VA</v>
          </cell>
          <cell r="F4546">
            <v>6</v>
          </cell>
          <cell r="G4546" t="str">
            <v>VB8010600000T00</v>
          </cell>
          <cell r="H4546">
            <v>0.75</v>
          </cell>
          <cell r="I4546" t="str">
            <v>--</v>
          </cell>
          <cell r="J4546">
            <v>1</v>
          </cell>
          <cell r="K4546">
            <v>1</v>
          </cell>
        </row>
        <row r="4547">
          <cell r="A4547" t="str">
            <v>M2</v>
          </cell>
          <cell r="B4547" t="str">
            <v>A5C</v>
          </cell>
          <cell r="C4547" t="str">
            <v>P</v>
          </cell>
          <cell r="D4547" t="str">
            <v>24018</v>
          </cell>
          <cell r="E4547" t="str">
            <v>BALL VA</v>
          </cell>
          <cell r="F4547">
            <v>6</v>
          </cell>
          <cell r="G4547" t="str">
            <v>VB8010600000T00</v>
          </cell>
          <cell r="H4547">
            <v>0.75</v>
          </cell>
          <cell r="I4547" t="str">
            <v>--</v>
          </cell>
          <cell r="J4547">
            <v>4</v>
          </cell>
          <cell r="K4547">
            <v>4</v>
          </cell>
        </row>
        <row r="4548">
          <cell r="A4548" t="str">
            <v>M2</v>
          </cell>
          <cell r="B4548" t="str">
            <v>A5C</v>
          </cell>
          <cell r="C4548" t="str">
            <v>TRIM</v>
          </cell>
          <cell r="D4548" t="str">
            <v>C-2302</v>
          </cell>
          <cell r="E4548" t="str">
            <v>BALL VA</v>
          </cell>
          <cell r="F4548">
            <v>6</v>
          </cell>
          <cell r="G4548" t="str">
            <v>VB8010600000T00</v>
          </cell>
          <cell r="H4548">
            <v>0.75</v>
          </cell>
          <cell r="I4548" t="str">
            <v>--</v>
          </cell>
          <cell r="J4548">
            <v>2</v>
          </cell>
          <cell r="K4548">
            <v>2</v>
          </cell>
        </row>
        <row r="4549">
          <cell r="A4549" t="str">
            <v>M2</v>
          </cell>
          <cell r="B4549" t="str">
            <v>A5C</v>
          </cell>
          <cell r="C4549" t="str">
            <v>TRIM</v>
          </cell>
          <cell r="D4549" t="str">
            <v>C-2302</v>
          </cell>
          <cell r="E4549" t="str">
            <v>BALL VA</v>
          </cell>
          <cell r="F4549">
            <v>6</v>
          </cell>
          <cell r="G4549" t="str">
            <v>VB8010600000T00</v>
          </cell>
          <cell r="H4549">
            <v>0.75</v>
          </cell>
          <cell r="I4549" t="str">
            <v>--</v>
          </cell>
          <cell r="J4549">
            <v>6</v>
          </cell>
          <cell r="K4549">
            <v>6</v>
          </cell>
        </row>
        <row r="4550">
          <cell r="A4550" t="str">
            <v>M2</v>
          </cell>
          <cell r="B4550" t="str">
            <v>A5C</v>
          </cell>
          <cell r="C4550" t="str">
            <v>TRIM</v>
          </cell>
          <cell r="D4550" t="str">
            <v>C-2304</v>
          </cell>
          <cell r="E4550" t="str">
            <v>BALL VA</v>
          </cell>
          <cell r="F4550">
            <v>6</v>
          </cell>
          <cell r="G4550" t="str">
            <v>VB8010600000T00</v>
          </cell>
          <cell r="H4550">
            <v>0.75</v>
          </cell>
          <cell r="I4550" t="str">
            <v>--</v>
          </cell>
          <cell r="J4550">
            <v>2</v>
          </cell>
          <cell r="K4550">
            <v>2</v>
          </cell>
        </row>
        <row r="4551">
          <cell r="A4551" t="str">
            <v>M2</v>
          </cell>
          <cell r="B4551" t="str">
            <v>A5C</v>
          </cell>
          <cell r="C4551" t="str">
            <v>TRIM</v>
          </cell>
          <cell r="D4551" t="str">
            <v>C-2304</v>
          </cell>
          <cell r="E4551" t="str">
            <v>BALL VA</v>
          </cell>
          <cell r="F4551">
            <v>6</v>
          </cell>
          <cell r="G4551" t="str">
            <v>VB8010600000T00</v>
          </cell>
          <cell r="H4551">
            <v>0.75</v>
          </cell>
          <cell r="I4551" t="str">
            <v>--</v>
          </cell>
          <cell r="J4551">
            <v>4</v>
          </cell>
          <cell r="K4551">
            <v>4</v>
          </cell>
        </row>
        <row r="4552">
          <cell r="A4552" t="str">
            <v>M2</v>
          </cell>
          <cell r="B4552" t="str">
            <v>A5C</v>
          </cell>
          <cell r="C4552" t="str">
            <v>TRIM</v>
          </cell>
          <cell r="D4552" t="str">
            <v>C-2303</v>
          </cell>
          <cell r="E4552" t="str">
            <v>BALL VA</v>
          </cell>
          <cell r="F4552">
            <v>6</v>
          </cell>
          <cell r="G4552" t="str">
            <v>VB8010600000T00</v>
          </cell>
          <cell r="H4552">
            <v>0.75</v>
          </cell>
          <cell r="I4552" t="str">
            <v>--</v>
          </cell>
          <cell r="J4552">
            <v>2</v>
          </cell>
          <cell r="K4552">
            <v>2</v>
          </cell>
        </row>
        <row r="4553">
          <cell r="A4553" t="str">
            <v>M2</v>
          </cell>
          <cell r="B4553" t="str">
            <v>A5C</v>
          </cell>
          <cell r="C4553" t="str">
            <v>TRIM</v>
          </cell>
          <cell r="D4553" t="str">
            <v>C-2305</v>
          </cell>
          <cell r="E4553" t="str">
            <v>BALL VA</v>
          </cell>
          <cell r="F4553">
            <v>6</v>
          </cell>
          <cell r="G4553" t="str">
            <v>VB8010600000T00</v>
          </cell>
          <cell r="H4553">
            <v>0.75</v>
          </cell>
          <cell r="I4553" t="str">
            <v>--</v>
          </cell>
          <cell r="J4553">
            <v>4</v>
          </cell>
          <cell r="K4553">
            <v>4</v>
          </cell>
        </row>
        <row r="4554">
          <cell r="A4554" t="str">
            <v>M2</v>
          </cell>
          <cell r="B4554" t="str">
            <v>A5C</v>
          </cell>
          <cell r="C4554" t="str">
            <v>TRIM</v>
          </cell>
          <cell r="D4554" t="str">
            <v>C-2305</v>
          </cell>
          <cell r="E4554" t="str">
            <v>BALL VA</v>
          </cell>
          <cell r="F4554">
            <v>6</v>
          </cell>
          <cell r="G4554" t="str">
            <v>VB8010600000T00</v>
          </cell>
          <cell r="H4554">
            <v>0.75</v>
          </cell>
          <cell r="I4554" t="str">
            <v>--</v>
          </cell>
          <cell r="J4554">
            <v>2</v>
          </cell>
          <cell r="K4554">
            <v>2</v>
          </cell>
        </row>
        <row r="4555">
          <cell r="A4555" t="str">
            <v>M2</v>
          </cell>
          <cell r="B4555" t="str">
            <v>A5C</v>
          </cell>
          <cell r="C4555" t="str">
            <v>TRIM</v>
          </cell>
          <cell r="D4555" t="str">
            <v>C-2306</v>
          </cell>
          <cell r="E4555" t="str">
            <v>BALL VA</v>
          </cell>
          <cell r="F4555">
            <v>6</v>
          </cell>
          <cell r="G4555" t="str">
            <v>VB8010600000T00</v>
          </cell>
          <cell r="H4555">
            <v>0.75</v>
          </cell>
          <cell r="I4555" t="str">
            <v>--</v>
          </cell>
          <cell r="J4555">
            <v>2</v>
          </cell>
          <cell r="K4555">
            <v>2</v>
          </cell>
        </row>
        <row r="4556">
          <cell r="A4556" t="str">
            <v>M2</v>
          </cell>
          <cell r="B4556" t="str">
            <v>A5C</v>
          </cell>
          <cell r="C4556" t="str">
            <v>TRIM</v>
          </cell>
          <cell r="D4556" t="str">
            <v>V-2302</v>
          </cell>
          <cell r="E4556" t="str">
            <v>BALL VA</v>
          </cell>
          <cell r="F4556">
            <v>6</v>
          </cell>
          <cell r="G4556" t="str">
            <v>VB8010600000T00</v>
          </cell>
          <cell r="H4556">
            <v>0.75</v>
          </cell>
          <cell r="I4556" t="str">
            <v>--</v>
          </cell>
          <cell r="J4556">
            <v>2</v>
          </cell>
          <cell r="K4556">
            <v>2</v>
          </cell>
        </row>
        <row r="4557">
          <cell r="A4557" t="str">
            <v>M2</v>
          </cell>
          <cell r="B4557" t="str">
            <v>A5C</v>
          </cell>
          <cell r="C4557" t="str">
            <v>TRIM</v>
          </cell>
          <cell r="D4557" t="str">
            <v>V-2302</v>
          </cell>
          <cell r="E4557" t="str">
            <v>BALL VA</v>
          </cell>
          <cell r="F4557">
            <v>6</v>
          </cell>
          <cell r="G4557" t="str">
            <v>VB8010600000T00</v>
          </cell>
          <cell r="H4557">
            <v>0.75</v>
          </cell>
          <cell r="I4557" t="str">
            <v>--</v>
          </cell>
          <cell r="J4557">
            <v>2</v>
          </cell>
          <cell r="K4557">
            <v>2</v>
          </cell>
        </row>
        <row r="4558">
          <cell r="A4558" t="str">
            <v>M2</v>
          </cell>
          <cell r="B4558" t="str">
            <v>A5C</v>
          </cell>
          <cell r="C4558" t="str">
            <v>TRIM</v>
          </cell>
          <cell r="D4558" t="str">
            <v>V-2304</v>
          </cell>
          <cell r="E4558" t="str">
            <v>BALL VA</v>
          </cell>
          <cell r="F4558">
            <v>6</v>
          </cell>
          <cell r="G4558" t="str">
            <v>VB8010600000T00</v>
          </cell>
          <cell r="H4558">
            <v>0.75</v>
          </cell>
          <cell r="I4558" t="str">
            <v>--</v>
          </cell>
          <cell r="J4558">
            <v>2</v>
          </cell>
          <cell r="K4558">
            <v>2</v>
          </cell>
        </row>
        <row r="4559">
          <cell r="A4559" t="str">
            <v>M2</v>
          </cell>
          <cell r="B4559" t="str">
            <v>A5C</v>
          </cell>
          <cell r="C4559" t="str">
            <v>TRIM</v>
          </cell>
          <cell r="D4559" t="str">
            <v>V-2306</v>
          </cell>
          <cell r="E4559" t="str">
            <v>BALL VA</v>
          </cell>
          <cell r="F4559">
            <v>6</v>
          </cell>
          <cell r="G4559" t="str">
            <v>VB8010600000T00</v>
          </cell>
          <cell r="H4559">
            <v>0.75</v>
          </cell>
          <cell r="I4559" t="str">
            <v>--</v>
          </cell>
          <cell r="J4559">
            <v>2</v>
          </cell>
          <cell r="K4559">
            <v>2</v>
          </cell>
        </row>
        <row r="4560">
          <cell r="A4560" t="str">
            <v>M2</v>
          </cell>
          <cell r="B4560" t="str">
            <v>A5C</v>
          </cell>
          <cell r="C4560" t="str">
            <v>TRIM</v>
          </cell>
          <cell r="D4560" t="str">
            <v>V-2306</v>
          </cell>
          <cell r="E4560" t="str">
            <v>BALL VA</v>
          </cell>
          <cell r="F4560">
            <v>6</v>
          </cell>
          <cell r="G4560" t="str">
            <v>VB8010600000T00</v>
          </cell>
          <cell r="H4560">
            <v>0.75</v>
          </cell>
          <cell r="I4560" t="str">
            <v>--</v>
          </cell>
          <cell r="J4560">
            <v>2</v>
          </cell>
          <cell r="K4560">
            <v>2</v>
          </cell>
        </row>
        <row r="4561">
          <cell r="A4561" t="str">
            <v>M2</v>
          </cell>
          <cell r="B4561" t="str">
            <v>A5C</v>
          </cell>
          <cell r="C4561" t="str">
            <v>TRIM</v>
          </cell>
          <cell r="D4561" t="str">
            <v>V-2308</v>
          </cell>
          <cell r="E4561" t="str">
            <v>BALL VA</v>
          </cell>
          <cell r="F4561">
            <v>6</v>
          </cell>
          <cell r="G4561" t="str">
            <v>VB8010600000T00</v>
          </cell>
          <cell r="H4561">
            <v>0.75</v>
          </cell>
          <cell r="I4561" t="str">
            <v>--</v>
          </cell>
          <cell r="J4561">
            <v>2</v>
          </cell>
          <cell r="K4561">
            <v>2</v>
          </cell>
        </row>
        <row r="4562">
          <cell r="A4562" t="str">
            <v>M2</v>
          </cell>
          <cell r="B4562" t="str">
            <v>A5C</v>
          </cell>
          <cell r="C4562" t="str">
            <v>TRIM</v>
          </cell>
          <cell r="D4562" t="str">
            <v>V-2308</v>
          </cell>
          <cell r="E4562" t="str">
            <v>BALL VA</v>
          </cell>
          <cell r="F4562">
            <v>6</v>
          </cell>
          <cell r="G4562" t="str">
            <v>VB8010600000T00</v>
          </cell>
          <cell r="H4562">
            <v>0.75</v>
          </cell>
          <cell r="I4562" t="str">
            <v>--</v>
          </cell>
          <cell r="J4562">
            <v>2</v>
          </cell>
          <cell r="K4562">
            <v>2</v>
          </cell>
        </row>
        <row r="4563">
          <cell r="A4563" t="str">
            <v>M2</v>
          </cell>
          <cell r="B4563" t="str">
            <v>A5C</v>
          </cell>
          <cell r="C4563" t="str">
            <v>TRIM</v>
          </cell>
          <cell r="D4563" t="str">
            <v>V-2310</v>
          </cell>
          <cell r="E4563" t="str">
            <v>BALL VA</v>
          </cell>
          <cell r="F4563">
            <v>6</v>
          </cell>
          <cell r="G4563" t="str">
            <v>VB8010600000T00</v>
          </cell>
          <cell r="H4563">
            <v>0.75</v>
          </cell>
          <cell r="I4563" t="str">
            <v>--</v>
          </cell>
          <cell r="J4563">
            <v>2</v>
          </cell>
          <cell r="K4563">
            <v>2</v>
          </cell>
        </row>
        <row r="4564">
          <cell r="A4564" t="str">
            <v>M2</v>
          </cell>
          <cell r="B4564" t="str">
            <v>A5C</v>
          </cell>
          <cell r="C4564" t="str">
            <v>TRIM</v>
          </cell>
          <cell r="D4564" t="str">
            <v>V-2310</v>
          </cell>
          <cell r="E4564" t="str">
            <v>BALL VA</v>
          </cell>
          <cell r="F4564">
            <v>6</v>
          </cell>
          <cell r="G4564" t="str">
            <v>VB8010600000T00</v>
          </cell>
          <cell r="H4564">
            <v>0.75</v>
          </cell>
          <cell r="I4564" t="str">
            <v>--</v>
          </cell>
          <cell r="J4564">
            <v>2</v>
          </cell>
          <cell r="K4564">
            <v>2</v>
          </cell>
        </row>
        <row r="4565">
          <cell r="A4565" t="str">
            <v>M2</v>
          </cell>
          <cell r="B4565" t="str">
            <v>A5C</v>
          </cell>
          <cell r="C4565" t="str">
            <v>TRIM</v>
          </cell>
          <cell r="D4565" t="str">
            <v>V-2313</v>
          </cell>
          <cell r="E4565" t="str">
            <v>BALL VA</v>
          </cell>
          <cell r="F4565">
            <v>6</v>
          </cell>
          <cell r="G4565" t="str">
            <v>VB8010600000T00</v>
          </cell>
          <cell r="H4565">
            <v>0.75</v>
          </cell>
          <cell r="I4565" t="str">
            <v>--</v>
          </cell>
          <cell r="J4565">
            <v>2</v>
          </cell>
          <cell r="K4565">
            <v>2</v>
          </cell>
        </row>
        <row r="4566">
          <cell r="A4566" t="str">
            <v>M2</v>
          </cell>
          <cell r="B4566" t="str">
            <v>A5C</v>
          </cell>
          <cell r="C4566" t="str">
            <v>TRIM</v>
          </cell>
          <cell r="D4566" t="str">
            <v>V-2313</v>
          </cell>
          <cell r="E4566" t="str">
            <v>BALL VA</v>
          </cell>
          <cell r="F4566">
            <v>6</v>
          </cell>
          <cell r="G4566" t="str">
            <v>VB8010600000T00</v>
          </cell>
          <cell r="H4566">
            <v>0.75</v>
          </cell>
          <cell r="I4566" t="str">
            <v>--</v>
          </cell>
          <cell r="J4566">
            <v>2</v>
          </cell>
          <cell r="K4566">
            <v>2</v>
          </cell>
        </row>
        <row r="4567">
          <cell r="A4567" t="str">
            <v>M2</v>
          </cell>
          <cell r="B4567" t="str">
            <v>A5C</v>
          </cell>
          <cell r="C4567" t="str">
            <v>TRIM</v>
          </cell>
          <cell r="D4567" t="str">
            <v>V-2325</v>
          </cell>
          <cell r="E4567" t="str">
            <v>BALL VA</v>
          </cell>
          <cell r="F4567">
            <v>6</v>
          </cell>
          <cell r="G4567" t="str">
            <v>VB8010600000T00</v>
          </cell>
          <cell r="H4567">
            <v>0.75</v>
          </cell>
          <cell r="I4567" t="str">
            <v>--</v>
          </cell>
          <cell r="J4567">
            <v>2</v>
          </cell>
          <cell r="K4567">
            <v>2</v>
          </cell>
        </row>
        <row r="4568">
          <cell r="A4568" t="str">
            <v>M2</v>
          </cell>
          <cell r="B4568" t="str">
            <v>A5C</v>
          </cell>
          <cell r="C4568" t="str">
            <v>TRIM</v>
          </cell>
          <cell r="D4568" t="str">
            <v>V-2325</v>
          </cell>
          <cell r="E4568" t="str">
            <v>BALL VA</v>
          </cell>
          <cell r="F4568">
            <v>6</v>
          </cell>
          <cell r="G4568" t="str">
            <v>VB8010600000T00</v>
          </cell>
          <cell r="H4568">
            <v>0.75</v>
          </cell>
          <cell r="I4568" t="str">
            <v>--</v>
          </cell>
          <cell r="J4568">
            <v>4</v>
          </cell>
          <cell r="K4568">
            <v>4</v>
          </cell>
        </row>
        <row r="4569">
          <cell r="A4569" t="str">
            <v>M2</v>
          </cell>
          <cell r="B4569" t="str">
            <v>A5C</v>
          </cell>
          <cell r="C4569" t="str">
            <v>TRIM</v>
          </cell>
          <cell r="D4569" t="str">
            <v>V-2403</v>
          </cell>
          <cell r="E4569" t="str">
            <v>BALL VA</v>
          </cell>
          <cell r="F4569">
            <v>6</v>
          </cell>
          <cell r="G4569" t="str">
            <v>VB8010600000T00</v>
          </cell>
          <cell r="H4569">
            <v>0.75</v>
          </cell>
          <cell r="I4569" t="str">
            <v>--</v>
          </cell>
          <cell r="J4569">
            <v>3</v>
          </cell>
          <cell r="K4569">
            <v>3</v>
          </cell>
        </row>
        <row r="4570">
          <cell r="A4570" t="str">
            <v>M2</v>
          </cell>
          <cell r="B4570" t="str">
            <v>A5C</v>
          </cell>
          <cell r="C4570" t="str">
            <v>TRIM</v>
          </cell>
          <cell r="D4570" t="str">
            <v>V-2403</v>
          </cell>
          <cell r="E4570" t="str">
            <v>BALL VA</v>
          </cell>
          <cell r="F4570">
            <v>6</v>
          </cell>
          <cell r="G4570" t="str">
            <v>VB8010600000T00</v>
          </cell>
          <cell r="H4570">
            <v>0.75</v>
          </cell>
          <cell r="I4570" t="str">
            <v>--</v>
          </cell>
          <cell r="J4570">
            <v>4</v>
          </cell>
          <cell r="K4570">
            <v>4</v>
          </cell>
        </row>
        <row r="4571">
          <cell r="A4571" t="str">
            <v>M2</v>
          </cell>
          <cell r="B4571" t="str">
            <v>A5C</v>
          </cell>
          <cell r="C4571" t="str">
            <v>P</v>
          </cell>
          <cell r="D4571" t="str">
            <v>23019</v>
          </cell>
          <cell r="E4571" t="str">
            <v>BALL VA</v>
          </cell>
          <cell r="F4571">
            <v>6</v>
          </cell>
          <cell r="G4571" t="str">
            <v>VB8010600000T00</v>
          </cell>
          <cell r="H4571">
            <v>0.75</v>
          </cell>
          <cell r="I4571" t="str">
            <v>--</v>
          </cell>
          <cell r="J4571">
            <v>1</v>
          </cell>
          <cell r="K4571">
            <v>1</v>
          </cell>
        </row>
        <row r="4572">
          <cell r="A4572" t="str">
            <v>M2</v>
          </cell>
          <cell r="B4572" t="str">
            <v>A5C</v>
          </cell>
          <cell r="C4572" t="str">
            <v>P</v>
          </cell>
          <cell r="D4572" t="str">
            <v>23024</v>
          </cell>
          <cell r="E4572" t="str">
            <v>BALL VA</v>
          </cell>
          <cell r="F4572">
            <v>6</v>
          </cell>
          <cell r="G4572" t="str">
            <v>VB8010600000T00</v>
          </cell>
          <cell r="H4572">
            <v>0.75</v>
          </cell>
          <cell r="I4572" t="str">
            <v>--</v>
          </cell>
          <cell r="J4572">
            <v>1</v>
          </cell>
          <cell r="K4572">
            <v>1</v>
          </cell>
        </row>
        <row r="4573">
          <cell r="A4573" t="str">
            <v>M2</v>
          </cell>
          <cell r="B4573" t="str">
            <v>A5C</v>
          </cell>
          <cell r="C4573" t="str">
            <v>P</v>
          </cell>
          <cell r="D4573" t="str">
            <v>23029</v>
          </cell>
          <cell r="E4573" t="str">
            <v>BALL VA</v>
          </cell>
          <cell r="F4573">
            <v>6</v>
          </cell>
          <cell r="G4573" t="str">
            <v>VB8010600000T00</v>
          </cell>
          <cell r="H4573">
            <v>0.75</v>
          </cell>
          <cell r="I4573" t="str">
            <v>--</v>
          </cell>
          <cell r="J4573">
            <v>2</v>
          </cell>
          <cell r="K4573">
            <v>2</v>
          </cell>
        </row>
        <row r="4574">
          <cell r="A4574" t="str">
            <v>M2</v>
          </cell>
          <cell r="B4574" t="str">
            <v>A5C</v>
          </cell>
          <cell r="C4574" t="str">
            <v>P</v>
          </cell>
          <cell r="D4574" t="str">
            <v>23033</v>
          </cell>
          <cell r="E4574" t="str">
            <v>BALL VA</v>
          </cell>
          <cell r="F4574">
            <v>6</v>
          </cell>
          <cell r="G4574" t="str">
            <v>VB8010600000T00</v>
          </cell>
          <cell r="H4574">
            <v>0.75</v>
          </cell>
          <cell r="I4574" t="str">
            <v>--</v>
          </cell>
          <cell r="J4574">
            <v>2</v>
          </cell>
          <cell r="K4574">
            <v>2</v>
          </cell>
        </row>
        <row r="4575">
          <cell r="A4575" t="str">
            <v>M2</v>
          </cell>
          <cell r="B4575" t="str">
            <v>A5C</v>
          </cell>
          <cell r="C4575" t="str">
            <v>P</v>
          </cell>
          <cell r="D4575" t="str">
            <v>23054</v>
          </cell>
          <cell r="E4575" t="str">
            <v>BALL VA</v>
          </cell>
          <cell r="F4575">
            <v>6</v>
          </cell>
          <cell r="G4575" t="str">
            <v>VB8010600000T00</v>
          </cell>
          <cell r="H4575">
            <v>0.75</v>
          </cell>
          <cell r="I4575" t="str">
            <v>--</v>
          </cell>
          <cell r="J4575">
            <v>1</v>
          </cell>
          <cell r="K4575">
            <v>1</v>
          </cell>
        </row>
        <row r="4576">
          <cell r="A4576" t="str">
            <v>M2</v>
          </cell>
          <cell r="B4576" t="str">
            <v>A5C</v>
          </cell>
          <cell r="C4576" t="str">
            <v>P</v>
          </cell>
          <cell r="D4576" t="str">
            <v>23074</v>
          </cell>
          <cell r="E4576" t="str">
            <v>BALL VA</v>
          </cell>
          <cell r="F4576">
            <v>6</v>
          </cell>
          <cell r="G4576" t="str">
            <v>VB8010600000T00</v>
          </cell>
          <cell r="H4576">
            <v>0.75</v>
          </cell>
          <cell r="I4576" t="str">
            <v>--</v>
          </cell>
          <cell r="J4576">
            <v>2</v>
          </cell>
          <cell r="K4576">
            <v>2</v>
          </cell>
        </row>
        <row r="4577">
          <cell r="A4577" t="str">
            <v>M2</v>
          </cell>
          <cell r="B4577" t="str">
            <v>A5C</v>
          </cell>
          <cell r="C4577" t="str">
            <v>P</v>
          </cell>
          <cell r="D4577" t="str">
            <v>23079</v>
          </cell>
          <cell r="E4577" t="str">
            <v>BALL VA</v>
          </cell>
          <cell r="F4577">
            <v>6</v>
          </cell>
          <cell r="G4577" t="str">
            <v>VB8010600000T00</v>
          </cell>
          <cell r="H4577">
            <v>0.75</v>
          </cell>
          <cell r="I4577" t="str">
            <v>--</v>
          </cell>
          <cell r="J4577">
            <v>2</v>
          </cell>
          <cell r="K4577">
            <v>2</v>
          </cell>
        </row>
        <row r="4578">
          <cell r="A4578" t="str">
            <v>M2</v>
          </cell>
          <cell r="B4578" t="str">
            <v>A5C</v>
          </cell>
          <cell r="C4578" t="str">
            <v>P</v>
          </cell>
          <cell r="D4578" t="str">
            <v>23080</v>
          </cell>
          <cell r="E4578" t="str">
            <v>BALL VA</v>
          </cell>
          <cell r="F4578">
            <v>6</v>
          </cell>
          <cell r="G4578" t="str">
            <v>VB8010600000T00</v>
          </cell>
          <cell r="H4578">
            <v>0.75</v>
          </cell>
          <cell r="I4578" t="str">
            <v>--</v>
          </cell>
          <cell r="J4578">
            <v>3</v>
          </cell>
          <cell r="K4578">
            <v>3</v>
          </cell>
        </row>
        <row r="4579">
          <cell r="A4579" t="str">
            <v>M2</v>
          </cell>
          <cell r="B4579" t="str">
            <v>A5C</v>
          </cell>
          <cell r="C4579" t="str">
            <v>P</v>
          </cell>
          <cell r="D4579" t="str">
            <v>23173</v>
          </cell>
          <cell r="E4579" t="str">
            <v>BALL VA</v>
          </cell>
          <cell r="F4579">
            <v>6</v>
          </cell>
          <cell r="G4579" t="str">
            <v>VB8010600000T00</v>
          </cell>
          <cell r="H4579">
            <v>0.75</v>
          </cell>
          <cell r="I4579" t="str">
            <v>--</v>
          </cell>
          <cell r="J4579">
            <v>3</v>
          </cell>
          <cell r="K4579">
            <v>3</v>
          </cell>
        </row>
        <row r="4580">
          <cell r="A4580" t="str">
            <v>M2</v>
          </cell>
          <cell r="B4580" t="str">
            <v>A5C</v>
          </cell>
          <cell r="C4580" t="str">
            <v>P</v>
          </cell>
          <cell r="D4580" t="str">
            <v>23176</v>
          </cell>
          <cell r="E4580" t="str">
            <v>BALL VA</v>
          </cell>
          <cell r="F4580">
            <v>6</v>
          </cell>
          <cell r="G4580" t="str">
            <v>VB8010600000T00</v>
          </cell>
          <cell r="H4580">
            <v>0.75</v>
          </cell>
          <cell r="I4580" t="str">
            <v>--</v>
          </cell>
          <cell r="J4580">
            <v>1</v>
          </cell>
          <cell r="K4580">
            <v>1</v>
          </cell>
        </row>
        <row r="4581">
          <cell r="A4581" t="str">
            <v>M2</v>
          </cell>
          <cell r="B4581" t="str">
            <v>A5C</v>
          </cell>
          <cell r="C4581" t="str">
            <v>P</v>
          </cell>
          <cell r="D4581" t="str">
            <v>23219</v>
          </cell>
          <cell r="E4581" t="str">
            <v>BALL VA</v>
          </cell>
          <cell r="F4581">
            <v>6</v>
          </cell>
          <cell r="G4581" t="str">
            <v>VB8010600000T00</v>
          </cell>
          <cell r="H4581">
            <v>0.75</v>
          </cell>
          <cell r="I4581" t="str">
            <v>--</v>
          </cell>
          <cell r="J4581">
            <v>1</v>
          </cell>
          <cell r="K4581">
            <v>1</v>
          </cell>
        </row>
        <row r="4582">
          <cell r="A4582" t="str">
            <v>M2</v>
          </cell>
          <cell r="B4582" t="str">
            <v>A5C</v>
          </cell>
          <cell r="C4582" t="str">
            <v>P</v>
          </cell>
          <cell r="D4582" t="str">
            <v>23223</v>
          </cell>
          <cell r="E4582" t="str">
            <v>BALL VA</v>
          </cell>
          <cell r="F4582">
            <v>6</v>
          </cell>
          <cell r="G4582" t="str">
            <v>VB8010600000T00</v>
          </cell>
          <cell r="H4582">
            <v>0.75</v>
          </cell>
          <cell r="I4582" t="str">
            <v>--</v>
          </cell>
          <cell r="J4582">
            <v>1</v>
          </cell>
          <cell r="K4582">
            <v>1</v>
          </cell>
        </row>
        <row r="4583">
          <cell r="A4583" t="str">
            <v>M2</v>
          </cell>
          <cell r="B4583" t="str">
            <v>A5C</v>
          </cell>
          <cell r="C4583" t="str">
            <v>P</v>
          </cell>
          <cell r="D4583" t="str">
            <v>23223</v>
          </cell>
          <cell r="E4583" t="str">
            <v>BALL VA</v>
          </cell>
          <cell r="F4583">
            <v>6</v>
          </cell>
          <cell r="G4583" t="str">
            <v>VB8010600000T00</v>
          </cell>
          <cell r="H4583">
            <v>0.75</v>
          </cell>
          <cell r="I4583" t="str">
            <v>--</v>
          </cell>
          <cell r="J4583">
            <v>1</v>
          </cell>
          <cell r="K4583">
            <v>1</v>
          </cell>
        </row>
        <row r="4584">
          <cell r="A4584" t="str">
            <v>M2</v>
          </cell>
          <cell r="B4584" t="str">
            <v>A5C</v>
          </cell>
          <cell r="C4584" t="str">
            <v>TRIM</v>
          </cell>
          <cell r="D4584" t="str">
            <v>C-2306</v>
          </cell>
          <cell r="E4584" t="str">
            <v>BALL VA</v>
          </cell>
          <cell r="F4584">
            <v>6</v>
          </cell>
          <cell r="G4584" t="str">
            <v>VB8010600000T00</v>
          </cell>
          <cell r="H4584">
            <v>0.75</v>
          </cell>
          <cell r="I4584" t="str">
            <v>--</v>
          </cell>
          <cell r="J4584">
            <v>4</v>
          </cell>
          <cell r="K4584">
            <v>4</v>
          </cell>
        </row>
        <row r="4585">
          <cell r="A4585" t="str">
            <v>M2</v>
          </cell>
          <cell r="B4585" t="str">
            <v>A5C</v>
          </cell>
          <cell r="C4585" t="str">
            <v>TRIM</v>
          </cell>
          <cell r="D4585" t="str">
            <v>V-2304</v>
          </cell>
          <cell r="E4585" t="str">
            <v>BALL VA</v>
          </cell>
          <cell r="F4585">
            <v>6</v>
          </cell>
          <cell r="G4585" t="str">
            <v>VB8010600000T00</v>
          </cell>
          <cell r="H4585">
            <v>0.75</v>
          </cell>
          <cell r="I4585" t="str">
            <v>--</v>
          </cell>
          <cell r="J4585">
            <v>2</v>
          </cell>
          <cell r="K4585">
            <v>2</v>
          </cell>
        </row>
        <row r="4586">
          <cell r="A4586" t="str">
            <v>M2</v>
          </cell>
          <cell r="B4586" t="str">
            <v>A5C</v>
          </cell>
          <cell r="C4586" t="str">
            <v>P</v>
          </cell>
          <cell r="D4586" t="str">
            <v>24017</v>
          </cell>
          <cell r="E4586" t="str">
            <v>CHECK VA</v>
          </cell>
          <cell r="F4586">
            <v>6</v>
          </cell>
          <cell r="G4586" t="str">
            <v>VCB8010400000T00</v>
          </cell>
          <cell r="H4586">
            <v>0.75</v>
          </cell>
          <cell r="I4586" t="str">
            <v>--</v>
          </cell>
          <cell r="J4586">
            <v>1</v>
          </cell>
          <cell r="K4586">
            <v>1</v>
          </cell>
        </row>
        <row r="4587">
          <cell r="A4587" t="str">
            <v>M2</v>
          </cell>
          <cell r="B4587" t="str">
            <v>A5C</v>
          </cell>
          <cell r="C4587" t="str">
            <v>P</v>
          </cell>
          <cell r="D4587" t="str">
            <v>23018</v>
          </cell>
          <cell r="E4587" t="str">
            <v>GLOBE VA</v>
          </cell>
          <cell r="F4587">
            <v>6</v>
          </cell>
          <cell r="G4587" t="str">
            <v>VL8010100000T00</v>
          </cell>
          <cell r="H4587">
            <v>0.75</v>
          </cell>
          <cell r="I4587" t="str">
            <v>--</v>
          </cell>
          <cell r="J4587">
            <v>1</v>
          </cell>
          <cell r="K4587">
            <v>1</v>
          </cell>
        </row>
        <row r="4588">
          <cell r="A4588" t="str">
            <v>M2</v>
          </cell>
          <cell r="B4588" t="str">
            <v>A5C</v>
          </cell>
          <cell r="C4588" t="str">
            <v>P</v>
          </cell>
          <cell r="D4588" t="str">
            <v>23028</v>
          </cell>
          <cell r="E4588" t="str">
            <v>GLOBE VA</v>
          </cell>
          <cell r="F4588">
            <v>6</v>
          </cell>
          <cell r="G4588" t="str">
            <v>VL8010100000T00</v>
          </cell>
          <cell r="H4588">
            <v>0.75</v>
          </cell>
          <cell r="I4588" t="str">
            <v>--</v>
          </cell>
          <cell r="J4588">
            <v>1</v>
          </cell>
          <cell r="K4588">
            <v>1</v>
          </cell>
        </row>
        <row r="4589">
          <cell r="A4589" t="str">
            <v>M2</v>
          </cell>
          <cell r="B4589" t="str">
            <v>A5C</v>
          </cell>
          <cell r="C4589" t="str">
            <v>P</v>
          </cell>
          <cell r="D4589" t="str">
            <v>23048</v>
          </cell>
          <cell r="E4589" t="str">
            <v>GLOBE VA</v>
          </cell>
          <cell r="F4589">
            <v>6</v>
          </cell>
          <cell r="G4589" t="str">
            <v>VL8010100000T00</v>
          </cell>
          <cell r="H4589">
            <v>0.75</v>
          </cell>
          <cell r="I4589" t="str">
            <v>--</v>
          </cell>
          <cell r="J4589">
            <v>1</v>
          </cell>
          <cell r="K4589">
            <v>1</v>
          </cell>
        </row>
        <row r="4590">
          <cell r="A4590" t="str">
            <v>M2</v>
          </cell>
          <cell r="B4590" t="str">
            <v>A5C</v>
          </cell>
          <cell r="C4590" t="str">
            <v>P</v>
          </cell>
          <cell r="D4590" t="str">
            <v>24016</v>
          </cell>
          <cell r="E4590" t="str">
            <v>GLOBE VA</v>
          </cell>
          <cell r="F4590">
            <v>6</v>
          </cell>
          <cell r="G4590" t="str">
            <v>VL8010100000T00</v>
          </cell>
          <cell r="H4590">
            <v>0.75</v>
          </cell>
          <cell r="I4590" t="str">
            <v>--</v>
          </cell>
          <cell r="J4590">
            <v>1</v>
          </cell>
          <cell r="K4590">
            <v>1</v>
          </cell>
        </row>
        <row r="4591">
          <cell r="A4591" t="str">
            <v>M2</v>
          </cell>
          <cell r="B4591" t="str">
            <v>A5C</v>
          </cell>
          <cell r="C4591" t="str">
            <v>TRIM</v>
          </cell>
          <cell r="D4591" t="str">
            <v>V-2325</v>
          </cell>
          <cell r="E4591" t="str">
            <v>GLOBE VA</v>
          </cell>
          <cell r="F4591">
            <v>6</v>
          </cell>
          <cell r="G4591" t="str">
            <v>VL8010100000T00</v>
          </cell>
          <cell r="H4591">
            <v>0.75</v>
          </cell>
          <cell r="I4591" t="str">
            <v>--</v>
          </cell>
          <cell r="J4591">
            <v>1</v>
          </cell>
          <cell r="K4591">
            <v>1</v>
          </cell>
        </row>
        <row r="4592">
          <cell r="A4592" t="str">
            <v>M2</v>
          </cell>
          <cell r="B4592" t="str">
            <v>A5C</v>
          </cell>
          <cell r="C4592" t="str">
            <v>P</v>
          </cell>
          <cell r="D4592" t="str">
            <v>23053</v>
          </cell>
          <cell r="E4592" t="str">
            <v>GLOBE VA</v>
          </cell>
          <cell r="F4592">
            <v>6</v>
          </cell>
          <cell r="G4592" t="str">
            <v>VL8010100000T00</v>
          </cell>
          <cell r="H4592">
            <v>0.75</v>
          </cell>
          <cell r="I4592" t="str">
            <v>--</v>
          </cell>
          <cell r="J4592">
            <v>1</v>
          </cell>
          <cell r="K4592">
            <v>1</v>
          </cell>
        </row>
        <row r="4593">
          <cell r="A4593" t="str">
            <v>M2</v>
          </cell>
          <cell r="B4593" t="str">
            <v>A5C</v>
          </cell>
          <cell r="C4593" t="str">
            <v>P</v>
          </cell>
          <cell r="D4593" t="str">
            <v>23080</v>
          </cell>
          <cell r="E4593" t="str">
            <v>GLOBE VA</v>
          </cell>
          <cell r="F4593">
            <v>6</v>
          </cell>
          <cell r="G4593" t="str">
            <v>VL8010100000T00</v>
          </cell>
          <cell r="H4593">
            <v>0.75</v>
          </cell>
          <cell r="I4593" t="str">
            <v>--</v>
          </cell>
          <cell r="J4593">
            <v>1</v>
          </cell>
          <cell r="K4593">
            <v>1</v>
          </cell>
        </row>
        <row r="4594">
          <cell r="A4594" t="str">
            <v>M2</v>
          </cell>
          <cell r="B4594" t="str">
            <v>A5C</v>
          </cell>
          <cell r="C4594" t="str">
            <v>P</v>
          </cell>
          <cell r="D4594" t="str">
            <v>24017</v>
          </cell>
          <cell r="E4594" t="str">
            <v>GLOBE VA</v>
          </cell>
          <cell r="F4594">
            <v>6</v>
          </cell>
          <cell r="G4594" t="str">
            <v>VL8010100000T00</v>
          </cell>
          <cell r="H4594">
            <v>0.75</v>
          </cell>
          <cell r="I4594" t="str">
            <v>--</v>
          </cell>
          <cell r="J4594">
            <v>1</v>
          </cell>
          <cell r="K4594">
            <v>1</v>
          </cell>
        </row>
        <row r="4595">
          <cell r="A4595" t="str">
            <v>M2</v>
          </cell>
          <cell r="B4595" t="str">
            <v>A5C</v>
          </cell>
          <cell r="C4595" t="str">
            <v>P</v>
          </cell>
          <cell r="D4595" t="str">
            <v>24018</v>
          </cell>
          <cell r="E4595" t="str">
            <v>GLOBE VA</v>
          </cell>
          <cell r="F4595">
            <v>6</v>
          </cell>
          <cell r="G4595" t="str">
            <v>VL8010100000T00</v>
          </cell>
          <cell r="H4595">
            <v>0.75</v>
          </cell>
          <cell r="I4595" t="str">
            <v>--</v>
          </cell>
          <cell r="J4595">
            <v>1</v>
          </cell>
          <cell r="K4595">
            <v>1</v>
          </cell>
        </row>
        <row r="4596">
          <cell r="A4596" t="str">
            <v>M2</v>
          </cell>
          <cell r="B4596" t="str">
            <v>A5C</v>
          </cell>
          <cell r="C4596" t="str">
            <v>P</v>
          </cell>
          <cell r="D4596" t="str">
            <v>23014</v>
          </cell>
          <cell r="E4596" t="str">
            <v>BALL VA</v>
          </cell>
          <cell r="F4596">
            <v>6</v>
          </cell>
          <cell r="G4596" t="str">
            <v>VB8010600000T00</v>
          </cell>
          <cell r="H4596">
            <v>0.75</v>
          </cell>
          <cell r="I4596" t="str">
            <v>--</v>
          </cell>
          <cell r="J4596">
            <v>1</v>
          </cell>
          <cell r="K4596">
            <v>1</v>
          </cell>
        </row>
        <row r="4597">
          <cell r="A4597" t="str">
            <v>M2</v>
          </cell>
          <cell r="B4597" t="str">
            <v>A5C</v>
          </cell>
          <cell r="C4597" t="str">
            <v>P</v>
          </cell>
          <cell r="D4597" t="str">
            <v>23156</v>
          </cell>
          <cell r="E4597" t="str">
            <v>BALL VA</v>
          </cell>
          <cell r="F4597">
            <v>6</v>
          </cell>
          <cell r="G4597" t="str">
            <v>VB8010600000T00</v>
          </cell>
          <cell r="H4597">
            <v>0.75</v>
          </cell>
          <cell r="I4597" t="str">
            <v>--</v>
          </cell>
          <cell r="J4597">
            <v>4</v>
          </cell>
          <cell r="K4597">
            <v>4</v>
          </cell>
        </row>
        <row r="4598">
          <cell r="A4598" t="str">
            <v>M2</v>
          </cell>
          <cell r="B4598" t="str">
            <v>A5C</v>
          </cell>
          <cell r="C4598" t="str">
            <v>P</v>
          </cell>
          <cell r="D4598" t="str">
            <v>24001</v>
          </cell>
          <cell r="E4598" t="str">
            <v>BALL VA</v>
          </cell>
          <cell r="F4598">
            <v>6</v>
          </cell>
          <cell r="G4598" t="str">
            <v>VB8010600000T00</v>
          </cell>
          <cell r="H4598">
            <v>0.75</v>
          </cell>
          <cell r="I4598" t="str">
            <v>--</v>
          </cell>
          <cell r="J4598">
            <v>2</v>
          </cell>
          <cell r="K4598">
            <v>2</v>
          </cell>
        </row>
        <row r="4599">
          <cell r="A4599" t="str">
            <v>M2</v>
          </cell>
          <cell r="B4599" t="str">
            <v>A5C</v>
          </cell>
          <cell r="C4599" t="str">
            <v>P</v>
          </cell>
          <cell r="D4599" t="str">
            <v>24002</v>
          </cell>
          <cell r="E4599" t="str">
            <v>BALL VA</v>
          </cell>
          <cell r="F4599">
            <v>6</v>
          </cell>
          <cell r="G4599" t="str">
            <v>VB8010600000T00</v>
          </cell>
          <cell r="H4599">
            <v>0.75</v>
          </cell>
          <cell r="I4599" t="str">
            <v>--</v>
          </cell>
          <cell r="J4599">
            <v>1</v>
          </cell>
          <cell r="K4599">
            <v>1</v>
          </cell>
        </row>
        <row r="4600">
          <cell r="A4600" t="str">
            <v>M2</v>
          </cell>
          <cell r="B4600" t="str">
            <v>A5C</v>
          </cell>
          <cell r="C4600" t="str">
            <v>P</v>
          </cell>
          <cell r="D4600" t="str">
            <v>24003</v>
          </cell>
          <cell r="E4600" t="str">
            <v>BALL VA</v>
          </cell>
          <cell r="F4600">
            <v>6</v>
          </cell>
          <cell r="G4600" t="str">
            <v>VB8010600000T00</v>
          </cell>
          <cell r="H4600">
            <v>0.75</v>
          </cell>
          <cell r="I4600" t="str">
            <v>--</v>
          </cell>
          <cell r="J4600">
            <v>2</v>
          </cell>
          <cell r="K4600">
            <v>2</v>
          </cell>
        </row>
        <row r="4601">
          <cell r="A4601" t="str">
            <v>M2</v>
          </cell>
          <cell r="B4601" t="str">
            <v>A5C</v>
          </cell>
          <cell r="C4601" t="str">
            <v>P</v>
          </cell>
          <cell r="D4601" t="str">
            <v>24004</v>
          </cell>
          <cell r="E4601" t="str">
            <v>BALL VA</v>
          </cell>
          <cell r="F4601">
            <v>6</v>
          </cell>
          <cell r="G4601" t="str">
            <v>VB8010600000T00</v>
          </cell>
          <cell r="H4601">
            <v>0.75</v>
          </cell>
          <cell r="I4601" t="str">
            <v>--</v>
          </cell>
          <cell r="J4601">
            <v>2</v>
          </cell>
          <cell r="K4601">
            <v>2</v>
          </cell>
        </row>
        <row r="4602">
          <cell r="A4602" t="str">
            <v>M2</v>
          </cell>
          <cell r="B4602" t="str">
            <v>A5C</v>
          </cell>
          <cell r="C4602" t="str">
            <v>P</v>
          </cell>
          <cell r="D4602" t="str">
            <v>24004</v>
          </cell>
          <cell r="E4602" t="str">
            <v>BALL VA</v>
          </cell>
          <cell r="F4602">
            <v>6</v>
          </cell>
          <cell r="G4602" t="str">
            <v>VB8010600000T00</v>
          </cell>
          <cell r="H4602">
            <v>0.75</v>
          </cell>
          <cell r="I4602" t="str">
            <v>--</v>
          </cell>
          <cell r="J4602">
            <v>3</v>
          </cell>
          <cell r="K4602">
            <v>3</v>
          </cell>
        </row>
        <row r="4603">
          <cell r="A4603" t="str">
            <v>M2</v>
          </cell>
          <cell r="B4603" t="str">
            <v>A5C</v>
          </cell>
          <cell r="C4603" t="str">
            <v>P</v>
          </cell>
          <cell r="D4603" t="str">
            <v>24025</v>
          </cell>
          <cell r="E4603" t="str">
            <v>BALL VA</v>
          </cell>
          <cell r="F4603">
            <v>6</v>
          </cell>
          <cell r="G4603" t="str">
            <v>VB8010600000T00</v>
          </cell>
          <cell r="H4603">
            <v>0.75</v>
          </cell>
          <cell r="I4603" t="str">
            <v>--</v>
          </cell>
          <cell r="J4603">
            <v>2</v>
          </cell>
          <cell r="K4603">
            <v>2</v>
          </cell>
        </row>
        <row r="4604">
          <cell r="A4604" t="str">
            <v>M2</v>
          </cell>
          <cell r="B4604" t="str">
            <v>A5C</v>
          </cell>
          <cell r="C4604" t="str">
            <v>P</v>
          </cell>
          <cell r="D4604" t="str">
            <v>24027</v>
          </cell>
          <cell r="E4604" t="str">
            <v>BALL VA</v>
          </cell>
          <cell r="F4604">
            <v>6</v>
          </cell>
          <cell r="G4604" t="str">
            <v>VB8010600000T00</v>
          </cell>
          <cell r="H4604">
            <v>0.75</v>
          </cell>
          <cell r="I4604" t="str">
            <v>--</v>
          </cell>
          <cell r="J4604">
            <v>2</v>
          </cell>
          <cell r="K4604">
            <v>2</v>
          </cell>
        </row>
        <row r="4605">
          <cell r="A4605" t="str">
            <v>M2</v>
          </cell>
          <cell r="B4605" t="str">
            <v>A5C</v>
          </cell>
          <cell r="C4605" t="str">
            <v>P</v>
          </cell>
          <cell r="D4605" t="str">
            <v>24029</v>
          </cell>
          <cell r="E4605" t="str">
            <v>BALL VA</v>
          </cell>
          <cell r="F4605">
            <v>6</v>
          </cell>
          <cell r="G4605" t="str">
            <v>VB8010600000T00</v>
          </cell>
          <cell r="H4605">
            <v>0.75</v>
          </cell>
          <cell r="I4605" t="str">
            <v>--</v>
          </cell>
          <cell r="J4605">
            <v>4</v>
          </cell>
          <cell r="K4605">
            <v>4</v>
          </cell>
        </row>
        <row r="4606">
          <cell r="A4606" t="str">
            <v>M2</v>
          </cell>
          <cell r="B4606" t="str">
            <v>A5C</v>
          </cell>
          <cell r="C4606" t="str">
            <v>P</v>
          </cell>
          <cell r="D4606" t="str">
            <v>24029</v>
          </cell>
          <cell r="E4606" t="str">
            <v>BALL VA</v>
          </cell>
          <cell r="F4606">
            <v>6</v>
          </cell>
          <cell r="G4606" t="str">
            <v>VB8010600000T00</v>
          </cell>
          <cell r="H4606">
            <v>0.75</v>
          </cell>
          <cell r="I4606" t="str">
            <v>--</v>
          </cell>
          <cell r="J4606">
            <v>2</v>
          </cell>
          <cell r="K4606">
            <v>2</v>
          </cell>
        </row>
        <row r="4607">
          <cell r="A4607" t="str">
            <v>M2</v>
          </cell>
          <cell r="B4607" t="str">
            <v>A5C</v>
          </cell>
          <cell r="C4607" t="str">
            <v>P</v>
          </cell>
          <cell r="D4607" t="str">
            <v>24031</v>
          </cell>
          <cell r="E4607" t="str">
            <v>BALL VA</v>
          </cell>
          <cell r="F4607">
            <v>6</v>
          </cell>
          <cell r="G4607" t="str">
            <v>VB8010600000T00</v>
          </cell>
          <cell r="H4607">
            <v>0.75</v>
          </cell>
          <cell r="I4607" t="str">
            <v>--</v>
          </cell>
          <cell r="J4607">
            <v>1</v>
          </cell>
          <cell r="K4607">
            <v>1</v>
          </cell>
        </row>
        <row r="4608">
          <cell r="A4608" t="str">
            <v>M2</v>
          </cell>
          <cell r="B4608" t="str">
            <v>A5C</v>
          </cell>
          <cell r="C4608" t="str">
            <v>P</v>
          </cell>
          <cell r="D4608" t="str">
            <v>99004</v>
          </cell>
          <cell r="E4608" t="str">
            <v>BALL VA</v>
          </cell>
          <cell r="F4608">
            <v>6</v>
          </cell>
          <cell r="G4608" t="str">
            <v>VB8010600000T00</v>
          </cell>
          <cell r="H4608">
            <v>0.75</v>
          </cell>
          <cell r="I4608" t="str">
            <v>--</v>
          </cell>
          <cell r="J4608">
            <v>1</v>
          </cell>
          <cell r="K4608">
            <v>1</v>
          </cell>
        </row>
        <row r="4609">
          <cell r="A4609" t="str">
            <v>M2</v>
          </cell>
          <cell r="B4609" t="str">
            <v>A5C</v>
          </cell>
          <cell r="C4609" t="str">
            <v>P</v>
          </cell>
          <cell r="D4609" t="str">
            <v>99004</v>
          </cell>
          <cell r="E4609" t="str">
            <v>BALL VA</v>
          </cell>
          <cell r="F4609">
            <v>6</v>
          </cell>
          <cell r="G4609" t="str">
            <v>VB8010600000T00</v>
          </cell>
          <cell r="H4609">
            <v>0.75</v>
          </cell>
          <cell r="I4609" t="str">
            <v>--</v>
          </cell>
          <cell r="J4609">
            <v>2</v>
          </cell>
          <cell r="K4609">
            <v>2</v>
          </cell>
        </row>
        <row r="4610">
          <cell r="A4610" t="str">
            <v>M2</v>
          </cell>
          <cell r="B4610" t="str">
            <v>A5C</v>
          </cell>
          <cell r="C4610" t="str">
            <v>TRIM</v>
          </cell>
          <cell r="D4610" t="str">
            <v>C-2301</v>
          </cell>
          <cell r="E4610" t="str">
            <v>BALL VA</v>
          </cell>
          <cell r="F4610">
            <v>6</v>
          </cell>
          <cell r="G4610" t="str">
            <v>VB8010600000T00</v>
          </cell>
          <cell r="H4610">
            <v>0.75</v>
          </cell>
          <cell r="I4610" t="str">
            <v>--</v>
          </cell>
          <cell r="J4610">
            <v>2</v>
          </cell>
          <cell r="K4610">
            <v>2</v>
          </cell>
        </row>
        <row r="4611">
          <cell r="A4611" t="str">
            <v>M2</v>
          </cell>
          <cell r="B4611" t="str">
            <v>A5C</v>
          </cell>
          <cell r="C4611" t="str">
            <v>TRIM</v>
          </cell>
          <cell r="D4611" t="str">
            <v>C-2301</v>
          </cell>
          <cell r="E4611" t="str">
            <v>BALL VA</v>
          </cell>
          <cell r="F4611">
            <v>6</v>
          </cell>
          <cell r="G4611" t="str">
            <v>VB8010600000T00</v>
          </cell>
          <cell r="H4611">
            <v>0.75</v>
          </cell>
          <cell r="I4611" t="str">
            <v>--</v>
          </cell>
          <cell r="J4611">
            <v>4</v>
          </cell>
          <cell r="K4611">
            <v>4</v>
          </cell>
        </row>
        <row r="4612">
          <cell r="A4612" t="str">
            <v>M2</v>
          </cell>
          <cell r="B4612" t="str">
            <v>A5C</v>
          </cell>
          <cell r="C4612" t="str">
            <v>TRIM</v>
          </cell>
          <cell r="D4612" t="str">
            <v>R-2401</v>
          </cell>
          <cell r="E4612" t="str">
            <v>BALL VA</v>
          </cell>
          <cell r="F4612">
            <v>6</v>
          </cell>
          <cell r="G4612" t="str">
            <v>VB8010600000T00</v>
          </cell>
          <cell r="H4612">
            <v>0.75</v>
          </cell>
          <cell r="I4612" t="str">
            <v>--</v>
          </cell>
          <cell r="J4612">
            <v>2</v>
          </cell>
          <cell r="K4612">
            <v>2</v>
          </cell>
        </row>
        <row r="4613">
          <cell r="A4613" t="str">
            <v>M2</v>
          </cell>
          <cell r="B4613" t="str">
            <v>A5C</v>
          </cell>
          <cell r="C4613" t="str">
            <v>TRIM</v>
          </cell>
          <cell r="D4613" t="str">
            <v>R-2401</v>
          </cell>
          <cell r="E4613" t="str">
            <v>BALL VA</v>
          </cell>
          <cell r="F4613">
            <v>6</v>
          </cell>
          <cell r="G4613" t="str">
            <v>VB8010600000T00</v>
          </cell>
          <cell r="H4613">
            <v>0.75</v>
          </cell>
          <cell r="I4613" t="str">
            <v>--</v>
          </cell>
          <cell r="J4613">
            <v>5</v>
          </cell>
          <cell r="K4613">
            <v>5</v>
          </cell>
        </row>
        <row r="4614">
          <cell r="A4614" t="str">
            <v>M2</v>
          </cell>
          <cell r="B4614" t="str">
            <v>A5C</v>
          </cell>
          <cell r="C4614" t="str">
            <v>TRIM</v>
          </cell>
          <cell r="D4614" t="str">
            <v>V-2401</v>
          </cell>
          <cell r="E4614" t="str">
            <v>BALL VA</v>
          </cell>
          <cell r="F4614">
            <v>6</v>
          </cell>
          <cell r="G4614" t="str">
            <v>VB8010600000T00</v>
          </cell>
          <cell r="H4614">
            <v>0.75</v>
          </cell>
          <cell r="I4614" t="str">
            <v>--</v>
          </cell>
          <cell r="J4614">
            <v>2</v>
          </cell>
          <cell r="K4614">
            <v>2</v>
          </cell>
        </row>
        <row r="4615">
          <cell r="A4615" t="str">
            <v>M2</v>
          </cell>
          <cell r="B4615" t="str">
            <v>A5C</v>
          </cell>
          <cell r="C4615" t="str">
            <v>TRIM</v>
          </cell>
          <cell r="D4615" t="str">
            <v>V-2404</v>
          </cell>
          <cell r="E4615" t="str">
            <v>BALL VA</v>
          </cell>
          <cell r="F4615">
            <v>6</v>
          </cell>
          <cell r="G4615" t="str">
            <v>VB8010600000T00</v>
          </cell>
          <cell r="H4615">
            <v>0.75</v>
          </cell>
          <cell r="I4615" t="str">
            <v>--</v>
          </cell>
          <cell r="J4615">
            <v>4</v>
          </cell>
          <cell r="K4615">
            <v>4</v>
          </cell>
        </row>
        <row r="4616">
          <cell r="A4616" t="str">
            <v>M2</v>
          </cell>
          <cell r="B4616" t="str">
            <v>A5C</v>
          </cell>
          <cell r="C4616" t="str">
            <v>P</v>
          </cell>
          <cell r="D4616" t="str">
            <v>23013</v>
          </cell>
          <cell r="E4616" t="str">
            <v>BALL VA</v>
          </cell>
          <cell r="F4616">
            <v>6</v>
          </cell>
          <cell r="G4616" t="str">
            <v>VB8010600000T00</v>
          </cell>
          <cell r="H4616">
            <v>0.75</v>
          </cell>
          <cell r="I4616" t="str">
            <v>--</v>
          </cell>
          <cell r="J4616">
            <v>2</v>
          </cell>
          <cell r="K4616">
            <v>2</v>
          </cell>
        </row>
        <row r="4617">
          <cell r="A4617" t="str">
            <v>M2</v>
          </cell>
          <cell r="B4617" t="str">
            <v>A5C</v>
          </cell>
          <cell r="C4617" t="str">
            <v>P</v>
          </cell>
          <cell r="D4617" t="str">
            <v>23013</v>
          </cell>
          <cell r="E4617" t="str">
            <v>BALL VA</v>
          </cell>
          <cell r="F4617">
            <v>6</v>
          </cell>
          <cell r="G4617" t="str">
            <v>VB8010600000T00</v>
          </cell>
          <cell r="H4617">
            <v>0.75</v>
          </cell>
          <cell r="I4617" t="str">
            <v>--</v>
          </cell>
          <cell r="J4617">
            <v>2</v>
          </cell>
          <cell r="K4617">
            <v>2</v>
          </cell>
        </row>
        <row r="4618">
          <cell r="A4618" t="str">
            <v>M2</v>
          </cell>
          <cell r="B4618" t="str">
            <v>A5C</v>
          </cell>
          <cell r="C4618" t="str">
            <v>P</v>
          </cell>
          <cell r="D4618" t="str">
            <v>24026</v>
          </cell>
          <cell r="E4618" t="str">
            <v>BALL VA</v>
          </cell>
          <cell r="F4618">
            <v>6</v>
          </cell>
          <cell r="G4618" t="str">
            <v>VB8010600000T00</v>
          </cell>
          <cell r="H4618">
            <v>0.75</v>
          </cell>
          <cell r="I4618" t="str">
            <v>--</v>
          </cell>
          <cell r="J4618">
            <v>1</v>
          </cell>
          <cell r="K4618">
            <v>1</v>
          </cell>
        </row>
        <row r="4619">
          <cell r="A4619" t="str">
            <v>M2</v>
          </cell>
          <cell r="B4619" t="str">
            <v>A5C</v>
          </cell>
          <cell r="C4619" t="str">
            <v>P</v>
          </cell>
          <cell r="D4619" t="str">
            <v>24033</v>
          </cell>
          <cell r="E4619" t="str">
            <v>BALL VA</v>
          </cell>
          <cell r="F4619">
            <v>6</v>
          </cell>
          <cell r="G4619" t="str">
            <v>VB8010600000T00</v>
          </cell>
          <cell r="H4619">
            <v>0.75</v>
          </cell>
          <cell r="I4619" t="str">
            <v>--</v>
          </cell>
          <cell r="J4619">
            <v>1</v>
          </cell>
          <cell r="K4619">
            <v>1</v>
          </cell>
        </row>
        <row r="4620">
          <cell r="A4620" t="str">
            <v>M2</v>
          </cell>
          <cell r="B4620" t="str">
            <v>A5C</v>
          </cell>
          <cell r="C4620" t="str">
            <v>TRIM</v>
          </cell>
          <cell r="D4620" t="str">
            <v>V-2401</v>
          </cell>
          <cell r="E4620" t="str">
            <v>BALL VA</v>
          </cell>
          <cell r="F4620">
            <v>6</v>
          </cell>
          <cell r="G4620" t="str">
            <v>VB8010600000T00</v>
          </cell>
          <cell r="H4620">
            <v>0.75</v>
          </cell>
          <cell r="I4620" t="str">
            <v>--</v>
          </cell>
          <cell r="J4620">
            <v>4</v>
          </cell>
          <cell r="K4620">
            <v>4</v>
          </cell>
        </row>
        <row r="4621">
          <cell r="A4621" t="str">
            <v>M2</v>
          </cell>
          <cell r="B4621" t="str">
            <v>A5C</v>
          </cell>
          <cell r="C4621" t="str">
            <v>TRIM</v>
          </cell>
          <cell r="D4621" t="str">
            <v>V-2404</v>
          </cell>
          <cell r="E4621" t="str">
            <v>BALL VA</v>
          </cell>
          <cell r="F4621">
            <v>6</v>
          </cell>
          <cell r="G4621" t="str">
            <v>VB8010600000T00</v>
          </cell>
          <cell r="H4621">
            <v>0.75</v>
          </cell>
          <cell r="I4621" t="str">
            <v>--</v>
          </cell>
          <cell r="J4621">
            <v>2</v>
          </cell>
          <cell r="K4621">
            <v>2</v>
          </cell>
        </row>
        <row r="4622">
          <cell r="A4622" t="str">
            <v>M2</v>
          </cell>
          <cell r="B4622" t="str">
            <v>A5C</v>
          </cell>
          <cell r="C4622" t="str">
            <v>P</v>
          </cell>
          <cell r="D4622" t="str">
            <v>23014</v>
          </cell>
          <cell r="E4622" t="str">
            <v>CHECK VA</v>
          </cell>
          <cell r="F4622">
            <v>6</v>
          </cell>
          <cell r="G4622" t="str">
            <v>VCB8010400000T00</v>
          </cell>
          <cell r="H4622">
            <v>0.75</v>
          </cell>
          <cell r="I4622" t="str">
            <v>--</v>
          </cell>
          <cell r="J4622">
            <v>1</v>
          </cell>
          <cell r="K4622">
            <v>1</v>
          </cell>
        </row>
        <row r="4623">
          <cell r="A4623" t="str">
            <v>M2</v>
          </cell>
          <cell r="B4623" t="str">
            <v>A5C</v>
          </cell>
          <cell r="C4623" t="str">
            <v>P</v>
          </cell>
          <cell r="D4623" t="str">
            <v>24029</v>
          </cell>
          <cell r="E4623" t="str">
            <v>CHECK VA</v>
          </cell>
          <cell r="F4623">
            <v>6</v>
          </cell>
          <cell r="G4623" t="str">
            <v>VCB8010400000T00</v>
          </cell>
          <cell r="H4623">
            <v>0.75</v>
          </cell>
          <cell r="I4623" t="str">
            <v>--</v>
          </cell>
          <cell r="J4623">
            <v>2</v>
          </cell>
          <cell r="K4623">
            <v>2</v>
          </cell>
        </row>
        <row r="4624">
          <cell r="A4624" t="str">
            <v>M2</v>
          </cell>
          <cell r="B4624" t="str">
            <v>A5C</v>
          </cell>
          <cell r="C4624" t="str">
            <v>P</v>
          </cell>
          <cell r="D4624" t="str">
            <v>23156</v>
          </cell>
          <cell r="E4624" t="str">
            <v>GLOBE VA</v>
          </cell>
          <cell r="F4624">
            <v>6</v>
          </cell>
          <cell r="G4624" t="str">
            <v>VL8010100000T00</v>
          </cell>
          <cell r="H4624">
            <v>0.75</v>
          </cell>
          <cell r="I4624" t="str">
            <v>--</v>
          </cell>
          <cell r="J4624">
            <v>1</v>
          </cell>
          <cell r="K4624">
            <v>1</v>
          </cell>
        </row>
        <row r="4625">
          <cell r="A4625" t="str">
            <v>M2</v>
          </cell>
          <cell r="B4625" t="str">
            <v>A5C</v>
          </cell>
          <cell r="C4625" t="str">
            <v>P</v>
          </cell>
          <cell r="D4625" t="str">
            <v>99004</v>
          </cell>
          <cell r="E4625" t="str">
            <v>GLOBE VA</v>
          </cell>
          <cell r="F4625">
            <v>6</v>
          </cell>
          <cell r="G4625" t="str">
            <v>VL8010100000T00</v>
          </cell>
          <cell r="H4625">
            <v>0.75</v>
          </cell>
          <cell r="I4625" t="str">
            <v>--</v>
          </cell>
          <cell r="J4625">
            <v>1</v>
          </cell>
          <cell r="K4625">
            <v>1</v>
          </cell>
        </row>
        <row r="4626">
          <cell r="A4626" t="str">
            <v>M2</v>
          </cell>
          <cell r="B4626" t="str">
            <v>A5C</v>
          </cell>
          <cell r="C4626" t="str">
            <v>N</v>
          </cell>
          <cell r="D4626" t="str">
            <v>23634</v>
          </cell>
          <cell r="E4626" t="str">
            <v>BALL VA</v>
          </cell>
          <cell r="F4626">
            <v>6</v>
          </cell>
          <cell r="G4626" t="str">
            <v>VB8010600000100</v>
          </cell>
          <cell r="H4626">
            <v>1</v>
          </cell>
          <cell r="I4626" t="str">
            <v>--</v>
          </cell>
          <cell r="J4626">
            <v>1</v>
          </cell>
          <cell r="K4626">
            <v>1</v>
          </cell>
        </row>
        <row r="4627">
          <cell r="A4627" t="str">
            <v>M2</v>
          </cell>
          <cell r="B4627" t="str">
            <v>A5C</v>
          </cell>
          <cell r="C4627" t="str">
            <v>N</v>
          </cell>
          <cell r="D4627" t="str">
            <v>23636</v>
          </cell>
          <cell r="E4627" t="str">
            <v>BALL VA</v>
          </cell>
          <cell r="F4627">
            <v>6</v>
          </cell>
          <cell r="G4627" t="str">
            <v>VB8010600000100</v>
          </cell>
          <cell r="H4627">
            <v>1</v>
          </cell>
          <cell r="I4627" t="str">
            <v>--</v>
          </cell>
          <cell r="J4627">
            <v>1</v>
          </cell>
          <cell r="K4627">
            <v>1</v>
          </cell>
        </row>
        <row r="4628">
          <cell r="A4628" t="str">
            <v>M2</v>
          </cell>
          <cell r="B4628" t="str">
            <v>A5C</v>
          </cell>
          <cell r="C4628" t="str">
            <v>P</v>
          </cell>
          <cell r="D4628" t="str">
            <v>23037</v>
          </cell>
          <cell r="E4628" t="str">
            <v>BALL VA</v>
          </cell>
          <cell r="F4628">
            <v>6</v>
          </cell>
          <cell r="G4628" t="str">
            <v>VB8010600000100</v>
          </cell>
          <cell r="H4628">
            <v>1</v>
          </cell>
          <cell r="I4628" t="str">
            <v>--</v>
          </cell>
          <cell r="J4628">
            <v>3</v>
          </cell>
          <cell r="K4628">
            <v>3</v>
          </cell>
        </row>
        <row r="4629">
          <cell r="A4629" t="str">
            <v>M2</v>
          </cell>
          <cell r="B4629" t="str">
            <v>A5C</v>
          </cell>
          <cell r="C4629" t="str">
            <v>P</v>
          </cell>
          <cell r="D4629" t="str">
            <v>23052</v>
          </cell>
          <cell r="E4629" t="str">
            <v>BALL VA</v>
          </cell>
          <cell r="F4629">
            <v>6</v>
          </cell>
          <cell r="G4629" t="str">
            <v>VB8010600000100</v>
          </cell>
          <cell r="H4629">
            <v>1</v>
          </cell>
          <cell r="I4629" t="str">
            <v>--</v>
          </cell>
          <cell r="J4629">
            <v>3</v>
          </cell>
          <cell r="K4629">
            <v>3</v>
          </cell>
        </row>
        <row r="4630">
          <cell r="A4630" t="str">
            <v>M2</v>
          </cell>
          <cell r="B4630" t="str">
            <v>A5C</v>
          </cell>
          <cell r="C4630" t="str">
            <v>P</v>
          </cell>
          <cell r="D4630" t="str">
            <v>23063</v>
          </cell>
          <cell r="E4630" t="str">
            <v>BALL VA</v>
          </cell>
          <cell r="F4630">
            <v>6</v>
          </cell>
          <cell r="G4630" t="str">
            <v>VB8010600000100</v>
          </cell>
          <cell r="H4630">
            <v>1</v>
          </cell>
          <cell r="I4630" t="str">
            <v>--</v>
          </cell>
          <cell r="J4630">
            <v>3</v>
          </cell>
          <cell r="K4630">
            <v>3</v>
          </cell>
        </row>
        <row r="4631">
          <cell r="A4631" t="str">
            <v>M2</v>
          </cell>
          <cell r="B4631" t="str">
            <v>A5C</v>
          </cell>
          <cell r="C4631" t="str">
            <v>P</v>
          </cell>
          <cell r="D4631" t="str">
            <v>23067</v>
          </cell>
          <cell r="E4631" t="str">
            <v>BALL VA</v>
          </cell>
          <cell r="F4631">
            <v>6</v>
          </cell>
          <cell r="G4631" t="str">
            <v>VB8010600000100</v>
          </cell>
          <cell r="H4631">
            <v>1</v>
          </cell>
          <cell r="I4631" t="str">
            <v>--</v>
          </cell>
          <cell r="J4631">
            <v>1</v>
          </cell>
          <cell r="K4631">
            <v>1</v>
          </cell>
        </row>
        <row r="4632">
          <cell r="A4632" t="str">
            <v>M2</v>
          </cell>
          <cell r="B4632" t="str">
            <v>A5C</v>
          </cell>
          <cell r="C4632" t="str">
            <v>P</v>
          </cell>
          <cell r="D4632" t="str">
            <v>23078</v>
          </cell>
          <cell r="E4632" t="str">
            <v>BALL VA</v>
          </cell>
          <cell r="F4632">
            <v>6</v>
          </cell>
          <cell r="G4632" t="str">
            <v>VB8010600000100</v>
          </cell>
          <cell r="H4632">
            <v>1</v>
          </cell>
          <cell r="I4632" t="str">
            <v>--</v>
          </cell>
          <cell r="J4632">
            <v>3</v>
          </cell>
          <cell r="K4632">
            <v>3</v>
          </cell>
        </row>
        <row r="4633">
          <cell r="A4633" t="str">
            <v>M2</v>
          </cell>
          <cell r="B4633" t="str">
            <v>A5C</v>
          </cell>
          <cell r="C4633" t="str">
            <v>P</v>
          </cell>
          <cell r="D4633" t="str">
            <v>23083</v>
          </cell>
          <cell r="E4633" t="str">
            <v>BALL VA</v>
          </cell>
          <cell r="F4633">
            <v>6</v>
          </cell>
          <cell r="G4633" t="str">
            <v>VB8010600000100</v>
          </cell>
          <cell r="H4633">
            <v>1</v>
          </cell>
          <cell r="I4633" t="str">
            <v>--</v>
          </cell>
          <cell r="J4633">
            <v>3</v>
          </cell>
          <cell r="K4633">
            <v>3</v>
          </cell>
        </row>
        <row r="4634">
          <cell r="A4634" t="str">
            <v>M2</v>
          </cell>
          <cell r="B4634" t="str">
            <v>A5C</v>
          </cell>
          <cell r="C4634" t="str">
            <v>P</v>
          </cell>
          <cell r="D4634" t="str">
            <v>23104</v>
          </cell>
          <cell r="E4634" t="str">
            <v>BALL VA</v>
          </cell>
          <cell r="F4634">
            <v>6</v>
          </cell>
          <cell r="G4634" t="str">
            <v>VB8010600000100</v>
          </cell>
          <cell r="H4634">
            <v>1</v>
          </cell>
          <cell r="I4634" t="str">
            <v>--</v>
          </cell>
          <cell r="J4634">
            <v>1</v>
          </cell>
          <cell r="K4634">
            <v>1</v>
          </cell>
        </row>
        <row r="4635">
          <cell r="A4635" t="str">
            <v>M2</v>
          </cell>
          <cell r="B4635" t="str">
            <v>A5C</v>
          </cell>
          <cell r="C4635" t="str">
            <v>P</v>
          </cell>
          <cell r="D4635" t="str">
            <v>23104</v>
          </cell>
          <cell r="E4635" t="str">
            <v>BALL VA</v>
          </cell>
          <cell r="F4635">
            <v>6</v>
          </cell>
          <cell r="G4635" t="str">
            <v>VB8010600000100</v>
          </cell>
          <cell r="H4635">
            <v>1</v>
          </cell>
          <cell r="I4635" t="str">
            <v>--</v>
          </cell>
          <cell r="J4635">
            <v>1</v>
          </cell>
          <cell r="K4635">
            <v>1</v>
          </cell>
        </row>
        <row r="4636">
          <cell r="A4636" t="str">
            <v>M2</v>
          </cell>
          <cell r="B4636" t="str">
            <v>A5C</v>
          </cell>
          <cell r="C4636" t="str">
            <v>P</v>
          </cell>
          <cell r="D4636" t="str">
            <v>23108</v>
          </cell>
          <cell r="E4636" t="str">
            <v>BALL VA</v>
          </cell>
          <cell r="F4636">
            <v>6</v>
          </cell>
          <cell r="G4636" t="str">
            <v>VB8010600000100</v>
          </cell>
          <cell r="H4636">
            <v>1</v>
          </cell>
          <cell r="I4636" t="str">
            <v>--</v>
          </cell>
          <cell r="J4636">
            <v>1</v>
          </cell>
          <cell r="K4636">
            <v>1</v>
          </cell>
        </row>
        <row r="4637">
          <cell r="A4637" t="str">
            <v>M2</v>
          </cell>
          <cell r="B4637" t="str">
            <v>A5C</v>
          </cell>
          <cell r="C4637" t="str">
            <v>P</v>
          </cell>
          <cell r="D4637" t="str">
            <v>23112</v>
          </cell>
          <cell r="E4637" t="str">
            <v>BALL VA</v>
          </cell>
          <cell r="F4637">
            <v>6</v>
          </cell>
          <cell r="G4637" t="str">
            <v>VB8010600000100</v>
          </cell>
          <cell r="H4637">
            <v>1</v>
          </cell>
          <cell r="I4637" t="str">
            <v>--</v>
          </cell>
          <cell r="J4637">
            <v>1</v>
          </cell>
          <cell r="K4637">
            <v>1</v>
          </cell>
        </row>
        <row r="4638">
          <cell r="A4638" t="str">
            <v>M2</v>
          </cell>
          <cell r="B4638" t="str">
            <v>A5C</v>
          </cell>
          <cell r="C4638" t="str">
            <v>P</v>
          </cell>
          <cell r="D4638" t="str">
            <v>23112</v>
          </cell>
          <cell r="E4638" t="str">
            <v>BALL VA</v>
          </cell>
          <cell r="F4638">
            <v>6</v>
          </cell>
          <cell r="G4638" t="str">
            <v>VB8010600000100</v>
          </cell>
          <cell r="H4638">
            <v>1</v>
          </cell>
          <cell r="I4638" t="str">
            <v>--</v>
          </cell>
          <cell r="J4638">
            <v>1</v>
          </cell>
          <cell r="K4638">
            <v>1</v>
          </cell>
        </row>
        <row r="4639">
          <cell r="A4639" t="str">
            <v>M2</v>
          </cell>
          <cell r="B4639" t="str">
            <v>A5C</v>
          </cell>
          <cell r="C4639" t="str">
            <v>P</v>
          </cell>
          <cell r="D4639" t="str">
            <v>23122</v>
          </cell>
          <cell r="E4639" t="str">
            <v>BALL VA</v>
          </cell>
          <cell r="F4639">
            <v>6</v>
          </cell>
          <cell r="G4639" t="str">
            <v>VB8010600000100</v>
          </cell>
          <cell r="H4639">
            <v>1</v>
          </cell>
          <cell r="I4639" t="str">
            <v>--</v>
          </cell>
          <cell r="J4639">
            <v>3</v>
          </cell>
          <cell r="K4639">
            <v>3</v>
          </cell>
        </row>
        <row r="4640">
          <cell r="A4640" t="str">
            <v>M2</v>
          </cell>
          <cell r="B4640" t="str">
            <v>A5C</v>
          </cell>
          <cell r="C4640" t="str">
            <v>P</v>
          </cell>
          <cell r="D4640" t="str">
            <v>23144</v>
          </cell>
          <cell r="E4640" t="str">
            <v>BALL VA</v>
          </cell>
          <cell r="F4640">
            <v>6</v>
          </cell>
          <cell r="G4640" t="str">
            <v>VB8010600000100</v>
          </cell>
          <cell r="H4640">
            <v>1</v>
          </cell>
          <cell r="I4640" t="str">
            <v>--</v>
          </cell>
          <cell r="J4640">
            <v>2</v>
          </cell>
          <cell r="K4640">
            <v>2</v>
          </cell>
        </row>
        <row r="4641">
          <cell r="A4641" t="str">
            <v>M2</v>
          </cell>
          <cell r="B4641" t="str">
            <v>A5C</v>
          </cell>
          <cell r="C4641" t="str">
            <v>P</v>
          </cell>
          <cell r="D4641" t="str">
            <v>23148</v>
          </cell>
          <cell r="E4641" t="str">
            <v>BALL VA</v>
          </cell>
          <cell r="F4641">
            <v>6</v>
          </cell>
          <cell r="G4641" t="str">
            <v>VB8010600000100</v>
          </cell>
          <cell r="H4641">
            <v>1</v>
          </cell>
          <cell r="I4641" t="str">
            <v>--</v>
          </cell>
          <cell r="J4641">
            <v>2</v>
          </cell>
          <cell r="K4641">
            <v>2</v>
          </cell>
        </row>
        <row r="4642">
          <cell r="A4642" t="str">
            <v>M2</v>
          </cell>
          <cell r="B4642" t="str">
            <v>A5C</v>
          </cell>
          <cell r="C4642" t="str">
            <v>P</v>
          </cell>
          <cell r="D4642" t="str">
            <v>23149</v>
          </cell>
          <cell r="E4642" t="str">
            <v>BALL VA</v>
          </cell>
          <cell r="F4642">
            <v>6</v>
          </cell>
          <cell r="G4642" t="str">
            <v>VB8010600000100</v>
          </cell>
          <cell r="H4642">
            <v>1</v>
          </cell>
          <cell r="I4642" t="str">
            <v>--</v>
          </cell>
          <cell r="J4642">
            <v>2</v>
          </cell>
          <cell r="K4642">
            <v>2</v>
          </cell>
        </row>
        <row r="4643">
          <cell r="A4643" t="str">
            <v>M2</v>
          </cell>
          <cell r="B4643" t="str">
            <v>A5C</v>
          </cell>
          <cell r="C4643" t="str">
            <v>P</v>
          </cell>
          <cell r="D4643" t="str">
            <v>23164</v>
          </cell>
          <cell r="E4643" t="str">
            <v>BALL VA</v>
          </cell>
          <cell r="F4643">
            <v>6</v>
          </cell>
          <cell r="G4643" t="str">
            <v>VB8010600000100</v>
          </cell>
          <cell r="H4643">
            <v>1</v>
          </cell>
          <cell r="I4643" t="str">
            <v>--</v>
          </cell>
          <cell r="J4643">
            <v>2</v>
          </cell>
          <cell r="K4643">
            <v>2</v>
          </cell>
        </row>
        <row r="4644">
          <cell r="A4644" t="str">
            <v>M2</v>
          </cell>
          <cell r="B4644" t="str">
            <v>A5C</v>
          </cell>
          <cell r="C4644" t="str">
            <v>P</v>
          </cell>
          <cell r="D4644" t="str">
            <v>23204</v>
          </cell>
          <cell r="E4644" t="str">
            <v>BALL VA</v>
          </cell>
          <cell r="F4644">
            <v>6</v>
          </cell>
          <cell r="G4644" t="str">
            <v>VB8010600000100</v>
          </cell>
          <cell r="H4644">
            <v>1</v>
          </cell>
          <cell r="I4644" t="str">
            <v>--</v>
          </cell>
          <cell r="J4644">
            <v>1</v>
          </cell>
          <cell r="K4644">
            <v>1</v>
          </cell>
        </row>
        <row r="4645">
          <cell r="A4645" t="str">
            <v>M2</v>
          </cell>
          <cell r="B4645" t="str">
            <v>A5C</v>
          </cell>
          <cell r="C4645" t="str">
            <v>P</v>
          </cell>
          <cell r="D4645" t="str">
            <v>23206</v>
          </cell>
          <cell r="E4645" t="str">
            <v>BALL VA</v>
          </cell>
          <cell r="F4645">
            <v>6</v>
          </cell>
          <cell r="G4645" t="str">
            <v>VB8010600000100</v>
          </cell>
          <cell r="H4645">
            <v>1</v>
          </cell>
          <cell r="I4645" t="str">
            <v>--</v>
          </cell>
          <cell r="J4645">
            <v>1</v>
          </cell>
          <cell r="K4645">
            <v>1</v>
          </cell>
        </row>
        <row r="4646">
          <cell r="A4646" t="str">
            <v>M2</v>
          </cell>
          <cell r="B4646" t="str">
            <v>A5C</v>
          </cell>
          <cell r="C4646" t="str">
            <v>P</v>
          </cell>
          <cell r="D4646" t="str">
            <v>23208</v>
          </cell>
          <cell r="E4646" t="str">
            <v>BALL VA</v>
          </cell>
          <cell r="F4646">
            <v>6</v>
          </cell>
          <cell r="G4646" t="str">
            <v>VB8010600000100</v>
          </cell>
          <cell r="H4646">
            <v>1</v>
          </cell>
          <cell r="I4646" t="str">
            <v>--</v>
          </cell>
          <cell r="J4646">
            <v>1</v>
          </cell>
          <cell r="K4646">
            <v>1</v>
          </cell>
        </row>
        <row r="4647">
          <cell r="A4647" t="str">
            <v>M2</v>
          </cell>
          <cell r="B4647" t="str">
            <v>A5C</v>
          </cell>
          <cell r="C4647" t="str">
            <v>P</v>
          </cell>
          <cell r="D4647" t="str">
            <v>23207</v>
          </cell>
          <cell r="E4647" t="str">
            <v>BALL VA</v>
          </cell>
          <cell r="F4647">
            <v>6</v>
          </cell>
          <cell r="G4647" t="str">
            <v>VB8010600000100</v>
          </cell>
          <cell r="H4647">
            <v>1</v>
          </cell>
          <cell r="I4647" t="str">
            <v>--</v>
          </cell>
          <cell r="J4647">
            <v>1</v>
          </cell>
          <cell r="K4647">
            <v>1</v>
          </cell>
        </row>
        <row r="4648">
          <cell r="A4648" t="str">
            <v>M2</v>
          </cell>
          <cell r="B4648" t="str">
            <v>A5C</v>
          </cell>
          <cell r="C4648" t="str">
            <v>P</v>
          </cell>
          <cell r="D4648" t="str">
            <v>23213</v>
          </cell>
          <cell r="E4648" t="str">
            <v>BALL VA</v>
          </cell>
          <cell r="F4648">
            <v>6</v>
          </cell>
          <cell r="G4648" t="str">
            <v>VB8010600000100</v>
          </cell>
          <cell r="H4648">
            <v>1</v>
          </cell>
          <cell r="I4648" t="str">
            <v>--</v>
          </cell>
          <cell r="J4648">
            <v>1</v>
          </cell>
          <cell r="K4648">
            <v>1</v>
          </cell>
        </row>
        <row r="4649">
          <cell r="A4649" t="str">
            <v>M2</v>
          </cell>
          <cell r="B4649" t="str">
            <v>A5C</v>
          </cell>
          <cell r="C4649" t="str">
            <v>P</v>
          </cell>
          <cell r="D4649" t="str">
            <v>23230</v>
          </cell>
          <cell r="E4649" t="str">
            <v>BALL VA</v>
          </cell>
          <cell r="F4649">
            <v>6</v>
          </cell>
          <cell r="G4649" t="str">
            <v>VB8010600000100</v>
          </cell>
          <cell r="H4649">
            <v>1</v>
          </cell>
          <cell r="I4649" t="str">
            <v>--</v>
          </cell>
          <cell r="J4649">
            <v>2</v>
          </cell>
          <cell r="K4649">
            <v>2</v>
          </cell>
        </row>
        <row r="4650">
          <cell r="A4650" t="str">
            <v>M2</v>
          </cell>
          <cell r="B4650" t="str">
            <v>A5C</v>
          </cell>
          <cell r="C4650" t="str">
            <v>P</v>
          </cell>
          <cell r="D4650" t="str">
            <v>23239</v>
          </cell>
          <cell r="E4650" t="str">
            <v>BALL VA</v>
          </cell>
          <cell r="F4650">
            <v>6</v>
          </cell>
          <cell r="G4650" t="str">
            <v>VB8010600000100</v>
          </cell>
          <cell r="H4650">
            <v>1</v>
          </cell>
          <cell r="I4650" t="str">
            <v>--</v>
          </cell>
          <cell r="J4650">
            <v>1</v>
          </cell>
          <cell r="K4650">
            <v>1</v>
          </cell>
        </row>
        <row r="4651">
          <cell r="A4651" t="str">
            <v>M2</v>
          </cell>
          <cell r="B4651" t="str">
            <v>A5C</v>
          </cell>
          <cell r="C4651" t="str">
            <v>P</v>
          </cell>
          <cell r="D4651" t="str">
            <v>23235</v>
          </cell>
          <cell r="E4651" t="str">
            <v>BALL VA</v>
          </cell>
          <cell r="F4651">
            <v>6</v>
          </cell>
          <cell r="G4651" t="str">
            <v>VB8010600000100</v>
          </cell>
          <cell r="H4651">
            <v>1</v>
          </cell>
          <cell r="I4651" t="str">
            <v>--</v>
          </cell>
          <cell r="J4651">
            <v>1</v>
          </cell>
          <cell r="K4651">
            <v>1</v>
          </cell>
        </row>
        <row r="4652">
          <cell r="A4652" t="str">
            <v>M2</v>
          </cell>
          <cell r="B4652" t="str">
            <v>A5C</v>
          </cell>
          <cell r="C4652" t="str">
            <v>P</v>
          </cell>
          <cell r="D4652" t="str">
            <v>23245</v>
          </cell>
          <cell r="E4652" t="str">
            <v>BALL VA</v>
          </cell>
          <cell r="F4652">
            <v>6</v>
          </cell>
          <cell r="G4652" t="str">
            <v>VB8010600000100</v>
          </cell>
          <cell r="H4652">
            <v>1</v>
          </cell>
          <cell r="I4652" t="str">
            <v>--</v>
          </cell>
          <cell r="J4652">
            <v>1</v>
          </cell>
          <cell r="K4652">
            <v>1</v>
          </cell>
        </row>
        <row r="4653">
          <cell r="A4653" t="str">
            <v>M2</v>
          </cell>
          <cell r="B4653" t="str">
            <v>A5C</v>
          </cell>
          <cell r="C4653" t="str">
            <v>P</v>
          </cell>
          <cell r="D4653" t="str">
            <v>23252</v>
          </cell>
          <cell r="E4653" t="str">
            <v>BALL VA</v>
          </cell>
          <cell r="F4653">
            <v>6</v>
          </cell>
          <cell r="G4653" t="str">
            <v>VB8010600000100</v>
          </cell>
          <cell r="H4653">
            <v>1</v>
          </cell>
          <cell r="I4653" t="str">
            <v>--</v>
          </cell>
          <cell r="J4653">
            <v>2</v>
          </cell>
          <cell r="K4653">
            <v>2</v>
          </cell>
        </row>
        <row r="4654">
          <cell r="A4654" t="str">
            <v>M2</v>
          </cell>
          <cell r="B4654" t="str">
            <v>A5C</v>
          </cell>
          <cell r="C4654" t="str">
            <v>P</v>
          </cell>
          <cell r="D4654" t="str">
            <v>23261</v>
          </cell>
          <cell r="E4654" t="str">
            <v>BALL VA</v>
          </cell>
          <cell r="F4654">
            <v>6</v>
          </cell>
          <cell r="G4654" t="str">
            <v>VB8010600000100</v>
          </cell>
          <cell r="H4654">
            <v>1</v>
          </cell>
          <cell r="I4654" t="str">
            <v>--</v>
          </cell>
          <cell r="J4654">
            <v>1</v>
          </cell>
          <cell r="K4654">
            <v>1</v>
          </cell>
        </row>
        <row r="4655">
          <cell r="A4655" t="str">
            <v>M2</v>
          </cell>
          <cell r="B4655" t="str">
            <v>A5C</v>
          </cell>
          <cell r="C4655" t="str">
            <v>P</v>
          </cell>
          <cell r="D4655" t="str">
            <v>24008</v>
          </cell>
          <cell r="E4655" t="str">
            <v>BALL VA</v>
          </cell>
          <cell r="F4655">
            <v>6</v>
          </cell>
          <cell r="G4655" t="str">
            <v>VB8010600000100</v>
          </cell>
          <cell r="H4655">
            <v>1</v>
          </cell>
          <cell r="I4655" t="str">
            <v>--</v>
          </cell>
          <cell r="J4655">
            <v>4</v>
          </cell>
          <cell r="K4655">
            <v>4</v>
          </cell>
        </row>
        <row r="4656">
          <cell r="A4656" t="str">
            <v>M2</v>
          </cell>
          <cell r="B4656" t="str">
            <v>A5C</v>
          </cell>
          <cell r="C4656" t="str">
            <v>P</v>
          </cell>
          <cell r="D4656" t="str">
            <v>24020</v>
          </cell>
          <cell r="E4656" t="str">
            <v>BALL VA</v>
          </cell>
          <cell r="F4656">
            <v>6</v>
          </cell>
          <cell r="G4656" t="str">
            <v>VB8010600000100</v>
          </cell>
          <cell r="H4656">
            <v>1</v>
          </cell>
          <cell r="I4656" t="str">
            <v>--</v>
          </cell>
          <cell r="J4656">
            <v>3</v>
          </cell>
          <cell r="K4656">
            <v>3</v>
          </cell>
        </row>
        <row r="4657">
          <cell r="A4657" t="str">
            <v>M2</v>
          </cell>
          <cell r="B4657" t="str">
            <v>A5C</v>
          </cell>
          <cell r="C4657" t="str">
            <v>TRIM</v>
          </cell>
          <cell r="D4657" t="str">
            <v>V-2316</v>
          </cell>
          <cell r="E4657" t="str">
            <v>BALL VA</v>
          </cell>
          <cell r="F4657">
            <v>6</v>
          </cell>
          <cell r="G4657" t="str">
            <v>VB8010600000100</v>
          </cell>
          <cell r="H4657">
            <v>1</v>
          </cell>
          <cell r="I4657" t="str">
            <v>--</v>
          </cell>
          <cell r="J4657">
            <v>2</v>
          </cell>
          <cell r="K4657">
            <v>2</v>
          </cell>
        </row>
        <row r="4658">
          <cell r="A4658" t="str">
            <v>M2</v>
          </cell>
          <cell r="B4658" t="str">
            <v>A5C</v>
          </cell>
          <cell r="C4658" t="str">
            <v>N</v>
          </cell>
          <cell r="D4658" t="str">
            <v>23638</v>
          </cell>
          <cell r="E4658" t="str">
            <v>BALL VA</v>
          </cell>
          <cell r="F4658">
            <v>6</v>
          </cell>
          <cell r="G4658" t="str">
            <v>VB8010600000100</v>
          </cell>
          <cell r="H4658">
            <v>1</v>
          </cell>
          <cell r="I4658" t="str">
            <v>--</v>
          </cell>
          <cell r="J4658">
            <v>1</v>
          </cell>
          <cell r="K4658">
            <v>1</v>
          </cell>
        </row>
        <row r="4659">
          <cell r="A4659" t="str">
            <v>M2</v>
          </cell>
          <cell r="B4659" t="str">
            <v>A5C</v>
          </cell>
          <cell r="C4659" t="str">
            <v>N</v>
          </cell>
          <cell r="D4659" t="str">
            <v>23640</v>
          </cell>
          <cell r="E4659" t="str">
            <v>BALL VA</v>
          </cell>
          <cell r="F4659">
            <v>6</v>
          </cell>
          <cell r="G4659" t="str">
            <v>VB8010600000100</v>
          </cell>
          <cell r="H4659">
            <v>1</v>
          </cell>
          <cell r="I4659" t="str">
            <v>--</v>
          </cell>
          <cell r="J4659">
            <v>1</v>
          </cell>
          <cell r="K4659">
            <v>1</v>
          </cell>
        </row>
        <row r="4660">
          <cell r="A4660" t="str">
            <v>M2</v>
          </cell>
          <cell r="B4660" t="str">
            <v>A5C</v>
          </cell>
          <cell r="C4660" t="str">
            <v>P</v>
          </cell>
          <cell r="D4660" t="str">
            <v>23108</v>
          </cell>
          <cell r="E4660" t="str">
            <v>BALL VA</v>
          </cell>
          <cell r="F4660">
            <v>6</v>
          </cell>
          <cell r="G4660" t="str">
            <v>VB8010600000100</v>
          </cell>
          <cell r="H4660">
            <v>1</v>
          </cell>
          <cell r="I4660" t="str">
            <v>--</v>
          </cell>
          <cell r="J4660">
            <v>1</v>
          </cell>
          <cell r="K4660">
            <v>1</v>
          </cell>
        </row>
        <row r="4661">
          <cell r="A4661" t="str">
            <v>M2</v>
          </cell>
          <cell r="B4661" t="str">
            <v>A5C</v>
          </cell>
          <cell r="C4661" t="str">
            <v>P</v>
          </cell>
          <cell r="D4661" t="str">
            <v>23126</v>
          </cell>
          <cell r="E4661" t="str">
            <v>BALL VA</v>
          </cell>
          <cell r="F4661">
            <v>6</v>
          </cell>
          <cell r="G4661" t="str">
            <v>VB8010600000100</v>
          </cell>
          <cell r="H4661">
            <v>1</v>
          </cell>
          <cell r="I4661" t="str">
            <v>--</v>
          </cell>
          <cell r="J4661">
            <v>1</v>
          </cell>
          <cell r="K4661">
            <v>1</v>
          </cell>
        </row>
        <row r="4662">
          <cell r="A4662" t="str">
            <v>M2</v>
          </cell>
          <cell r="B4662" t="str">
            <v>A5C</v>
          </cell>
          <cell r="C4662" t="str">
            <v>P</v>
          </cell>
          <cell r="D4662" t="str">
            <v>23205</v>
          </cell>
          <cell r="E4662" t="str">
            <v>BALL VA</v>
          </cell>
          <cell r="F4662">
            <v>6</v>
          </cell>
          <cell r="G4662" t="str">
            <v>VB8010600000100</v>
          </cell>
          <cell r="H4662">
            <v>1</v>
          </cell>
          <cell r="I4662" t="str">
            <v>--</v>
          </cell>
          <cell r="J4662">
            <v>1</v>
          </cell>
          <cell r="K4662">
            <v>1</v>
          </cell>
        </row>
        <row r="4663">
          <cell r="A4663" t="str">
            <v>M2</v>
          </cell>
          <cell r="B4663" t="str">
            <v>A5C</v>
          </cell>
          <cell r="C4663" t="str">
            <v>P</v>
          </cell>
          <cell r="D4663" t="str">
            <v>23212</v>
          </cell>
          <cell r="E4663" t="str">
            <v>BALL VA</v>
          </cell>
          <cell r="F4663">
            <v>6</v>
          </cell>
          <cell r="G4663" t="str">
            <v>VB8010600000100</v>
          </cell>
          <cell r="H4663">
            <v>1</v>
          </cell>
          <cell r="I4663" t="str">
            <v>--</v>
          </cell>
          <cell r="J4663">
            <v>1</v>
          </cell>
          <cell r="K4663">
            <v>1</v>
          </cell>
        </row>
        <row r="4664">
          <cell r="A4664" t="str">
            <v>M2</v>
          </cell>
          <cell r="B4664" t="str">
            <v>A5C</v>
          </cell>
          <cell r="C4664" t="str">
            <v>P</v>
          </cell>
          <cell r="D4664" t="str">
            <v>23214</v>
          </cell>
          <cell r="E4664" t="str">
            <v>BALL VA</v>
          </cell>
          <cell r="F4664">
            <v>6</v>
          </cell>
          <cell r="G4664" t="str">
            <v>VB8010600000100</v>
          </cell>
          <cell r="H4664">
            <v>1</v>
          </cell>
          <cell r="I4664" t="str">
            <v>--</v>
          </cell>
          <cell r="J4664">
            <v>1</v>
          </cell>
          <cell r="K4664">
            <v>1</v>
          </cell>
        </row>
        <row r="4665">
          <cell r="A4665" t="str">
            <v>M2</v>
          </cell>
          <cell r="B4665" t="str">
            <v>A5C</v>
          </cell>
          <cell r="C4665" t="str">
            <v>P</v>
          </cell>
          <cell r="D4665" t="str">
            <v>24007</v>
          </cell>
          <cell r="E4665" t="str">
            <v>BALL VA</v>
          </cell>
          <cell r="F4665">
            <v>6</v>
          </cell>
          <cell r="G4665" t="str">
            <v>VB8010600000100</v>
          </cell>
          <cell r="H4665">
            <v>1</v>
          </cell>
          <cell r="I4665" t="str">
            <v>--</v>
          </cell>
          <cell r="J4665">
            <v>1</v>
          </cell>
          <cell r="K4665">
            <v>1</v>
          </cell>
        </row>
        <row r="4666">
          <cell r="A4666" t="str">
            <v>M2</v>
          </cell>
          <cell r="B4666" t="str">
            <v>A5C</v>
          </cell>
          <cell r="C4666" t="str">
            <v>P</v>
          </cell>
          <cell r="D4666" t="str">
            <v>24013</v>
          </cell>
          <cell r="E4666" t="str">
            <v>BALL VA</v>
          </cell>
          <cell r="F4666">
            <v>6</v>
          </cell>
          <cell r="G4666" t="str">
            <v>VB8010600000100</v>
          </cell>
          <cell r="H4666">
            <v>1</v>
          </cell>
          <cell r="I4666" t="str">
            <v>--</v>
          </cell>
          <cell r="J4666">
            <v>1</v>
          </cell>
          <cell r="K4666">
            <v>1</v>
          </cell>
        </row>
        <row r="4667">
          <cell r="A4667" t="str">
            <v>M2</v>
          </cell>
          <cell r="B4667" t="str">
            <v>A5C</v>
          </cell>
          <cell r="C4667" t="str">
            <v>N</v>
          </cell>
          <cell r="D4667" t="str">
            <v>23640</v>
          </cell>
          <cell r="E4667" t="str">
            <v>CHECK VA</v>
          </cell>
          <cell r="F4667">
            <v>6</v>
          </cell>
          <cell r="G4667" t="str">
            <v>VCB8010400000100</v>
          </cell>
          <cell r="H4667">
            <v>1</v>
          </cell>
          <cell r="I4667" t="str">
            <v>--</v>
          </cell>
          <cell r="J4667">
            <v>1</v>
          </cell>
          <cell r="K4667">
            <v>1</v>
          </cell>
        </row>
        <row r="4668">
          <cell r="A4668" t="str">
            <v>M2</v>
          </cell>
          <cell r="B4668" t="str">
            <v>A5C</v>
          </cell>
          <cell r="C4668" t="str">
            <v>N</v>
          </cell>
          <cell r="D4668" t="str">
            <v>23631</v>
          </cell>
          <cell r="E4668" t="str">
            <v>CHECK VA</v>
          </cell>
          <cell r="F4668">
            <v>6</v>
          </cell>
          <cell r="G4668" t="str">
            <v>VCB8010400000100</v>
          </cell>
          <cell r="H4668">
            <v>1</v>
          </cell>
          <cell r="I4668" t="str">
            <v>--</v>
          </cell>
          <cell r="J4668">
            <v>1</v>
          </cell>
          <cell r="K4668">
            <v>1</v>
          </cell>
        </row>
        <row r="4669">
          <cell r="A4669" t="str">
            <v>M2</v>
          </cell>
          <cell r="B4669" t="str">
            <v>A5C</v>
          </cell>
          <cell r="C4669" t="str">
            <v>N</v>
          </cell>
          <cell r="D4669" t="str">
            <v>23632</v>
          </cell>
          <cell r="E4669" t="str">
            <v>CHECK VA</v>
          </cell>
          <cell r="F4669">
            <v>6</v>
          </cell>
          <cell r="G4669" t="str">
            <v>VCB8010400000100</v>
          </cell>
          <cell r="H4669">
            <v>1</v>
          </cell>
          <cell r="I4669" t="str">
            <v>--</v>
          </cell>
          <cell r="J4669">
            <v>1</v>
          </cell>
          <cell r="K4669">
            <v>1</v>
          </cell>
        </row>
        <row r="4670">
          <cell r="A4670" t="str">
            <v>M2</v>
          </cell>
          <cell r="B4670" t="str">
            <v>A5C</v>
          </cell>
          <cell r="C4670" t="str">
            <v>N</v>
          </cell>
          <cell r="D4670" t="str">
            <v>23633</v>
          </cell>
          <cell r="E4670" t="str">
            <v>CHECK VA</v>
          </cell>
          <cell r="F4670">
            <v>6</v>
          </cell>
          <cell r="G4670" t="str">
            <v>VCB8010400000100</v>
          </cell>
          <cell r="H4670">
            <v>1</v>
          </cell>
          <cell r="I4670" t="str">
            <v>--</v>
          </cell>
          <cell r="J4670">
            <v>1</v>
          </cell>
          <cell r="K4670">
            <v>1</v>
          </cell>
        </row>
        <row r="4671">
          <cell r="A4671" t="str">
            <v>M2</v>
          </cell>
          <cell r="B4671" t="str">
            <v>A5C</v>
          </cell>
          <cell r="C4671" t="str">
            <v>N</v>
          </cell>
          <cell r="D4671" t="str">
            <v>23634</v>
          </cell>
          <cell r="E4671" t="str">
            <v>CHECK VA</v>
          </cell>
          <cell r="F4671">
            <v>6</v>
          </cell>
          <cell r="G4671" t="str">
            <v>VCB8010400000100</v>
          </cell>
          <cell r="H4671">
            <v>1</v>
          </cell>
          <cell r="I4671" t="str">
            <v>--</v>
          </cell>
          <cell r="J4671">
            <v>1</v>
          </cell>
          <cell r="K4671">
            <v>1</v>
          </cell>
        </row>
        <row r="4672">
          <cell r="A4672" t="str">
            <v>M2</v>
          </cell>
          <cell r="B4672" t="str">
            <v>A5C</v>
          </cell>
          <cell r="C4672" t="str">
            <v>N</v>
          </cell>
          <cell r="D4672" t="str">
            <v>23635</v>
          </cell>
          <cell r="E4672" t="str">
            <v>CHECK VA</v>
          </cell>
          <cell r="F4672">
            <v>6</v>
          </cell>
          <cell r="G4672" t="str">
            <v>VCB8010400000100</v>
          </cell>
          <cell r="H4672">
            <v>1</v>
          </cell>
          <cell r="I4672" t="str">
            <v>--</v>
          </cell>
          <cell r="J4672">
            <v>1</v>
          </cell>
          <cell r="K4672">
            <v>1</v>
          </cell>
        </row>
        <row r="4673">
          <cell r="A4673" t="str">
            <v>M2</v>
          </cell>
          <cell r="B4673" t="str">
            <v>A5C</v>
          </cell>
          <cell r="C4673" t="str">
            <v>N</v>
          </cell>
          <cell r="D4673" t="str">
            <v>23638</v>
          </cell>
          <cell r="E4673" t="str">
            <v>CHECK VA</v>
          </cell>
          <cell r="F4673">
            <v>6</v>
          </cell>
          <cell r="G4673" t="str">
            <v>VCB8010400000100</v>
          </cell>
          <cell r="H4673">
            <v>1</v>
          </cell>
          <cell r="I4673" t="str">
            <v>--</v>
          </cell>
          <cell r="J4673">
            <v>1</v>
          </cell>
          <cell r="K4673">
            <v>1</v>
          </cell>
        </row>
        <row r="4674">
          <cell r="A4674" t="str">
            <v>M2</v>
          </cell>
          <cell r="B4674" t="str">
            <v>A5C</v>
          </cell>
          <cell r="C4674" t="str">
            <v>N</v>
          </cell>
          <cell r="D4674" t="str">
            <v>23639</v>
          </cell>
          <cell r="E4674" t="str">
            <v>CHECK VA</v>
          </cell>
          <cell r="F4674">
            <v>6</v>
          </cell>
          <cell r="G4674" t="str">
            <v>VCB8010400000100</v>
          </cell>
          <cell r="H4674">
            <v>1</v>
          </cell>
          <cell r="I4674" t="str">
            <v>--</v>
          </cell>
          <cell r="J4674">
            <v>1</v>
          </cell>
          <cell r="K4674">
            <v>1</v>
          </cell>
        </row>
        <row r="4675">
          <cell r="A4675" t="str">
            <v>M2</v>
          </cell>
          <cell r="B4675" t="str">
            <v>A5C</v>
          </cell>
          <cell r="C4675" t="str">
            <v>P</v>
          </cell>
          <cell r="D4675" t="str">
            <v>23037</v>
          </cell>
          <cell r="E4675" t="str">
            <v>CHECK VA</v>
          </cell>
          <cell r="F4675">
            <v>6</v>
          </cell>
          <cell r="G4675" t="str">
            <v>VCB8010400000100</v>
          </cell>
          <cell r="H4675">
            <v>1</v>
          </cell>
          <cell r="I4675" t="str">
            <v>--</v>
          </cell>
          <cell r="J4675">
            <v>1</v>
          </cell>
          <cell r="K4675">
            <v>1</v>
          </cell>
        </row>
        <row r="4676">
          <cell r="A4676" t="str">
            <v>M2</v>
          </cell>
          <cell r="B4676" t="str">
            <v>A5C</v>
          </cell>
          <cell r="C4676" t="str">
            <v>P</v>
          </cell>
          <cell r="D4676" t="str">
            <v>23083</v>
          </cell>
          <cell r="E4676" t="str">
            <v>CHECK VA</v>
          </cell>
          <cell r="F4676">
            <v>6</v>
          </cell>
          <cell r="G4676" t="str">
            <v>VCB8010400000100</v>
          </cell>
          <cell r="H4676">
            <v>1</v>
          </cell>
          <cell r="I4676" t="str">
            <v>--</v>
          </cell>
          <cell r="J4676">
            <v>1</v>
          </cell>
          <cell r="K4676">
            <v>1</v>
          </cell>
        </row>
        <row r="4677">
          <cell r="A4677" t="str">
            <v>M2</v>
          </cell>
          <cell r="B4677" t="str">
            <v>A5C</v>
          </cell>
          <cell r="C4677" t="str">
            <v>P</v>
          </cell>
          <cell r="D4677" t="str">
            <v>23104</v>
          </cell>
          <cell r="E4677" t="str">
            <v>CHECK VA</v>
          </cell>
          <cell r="F4677">
            <v>6</v>
          </cell>
          <cell r="G4677" t="str">
            <v>VCB8010400000100</v>
          </cell>
          <cell r="H4677">
            <v>1</v>
          </cell>
          <cell r="I4677" t="str">
            <v>--</v>
          </cell>
          <cell r="J4677">
            <v>1</v>
          </cell>
          <cell r="K4677">
            <v>1</v>
          </cell>
        </row>
        <row r="4678">
          <cell r="A4678" t="str">
            <v>M2</v>
          </cell>
          <cell r="B4678" t="str">
            <v>A5C</v>
          </cell>
          <cell r="C4678" t="str">
            <v>P</v>
          </cell>
          <cell r="D4678" t="str">
            <v>23122</v>
          </cell>
          <cell r="E4678" t="str">
            <v>CHECK VA</v>
          </cell>
          <cell r="F4678">
            <v>6</v>
          </cell>
          <cell r="G4678" t="str">
            <v>VCB8010400000100</v>
          </cell>
          <cell r="H4678">
            <v>1</v>
          </cell>
          <cell r="I4678" t="str">
            <v>--</v>
          </cell>
          <cell r="J4678">
            <v>1</v>
          </cell>
          <cell r="K4678">
            <v>1</v>
          </cell>
        </row>
        <row r="4679">
          <cell r="A4679" t="str">
            <v>M2</v>
          </cell>
          <cell r="B4679" t="str">
            <v>A5C</v>
          </cell>
          <cell r="C4679" t="str">
            <v>P</v>
          </cell>
          <cell r="D4679" t="str">
            <v>23144</v>
          </cell>
          <cell r="E4679" t="str">
            <v>CHECK VA</v>
          </cell>
          <cell r="F4679">
            <v>6</v>
          </cell>
          <cell r="G4679" t="str">
            <v>VCB8010400000100</v>
          </cell>
          <cell r="H4679">
            <v>1</v>
          </cell>
          <cell r="I4679" t="str">
            <v>--</v>
          </cell>
          <cell r="J4679">
            <v>2</v>
          </cell>
          <cell r="K4679">
            <v>2</v>
          </cell>
        </row>
        <row r="4680">
          <cell r="A4680" t="str">
            <v>M2</v>
          </cell>
          <cell r="B4680" t="str">
            <v>A5C</v>
          </cell>
          <cell r="C4680" t="str">
            <v>P</v>
          </cell>
          <cell r="D4680" t="str">
            <v>23149</v>
          </cell>
          <cell r="E4680" t="str">
            <v>CHECK VA</v>
          </cell>
          <cell r="F4680">
            <v>6</v>
          </cell>
          <cell r="G4680" t="str">
            <v>VCB8010400000100</v>
          </cell>
          <cell r="H4680">
            <v>1</v>
          </cell>
          <cell r="I4680" t="str">
            <v>--</v>
          </cell>
          <cell r="J4680">
            <v>1</v>
          </cell>
          <cell r="K4680">
            <v>1</v>
          </cell>
        </row>
        <row r="4681">
          <cell r="A4681" t="str">
            <v>M2</v>
          </cell>
          <cell r="B4681" t="str">
            <v>A5C</v>
          </cell>
          <cell r="C4681" t="str">
            <v>P</v>
          </cell>
          <cell r="D4681" t="str">
            <v>23204</v>
          </cell>
          <cell r="E4681" t="str">
            <v>CHECK VA</v>
          </cell>
          <cell r="F4681">
            <v>6</v>
          </cell>
          <cell r="G4681" t="str">
            <v>VCB8010400000100</v>
          </cell>
          <cell r="H4681">
            <v>1</v>
          </cell>
          <cell r="I4681" t="str">
            <v>--</v>
          </cell>
          <cell r="J4681">
            <v>1</v>
          </cell>
          <cell r="K4681">
            <v>1</v>
          </cell>
        </row>
        <row r="4682">
          <cell r="A4682" t="str">
            <v>M2</v>
          </cell>
          <cell r="B4682" t="str">
            <v>A5C</v>
          </cell>
          <cell r="C4682" t="str">
            <v>P</v>
          </cell>
          <cell r="D4682" t="str">
            <v>23213</v>
          </cell>
          <cell r="E4682" t="str">
            <v>CHECK VA</v>
          </cell>
          <cell r="F4682">
            <v>6</v>
          </cell>
          <cell r="G4682" t="str">
            <v>VCB8010400000100</v>
          </cell>
          <cell r="H4682">
            <v>1</v>
          </cell>
          <cell r="I4682" t="str">
            <v>--</v>
          </cell>
          <cell r="J4682">
            <v>1</v>
          </cell>
          <cell r="K4682">
            <v>1</v>
          </cell>
        </row>
        <row r="4683">
          <cell r="A4683" t="str">
            <v>M2</v>
          </cell>
          <cell r="B4683" t="str">
            <v>A5C</v>
          </cell>
          <cell r="C4683" t="str">
            <v>P</v>
          </cell>
          <cell r="D4683" t="str">
            <v>23206</v>
          </cell>
          <cell r="E4683" t="str">
            <v>CHECK VA</v>
          </cell>
          <cell r="F4683">
            <v>6</v>
          </cell>
          <cell r="G4683" t="str">
            <v>VCB8010400000100</v>
          </cell>
          <cell r="H4683">
            <v>1</v>
          </cell>
          <cell r="I4683" t="str">
            <v>--</v>
          </cell>
          <cell r="J4683">
            <v>1</v>
          </cell>
          <cell r="K4683">
            <v>1</v>
          </cell>
        </row>
        <row r="4684">
          <cell r="A4684" t="str">
            <v>M2</v>
          </cell>
          <cell r="B4684" t="str">
            <v>A5C</v>
          </cell>
          <cell r="C4684" t="str">
            <v>P</v>
          </cell>
          <cell r="D4684" t="str">
            <v>23208</v>
          </cell>
          <cell r="E4684" t="str">
            <v>CHECK VA</v>
          </cell>
          <cell r="F4684">
            <v>6</v>
          </cell>
          <cell r="G4684" t="str">
            <v>VCB8010400000100</v>
          </cell>
          <cell r="H4684">
            <v>1</v>
          </cell>
          <cell r="I4684" t="str">
            <v>--</v>
          </cell>
          <cell r="J4684">
            <v>1</v>
          </cell>
          <cell r="K4684">
            <v>1</v>
          </cell>
        </row>
        <row r="4685">
          <cell r="A4685" t="str">
            <v>M2</v>
          </cell>
          <cell r="B4685" t="str">
            <v>A5C</v>
          </cell>
          <cell r="C4685" t="str">
            <v>P</v>
          </cell>
          <cell r="D4685" t="str">
            <v>23212</v>
          </cell>
          <cell r="E4685" t="str">
            <v>CHECK VA</v>
          </cell>
          <cell r="F4685">
            <v>6</v>
          </cell>
          <cell r="G4685" t="str">
            <v>VCB8010400000100</v>
          </cell>
          <cell r="H4685">
            <v>1</v>
          </cell>
          <cell r="I4685" t="str">
            <v>--</v>
          </cell>
          <cell r="J4685">
            <v>1</v>
          </cell>
          <cell r="K4685">
            <v>1</v>
          </cell>
        </row>
        <row r="4686">
          <cell r="A4686" t="str">
            <v>M2</v>
          </cell>
          <cell r="B4686" t="str">
            <v>A5C</v>
          </cell>
          <cell r="C4686" t="str">
            <v>P</v>
          </cell>
          <cell r="D4686" t="str">
            <v>23214</v>
          </cell>
          <cell r="E4686" t="str">
            <v>CHECK VA</v>
          </cell>
          <cell r="F4686">
            <v>6</v>
          </cell>
          <cell r="G4686" t="str">
            <v>VCB8010400000100</v>
          </cell>
          <cell r="H4686">
            <v>1</v>
          </cell>
          <cell r="I4686" t="str">
            <v>--</v>
          </cell>
          <cell r="J4686">
            <v>1</v>
          </cell>
          <cell r="K4686">
            <v>1</v>
          </cell>
        </row>
        <row r="4687">
          <cell r="A4687" t="str">
            <v>M2</v>
          </cell>
          <cell r="B4687" t="str">
            <v>A5C</v>
          </cell>
          <cell r="C4687" t="str">
            <v>P</v>
          </cell>
          <cell r="D4687" t="str">
            <v>23230</v>
          </cell>
          <cell r="E4687" t="str">
            <v>CHECK VA</v>
          </cell>
          <cell r="F4687">
            <v>6</v>
          </cell>
          <cell r="G4687" t="str">
            <v>VCB8010400000100</v>
          </cell>
          <cell r="H4687">
            <v>1</v>
          </cell>
          <cell r="I4687" t="str">
            <v>--</v>
          </cell>
          <cell r="J4687">
            <v>1</v>
          </cell>
          <cell r="K4687">
            <v>1</v>
          </cell>
        </row>
        <row r="4688">
          <cell r="A4688" t="str">
            <v>M2</v>
          </cell>
          <cell r="B4688" t="str">
            <v>A5C</v>
          </cell>
          <cell r="C4688" t="str">
            <v>P</v>
          </cell>
          <cell r="D4688" t="str">
            <v>23235</v>
          </cell>
          <cell r="E4688" t="str">
            <v>CHECK VA</v>
          </cell>
          <cell r="F4688">
            <v>6</v>
          </cell>
          <cell r="G4688" t="str">
            <v>VCB8010400000100</v>
          </cell>
          <cell r="H4688">
            <v>1</v>
          </cell>
          <cell r="I4688" t="str">
            <v>--</v>
          </cell>
          <cell r="J4688">
            <v>1</v>
          </cell>
          <cell r="K4688">
            <v>1</v>
          </cell>
        </row>
        <row r="4689">
          <cell r="A4689" t="str">
            <v>M2</v>
          </cell>
          <cell r="B4689" t="str">
            <v>A5C</v>
          </cell>
          <cell r="C4689" t="str">
            <v>P</v>
          </cell>
          <cell r="D4689" t="str">
            <v>23239</v>
          </cell>
          <cell r="E4689" t="str">
            <v>CHECK VA</v>
          </cell>
          <cell r="F4689">
            <v>6</v>
          </cell>
          <cell r="G4689" t="str">
            <v>VCB8010400000100</v>
          </cell>
          <cell r="H4689">
            <v>1</v>
          </cell>
          <cell r="I4689" t="str">
            <v>--</v>
          </cell>
          <cell r="J4689">
            <v>1</v>
          </cell>
          <cell r="K4689">
            <v>1</v>
          </cell>
        </row>
        <row r="4690">
          <cell r="A4690" t="str">
            <v>M2</v>
          </cell>
          <cell r="B4690" t="str">
            <v>A5C</v>
          </cell>
          <cell r="C4690" t="str">
            <v>P</v>
          </cell>
          <cell r="D4690" t="str">
            <v>23245</v>
          </cell>
          <cell r="E4690" t="str">
            <v>CHECK VA</v>
          </cell>
          <cell r="F4690">
            <v>6</v>
          </cell>
          <cell r="G4690" t="str">
            <v>VCB8010400000100</v>
          </cell>
          <cell r="H4690">
            <v>1</v>
          </cell>
          <cell r="I4690" t="str">
            <v>--</v>
          </cell>
          <cell r="J4690">
            <v>1</v>
          </cell>
          <cell r="K4690">
            <v>1</v>
          </cell>
        </row>
        <row r="4691">
          <cell r="A4691" t="str">
            <v>M2</v>
          </cell>
          <cell r="B4691" t="str">
            <v>A5C</v>
          </cell>
          <cell r="C4691" t="str">
            <v>P</v>
          </cell>
          <cell r="D4691" t="str">
            <v>23252</v>
          </cell>
          <cell r="E4691" t="str">
            <v>CHECK VA</v>
          </cell>
          <cell r="F4691">
            <v>6</v>
          </cell>
          <cell r="G4691" t="str">
            <v>VCB8010400000100</v>
          </cell>
          <cell r="H4691">
            <v>1</v>
          </cell>
          <cell r="I4691" t="str">
            <v>--</v>
          </cell>
          <cell r="J4691">
            <v>1</v>
          </cell>
          <cell r="K4691">
            <v>1</v>
          </cell>
        </row>
        <row r="4692">
          <cell r="A4692" t="str">
            <v>M2</v>
          </cell>
          <cell r="B4692" t="str">
            <v>A5C</v>
          </cell>
          <cell r="C4692" t="str">
            <v>P</v>
          </cell>
          <cell r="D4692" t="str">
            <v>24008</v>
          </cell>
          <cell r="E4692" t="str">
            <v>CHECK VA</v>
          </cell>
          <cell r="F4692">
            <v>6</v>
          </cell>
          <cell r="G4692" t="str">
            <v>VCB8010400000100</v>
          </cell>
          <cell r="H4692">
            <v>1</v>
          </cell>
          <cell r="I4692" t="str">
            <v>--</v>
          </cell>
          <cell r="J4692">
            <v>1</v>
          </cell>
          <cell r="K4692">
            <v>1</v>
          </cell>
        </row>
        <row r="4693">
          <cell r="A4693" t="str">
            <v>M2</v>
          </cell>
          <cell r="B4693" t="str">
            <v>A5C</v>
          </cell>
          <cell r="C4693" t="str">
            <v>P</v>
          </cell>
          <cell r="D4693" t="str">
            <v>24020</v>
          </cell>
          <cell r="E4693" t="str">
            <v>CHECK VA</v>
          </cell>
          <cell r="F4693">
            <v>6</v>
          </cell>
          <cell r="G4693" t="str">
            <v>VCB8010400000100</v>
          </cell>
          <cell r="H4693">
            <v>1</v>
          </cell>
          <cell r="I4693" t="str">
            <v>--</v>
          </cell>
          <cell r="J4693">
            <v>1</v>
          </cell>
          <cell r="K4693">
            <v>1</v>
          </cell>
        </row>
        <row r="4694">
          <cell r="A4694" t="str">
            <v>M2</v>
          </cell>
          <cell r="B4694" t="str">
            <v>A5C</v>
          </cell>
          <cell r="C4694" t="str">
            <v>N</v>
          </cell>
          <cell r="D4694" t="str">
            <v>23636</v>
          </cell>
          <cell r="E4694" t="str">
            <v>CHECK VA</v>
          </cell>
          <cell r="F4694">
            <v>6</v>
          </cell>
          <cell r="G4694" t="str">
            <v>VCB8010400000100</v>
          </cell>
          <cell r="H4694">
            <v>1</v>
          </cell>
          <cell r="I4694" t="str">
            <v>--</v>
          </cell>
          <cell r="J4694">
            <v>1</v>
          </cell>
          <cell r="K4694">
            <v>1</v>
          </cell>
        </row>
        <row r="4695">
          <cell r="A4695" t="str">
            <v>M2</v>
          </cell>
          <cell r="B4695" t="str">
            <v>A5C</v>
          </cell>
          <cell r="C4695" t="str">
            <v>N</v>
          </cell>
          <cell r="D4695" t="str">
            <v>23637</v>
          </cell>
          <cell r="E4695" t="str">
            <v>CHECK VA</v>
          </cell>
          <cell r="F4695">
            <v>6</v>
          </cell>
          <cell r="G4695" t="str">
            <v>VCB8010400000100</v>
          </cell>
          <cell r="H4695">
            <v>1</v>
          </cell>
          <cell r="I4695" t="str">
            <v>--</v>
          </cell>
          <cell r="J4695">
            <v>1</v>
          </cell>
          <cell r="K4695">
            <v>1</v>
          </cell>
        </row>
        <row r="4696">
          <cell r="A4696" t="str">
            <v>M2</v>
          </cell>
          <cell r="B4696" t="str">
            <v>A5C</v>
          </cell>
          <cell r="C4696" t="str">
            <v>P</v>
          </cell>
          <cell r="D4696" t="str">
            <v>23104</v>
          </cell>
          <cell r="E4696" t="str">
            <v>CHECK VA</v>
          </cell>
          <cell r="F4696">
            <v>6</v>
          </cell>
          <cell r="G4696" t="str">
            <v>VCB8010400000100</v>
          </cell>
          <cell r="H4696">
            <v>1</v>
          </cell>
          <cell r="I4696" t="str">
            <v>--</v>
          </cell>
          <cell r="J4696">
            <v>1</v>
          </cell>
          <cell r="K4696">
            <v>1</v>
          </cell>
        </row>
        <row r="4697">
          <cell r="A4697" t="str">
            <v>M2</v>
          </cell>
          <cell r="B4697" t="str">
            <v>A5C</v>
          </cell>
          <cell r="C4697" t="str">
            <v>P</v>
          </cell>
          <cell r="D4697" t="str">
            <v>23108</v>
          </cell>
          <cell r="E4697" t="str">
            <v>CHECK VA</v>
          </cell>
          <cell r="F4697">
            <v>6</v>
          </cell>
          <cell r="G4697" t="str">
            <v>VCB8010400000100</v>
          </cell>
          <cell r="H4697">
            <v>1</v>
          </cell>
          <cell r="I4697" t="str">
            <v>--</v>
          </cell>
          <cell r="J4697">
            <v>1</v>
          </cell>
          <cell r="K4697">
            <v>1</v>
          </cell>
        </row>
        <row r="4698">
          <cell r="A4698" t="str">
            <v>M2</v>
          </cell>
          <cell r="B4698" t="str">
            <v>A5C</v>
          </cell>
          <cell r="C4698" t="str">
            <v>P</v>
          </cell>
          <cell r="D4698" t="str">
            <v>23108</v>
          </cell>
          <cell r="E4698" t="str">
            <v>CHECK VA</v>
          </cell>
          <cell r="F4698">
            <v>6</v>
          </cell>
          <cell r="G4698" t="str">
            <v>VCB8010400000100</v>
          </cell>
          <cell r="H4698">
            <v>1</v>
          </cell>
          <cell r="I4698" t="str">
            <v>--</v>
          </cell>
          <cell r="J4698">
            <v>1</v>
          </cell>
          <cell r="K4698">
            <v>1</v>
          </cell>
        </row>
        <row r="4699">
          <cell r="A4699" t="str">
            <v>M2</v>
          </cell>
          <cell r="B4699" t="str">
            <v>A5C</v>
          </cell>
          <cell r="C4699" t="str">
            <v>P</v>
          </cell>
          <cell r="D4699" t="str">
            <v>23112</v>
          </cell>
          <cell r="E4699" t="str">
            <v>CHECK VA</v>
          </cell>
          <cell r="F4699">
            <v>6</v>
          </cell>
          <cell r="G4699" t="str">
            <v>VCB8010400000100</v>
          </cell>
          <cell r="H4699">
            <v>1</v>
          </cell>
          <cell r="I4699" t="str">
            <v>--</v>
          </cell>
          <cell r="J4699">
            <v>1</v>
          </cell>
          <cell r="K4699">
            <v>1</v>
          </cell>
        </row>
        <row r="4700">
          <cell r="A4700" t="str">
            <v>M2</v>
          </cell>
          <cell r="B4700" t="str">
            <v>A5C</v>
          </cell>
          <cell r="C4700" t="str">
            <v>P</v>
          </cell>
          <cell r="D4700" t="str">
            <v>23112</v>
          </cell>
          <cell r="E4700" t="str">
            <v>CHECK VA</v>
          </cell>
          <cell r="F4700">
            <v>6</v>
          </cell>
          <cell r="G4700" t="str">
            <v>VCB8010400000100</v>
          </cell>
          <cell r="H4700">
            <v>1</v>
          </cell>
          <cell r="I4700" t="str">
            <v>--</v>
          </cell>
          <cell r="J4700">
            <v>1</v>
          </cell>
          <cell r="K4700">
            <v>1</v>
          </cell>
        </row>
        <row r="4701">
          <cell r="A4701" t="str">
            <v>M2</v>
          </cell>
          <cell r="B4701" t="str">
            <v>A5C</v>
          </cell>
          <cell r="C4701" t="str">
            <v>P</v>
          </cell>
          <cell r="D4701" t="str">
            <v>23148</v>
          </cell>
          <cell r="E4701" t="str">
            <v>CHECK VA</v>
          </cell>
          <cell r="F4701">
            <v>6</v>
          </cell>
          <cell r="G4701" t="str">
            <v>VCB8010400000100</v>
          </cell>
          <cell r="H4701">
            <v>1</v>
          </cell>
          <cell r="I4701" t="str">
            <v>--</v>
          </cell>
          <cell r="J4701">
            <v>2</v>
          </cell>
          <cell r="K4701">
            <v>2</v>
          </cell>
        </row>
        <row r="4702">
          <cell r="A4702" t="str">
            <v>M2</v>
          </cell>
          <cell r="B4702" t="str">
            <v>A5C</v>
          </cell>
          <cell r="C4702" t="str">
            <v>P</v>
          </cell>
          <cell r="D4702" t="str">
            <v>23205</v>
          </cell>
          <cell r="E4702" t="str">
            <v>CHECK VA</v>
          </cell>
          <cell r="F4702">
            <v>6</v>
          </cell>
          <cell r="G4702" t="str">
            <v>VCB8010400000100</v>
          </cell>
          <cell r="H4702">
            <v>1</v>
          </cell>
          <cell r="I4702" t="str">
            <v>--</v>
          </cell>
          <cell r="J4702">
            <v>1</v>
          </cell>
          <cell r="K4702">
            <v>1</v>
          </cell>
        </row>
        <row r="4703">
          <cell r="A4703" t="str">
            <v>M2</v>
          </cell>
          <cell r="B4703" t="str">
            <v>A5C</v>
          </cell>
          <cell r="C4703" t="str">
            <v>P</v>
          </cell>
          <cell r="D4703" t="str">
            <v>23207</v>
          </cell>
          <cell r="E4703" t="str">
            <v>CHECK VA</v>
          </cell>
          <cell r="F4703">
            <v>6</v>
          </cell>
          <cell r="G4703" t="str">
            <v>VCB8010400000100</v>
          </cell>
          <cell r="H4703">
            <v>1</v>
          </cell>
          <cell r="I4703" t="str">
            <v>--</v>
          </cell>
          <cell r="J4703">
            <v>1</v>
          </cell>
          <cell r="K4703">
            <v>1</v>
          </cell>
        </row>
        <row r="4704">
          <cell r="A4704" t="str">
            <v>M2</v>
          </cell>
          <cell r="B4704" t="str">
            <v>A5C</v>
          </cell>
          <cell r="C4704" t="str">
            <v>N</v>
          </cell>
          <cell r="D4704" t="str">
            <v>23631</v>
          </cell>
          <cell r="E4704" t="str">
            <v>GLOBE VA</v>
          </cell>
          <cell r="F4704">
            <v>6</v>
          </cell>
          <cell r="G4704" t="str">
            <v>VL8010100000100</v>
          </cell>
          <cell r="H4704">
            <v>1</v>
          </cell>
          <cell r="I4704" t="str">
            <v>--</v>
          </cell>
          <cell r="J4704">
            <v>1</v>
          </cell>
          <cell r="K4704">
            <v>1</v>
          </cell>
        </row>
        <row r="4705">
          <cell r="A4705" t="str">
            <v>M2</v>
          </cell>
          <cell r="B4705" t="str">
            <v>A5C</v>
          </cell>
          <cell r="C4705" t="str">
            <v>N</v>
          </cell>
          <cell r="D4705" t="str">
            <v>23632</v>
          </cell>
          <cell r="E4705" t="str">
            <v>GLOBE VA</v>
          </cell>
          <cell r="F4705">
            <v>6</v>
          </cell>
          <cell r="G4705" t="str">
            <v>VL8010100000100</v>
          </cell>
          <cell r="H4705">
            <v>1</v>
          </cell>
          <cell r="I4705" t="str">
            <v>--</v>
          </cell>
          <cell r="J4705">
            <v>1</v>
          </cell>
          <cell r="K4705">
            <v>1</v>
          </cell>
        </row>
        <row r="4706">
          <cell r="A4706" t="str">
            <v>M2</v>
          </cell>
          <cell r="B4706" t="str">
            <v>A5C</v>
          </cell>
          <cell r="C4706" t="str">
            <v>N</v>
          </cell>
          <cell r="D4706" t="str">
            <v>23633</v>
          </cell>
          <cell r="E4706" t="str">
            <v>GLOBE VA</v>
          </cell>
          <cell r="F4706">
            <v>6</v>
          </cell>
          <cell r="G4706" t="str">
            <v>VL8010100000100</v>
          </cell>
          <cell r="H4706">
            <v>1</v>
          </cell>
          <cell r="I4706" t="str">
            <v>--</v>
          </cell>
          <cell r="J4706">
            <v>1</v>
          </cell>
          <cell r="K4706">
            <v>1</v>
          </cell>
        </row>
        <row r="4707">
          <cell r="A4707" t="str">
            <v>M2</v>
          </cell>
          <cell r="B4707" t="str">
            <v>A5C</v>
          </cell>
          <cell r="C4707" t="str">
            <v>N</v>
          </cell>
          <cell r="D4707" t="str">
            <v>23637</v>
          </cell>
          <cell r="E4707" t="str">
            <v>GLOBE VA</v>
          </cell>
          <cell r="F4707">
            <v>6</v>
          </cell>
          <cell r="G4707" t="str">
            <v>VL8010100000100</v>
          </cell>
          <cell r="H4707">
            <v>1</v>
          </cell>
          <cell r="I4707" t="str">
            <v>--</v>
          </cell>
          <cell r="J4707">
            <v>1</v>
          </cell>
          <cell r="K4707">
            <v>1</v>
          </cell>
        </row>
        <row r="4708">
          <cell r="A4708" t="str">
            <v>M2</v>
          </cell>
          <cell r="B4708" t="str">
            <v>A5C</v>
          </cell>
          <cell r="C4708" t="str">
            <v>P</v>
          </cell>
          <cell r="D4708" t="str">
            <v>23006</v>
          </cell>
          <cell r="E4708" t="str">
            <v>GLOBE VA</v>
          </cell>
          <cell r="F4708">
            <v>6</v>
          </cell>
          <cell r="G4708" t="str">
            <v>VL8010100000100</v>
          </cell>
          <cell r="H4708">
            <v>1</v>
          </cell>
          <cell r="I4708" t="str">
            <v>--</v>
          </cell>
          <cell r="J4708">
            <v>1</v>
          </cell>
          <cell r="K4708">
            <v>1</v>
          </cell>
        </row>
        <row r="4709">
          <cell r="A4709" t="str">
            <v>M2</v>
          </cell>
          <cell r="B4709" t="str">
            <v>A5C</v>
          </cell>
          <cell r="C4709" t="str">
            <v>P</v>
          </cell>
          <cell r="D4709" t="str">
            <v>23035</v>
          </cell>
          <cell r="E4709" t="str">
            <v>GLOBE VA</v>
          </cell>
          <cell r="F4709">
            <v>6</v>
          </cell>
          <cell r="G4709" t="str">
            <v>VL8010100000100</v>
          </cell>
          <cell r="H4709">
            <v>1</v>
          </cell>
          <cell r="I4709" t="str">
            <v>--</v>
          </cell>
          <cell r="J4709">
            <v>1</v>
          </cell>
          <cell r="K4709">
            <v>1</v>
          </cell>
        </row>
        <row r="4710">
          <cell r="A4710" t="str">
            <v>M2</v>
          </cell>
          <cell r="B4710" t="str">
            <v>A5C</v>
          </cell>
          <cell r="C4710" t="str">
            <v>P</v>
          </cell>
          <cell r="D4710" t="str">
            <v>23063</v>
          </cell>
          <cell r="E4710" t="str">
            <v>GLOBE VA</v>
          </cell>
          <cell r="F4710">
            <v>6</v>
          </cell>
          <cell r="G4710" t="str">
            <v>VL8010100000100</v>
          </cell>
          <cell r="H4710">
            <v>1</v>
          </cell>
          <cell r="I4710" t="str">
            <v>--</v>
          </cell>
          <cell r="J4710">
            <v>1</v>
          </cell>
          <cell r="K4710">
            <v>1</v>
          </cell>
        </row>
        <row r="4711">
          <cell r="A4711" t="str">
            <v>M2</v>
          </cell>
          <cell r="B4711" t="str">
            <v>A5C</v>
          </cell>
          <cell r="C4711" t="str">
            <v>P</v>
          </cell>
          <cell r="D4711" t="str">
            <v>23078</v>
          </cell>
          <cell r="E4711" t="str">
            <v>GLOBE VA</v>
          </cell>
          <cell r="F4711">
            <v>6</v>
          </cell>
          <cell r="G4711" t="str">
            <v>VL8010100000100</v>
          </cell>
          <cell r="H4711">
            <v>1</v>
          </cell>
          <cell r="I4711" t="str">
            <v>--</v>
          </cell>
          <cell r="J4711">
            <v>1</v>
          </cell>
          <cell r="K4711">
            <v>1</v>
          </cell>
        </row>
        <row r="4712">
          <cell r="A4712" t="str">
            <v>M2</v>
          </cell>
          <cell r="B4712" t="str">
            <v>A5C</v>
          </cell>
          <cell r="C4712" t="str">
            <v>P</v>
          </cell>
          <cell r="D4712" t="str">
            <v>23083</v>
          </cell>
          <cell r="E4712" t="str">
            <v>GLOBE VA</v>
          </cell>
          <cell r="F4712">
            <v>6</v>
          </cell>
          <cell r="G4712" t="str">
            <v>VL8010100000100</v>
          </cell>
          <cell r="H4712">
            <v>1</v>
          </cell>
          <cell r="I4712" t="str">
            <v>--</v>
          </cell>
          <cell r="J4712">
            <v>1</v>
          </cell>
          <cell r="K4712">
            <v>1</v>
          </cell>
        </row>
        <row r="4713">
          <cell r="A4713" t="str">
            <v>M2</v>
          </cell>
          <cell r="B4713" t="str">
            <v>A5C</v>
          </cell>
          <cell r="C4713" t="str">
            <v>P</v>
          </cell>
          <cell r="D4713" t="str">
            <v>23122</v>
          </cell>
          <cell r="E4713" t="str">
            <v>GLOBE VA</v>
          </cell>
          <cell r="F4713">
            <v>6</v>
          </cell>
          <cell r="G4713" t="str">
            <v>VL8010100000100</v>
          </cell>
          <cell r="H4713">
            <v>1</v>
          </cell>
          <cell r="I4713" t="str">
            <v>--</v>
          </cell>
          <cell r="J4713">
            <v>1</v>
          </cell>
          <cell r="K4713">
            <v>1</v>
          </cell>
        </row>
        <row r="4714">
          <cell r="A4714" t="str">
            <v>M2</v>
          </cell>
          <cell r="B4714" t="str">
            <v>A5C</v>
          </cell>
          <cell r="C4714" t="str">
            <v>P</v>
          </cell>
          <cell r="D4714" t="str">
            <v>23252</v>
          </cell>
          <cell r="E4714" t="str">
            <v>GLOBE VA</v>
          </cell>
          <cell r="F4714">
            <v>6</v>
          </cell>
          <cell r="G4714" t="str">
            <v>VL8010100000100</v>
          </cell>
          <cell r="H4714">
            <v>1</v>
          </cell>
          <cell r="I4714" t="str">
            <v>--</v>
          </cell>
          <cell r="J4714">
            <v>1</v>
          </cell>
          <cell r="K4714">
            <v>1</v>
          </cell>
        </row>
        <row r="4715">
          <cell r="A4715" t="str">
            <v>M2</v>
          </cell>
          <cell r="B4715" t="str">
            <v>A5C</v>
          </cell>
          <cell r="C4715" t="str">
            <v>P</v>
          </cell>
          <cell r="D4715" t="str">
            <v>24020</v>
          </cell>
          <cell r="E4715" t="str">
            <v>GLOBE VA</v>
          </cell>
          <cell r="F4715">
            <v>6</v>
          </cell>
          <cell r="G4715" t="str">
            <v>VL8010100000100</v>
          </cell>
          <cell r="H4715">
            <v>1</v>
          </cell>
          <cell r="I4715" t="str">
            <v>--</v>
          </cell>
          <cell r="J4715">
            <v>1</v>
          </cell>
          <cell r="K4715">
            <v>1</v>
          </cell>
        </row>
        <row r="4716">
          <cell r="A4716" t="str">
            <v>M2</v>
          </cell>
          <cell r="B4716" t="str">
            <v>A5C</v>
          </cell>
          <cell r="C4716" t="str">
            <v>N</v>
          </cell>
          <cell r="D4716" t="str">
            <v>23635</v>
          </cell>
          <cell r="E4716" t="str">
            <v>GLOBE VA</v>
          </cell>
          <cell r="F4716">
            <v>6</v>
          </cell>
          <cell r="G4716" t="str">
            <v>VL8010100000100</v>
          </cell>
          <cell r="H4716">
            <v>1</v>
          </cell>
          <cell r="I4716" t="str">
            <v>--</v>
          </cell>
          <cell r="J4716">
            <v>1</v>
          </cell>
          <cell r="K4716">
            <v>1</v>
          </cell>
        </row>
        <row r="4717">
          <cell r="A4717" t="str">
            <v>M2</v>
          </cell>
          <cell r="B4717" t="str">
            <v>A5C</v>
          </cell>
          <cell r="C4717" t="str">
            <v>N</v>
          </cell>
          <cell r="D4717" t="str">
            <v>23639</v>
          </cell>
          <cell r="E4717" t="str">
            <v>GLOBE VA</v>
          </cell>
          <cell r="F4717">
            <v>6</v>
          </cell>
          <cell r="G4717" t="str">
            <v>VL8010100000100</v>
          </cell>
          <cell r="H4717">
            <v>1</v>
          </cell>
          <cell r="I4717" t="str">
            <v>--</v>
          </cell>
          <cell r="J4717">
            <v>1</v>
          </cell>
          <cell r="K4717">
            <v>1</v>
          </cell>
        </row>
        <row r="4718">
          <cell r="A4718" t="str">
            <v>M2</v>
          </cell>
          <cell r="B4718" t="str">
            <v>A5C</v>
          </cell>
          <cell r="C4718" t="str">
            <v>P</v>
          </cell>
          <cell r="D4718" t="str">
            <v>23230</v>
          </cell>
          <cell r="E4718" t="str">
            <v>GLOBE VA</v>
          </cell>
          <cell r="F4718">
            <v>6</v>
          </cell>
          <cell r="G4718" t="str">
            <v>VL8010100000100</v>
          </cell>
          <cell r="H4718">
            <v>1</v>
          </cell>
          <cell r="I4718" t="str">
            <v>--</v>
          </cell>
          <cell r="J4718">
            <v>1</v>
          </cell>
          <cell r="K4718">
            <v>1</v>
          </cell>
        </row>
        <row r="4719">
          <cell r="A4719" t="str">
            <v>M2</v>
          </cell>
          <cell r="B4719" t="str">
            <v>A5C</v>
          </cell>
          <cell r="C4719" t="str">
            <v>P</v>
          </cell>
          <cell r="D4719" t="str">
            <v>24008</v>
          </cell>
          <cell r="E4719" t="str">
            <v>GLOBE VA</v>
          </cell>
          <cell r="F4719">
            <v>6</v>
          </cell>
          <cell r="G4719" t="str">
            <v>VL8010100000100</v>
          </cell>
          <cell r="H4719">
            <v>1</v>
          </cell>
          <cell r="I4719" t="str">
            <v>--</v>
          </cell>
          <cell r="J4719">
            <v>1</v>
          </cell>
          <cell r="K4719">
            <v>1</v>
          </cell>
        </row>
        <row r="4720">
          <cell r="A4720" t="str">
            <v>M2</v>
          </cell>
          <cell r="B4720" t="str">
            <v>A5C</v>
          </cell>
          <cell r="C4720" t="str">
            <v>P</v>
          </cell>
          <cell r="D4720" t="str">
            <v>99003</v>
          </cell>
          <cell r="E4720" t="str">
            <v>GLOBE VA</v>
          </cell>
          <cell r="F4720">
            <v>6</v>
          </cell>
          <cell r="G4720" t="str">
            <v>VL8010100000100</v>
          </cell>
          <cell r="H4720">
            <v>1</v>
          </cell>
          <cell r="I4720" t="str">
            <v>--</v>
          </cell>
          <cell r="J4720">
            <v>1</v>
          </cell>
          <cell r="K4720">
            <v>1</v>
          </cell>
        </row>
        <row r="4721">
          <cell r="A4721" t="str">
            <v>M2</v>
          </cell>
          <cell r="B4721" t="str">
            <v>A5C</v>
          </cell>
          <cell r="C4721" t="str">
            <v>P</v>
          </cell>
          <cell r="D4721" t="str">
            <v>23059</v>
          </cell>
          <cell r="E4721" t="str">
            <v>BALL VA</v>
          </cell>
          <cell r="F4721">
            <v>6</v>
          </cell>
          <cell r="G4721" t="str">
            <v>VB8010600000100</v>
          </cell>
          <cell r="H4721">
            <v>1</v>
          </cell>
          <cell r="I4721" t="str">
            <v>--</v>
          </cell>
          <cell r="J4721">
            <v>2</v>
          </cell>
          <cell r="K4721">
            <v>2</v>
          </cell>
        </row>
        <row r="4722">
          <cell r="A4722" t="str">
            <v>M2</v>
          </cell>
          <cell r="B4722" t="str">
            <v>A5C</v>
          </cell>
          <cell r="C4722" t="str">
            <v>TRIM</v>
          </cell>
          <cell r="D4722" t="str">
            <v>V-2352</v>
          </cell>
          <cell r="E4722" t="str">
            <v>BALL VA</v>
          </cell>
          <cell r="F4722">
            <v>6</v>
          </cell>
          <cell r="G4722" t="str">
            <v>VB8010600000100</v>
          </cell>
          <cell r="H4722">
            <v>1</v>
          </cell>
          <cell r="I4722" t="str">
            <v>--</v>
          </cell>
          <cell r="J4722">
            <v>1</v>
          </cell>
          <cell r="K4722">
            <v>1</v>
          </cell>
        </row>
        <row r="4723">
          <cell r="A4723" t="str">
            <v>M2</v>
          </cell>
          <cell r="B4723" t="str">
            <v>A5C</v>
          </cell>
          <cell r="C4723" t="str">
            <v>P</v>
          </cell>
          <cell r="D4723" t="str">
            <v>23059</v>
          </cell>
          <cell r="E4723" t="str">
            <v>CHECK VA</v>
          </cell>
          <cell r="F4723">
            <v>6</v>
          </cell>
          <cell r="G4723" t="str">
            <v>VCB8010400000100</v>
          </cell>
          <cell r="H4723">
            <v>1</v>
          </cell>
          <cell r="I4723" t="str">
            <v>--</v>
          </cell>
          <cell r="J4723">
            <v>2</v>
          </cell>
          <cell r="K4723">
            <v>2</v>
          </cell>
        </row>
        <row r="4724">
          <cell r="A4724" t="str">
            <v>M2</v>
          </cell>
          <cell r="B4724" t="str">
            <v>A5C</v>
          </cell>
          <cell r="C4724" t="str">
            <v>P</v>
          </cell>
          <cell r="D4724" t="str">
            <v>23018</v>
          </cell>
          <cell r="E4724" t="str">
            <v>BALL VA</v>
          </cell>
          <cell r="F4724">
            <v>6</v>
          </cell>
          <cell r="G4724" t="str">
            <v>VB8010600000100</v>
          </cell>
          <cell r="H4724">
            <v>1</v>
          </cell>
          <cell r="I4724" t="str">
            <v>--</v>
          </cell>
          <cell r="J4724">
            <v>1</v>
          </cell>
          <cell r="K4724">
            <v>1</v>
          </cell>
        </row>
        <row r="4725">
          <cell r="A4725" t="str">
            <v>M2</v>
          </cell>
          <cell r="B4725" t="str">
            <v>A5C</v>
          </cell>
          <cell r="C4725" t="str">
            <v>P</v>
          </cell>
          <cell r="D4725" t="str">
            <v>23018</v>
          </cell>
          <cell r="E4725" t="str">
            <v>BALL VA</v>
          </cell>
          <cell r="F4725">
            <v>6</v>
          </cell>
          <cell r="G4725" t="str">
            <v>VB8010600000100</v>
          </cell>
          <cell r="H4725">
            <v>1</v>
          </cell>
          <cell r="I4725" t="str">
            <v>--</v>
          </cell>
          <cell r="J4725">
            <v>2</v>
          </cell>
          <cell r="K4725">
            <v>2</v>
          </cell>
        </row>
        <row r="4726">
          <cell r="A4726" t="str">
            <v>M2</v>
          </cell>
          <cell r="B4726" t="str">
            <v>A5C</v>
          </cell>
          <cell r="C4726" t="str">
            <v>P</v>
          </cell>
          <cell r="D4726" t="str">
            <v>23027</v>
          </cell>
          <cell r="E4726" t="str">
            <v>BALL VA</v>
          </cell>
          <cell r="F4726">
            <v>6</v>
          </cell>
          <cell r="G4726" t="str">
            <v>VB8010600000100</v>
          </cell>
          <cell r="H4726">
            <v>1</v>
          </cell>
          <cell r="I4726" t="str">
            <v>--</v>
          </cell>
          <cell r="J4726">
            <v>3</v>
          </cell>
          <cell r="K4726">
            <v>3</v>
          </cell>
        </row>
        <row r="4727">
          <cell r="A4727" t="str">
            <v>M2</v>
          </cell>
          <cell r="B4727" t="str">
            <v>A5C</v>
          </cell>
          <cell r="C4727" t="str">
            <v>P</v>
          </cell>
          <cell r="D4727" t="str">
            <v>23048</v>
          </cell>
          <cell r="E4727" t="str">
            <v>BALL VA</v>
          </cell>
          <cell r="F4727">
            <v>6</v>
          </cell>
          <cell r="G4727" t="str">
            <v>VB8010600000100</v>
          </cell>
          <cell r="H4727">
            <v>1</v>
          </cell>
          <cell r="I4727" t="str">
            <v>--</v>
          </cell>
          <cell r="J4727">
            <v>2</v>
          </cell>
          <cell r="K4727">
            <v>2</v>
          </cell>
        </row>
        <row r="4728">
          <cell r="A4728" t="str">
            <v>M2</v>
          </cell>
          <cell r="B4728" t="str">
            <v>A5C</v>
          </cell>
          <cell r="C4728" t="str">
            <v>P</v>
          </cell>
          <cell r="D4728" t="str">
            <v>23079</v>
          </cell>
          <cell r="E4728" t="str">
            <v>BALL VA</v>
          </cell>
          <cell r="F4728">
            <v>6</v>
          </cell>
          <cell r="G4728" t="str">
            <v>VB8010600000100</v>
          </cell>
          <cell r="H4728">
            <v>1</v>
          </cell>
          <cell r="I4728" t="str">
            <v>--</v>
          </cell>
          <cell r="J4728">
            <v>2</v>
          </cell>
          <cell r="K4728">
            <v>2</v>
          </cell>
        </row>
        <row r="4729">
          <cell r="A4729" t="str">
            <v>M2</v>
          </cell>
          <cell r="B4729" t="str">
            <v>A5C</v>
          </cell>
          <cell r="C4729" t="str">
            <v>TRIM</v>
          </cell>
          <cell r="D4729" t="str">
            <v>V-2325</v>
          </cell>
          <cell r="E4729" t="str">
            <v>BALL VA</v>
          </cell>
          <cell r="F4729">
            <v>6</v>
          </cell>
          <cell r="G4729" t="str">
            <v>VB8010600000100</v>
          </cell>
          <cell r="H4729">
            <v>1</v>
          </cell>
          <cell r="I4729" t="str">
            <v>--</v>
          </cell>
          <cell r="J4729">
            <v>2</v>
          </cell>
          <cell r="K4729">
            <v>2</v>
          </cell>
        </row>
        <row r="4730">
          <cell r="A4730" t="str">
            <v>M2</v>
          </cell>
          <cell r="B4730" t="str">
            <v>A5C</v>
          </cell>
          <cell r="C4730" t="str">
            <v>P</v>
          </cell>
          <cell r="D4730" t="str">
            <v>23074</v>
          </cell>
          <cell r="E4730" t="str">
            <v>BALL VA</v>
          </cell>
          <cell r="F4730">
            <v>6</v>
          </cell>
          <cell r="G4730" t="str">
            <v>VB8010600000100</v>
          </cell>
          <cell r="H4730">
            <v>1</v>
          </cell>
          <cell r="I4730" t="str">
            <v>--</v>
          </cell>
          <cell r="J4730">
            <v>2</v>
          </cell>
          <cell r="K4730">
            <v>2</v>
          </cell>
        </row>
        <row r="4731">
          <cell r="A4731" t="str">
            <v>M2</v>
          </cell>
          <cell r="B4731" t="str">
            <v>A5C</v>
          </cell>
          <cell r="C4731" t="str">
            <v>P</v>
          </cell>
          <cell r="D4731" t="str">
            <v>23194</v>
          </cell>
          <cell r="E4731" t="str">
            <v>BALL VA</v>
          </cell>
          <cell r="F4731">
            <v>6</v>
          </cell>
          <cell r="G4731" t="str">
            <v>VB8010600000100</v>
          </cell>
          <cell r="H4731">
            <v>1</v>
          </cell>
          <cell r="I4731" t="str">
            <v>--</v>
          </cell>
          <cell r="J4731">
            <v>1</v>
          </cell>
          <cell r="K4731">
            <v>1</v>
          </cell>
        </row>
        <row r="4732">
          <cell r="A4732" t="str">
            <v>M2</v>
          </cell>
          <cell r="B4732" t="str">
            <v>A5C</v>
          </cell>
          <cell r="C4732" t="str">
            <v>P</v>
          </cell>
          <cell r="D4732" t="str">
            <v>23223</v>
          </cell>
          <cell r="E4732" t="str">
            <v>BALL VA</v>
          </cell>
          <cell r="F4732">
            <v>6</v>
          </cell>
          <cell r="G4732" t="str">
            <v>VB8010600000100</v>
          </cell>
          <cell r="H4732">
            <v>1</v>
          </cell>
          <cell r="I4732" t="str">
            <v>--</v>
          </cell>
          <cell r="J4732">
            <v>1</v>
          </cell>
          <cell r="K4732">
            <v>1</v>
          </cell>
        </row>
        <row r="4733">
          <cell r="A4733" t="str">
            <v>M2</v>
          </cell>
          <cell r="B4733" t="str">
            <v>A5C</v>
          </cell>
          <cell r="C4733" t="str">
            <v>P</v>
          </cell>
          <cell r="D4733" t="str">
            <v>23048</v>
          </cell>
          <cell r="E4733" t="str">
            <v>CHECK VA</v>
          </cell>
          <cell r="F4733">
            <v>6</v>
          </cell>
          <cell r="G4733" t="str">
            <v>VCB8010400000100</v>
          </cell>
          <cell r="H4733">
            <v>1</v>
          </cell>
          <cell r="I4733" t="str">
            <v>--</v>
          </cell>
          <cell r="J4733">
            <v>2</v>
          </cell>
          <cell r="K4733">
            <v>2</v>
          </cell>
        </row>
        <row r="4734">
          <cell r="A4734" t="str">
            <v>M2</v>
          </cell>
          <cell r="B4734" t="str">
            <v>A5C</v>
          </cell>
          <cell r="C4734" t="str">
            <v>P</v>
          </cell>
          <cell r="D4734" t="str">
            <v>23074</v>
          </cell>
          <cell r="E4734" t="str">
            <v>CHECK VA</v>
          </cell>
          <cell r="F4734">
            <v>6</v>
          </cell>
          <cell r="G4734" t="str">
            <v>VCB8010400000100</v>
          </cell>
          <cell r="H4734">
            <v>1</v>
          </cell>
          <cell r="I4734" t="str">
            <v>--</v>
          </cell>
          <cell r="J4734">
            <v>2</v>
          </cell>
          <cell r="K4734">
            <v>2</v>
          </cell>
        </row>
        <row r="4735">
          <cell r="A4735" t="str">
            <v>M2</v>
          </cell>
          <cell r="B4735" t="str">
            <v>A5C</v>
          </cell>
          <cell r="C4735" t="str">
            <v>P</v>
          </cell>
          <cell r="D4735" t="str">
            <v>23079</v>
          </cell>
          <cell r="E4735" t="str">
            <v>CHECK VA</v>
          </cell>
          <cell r="F4735">
            <v>6</v>
          </cell>
          <cell r="G4735" t="str">
            <v>VCB8010400000100</v>
          </cell>
          <cell r="H4735">
            <v>1</v>
          </cell>
          <cell r="I4735" t="str">
            <v>--</v>
          </cell>
          <cell r="J4735">
            <v>2</v>
          </cell>
          <cell r="K4735">
            <v>2</v>
          </cell>
        </row>
        <row r="4736">
          <cell r="A4736" t="str">
            <v>M2</v>
          </cell>
          <cell r="B4736" t="str">
            <v>A5C</v>
          </cell>
          <cell r="C4736" t="str">
            <v>P</v>
          </cell>
          <cell r="D4736" t="str">
            <v>23223</v>
          </cell>
          <cell r="E4736" t="str">
            <v>CHECK VA</v>
          </cell>
          <cell r="F4736">
            <v>6</v>
          </cell>
          <cell r="G4736" t="str">
            <v>VCB8010400000100</v>
          </cell>
          <cell r="H4736">
            <v>1</v>
          </cell>
          <cell r="I4736" t="str">
            <v>--</v>
          </cell>
          <cell r="J4736">
            <v>1</v>
          </cell>
          <cell r="K4736">
            <v>1</v>
          </cell>
        </row>
        <row r="4737">
          <cell r="A4737" t="str">
            <v>M2</v>
          </cell>
          <cell r="B4737" t="str">
            <v>A5C</v>
          </cell>
          <cell r="C4737" t="str">
            <v>P</v>
          </cell>
          <cell r="D4737" t="str">
            <v>23027</v>
          </cell>
          <cell r="E4737" t="str">
            <v>GLOBE VA</v>
          </cell>
          <cell r="F4737">
            <v>6</v>
          </cell>
          <cell r="G4737" t="str">
            <v>VL8010100000100</v>
          </cell>
          <cell r="H4737">
            <v>1</v>
          </cell>
          <cell r="I4737" t="str">
            <v>--</v>
          </cell>
          <cell r="J4737">
            <v>1</v>
          </cell>
          <cell r="K4737">
            <v>1</v>
          </cell>
        </row>
        <row r="4738">
          <cell r="A4738" t="str">
            <v>M2</v>
          </cell>
          <cell r="B4738" t="str">
            <v>A5C</v>
          </cell>
          <cell r="C4738" t="str">
            <v>P</v>
          </cell>
          <cell r="D4738" t="str">
            <v>23039</v>
          </cell>
          <cell r="E4738" t="str">
            <v>GLOBE VA</v>
          </cell>
          <cell r="F4738">
            <v>6</v>
          </cell>
          <cell r="G4738" t="str">
            <v>VL8010100000100</v>
          </cell>
          <cell r="H4738">
            <v>1</v>
          </cell>
          <cell r="I4738" t="str">
            <v>--</v>
          </cell>
          <cell r="J4738">
            <v>1</v>
          </cell>
          <cell r="K4738">
            <v>1</v>
          </cell>
        </row>
        <row r="4739">
          <cell r="A4739" t="str">
            <v>M2</v>
          </cell>
          <cell r="B4739" t="str">
            <v>A5C</v>
          </cell>
          <cell r="C4739" t="str">
            <v>P</v>
          </cell>
          <cell r="D4739" t="str">
            <v>23079</v>
          </cell>
          <cell r="E4739" t="str">
            <v>GLOBE VA</v>
          </cell>
          <cell r="F4739">
            <v>6</v>
          </cell>
          <cell r="G4739" t="str">
            <v>VL8010100000100</v>
          </cell>
          <cell r="H4739">
            <v>1</v>
          </cell>
          <cell r="I4739" t="str">
            <v>--</v>
          </cell>
          <cell r="J4739">
            <v>1</v>
          </cell>
          <cell r="K4739">
            <v>1</v>
          </cell>
        </row>
        <row r="4740">
          <cell r="A4740" t="str">
            <v>M2</v>
          </cell>
          <cell r="B4740" t="str">
            <v>A5C</v>
          </cell>
          <cell r="C4740" t="str">
            <v>P</v>
          </cell>
          <cell r="D4740" t="str">
            <v>23019</v>
          </cell>
          <cell r="E4740" t="str">
            <v>GLOBE VA</v>
          </cell>
          <cell r="F4740">
            <v>6</v>
          </cell>
          <cell r="G4740" t="str">
            <v>VL8010100000100</v>
          </cell>
          <cell r="H4740">
            <v>1</v>
          </cell>
          <cell r="I4740" t="str">
            <v>--</v>
          </cell>
          <cell r="J4740">
            <v>1</v>
          </cell>
          <cell r="K4740">
            <v>1</v>
          </cell>
        </row>
        <row r="4741">
          <cell r="A4741" t="str">
            <v>M2</v>
          </cell>
          <cell r="B4741" t="str">
            <v>A5C</v>
          </cell>
          <cell r="C4741" t="str">
            <v>P</v>
          </cell>
          <cell r="D4741" t="str">
            <v>24002</v>
          </cell>
          <cell r="E4741" t="str">
            <v>BALL VA</v>
          </cell>
          <cell r="F4741">
            <v>6</v>
          </cell>
          <cell r="G4741" t="str">
            <v>VB8010600000100</v>
          </cell>
          <cell r="H4741">
            <v>1</v>
          </cell>
          <cell r="I4741" t="str">
            <v>--</v>
          </cell>
          <cell r="J4741">
            <v>3</v>
          </cell>
          <cell r="K4741">
            <v>3</v>
          </cell>
        </row>
        <row r="4742">
          <cell r="A4742" t="str">
            <v>M2</v>
          </cell>
          <cell r="B4742" t="str">
            <v>A5C</v>
          </cell>
          <cell r="C4742" t="str">
            <v>P</v>
          </cell>
          <cell r="D4742" t="str">
            <v>24004</v>
          </cell>
          <cell r="E4742" t="str">
            <v>BALL VA</v>
          </cell>
          <cell r="F4742">
            <v>6</v>
          </cell>
          <cell r="G4742" t="str">
            <v>VB8010600000100</v>
          </cell>
          <cell r="H4742">
            <v>1</v>
          </cell>
          <cell r="I4742" t="str">
            <v>--</v>
          </cell>
          <cell r="J4742">
            <v>6</v>
          </cell>
          <cell r="K4742">
            <v>6</v>
          </cell>
        </row>
        <row r="4743">
          <cell r="A4743" t="str">
            <v>M2</v>
          </cell>
          <cell r="B4743" t="str">
            <v>A5C</v>
          </cell>
          <cell r="C4743" t="str">
            <v>P</v>
          </cell>
          <cell r="D4743" t="str">
            <v>24025</v>
          </cell>
          <cell r="E4743" t="str">
            <v>BALL VA</v>
          </cell>
          <cell r="F4743">
            <v>6</v>
          </cell>
          <cell r="G4743" t="str">
            <v>VB8010600000100</v>
          </cell>
          <cell r="H4743">
            <v>1</v>
          </cell>
          <cell r="I4743" t="str">
            <v>--</v>
          </cell>
          <cell r="J4743">
            <v>2</v>
          </cell>
          <cell r="K4743">
            <v>2</v>
          </cell>
        </row>
        <row r="4744">
          <cell r="A4744" t="str">
            <v>M2</v>
          </cell>
          <cell r="B4744" t="str">
            <v>A5C</v>
          </cell>
          <cell r="C4744" t="str">
            <v>P</v>
          </cell>
          <cell r="D4744" t="str">
            <v>24026</v>
          </cell>
          <cell r="E4744" t="str">
            <v>BALL VA</v>
          </cell>
          <cell r="F4744">
            <v>6</v>
          </cell>
          <cell r="G4744" t="str">
            <v>VB8010600000100</v>
          </cell>
          <cell r="H4744">
            <v>1</v>
          </cell>
          <cell r="I4744" t="str">
            <v>--</v>
          </cell>
          <cell r="J4744">
            <v>3</v>
          </cell>
          <cell r="K4744">
            <v>3</v>
          </cell>
        </row>
        <row r="4745">
          <cell r="A4745" t="str">
            <v>M2</v>
          </cell>
          <cell r="B4745" t="str">
            <v>A5C</v>
          </cell>
          <cell r="C4745" t="str">
            <v>P</v>
          </cell>
          <cell r="D4745" t="str">
            <v>24032</v>
          </cell>
          <cell r="E4745" t="str">
            <v>BALL VA</v>
          </cell>
          <cell r="F4745">
            <v>6</v>
          </cell>
          <cell r="G4745" t="str">
            <v>VB8010600000100</v>
          </cell>
          <cell r="H4745">
            <v>1</v>
          </cell>
          <cell r="I4745" t="str">
            <v>--</v>
          </cell>
          <cell r="J4745">
            <v>1</v>
          </cell>
          <cell r="K4745">
            <v>1</v>
          </cell>
        </row>
        <row r="4746">
          <cell r="A4746" t="str">
            <v>M2</v>
          </cell>
          <cell r="B4746" t="str">
            <v>A5C</v>
          </cell>
          <cell r="C4746" t="str">
            <v>P</v>
          </cell>
          <cell r="D4746" t="str">
            <v>99004</v>
          </cell>
          <cell r="E4746" t="str">
            <v>BALL VA</v>
          </cell>
          <cell r="F4746">
            <v>6</v>
          </cell>
          <cell r="G4746" t="str">
            <v>VB8010600000100</v>
          </cell>
          <cell r="H4746">
            <v>1</v>
          </cell>
          <cell r="I4746" t="str">
            <v>--</v>
          </cell>
          <cell r="J4746">
            <v>1</v>
          </cell>
          <cell r="K4746">
            <v>1</v>
          </cell>
        </row>
        <row r="4747">
          <cell r="A4747" t="str">
            <v>M2</v>
          </cell>
          <cell r="B4747" t="str">
            <v>A5C</v>
          </cell>
          <cell r="C4747" t="str">
            <v>P</v>
          </cell>
          <cell r="D4747" t="str">
            <v>23013</v>
          </cell>
          <cell r="E4747" t="str">
            <v>BALL VA</v>
          </cell>
          <cell r="F4747">
            <v>6</v>
          </cell>
          <cell r="G4747" t="str">
            <v>VB8010600000100</v>
          </cell>
          <cell r="H4747">
            <v>1</v>
          </cell>
          <cell r="I4747" t="str">
            <v>--</v>
          </cell>
          <cell r="J4747">
            <v>2</v>
          </cell>
          <cell r="K4747">
            <v>2</v>
          </cell>
        </row>
        <row r="4748">
          <cell r="A4748" t="str">
            <v>M2</v>
          </cell>
          <cell r="B4748" t="str">
            <v>A5C</v>
          </cell>
          <cell r="C4748" t="str">
            <v>P</v>
          </cell>
          <cell r="D4748" t="str">
            <v>23154</v>
          </cell>
          <cell r="E4748" t="str">
            <v>BALL VA</v>
          </cell>
          <cell r="F4748">
            <v>6</v>
          </cell>
          <cell r="G4748" t="str">
            <v>VB8010600000100</v>
          </cell>
          <cell r="H4748">
            <v>1</v>
          </cell>
          <cell r="I4748" t="str">
            <v>--</v>
          </cell>
          <cell r="J4748">
            <v>1</v>
          </cell>
          <cell r="K4748">
            <v>1</v>
          </cell>
        </row>
        <row r="4749">
          <cell r="A4749" t="str">
            <v>M2</v>
          </cell>
          <cell r="B4749" t="str">
            <v>A5C</v>
          </cell>
          <cell r="C4749" t="str">
            <v>P</v>
          </cell>
          <cell r="D4749" t="str">
            <v>23013</v>
          </cell>
          <cell r="E4749" t="str">
            <v>CHECK VA</v>
          </cell>
          <cell r="F4749">
            <v>6</v>
          </cell>
          <cell r="G4749" t="str">
            <v>VCB8010400000100</v>
          </cell>
          <cell r="H4749">
            <v>1</v>
          </cell>
          <cell r="I4749" t="str">
            <v>--</v>
          </cell>
          <cell r="J4749">
            <v>2</v>
          </cell>
          <cell r="K4749">
            <v>2</v>
          </cell>
        </row>
        <row r="4750">
          <cell r="A4750" t="str">
            <v>M2</v>
          </cell>
          <cell r="B4750" t="str">
            <v>A5C</v>
          </cell>
          <cell r="C4750" t="str">
            <v>P</v>
          </cell>
          <cell r="D4750" t="str">
            <v>24002</v>
          </cell>
          <cell r="E4750" t="str">
            <v>CHECK VA</v>
          </cell>
          <cell r="F4750">
            <v>6</v>
          </cell>
          <cell r="G4750" t="str">
            <v>VCB8010400000100</v>
          </cell>
          <cell r="H4750">
            <v>1</v>
          </cell>
          <cell r="I4750" t="str">
            <v>--</v>
          </cell>
          <cell r="J4750">
            <v>1</v>
          </cell>
          <cell r="K4750">
            <v>1</v>
          </cell>
        </row>
        <row r="4751">
          <cell r="A4751" t="str">
            <v>M2</v>
          </cell>
          <cell r="B4751" t="str">
            <v>A5C</v>
          </cell>
          <cell r="C4751" t="str">
            <v>P</v>
          </cell>
          <cell r="D4751" t="str">
            <v>24004</v>
          </cell>
          <cell r="E4751" t="str">
            <v>CHECK VA</v>
          </cell>
          <cell r="F4751">
            <v>6</v>
          </cell>
          <cell r="G4751" t="str">
            <v>VCB8010400000100</v>
          </cell>
          <cell r="H4751">
            <v>1</v>
          </cell>
          <cell r="I4751" t="str">
            <v>--</v>
          </cell>
          <cell r="J4751">
            <v>2</v>
          </cell>
          <cell r="K4751">
            <v>2</v>
          </cell>
        </row>
        <row r="4752">
          <cell r="A4752" t="str">
            <v>M2</v>
          </cell>
          <cell r="B4752" t="str">
            <v>A5C</v>
          </cell>
          <cell r="C4752" t="str">
            <v>P</v>
          </cell>
          <cell r="D4752" t="str">
            <v>24026</v>
          </cell>
          <cell r="E4752" t="str">
            <v>CHECK VA</v>
          </cell>
          <cell r="F4752">
            <v>6</v>
          </cell>
          <cell r="G4752" t="str">
            <v>VCB8010400000100</v>
          </cell>
          <cell r="H4752">
            <v>1</v>
          </cell>
          <cell r="I4752" t="str">
            <v>--</v>
          </cell>
          <cell r="J4752">
            <v>1</v>
          </cell>
          <cell r="K4752">
            <v>1</v>
          </cell>
        </row>
        <row r="4753">
          <cell r="A4753" t="str">
            <v>M2</v>
          </cell>
          <cell r="B4753" t="str">
            <v>A5C</v>
          </cell>
          <cell r="C4753" t="str">
            <v>P</v>
          </cell>
          <cell r="D4753" t="str">
            <v>99004</v>
          </cell>
          <cell r="E4753" t="str">
            <v>CHECK VA</v>
          </cell>
          <cell r="F4753">
            <v>6</v>
          </cell>
          <cell r="G4753" t="str">
            <v>VCB8010400000100</v>
          </cell>
          <cell r="H4753">
            <v>1</v>
          </cell>
          <cell r="I4753" t="str">
            <v>--</v>
          </cell>
          <cell r="J4753">
            <v>1</v>
          </cell>
          <cell r="K4753">
            <v>1</v>
          </cell>
        </row>
        <row r="4754">
          <cell r="A4754" t="str">
            <v>M2</v>
          </cell>
          <cell r="B4754" t="str">
            <v>A5C</v>
          </cell>
          <cell r="C4754" t="str">
            <v>P</v>
          </cell>
          <cell r="D4754" t="str">
            <v>24002</v>
          </cell>
          <cell r="E4754" t="str">
            <v>GLOBE VA</v>
          </cell>
          <cell r="F4754">
            <v>6</v>
          </cell>
          <cell r="G4754" t="str">
            <v>VL8010100000100</v>
          </cell>
          <cell r="H4754">
            <v>1</v>
          </cell>
          <cell r="I4754" t="str">
            <v>--</v>
          </cell>
          <cell r="J4754">
            <v>1</v>
          </cell>
          <cell r="K4754">
            <v>1</v>
          </cell>
        </row>
        <row r="4755">
          <cell r="A4755" t="str">
            <v>M2</v>
          </cell>
          <cell r="B4755" t="str">
            <v>A5C</v>
          </cell>
          <cell r="C4755" t="str">
            <v>P</v>
          </cell>
          <cell r="D4755" t="str">
            <v>24004</v>
          </cell>
          <cell r="E4755" t="str">
            <v>GLOBE VA</v>
          </cell>
          <cell r="F4755">
            <v>6</v>
          </cell>
          <cell r="G4755" t="str">
            <v>VL8010100000100</v>
          </cell>
          <cell r="H4755">
            <v>1</v>
          </cell>
          <cell r="I4755" t="str">
            <v>--</v>
          </cell>
          <cell r="J4755">
            <v>1</v>
          </cell>
          <cell r="K4755">
            <v>1</v>
          </cell>
        </row>
        <row r="4756">
          <cell r="A4756" t="str">
            <v>M2</v>
          </cell>
          <cell r="B4756" t="str">
            <v>A5C</v>
          </cell>
          <cell r="C4756" t="str">
            <v>P</v>
          </cell>
          <cell r="D4756" t="str">
            <v>24026</v>
          </cell>
          <cell r="E4756" t="str">
            <v>GLOBE VA</v>
          </cell>
          <cell r="F4756">
            <v>6</v>
          </cell>
          <cell r="G4756" t="str">
            <v>VL8010100000100</v>
          </cell>
          <cell r="H4756">
            <v>1</v>
          </cell>
          <cell r="I4756" t="str">
            <v>--</v>
          </cell>
          <cell r="J4756">
            <v>1</v>
          </cell>
          <cell r="K4756">
            <v>1</v>
          </cell>
        </row>
        <row r="4757">
          <cell r="A4757" t="str">
            <v>M2</v>
          </cell>
          <cell r="B4757" t="str">
            <v>A5C</v>
          </cell>
          <cell r="C4757" t="str">
            <v>P</v>
          </cell>
          <cell r="D4757" t="str">
            <v>23006</v>
          </cell>
          <cell r="E4757" t="str">
            <v>BALL VA</v>
          </cell>
          <cell r="F4757">
            <v>6</v>
          </cell>
          <cell r="G4757" t="str">
            <v>VB8010600001H00</v>
          </cell>
          <cell r="H4757">
            <v>1.5</v>
          </cell>
          <cell r="I4757" t="str">
            <v>--</v>
          </cell>
          <cell r="J4757">
            <v>3</v>
          </cell>
          <cell r="K4757">
            <v>3</v>
          </cell>
        </row>
        <row r="4758">
          <cell r="A4758" t="str">
            <v>M2</v>
          </cell>
          <cell r="B4758" t="str">
            <v>A5C</v>
          </cell>
          <cell r="C4758" t="str">
            <v>P</v>
          </cell>
          <cell r="D4758" t="str">
            <v>23007</v>
          </cell>
          <cell r="E4758" t="str">
            <v>BALL VA</v>
          </cell>
          <cell r="F4758">
            <v>6</v>
          </cell>
          <cell r="G4758" t="str">
            <v>VB8010600001H00</v>
          </cell>
          <cell r="H4758">
            <v>1.5</v>
          </cell>
          <cell r="I4758" t="str">
            <v>--</v>
          </cell>
          <cell r="J4758">
            <v>1</v>
          </cell>
          <cell r="K4758">
            <v>1</v>
          </cell>
        </row>
        <row r="4759">
          <cell r="A4759" t="str">
            <v>M2</v>
          </cell>
          <cell r="B4759" t="str">
            <v>A5C</v>
          </cell>
          <cell r="C4759" t="str">
            <v>P</v>
          </cell>
          <cell r="D4759" t="str">
            <v>23035</v>
          </cell>
          <cell r="E4759" t="str">
            <v>BALL VA</v>
          </cell>
          <cell r="F4759">
            <v>6</v>
          </cell>
          <cell r="G4759" t="str">
            <v>VB8010600001H00</v>
          </cell>
          <cell r="H4759">
            <v>1.5</v>
          </cell>
          <cell r="I4759" t="str">
            <v>--</v>
          </cell>
          <cell r="J4759">
            <v>3</v>
          </cell>
          <cell r="K4759">
            <v>3</v>
          </cell>
        </row>
        <row r="4760">
          <cell r="A4760" t="str">
            <v>M2</v>
          </cell>
          <cell r="B4760" t="str">
            <v>A5C</v>
          </cell>
          <cell r="C4760" t="str">
            <v>P</v>
          </cell>
          <cell r="D4760" t="str">
            <v>23035</v>
          </cell>
          <cell r="E4760" t="str">
            <v>BALL VA</v>
          </cell>
          <cell r="F4760">
            <v>6</v>
          </cell>
          <cell r="G4760" t="str">
            <v>VB8010600001H00</v>
          </cell>
          <cell r="H4760">
            <v>1.5</v>
          </cell>
          <cell r="I4760" t="str">
            <v>--</v>
          </cell>
          <cell r="J4760">
            <v>3</v>
          </cell>
          <cell r="K4760">
            <v>3</v>
          </cell>
        </row>
        <row r="4761">
          <cell r="A4761" t="str">
            <v>M2</v>
          </cell>
          <cell r="B4761" t="str">
            <v>A5C</v>
          </cell>
          <cell r="C4761" t="str">
            <v>P</v>
          </cell>
          <cell r="D4761" t="str">
            <v>23070</v>
          </cell>
          <cell r="E4761" t="str">
            <v>BALL VA</v>
          </cell>
          <cell r="F4761">
            <v>6</v>
          </cell>
          <cell r="G4761" t="str">
            <v>VB8010600001H00</v>
          </cell>
          <cell r="H4761">
            <v>1.5</v>
          </cell>
          <cell r="I4761" t="str">
            <v>--</v>
          </cell>
          <cell r="J4761">
            <v>2</v>
          </cell>
          <cell r="K4761">
            <v>2</v>
          </cell>
        </row>
        <row r="4762">
          <cell r="A4762" t="str">
            <v>M2</v>
          </cell>
          <cell r="B4762" t="str">
            <v>A5C</v>
          </cell>
          <cell r="C4762" t="str">
            <v>P</v>
          </cell>
          <cell r="D4762" t="str">
            <v>23072</v>
          </cell>
          <cell r="E4762" t="str">
            <v>BALL VA</v>
          </cell>
          <cell r="F4762">
            <v>6</v>
          </cell>
          <cell r="G4762" t="str">
            <v>VB8010600001H00</v>
          </cell>
          <cell r="H4762">
            <v>1.5</v>
          </cell>
          <cell r="I4762" t="str">
            <v>--</v>
          </cell>
          <cell r="J4762">
            <v>1</v>
          </cell>
          <cell r="K4762">
            <v>1</v>
          </cell>
        </row>
        <row r="4763">
          <cell r="A4763" t="str">
            <v>M2</v>
          </cell>
          <cell r="B4763" t="str">
            <v>A5C</v>
          </cell>
          <cell r="C4763" t="str">
            <v>P</v>
          </cell>
          <cell r="D4763" t="str">
            <v>23103</v>
          </cell>
          <cell r="E4763" t="str">
            <v>BALL VA</v>
          </cell>
          <cell r="F4763">
            <v>6</v>
          </cell>
          <cell r="G4763" t="str">
            <v>VB8010600001H00</v>
          </cell>
          <cell r="H4763">
            <v>1.5</v>
          </cell>
          <cell r="I4763" t="str">
            <v>--</v>
          </cell>
          <cell r="J4763">
            <v>2</v>
          </cell>
          <cell r="K4763">
            <v>2</v>
          </cell>
        </row>
        <row r="4764">
          <cell r="A4764" t="str">
            <v>M2</v>
          </cell>
          <cell r="B4764" t="str">
            <v>A5C</v>
          </cell>
          <cell r="C4764" t="str">
            <v>P</v>
          </cell>
          <cell r="D4764" t="str">
            <v>23107</v>
          </cell>
          <cell r="E4764" t="str">
            <v>BALL VA</v>
          </cell>
          <cell r="F4764">
            <v>6</v>
          </cell>
          <cell r="G4764" t="str">
            <v>VB8010600001H00</v>
          </cell>
          <cell r="H4764">
            <v>1.5</v>
          </cell>
          <cell r="I4764" t="str">
            <v>--</v>
          </cell>
          <cell r="J4764">
            <v>2</v>
          </cell>
          <cell r="K4764">
            <v>2</v>
          </cell>
        </row>
        <row r="4765">
          <cell r="A4765" t="str">
            <v>M2</v>
          </cell>
          <cell r="B4765" t="str">
            <v>A5C</v>
          </cell>
          <cell r="C4765" t="str">
            <v>P</v>
          </cell>
          <cell r="D4765" t="str">
            <v>23111</v>
          </cell>
          <cell r="E4765" t="str">
            <v>BALL VA</v>
          </cell>
          <cell r="F4765">
            <v>6</v>
          </cell>
          <cell r="G4765" t="str">
            <v>VB8010600001H00</v>
          </cell>
          <cell r="H4765">
            <v>1.5</v>
          </cell>
          <cell r="I4765" t="str">
            <v>--</v>
          </cell>
          <cell r="J4765">
            <v>2</v>
          </cell>
          <cell r="K4765">
            <v>2</v>
          </cell>
        </row>
        <row r="4766">
          <cell r="A4766" t="str">
            <v>M2</v>
          </cell>
          <cell r="B4766" t="str">
            <v>A5C</v>
          </cell>
          <cell r="C4766" t="str">
            <v>P</v>
          </cell>
          <cell r="D4766" t="str">
            <v>23117</v>
          </cell>
          <cell r="E4766" t="str">
            <v>BALL VA</v>
          </cell>
          <cell r="F4766">
            <v>6</v>
          </cell>
          <cell r="G4766" t="str">
            <v>VB8010600001H00</v>
          </cell>
          <cell r="H4766">
            <v>1.5</v>
          </cell>
          <cell r="I4766" t="str">
            <v>--</v>
          </cell>
          <cell r="J4766">
            <v>2</v>
          </cell>
          <cell r="K4766">
            <v>2</v>
          </cell>
        </row>
        <row r="4767">
          <cell r="A4767" t="str">
            <v>M2</v>
          </cell>
          <cell r="B4767" t="str">
            <v>A5C</v>
          </cell>
          <cell r="C4767" t="str">
            <v>P</v>
          </cell>
          <cell r="D4767" t="str">
            <v>23143</v>
          </cell>
          <cell r="E4767" t="str">
            <v>BALL VA</v>
          </cell>
          <cell r="F4767">
            <v>6</v>
          </cell>
          <cell r="G4767" t="str">
            <v>VB8010600001H00</v>
          </cell>
          <cell r="H4767">
            <v>1.5</v>
          </cell>
          <cell r="I4767" t="str">
            <v>--</v>
          </cell>
          <cell r="J4767">
            <v>2</v>
          </cell>
          <cell r="K4767">
            <v>2</v>
          </cell>
        </row>
        <row r="4768">
          <cell r="A4768" t="str">
            <v>M2</v>
          </cell>
          <cell r="B4768" t="str">
            <v>A5C</v>
          </cell>
          <cell r="C4768" t="str">
            <v>P</v>
          </cell>
          <cell r="D4768" t="str">
            <v>23185</v>
          </cell>
          <cell r="E4768" t="str">
            <v>BALL VA</v>
          </cell>
          <cell r="F4768">
            <v>6</v>
          </cell>
          <cell r="G4768" t="str">
            <v>VB8010600001H00</v>
          </cell>
          <cell r="H4768">
            <v>1.5</v>
          </cell>
          <cell r="I4768" t="str">
            <v>--</v>
          </cell>
          <cell r="J4768">
            <v>2</v>
          </cell>
          <cell r="K4768">
            <v>2</v>
          </cell>
        </row>
        <row r="4769">
          <cell r="A4769" t="str">
            <v>M2</v>
          </cell>
          <cell r="B4769" t="str">
            <v>A5C</v>
          </cell>
          <cell r="C4769" t="str">
            <v>P</v>
          </cell>
          <cell r="D4769" t="str">
            <v>23215</v>
          </cell>
          <cell r="E4769" t="str">
            <v>BALL VA</v>
          </cell>
          <cell r="F4769">
            <v>6</v>
          </cell>
          <cell r="G4769" t="str">
            <v>VB8010600001H00</v>
          </cell>
          <cell r="H4769">
            <v>1.5</v>
          </cell>
          <cell r="I4769" t="str">
            <v>--</v>
          </cell>
          <cell r="J4769">
            <v>1</v>
          </cell>
          <cell r="K4769">
            <v>1</v>
          </cell>
        </row>
        <row r="4770">
          <cell r="A4770" t="str">
            <v>M2</v>
          </cell>
          <cell r="B4770" t="str">
            <v>A5C</v>
          </cell>
          <cell r="C4770" t="str">
            <v>P</v>
          </cell>
          <cell r="D4770" t="str">
            <v>23259</v>
          </cell>
          <cell r="E4770" t="str">
            <v>BALL VA</v>
          </cell>
          <cell r="F4770">
            <v>6</v>
          </cell>
          <cell r="G4770" t="str">
            <v>VB8010600001H00</v>
          </cell>
          <cell r="H4770">
            <v>1.5</v>
          </cell>
          <cell r="I4770" t="str">
            <v>--</v>
          </cell>
          <cell r="J4770">
            <v>2</v>
          </cell>
          <cell r="K4770">
            <v>2</v>
          </cell>
        </row>
        <row r="4771">
          <cell r="A4771" t="str">
            <v>M2</v>
          </cell>
          <cell r="B4771" t="str">
            <v>A5C</v>
          </cell>
          <cell r="C4771" t="str">
            <v>P</v>
          </cell>
          <cell r="D4771" t="str">
            <v>24014</v>
          </cell>
          <cell r="E4771" t="str">
            <v>BALL VA</v>
          </cell>
          <cell r="F4771">
            <v>6</v>
          </cell>
          <cell r="G4771" t="str">
            <v>VB8010600001H00</v>
          </cell>
          <cell r="H4771">
            <v>1.5</v>
          </cell>
          <cell r="I4771" t="str">
            <v>--</v>
          </cell>
          <cell r="J4771">
            <v>2</v>
          </cell>
          <cell r="K4771">
            <v>2</v>
          </cell>
        </row>
        <row r="4772">
          <cell r="A4772" t="str">
            <v>M2</v>
          </cell>
          <cell r="B4772" t="str">
            <v>A5C</v>
          </cell>
          <cell r="C4772" t="str">
            <v>P</v>
          </cell>
          <cell r="D4772" t="str">
            <v>99003</v>
          </cell>
          <cell r="E4772" t="str">
            <v>BALL VA</v>
          </cell>
          <cell r="F4772">
            <v>6</v>
          </cell>
          <cell r="G4772" t="str">
            <v>VB8010600001H00</v>
          </cell>
          <cell r="H4772">
            <v>1.5</v>
          </cell>
          <cell r="I4772" t="str">
            <v>--</v>
          </cell>
          <cell r="J4772">
            <v>4</v>
          </cell>
          <cell r="K4772">
            <v>4</v>
          </cell>
        </row>
        <row r="4773">
          <cell r="A4773" t="str">
            <v>M2</v>
          </cell>
          <cell r="B4773" t="str">
            <v>A5C</v>
          </cell>
          <cell r="C4773" t="str">
            <v>P</v>
          </cell>
          <cell r="D4773" t="str">
            <v>99003</v>
          </cell>
          <cell r="E4773" t="str">
            <v>BALL VA</v>
          </cell>
          <cell r="F4773">
            <v>6</v>
          </cell>
          <cell r="G4773" t="str">
            <v>VB8010600001H00</v>
          </cell>
          <cell r="H4773">
            <v>1.5</v>
          </cell>
          <cell r="I4773" t="str">
            <v>--</v>
          </cell>
          <cell r="J4773">
            <v>2</v>
          </cell>
          <cell r="K4773">
            <v>2</v>
          </cell>
        </row>
        <row r="4774">
          <cell r="A4774" t="str">
            <v>M2</v>
          </cell>
          <cell r="B4774" t="str">
            <v>A5C</v>
          </cell>
          <cell r="C4774" t="str">
            <v>TRIM</v>
          </cell>
          <cell r="D4774" t="str">
            <v>V-2301</v>
          </cell>
          <cell r="E4774" t="str">
            <v>BALL VA</v>
          </cell>
          <cell r="F4774">
            <v>6</v>
          </cell>
          <cell r="G4774" t="str">
            <v>VB8010600001H00</v>
          </cell>
          <cell r="H4774">
            <v>1.5</v>
          </cell>
          <cell r="I4774" t="str">
            <v>--</v>
          </cell>
          <cell r="J4774">
            <v>2</v>
          </cell>
          <cell r="K4774">
            <v>2</v>
          </cell>
        </row>
        <row r="4775">
          <cell r="A4775" t="str">
            <v>M2</v>
          </cell>
          <cell r="B4775" t="str">
            <v>A5C</v>
          </cell>
          <cell r="C4775" t="str">
            <v>P</v>
          </cell>
          <cell r="D4775" t="str">
            <v>22102</v>
          </cell>
          <cell r="E4775" t="str">
            <v>BALL VA</v>
          </cell>
          <cell r="F4775">
            <v>6</v>
          </cell>
          <cell r="G4775" t="str">
            <v>VB8010600001H00</v>
          </cell>
          <cell r="H4775">
            <v>1.5</v>
          </cell>
          <cell r="I4775" t="str">
            <v>--</v>
          </cell>
          <cell r="J4775">
            <v>1</v>
          </cell>
          <cell r="K4775">
            <v>1</v>
          </cell>
        </row>
        <row r="4776">
          <cell r="A4776" t="str">
            <v>M2</v>
          </cell>
          <cell r="B4776" t="str">
            <v>A5C</v>
          </cell>
          <cell r="C4776" t="str">
            <v>P</v>
          </cell>
          <cell r="D4776" t="str">
            <v>23006</v>
          </cell>
          <cell r="E4776" t="str">
            <v>BALL VA</v>
          </cell>
          <cell r="F4776">
            <v>6</v>
          </cell>
          <cell r="G4776" t="str">
            <v>VB8010600001H00</v>
          </cell>
          <cell r="H4776">
            <v>1.5</v>
          </cell>
          <cell r="I4776" t="str">
            <v>--</v>
          </cell>
          <cell r="J4776">
            <v>2</v>
          </cell>
          <cell r="K4776">
            <v>2</v>
          </cell>
        </row>
        <row r="4777">
          <cell r="A4777" t="str">
            <v>M2</v>
          </cell>
          <cell r="B4777" t="str">
            <v>A5C</v>
          </cell>
          <cell r="C4777" t="str">
            <v>P</v>
          </cell>
          <cell r="D4777" t="str">
            <v>23038</v>
          </cell>
          <cell r="E4777" t="str">
            <v>BALL VA</v>
          </cell>
          <cell r="F4777">
            <v>6</v>
          </cell>
          <cell r="G4777" t="str">
            <v>VB8010600001H00</v>
          </cell>
          <cell r="H4777">
            <v>1.5</v>
          </cell>
          <cell r="I4777" t="str">
            <v>--</v>
          </cell>
          <cell r="J4777">
            <v>2</v>
          </cell>
          <cell r="K4777">
            <v>2</v>
          </cell>
        </row>
        <row r="4778">
          <cell r="A4778" t="str">
            <v>M2</v>
          </cell>
          <cell r="B4778" t="str">
            <v>A5C</v>
          </cell>
          <cell r="C4778" t="str">
            <v>P</v>
          </cell>
          <cell r="D4778" t="str">
            <v>23116</v>
          </cell>
          <cell r="E4778" t="str">
            <v>BALL VA</v>
          </cell>
          <cell r="F4778">
            <v>6</v>
          </cell>
          <cell r="G4778" t="str">
            <v>VB8010600001H00</v>
          </cell>
          <cell r="H4778">
            <v>1.5</v>
          </cell>
          <cell r="I4778" t="str">
            <v>--</v>
          </cell>
          <cell r="J4778">
            <v>2</v>
          </cell>
          <cell r="K4778">
            <v>2</v>
          </cell>
        </row>
        <row r="4779">
          <cell r="A4779" t="str">
            <v>M2</v>
          </cell>
          <cell r="B4779" t="str">
            <v>A5C</v>
          </cell>
          <cell r="C4779" t="str">
            <v>P</v>
          </cell>
          <cell r="D4779" t="str">
            <v>23147</v>
          </cell>
          <cell r="E4779" t="str">
            <v>BALL VA</v>
          </cell>
          <cell r="F4779">
            <v>6</v>
          </cell>
          <cell r="G4779" t="str">
            <v>VB8010600001H00</v>
          </cell>
          <cell r="H4779">
            <v>1.5</v>
          </cell>
          <cell r="I4779" t="str">
            <v>--</v>
          </cell>
          <cell r="J4779">
            <v>2</v>
          </cell>
          <cell r="K4779">
            <v>2</v>
          </cell>
        </row>
        <row r="4780">
          <cell r="A4780" t="str">
            <v>M2</v>
          </cell>
          <cell r="B4780" t="str">
            <v>A5C</v>
          </cell>
          <cell r="C4780" t="str">
            <v>P</v>
          </cell>
          <cell r="D4780" t="str">
            <v>23157</v>
          </cell>
          <cell r="E4780" t="str">
            <v>BALL VA</v>
          </cell>
          <cell r="F4780">
            <v>6</v>
          </cell>
          <cell r="G4780" t="str">
            <v>VB8010600001H00</v>
          </cell>
          <cell r="H4780">
            <v>1.5</v>
          </cell>
          <cell r="I4780" t="str">
            <v>--</v>
          </cell>
          <cell r="J4780">
            <v>2</v>
          </cell>
          <cell r="K4780">
            <v>2</v>
          </cell>
        </row>
        <row r="4781">
          <cell r="A4781" t="str">
            <v>M2</v>
          </cell>
          <cell r="B4781" t="str">
            <v>A5C</v>
          </cell>
          <cell r="C4781" t="str">
            <v>P</v>
          </cell>
          <cell r="D4781" t="str">
            <v>23196</v>
          </cell>
          <cell r="E4781" t="str">
            <v>BALL VA</v>
          </cell>
          <cell r="F4781">
            <v>6</v>
          </cell>
          <cell r="G4781" t="str">
            <v>VB8010600001H00</v>
          </cell>
          <cell r="H4781">
            <v>1.5</v>
          </cell>
          <cell r="I4781" t="str">
            <v>--</v>
          </cell>
          <cell r="J4781">
            <v>2</v>
          </cell>
          <cell r="K4781">
            <v>2</v>
          </cell>
        </row>
        <row r="4782">
          <cell r="A4782" t="str">
            <v>M2</v>
          </cell>
          <cell r="B4782" t="str">
            <v>A5C</v>
          </cell>
          <cell r="C4782" t="str">
            <v>P</v>
          </cell>
          <cell r="D4782" t="str">
            <v>23217</v>
          </cell>
          <cell r="E4782" t="str">
            <v>BALL VA</v>
          </cell>
          <cell r="F4782">
            <v>6</v>
          </cell>
          <cell r="G4782" t="str">
            <v>VB8010600001H00</v>
          </cell>
          <cell r="H4782">
            <v>1.5</v>
          </cell>
          <cell r="I4782" t="str">
            <v>--</v>
          </cell>
          <cell r="J4782">
            <v>1</v>
          </cell>
          <cell r="K4782">
            <v>1</v>
          </cell>
        </row>
        <row r="4783">
          <cell r="A4783" t="str">
            <v>M2</v>
          </cell>
          <cell r="B4783" t="str">
            <v>A5C</v>
          </cell>
          <cell r="C4783" t="str">
            <v>P</v>
          </cell>
          <cell r="D4783" t="str">
            <v>23006</v>
          </cell>
          <cell r="E4783" t="str">
            <v>CHECK VA</v>
          </cell>
          <cell r="F4783">
            <v>6</v>
          </cell>
          <cell r="G4783" t="str">
            <v>VCB8010400001H00</v>
          </cell>
          <cell r="H4783">
            <v>1.5</v>
          </cell>
          <cell r="I4783" t="str">
            <v>--</v>
          </cell>
          <cell r="J4783">
            <v>2</v>
          </cell>
          <cell r="K4783">
            <v>2</v>
          </cell>
        </row>
        <row r="4784">
          <cell r="A4784" t="str">
            <v>M2</v>
          </cell>
          <cell r="B4784" t="str">
            <v>A5C</v>
          </cell>
          <cell r="C4784" t="str">
            <v>P</v>
          </cell>
          <cell r="D4784" t="str">
            <v>23007</v>
          </cell>
          <cell r="E4784" t="str">
            <v>CHECK VA</v>
          </cell>
          <cell r="F4784">
            <v>6</v>
          </cell>
          <cell r="G4784" t="str">
            <v>VCB8010400001H00</v>
          </cell>
          <cell r="H4784">
            <v>1.5</v>
          </cell>
          <cell r="I4784" t="str">
            <v>--</v>
          </cell>
          <cell r="J4784">
            <v>1</v>
          </cell>
          <cell r="K4784">
            <v>1</v>
          </cell>
        </row>
        <row r="4785">
          <cell r="A4785" t="str">
            <v>M2</v>
          </cell>
          <cell r="B4785" t="str">
            <v>A5C</v>
          </cell>
          <cell r="C4785" t="str">
            <v>P</v>
          </cell>
          <cell r="D4785" t="str">
            <v>23116</v>
          </cell>
          <cell r="E4785" t="str">
            <v>CHECK VA</v>
          </cell>
          <cell r="F4785">
            <v>6</v>
          </cell>
          <cell r="G4785" t="str">
            <v>VCB8010400001H00</v>
          </cell>
          <cell r="H4785">
            <v>1.5</v>
          </cell>
          <cell r="I4785" t="str">
            <v>--</v>
          </cell>
          <cell r="J4785">
            <v>2</v>
          </cell>
          <cell r="K4785">
            <v>2</v>
          </cell>
        </row>
        <row r="4786">
          <cell r="A4786" t="str">
            <v>M2</v>
          </cell>
          <cell r="B4786" t="str">
            <v>A5C</v>
          </cell>
          <cell r="C4786" t="str">
            <v>P</v>
          </cell>
          <cell r="D4786" t="str">
            <v>23192</v>
          </cell>
          <cell r="E4786" t="str">
            <v>GLOBE VA</v>
          </cell>
          <cell r="F4786">
            <v>6</v>
          </cell>
          <cell r="G4786" t="str">
            <v>VL8010100001H00</v>
          </cell>
          <cell r="H4786">
            <v>1.5</v>
          </cell>
          <cell r="I4786" t="str">
            <v>--</v>
          </cell>
          <cell r="J4786">
            <v>1</v>
          </cell>
          <cell r="K4786">
            <v>1</v>
          </cell>
        </row>
        <row r="4787">
          <cell r="A4787" t="str">
            <v>M2</v>
          </cell>
          <cell r="B4787" t="str">
            <v>A5C</v>
          </cell>
          <cell r="C4787" t="str">
            <v>P</v>
          </cell>
          <cell r="D4787" t="str">
            <v>23055</v>
          </cell>
          <cell r="E4787" t="str">
            <v>BALL VA</v>
          </cell>
          <cell r="F4787">
            <v>6</v>
          </cell>
          <cell r="G4787" t="str">
            <v>VB8010600001H00</v>
          </cell>
          <cell r="H4787">
            <v>1.5</v>
          </cell>
          <cell r="I4787" t="str">
            <v>--</v>
          </cell>
          <cell r="J4787">
            <v>2</v>
          </cell>
          <cell r="K4787">
            <v>2</v>
          </cell>
        </row>
        <row r="4788">
          <cell r="A4788" t="str">
            <v>M2</v>
          </cell>
          <cell r="B4788" t="str">
            <v>A5C</v>
          </cell>
          <cell r="C4788" t="str">
            <v>P</v>
          </cell>
          <cell r="D4788" t="str">
            <v>23008</v>
          </cell>
          <cell r="E4788" t="str">
            <v>BALL VA</v>
          </cell>
          <cell r="F4788">
            <v>6</v>
          </cell>
          <cell r="G4788" t="str">
            <v>VB8010600001H00</v>
          </cell>
          <cell r="H4788">
            <v>1.5</v>
          </cell>
          <cell r="I4788" t="str">
            <v>--</v>
          </cell>
          <cell r="J4788">
            <v>3</v>
          </cell>
          <cell r="K4788">
            <v>3</v>
          </cell>
        </row>
        <row r="4789">
          <cell r="A4789" t="str">
            <v>M2</v>
          </cell>
          <cell r="B4789" t="str">
            <v>A5C</v>
          </cell>
          <cell r="C4789" t="str">
            <v>P</v>
          </cell>
          <cell r="D4789" t="str">
            <v>23019</v>
          </cell>
          <cell r="E4789" t="str">
            <v>BALL VA</v>
          </cell>
          <cell r="F4789">
            <v>6</v>
          </cell>
          <cell r="G4789" t="str">
            <v>VB8010600001H00</v>
          </cell>
          <cell r="H4789">
            <v>1.5</v>
          </cell>
          <cell r="I4789" t="str">
            <v>--</v>
          </cell>
          <cell r="J4789">
            <v>2</v>
          </cell>
          <cell r="K4789">
            <v>2</v>
          </cell>
        </row>
        <row r="4790">
          <cell r="A4790" t="str">
            <v>M2</v>
          </cell>
          <cell r="B4790" t="str">
            <v>A5C</v>
          </cell>
          <cell r="C4790" t="str">
            <v>P</v>
          </cell>
          <cell r="D4790" t="str">
            <v>23039</v>
          </cell>
          <cell r="E4790" t="str">
            <v>BALL VA</v>
          </cell>
          <cell r="F4790">
            <v>6</v>
          </cell>
          <cell r="G4790" t="str">
            <v>VB8010600001H00</v>
          </cell>
          <cell r="H4790">
            <v>1.5</v>
          </cell>
          <cell r="I4790" t="str">
            <v>--</v>
          </cell>
          <cell r="J4790">
            <v>2</v>
          </cell>
          <cell r="K4790">
            <v>2</v>
          </cell>
        </row>
        <row r="4791">
          <cell r="A4791" t="str">
            <v>M2</v>
          </cell>
          <cell r="B4791" t="str">
            <v>A5C</v>
          </cell>
          <cell r="C4791" t="str">
            <v>P</v>
          </cell>
          <cell r="D4791" t="str">
            <v>23039</v>
          </cell>
          <cell r="E4791" t="str">
            <v>BALL VA</v>
          </cell>
          <cell r="F4791">
            <v>6</v>
          </cell>
          <cell r="G4791" t="str">
            <v>VB8010600001H00</v>
          </cell>
          <cell r="H4791">
            <v>1.5</v>
          </cell>
          <cell r="I4791" t="str">
            <v>--</v>
          </cell>
          <cell r="J4791">
            <v>2</v>
          </cell>
          <cell r="K4791">
            <v>2</v>
          </cell>
        </row>
        <row r="4792">
          <cell r="A4792" t="str">
            <v>M2</v>
          </cell>
          <cell r="B4792" t="str">
            <v>A5C</v>
          </cell>
          <cell r="C4792" t="str">
            <v>P</v>
          </cell>
          <cell r="D4792" t="str">
            <v>23077</v>
          </cell>
          <cell r="E4792" t="str">
            <v>BALL VA</v>
          </cell>
          <cell r="F4792">
            <v>6</v>
          </cell>
          <cell r="G4792" t="str">
            <v>VB8010600001H00</v>
          </cell>
          <cell r="H4792">
            <v>1.5</v>
          </cell>
          <cell r="I4792" t="str">
            <v>--</v>
          </cell>
          <cell r="J4792">
            <v>2</v>
          </cell>
          <cell r="K4792">
            <v>2</v>
          </cell>
        </row>
        <row r="4793">
          <cell r="A4793" t="str">
            <v>M2</v>
          </cell>
          <cell r="B4793" t="str">
            <v>A5C</v>
          </cell>
          <cell r="C4793" t="str">
            <v>P</v>
          </cell>
          <cell r="D4793" t="str">
            <v>23216</v>
          </cell>
          <cell r="E4793" t="str">
            <v>BALL VA</v>
          </cell>
          <cell r="F4793">
            <v>6</v>
          </cell>
          <cell r="G4793" t="str">
            <v>VB8010600001H00</v>
          </cell>
          <cell r="H4793">
            <v>1.5</v>
          </cell>
          <cell r="I4793" t="str">
            <v>--</v>
          </cell>
          <cell r="J4793">
            <v>1</v>
          </cell>
          <cell r="K4793">
            <v>1</v>
          </cell>
        </row>
        <row r="4794">
          <cell r="A4794" t="str">
            <v>M2</v>
          </cell>
          <cell r="B4794" t="str">
            <v>A5C</v>
          </cell>
          <cell r="C4794" t="str">
            <v>P</v>
          </cell>
          <cell r="D4794" t="str">
            <v>23218</v>
          </cell>
          <cell r="E4794" t="str">
            <v>BALL VA</v>
          </cell>
          <cell r="F4794">
            <v>6</v>
          </cell>
          <cell r="G4794" t="str">
            <v>VB8010600001H00</v>
          </cell>
          <cell r="H4794">
            <v>1.5</v>
          </cell>
          <cell r="I4794" t="str">
            <v>--</v>
          </cell>
          <cell r="J4794">
            <v>1</v>
          </cell>
          <cell r="K4794">
            <v>1</v>
          </cell>
        </row>
        <row r="4795">
          <cell r="A4795" t="str">
            <v>M2</v>
          </cell>
          <cell r="B4795" t="str">
            <v>A5C</v>
          </cell>
          <cell r="C4795" t="str">
            <v>P</v>
          </cell>
          <cell r="D4795" t="str">
            <v>23222</v>
          </cell>
          <cell r="E4795" t="str">
            <v>BALL VA</v>
          </cell>
          <cell r="F4795">
            <v>6</v>
          </cell>
          <cell r="G4795" t="str">
            <v>VB8010600001H00</v>
          </cell>
          <cell r="H4795">
            <v>1.5</v>
          </cell>
          <cell r="I4795" t="str">
            <v>--</v>
          </cell>
          <cell r="J4795">
            <v>1</v>
          </cell>
          <cell r="K4795">
            <v>1</v>
          </cell>
        </row>
        <row r="4796">
          <cell r="A4796" t="str">
            <v>M2</v>
          </cell>
          <cell r="B4796" t="str">
            <v>A5C</v>
          </cell>
          <cell r="C4796" t="str">
            <v>P</v>
          </cell>
          <cell r="D4796" t="str">
            <v>23242</v>
          </cell>
          <cell r="E4796" t="str">
            <v>BALL VA</v>
          </cell>
          <cell r="F4796">
            <v>6</v>
          </cell>
          <cell r="G4796" t="str">
            <v>VB8010600001H00</v>
          </cell>
          <cell r="H4796">
            <v>1.5</v>
          </cell>
          <cell r="I4796" t="str">
            <v>--</v>
          </cell>
          <cell r="J4796">
            <v>1</v>
          </cell>
          <cell r="K4796">
            <v>1</v>
          </cell>
        </row>
        <row r="4797">
          <cell r="A4797" t="str">
            <v>M2</v>
          </cell>
          <cell r="B4797" t="str">
            <v>A5C</v>
          </cell>
          <cell r="C4797" t="str">
            <v>TRIM</v>
          </cell>
          <cell r="D4797" t="str">
            <v>C-2304</v>
          </cell>
          <cell r="E4797" t="str">
            <v>BALL VA</v>
          </cell>
          <cell r="F4797">
            <v>6</v>
          </cell>
          <cell r="G4797" t="str">
            <v>VB8010600001H00</v>
          </cell>
          <cell r="H4797">
            <v>1.5</v>
          </cell>
          <cell r="I4797" t="str">
            <v>--</v>
          </cell>
          <cell r="J4797">
            <v>2</v>
          </cell>
          <cell r="K4797">
            <v>2</v>
          </cell>
        </row>
        <row r="4798">
          <cell r="A4798" t="str">
            <v>M2</v>
          </cell>
          <cell r="B4798" t="str">
            <v>A5C</v>
          </cell>
          <cell r="C4798" t="str">
            <v>TRIM</v>
          </cell>
          <cell r="D4798" t="str">
            <v>C-2305</v>
          </cell>
          <cell r="E4798" t="str">
            <v>BALL VA</v>
          </cell>
          <cell r="F4798">
            <v>6</v>
          </cell>
          <cell r="G4798" t="str">
            <v>VB8010600001H00</v>
          </cell>
          <cell r="H4798">
            <v>1.5</v>
          </cell>
          <cell r="I4798" t="str">
            <v>--</v>
          </cell>
          <cell r="J4798">
            <v>2</v>
          </cell>
          <cell r="K4798">
            <v>2</v>
          </cell>
        </row>
        <row r="4799">
          <cell r="A4799" t="str">
            <v>M2</v>
          </cell>
          <cell r="B4799" t="str">
            <v>A5C</v>
          </cell>
          <cell r="C4799" t="str">
            <v>TRIM</v>
          </cell>
          <cell r="D4799" t="str">
            <v>C-2306</v>
          </cell>
          <cell r="E4799" t="str">
            <v>BALL VA</v>
          </cell>
          <cell r="F4799">
            <v>6</v>
          </cell>
          <cell r="G4799" t="str">
            <v>VB8010600001H00</v>
          </cell>
          <cell r="H4799">
            <v>1.5</v>
          </cell>
          <cell r="I4799" t="str">
            <v>--</v>
          </cell>
          <cell r="J4799">
            <v>2</v>
          </cell>
          <cell r="K4799">
            <v>2</v>
          </cell>
        </row>
        <row r="4800">
          <cell r="A4800" t="str">
            <v>M2</v>
          </cell>
          <cell r="B4800" t="str">
            <v>A5C</v>
          </cell>
          <cell r="C4800" t="str">
            <v>TRIM</v>
          </cell>
          <cell r="D4800" t="str">
            <v>V-2302</v>
          </cell>
          <cell r="E4800" t="str">
            <v>BALL VA</v>
          </cell>
          <cell r="F4800">
            <v>6</v>
          </cell>
          <cell r="G4800" t="str">
            <v>VB8010600001H00</v>
          </cell>
          <cell r="H4800">
            <v>1.5</v>
          </cell>
          <cell r="I4800" t="str">
            <v>--</v>
          </cell>
          <cell r="J4800">
            <v>2</v>
          </cell>
          <cell r="K4800">
            <v>2</v>
          </cell>
        </row>
        <row r="4801">
          <cell r="A4801" t="str">
            <v>M2</v>
          </cell>
          <cell r="B4801" t="str">
            <v>A5C</v>
          </cell>
          <cell r="C4801" t="str">
            <v>TRIM</v>
          </cell>
          <cell r="D4801" t="str">
            <v>V-2306</v>
          </cell>
          <cell r="E4801" t="str">
            <v>BALL VA</v>
          </cell>
          <cell r="F4801">
            <v>6</v>
          </cell>
          <cell r="G4801" t="str">
            <v>VB8010600001H00</v>
          </cell>
          <cell r="H4801">
            <v>1.5</v>
          </cell>
          <cell r="I4801" t="str">
            <v>--</v>
          </cell>
          <cell r="J4801">
            <v>2</v>
          </cell>
          <cell r="K4801">
            <v>2</v>
          </cell>
        </row>
        <row r="4802">
          <cell r="A4802" t="str">
            <v>M2</v>
          </cell>
          <cell r="B4802" t="str">
            <v>A5C</v>
          </cell>
          <cell r="C4802" t="str">
            <v>TRIM</v>
          </cell>
          <cell r="D4802" t="str">
            <v>V-2308</v>
          </cell>
          <cell r="E4802" t="str">
            <v>BALL VA</v>
          </cell>
          <cell r="F4802">
            <v>6</v>
          </cell>
          <cell r="G4802" t="str">
            <v>VB8010600001H00</v>
          </cell>
          <cell r="H4802">
            <v>1.5</v>
          </cell>
          <cell r="I4802" t="str">
            <v>--</v>
          </cell>
          <cell r="J4802">
            <v>2</v>
          </cell>
          <cell r="K4802">
            <v>2</v>
          </cell>
        </row>
        <row r="4803">
          <cell r="A4803" t="str">
            <v>M2</v>
          </cell>
          <cell r="B4803" t="str">
            <v>A5C</v>
          </cell>
          <cell r="C4803" t="str">
            <v>TRIM</v>
          </cell>
          <cell r="D4803" t="str">
            <v>V-2310</v>
          </cell>
          <cell r="E4803" t="str">
            <v>BALL VA</v>
          </cell>
          <cell r="F4803">
            <v>6</v>
          </cell>
          <cell r="G4803" t="str">
            <v>VB8010600001H00</v>
          </cell>
          <cell r="H4803">
            <v>1.5</v>
          </cell>
          <cell r="I4803" t="str">
            <v>--</v>
          </cell>
          <cell r="J4803">
            <v>2</v>
          </cell>
          <cell r="K4803">
            <v>2</v>
          </cell>
        </row>
        <row r="4804">
          <cell r="A4804" t="str">
            <v>M2</v>
          </cell>
          <cell r="B4804" t="str">
            <v>A5C</v>
          </cell>
          <cell r="C4804" t="str">
            <v>TRIM</v>
          </cell>
          <cell r="D4804" t="str">
            <v>V-2313</v>
          </cell>
          <cell r="E4804" t="str">
            <v>BALL VA</v>
          </cell>
          <cell r="F4804">
            <v>6</v>
          </cell>
          <cell r="G4804" t="str">
            <v>VB8010600001H00</v>
          </cell>
          <cell r="H4804">
            <v>1.5</v>
          </cell>
          <cell r="I4804" t="str">
            <v>--</v>
          </cell>
          <cell r="J4804">
            <v>2</v>
          </cell>
          <cell r="K4804">
            <v>2</v>
          </cell>
        </row>
        <row r="4805">
          <cell r="A4805" t="str">
            <v>M2</v>
          </cell>
          <cell r="B4805" t="str">
            <v>A5C</v>
          </cell>
          <cell r="C4805" t="str">
            <v>P</v>
          </cell>
          <cell r="D4805" t="str">
            <v>23033</v>
          </cell>
          <cell r="E4805" t="str">
            <v>BALL VA</v>
          </cell>
          <cell r="F4805">
            <v>6</v>
          </cell>
          <cell r="G4805" t="str">
            <v>VB8010600001H00</v>
          </cell>
          <cell r="H4805">
            <v>1.5</v>
          </cell>
          <cell r="I4805" t="str">
            <v>--</v>
          </cell>
          <cell r="J4805">
            <v>2</v>
          </cell>
          <cell r="K4805">
            <v>2</v>
          </cell>
        </row>
        <row r="4806">
          <cell r="A4806" t="str">
            <v>M2</v>
          </cell>
          <cell r="B4806" t="str">
            <v>A5C</v>
          </cell>
          <cell r="C4806" t="str">
            <v>P</v>
          </cell>
          <cell r="D4806" t="str">
            <v>23033</v>
          </cell>
          <cell r="E4806" t="str">
            <v>BALL VA</v>
          </cell>
          <cell r="F4806">
            <v>6</v>
          </cell>
          <cell r="G4806" t="str">
            <v>VB8010600001H00</v>
          </cell>
          <cell r="H4806">
            <v>1.5</v>
          </cell>
          <cell r="I4806" t="str">
            <v>--</v>
          </cell>
          <cell r="J4806">
            <v>1</v>
          </cell>
          <cell r="K4806">
            <v>1</v>
          </cell>
        </row>
        <row r="4807">
          <cell r="A4807" t="str">
            <v>M2</v>
          </cell>
          <cell r="B4807" t="str">
            <v>A5C</v>
          </cell>
          <cell r="C4807" t="str">
            <v>P</v>
          </cell>
          <cell r="D4807" t="str">
            <v>23044</v>
          </cell>
          <cell r="E4807" t="str">
            <v>BALL VA</v>
          </cell>
          <cell r="F4807">
            <v>6</v>
          </cell>
          <cell r="G4807" t="str">
            <v>VB8010600001H00</v>
          </cell>
          <cell r="H4807">
            <v>1.5</v>
          </cell>
          <cell r="I4807" t="str">
            <v>--</v>
          </cell>
          <cell r="J4807">
            <v>2</v>
          </cell>
          <cell r="K4807">
            <v>2</v>
          </cell>
        </row>
        <row r="4808">
          <cell r="A4808" t="str">
            <v>M2</v>
          </cell>
          <cell r="B4808" t="str">
            <v>A5C</v>
          </cell>
          <cell r="C4808" t="str">
            <v>P</v>
          </cell>
          <cell r="D4808" t="str">
            <v>23170</v>
          </cell>
          <cell r="E4808" t="str">
            <v>BALL VA</v>
          </cell>
          <cell r="F4808">
            <v>6</v>
          </cell>
          <cell r="G4808" t="str">
            <v>VB8010600001H00</v>
          </cell>
          <cell r="H4808">
            <v>1.5</v>
          </cell>
          <cell r="I4808" t="str">
            <v>--</v>
          </cell>
          <cell r="J4808">
            <v>3</v>
          </cell>
          <cell r="K4808">
            <v>3</v>
          </cell>
        </row>
        <row r="4809">
          <cell r="A4809" t="str">
            <v>M2</v>
          </cell>
          <cell r="B4809" t="str">
            <v>A5C</v>
          </cell>
          <cell r="C4809" t="str">
            <v>TRIM</v>
          </cell>
          <cell r="D4809" t="str">
            <v>C-2303</v>
          </cell>
          <cell r="E4809" t="str">
            <v>BALL VA</v>
          </cell>
          <cell r="F4809">
            <v>6</v>
          </cell>
          <cell r="G4809" t="str">
            <v>VB8010600001H00</v>
          </cell>
          <cell r="H4809">
            <v>1.5</v>
          </cell>
          <cell r="I4809" t="str">
            <v>--</v>
          </cell>
          <cell r="J4809">
            <v>2</v>
          </cell>
          <cell r="K4809">
            <v>2</v>
          </cell>
        </row>
        <row r="4810">
          <cell r="A4810" t="str">
            <v>M2</v>
          </cell>
          <cell r="B4810" t="str">
            <v>A5C</v>
          </cell>
          <cell r="C4810" t="str">
            <v>TRIM</v>
          </cell>
          <cell r="D4810" t="str">
            <v>V-2304</v>
          </cell>
          <cell r="E4810" t="str">
            <v>BALL VA</v>
          </cell>
          <cell r="F4810">
            <v>6</v>
          </cell>
          <cell r="G4810" t="str">
            <v>VB8010600001H00</v>
          </cell>
          <cell r="H4810">
            <v>1.5</v>
          </cell>
          <cell r="I4810" t="str">
            <v>--</v>
          </cell>
          <cell r="J4810">
            <v>2</v>
          </cell>
          <cell r="K4810">
            <v>2</v>
          </cell>
        </row>
        <row r="4811">
          <cell r="A4811" t="str">
            <v>M2</v>
          </cell>
          <cell r="B4811" t="str">
            <v>A5C</v>
          </cell>
          <cell r="C4811" t="str">
            <v>P</v>
          </cell>
          <cell r="D4811" t="str">
            <v>23033</v>
          </cell>
          <cell r="E4811" t="str">
            <v>CHECK VA</v>
          </cell>
          <cell r="F4811">
            <v>6</v>
          </cell>
          <cell r="G4811" t="str">
            <v>VCB8010400001H00</v>
          </cell>
          <cell r="H4811">
            <v>1.5</v>
          </cell>
          <cell r="I4811" t="str">
            <v>--</v>
          </cell>
          <cell r="J4811">
            <v>2</v>
          </cell>
          <cell r="K4811">
            <v>2</v>
          </cell>
        </row>
        <row r="4812">
          <cell r="A4812" t="str">
            <v>M2</v>
          </cell>
          <cell r="B4812" t="str">
            <v>A5C</v>
          </cell>
          <cell r="C4812" t="str">
            <v>P</v>
          </cell>
          <cell r="D4812" t="str">
            <v>23039</v>
          </cell>
          <cell r="E4812" t="str">
            <v>CHECK VA</v>
          </cell>
          <cell r="F4812">
            <v>6</v>
          </cell>
          <cell r="G4812" t="str">
            <v>VCB8010400001H00</v>
          </cell>
          <cell r="H4812">
            <v>1.5</v>
          </cell>
          <cell r="I4812" t="str">
            <v>--</v>
          </cell>
          <cell r="J4812">
            <v>2</v>
          </cell>
          <cell r="K4812">
            <v>2</v>
          </cell>
        </row>
        <row r="4813">
          <cell r="A4813" t="str">
            <v>M2</v>
          </cell>
          <cell r="B4813" t="str">
            <v>A5C</v>
          </cell>
          <cell r="C4813" t="str">
            <v>P</v>
          </cell>
          <cell r="D4813" t="str">
            <v>23020</v>
          </cell>
          <cell r="E4813" t="str">
            <v>GLOBE VA</v>
          </cell>
          <cell r="F4813">
            <v>6</v>
          </cell>
          <cell r="G4813" t="str">
            <v>VL8010100001H00</v>
          </cell>
          <cell r="H4813">
            <v>1.5</v>
          </cell>
          <cell r="I4813" t="str">
            <v>--</v>
          </cell>
          <cell r="J4813">
            <v>1</v>
          </cell>
          <cell r="K4813">
            <v>1</v>
          </cell>
        </row>
        <row r="4814">
          <cell r="A4814" t="str">
            <v>M2</v>
          </cell>
          <cell r="B4814" t="str">
            <v>A5C</v>
          </cell>
          <cell r="C4814" t="str">
            <v>P</v>
          </cell>
          <cell r="D4814" t="str">
            <v>23220</v>
          </cell>
          <cell r="E4814" t="str">
            <v>GLOBE VA</v>
          </cell>
          <cell r="F4814">
            <v>6</v>
          </cell>
          <cell r="G4814" t="str">
            <v>VL8010100001H00</v>
          </cell>
          <cell r="H4814">
            <v>1.5</v>
          </cell>
          <cell r="I4814" t="str">
            <v>--</v>
          </cell>
          <cell r="J4814">
            <v>1</v>
          </cell>
          <cell r="K4814">
            <v>1</v>
          </cell>
        </row>
        <row r="4815">
          <cell r="A4815" t="str">
            <v>M2</v>
          </cell>
          <cell r="B4815" t="str">
            <v>A5C</v>
          </cell>
          <cell r="C4815" t="str">
            <v>P</v>
          </cell>
          <cell r="D4815" t="str">
            <v>23054</v>
          </cell>
          <cell r="E4815" t="str">
            <v>GLOBE VA</v>
          </cell>
          <cell r="F4815">
            <v>6</v>
          </cell>
          <cell r="G4815" t="str">
            <v>VL8010100001H00</v>
          </cell>
          <cell r="H4815">
            <v>1.5</v>
          </cell>
          <cell r="I4815" t="str">
            <v>--</v>
          </cell>
          <cell r="J4815">
            <v>1</v>
          </cell>
          <cell r="K4815">
            <v>1</v>
          </cell>
        </row>
        <row r="4816">
          <cell r="A4816" t="str">
            <v>M2</v>
          </cell>
          <cell r="B4816" t="str">
            <v>A5C</v>
          </cell>
          <cell r="C4816" t="str">
            <v>P</v>
          </cell>
          <cell r="D4816" t="str">
            <v>23243</v>
          </cell>
          <cell r="E4816" t="str">
            <v>GLOBE VA</v>
          </cell>
          <cell r="F4816">
            <v>6</v>
          </cell>
          <cell r="G4816" t="str">
            <v>VL8010100001H00</v>
          </cell>
          <cell r="H4816">
            <v>1.5</v>
          </cell>
          <cell r="I4816" t="str">
            <v>--</v>
          </cell>
          <cell r="J4816">
            <v>1</v>
          </cell>
          <cell r="K4816">
            <v>1</v>
          </cell>
        </row>
        <row r="4817">
          <cell r="A4817" t="str">
            <v>M2</v>
          </cell>
          <cell r="B4817" t="str">
            <v>A5C</v>
          </cell>
          <cell r="C4817" t="str">
            <v>P</v>
          </cell>
          <cell r="D4817" t="str">
            <v>23009</v>
          </cell>
          <cell r="E4817" t="str">
            <v>BALL VA</v>
          </cell>
          <cell r="F4817">
            <v>6</v>
          </cell>
          <cell r="G4817" t="str">
            <v>VB8010600001H00</v>
          </cell>
          <cell r="H4817">
            <v>1.5</v>
          </cell>
          <cell r="I4817" t="str">
            <v>--</v>
          </cell>
          <cell r="J4817">
            <v>2</v>
          </cell>
          <cell r="K4817">
            <v>2</v>
          </cell>
        </row>
        <row r="4818">
          <cell r="A4818" t="str">
            <v>M2</v>
          </cell>
          <cell r="B4818" t="str">
            <v>A5C</v>
          </cell>
          <cell r="C4818" t="str">
            <v>P</v>
          </cell>
          <cell r="D4818" t="str">
            <v>24001</v>
          </cell>
          <cell r="E4818" t="str">
            <v>BALL VA</v>
          </cell>
          <cell r="F4818">
            <v>6</v>
          </cell>
          <cell r="G4818" t="str">
            <v>VB8010600001H00</v>
          </cell>
          <cell r="H4818">
            <v>1.5</v>
          </cell>
          <cell r="I4818" t="str">
            <v>--</v>
          </cell>
          <cell r="J4818">
            <v>2</v>
          </cell>
          <cell r="K4818">
            <v>2</v>
          </cell>
        </row>
        <row r="4819">
          <cell r="A4819" t="str">
            <v>M2</v>
          </cell>
          <cell r="B4819" t="str">
            <v>A5C</v>
          </cell>
          <cell r="C4819" t="str">
            <v>TRIM</v>
          </cell>
          <cell r="D4819" t="str">
            <v>C-2301</v>
          </cell>
          <cell r="E4819" t="str">
            <v>BALL VA</v>
          </cell>
          <cell r="F4819">
            <v>6</v>
          </cell>
          <cell r="G4819" t="str">
            <v>VB8010600001H00</v>
          </cell>
          <cell r="H4819">
            <v>1.5</v>
          </cell>
          <cell r="I4819" t="str">
            <v>--</v>
          </cell>
          <cell r="J4819">
            <v>2</v>
          </cell>
          <cell r="K4819">
            <v>2</v>
          </cell>
        </row>
        <row r="4820">
          <cell r="A4820" t="str">
            <v>M2</v>
          </cell>
          <cell r="B4820" t="str">
            <v>A5C</v>
          </cell>
          <cell r="C4820" t="str">
            <v>P</v>
          </cell>
          <cell r="D4820" t="str">
            <v>24012</v>
          </cell>
          <cell r="E4820" t="str">
            <v>BALL VA</v>
          </cell>
          <cell r="F4820">
            <v>6</v>
          </cell>
          <cell r="G4820" t="str">
            <v>VB8010600001H00</v>
          </cell>
          <cell r="H4820">
            <v>1.5</v>
          </cell>
          <cell r="I4820" t="str">
            <v>--</v>
          </cell>
          <cell r="J4820">
            <v>1</v>
          </cell>
          <cell r="K4820">
            <v>1</v>
          </cell>
        </row>
        <row r="4821">
          <cell r="A4821" t="str">
            <v>M2</v>
          </cell>
          <cell r="B4821" t="str">
            <v>B2C</v>
          </cell>
          <cell r="C4821" t="str">
            <v>SCL</v>
          </cell>
          <cell r="D4821" t="str">
            <v>TRAP</v>
          </cell>
          <cell r="E4821" t="str">
            <v>STEAM TRAP</v>
          </cell>
          <cell r="F4821">
            <v>7</v>
          </cell>
          <cell r="G4821" t="str">
            <v>SP-05-100000T00</v>
          </cell>
          <cell r="H4821">
            <v>0.75</v>
          </cell>
          <cell r="I4821" t="str">
            <v>--</v>
          </cell>
          <cell r="J4821">
            <v>2</v>
          </cell>
          <cell r="K4821">
            <v>2</v>
          </cell>
        </row>
        <row r="4822">
          <cell r="A4822" t="str">
            <v>M2</v>
          </cell>
          <cell r="B4822" t="str">
            <v>B2C</v>
          </cell>
          <cell r="C4822" t="str">
            <v>SCH</v>
          </cell>
          <cell r="D4822" t="str">
            <v>23613</v>
          </cell>
          <cell r="E4822" t="str">
            <v>STEAM TRAP</v>
          </cell>
          <cell r="F4822">
            <v>7</v>
          </cell>
          <cell r="G4822" t="str">
            <v>SP-05-100000T00</v>
          </cell>
          <cell r="H4822">
            <v>0.75</v>
          </cell>
          <cell r="I4822" t="str">
            <v>--</v>
          </cell>
          <cell r="J4822">
            <v>1</v>
          </cell>
          <cell r="K4822">
            <v>1</v>
          </cell>
        </row>
        <row r="4823">
          <cell r="A4823" t="str">
            <v>M2</v>
          </cell>
          <cell r="B4823" t="str">
            <v>A5C</v>
          </cell>
          <cell r="C4823" t="str">
            <v>P</v>
          </cell>
          <cell r="D4823" t="str">
            <v>24007</v>
          </cell>
          <cell r="E4823" t="str">
            <v>T-STR</v>
          </cell>
          <cell r="F4823">
            <v>7</v>
          </cell>
          <cell r="G4823" t="str">
            <v>SP-07-108000100</v>
          </cell>
          <cell r="H4823">
            <v>1</v>
          </cell>
          <cell r="I4823" t="str">
            <v>--</v>
          </cell>
          <cell r="J4823">
            <v>1</v>
          </cell>
          <cell r="K4823">
            <v>1</v>
          </cell>
        </row>
        <row r="4824">
          <cell r="A4824" t="str">
            <v>M2</v>
          </cell>
          <cell r="B4824" t="str">
            <v>A5C</v>
          </cell>
          <cell r="C4824" t="str">
            <v>P</v>
          </cell>
          <cell r="D4824" t="str">
            <v>24025</v>
          </cell>
          <cell r="E4824" t="str">
            <v>Y-STR</v>
          </cell>
          <cell r="F4824">
            <v>7</v>
          </cell>
          <cell r="G4824" t="str">
            <v>SP-06-100000100</v>
          </cell>
          <cell r="H4824">
            <v>1</v>
          </cell>
          <cell r="I4824" t="str">
            <v>--</v>
          </cell>
          <cell r="J4824">
            <v>2</v>
          </cell>
          <cell r="K4824">
            <v>2</v>
          </cell>
        </row>
        <row r="4825">
          <cell r="A4825" t="str">
            <v>M2</v>
          </cell>
          <cell r="B4825" t="str">
            <v>A5C</v>
          </cell>
          <cell r="C4825" t="str">
            <v>P</v>
          </cell>
          <cell r="D4825" t="str">
            <v>23070</v>
          </cell>
          <cell r="E4825" t="str">
            <v>T-STR</v>
          </cell>
          <cell r="F4825">
            <v>7</v>
          </cell>
          <cell r="G4825" t="str">
            <v>SP-07-108001H00</v>
          </cell>
          <cell r="H4825">
            <v>1.5</v>
          </cell>
          <cell r="I4825" t="str">
            <v>--</v>
          </cell>
          <cell r="J4825">
            <v>2</v>
          </cell>
          <cell r="K4825">
            <v>2</v>
          </cell>
        </row>
        <row r="4826">
          <cell r="A4826" t="str">
            <v>M2</v>
          </cell>
          <cell r="B4826" t="str">
            <v>A5C</v>
          </cell>
          <cell r="C4826" t="str">
            <v>P</v>
          </cell>
          <cell r="D4826" t="str">
            <v>23103</v>
          </cell>
          <cell r="E4826" t="str">
            <v>T-STR</v>
          </cell>
          <cell r="F4826">
            <v>7</v>
          </cell>
          <cell r="G4826" t="str">
            <v>SP-07-108001H00</v>
          </cell>
          <cell r="H4826">
            <v>1.5</v>
          </cell>
          <cell r="I4826" t="str">
            <v>--</v>
          </cell>
          <cell r="J4826">
            <v>2</v>
          </cell>
          <cell r="K4826">
            <v>2</v>
          </cell>
        </row>
        <row r="4827">
          <cell r="A4827" t="str">
            <v>M2</v>
          </cell>
          <cell r="B4827" t="str">
            <v>A5C</v>
          </cell>
          <cell r="C4827" t="str">
            <v>P</v>
          </cell>
          <cell r="D4827" t="str">
            <v>23143</v>
          </cell>
          <cell r="E4827" t="str">
            <v>T-STR</v>
          </cell>
          <cell r="F4827">
            <v>7</v>
          </cell>
          <cell r="G4827" t="str">
            <v>SP-07-108001H00</v>
          </cell>
          <cell r="H4827">
            <v>1.5</v>
          </cell>
          <cell r="I4827" t="str">
            <v>--</v>
          </cell>
          <cell r="J4827">
            <v>2</v>
          </cell>
          <cell r="K4827">
            <v>2</v>
          </cell>
        </row>
        <row r="4828">
          <cell r="A4828" t="str">
            <v>M2</v>
          </cell>
          <cell r="B4828" t="str">
            <v>A5C</v>
          </cell>
          <cell r="C4828" t="str">
            <v>P</v>
          </cell>
          <cell r="D4828" t="str">
            <v>23107</v>
          </cell>
          <cell r="E4828" t="str">
            <v>T-STR</v>
          </cell>
          <cell r="F4828">
            <v>7</v>
          </cell>
          <cell r="G4828" t="str">
            <v>SP-07-108001H00</v>
          </cell>
          <cell r="H4828">
            <v>1.5</v>
          </cell>
          <cell r="I4828" t="str">
            <v>--</v>
          </cell>
          <cell r="J4828">
            <v>2</v>
          </cell>
          <cell r="K4828">
            <v>2</v>
          </cell>
        </row>
        <row r="4829">
          <cell r="A4829" t="str">
            <v>M2</v>
          </cell>
          <cell r="B4829" t="str">
            <v>A5C</v>
          </cell>
          <cell r="C4829" t="str">
            <v>P</v>
          </cell>
          <cell r="D4829" t="str">
            <v>23111</v>
          </cell>
          <cell r="E4829" t="str">
            <v>T-STR</v>
          </cell>
          <cell r="F4829">
            <v>7</v>
          </cell>
          <cell r="G4829" t="str">
            <v>SP-07-108001H00</v>
          </cell>
          <cell r="H4829">
            <v>1.5</v>
          </cell>
          <cell r="I4829" t="str">
            <v>--</v>
          </cell>
          <cell r="J4829">
            <v>2</v>
          </cell>
          <cell r="K4829">
            <v>2</v>
          </cell>
        </row>
        <row r="4830">
          <cell r="A4830" t="str">
            <v>M2</v>
          </cell>
          <cell r="B4830" t="str">
            <v>A5C</v>
          </cell>
          <cell r="C4830" t="str">
            <v>P</v>
          </cell>
          <cell r="D4830" t="str">
            <v>23147</v>
          </cell>
          <cell r="E4830" t="str">
            <v>T-STR</v>
          </cell>
          <cell r="F4830">
            <v>7</v>
          </cell>
          <cell r="G4830" t="str">
            <v>SP-07-108001H00</v>
          </cell>
          <cell r="H4830">
            <v>1.5</v>
          </cell>
          <cell r="I4830" t="str">
            <v>--</v>
          </cell>
          <cell r="J4830">
            <v>2</v>
          </cell>
          <cell r="K4830">
            <v>2</v>
          </cell>
        </row>
        <row r="4831">
          <cell r="A4831" t="str">
            <v>M2</v>
          </cell>
          <cell r="B4831" t="str">
            <v>A5C</v>
          </cell>
          <cell r="C4831" t="str">
            <v>P</v>
          </cell>
          <cell r="D4831" t="str">
            <v>23055</v>
          </cell>
          <cell r="E4831" t="str">
            <v>T-STR</v>
          </cell>
          <cell r="F4831">
            <v>7</v>
          </cell>
          <cell r="G4831" t="str">
            <v>SP-07-108001H00</v>
          </cell>
          <cell r="H4831">
            <v>1.5</v>
          </cell>
          <cell r="I4831" t="str">
            <v>--</v>
          </cell>
          <cell r="J4831">
            <v>2</v>
          </cell>
          <cell r="K4831">
            <v>2</v>
          </cell>
        </row>
        <row r="4832">
          <cell r="A4832" t="str">
            <v>M2</v>
          </cell>
          <cell r="B4832" t="str">
            <v>A5C</v>
          </cell>
          <cell r="C4832" t="str">
            <v>P</v>
          </cell>
          <cell r="D4832" t="str">
            <v>23044</v>
          </cell>
          <cell r="E4832" t="str">
            <v>T-STR</v>
          </cell>
          <cell r="F4832">
            <v>7</v>
          </cell>
          <cell r="G4832" t="str">
            <v>SP-07-108001H00</v>
          </cell>
          <cell r="H4832">
            <v>1.5</v>
          </cell>
          <cell r="I4832" t="str">
            <v>--</v>
          </cell>
          <cell r="J4832">
            <v>2</v>
          </cell>
          <cell r="K4832">
            <v>2</v>
          </cell>
        </row>
        <row r="4833">
          <cell r="A4833" t="str">
            <v>M2</v>
          </cell>
          <cell r="B4833" t="str">
            <v>A5C</v>
          </cell>
          <cell r="C4833" t="str">
            <v>P</v>
          </cell>
          <cell r="D4833" t="str">
            <v>23077</v>
          </cell>
          <cell r="E4833" t="str">
            <v>T-STR</v>
          </cell>
          <cell r="F4833">
            <v>7</v>
          </cell>
          <cell r="G4833" t="str">
            <v>SP-07-108001H00</v>
          </cell>
          <cell r="H4833">
            <v>1.5</v>
          </cell>
          <cell r="I4833" t="str">
            <v>--</v>
          </cell>
          <cell r="J4833">
            <v>2</v>
          </cell>
          <cell r="K4833">
            <v>2</v>
          </cell>
        </row>
        <row r="4834">
          <cell r="A4834" t="str">
            <v>M2</v>
          </cell>
          <cell r="B4834" t="str">
            <v>A5C</v>
          </cell>
          <cell r="C4834" t="str">
            <v>P</v>
          </cell>
          <cell r="D4834" t="str">
            <v>23009</v>
          </cell>
          <cell r="E4834" t="str">
            <v>T-STR</v>
          </cell>
          <cell r="F4834">
            <v>7</v>
          </cell>
          <cell r="G4834" t="str">
            <v>SP-07-108001H00</v>
          </cell>
          <cell r="H4834">
            <v>1.5</v>
          </cell>
          <cell r="I4834" t="str">
            <v>--</v>
          </cell>
          <cell r="J4834">
            <v>2</v>
          </cell>
          <cell r="K4834">
            <v>2</v>
          </cell>
        </row>
        <row r="4835">
          <cell r="A4835" t="str">
            <v>M2</v>
          </cell>
          <cell r="B4835" t="str">
            <v>A5C</v>
          </cell>
          <cell r="C4835" t="str">
            <v>P</v>
          </cell>
          <cell r="D4835" t="str">
            <v>24001</v>
          </cell>
          <cell r="E4835" t="str">
            <v>Y-STR</v>
          </cell>
          <cell r="F4835">
            <v>7</v>
          </cell>
          <cell r="G4835" t="str">
            <v>SP-06-100001H00</v>
          </cell>
          <cell r="H4835">
            <v>1.5</v>
          </cell>
          <cell r="I4835" t="str">
            <v>--</v>
          </cell>
          <cell r="J4835">
            <v>2</v>
          </cell>
          <cell r="K4835">
            <v>2</v>
          </cell>
        </row>
        <row r="4836">
          <cell r="A4836" t="str">
            <v>MC</v>
          </cell>
          <cell r="B4836" t="str">
            <v>CA304</v>
          </cell>
          <cell r="C4836" t="str">
            <v>SC1</v>
          </cell>
          <cell r="D4836" t="str">
            <v>HOLD</v>
          </cell>
          <cell r="E4836" t="str">
            <v>PIPE</v>
          </cell>
          <cell r="F4836">
            <v>1</v>
          </cell>
          <cell r="G4836" t="str">
            <v>CB100508000H00</v>
          </cell>
          <cell r="H4836">
            <v>0.5</v>
          </cell>
          <cell r="I4836" t="str">
            <v>--</v>
          </cell>
          <cell r="J4836">
            <v>1.5</v>
          </cell>
          <cell r="K4836">
            <v>1.5</v>
          </cell>
        </row>
        <row r="4837">
          <cell r="A4837" t="str">
            <v>MC</v>
          </cell>
          <cell r="B4837" t="str">
            <v>CA304</v>
          </cell>
          <cell r="C4837" t="str">
            <v>SCC</v>
          </cell>
          <cell r="D4837" t="str">
            <v>HOLD</v>
          </cell>
          <cell r="E4837" t="str">
            <v>PIPE</v>
          </cell>
          <cell r="F4837">
            <v>1</v>
          </cell>
          <cell r="G4837" t="str">
            <v>CB100508000H00</v>
          </cell>
          <cell r="H4837">
            <v>0.5</v>
          </cell>
          <cell r="I4837" t="str">
            <v>--</v>
          </cell>
          <cell r="J4837">
            <v>4</v>
          </cell>
          <cell r="K4837">
            <v>4</v>
          </cell>
        </row>
        <row r="4838">
          <cell r="A4838" t="str">
            <v>MC</v>
          </cell>
          <cell r="B4838" t="str">
            <v>CA304</v>
          </cell>
          <cell r="C4838" t="str">
            <v>MC</v>
          </cell>
          <cell r="D4838" t="str">
            <v>HOLD</v>
          </cell>
          <cell r="E4838" t="str">
            <v>PIPE</v>
          </cell>
          <cell r="F4838">
            <v>1</v>
          </cell>
          <cell r="G4838" t="str">
            <v>CB100508000H00</v>
          </cell>
          <cell r="H4838">
            <v>0.5</v>
          </cell>
          <cell r="I4838" t="str">
            <v>--</v>
          </cell>
          <cell r="J4838">
            <v>12</v>
          </cell>
          <cell r="K4838">
            <v>12</v>
          </cell>
        </row>
        <row r="4839">
          <cell r="A4839" t="str">
            <v>MC</v>
          </cell>
          <cell r="B4839" t="str">
            <v>BA305</v>
          </cell>
          <cell r="C4839" t="str">
            <v>VNC</v>
          </cell>
          <cell r="D4839" t="str">
            <v>2016</v>
          </cell>
          <cell r="E4839" t="str">
            <v>PIPE</v>
          </cell>
          <cell r="F4839">
            <v>1</v>
          </cell>
          <cell r="G4839" t="str">
            <v>CB100508000T00</v>
          </cell>
          <cell r="H4839">
            <v>0.75</v>
          </cell>
          <cell r="I4839" t="str">
            <v>--</v>
          </cell>
          <cell r="J4839">
            <v>0.1</v>
          </cell>
          <cell r="K4839">
            <v>0.1</v>
          </cell>
        </row>
        <row r="4840">
          <cell r="A4840" t="str">
            <v>MC</v>
          </cell>
          <cell r="B4840" t="str">
            <v>CA304</v>
          </cell>
          <cell r="C4840" t="str">
            <v>TRIM</v>
          </cell>
          <cell r="D4840" t="str">
            <v>E-1260</v>
          </cell>
          <cell r="E4840" t="str">
            <v>PIPE</v>
          </cell>
          <cell r="F4840">
            <v>1</v>
          </cell>
          <cell r="G4840" t="str">
            <v>CB100508000T00</v>
          </cell>
          <cell r="H4840">
            <v>0.75</v>
          </cell>
          <cell r="I4840" t="str">
            <v>--</v>
          </cell>
          <cell r="J4840">
            <v>0.1</v>
          </cell>
          <cell r="K4840">
            <v>0.1</v>
          </cell>
        </row>
        <row r="4841">
          <cell r="A4841" t="str">
            <v>MC</v>
          </cell>
          <cell r="B4841" t="str">
            <v>CA304</v>
          </cell>
          <cell r="C4841" t="str">
            <v>MC</v>
          </cell>
          <cell r="D4841" t="str">
            <v>2412</v>
          </cell>
          <cell r="E4841" t="str">
            <v>PIPE</v>
          </cell>
          <cell r="F4841">
            <v>1</v>
          </cell>
          <cell r="G4841" t="str">
            <v>CB100508000T00</v>
          </cell>
          <cell r="H4841">
            <v>0.75</v>
          </cell>
          <cell r="I4841" t="str">
            <v>--</v>
          </cell>
          <cell r="J4841">
            <v>0.2</v>
          </cell>
          <cell r="K4841">
            <v>0.2</v>
          </cell>
        </row>
        <row r="4842">
          <cell r="A4842" t="str">
            <v>MC</v>
          </cell>
          <cell r="B4842" t="str">
            <v>CA304</v>
          </cell>
          <cell r="C4842" t="str">
            <v>MC</v>
          </cell>
          <cell r="D4842" t="str">
            <v>2505</v>
          </cell>
          <cell r="E4842" t="str">
            <v>PIPE</v>
          </cell>
          <cell r="F4842">
            <v>1</v>
          </cell>
          <cell r="G4842" t="str">
            <v>CB100508000T00</v>
          </cell>
          <cell r="H4842">
            <v>0.75</v>
          </cell>
          <cell r="I4842" t="str">
            <v>--</v>
          </cell>
          <cell r="J4842">
            <v>0.2</v>
          </cell>
          <cell r="K4842">
            <v>0.2</v>
          </cell>
        </row>
        <row r="4843">
          <cell r="A4843" t="str">
            <v>MC</v>
          </cell>
          <cell r="B4843" t="str">
            <v>CA304</v>
          </cell>
          <cell r="C4843" t="str">
            <v>MC</v>
          </cell>
          <cell r="D4843" t="str">
            <v>2601</v>
          </cell>
          <cell r="E4843" t="str">
            <v>PIPE</v>
          </cell>
          <cell r="F4843">
            <v>1</v>
          </cell>
          <cell r="G4843" t="str">
            <v>CB100508000T00</v>
          </cell>
          <cell r="H4843">
            <v>0.75</v>
          </cell>
          <cell r="I4843" t="str">
            <v>--</v>
          </cell>
          <cell r="J4843">
            <v>0.2</v>
          </cell>
          <cell r="K4843">
            <v>0.2</v>
          </cell>
        </row>
        <row r="4844">
          <cell r="A4844" t="str">
            <v>MC</v>
          </cell>
          <cell r="B4844" t="str">
            <v>CA304</v>
          </cell>
          <cell r="C4844" t="str">
            <v>MC</v>
          </cell>
          <cell r="D4844" t="str">
            <v>2502</v>
          </cell>
          <cell r="E4844" t="str">
            <v>PIPE</v>
          </cell>
          <cell r="F4844">
            <v>1</v>
          </cell>
          <cell r="G4844" t="str">
            <v>CB100508000T00</v>
          </cell>
          <cell r="H4844">
            <v>0.75</v>
          </cell>
          <cell r="I4844" t="str">
            <v>--</v>
          </cell>
          <cell r="J4844">
            <v>0.2</v>
          </cell>
          <cell r="K4844">
            <v>0.2</v>
          </cell>
        </row>
        <row r="4845">
          <cell r="A4845" t="str">
            <v>MC</v>
          </cell>
          <cell r="B4845" t="str">
            <v>CA304</v>
          </cell>
          <cell r="C4845" t="str">
            <v>MC</v>
          </cell>
          <cell r="D4845" t="str">
            <v>2502</v>
          </cell>
          <cell r="E4845" t="str">
            <v>PIPE</v>
          </cell>
          <cell r="F4845">
            <v>1</v>
          </cell>
          <cell r="G4845" t="str">
            <v>CB100508000T00</v>
          </cell>
          <cell r="H4845">
            <v>0.75</v>
          </cell>
          <cell r="I4845" t="str">
            <v>--</v>
          </cell>
          <cell r="J4845">
            <v>0.2</v>
          </cell>
          <cell r="K4845">
            <v>0.2</v>
          </cell>
        </row>
        <row r="4846">
          <cell r="A4846" t="str">
            <v>MC</v>
          </cell>
          <cell r="B4846" t="str">
            <v>CA304</v>
          </cell>
          <cell r="C4846" t="str">
            <v>TRIM</v>
          </cell>
          <cell r="D4846" t="str">
            <v>V-1260A/B</v>
          </cell>
          <cell r="E4846" t="str">
            <v>PIPE</v>
          </cell>
          <cell r="F4846">
            <v>1</v>
          </cell>
          <cell r="G4846" t="str">
            <v>CB100508000T00</v>
          </cell>
          <cell r="H4846">
            <v>0.75</v>
          </cell>
          <cell r="I4846" t="str">
            <v>--</v>
          </cell>
          <cell r="J4846">
            <v>0.3</v>
          </cell>
          <cell r="K4846">
            <v>0.3</v>
          </cell>
        </row>
        <row r="4847">
          <cell r="A4847" t="str">
            <v>MC</v>
          </cell>
          <cell r="B4847" t="str">
            <v>B2C</v>
          </cell>
          <cell r="C4847" t="str">
            <v>SH</v>
          </cell>
          <cell r="D4847" t="str">
            <v>1360</v>
          </cell>
          <cell r="E4847" t="str">
            <v>PIPE</v>
          </cell>
          <cell r="F4847">
            <v>1</v>
          </cell>
          <cell r="G4847" t="str">
            <v>CB100508000T00</v>
          </cell>
          <cell r="H4847">
            <v>0.75</v>
          </cell>
          <cell r="I4847" t="str">
            <v>--</v>
          </cell>
          <cell r="J4847">
            <v>0.5</v>
          </cell>
          <cell r="K4847">
            <v>0.5</v>
          </cell>
        </row>
        <row r="4848">
          <cell r="A4848" t="str">
            <v>MC</v>
          </cell>
          <cell r="B4848" t="str">
            <v>B2C</v>
          </cell>
          <cell r="C4848" t="str">
            <v>SH</v>
          </cell>
          <cell r="D4848" t="str">
            <v>1260</v>
          </cell>
          <cell r="E4848" t="str">
            <v>PIPE</v>
          </cell>
          <cell r="F4848">
            <v>1</v>
          </cell>
          <cell r="G4848" t="str">
            <v>CB100508000T00</v>
          </cell>
          <cell r="H4848">
            <v>0.75</v>
          </cell>
          <cell r="I4848" t="str">
            <v>--</v>
          </cell>
          <cell r="J4848">
            <v>0.5</v>
          </cell>
          <cell r="K4848">
            <v>0.5</v>
          </cell>
        </row>
        <row r="4849">
          <cell r="A4849" t="str">
            <v>MC</v>
          </cell>
          <cell r="B4849" t="str">
            <v>B2C</v>
          </cell>
          <cell r="C4849" t="str">
            <v>SH</v>
          </cell>
          <cell r="D4849" t="str">
            <v>1460</v>
          </cell>
          <cell r="E4849" t="str">
            <v>PIPE</v>
          </cell>
          <cell r="F4849">
            <v>1</v>
          </cell>
          <cell r="G4849" t="str">
            <v>CB100508000T00</v>
          </cell>
          <cell r="H4849">
            <v>0.75</v>
          </cell>
          <cell r="I4849" t="str">
            <v>--</v>
          </cell>
          <cell r="J4849">
            <v>0.5</v>
          </cell>
          <cell r="K4849">
            <v>0.5</v>
          </cell>
        </row>
        <row r="4850">
          <cell r="A4850" t="str">
            <v>MC</v>
          </cell>
          <cell r="B4850" t="str">
            <v>CA307</v>
          </cell>
          <cell r="C4850" t="str">
            <v>HCL</v>
          </cell>
          <cell r="D4850" t="str">
            <v>1100</v>
          </cell>
          <cell r="E4850" t="str">
            <v>PIPE</v>
          </cell>
          <cell r="F4850">
            <v>1</v>
          </cell>
          <cell r="G4850" t="str">
            <v>CB100508000T00</v>
          </cell>
          <cell r="H4850">
            <v>0.75</v>
          </cell>
          <cell r="I4850" t="str">
            <v>--</v>
          </cell>
          <cell r="J4850">
            <v>0.5</v>
          </cell>
          <cell r="K4850">
            <v>0.5</v>
          </cell>
        </row>
        <row r="4851">
          <cell r="A4851" t="str">
            <v>MC</v>
          </cell>
          <cell r="B4851" t="str">
            <v>CA304</v>
          </cell>
          <cell r="C4851" t="str">
            <v>MC</v>
          </cell>
          <cell r="D4851" t="str">
            <v>2501</v>
          </cell>
          <cell r="E4851" t="str">
            <v>PIPE</v>
          </cell>
          <cell r="F4851">
            <v>1</v>
          </cell>
          <cell r="G4851" t="str">
            <v>CB100508000T00</v>
          </cell>
          <cell r="H4851">
            <v>0.75</v>
          </cell>
          <cell r="I4851" t="str">
            <v>--</v>
          </cell>
          <cell r="J4851">
            <v>0.5</v>
          </cell>
          <cell r="K4851">
            <v>0.5</v>
          </cell>
        </row>
        <row r="4852">
          <cell r="A4852" t="str">
            <v>MC</v>
          </cell>
          <cell r="B4852" t="str">
            <v>CA304</v>
          </cell>
          <cell r="C4852" t="str">
            <v>MC</v>
          </cell>
          <cell r="D4852" t="str">
            <v>2607</v>
          </cell>
          <cell r="E4852" t="str">
            <v>PIPE</v>
          </cell>
          <cell r="F4852">
            <v>1</v>
          </cell>
          <cell r="G4852" t="str">
            <v>CB100508000T00</v>
          </cell>
          <cell r="H4852">
            <v>0.75</v>
          </cell>
          <cell r="I4852" t="str">
            <v>--</v>
          </cell>
          <cell r="J4852">
            <v>0.5</v>
          </cell>
          <cell r="K4852">
            <v>0.5</v>
          </cell>
        </row>
        <row r="4853">
          <cell r="A4853" t="str">
            <v>MC</v>
          </cell>
          <cell r="B4853" t="str">
            <v>BA305</v>
          </cell>
          <cell r="C4853" t="str">
            <v>MOH</v>
          </cell>
          <cell r="D4853" t="str">
            <v>2002</v>
          </cell>
          <cell r="E4853" t="str">
            <v>PIPE</v>
          </cell>
          <cell r="F4853">
            <v>1</v>
          </cell>
          <cell r="G4853" t="str">
            <v>CB100508000T00</v>
          </cell>
          <cell r="H4853">
            <v>0.75</v>
          </cell>
          <cell r="I4853" t="str">
            <v>--</v>
          </cell>
          <cell r="J4853">
            <v>0.5</v>
          </cell>
          <cell r="K4853">
            <v>0.5</v>
          </cell>
        </row>
        <row r="4854">
          <cell r="A4854" t="str">
            <v>MC</v>
          </cell>
          <cell r="B4854" t="str">
            <v>BA302</v>
          </cell>
          <cell r="C4854" t="str">
            <v>SD20</v>
          </cell>
          <cell r="D4854" t="str">
            <v>2301</v>
          </cell>
          <cell r="E4854" t="str">
            <v>PIPE</v>
          </cell>
          <cell r="F4854">
            <v>1</v>
          </cell>
          <cell r="G4854" t="str">
            <v>CB100508000T00</v>
          </cell>
          <cell r="H4854">
            <v>0.75</v>
          </cell>
          <cell r="I4854" t="str">
            <v>--</v>
          </cell>
          <cell r="J4854">
            <v>0.5</v>
          </cell>
          <cell r="K4854">
            <v>0.5</v>
          </cell>
        </row>
        <row r="4855">
          <cell r="A4855" t="str">
            <v>MC</v>
          </cell>
          <cell r="B4855" t="str">
            <v>CA304</v>
          </cell>
          <cell r="C4855" t="str">
            <v>MC</v>
          </cell>
          <cell r="D4855" t="str">
            <v>2501</v>
          </cell>
          <cell r="E4855" t="str">
            <v>PIPE</v>
          </cell>
          <cell r="F4855">
            <v>1</v>
          </cell>
          <cell r="G4855" t="str">
            <v>CB100508000T00</v>
          </cell>
          <cell r="H4855">
            <v>0.75</v>
          </cell>
          <cell r="I4855" t="str">
            <v>--</v>
          </cell>
          <cell r="J4855">
            <v>0.5</v>
          </cell>
          <cell r="K4855">
            <v>0.5</v>
          </cell>
        </row>
        <row r="4856">
          <cell r="A4856" t="str">
            <v>MC</v>
          </cell>
          <cell r="B4856" t="str">
            <v>BA312</v>
          </cell>
          <cell r="C4856" t="str">
            <v>SA98</v>
          </cell>
          <cell r="D4856" t="str">
            <v>2411</v>
          </cell>
          <cell r="E4856" t="str">
            <v>PIPE</v>
          </cell>
          <cell r="F4856">
            <v>1</v>
          </cell>
          <cell r="G4856" t="str">
            <v>CB100508000T00</v>
          </cell>
          <cell r="H4856">
            <v>0.75</v>
          </cell>
          <cell r="I4856" t="str">
            <v>--</v>
          </cell>
          <cell r="J4856">
            <v>0.5</v>
          </cell>
          <cell r="K4856">
            <v>0.5</v>
          </cell>
        </row>
        <row r="4857">
          <cell r="A4857" t="str">
            <v>MC</v>
          </cell>
          <cell r="B4857" t="str">
            <v>CA304</v>
          </cell>
          <cell r="C4857" t="str">
            <v>TRIM</v>
          </cell>
          <cell r="D4857" t="str">
            <v>E-1261</v>
          </cell>
          <cell r="E4857" t="str">
            <v>PIPE</v>
          </cell>
          <cell r="F4857">
            <v>1</v>
          </cell>
          <cell r="G4857" t="str">
            <v>CB100508000T00</v>
          </cell>
          <cell r="H4857">
            <v>0.75</v>
          </cell>
          <cell r="I4857" t="str">
            <v>--</v>
          </cell>
          <cell r="J4857">
            <v>0.6</v>
          </cell>
          <cell r="K4857">
            <v>0.6</v>
          </cell>
        </row>
        <row r="4858">
          <cell r="A4858" t="str">
            <v>MC</v>
          </cell>
          <cell r="B4858" t="str">
            <v>CA304</v>
          </cell>
          <cell r="C4858" t="str">
            <v>TRIM</v>
          </cell>
          <cell r="D4858" t="str">
            <v>F-1251</v>
          </cell>
          <cell r="E4858" t="str">
            <v>PIPE</v>
          </cell>
          <cell r="F4858">
            <v>1</v>
          </cell>
          <cell r="G4858" t="str">
            <v>CB100508000T00</v>
          </cell>
          <cell r="H4858">
            <v>0.75</v>
          </cell>
          <cell r="I4858" t="str">
            <v>--</v>
          </cell>
          <cell r="J4858">
            <v>1</v>
          </cell>
          <cell r="K4858">
            <v>1</v>
          </cell>
        </row>
        <row r="4859">
          <cell r="A4859" t="str">
            <v>MC</v>
          </cell>
          <cell r="B4859" t="str">
            <v>CA304</v>
          </cell>
          <cell r="C4859" t="str">
            <v>MC</v>
          </cell>
          <cell r="D4859" t="str">
            <v>HOLD</v>
          </cell>
          <cell r="E4859" t="str">
            <v>PIPE</v>
          </cell>
          <cell r="F4859">
            <v>1</v>
          </cell>
          <cell r="G4859" t="str">
            <v>CB100508000T00</v>
          </cell>
          <cell r="H4859">
            <v>0.75</v>
          </cell>
          <cell r="I4859" t="str">
            <v>--</v>
          </cell>
          <cell r="J4859">
            <v>1</v>
          </cell>
          <cell r="K4859">
            <v>1</v>
          </cell>
        </row>
        <row r="4860">
          <cell r="A4860" t="str">
            <v>MC</v>
          </cell>
          <cell r="B4860" t="str">
            <v>BA305</v>
          </cell>
          <cell r="C4860" t="str">
            <v>MOH</v>
          </cell>
          <cell r="D4860" t="str">
            <v>2112</v>
          </cell>
          <cell r="E4860" t="str">
            <v>PIPE</v>
          </cell>
          <cell r="F4860">
            <v>1</v>
          </cell>
          <cell r="G4860" t="str">
            <v>CB100508000T00</v>
          </cell>
          <cell r="H4860">
            <v>0.75</v>
          </cell>
          <cell r="I4860" t="str">
            <v>--</v>
          </cell>
          <cell r="J4860">
            <v>1.5</v>
          </cell>
          <cell r="K4860">
            <v>1.5</v>
          </cell>
        </row>
        <row r="4861">
          <cell r="A4861" t="str">
            <v>MC</v>
          </cell>
          <cell r="B4861" t="str">
            <v>CA304</v>
          </cell>
          <cell r="C4861" t="str">
            <v>MC</v>
          </cell>
          <cell r="D4861" t="str">
            <v>HOLD</v>
          </cell>
          <cell r="E4861" t="str">
            <v>PIPE</v>
          </cell>
          <cell r="F4861">
            <v>1</v>
          </cell>
          <cell r="G4861" t="str">
            <v>CB100508000T00</v>
          </cell>
          <cell r="H4861">
            <v>0.75</v>
          </cell>
          <cell r="I4861" t="str">
            <v>--</v>
          </cell>
          <cell r="J4861">
            <v>2</v>
          </cell>
          <cell r="K4861">
            <v>2</v>
          </cell>
        </row>
        <row r="4862">
          <cell r="A4862" t="str">
            <v>MC</v>
          </cell>
          <cell r="B4862" t="str">
            <v>CA304</v>
          </cell>
          <cell r="C4862" t="str">
            <v>MC</v>
          </cell>
          <cell r="D4862" t="str">
            <v>2604</v>
          </cell>
          <cell r="E4862" t="str">
            <v>PIPE</v>
          </cell>
          <cell r="F4862">
            <v>1</v>
          </cell>
          <cell r="G4862" t="str">
            <v>CB100508000T00</v>
          </cell>
          <cell r="H4862">
            <v>0.75</v>
          </cell>
          <cell r="I4862" t="str">
            <v>--</v>
          </cell>
          <cell r="J4862">
            <v>2</v>
          </cell>
          <cell r="K4862">
            <v>2</v>
          </cell>
        </row>
        <row r="4863">
          <cell r="A4863" t="str">
            <v>MC</v>
          </cell>
          <cell r="B4863" t="str">
            <v>CA304</v>
          </cell>
          <cell r="C4863" t="str">
            <v>MC</v>
          </cell>
          <cell r="D4863" t="str">
            <v>HOLD</v>
          </cell>
          <cell r="E4863" t="str">
            <v>PIPE</v>
          </cell>
          <cell r="F4863">
            <v>1</v>
          </cell>
          <cell r="G4863" t="str">
            <v>CB100508000T00</v>
          </cell>
          <cell r="H4863">
            <v>0.75</v>
          </cell>
          <cell r="I4863" t="str">
            <v>--</v>
          </cell>
          <cell r="J4863">
            <v>2</v>
          </cell>
          <cell r="K4863">
            <v>2</v>
          </cell>
        </row>
        <row r="4864">
          <cell r="A4864" t="str">
            <v>MC</v>
          </cell>
          <cell r="B4864" t="str">
            <v>CA304</v>
          </cell>
          <cell r="C4864" t="str">
            <v>MC</v>
          </cell>
          <cell r="D4864" t="str">
            <v>HOLD</v>
          </cell>
          <cell r="E4864" t="str">
            <v>PIPE</v>
          </cell>
          <cell r="F4864">
            <v>1</v>
          </cell>
          <cell r="G4864" t="str">
            <v>CB100508000T00</v>
          </cell>
          <cell r="H4864">
            <v>0.75</v>
          </cell>
          <cell r="I4864" t="str">
            <v>--</v>
          </cell>
          <cell r="J4864">
            <v>2</v>
          </cell>
          <cell r="K4864">
            <v>2</v>
          </cell>
        </row>
        <row r="4865">
          <cell r="A4865" t="str">
            <v>MC</v>
          </cell>
          <cell r="B4865" t="str">
            <v>CA304</v>
          </cell>
          <cell r="C4865" t="str">
            <v>VT</v>
          </cell>
          <cell r="D4865" t="str">
            <v>HOLD</v>
          </cell>
          <cell r="E4865" t="str">
            <v>PIPE</v>
          </cell>
          <cell r="F4865">
            <v>1</v>
          </cell>
          <cell r="G4865" t="str">
            <v>CB100508000T00</v>
          </cell>
          <cell r="H4865">
            <v>0.75</v>
          </cell>
          <cell r="I4865" t="str">
            <v>--</v>
          </cell>
          <cell r="J4865">
            <v>2.4</v>
          </cell>
          <cell r="K4865">
            <v>2.4</v>
          </cell>
        </row>
        <row r="4866">
          <cell r="A4866" t="str">
            <v>MC</v>
          </cell>
          <cell r="B4866" t="str">
            <v>BA305</v>
          </cell>
          <cell r="C4866" t="str">
            <v>MOH</v>
          </cell>
          <cell r="D4866" t="str">
            <v>2000</v>
          </cell>
          <cell r="E4866" t="str">
            <v>PIPE</v>
          </cell>
          <cell r="F4866">
            <v>1</v>
          </cell>
          <cell r="G4866" t="str">
            <v>CB100508000T00</v>
          </cell>
          <cell r="H4866">
            <v>0.75</v>
          </cell>
          <cell r="I4866" t="str">
            <v>--</v>
          </cell>
          <cell r="J4866">
            <v>3</v>
          </cell>
          <cell r="K4866">
            <v>3</v>
          </cell>
        </row>
        <row r="4867">
          <cell r="A4867" t="str">
            <v>MC</v>
          </cell>
          <cell r="B4867" t="str">
            <v>CA304</v>
          </cell>
          <cell r="C4867" t="str">
            <v>SC1</v>
          </cell>
          <cell r="D4867" t="str">
            <v>HOLD</v>
          </cell>
          <cell r="E4867" t="str">
            <v>PIPE</v>
          </cell>
          <cell r="F4867">
            <v>1</v>
          </cell>
          <cell r="G4867" t="str">
            <v>CB100508000T00</v>
          </cell>
          <cell r="H4867">
            <v>0.75</v>
          </cell>
          <cell r="I4867" t="str">
            <v>--</v>
          </cell>
          <cell r="J4867">
            <v>4.5</v>
          </cell>
          <cell r="K4867">
            <v>4.5</v>
          </cell>
        </row>
        <row r="4868">
          <cell r="A4868" t="str">
            <v>MC</v>
          </cell>
          <cell r="B4868" t="str">
            <v>CA304</v>
          </cell>
          <cell r="C4868" t="str">
            <v>MC</v>
          </cell>
          <cell r="D4868" t="str">
            <v>HOLD</v>
          </cell>
          <cell r="E4868" t="str">
            <v>PIPE</v>
          </cell>
          <cell r="F4868">
            <v>1</v>
          </cell>
          <cell r="G4868" t="str">
            <v>CB100508000T00</v>
          </cell>
          <cell r="H4868">
            <v>0.75</v>
          </cell>
          <cell r="I4868" t="str">
            <v>--</v>
          </cell>
          <cell r="J4868">
            <v>5</v>
          </cell>
          <cell r="K4868">
            <v>5</v>
          </cell>
        </row>
        <row r="4869">
          <cell r="A4869" t="str">
            <v>MC</v>
          </cell>
          <cell r="B4869" t="str">
            <v>CA304</v>
          </cell>
          <cell r="C4869" t="str">
            <v>SCC</v>
          </cell>
          <cell r="D4869" t="str">
            <v>HOLD</v>
          </cell>
          <cell r="E4869" t="str">
            <v>PIPE</v>
          </cell>
          <cell r="F4869">
            <v>1</v>
          </cell>
          <cell r="G4869" t="str">
            <v>CB100508000T00</v>
          </cell>
          <cell r="H4869">
            <v>0.75</v>
          </cell>
          <cell r="I4869" t="str">
            <v>--</v>
          </cell>
          <cell r="J4869">
            <v>6</v>
          </cell>
          <cell r="K4869">
            <v>6</v>
          </cell>
        </row>
        <row r="4870">
          <cell r="A4870" t="str">
            <v>MC</v>
          </cell>
          <cell r="B4870" t="str">
            <v>CA304</v>
          </cell>
          <cell r="C4870" t="str">
            <v>MC</v>
          </cell>
          <cell r="D4870" t="str">
            <v>HOLD</v>
          </cell>
          <cell r="E4870" t="str">
            <v>PIPE</v>
          </cell>
          <cell r="F4870">
            <v>1</v>
          </cell>
          <cell r="G4870" t="str">
            <v>CB100508000T00</v>
          </cell>
          <cell r="H4870">
            <v>0.75</v>
          </cell>
          <cell r="I4870" t="str">
            <v>--</v>
          </cell>
          <cell r="J4870">
            <v>12</v>
          </cell>
          <cell r="K4870">
            <v>12</v>
          </cell>
        </row>
        <row r="4871">
          <cell r="A4871" t="str">
            <v>MC</v>
          </cell>
          <cell r="B4871" t="str">
            <v>CA304</v>
          </cell>
          <cell r="C4871" t="str">
            <v>MC</v>
          </cell>
          <cell r="D4871" t="str">
            <v>2608</v>
          </cell>
          <cell r="E4871" t="str">
            <v>PIPE</v>
          </cell>
          <cell r="F4871">
            <v>1</v>
          </cell>
          <cell r="G4871" t="str">
            <v>CB100508000100</v>
          </cell>
          <cell r="H4871">
            <v>1</v>
          </cell>
          <cell r="I4871" t="str">
            <v>--</v>
          </cell>
          <cell r="J4871">
            <v>0.4</v>
          </cell>
          <cell r="K4871">
            <v>0.4</v>
          </cell>
        </row>
        <row r="4872">
          <cell r="A4872" t="str">
            <v>MC</v>
          </cell>
          <cell r="B4872" t="str">
            <v>CA304</v>
          </cell>
          <cell r="C4872" t="str">
            <v>N</v>
          </cell>
          <cell r="D4872" t="str">
            <v>HOLD</v>
          </cell>
          <cell r="E4872" t="str">
            <v>PIPE</v>
          </cell>
          <cell r="F4872">
            <v>1</v>
          </cell>
          <cell r="G4872" t="str">
            <v>CB100508000100</v>
          </cell>
          <cell r="H4872">
            <v>1</v>
          </cell>
          <cell r="I4872" t="str">
            <v>--</v>
          </cell>
          <cell r="J4872">
            <v>1</v>
          </cell>
          <cell r="K4872">
            <v>1</v>
          </cell>
        </row>
        <row r="4873">
          <cell r="A4873" t="str">
            <v>MC</v>
          </cell>
          <cell r="B4873" t="str">
            <v>CA304</v>
          </cell>
          <cell r="C4873" t="str">
            <v>MC</v>
          </cell>
          <cell r="D4873" t="str">
            <v>HOLD</v>
          </cell>
          <cell r="E4873" t="str">
            <v>PIPE</v>
          </cell>
          <cell r="F4873">
            <v>1</v>
          </cell>
          <cell r="G4873" t="str">
            <v>CB100508000100</v>
          </cell>
          <cell r="H4873">
            <v>1</v>
          </cell>
          <cell r="I4873" t="str">
            <v>--</v>
          </cell>
          <cell r="J4873">
            <v>5</v>
          </cell>
          <cell r="K4873">
            <v>5</v>
          </cell>
        </row>
        <row r="4874">
          <cell r="A4874" t="str">
            <v>MC</v>
          </cell>
          <cell r="B4874" t="str">
            <v>BA305</v>
          </cell>
          <cell r="C4874" t="str">
            <v>VNC</v>
          </cell>
          <cell r="D4874" t="str">
            <v>2016</v>
          </cell>
          <cell r="E4874" t="str">
            <v>PIPE</v>
          </cell>
          <cell r="F4874">
            <v>1</v>
          </cell>
          <cell r="G4874" t="str">
            <v>CB100508000100</v>
          </cell>
          <cell r="H4874">
            <v>1</v>
          </cell>
          <cell r="I4874" t="str">
            <v>--</v>
          </cell>
          <cell r="J4874">
            <v>6</v>
          </cell>
          <cell r="K4874">
            <v>6</v>
          </cell>
        </row>
        <row r="4875">
          <cell r="A4875" t="str">
            <v>MC</v>
          </cell>
          <cell r="B4875" t="str">
            <v>BA305</v>
          </cell>
          <cell r="C4875" t="str">
            <v>MOH</v>
          </cell>
          <cell r="D4875" t="str">
            <v>2101</v>
          </cell>
          <cell r="E4875" t="str">
            <v>PIPE</v>
          </cell>
          <cell r="F4875">
            <v>1</v>
          </cell>
          <cell r="G4875" t="str">
            <v>CB100508000100</v>
          </cell>
          <cell r="H4875">
            <v>1</v>
          </cell>
          <cell r="I4875" t="str">
            <v>--</v>
          </cell>
          <cell r="J4875">
            <v>13</v>
          </cell>
          <cell r="K4875">
            <v>13</v>
          </cell>
        </row>
        <row r="4876">
          <cell r="A4876" t="str">
            <v>MC</v>
          </cell>
          <cell r="B4876" t="str">
            <v>BA305</v>
          </cell>
          <cell r="C4876" t="str">
            <v>MOH</v>
          </cell>
          <cell r="D4876" t="str">
            <v>2002</v>
          </cell>
          <cell r="E4876" t="str">
            <v>PIPE</v>
          </cell>
          <cell r="F4876">
            <v>1</v>
          </cell>
          <cell r="G4876" t="str">
            <v>CB100508000100</v>
          </cell>
          <cell r="H4876">
            <v>1</v>
          </cell>
          <cell r="I4876" t="str">
            <v>--</v>
          </cell>
          <cell r="J4876">
            <v>13.5</v>
          </cell>
          <cell r="K4876">
            <v>13.5</v>
          </cell>
        </row>
        <row r="4877">
          <cell r="A4877" t="str">
            <v>MC</v>
          </cell>
          <cell r="B4877" t="str">
            <v>CA304</v>
          </cell>
          <cell r="C4877" t="str">
            <v>MC</v>
          </cell>
          <cell r="D4877" t="str">
            <v>2604</v>
          </cell>
          <cell r="E4877" t="str">
            <v>PIPE</v>
          </cell>
          <cell r="F4877">
            <v>1</v>
          </cell>
          <cell r="G4877" t="str">
            <v>CB100508000100</v>
          </cell>
          <cell r="H4877">
            <v>1</v>
          </cell>
          <cell r="I4877" t="str">
            <v>--</v>
          </cell>
          <cell r="J4877">
            <v>17.5</v>
          </cell>
          <cell r="K4877">
            <v>17.5</v>
          </cell>
        </row>
        <row r="4878">
          <cell r="A4878" t="str">
            <v>MC</v>
          </cell>
          <cell r="B4878" t="str">
            <v>CA304</v>
          </cell>
          <cell r="C4878" t="str">
            <v>MC</v>
          </cell>
          <cell r="D4878" t="str">
            <v>HOLD</v>
          </cell>
          <cell r="E4878" t="str">
            <v>PIPE</v>
          </cell>
          <cell r="F4878">
            <v>1</v>
          </cell>
          <cell r="G4878" t="str">
            <v>CB100508000100</v>
          </cell>
          <cell r="H4878">
            <v>1</v>
          </cell>
          <cell r="I4878" t="str">
            <v>--</v>
          </cell>
          <cell r="J4878">
            <v>18</v>
          </cell>
          <cell r="K4878">
            <v>18</v>
          </cell>
        </row>
        <row r="4879">
          <cell r="A4879" t="str">
            <v>MC</v>
          </cell>
          <cell r="B4879" t="str">
            <v>BA305</v>
          </cell>
          <cell r="C4879" t="str">
            <v>MOH</v>
          </cell>
          <cell r="D4879" t="str">
            <v>2112</v>
          </cell>
          <cell r="E4879" t="str">
            <v>PIPE</v>
          </cell>
          <cell r="F4879">
            <v>1</v>
          </cell>
          <cell r="G4879" t="str">
            <v>CB100508000100</v>
          </cell>
          <cell r="H4879">
            <v>1</v>
          </cell>
          <cell r="I4879" t="str">
            <v>--</v>
          </cell>
          <cell r="J4879">
            <v>19.5</v>
          </cell>
          <cell r="K4879">
            <v>19.5</v>
          </cell>
        </row>
        <row r="4880">
          <cell r="A4880" t="str">
            <v>MC</v>
          </cell>
          <cell r="B4880" t="str">
            <v>BA302</v>
          </cell>
          <cell r="C4880" t="str">
            <v>SD20</v>
          </cell>
          <cell r="D4880" t="str">
            <v>2301</v>
          </cell>
          <cell r="E4880" t="str">
            <v>PIPE</v>
          </cell>
          <cell r="F4880">
            <v>1</v>
          </cell>
          <cell r="G4880" t="str">
            <v>CB100508000100</v>
          </cell>
          <cell r="H4880">
            <v>1</v>
          </cell>
          <cell r="I4880" t="str">
            <v>--</v>
          </cell>
          <cell r="J4880">
            <v>20.5</v>
          </cell>
          <cell r="K4880">
            <v>20.5</v>
          </cell>
        </row>
        <row r="4881">
          <cell r="A4881" t="str">
            <v>MC</v>
          </cell>
          <cell r="B4881" t="str">
            <v>CA304</v>
          </cell>
          <cell r="C4881" t="str">
            <v>MC</v>
          </cell>
          <cell r="D4881" t="str">
            <v>2605</v>
          </cell>
          <cell r="E4881" t="str">
            <v>PIPE</v>
          </cell>
          <cell r="F4881">
            <v>1</v>
          </cell>
          <cell r="G4881" t="str">
            <v>CB100508000100</v>
          </cell>
          <cell r="H4881">
            <v>1</v>
          </cell>
          <cell r="I4881" t="str">
            <v>--</v>
          </cell>
          <cell r="J4881">
            <v>21</v>
          </cell>
          <cell r="K4881">
            <v>21</v>
          </cell>
        </row>
        <row r="4882">
          <cell r="A4882" t="str">
            <v>MC</v>
          </cell>
          <cell r="B4882" t="str">
            <v>CA304</v>
          </cell>
          <cell r="C4882" t="str">
            <v>MC</v>
          </cell>
          <cell r="D4882" t="str">
            <v>2609</v>
          </cell>
          <cell r="E4882" t="str">
            <v>PIPE</v>
          </cell>
          <cell r="F4882">
            <v>1</v>
          </cell>
          <cell r="G4882" t="str">
            <v>CB100508000100</v>
          </cell>
          <cell r="H4882">
            <v>1</v>
          </cell>
          <cell r="I4882" t="str">
            <v>--</v>
          </cell>
          <cell r="J4882">
            <v>25</v>
          </cell>
          <cell r="K4882">
            <v>25</v>
          </cell>
        </row>
        <row r="4883">
          <cell r="A4883" t="str">
            <v>MC</v>
          </cell>
          <cell r="B4883" t="str">
            <v>BA312</v>
          </cell>
          <cell r="C4883" t="str">
            <v>SA98</v>
          </cell>
          <cell r="D4883" t="str">
            <v>2411</v>
          </cell>
          <cell r="E4883" t="str">
            <v>PIPE</v>
          </cell>
          <cell r="F4883">
            <v>1</v>
          </cell>
          <cell r="G4883" t="str">
            <v>CB100508000100</v>
          </cell>
          <cell r="H4883">
            <v>1</v>
          </cell>
          <cell r="I4883" t="str">
            <v>--</v>
          </cell>
          <cell r="J4883">
            <v>25.5</v>
          </cell>
          <cell r="K4883">
            <v>25.5</v>
          </cell>
        </row>
        <row r="4884">
          <cell r="A4884" t="str">
            <v>MC</v>
          </cell>
          <cell r="B4884" t="str">
            <v>CA304</v>
          </cell>
          <cell r="C4884" t="str">
            <v>MC</v>
          </cell>
          <cell r="D4884" t="str">
            <v>2607</v>
          </cell>
          <cell r="E4884" t="str">
            <v>PIPE</v>
          </cell>
          <cell r="F4884">
            <v>1</v>
          </cell>
          <cell r="G4884" t="str">
            <v>CB100508001H00</v>
          </cell>
          <cell r="H4884">
            <v>1.5</v>
          </cell>
          <cell r="I4884" t="str">
            <v>--</v>
          </cell>
          <cell r="J4884">
            <v>0.3</v>
          </cell>
          <cell r="K4884">
            <v>0.3</v>
          </cell>
        </row>
        <row r="4885">
          <cell r="A4885" t="str">
            <v>MC</v>
          </cell>
          <cell r="B4885" t="str">
            <v>BA312</v>
          </cell>
          <cell r="C4885" t="str">
            <v>SA98</v>
          </cell>
          <cell r="D4885" t="str">
            <v>2411</v>
          </cell>
          <cell r="E4885" t="str">
            <v>PIPE</v>
          </cell>
          <cell r="F4885">
            <v>1</v>
          </cell>
          <cell r="G4885" t="str">
            <v>CB100508001H00</v>
          </cell>
          <cell r="H4885">
            <v>1.5</v>
          </cell>
          <cell r="I4885" t="str">
            <v>--</v>
          </cell>
          <cell r="J4885">
            <v>0.5</v>
          </cell>
          <cell r="K4885">
            <v>0.5</v>
          </cell>
        </row>
        <row r="4886">
          <cell r="A4886" t="str">
            <v>MC</v>
          </cell>
          <cell r="B4886" t="str">
            <v>CA304</v>
          </cell>
          <cell r="C4886" t="str">
            <v>MC</v>
          </cell>
          <cell r="D4886" t="str">
            <v>2604</v>
          </cell>
          <cell r="E4886" t="str">
            <v>PIPE</v>
          </cell>
          <cell r="F4886">
            <v>1</v>
          </cell>
          <cell r="G4886" t="str">
            <v>CB100508001H00</v>
          </cell>
          <cell r="H4886">
            <v>1.5</v>
          </cell>
          <cell r="I4886" t="str">
            <v>--</v>
          </cell>
          <cell r="J4886">
            <v>0.5</v>
          </cell>
          <cell r="K4886">
            <v>0.5</v>
          </cell>
        </row>
        <row r="4887">
          <cell r="A4887" t="str">
            <v>MC</v>
          </cell>
          <cell r="B4887" t="str">
            <v>CA304</v>
          </cell>
          <cell r="C4887" t="str">
            <v>N</v>
          </cell>
          <cell r="D4887" t="str">
            <v>HOLD</v>
          </cell>
          <cell r="E4887" t="str">
            <v>PIPE</v>
          </cell>
          <cell r="F4887">
            <v>1</v>
          </cell>
          <cell r="G4887" t="str">
            <v>CB100508001H00</v>
          </cell>
          <cell r="H4887">
            <v>1.5</v>
          </cell>
          <cell r="I4887" t="str">
            <v>--</v>
          </cell>
          <cell r="J4887">
            <v>1</v>
          </cell>
          <cell r="K4887">
            <v>1</v>
          </cell>
        </row>
        <row r="4888">
          <cell r="A4888" t="str">
            <v>MC</v>
          </cell>
          <cell r="B4888" t="str">
            <v>CA304</v>
          </cell>
          <cell r="C4888" t="str">
            <v>TRIM</v>
          </cell>
          <cell r="D4888" t="str">
            <v>E-1261</v>
          </cell>
          <cell r="E4888" t="str">
            <v>PIPE</v>
          </cell>
          <cell r="F4888">
            <v>1</v>
          </cell>
          <cell r="G4888" t="str">
            <v>CB100508001H00</v>
          </cell>
          <cell r="H4888">
            <v>1.5</v>
          </cell>
          <cell r="I4888" t="str">
            <v>--</v>
          </cell>
          <cell r="J4888">
            <v>1</v>
          </cell>
          <cell r="K4888">
            <v>1</v>
          </cell>
        </row>
        <row r="4889">
          <cell r="A4889" t="str">
            <v>MC</v>
          </cell>
          <cell r="B4889" t="str">
            <v>CA304</v>
          </cell>
          <cell r="C4889" t="str">
            <v>TRIM</v>
          </cell>
          <cell r="D4889" t="str">
            <v>V-1260A/B</v>
          </cell>
          <cell r="E4889" t="str">
            <v>PIPE</v>
          </cell>
          <cell r="F4889">
            <v>1</v>
          </cell>
          <cell r="G4889" t="str">
            <v>CB100508001H00</v>
          </cell>
          <cell r="H4889">
            <v>1.5</v>
          </cell>
          <cell r="I4889" t="str">
            <v>--</v>
          </cell>
          <cell r="J4889">
            <v>1</v>
          </cell>
          <cell r="K4889">
            <v>1</v>
          </cell>
        </row>
        <row r="4890">
          <cell r="A4890" t="str">
            <v>MC</v>
          </cell>
          <cell r="B4890" t="str">
            <v>CA304</v>
          </cell>
          <cell r="C4890" t="str">
            <v>N</v>
          </cell>
          <cell r="D4890" t="str">
            <v>HOLD</v>
          </cell>
          <cell r="E4890" t="str">
            <v>PIPE</v>
          </cell>
          <cell r="F4890">
            <v>1</v>
          </cell>
          <cell r="G4890" t="str">
            <v>CB100508001H00</v>
          </cell>
          <cell r="H4890">
            <v>1.5</v>
          </cell>
          <cell r="I4890" t="str">
            <v>--</v>
          </cell>
          <cell r="J4890">
            <v>1</v>
          </cell>
          <cell r="K4890">
            <v>1</v>
          </cell>
        </row>
        <row r="4891">
          <cell r="A4891" t="str">
            <v>MC</v>
          </cell>
          <cell r="B4891" t="str">
            <v>BA305</v>
          </cell>
          <cell r="C4891" t="str">
            <v>VNC</v>
          </cell>
          <cell r="D4891" t="str">
            <v>2016</v>
          </cell>
          <cell r="E4891" t="str">
            <v>PIPE</v>
          </cell>
          <cell r="F4891">
            <v>1</v>
          </cell>
          <cell r="G4891" t="str">
            <v>CB100508001H00</v>
          </cell>
          <cell r="H4891">
            <v>1.5</v>
          </cell>
          <cell r="I4891" t="str">
            <v>--</v>
          </cell>
          <cell r="J4891">
            <v>2</v>
          </cell>
          <cell r="K4891">
            <v>2</v>
          </cell>
        </row>
        <row r="4892">
          <cell r="A4892" t="str">
            <v>MC</v>
          </cell>
          <cell r="B4892" t="str">
            <v>CA304</v>
          </cell>
          <cell r="C4892" t="str">
            <v>MC</v>
          </cell>
          <cell r="D4892" t="str">
            <v>2609</v>
          </cell>
          <cell r="E4892" t="str">
            <v>PIPE</v>
          </cell>
          <cell r="F4892">
            <v>1</v>
          </cell>
          <cell r="G4892" t="str">
            <v>CB100508001H00</v>
          </cell>
          <cell r="H4892">
            <v>1.5</v>
          </cell>
          <cell r="I4892" t="str">
            <v>--</v>
          </cell>
          <cell r="J4892">
            <v>2</v>
          </cell>
          <cell r="K4892">
            <v>2</v>
          </cell>
        </row>
        <row r="4893">
          <cell r="A4893" t="str">
            <v>MC</v>
          </cell>
          <cell r="B4893" t="str">
            <v>CA304</v>
          </cell>
          <cell r="C4893" t="str">
            <v>MC</v>
          </cell>
          <cell r="D4893" t="str">
            <v>HOLD</v>
          </cell>
          <cell r="E4893" t="str">
            <v>PIPE</v>
          </cell>
          <cell r="F4893">
            <v>1</v>
          </cell>
          <cell r="G4893" t="str">
            <v>CB100508001H00</v>
          </cell>
          <cell r="H4893">
            <v>1.5</v>
          </cell>
          <cell r="I4893" t="str">
            <v>--</v>
          </cell>
          <cell r="J4893">
            <v>3</v>
          </cell>
          <cell r="K4893">
            <v>3</v>
          </cell>
        </row>
        <row r="4894">
          <cell r="A4894" t="str">
            <v>MC</v>
          </cell>
          <cell r="B4894" t="str">
            <v>CA304</v>
          </cell>
          <cell r="C4894" t="str">
            <v>MC</v>
          </cell>
          <cell r="D4894" t="str">
            <v>2605</v>
          </cell>
          <cell r="E4894" t="str">
            <v>PIPE</v>
          </cell>
          <cell r="F4894">
            <v>1</v>
          </cell>
          <cell r="G4894" t="str">
            <v>CB100508001H00</v>
          </cell>
          <cell r="H4894">
            <v>1.5</v>
          </cell>
          <cell r="I4894" t="str">
            <v>--</v>
          </cell>
          <cell r="J4894">
            <v>6</v>
          </cell>
          <cell r="K4894">
            <v>6</v>
          </cell>
        </row>
        <row r="4895">
          <cell r="A4895" t="str">
            <v>MC</v>
          </cell>
          <cell r="B4895" t="str">
            <v>CA304</v>
          </cell>
          <cell r="C4895" t="str">
            <v>VT</v>
          </cell>
          <cell r="D4895" t="str">
            <v>HOLD</v>
          </cell>
          <cell r="E4895" t="str">
            <v>PIPE</v>
          </cell>
          <cell r="F4895">
            <v>1</v>
          </cell>
          <cell r="G4895" t="str">
            <v>CB100508001H00</v>
          </cell>
          <cell r="H4895">
            <v>1.5</v>
          </cell>
          <cell r="I4895" t="str">
            <v>--</v>
          </cell>
          <cell r="J4895">
            <v>10.5</v>
          </cell>
          <cell r="K4895">
            <v>10.5</v>
          </cell>
        </row>
        <row r="4896">
          <cell r="A4896" t="str">
            <v>MC</v>
          </cell>
          <cell r="B4896" t="str">
            <v>CA304</v>
          </cell>
          <cell r="C4896" t="str">
            <v>MC</v>
          </cell>
          <cell r="D4896" t="str">
            <v>2609</v>
          </cell>
          <cell r="E4896" t="str">
            <v>PIPE</v>
          </cell>
          <cell r="F4896">
            <v>1</v>
          </cell>
          <cell r="G4896" t="str">
            <v>CB100508001H00</v>
          </cell>
          <cell r="H4896">
            <v>1.5</v>
          </cell>
          <cell r="I4896" t="str">
            <v>--</v>
          </cell>
          <cell r="J4896">
            <v>18</v>
          </cell>
          <cell r="K4896">
            <v>18</v>
          </cell>
        </row>
        <row r="4897">
          <cell r="A4897" t="str">
            <v>MC</v>
          </cell>
          <cell r="B4897" t="str">
            <v>CA304</v>
          </cell>
          <cell r="C4897" t="str">
            <v>MC</v>
          </cell>
          <cell r="D4897" t="str">
            <v>2609</v>
          </cell>
          <cell r="E4897" t="str">
            <v>PIPE</v>
          </cell>
          <cell r="F4897">
            <v>1</v>
          </cell>
          <cell r="G4897" t="str">
            <v>CB100508001H00</v>
          </cell>
          <cell r="H4897">
            <v>1.5</v>
          </cell>
          <cell r="I4897" t="str">
            <v>--</v>
          </cell>
          <cell r="J4897">
            <v>20</v>
          </cell>
          <cell r="K4897">
            <v>20</v>
          </cell>
        </row>
        <row r="4898">
          <cell r="A4898" t="str">
            <v>MC</v>
          </cell>
          <cell r="B4898" t="str">
            <v>CA304</v>
          </cell>
          <cell r="C4898" t="str">
            <v>MC</v>
          </cell>
          <cell r="D4898" t="str">
            <v>2505</v>
          </cell>
          <cell r="E4898" t="str">
            <v>PIPE</v>
          </cell>
          <cell r="F4898">
            <v>1</v>
          </cell>
          <cell r="G4898" t="str">
            <v>CB100508001H00</v>
          </cell>
          <cell r="H4898">
            <v>1.5</v>
          </cell>
          <cell r="I4898" t="str">
            <v>--</v>
          </cell>
          <cell r="J4898">
            <v>21</v>
          </cell>
          <cell r="K4898">
            <v>21</v>
          </cell>
        </row>
        <row r="4899">
          <cell r="A4899" t="str">
            <v>MC</v>
          </cell>
          <cell r="B4899" t="str">
            <v>CA304</v>
          </cell>
          <cell r="C4899" t="str">
            <v>MC</v>
          </cell>
          <cell r="D4899" t="str">
            <v>2608</v>
          </cell>
          <cell r="E4899" t="str">
            <v>PIPE</v>
          </cell>
          <cell r="F4899">
            <v>1</v>
          </cell>
          <cell r="G4899" t="str">
            <v>CB100508001H00</v>
          </cell>
          <cell r="H4899">
            <v>1.5</v>
          </cell>
          <cell r="I4899" t="str">
            <v>--</v>
          </cell>
          <cell r="J4899">
            <v>21</v>
          </cell>
          <cell r="K4899">
            <v>21</v>
          </cell>
        </row>
        <row r="4900">
          <cell r="A4900" t="str">
            <v>MC</v>
          </cell>
          <cell r="B4900" t="str">
            <v>B2C</v>
          </cell>
          <cell r="C4900" t="str">
            <v>SH</v>
          </cell>
          <cell r="D4900" t="str">
            <v>HOLD</v>
          </cell>
          <cell r="E4900" t="str">
            <v>PIPE</v>
          </cell>
          <cell r="F4900">
            <v>1</v>
          </cell>
          <cell r="G4900" t="str">
            <v>CB100508001H00</v>
          </cell>
          <cell r="H4900">
            <v>1.5</v>
          </cell>
          <cell r="I4900" t="str">
            <v>--</v>
          </cell>
          <cell r="J4900">
            <v>25.3</v>
          </cell>
          <cell r="K4900">
            <v>25.3</v>
          </cell>
        </row>
        <row r="4901">
          <cell r="A4901" t="str">
            <v>MC</v>
          </cell>
          <cell r="B4901" t="str">
            <v>CA304</v>
          </cell>
          <cell r="C4901" t="str">
            <v>MC</v>
          </cell>
          <cell r="D4901" t="str">
            <v>2612</v>
          </cell>
          <cell r="E4901" t="str">
            <v>PIPE</v>
          </cell>
          <cell r="F4901">
            <v>1</v>
          </cell>
          <cell r="G4901" t="str">
            <v>CB100508001H00</v>
          </cell>
          <cell r="H4901">
            <v>1.5</v>
          </cell>
          <cell r="I4901" t="str">
            <v>--</v>
          </cell>
          <cell r="J4901">
            <v>27</v>
          </cell>
          <cell r="K4901">
            <v>27</v>
          </cell>
        </row>
        <row r="4902">
          <cell r="A4902" t="str">
            <v>MC</v>
          </cell>
          <cell r="B4902" t="str">
            <v>BA305</v>
          </cell>
          <cell r="C4902" t="str">
            <v>MOH</v>
          </cell>
          <cell r="D4902" t="str">
            <v>2100</v>
          </cell>
          <cell r="E4902" t="str">
            <v>PIPE</v>
          </cell>
          <cell r="F4902">
            <v>1</v>
          </cell>
          <cell r="G4902" t="str">
            <v>CB100508001H00</v>
          </cell>
          <cell r="H4902">
            <v>1.5</v>
          </cell>
          <cell r="I4902" t="str">
            <v>--</v>
          </cell>
          <cell r="J4902">
            <v>31</v>
          </cell>
          <cell r="K4902">
            <v>31</v>
          </cell>
        </row>
        <row r="4903">
          <cell r="A4903" t="str">
            <v>MC</v>
          </cell>
          <cell r="B4903" t="str">
            <v>CA304</v>
          </cell>
          <cell r="C4903" t="str">
            <v>TRIM</v>
          </cell>
          <cell r="D4903" t="str">
            <v>E-1261</v>
          </cell>
          <cell r="E4903" t="str">
            <v>PIPE</v>
          </cell>
          <cell r="F4903">
            <v>1</v>
          </cell>
          <cell r="G4903" t="str">
            <v>CB100405000200</v>
          </cell>
          <cell r="H4903">
            <v>2</v>
          </cell>
          <cell r="I4903" t="str">
            <v>--</v>
          </cell>
          <cell r="J4903">
            <v>2</v>
          </cell>
          <cell r="K4903">
            <v>2.2000000000000002</v>
          </cell>
        </row>
        <row r="4904">
          <cell r="A4904" t="str">
            <v>MC</v>
          </cell>
          <cell r="B4904" t="str">
            <v>CA304</v>
          </cell>
          <cell r="C4904" t="str">
            <v>MC</v>
          </cell>
          <cell r="D4904" t="str">
            <v>2607</v>
          </cell>
          <cell r="E4904" t="str">
            <v>PIPE</v>
          </cell>
          <cell r="F4904">
            <v>1</v>
          </cell>
          <cell r="G4904" t="str">
            <v>CB100405000200</v>
          </cell>
          <cell r="H4904">
            <v>2</v>
          </cell>
          <cell r="I4904" t="str">
            <v>--</v>
          </cell>
          <cell r="J4904">
            <v>2</v>
          </cell>
          <cell r="K4904">
            <v>2.2000000000000002</v>
          </cell>
        </row>
        <row r="4905">
          <cell r="A4905" t="str">
            <v>MC</v>
          </cell>
          <cell r="B4905" t="str">
            <v>CA304</v>
          </cell>
          <cell r="C4905" t="str">
            <v>N</v>
          </cell>
          <cell r="D4905" t="str">
            <v>HOLD</v>
          </cell>
          <cell r="E4905" t="str">
            <v>PIPE</v>
          </cell>
          <cell r="F4905">
            <v>1</v>
          </cell>
          <cell r="G4905" t="str">
            <v>CB100405000200</v>
          </cell>
          <cell r="H4905">
            <v>2</v>
          </cell>
          <cell r="I4905" t="str">
            <v>--</v>
          </cell>
          <cell r="J4905">
            <v>2</v>
          </cell>
          <cell r="K4905">
            <v>2.2000000000000002</v>
          </cell>
        </row>
        <row r="4906">
          <cell r="A4906" t="str">
            <v>MC</v>
          </cell>
          <cell r="B4906" t="str">
            <v>B2C</v>
          </cell>
          <cell r="C4906" t="str">
            <v>SH</v>
          </cell>
          <cell r="D4906" t="str">
            <v>HOLD</v>
          </cell>
          <cell r="E4906" t="str">
            <v>PIPE</v>
          </cell>
          <cell r="F4906">
            <v>1</v>
          </cell>
          <cell r="G4906" t="str">
            <v>CB100408000200</v>
          </cell>
          <cell r="H4906">
            <v>2</v>
          </cell>
          <cell r="I4906" t="str">
            <v>--</v>
          </cell>
          <cell r="J4906">
            <v>2.5</v>
          </cell>
          <cell r="K4906">
            <v>2.8</v>
          </cell>
        </row>
        <row r="4907">
          <cell r="A4907" t="str">
            <v>MC</v>
          </cell>
          <cell r="B4907" t="str">
            <v>CA304</v>
          </cell>
          <cell r="C4907" t="str">
            <v>MC</v>
          </cell>
          <cell r="D4907" t="str">
            <v>HOLD</v>
          </cell>
          <cell r="E4907" t="str">
            <v>PIPE</v>
          </cell>
          <cell r="F4907">
            <v>1</v>
          </cell>
          <cell r="G4907" t="str">
            <v>CB100405000200</v>
          </cell>
          <cell r="H4907">
            <v>2</v>
          </cell>
          <cell r="I4907" t="str">
            <v>--</v>
          </cell>
          <cell r="J4907">
            <v>3</v>
          </cell>
          <cell r="K4907">
            <v>3.3</v>
          </cell>
        </row>
        <row r="4908">
          <cell r="A4908" t="str">
            <v>MC</v>
          </cell>
          <cell r="B4908" t="str">
            <v>CA304</v>
          </cell>
          <cell r="C4908" t="str">
            <v>MC</v>
          </cell>
          <cell r="D4908" t="str">
            <v>HOLD</v>
          </cell>
          <cell r="E4908" t="str">
            <v>PIPE</v>
          </cell>
          <cell r="F4908">
            <v>1</v>
          </cell>
          <cell r="G4908" t="str">
            <v>CB100405000200</v>
          </cell>
          <cell r="H4908">
            <v>2</v>
          </cell>
          <cell r="I4908" t="str">
            <v>--</v>
          </cell>
          <cell r="J4908">
            <v>3</v>
          </cell>
          <cell r="K4908">
            <v>3.3</v>
          </cell>
        </row>
        <row r="4909">
          <cell r="A4909" t="str">
            <v>MC</v>
          </cell>
          <cell r="B4909" t="str">
            <v>CA304</v>
          </cell>
          <cell r="C4909" t="str">
            <v>MC</v>
          </cell>
          <cell r="D4909" t="str">
            <v>HOLD</v>
          </cell>
          <cell r="E4909" t="str">
            <v>PIPE</v>
          </cell>
          <cell r="F4909">
            <v>1</v>
          </cell>
          <cell r="G4909" t="str">
            <v>CB100405000200</v>
          </cell>
          <cell r="H4909">
            <v>2</v>
          </cell>
          <cell r="I4909" t="str">
            <v>--</v>
          </cell>
          <cell r="J4909">
            <v>3</v>
          </cell>
          <cell r="K4909">
            <v>3.3</v>
          </cell>
        </row>
        <row r="4910">
          <cell r="A4910" t="str">
            <v>MC</v>
          </cell>
          <cell r="B4910" t="str">
            <v>CA304</v>
          </cell>
          <cell r="C4910" t="str">
            <v>MC</v>
          </cell>
          <cell r="D4910" t="str">
            <v>2612</v>
          </cell>
          <cell r="E4910" t="str">
            <v>PIPE</v>
          </cell>
          <cell r="F4910">
            <v>1</v>
          </cell>
          <cell r="G4910" t="str">
            <v>CB100405000200</v>
          </cell>
          <cell r="H4910">
            <v>2</v>
          </cell>
          <cell r="I4910" t="str">
            <v>--</v>
          </cell>
          <cell r="J4910">
            <v>5</v>
          </cell>
          <cell r="K4910">
            <v>5.5</v>
          </cell>
        </row>
        <row r="4911">
          <cell r="A4911" t="str">
            <v>MC</v>
          </cell>
          <cell r="B4911" t="str">
            <v>CA304</v>
          </cell>
          <cell r="C4911" t="str">
            <v>MC</v>
          </cell>
          <cell r="D4911" t="str">
            <v>2609</v>
          </cell>
          <cell r="E4911" t="str">
            <v>PIPE</v>
          </cell>
          <cell r="F4911">
            <v>1</v>
          </cell>
          <cell r="G4911" t="str">
            <v>CB100405000200</v>
          </cell>
          <cell r="H4911">
            <v>2</v>
          </cell>
          <cell r="I4911" t="str">
            <v>--</v>
          </cell>
          <cell r="J4911">
            <v>6</v>
          </cell>
          <cell r="K4911">
            <v>6.6</v>
          </cell>
        </row>
        <row r="4912">
          <cell r="A4912" t="str">
            <v>MC</v>
          </cell>
          <cell r="B4912" t="str">
            <v>CA304</v>
          </cell>
          <cell r="C4912" t="str">
            <v>MC</v>
          </cell>
          <cell r="D4912" t="str">
            <v>2502</v>
          </cell>
          <cell r="E4912" t="str">
            <v>PIPE</v>
          </cell>
          <cell r="F4912">
            <v>1</v>
          </cell>
          <cell r="G4912" t="str">
            <v>CB100405000200</v>
          </cell>
          <cell r="H4912">
            <v>2</v>
          </cell>
          <cell r="I4912" t="str">
            <v>--</v>
          </cell>
          <cell r="J4912">
            <v>6</v>
          </cell>
          <cell r="K4912">
            <v>6.6</v>
          </cell>
        </row>
        <row r="4913">
          <cell r="A4913" t="str">
            <v>MC</v>
          </cell>
          <cell r="B4913" t="str">
            <v>CA304</v>
          </cell>
          <cell r="C4913" t="str">
            <v>MC</v>
          </cell>
          <cell r="D4913" t="str">
            <v>2502</v>
          </cell>
          <cell r="E4913" t="str">
            <v>PIPE</v>
          </cell>
          <cell r="F4913">
            <v>1</v>
          </cell>
          <cell r="G4913" t="str">
            <v>CB100405000200</v>
          </cell>
          <cell r="H4913">
            <v>2</v>
          </cell>
          <cell r="I4913" t="str">
            <v>--</v>
          </cell>
          <cell r="J4913">
            <v>6</v>
          </cell>
          <cell r="K4913">
            <v>6.6</v>
          </cell>
        </row>
        <row r="4914">
          <cell r="A4914" t="str">
            <v>MC</v>
          </cell>
          <cell r="B4914" t="str">
            <v>CA304</v>
          </cell>
          <cell r="C4914" t="str">
            <v>MC</v>
          </cell>
          <cell r="D4914" t="str">
            <v>2610</v>
          </cell>
          <cell r="E4914" t="str">
            <v>PIPE</v>
          </cell>
          <cell r="F4914">
            <v>1</v>
          </cell>
          <cell r="G4914" t="str">
            <v>CB100405000200</v>
          </cell>
          <cell r="H4914">
            <v>2</v>
          </cell>
          <cell r="I4914" t="str">
            <v>--</v>
          </cell>
          <cell r="J4914">
            <v>13</v>
          </cell>
          <cell r="K4914">
            <v>14.3</v>
          </cell>
        </row>
        <row r="4915">
          <cell r="A4915" t="str">
            <v>MC</v>
          </cell>
          <cell r="B4915" t="str">
            <v>CA304</v>
          </cell>
          <cell r="C4915" t="str">
            <v>MC</v>
          </cell>
          <cell r="D4915" t="str">
            <v>2506</v>
          </cell>
          <cell r="E4915" t="str">
            <v>PIPE</v>
          </cell>
          <cell r="F4915">
            <v>1</v>
          </cell>
          <cell r="G4915" t="str">
            <v>CB100405000200</v>
          </cell>
          <cell r="H4915">
            <v>2</v>
          </cell>
          <cell r="I4915" t="str">
            <v>--</v>
          </cell>
          <cell r="J4915">
            <v>15</v>
          </cell>
          <cell r="K4915">
            <v>16.5</v>
          </cell>
        </row>
        <row r="4916">
          <cell r="A4916" t="str">
            <v>MC</v>
          </cell>
          <cell r="B4916" t="str">
            <v>CA304</v>
          </cell>
          <cell r="C4916" t="str">
            <v>MC</v>
          </cell>
          <cell r="D4916" t="str">
            <v>HOLD</v>
          </cell>
          <cell r="E4916" t="str">
            <v>PIPE</v>
          </cell>
          <cell r="F4916">
            <v>1</v>
          </cell>
          <cell r="G4916" t="str">
            <v>CB100405000200</v>
          </cell>
          <cell r="H4916">
            <v>2</v>
          </cell>
          <cell r="I4916" t="str">
            <v>--</v>
          </cell>
          <cell r="J4916">
            <v>16</v>
          </cell>
          <cell r="K4916">
            <v>17.600000000000001</v>
          </cell>
        </row>
        <row r="4917">
          <cell r="A4917" t="str">
            <v>MC</v>
          </cell>
          <cell r="B4917" t="str">
            <v>CA304</v>
          </cell>
          <cell r="C4917" t="str">
            <v>MC</v>
          </cell>
          <cell r="D4917" t="str">
            <v>HOLD</v>
          </cell>
          <cell r="E4917" t="str">
            <v>PIPE</v>
          </cell>
          <cell r="F4917">
            <v>1</v>
          </cell>
          <cell r="G4917" t="str">
            <v>CB100405000200</v>
          </cell>
          <cell r="H4917">
            <v>2</v>
          </cell>
          <cell r="I4917" t="str">
            <v>--</v>
          </cell>
          <cell r="J4917">
            <v>18</v>
          </cell>
          <cell r="K4917">
            <v>19.8</v>
          </cell>
        </row>
        <row r="4918">
          <cell r="A4918" t="str">
            <v>MC</v>
          </cell>
          <cell r="B4918" t="str">
            <v>B2C</v>
          </cell>
          <cell r="C4918" t="str">
            <v>SH</v>
          </cell>
          <cell r="D4918" t="str">
            <v>1405</v>
          </cell>
          <cell r="E4918" t="str">
            <v>PIPE</v>
          </cell>
          <cell r="F4918">
            <v>1</v>
          </cell>
          <cell r="G4918" t="str">
            <v>CB100408000200</v>
          </cell>
          <cell r="H4918">
            <v>2</v>
          </cell>
          <cell r="I4918" t="str">
            <v>--</v>
          </cell>
          <cell r="J4918">
            <v>19</v>
          </cell>
          <cell r="K4918">
            <v>20.9</v>
          </cell>
        </row>
        <row r="4919">
          <cell r="A4919" t="str">
            <v>MC</v>
          </cell>
          <cell r="B4919" t="str">
            <v>CA304</v>
          </cell>
          <cell r="C4919" t="str">
            <v>MC</v>
          </cell>
          <cell r="D4919" t="str">
            <v>2601</v>
          </cell>
          <cell r="E4919" t="str">
            <v>PIPE</v>
          </cell>
          <cell r="F4919">
            <v>1</v>
          </cell>
          <cell r="G4919" t="str">
            <v>CB100405000200</v>
          </cell>
          <cell r="H4919">
            <v>2</v>
          </cell>
          <cell r="I4919" t="str">
            <v>--</v>
          </cell>
          <cell r="J4919">
            <v>19</v>
          </cell>
          <cell r="K4919">
            <v>20.9</v>
          </cell>
        </row>
        <row r="4920">
          <cell r="A4920" t="str">
            <v>MC</v>
          </cell>
          <cell r="B4920" t="str">
            <v>CA304</v>
          </cell>
          <cell r="C4920" t="str">
            <v>MC</v>
          </cell>
          <cell r="D4920" t="str">
            <v>HOLD</v>
          </cell>
          <cell r="E4920" t="str">
            <v>PIPE</v>
          </cell>
          <cell r="F4920">
            <v>1</v>
          </cell>
          <cell r="G4920" t="str">
            <v>CB100405000200</v>
          </cell>
          <cell r="H4920">
            <v>2</v>
          </cell>
          <cell r="I4920" t="str">
            <v>--</v>
          </cell>
          <cell r="J4920">
            <v>25</v>
          </cell>
          <cell r="K4920">
            <v>27.5</v>
          </cell>
        </row>
        <row r="4921">
          <cell r="A4921" t="str">
            <v>MC</v>
          </cell>
          <cell r="B4921" t="str">
            <v>BA305</v>
          </cell>
          <cell r="C4921" t="str">
            <v>MOH</v>
          </cell>
          <cell r="D4921" t="str">
            <v>2000</v>
          </cell>
          <cell r="E4921" t="str">
            <v>PIPE</v>
          </cell>
          <cell r="F4921">
            <v>1</v>
          </cell>
          <cell r="G4921" t="str">
            <v>CB100405000200</v>
          </cell>
          <cell r="H4921">
            <v>2</v>
          </cell>
          <cell r="I4921" t="str">
            <v>--</v>
          </cell>
          <cell r="J4921">
            <v>31</v>
          </cell>
          <cell r="K4921">
            <v>34.1</v>
          </cell>
        </row>
        <row r="4922">
          <cell r="A4922" t="str">
            <v>MC</v>
          </cell>
          <cell r="B4922" t="str">
            <v>A5C</v>
          </cell>
          <cell r="C4922" t="str">
            <v>P</v>
          </cell>
          <cell r="D4922" t="str">
            <v>23112</v>
          </cell>
          <cell r="E4922" t="str">
            <v>PIPE</v>
          </cell>
          <cell r="F4922">
            <v>1</v>
          </cell>
          <cell r="G4922" t="str">
            <v>CB100408000200</v>
          </cell>
          <cell r="H4922">
            <v>2</v>
          </cell>
          <cell r="I4922" t="str">
            <v>--</v>
          </cell>
          <cell r="J4922">
            <v>50.5</v>
          </cell>
          <cell r="K4922">
            <v>55.6</v>
          </cell>
        </row>
        <row r="4923">
          <cell r="A4923" t="str">
            <v>MC</v>
          </cell>
          <cell r="B4923" t="str">
            <v>A5C</v>
          </cell>
          <cell r="C4923" t="str">
            <v>P</v>
          </cell>
          <cell r="D4923" t="str">
            <v>23116</v>
          </cell>
          <cell r="E4923" t="str">
            <v>PIPE</v>
          </cell>
          <cell r="F4923">
            <v>1</v>
          </cell>
          <cell r="G4923" t="str">
            <v>CB100408000200</v>
          </cell>
          <cell r="H4923">
            <v>2</v>
          </cell>
          <cell r="I4923" t="str">
            <v>--</v>
          </cell>
          <cell r="J4923">
            <v>50.5</v>
          </cell>
          <cell r="K4923">
            <v>55.6</v>
          </cell>
        </row>
        <row r="4924">
          <cell r="A4924" t="str">
            <v>MC</v>
          </cell>
          <cell r="B4924" t="str">
            <v>A5C</v>
          </cell>
          <cell r="C4924" t="str">
            <v>P</v>
          </cell>
          <cell r="D4924" t="str">
            <v>23144</v>
          </cell>
          <cell r="E4924" t="str">
            <v>PIPE</v>
          </cell>
          <cell r="F4924">
            <v>1</v>
          </cell>
          <cell r="G4924" t="str">
            <v>CB100408000200</v>
          </cell>
          <cell r="H4924">
            <v>2</v>
          </cell>
          <cell r="I4924" t="str">
            <v>--</v>
          </cell>
          <cell r="J4924">
            <v>50.5</v>
          </cell>
          <cell r="K4924">
            <v>55.6</v>
          </cell>
        </row>
        <row r="4925">
          <cell r="A4925" t="str">
            <v>MC</v>
          </cell>
          <cell r="B4925" t="str">
            <v>A5C</v>
          </cell>
          <cell r="C4925" t="str">
            <v>P</v>
          </cell>
          <cell r="D4925" t="str">
            <v>23148</v>
          </cell>
          <cell r="E4925" t="str">
            <v>PIPE</v>
          </cell>
          <cell r="F4925">
            <v>1</v>
          </cell>
          <cell r="G4925" t="str">
            <v>CB100408000200</v>
          </cell>
          <cell r="H4925">
            <v>2</v>
          </cell>
          <cell r="I4925" t="str">
            <v>--</v>
          </cell>
          <cell r="J4925">
            <v>50.5</v>
          </cell>
          <cell r="K4925">
            <v>55.6</v>
          </cell>
        </row>
        <row r="4926">
          <cell r="A4926" t="str">
            <v>MC</v>
          </cell>
          <cell r="B4926" t="str">
            <v>A5C</v>
          </cell>
          <cell r="C4926" t="str">
            <v>P</v>
          </cell>
          <cell r="D4926" t="str">
            <v>23108</v>
          </cell>
          <cell r="E4926" t="str">
            <v>PIPE</v>
          </cell>
          <cell r="F4926">
            <v>1</v>
          </cell>
          <cell r="G4926" t="str">
            <v>CB100408000200</v>
          </cell>
          <cell r="H4926">
            <v>2</v>
          </cell>
          <cell r="I4926" t="str">
            <v>--</v>
          </cell>
          <cell r="J4926">
            <v>50.5</v>
          </cell>
          <cell r="K4926">
            <v>55.6</v>
          </cell>
        </row>
        <row r="4927">
          <cell r="A4927" t="str">
            <v>MC</v>
          </cell>
          <cell r="B4927" t="str">
            <v>A5C</v>
          </cell>
          <cell r="C4927" t="str">
            <v>P</v>
          </cell>
          <cell r="D4927" t="str">
            <v>23155</v>
          </cell>
          <cell r="E4927" t="str">
            <v>PIPE</v>
          </cell>
          <cell r="F4927">
            <v>1</v>
          </cell>
          <cell r="G4927" t="str">
            <v>CB100408000200</v>
          </cell>
          <cell r="H4927">
            <v>2</v>
          </cell>
          <cell r="I4927" t="str">
            <v>--</v>
          </cell>
          <cell r="J4927">
            <v>50.5</v>
          </cell>
          <cell r="K4927">
            <v>55.6</v>
          </cell>
        </row>
        <row r="4928">
          <cell r="A4928" t="str">
            <v>MC</v>
          </cell>
          <cell r="B4928" t="str">
            <v>A5C</v>
          </cell>
          <cell r="C4928" t="str">
            <v>P</v>
          </cell>
          <cell r="D4928" t="str">
            <v>HOLD2</v>
          </cell>
          <cell r="E4928" t="str">
            <v>PIPE</v>
          </cell>
          <cell r="F4928">
            <v>1</v>
          </cell>
          <cell r="G4928" t="str">
            <v>CB100408000200</v>
          </cell>
          <cell r="H4928">
            <v>2</v>
          </cell>
          <cell r="I4928" t="str">
            <v>--</v>
          </cell>
          <cell r="J4928">
            <v>306</v>
          </cell>
          <cell r="K4928">
            <v>336.6</v>
          </cell>
        </row>
        <row r="4929">
          <cell r="A4929" t="str">
            <v>MC</v>
          </cell>
          <cell r="B4929" t="str">
            <v>CA304</v>
          </cell>
          <cell r="C4929" t="str">
            <v>VT</v>
          </cell>
          <cell r="D4929" t="str">
            <v>HOLD</v>
          </cell>
          <cell r="E4929" t="str">
            <v>PIPE</v>
          </cell>
          <cell r="F4929">
            <v>1</v>
          </cell>
          <cell r="G4929" t="str">
            <v>CB100405000300</v>
          </cell>
          <cell r="H4929">
            <v>3</v>
          </cell>
          <cell r="I4929" t="str">
            <v>--</v>
          </cell>
          <cell r="J4929">
            <v>1.5</v>
          </cell>
          <cell r="K4929">
            <v>1.7</v>
          </cell>
        </row>
        <row r="4930">
          <cell r="A4930" t="str">
            <v>MC</v>
          </cell>
          <cell r="B4930" t="str">
            <v>B2C</v>
          </cell>
          <cell r="C4930" t="str">
            <v>SH</v>
          </cell>
          <cell r="D4930" t="str">
            <v>1260</v>
          </cell>
          <cell r="E4930" t="str">
            <v>PIPE</v>
          </cell>
          <cell r="F4930">
            <v>1</v>
          </cell>
          <cell r="G4930" t="str">
            <v>CB100404000300</v>
          </cell>
          <cell r="H4930">
            <v>3</v>
          </cell>
          <cell r="I4930" t="str">
            <v>--</v>
          </cell>
          <cell r="J4930">
            <v>2</v>
          </cell>
          <cell r="K4930">
            <v>2.2000000000000002</v>
          </cell>
        </row>
        <row r="4931">
          <cell r="A4931" t="str">
            <v>MC</v>
          </cell>
          <cell r="B4931" t="str">
            <v>CA304</v>
          </cell>
          <cell r="C4931" t="str">
            <v>TRIM</v>
          </cell>
          <cell r="D4931" t="str">
            <v>E-1261</v>
          </cell>
          <cell r="E4931" t="str">
            <v>PIPE</v>
          </cell>
          <cell r="F4931">
            <v>1</v>
          </cell>
          <cell r="G4931" t="str">
            <v>CB100405000300</v>
          </cell>
          <cell r="H4931">
            <v>3</v>
          </cell>
          <cell r="I4931" t="str">
            <v>--</v>
          </cell>
          <cell r="J4931">
            <v>2</v>
          </cell>
          <cell r="K4931">
            <v>2.2000000000000002</v>
          </cell>
        </row>
        <row r="4932">
          <cell r="A4932" t="str">
            <v>MC</v>
          </cell>
          <cell r="B4932" t="str">
            <v>CA304</v>
          </cell>
          <cell r="C4932" t="str">
            <v>MC</v>
          </cell>
          <cell r="D4932" t="str">
            <v>2612</v>
          </cell>
          <cell r="E4932" t="str">
            <v>PIPE</v>
          </cell>
          <cell r="F4932">
            <v>1</v>
          </cell>
          <cell r="G4932" t="str">
            <v>CB100405000300</v>
          </cell>
          <cell r="H4932">
            <v>3</v>
          </cell>
          <cell r="I4932" t="str">
            <v>--</v>
          </cell>
          <cell r="J4932">
            <v>4</v>
          </cell>
          <cell r="K4932">
            <v>4.4000000000000004</v>
          </cell>
        </row>
        <row r="4933">
          <cell r="A4933" t="str">
            <v>MC</v>
          </cell>
          <cell r="B4933" t="str">
            <v>CA304</v>
          </cell>
          <cell r="C4933" t="str">
            <v>CMC</v>
          </cell>
          <cell r="D4933" t="str">
            <v>HOLD</v>
          </cell>
          <cell r="E4933" t="str">
            <v>PIPE</v>
          </cell>
          <cell r="F4933">
            <v>1</v>
          </cell>
          <cell r="G4933" t="str">
            <v>CB100405000300</v>
          </cell>
          <cell r="H4933">
            <v>3</v>
          </cell>
          <cell r="I4933" t="str">
            <v>--</v>
          </cell>
          <cell r="J4933">
            <v>6</v>
          </cell>
          <cell r="K4933">
            <v>6.6</v>
          </cell>
        </row>
        <row r="4934">
          <cell r="A4934" t="str">
            <v>MC</v>
          </cell>
          <cell r="B4934" t="str">
            <v>CA304</v>
          </cell>
          <cell r="C4934" t="str">
            <v>MC</v>
          </cell>
          <cell r="D4934" t="str">
            <v>HOLD</v>
          </cell>
          <cell r="E4934" t="str">
            <v>PIPE</v>
          </cell>
          <cell r="F4934">
            <v>1</v>
          </cell>
          <cell r="G4934" t="str">
            <v>CB100405000300</v>
          </cell>
          <cell r="H4934">
            <v>3</v>
          </cell>
          <cell r="I4934" t="str">
            <v>--</v>
          </cell>
          <cell r="J4934">
            <v>6</v>
          </cell>
          <cell r="K4934">
            <v>6.6</v>
          </cell>
        </row>
        <row r="4935">
          <cell r="A4935" t="str">
            <v>MC</v>
          </cell>
          <cell r="B4935" t="str">
            <v>CA304</v>
          </cell>
          <cell r="C4935" t="str">
            <v>MC</v>
          </cell>
          <cell r="D4935" t="str">
            <v>HOLD</v>
          </cell>
          <cell r="E4935" t="str">
            <v>PIPE</v>
          </cell>
          <cell r="F4935">
            <v>1</v>
          </cell>
          <cell r="G4935" t="str">
            <v>CB100405000300</v>
          </cell>
          <cell r="H4935">
            <v>3</v>
          </cell>
          <cell r="I4935" t="str">
            <v>--</v>
          </cell>
          <cell r="J4935">
            <v>6</v>
          </cell>
          <cell r="K4935">
            <v>6.6</v>
          </cell>
        </row>
        <row r="4936">
          <cell r="A4936" t="str">
            <v>MC</v>
          </cell>
          <cell r="B4936" t="str">
            <v>CA304</v>
          </cell>
          <cell r="C4936" t="str">
            <v>MC</v>
          </cell>
          <cell r="D4936" t="str">
            <v>HOLD</v>
          </cell>
          <cell r="E4936" t="str">
            <v>PIPE</v>
          </cell>
          <cell r="F4936">
            <v>1</v>
          </cell>
          <cell r="G4936" t="str">
            <v>CB100405000300</v>
          </cell>
          <cell r="H4936">
            <v>3</v>
          </cell>
          <cell r="I4936" t="str">
            <v>--</v>
          </cell>
          <cell r="J4936">
            <v>6</v>
          </cell>
          <cell r="K4936">
            <v>6.6</v>
          </cell>
        </row>
        <row r="4937">
          <cell r="A4937" t="str">
            <v>MC</v>
          </cell>
          <cell r="B4937" t="str">
            <v>CA304</v>
          </cell>
          <cell r="C4937" t="str">
            <v>VT</v>
          </cell>
          <cell r="D4937" t="str">
            <v>HOLD</v>
          </cell>
          <cell r="E4937" t="str">
            <v>PIPE</v>
          </cell>
          <cell r="F4937">
            <v>1</v>
          </cell>
          <cell r="G4937" t="str">
            <v>CB100405000300</v>
          </cell>
          <cell r="H4937">
            <v>3</v>
          </cell>
          <cell r="I4937" t="str">
            <v>--</v>
          </cell>
          <cell r="J4937">
            <v>8</v>
          </cell>
          <cell r="K4937">
            <v>8.8000000000000007</v>
          </cell>
        </row>
        <row r="4938">
          <cell r="A4938" t="str">
            <v>MC</v>
          </cell>
          <cell r="B4938" t="str">
            <v>CA304</v>
          </cell>
          <cell r="C4938" t="str">
            <v>VT</v>
          </cell>
          <cell r="D4938" t="str">
            <v>HOLD</v>
          </cell>
          <cell r="E4938" t="str">
            <v>PIPE</v>
          </cell>
          <cell r="F4938">
            <v>1</v>
          </cell>
          <cell r="G4938" t="str">
            <v>CB100405000300</v>
          </cell>
          <cell r="H4938">
            <v>3</v>
          </cell>
          <cell r="I4938" t="str">
            <v>--</v>
          </cell>
          <cell r="J4938">
            <v>8.5</v>
          </cell>
          <cell r="K4938">
            <v>9.4</v>
          </cell>
        </row>
        <row r="4939">
          <cell r="A4939" t="str">
            <v>MC</v>
          </cell>
          <cell r="B4939" t="str">
            <v>CA304</v>
          </cell>
          <cell r="C4939" t="str">
            <v>MC</v>
          </cell>
          <cell r="D4939" t="str">
            <v>2606</v>
          </cell>
          <cell r="E4939" t="str">
            <v>PIPE</v>
          </cell>
          <cell r="F4939">
            <v>1</v>
          </cell>
          <cell r="G4939" t="str">
            <v>CB100405000300</v>
          </cell>
          <cell r="H4939">
            <v>3</v>
          </cell>
          <cell r="I4939" t="str">
            <v>--</v>
          </cell>
          <cell r="J4939">
            <v>14</v>
          </cell>
          <cell r="K4939">
            <v>15.4</v>
          </cell>
        </row>
        <row r="4940">
          <cell r="A4940" t="str">
            <v>MC</v>
          </cell>
          <cell r="B4940" t="str">
            <v>CA304</v>
          </cell>
          <cell r="C4940" t="str">
            <v>MC</v>
          </cell>
          <cell r="D4940" t="str">
            <v>2505</v>
          </cell>
          <cell r="E4940" t="str">
            <v>PIPE</v>
          </cell>
          <cell r="F4940">
            <v>1</v>
          </cell>
          <cell r="G4940" t="str">
            <v>CB100405000400</v>
          </cell>
          <cell r="H4940">
            <v>4</v>
          </cell>
          <cell r="I4940" t="str">
            <v>--</v>
          </cell>
          <cell r="J4940">
            <v>0.2</v>
          </cell>
          <cell r="K4940">
            <v>0.3</v>
          </cell>
        </row>
        <row r="4941">
          <cell r="A4941" t="str">
            <v>MC</v>
          </cell>
          <cell r="B4941" t="str">
            <v>CA304</v>
          </cell>
          <cell r="C4941" t="str">
            <v>MC</v>
          </cell>
          <cell r="D4941" t="str">
            <v>2605</v>
          </cell>
          <cell r="E4941" t="str">
            <v>PIPE</v>
          </cell>
          <cell r="F4941">
            <v>1</v>
          </cell>
          <cell r="G4941" t="str">
            <v>CB100405000400</v>
          </cell>
          <cell r="H4941">
            <v>4</v>
          </cell>
          <cell r="I4941" t="str">
            <v>--</v>
          </cell>
          <cell r="J4941">
            <v>0.2</v>
          </cell>
          <cell r="K4941">
            <v>0.3</v>
          </cell>
        </row>
        <row r="4942">
          <cell r="A4942" t="str">
            <v>MC</v>
          </cell>
          <cell r="B4942" t="str">
            <v>CA304</v>
          </cell>
          <cell r="C4942" t="str">
            <v>MC</v>
          </cell>
          <cell r="D4942" t="str">
            <v>2506</v>
          </cell>
          <cell r="E4942" t="str">
            <v>PIPE</v>
          </cell>
          <cell r="F4942">
            <v>1</v>
          </cell>
          <cell r="G4942" t="str">
            <v>CB100405000400</v>
          </cell>
          <cell r="H4942">
            <v>4</v>
          </cell>
          <cell r="I4942" t="str">
            <v>--</v>
          </cell>
          <cell r="J4942">
            <v>0.2</v>
          </cell>
          <cell r="K4942">
            <v>0.3</v>
          </cell>
        </row>
        <row r="4943">
          <cell r="A4943" t="str">
            <v>MC</v>
          </cell>
          <cell r="B4943" t="str">
            <v>CA304</v>
          </cell>
          <cell r="C4943" t="str">
            <v>MC</v>
          </cell>
          <cell r="D4943" t="str">
            <v>2609</v>
          </cell>
          <cell r="E4943" t="str">
            <v>PIPE</v>
          </cell>
          <cell r="F4943">
            <v>1</v>
          </cell>
          <cell r="G4943" t="str">
            <v>CB100405000400</v>
          </cell>
          <cell r="H4943">
            <v>4</v>
          </cell>
          <cell r="I4943" t="str">
            <v>--</v>
          </cell>
          <cell r="J4943">
            <v>0.2</v>
          </cell>
          <cell r="K4943">
            <v>0.3</v>
          </cell>
        </row>
        <row r="4944">
          <cell r="A4944" t="str">
            <v>MC</v>
          </cell>
          <cell r="B4944" t="str">
            <v>CA304</v>
          </cell>
          <cell r="C4944" t="str">
            <v>MC</v>
          </cell>
          <cell r="D4944" t="str">
            <v>2604</v>
          </cell>
          <cell r="E4944" t="str">
            <v>PIPE</v>
          </cell>
          <cell r="F4944">
            <v>1</v>
          </cell>
          <cell r="G4944" t="str">
            <v>CB100405000400</v>
          </cell>
          <cell r="H4944">
            <v>4</v>
          </cell>
          <cell r="I4944" t="str">
            <v>--</v>
          </cell>
          <cell r="J4944">
            <v>0.5</v>
          </cell>
          <cell r="K4944">
            <v>0.6</v>
          </cell>
        </row>
        <row r="4945">
          <cell r="A4945" t="str">
            <v>MC</v>
          </cell>
          <cell r="B4945" t="str">
            <v>B2C</v>
          </cell>
          <cell r="C4945" t="str">
            <v>SH</v>
          </cell>
          <cell r="D4945" t="str">
            <v>1460</v>
          </cell>
          <cell r="E4945" t="str">
            <v>PIPE</v>
          </cell>
          <cell r="F4945">
            <v>1</v>
          </cell>
          <cell r="G4945" t="str">
            <v>CB100404000400</v>
          </cell>
          <cell r="H4945">
            <v>4</v>
          </cell>
          <cell r="I4945" t="str">
            <v>--</v>
          </cell>
          <cell r="J4945">
            <v>1</v>
          </cell>
          <cell r="K4945">
            <v>1.2</v>
          </cell>
        </row>
        <row r="4946">
          <cell r="A4946" t="str">
            <v>MC</v>
          </cell>
          <cell r="B4946" t="str">
            <v>CA304</v>
          </cell>
          <cell r="C4946" t="str">
            <v>CMC</v>
          </cell>
          <cell r="D4946" t="str">
            <v>HOLD</v>
          </cell>
          <cell r="E4946" t="str">
            <v>PIPE</v>
          </cell>
          <cell r="F4946">
            <v>1</v>
          </cell>
          <cell r="G4946" t="str">
            <v>CB100405000400</v>
          </cell>
          <cell r="H4946">
            <v>4</v>
          </cell>
          <cell r="I4946" t="str">
            <v>--</v>
          </cell>
          <cell r="J4946">
            <v>2</v>
          </cell>
          <cell r="K4946">
            <v>2.4</v>
          </cell>
        </row>
        <row r="4947">
          <cell r="A4947" t="str">
            <v>MC</v>
          </cell>
          <cell r="B4947" t="str">
            <v>CA304</v>
          </cell>
          <cell r="C4947" t="str">
            <v>CMC</v>
          </cell>
          <cell r="D4947" t="str">
            <v>HOLD</v>
          </cell>
          <cell r="E4947" t="str">
            <v>PIPE</v>
          </cell>
          <cell r="F4947">
            <v>1</v>
          </cell>
          <cell r="G4947" t="str">
            <v>CB100405000400</v>
          </cell>
          <cell r="H4947">
            <v>4</v>
          </cell>
          <cell r="I4947" t="str">
            <v>--</v>
          </cell>
          <cell r="J4947">
            <v>2</v>
          </cell>
          <cell r="K4947">
            <v>2.4</v>
          </cell>
        </row>
        <row r="4948">
          <cell r="A4948" t="str">
            <v>MC</v>
          </cell>
          <cell r="B4948" t="str">
            <v>CA304</v>
          </cell>
          <cell r="C4948" t="str">
            <v>CMC</v>
          </cell>
          <cell r="D4948" t="str">
            <v>HOLD</v>
          </cell>
          <cell r="E4948" t="str">
            <v>PIPE</v>
          </cell>
          <cell r="F4948">
            <v>1</v>
          </cell>
          <cell r="G4948" t="str">
            <v>CB100405000400</v>
          </cell>
          <cell r="H4948">
            <v>4</v>
          </cell>
          <cell r="I4948" t="str">
            <v>--</v>
          </cell>
          <cell r="J4948">
            <v>4</v>
          </cell>
          <cell r="K4948">
            <v>4.8</v>
          </cell>
        </row>
        <row r="4949">
          <cell r="A4949" t="str">
            <v>MC</v>
          </cell>
          <cell r="B4949" t="str">
            <v>CA304</v>
          </cell>
          <cell r="C4949" t="str">
            <v>MC</v>
          </cell>
          <cell r="D4949" t="str">
            <v>2502</v>
          </cell>
          <cell r="E4949" t="str">
            <v>PIPE</v>
          </cell>
          <cell r="F4949">
            <v>1</v>
          </cell>
          <cell r="G4949" t="str">
            <v>CB100405000400</v>
          </cell>
          <cell r="H4949">
            <v>4</v>
          </cell>
          <cell r="I4949" t="str">
            <v>--</v>
          </cell>
          <cell r="J4949">
            <v>5</v>
          </cell>
          <cell r="K4949">
            <v>6</v>
          </cell>
        </row>
        <row r="4950">
          <cell r="A4950" t="str">
            <v>MC</v>
          </cell>
          <cell r="B4950" t="str">
            <v>CA304</v>
          </cell>
          <cell r="C4950" t="str">
            <v>MC</v>
          </cell>
          <cell r="D4950" t="str">
            <v>2502</v>
          </cell>
          <cell r="E4950" t="str">
            <v>PIPE</v>
          </cell>
          <cell r="F4950">
            <v>1</v>
          </cell>
          <cell r="G4950" t="str">
            <v>CB100405000400</v>
          </cell>
          <cell r="H4950">
            <v>4</v>
          </cell>
          <cell r="I4950" t="str">
            <v>--</v>
          </cell>
          <cell r="J4950">
            <v>5</v>
          </cell>
          <cell r="K4950">
            <v>6</v>
          </cell>
        </row>
        <row r="4951">
          <cell r="A4951" t="str">
            <v>MC</v>
          </cell>
          <cell r="B4951" t="str">
            <v>CA304</v>
          </cell>
          <cell r="C4951" t="str">
            <v>MC</v>
          </cell>
          <cell r="D4951" t="str">
            <v>2503</v>
          </cell>
          <cell r="E4951" t="str">
            <v>PIPE</v>
          </cell>
          <cell r="F4951">
            <v>1</v>
          </cell>
          <cell r="G4951" t="str">
            <v>CB100405000400</v>
          </cell>
          <cell r="H4951">
            <v>4</v>
          </cell>
          <cell r="I4951" t="str">
            <v>--</v>
          </cell>
          <cell r="J4951">
            <v>6</v>
          </cell>
          <cell r="K4951">
            <v>7.2</v>
          </cell>
        </row>
        <row r="4952">
          <cell r="A4952" t="str">
            <v>MC</v>
          </cell>
          <cell r="B4952" t="str">
            <v>CA304</v>
          </cell>
          <cell r="C4952" t="str">
            <v>MC</v>
          </cell>
          <cell r="D4952" t="str">
            <v>2507</v>
          </cell>
          <cell r="E4952" t="str">
            <v>PIPE</v>
          </cell>
          <cell r="F4952">
            <v>1</v>
          </cell>
          <cell r="G4952" t="str">
            <v>CB100405000400</v>
          </cell>
          <cell r="H4952">
            <v>4</v>
          </cell>
          <cell r="I4952" t="str">
            <v>--</v>
          </cell>
          <cell r="J4952">
            <v>7</v>
          </cell>
          <cell r="K4952">
            <v>8.4</v>
          </cell>
        </row>
        <row r="4953">
          <cell r="A4953" t="str">
            <v>MC</v>
          </cell>
          <cell r="B4953" t="str">
            <v>CA304</v>
          </cell>
          <cell r="C4953" t="str">
            <v>VT</v>
          </cell>
          <cell r="D4953" t="str">
            <v>HOLD</v>
          </cell>
          <cell r="E4953" t="str">
            <v>PIPE</v>
          </cell>
          <cell r="F4953">
            <v>1</v>
          </cell>
          <cell r="G4953" t="str">
            <v>CB100405000400</v>
          </cell>
          <cell r="H4953">
            <v>4</v>
          </cell>
          <cell r="I4953" t="str">
            <v>--</v>
          </cell>
          <cell r="J4953">
            <v>11.5</v>
          </cell>
          <cell r="K4953">
            <v>13.8</v>
          </cell>
        </row>
        <row r="4954">
          <cell r="A4954" t="str">
            <v>MC</v>
          </cell>
          <cell r="B4954" t="str">
            <v>CA304</v>
          </cell>
          <cell r="C4954" t="str">
            <v>MC</v>
          </cell>
          <cell r="D4954" t="str">
            <v>HOLD</v>
          </cell>
          <cell r="E4954" t="str">
            <v>PIPE</v>
          </cell>
          <cell r="F4954">
            <v>1</v>
          </cell>
          <cell r="G4954" t="str">
            <v>CB100405000400</v>
          </cell>
          <cell r="H4954">
            <v>4</v>
          </cell>
          <cell r="I4954" t="str">
            <v>--</v>
          </cell>
          <cell r="J4954">
            <v>14</v>
          </cell>
          <cell r="K4954">
            <v>16.8</v>
          </cell>
        </row>
        <row r="4955">
          <cell r="A4955" t="str">
            <v>MC</v>
          </cell>
          <cell r="B4955" t="str">
            <v>CA304</v>
          </cell>
          <cell r="C4955" t="str">
            <v>MC</v>
          </cell>
          <cell r="D4955" t="str">
            <v>HOLD</v>
          </cell>
          <cell r="E4955" t="str">
            <v>PIPE</v>
          </cell>
          <cell r="F4955">
            <v>1</v>
          </cell>
          <cell r="G4955" t="str">
            <v>CB100405000400</v>
          </cell>
          <cell r="H4955">
            <v>4</v>
          </cell>
          <cell r="I4955" t="str">
            <v>--</v>
          </cell>
          <cell r="J4955">
            <v>14</v>
          </cell>
          <cell r="K4955">
            <v>16.8</v>
          </cell>
        </row>
        <row r="4956">
          <cell r="A4956" t="str">
            <v>MC</v>
          </cell>
          <cell r="B4956" t="str">
            <v>CA304</v>
          </cell>
          <cell r="C4956" t="str">
            <v>MC</v>
          </cell>
          <cell r="D4956" t="str">
            <v>HOLD</v>
          </cell>
          <cell r="E4956" t="str">
            <v>PIPE</v>
          </cell>
          <cell r="F4956">
            <v>1</v>
          </cell>
          <cell r="G4956" t="str">
            <v>CB100405000400</v>
          </cell>
          <cell r="H4956">
            <v>4</v>
          </cell>
          <cell r="I4956" t="str">
            <v>--</v>
          </cell>
          <cell r="J4956">
            <v>14</v>
          </cell>
          <cell r="K4956">
            <v>16.8</v>
          </cell>
        </row>
        <row r="4957">
          <cell r="A4957" t="str">
            <v>MC</v>
          </cell>
          <cell r="B4957" t="str">
            <v>CA304</v>
          </cell>
          <cell r="C4957" t="str">
            <v>VT</v>
          </cell>
          <cell r="D4957" t="str">
            <v>HOLD</v>
          </cell>
          <cell r="E4957" t="str">
            <v>PIPE</v>
          </cell>
          <cell r="F4957">
            <v>1</v>
          </cell>
          <cell r="G4957" t="str">
            <v>CB100405000400</v>
          </cell>
          <cell r="H4957">
            <v>4</v>
          </cell>
          <cell r="I4957" t="str">
            <v>--</v>
          </cell>
          <cell r="J4957">
            <v>15.5</v>
          </cell>
          <cell r="K4957">
            <v>18.600000000000001</v>
          </cell>
        </row>
        <row r="4958">
          <cell r="A4958" t="str">
            <v>MC</v>
          </cell>
          <cell r="B4958" t="str">
            <v>B2C</v>
          </cell>
          <cell r="C4958" t="str">
            <v>SH</v>
          </cell>
          <cell r="D4958" t="str">
            <v>1260</v>
          </cell>
          <cell r="E4958" t="str">
            <v>PIPE</v>
          </cell>
          <cell r="F4958">
            <v>1</v>
          </cell>
          <cell r="G4958" t="str">
            <v>CB100404000400</v>
          </cell>
          <cell r="H4958">
            <v>4</v>
          </cell>
          <cell r="I4958" t="str">
            <v>--</v>
          </cell>
          <cell r="J4958">
            <v>20.5</v>
          </cell>
          <cell r="K4958">
            <v>24.6</v>
          </cell>
        </row>
        <row r="4959">
          <cell r="A4959" t="str">
            <v>MC</v>
          </cell>
          <cell r="B4959" t="str">
            <v>CA307</v>
          </cell>
          <cell r="C4959" t="str">
            <v>P</v>
          </cell>
          <cell r="D4959" t="str">
            <v>HOLD1</v>
          </cell>
          <cell r="E4959" t="str">
            <v>PIPE</v>
          </cell>
          <cell r="F4959">
            <v>1</v>
          </cell>
          <cell r="G4959" t="str">
            <v>CB100405000400</v>
          </cell>
          <cell r="H4959">
            <v>4</v>
          </cell>
          <cell r="I4959" t="str">
            <v>--</v>
          </cell>
          <cell r="J4959">
            <v>51</v>
          </cell>
          <cell r="K4959">
            <v>61.2</v>
          </cell>
        </row>
        <row r="4960">
          <cell r="A4960" t="str">
            <v>MC</v>
          </cell>
          <cell r="B4960" t="str">
            <v>B2C</v>
          </cell>
          <cell r="C4960" t="str">
            <v>SH</v>
          </cell>
          <cell r="D4960" t="str">
            <v>1000</v>
          </cell>
          <cell r="E4960" t="str">
            <v>PIPE</v>
          </cell>
          <cell r="F4960">
            <v>1</v>
          </cell>
          <cell r="G4960" t="str">
            <v>CB100404000600</v>
          </cell>
          <cell r="H4960">
            <v>6</v>
          </cell>
          <cell r="I4960" t="str">
            <v>--</v>
          </cell>
          <cell r="J4960">
            <v>1</v>
          </cell>
          <cell r="K4960">
            <v>1.2</v>
          </cell>
        </row>
        <row r="4961">
          <cell r="A4961" t="str">
            <v>MC</v>
          </cell>
          <cell r="B4961" t="str">
            <v>B2C</v>
          </cell>
          <cell r="C4961" t="str">
            <v>SH</v>
          </cell>
          <cell r="D4961" t="str">
            <v>1360</v>
          </cell>
          <cell r="E4961" t="str">
            <v>PIPE</v>
          </cell>
          <cell r="F4961">
            <v>1</v>
          </cell>
          <cell r="G4961" t="str">
            <v>CB100404000600</v>
          </cell>
          <cell r="H4961">
            <v>6</v>
          </cell>
          <cell r="I4961" t="str">
            <v>--</v>
          </cell>
          <cell r="J4961">
            <v>2</v>
          </cell>
          <cell r="K4961">
            <v>2.4</v>
          </cell>
        </row>
        <row r="4962">
          <cell r="A4962" t="str">
            <v>MC</v>
          </cell>
          <cell r="B4962" t="str">
            <v>CA304</v>
          </cell>
          <cell r="C4962" t="str">
            <v>CMC</v>
          </cell>
          <cell r="D4962" t="str">
            <v>HOLD</v>
          </cell>
          <cell r="E4962" t="str">
            <v>PIPE</v>
          </cell>
          <cell r="F4962">
            <v>1</v>
          </cell>
          <cell r="G4962" t="str">
            <v>CB100405000600</v>
          </cell>
          <cell r="H4962">
            <v>6</v>
          </cell>
          <cell r="I4962" t="str">
            <v>--</v>
          </cell>
          <cell r="J4962">
            <v>2</v>
          </cell>
          <cell r="K4962">
            <v>2.4</v>
          </cell>
        </row>
        <row r="4963">
          <cell r="A4963" t="str">
            <v>MC</v>
          </cell>
          <cell r="B4963" t="str">
            <v>CA304</v>
          </cell>
          <cell r="C4963" t="str">
            <v>CMC</v>
          </cell>
          <cell r="D4963" t="str">
            <v>HOLD</v>
          </cell>
          <cell r="E4963" t="str">
            <v>PIPE</v>
          </cell>
          <cell r="F4963">
            <v>1</v>
          </cell>
          <cell r="G4963" t="str">
            <v>CB100405000600</v>
          </cell>
          <cell r="H4963">
            <v>6</v>
          </cell>
          <cell r="I4963" t="str">
            <v>--</v>
          </cell>
          <cell r="J4963">
            <v>2</v>
          </cell>
          <cell r="K4963">
            <v>2.4</v>
          </cell>
        </row>
        <row r="4964">
          <cell r="A4964" t="str">
            <v>MC</v>
          </cell>
          <cell r="B4964" t="str">
            <v>CA304</v>
          </cell>
          <cell r="C4964" t="str">
            <v>MC</v>
          </cell>
          <cell r="D4964" t="str">
            <v>2502</v>
          </cell>
          <cell r="E4964" t="str">
            <v>PIPE</v>
          </cell>
          <cell r="F4964">
            <v>1</v>
          </cell>
          <cell r="G4964" t="str">
            <v>CB100405000600</v>
          </cell>
          <cell r="H4964">
            <v>6</v>
          </cell>
          <cell r="I4964" t="str">
            <v>--</v>
          </cell>
          <cell r="J4964">
            <v>5</v>
          </cell>
          <cell r="K4964">
            <v>6</v>
          </cell>
        </row>
        <row r="4965">
          <cell r="A4965" t="str">
            <v>MC</v>
          </cell>
          <cell r="B4965" t="str">
            <v>BA305</v>
          </cell>
          <cell r="C4965" t="str">
            <v>MOH</v>
          </cell>
          <cell r="D4965" t="str">
            <v>HOLD</v>
          </cell>
          <cell r="E4965" t="str">
            <v>PIPE</v>
          </cell>
          <cell r="F4965">
            <v>1</v>
          </cell>
          <cell r="G4965" t="str">
            <v>CB100405000600</v>
          </cell>
          <cell r="H4965">
            <v>6</v>
          </cell>
          <cell r="I4965" t="str">
            <v>--</v>
          </cell>
          <cell r="J4965">
            <v>9</v>
          </cell>
          <cell r="K4965">
            <v>10.8</v>
          </cell>
        </row>
        <row r="4966">
          <cell r="A4966" t="str">
            <v>MC</v>
          </cell>
          <cell r="B4966" t="str">
            <v>BA305</v>
          </cell>
          <cell r="C4966" t="str">
            <v>MOH</v>
          </cell>
          <cell r="D4966" t="str">
            <v>2103</v>
          </cell>
          <cell r="E4966" t="str">
            <v>PIPE</v>
          </cell>
          <cell r="F4966">
            <v>1</v>
          </cell>
          <cell r="G4966" t="str">
            <v>CB100405000600</v>
          </cell>
          <cell r="H4966">
            <v>6</v>
          </cell>
          <cell r="I4966" t="str">
            <v>--</v>
          </cell>
          <cell r="J4966">
            <v>10</v>
          </cell>
          <cell r="K4966">
            <v>12</v>
          </cell>
        </row>
        <row r="4967">
          <cell r="A4967" t="str">
            <v>MC</v>
          </cell>
          <cell r="B4967" t="str">
            <v>CA304</v>
          </cell>
          <cell r="C4967" t="str">
            <v>MC</v>
          </cell>
          <cell r="D4967" t="str">
            <v>2502</v>
          </cell>
          <cell r="E4967" t="str">
            <v>PIPE</v>
          </cell>
          <cell r="F4967">
            <v>1</v>
          </cell>
          <cell r="G4967" t="str">
            <v>CB100405000600</v>
          </cell>
          <cell r="H4967">
            <v>6</v>
          </cell>
          <cell r="I4967" t="str">
            <v>--</v>
          </cell>
          <cell r="J4967">
            <v>12</v>
          </cell>
          <cell r="K4967">
            <v>14.4</v>
          </cell>
        </row>
        <row r="4968">
          <cell r="A4968" t="str">
            <v>MC</v>
          </cell>
          <cell r="B4968" t="str">
            <v>CA304</v>
          </cell>
          <cell r="C4968" t="str">
            <v>MC</v>
          </cell>
          <cell r="D4968" t="str">
            <v>2410</v>
          </cell>
          <cell r="E4968" t="str">
            <v>PIPE</v>
          </cell>
          <cell r="F4968">
            <v>1</v>
          </cell>
          <cell r="G4968" t="str">
            <v>CB100405000600</v>
          </cell>
          <cell r="H4968">
            <v>6</v>
          </cell>
          <cell r="I4968" t="str">
            <v>--</v>
          </cell>
          <cell r="J4968">
            <v>12.5</v>
          </cell>
          <cell r="K4968">
            <v>15</v>
          </cell>
        </row>
        <row r="4969">
          <cell r="A4969" t="str">
            <v>MC</v>
          </cell>
          <cell r="B4969" t="str">
            <v>CA304</v>
          </cell>
          <cell r="C4969" t="str">
            <v>CMC</v>
          </cell>
          <cell r="D4969" t="str">
            <v>HOLD</v>
          </cell>
          <cell r="E4969" t="str">
            <v>PIPE</v>
          </cell>
          <cell r="F4969">
            <v>1</v>
          </cell>
          <cell r="G4969" t="str">
            <v>CB100405000600</v>
          </cell>
          <cell r="H4969">
            <v>6</v>
          </cell>
          <cell r="I4969" t="str">
            <v>--</v>
          </cell>
          <cell r="J4969">
            <v>14</v>
          </cell>
          <cell r="K4969">
            <v>16.8</v>
          </cell>
        </row>
        <row r="4970">
          <cell r="A4970" t="str">
            <v>MC</v>
          </cell>
          <cell r="B4970" t="str">
            <v>B2C</v>
          </cell>
          <cell r="C4970" t="str">
            <v>SH</v>
          </cell>
          <cell r="D4970" t="str">
            <v>1460</v>
          </cell>
          <cell r="E4970" t="str">
            <v>PIPE</v>
          </cell>
          <cell r="F4970">
            <v>1</v>
          </cell>
          <cell r="G4970" t="str">
            <v>CB100404000600</v>
          </cell>
          <cell r="H4970">
            <v>6</v>
          </cell>
          <cell r="I4970" t="str">
            <v>--</v>
          </cell>
          <cell r="J4970">
            <v>16</v>
          </cell>
          <cell r="K4970">
            <v>19.2</v>
          </cell>
        </row>
        <row r="4971">
          <cell r="A4971" t="str">
            <v>MC</v>
          </cell>
          <cell r="B4971" t="str">
            <v>CA304</v>
          </cell>
          <cell r="C4971" t="str">
            <v>MC</v>
          </cell>
          <cell r="D4971" t="str">
            <v>2412</v>
          </cell>
          <cell r="E4971" t="str">
            <v>PIPE</v>
          </cell>
          <cell r="F4971">
            <v>1</v>
          </cell>
          <cell r="G4971" t="str">
            <v>CB100405000600</v>
          </cell>
          <cell r="H4971">
            <v>6</v>
          </cell>
          <cell r="I4971" t="str">
            <v>--</v>
          </cell>
          <cell r="J4971">
            <v>16</v>
          </cell>
          <cell r="K4971">
            <v>19.2</v>
          </cell>
        </row>
        <row r="4972">
          <cell r="A4972" t="str">
            <v>MC</v>
          </cell>
          <cell r="B4972" t="str">
            <v>CA304</v>
          </cell>
          <cell r="C4972" t="str">
            <v>MC</v>
          </cell>
          <cell r="D4972" t="str">
            <v>2504</v>
          </cell>
          <cell r="E4972" t="str">
            <v>PIPE</v>
          </cell>
          <cell r="F4972">
            <v>1</v>
          </cell>
          <cell r="G4972" t="str">
            <v>CB100405000600</v>
          </cell>
          <cell r="H4972">
            <v>6</v>
          </cell>
          <cell r="I4972" t="str">
            <v>--</v>
          </cell>
          <cell r="J4972">
            <v>17</v>
          </cell>
          <cell r="K4972">
            <v>20.399999999999999</v>
          </cell>
        </row>
        <row r="4973">
          <cell r="A4973" t="str">
            <v>MC</v>
          </cell>
          <cell r="B4973" t="str">
            <v>CA304</v>
          </cell>
          <cell r="C4973" t="str">
            <v>MC</v>
          </cell>
          <cell r="D4973" t="str">
            <v>2613</v>
          </cell>
          <cell r="E4973" t="str">
            <v>PIPE</v>
          </cell>
          <cell r="F4973">
            <v>1</v>
          </cell>
          <cell r="G4973" t="str">
            <v>CB100405000600</v>
          </cell>
          <cell r="H4973">
            <v>6</v>
          </cell>
          <cell r="I4973" t="str">
            <v>--</v>
          </cell>
          <cell r="J4973">
            <v>23</v>
          </cell>
          <cell r="K4973">
            <v>27.6</v>
          </cell>
        </row>
        <row r="4974">
          <cell r="A4974" t="str">
            <v>MC</v>
          </cell>
          <cell r="B4974" t="str">
            <v>CA307</v>
          </cell>
          <cell r="C4974" t="str">
            <v>HCLG</v>
          </cell>
          <cell r="D4974" t="str">
            <v>1100</v>
          </cell>
          <cell r="E4974" t="str">
            <v>PIPE</v>
          </cell>
          <cell r="F4974">
            <v>1</v>
          </cell>
          <cell r="G4974" t="str">
            <v>CB100405000600</v>
          </cell>
          <cell r="H4974">
            <v>6</v>
          </cell>
          <cell r="I4974" t="str">
            <v>--</v>
          </cell>
          <cell r="J4974">
            <v>51</v>
          </cell>
          <cell r="K4974">
            <v>61.2</v>
          </cell>
        </row>
        <row r="4975">
          <cell r="A4975" t="str">
            <v>MC</v>
          </cell>
          <cell r="B4975" t="str">
            <v>CA307</v>
          </cell>
          <cell r="C4975" t="str">
            <v>HCL</v>
          </cell>
          <cell r="D4975" t="str">
            <v>1100</v>
          </cell>
          <cell r="E4975" t="str">
            <v>PIPE</v>
          </cell>
          <cell r="F4975">
            <v>1</v>
          </cell>
          <cell r="G4975" t="str">
            <v>CB100405000600</v>
          </cell>
          <cell r="H4975">
            <v>6</v>
          </cell>
          <cell r="I4975" t="str">
            <v>--</v>
          </cell>
          <cell r="J4975">
            <v>62</v>
          </cell>
          <cell r="K4975">
            <v>74.400000000000006</v>
          </cell>
        </row>
        <row r="4976">
          <cell r="A4976" t="str">
            <v>MC</v>
          </cell>
          <cell r="B4976" t="str">
            <v>CA304</v>
          </cell>
          <cell r="C4976" t="str">
            <v>MC</v>
          </cell>
          <cell r="D4976" t="str">
            <v>2501</v>
          </cell>
          <cell r="E4976" t="str">
            <v>PIPE</v>
          </cell>
          <cell r="F4976">
            <v>1</v>
          </cell>
          <cell r="G4976" t="str">
            <v>CB100405000800</v>
          </cell>
          <cell r="H4976">
            <v>8</v>
          </cell>
          <cell r="I4976" t="str">
            <v>--</v>
          </cell>
          <cell r="J4976">
            <v>5</v>
          </cell>
          <cell r="K4976">
            <v>6</v>
          </cell>
        </row>
        <row r="4977">
          <cell r="A4977" t="str">
            <v>MC</v>
          </cell>
          <cell r="B4977" t="str">
            <v>CA304</v>
          </cell>
          <cell r="C4977" t="str">
            <v>MC</v>
          </cell>
          <cell r="D4977" t="str">
            <v>2501</v>
          </cell>
          <cell r="E4977" t="str">
            <v>PIPE</v>
          </cell>
          <cell r="F4977">
            <v>1</v>
          </cell>
          <cell r="G4977" t="str">
            <v>CB100405000800</v>
          </cell>
          <cell r="H4977">
            <v>8</v>
          </cell>
          <cell r="I4977" t="str">
            <v>--</v>
          </cell>
          <cell r="J4977">
            <v>8</v>
          </cell>
          <cell r="K4977">
            <v>9.6</v>
          </cell>
        </row>
        <row r="4978">
          <cell r="A4978" t="str">
            <v>MC</v>
          </cell>
          <cell r="B4978" t="str">
            <v>CA304</v>
          </cell>
          <cell r="C4978" t="str">
            <v>MC</v>
          </cell>
          <cell r="D4978" t="str">
            <v>2501</v>
          </cell>
          <cell r="E4978" t="str">
            <v>PIPE</v>
          </cell>
          <cell r="F4978">
            <v>1</v>
          </cell>
          <cell r="G4978" t="str">
            <v>CB100405000800</v>
          </cell>
          <cell r="H4978">
            <v>8</v>
          </cell>
          <cell r="I4978" t="str">
            <v>--</v>
          </cell>
          <cell r="J4978">
            <v>11</v>
          </cell>
          <cell r="K4978">
            <v>13.2</v>
          </cell>
        </row>
        <row r="4979">
          <cell r="A4979" t="str">
            <v>MC</v>
          </cell>
          <cell r="B4979" t="str">
            <v>B2C</v>
          </cell>
          <cell r="C4979" t="str">
            <v>SH</v>
          </cell>
          <cell r="D4979" t="str">
            <v>1360</v>
          </cell>
          <cell r="E4979" t="str">
            <v>PIPE</v>
          </cell>
          <cell r="F4979">
            <v>1</v>
          </cell>
          <cell r="G4979" t="str">
            <v>CB100404000800</v>
          </cell>
          <cell r="H4979">
            <v>8</v>
          </cell>
          <cell r="I4979" t="str">
            <v>--</v>
          </cell>
          <cell r="J4979">
            <v>18</v>
          </cell>
          <cell r="K4979">
            <v>21.6</v>
          </cell>
        </row>
        <row r="4980">
          <cell r="A4980" t="str">
            <v>MC</v>
          </cell>
          <cell r="B4980" t="str">
            <v>CA304</v>
          </cell>
          <cell r="C4980" t="str">
            <v>VT</v>
          </cell>
          <cell r="D4980" t="str">
            <v>HOLD</v>
          </cell>
          <cell r="E4980" t="str">
            <v>PIPE</v>
          </cell>
          <cell r="F4980">
            <v>1</v>
          </cell>
          <cell r="G4980" t="str">
            <v>CB100405001000</v>
          </cell>
          <cell r="H4980">
            <v>10</v>
          </cell>
          <cell r="I4980" t="str">
            <v>--</v>
          </cell>
          <cell r="J4980">
            <v>37</v>
          </cell>
          <cell r="K4980">
            <v>40.700000000000003</v>
          </cell>
        </row>
        <row r="4981">
          <cell r="A4981" t="str">
            <v>MC</v>
          </cell>
          <cell r="B4981" t="str">
            <v>B2C</v>
          </cell>
          <cell r="C4981" t="str">
            <v>SH</v>
          </cell>
          <cell r="D4981" t="str">
            <v>1000</v>
          </cell>
          <cell r="E4981" t="str">
            <v>PIPE</v>
          </cell>
          <cell r="F4981">
            <v>1</v>
          </cell>
          <cell r="G4981" t="str">
            <v>CB100404001000</v>
          </cell>
          <cell r="H4981">
            <v>10</v>
          </cell>
          <cell r="I4981" t="str">
            <v>--</v>
          </cell>
          <cell r="J4981">
            <v>54</v>
          </cell>
          <cell r="K4981">
            <v>59.4</v>
          </cell>
        </row>
        <row r="4982">
          <cell r="A4982" t="str">
            <v>MC</v>
          </cell>
          <cell r="B4982" t="str">
            <v>B2C</v>
          </cell>
          <cell r="C4982" t="str">
            <v>SH</v>
          </cell>
          <cell r="D4982" t="str">
            <v>1000</v>
          </cell>
          <cell r="E4982" t="str">
            <v>NPL</v>
          </cell>
          <cell r="F4982">
            <v>2</v>
          </cell>
          <cell r="G4982" t="str">
            <v>CB132108000HVR</v>
          </cell>
          <cell r="H4982">
            <v>0.5</v>
          </cell>
          <cell r="I4982" t="str">
            <v>75mm</v>
          </cell>
          <cell r="J4982">
            <v>1</v>
          </cell>
          <cell r="K4982">
            <v>1</v>
          </cell>
        </row>
        <row r="4983">
          <cell r="A4983" t="str">
            <v>MC</v>
          </cell>
          <cell r="B4983" t="str">
            <v>B2C</v>
          </cell>
          <cell r="C4983" t="str">
            <v>SH</v>
          </cell>
          <cell r="D4983" t="str">
            <v>1260</v>
          </cell>
          <cell r="E4983" t="str">
            <v>NPL</v>
          </cell>
          <cell r="F4983">
            <v>2</v>
          </cell>
          <cell r="G4983" t="str">
            <v>CB132108000HVR</v>
          </cell>
          <cell r="H4983">
            <v>0.5</v>
          </cell>
          <cell r="I4983" t="str">
            <v>75mm</v>
          </cell>
          <cell r="J4983">
            <v>1</v>
          </cell>
          <cell r="K4983">
            <v>1</v>
          </cell>
        </row>
        <row r="4984">
          <cell r="A4984" t="str">
            <v>MC</v>
          </cell>
          <cell r="B4984" t="str">
            <v>B2C</v>
          </cell>
          <cell r="C4984" t="str">
            <v>SH</v>
          </cell>
          <cell r="D4984" t="str">
            <v>1460</v>
          </cell>
          <cell r="E4984" t="str">
            <v>NPL</v>
          </cell>
          <cell r="F4984">
            <v>2</v>
          </cell>
          <cell r="G4984" t="str">
            <v>CB132108000HVR</v>
          </cell>
          <cell r="H4984">
            <v>0.5</v>
          </cell>
          <cell r="I4984" t="str">
            <v>75mm</v>
          </cell>
          <cell r="J4984">
            <v>1</v>
          </cell>
          <cell r="K4984">
            <v>1</v>
          </cell>
        </row>
        <row r="4985">
          <cell r="A4985" t="str">
            <v>MC</v>
          </cell>
          <cell r="B4985" t="str">
            <v>B2C</v>
          </cell>
          <cell r="C4985" t="str">
            <v>SH</v>
          </cell>
          <cell r="D4985" t="str">
            <v>1460</v>
          </cell>
          <cell r="E4985" t="str">
            <v>NPL</v>
          </cell>
          <cell r="F4985">
            <v>2</v>
          </cell>
          <cell r="G4985" t="str">
            <v>CB132108000HWL</v>
          </cell>
          <cell r="H4985">
            <v>0.5</v>
          </cell>
          <cell r="I4985" t="str">
            <v>150mm</v>
          </cell>
          <cell r="J4985">
            <v>1</v>
          </cell>
          <cell r="K4985">
            <v>1</v>
          </cell>
        </row>
        <row r="4986">
          <cell r="A4986" t="str">
            <v>MC</v>
          </cell>
          <cell r="B4986" t="str">
            <v>B2C</v>
          </cell>
          <cell r="C4986" t="str">
            <v>SH</v>
          </cell>
          <cell r="D4986" t="str">
            <v>1360</v>
          </cell>
          <cell r="E4986" t="str">
            <v>NPL</v>
          </cell>
          <cell r="F4986">
            <v>2</v>
          </cell>
          <cell r="G4986" t="str">
            <v>CB132108000HVR</v>
          </cell>
          <cell r="H4986">
            <v>0.5</v>
          </cell>
          <cell r="I4986" t="str">
            <v>75mm</v>
          </cell>
          <cell r="J4986">
            <v>1</v>
          </cell>
          <cell r="K4986">
            <v>1</v>
          </cell>
        </row>
        <row r="4987">
          <cell r="A4987" t="str">
            <v>MC</v>
          </cell>
          <cell r="B4987" t="str">
            <v>B2C</v>
          </cell>
          <cell r="C4987" t="str">
            <v>SH</v>
          </cell>
          <cell r="D4987" t="str">
            <v>1360</v>
          </cell>
          <cell r="E4987" t="str">
            <v>NPL</v>
          </cell>
          <cell r="F4987">
            <v>2</v>
          </cell>
          <cell r="G4987" t="str">
            <v>CB132108000HWL</v>
          </cell>
          <cell r="H4987">
            <v>0.5</v>
          </cell>
          <cell r="I4987" t="str">
            <v>150mm</v>
          </cell>
          <cell r="J4987">
            <v>1</v>
          </cell>
          <cell r="K4987">
            <v>1</v>
          </cell>
        </row>
        <row r="4988">
          <cell r="A4988" t="str">
            <v>MC</v>
          </cell>
          <cell r="B4988" t="str">
            <v>B2C</v>
          </cell>
          <cell r="C4988" t="str">
            <v>SH</v>
          </cell>
          <cell r="D4988" t="str">
            <v>1405</v>
          </cell>
          <cell r="E4988" t="str">
            <v>NPL</v>
          </cell>
          <cell r="F4988">
            <v>2</v>
          </cell>
          <cell r="G4988" t="str">
            <v>CB132108000HVR</v>
          </cell>
          <cell r="H4988">
            <v>0.5</v>
          </cell>
          <cell r="I4988" t="str">
            <v>75mm</v>
          </cell>
          <cell r="J4988">
            <v>1</v>
          </cell>
          <cell r="K4988">
            <v>1</v>
          </cell>
        </row>
        <row r="4989">
          <cell r="A4989" t="str">
            <v>MC</v>
          </cell>
          <cell r="B4989" t="str">
            <v>B2C</v>
          </cell>
          <cell r="C4989" t="str">
            <v>SH</v>
          </cell>
          <cell r="D4989" t="str">
            <v>1405</v>
          </cell>
          <cell r="E4989" t="str">
            <v>NPL</v>
          </cell>
          <cell r="F4989">
            <v>2</v>
          </cell>
          <cell r="G4989" t="str">
            <v>CB132108000HWL</v>
          </cell>
          <cell r="H4989">
            <v>0.5</v>
          </cell>
          <cell r="I4989" t="str">
            <v>150mm</v>
          </cell>
          <cell r="J4989">
            <v>1</v>
          </cell>
          <cell r="K4989">
            <v>1</v>
          </cell>
        </row>
        <row r="4990">
          <cell r="A4990" t="str">
            <v>MC</v>
          </cell>
          <cell r="B4990" t="str">
            <v>B2C</v>
          </cell>
          <cell r="C4990" t="str">
            <v>SH</v>
          </cell>
          <cell r="D4990" t="str">
            <v>1000</v>
          </cell>
          <cell r="E4990" t="str">
            <v>NPL</v>
          </cell>
          <cell r="F4990">
            <v>2</v>
          </cell>
          <cell r="G4990" t="str">
            <v>CB132108000HWL</v>
          </cell>
          <cell r="H4990">
            <v>0.5</v>
          </cell>
          <cell r="I4990" t="str">
            <v>150mm</v>
          </cell>
          <cell r="J4990">
            <v>1</v>
          </cell>
          <cell r="K4990">
            <v>1</v>
          </cell>
        </row>
        <row r="4991">
          <cell r="A4991" t="str">
            <v>MC</v>
          </cell>
          <cell r="B4991" t="str">
            <v>B2C</v>
          </cell>
          <cell r="C4991" t="str">
            <v>SH</v>
          </cell>
          <cell r="D4991" t="str">
            <v>1260</v>
          </cell>
          <cell r="E4991" t="str">
            <v>NPL</v>
          </cell>
          <cell r="F4991">
            <v>2</v>
          </cell>
          <cell r="G4991" t="str">
            <v>CB132108000HWL</v>
          </cell>
          <cell r="H4991">
            <v>0.5</v>
          </cell>
          <cell r="I4991" t="str">
            <v>150mm</v>
          </cell>
          <cell r="J4991">
            <v>1</v>
          </cell>
          <cell r="K4991">
            <v>1</v>
          </cell>
        </row>
        <row r="4992">
          <cell r="A4992" t="str">
            <v>MC</v>
          </cell>
          <cell r="B4992" t="str">
            <v>CA307</v>
          </cell>
          <cell r="C4992" t="str">
            <v>HCL</v>
          </cell>
          <cell r="D4992" t="str">
            <v>1100</v>
          </cell>
          <cell r="E4992" t="str">
            <v>NPL</v>
          </cell>
          <cell r="F4992">
            <v>2</v>
          </cell>
          <cell r="G4992" t="str">
            <v>CB132108000HVR</v>
          </cell>
          <cell r="H4992">
            <v>0.5</v>
          </cell>
          <cell r="I4992" t="str">
            <v>75mm</v>
          </cell>
          <cell r="J4992">
            <v>1</v>
          </cell>
          <cell r="K4992">
            <v>1</v>
          </cell>
        </row>
        <row r="4993">
          <cell r="A4993" t="str">
            <v>MC</v>
          </cell>
          <cell r="B4993" t="str">
            <v>CA307</v>
          </cell>
          <cell r="C4993" t="str">
            <v>HCL</v>
          </cell>
          <cell r="D4993" t="str">
            <v>1100</v>
          </cell>
          <cell r="E4993" t="str">
            <v>NPL</v>
          </cell>
          <cell r="F4993">
            <v>2</v>
          </cell>
          <cell r="G4993" t="str">
            <v>CB132108000HWL</v>
          </cell>
          <cell r="H4993">
            <v>0.5</v>
          </cell>
          <cell r="I4993" t="str">
            <v>150mm</v>
          </cell>
          <cell r="J4993">
            <v>1</v>
          </cell>
          <cell r="K4993">
            <v>1</v>
          </cell>
        </row>
        <row r="4994">
          <cell r="A4994" t="str">
            <v>MC</v>
          </cell>
          <cell r="B4994" t="str">
            <v>CA304</v>
          </cell>
          <cell r="C4994" t="str">
            <v>MC</v>
          </cell>
          <cell r="D4994" t="str">
            <v>2501</v>
          </cell>
          <cell r="E4994" t="str">
            <v>NPL</v>
          </cell>
          <cell r="F4994">
            <v>2</v>
          </cell>
          <cell r="G4994" t="str">
            <v>CB132108000HVR</v>
          </cell>
          <cell r="H4994">
            <v>0.5</v>
          </cell>
          <cell r="I4994" t="str">
            <v>75mm</v>
          </cell>
          <cell r="J4994">
            <v>1</v>
          </cell>
          <cell r="K4994">
            <v>1</v>
          </cell>
        </row>
        <row r="4995">
          <cell r="A4995" t="str">
            <v>MC</v>
          </cell>
          <cell r="B4995" t="str">
            <v>CA304</v>
          </cell>
          <cell r="C4995" t="str">
            <v>MC</v>
          </cell>
          <cell r="D4995" t="str">
            <v>2501</v>
          </cell>
          <cell r="E4995" t="str">
            <v>NPL</v>
          </cell>
          <cell r="F4995">
            <v>2</v>
          </cell>
          <cell r="G4995" t="str">
            <v>CB132108000HWL</v>
          </cell>
          <cell r="H4995">
            <v>0.5</v>
          </cell>
          <cell r="I4995" t="str">
            <v>150mm</v>
          </cell>
          <cell r="J4995">
            <v>1</v>
          </cell>
          <cell r="K4995">
            <v>1</v>
          </cell>
        </row>
        <row r="4996">
          <cell r="A4996" t="str">
            <v>MC</v>
          </cell>
          <cell r="B4996" t="str">
            <v>CA304</v>
          </cell>
          <cell r="C4996" t="str">
            <v>MC</v>
          </cell>
          <cell r="D4996" t="str">
            <v>2505</v>
          </cell>
          <cell r="E4996" t="str">
            <v>NPL</v>
          </cell>
          <cell r="F4996">
            <v>2</v>
          </cell>
          <cell r="G4996" t="str">
            <v>CB132108000HVR</v>
          </cell>
          <cell r="H4996">
            <v>0.5</v>
          </cell>
          <cell r="I4996" t="str">
            <v>75mm</v>
          </cell>
          <cell r="J4996">
            <v>1</v>
          </cell>
          <cell r="K4996">
            <v>1</v>
          </cell>
        </row>
        <row r="4997">
          <cell r="A4997" t="str">
            <v>MC</v>
          </cell>
          <cell r="B4997" t="str">
            <v>CA304</v>
          </cell>
          <cell r="C4997" t="str">
            <v>MC</v>
          </cell>
          <cell r="D4997" t="str">
            <v>2505</v>
          </cell>
          <cell r="E4997" t="str">
            <v>NPL</v>
          </cell>
          <cell r="F4997">
            <v>2</v>
          </cell>
          <cell r="G4997" t="str">
            <v>CB132108000HWL</v>
          </cell>
          <cell r="H4997">
            <v>0.5</v>
          </cell>
          <cell r="I4997" t="str">
            <v>150mm</v>
          </cell>
          <cell r="J4997">
            <v>1</v>
          </cell>
          <cell r="K4997">
            <v>1</v>
          </cell>
        </row>
        <row r="4998">
          <cell r="A4998" t="str">
            <v>MC</v>
          </cell>
          <cell r="B4998" t="str">
            <v>BA305</v>
          </cell>
          <cell r="C4998" t="str">
            <v>MOH</v>
          </cell>
          <cell r="D4998" t="str">
            <v>2112</v>
          </cell>
          <cell r="E4998" t="str">
            <v>NPL</v>
          </cell>
          <cell r="F4998">
            <v>2</v>
          </cell>
          <cell r="G4998" t="str">
            <v>CB132108000HVR</v>
          </cell>
          <cell r="H4998">
            <v>0.5</v>
          </cell>
          <cell r="I4998" t="str">
            <v>75mm</v>
          </cell>
          <cell r="J4998">
            <v>1</v>
          </cell>
          <cell r="K4998">
            <v>1</v>
          </cell>
        </row>
        <row r="4999">
          <cell r="A4999" t="str">
            <v>MC</v>
          </cell>
          <cell r="B4999" t="str">
            <v>CA304</v>
          </cell>
          <cell r="C4999" t="str">
            <v>MC</v>
          </cell>
          <cell r="D4999" t="str">
            <v>2610</v>
          </cell>
          <cell r="E4999" t="str">
            <v>NPL</v>
          </cell>
          <cell r="F4999">
            <v>2</v>
          </cell>
          <cell r="G4999" t="str">
            <v>CB132108000HWL</v>
          </cell>
          <cell r="H4999">
            <v>0.5</v>
          </cell>
          <cell r="I4999" t="str">
            <v>150mm</v>
          </cell>
          <cell r="J4999">
            <v>1</v>
          </cell>
          <cell r="K4999">
            <v>1</v>
          </cell>
        </row>
        <row r="5000">
          <cell r="A5000" t="str">
            <v>MC</v>
          </cell>
          <cell r="B5000" t="str">
            <v>CA304</v>
          </cell>
          <cell r="C5000" t="str">
            <v>MC</v>
          </cell>
          <cell r="D5000" t="str">
            <v>2610</v>
          </cell>
          <cell r="E5000" t="str">
            <v>NPL</v>
          </cell>
          <cell r="F5000">
            <v>2</v>
          </cell>
          <cell r="G5000" t="str">
            <v>CB132108000HVR</v>
          </cell>
          <cell r="H5000">
            <v>0.5</v>
          </cell>
          <cell r="I5000" t="str">
            <v>75mm</v>
          </cell>
          <cell r="J5000">
            <v>1</v>
          </cell>
          <cell r="K5000">
            <v>1</v>
          </cell>
        </row>
        <row r="5001">
          <cell r="A5001" t="str">
            <v>MC</v>
          </cell>
          <cell r="B5001" t="str">
            <v>BA305</v>
          </cell>
          <cell r="C5001" t="str">
            <v>MOH</v>
          </cell>
          <cell r="D5001" t="str">
            <v>2100</v>
          </cell>
          <cell r="E5001" t="str">
            <v>NPL</v>
          </cell>
          <cell r="F5001">
            <v>2</v>
          </cell>
          <cell r="G5001" t="str">
            <v>CB132108000HWL</v>
          </cell>
          <cell r="H5001">
            <v>0.5</v>
          </cell>
          <cell r="I5001" t="str">
            <v>150mm</v>
          </cell>
          <cell r="J5001">
            <v>1</v>
          </cell>
          <cell r="K5001">
            <v>1</v>
          </cell>
        </row>
        <row r="5002">
          <cell r="A5002" t="str">
            <v>MC</v>
          </cell>
          <cell r="B5002" t="str">
            <v>BA305</v>
          </cell>
          <cell r="C5002" t="str">
            <v>MOH</v>
          </cell>
          <cell r="D5002" t="str">
            <v>2100</v>
          </cell>
          <cell r="E5002" t="str">
            <v>NPL</v>
          </cell>
          <cell r="F5002">
            <v>2</v>
          </cell>
          <cell r="G5002" t="str">
            <v>CB132108000HVR</v>
          </cell>
          <cell r="H5002">
            <v>0.5</v>
          </cell>
          <cell r="I5002" t="str">
            <v>75mm</v>
          </cell>
          <cell r="J5002">
            <v>1</v>
          </cell>
          <cell r="K5002">
            <v>1</v>
          </cell>
        </row>
        <row r="5003">
          <cell r="A5003" t="str">
            <v>MC</v>
          </cell>
          <cell r="B5003" t="str">
            <v>BA305</v>
          </cell>
          <cell r="C5003" t="str">
            <v>MOH</v>
          </cell>
          <cell r="D5003" t="str">
            <v>2112</v>
          </cell>
          <cell r="E5003" t="str">
            <v>NPL</v>
          </cell>
          <cell r="F5003">
            <v>2</v>
          </cell>
          <cell r="G5003" t="str">
            <v>CB132108000HWL</v>
          </cell>
          <cell r="H5003">
            <v>0.5</v>
          </cell>
          <cell r="I5003" t="str">
            <v>150mm</v>
          </cell>
          <cell r="J5003">
            <v>1</v>
          </cell>
          <cell r="K5003">
            <v>1</v>
          </cell>
        </row>
        <row r="5004">
          <cell r="A5004" t="str">
            <v>MC</v>
          </cell>
          <cell r="B5004" t="str">
            <v>BA312</v>
          </cell>
          <cell r="C5004" t="str">
            <v>SA98</v>
          </cell>
          <cell r="D5004" t="str">
            <v>2411</v>
          </cell>
          <cell r="E5004" t="str">
            <v>NPL</v>
          </cell>
          <cell r="F5004">
            <v>2</v>
          </cell>
          <cell r="G5004" t="str">
            <v>CB132108000HVR</v>
          </cell>
          <cell r="H5004">
            <v>0.5</v>
          </cell>
          <cell r="I5004" t="str">
            <v>75mm</v>
          </cell>
          <cell r="J5004">
            <v>1</v>
          </cell>
          <cell r="K5004">
            <v>1</v>
          </cell>
        </row>
        <row r="5005">
          <cell r="A5005" t="str">
            <v>MC</v>
          </cell>
          <cell r="B5005" t="str">
            <v>BA312</v>
          </cell>
          <cell r="C5005" t="str">
            <v>SA98</v>
          </cell>
          <cell r="D5005" t="str">
            <v>2411</v>
          </cell>
          <cell r="E5005" t="str">
            <v>NPL</v>
          </cell>
          <cell r="F5005">
            <v>2</v>
          </cell>
          <cell r="G5005" t="str">
            <v>CB132108000HWL</v>
          </cell>
          <cell r="H5005">
            <v>0.5</v>
          </cell>
          <cell r="I5005" t="str">
            <v>150mm</v>
          </cell>
          <cell r="J5005">
            <v>1</v>
          </cell>
          <cell r="K5005">
            <v>1</v>
          </cell>
        </row>
        <row r="5006">
          <cell r="A5006" t="str">
            <v>MC</v>
          </cell>
          <cell r="B5006" t="str">
            <v>CA304</v>
          </cell>
          <cell r="C5006" t="str">
            <v>MC</v>
          </cell>
          <cell r="D5006" t="str">
            <v>2613</v>
          </cell>
          <cell r="E5006" t="str">
            <v>NPL</v>
          </cell>
          <cell r="F5006">
            <v>2</v>
          </cell>
          <cell r="G5006" t="str">
            <v>CB132108000HVR</v>
          </cell>
          <cell r="H5006">
            <v>0.5</v>
          </cell>
          <cell r="I5006" t="str">
            <v>75mm</v>
          </cell>
          <cell r="J5006">
            <v>1</v>
          </cell>
          <cell r="K5006">
            <v>1</v>
          </cell>
        </row>
        <row r="5007">
          <cell r="A5007" t="str">
            <v>MC</v>
          </cell>
          <cell r="B5007" t="str">
            <v>CA304</v>
          </cell>
          <cell r="C5007" t="str">
            <v>MC</v>
          </cell>
          <cell r="D5007" t="str">
            <v>2613</v>
          </cell>
          <cell r="E5007" t="str">
            <v>NPL</v>
          </cell>
          <cell r="F5007">
            <v>2</v>
          </cell>
          <cell r="G5007" t="str">
            <v>CB132108000HWL</v>
          </cell>
          <cell r="H5007">
            <v>0.5</v>
          </cell>
          <cell r="I5007" t="str">
            <v>150mm</v>
          </cell>
          <cell r="J5007">
            <v>1</v>
          </cell>
          <cell r="K5007">
            <v>1</v>
          </cell>
        </row>
        <row r="5008">
          <cell r="A5008" t="str">
            <v>MC</v>
          </cell>
          <cell r="B5008" t="str">
            <v>BA305</v>
          </cell>
          <cell r="C5008" t="str">
            <v>MOH</v>
          </cell>
          <cell r="D5008" t="str">
            <v>2101</v>
          </cell>
          <cell r="E5008" t="str">
            <v>NPL</v>
          </cell>
          <cell r="F5008">
            <v>2</v>
          </cell>
          <cell r="G5008" t="str">
            <v>CB132108000HVR</v>
          </cell>
          <cell r="H5008">
            <v>0.5</v>
          </cell>
          <cell r="I5008" t="str">
            <v>75mm</v>
          </cell>
          <cell r="J5008">
            <v>1</v>
          </cell>
          <cell r="K5008">
            <v>1</v>
          </cell>
        </row>
        <row r="5009">
          <cell r="A5009" t="str">
            <v>MC</v>
          </cell>
          <cell r="B5009" t="str">
            <v>BA305</v>
          </cell>
          <cell r="C5009" t="str">
            <v>MOH</v>
          </cell>
          <cell r="D5009" t="str">
            <v>2101</v>
          </cell>
          <cell r="E5009" t="str">
            <v>NPL</v>
          </cell>
          <cell r="F5009">
            <v>2</v>
          </cell>
          <cell r="G5009" t="str">
            <v>CB132108000HWL</v>
          </cell>
          <cell r="H5009">
            <v>0.5</v>
          </cell>
          <cell r="I5009" t="str">
            <v>150mm</v>
          </cell>
          <cell r="J5009">
            <v>1</v>
          </cell>
          <cell r="K5009">
            <v>1</v>
          </cell>
        </row>
        <row r="5010">
          <cell r="A5010" t="str">
            <v>MC</v>
          </cell>
          <cell r="B5010" t="str">
            <v>CA304</v>
          </cell>
          <cell r="C5010" t="str">
            <v>SCC</v>
          </cell>
          <cell r="D5010" t="str">
            <v>HOLD</v>
          </cell>
          <cell r="E5010" t="str">
            <v>TEE</v>
          </cell>
          <cell r="F5010">
            <v>2</v>
          </cell>
          <cell r="G5010" t="str">
            <v>CB400300000H00</v>
          </cell>
          <cell r="H5010">
            <v>0.5</v>
          </cell>
          <cell r="I5010" t="str">
            <v>--</v>
          </cell>
          <cell r="J5010">
            <v>2</v>
          </cell>
          <cell r="K5010">
            <v>2</v>
          </cell>
        </row>
        <row r="5011">
          <cell r="A5011" t="str">
            <v>MC</v>
          </cell>
          <cell r="B5011" t="str">
            <v>CA304</v>
          </cell>
          <cell r="C5011" t="str">
            <v>MC</v>
          </cell>
          <cell r="D5011" t="str">
            <v>HOLD</v>
          </cell>
          <cell r="E5011" t="str">
            <v>90 ELL</v>
          </cell>
          <cell r="F5011">
            <v>2</v>
          </cell>
          <cell r="G5011" t="str">
            <v>CB400100000H00</v>
          </cell>
          <cell r="H5011">
            <v>0.5</v>
          </cell>
          <cell r="I5011" t="str">
            <v>--</v>
          </cell>
          <cell r="J5011">
            <v>6</v>
          </cell>
          <cell r="K5011">
            <v>6</v>
          </cell>
        </row>
        <row r="5012">
          <cell r="A5012" t="str">
            <v>MC</v>
          </cell>
          <cell r="B5012" t="str">
            <v>CA304</v>
          </cell>
          <cell r="C5012" t="str">
            <v>MC</v>
          </cell>
          <cell r="D5012" t="str">
            <v>2604</v>
          </cell>
          <cell r="E5012" t="str">
            <v>NPL</v>
          </cell>
          <cell r="F5012">
            <v>2</v>
          </cell>
          <cell r="G5012" t="str">
            <v>CB132108000HVR</v>
          </cell>
          <cell r="H5012">
            <v>0.5</v>
          </cell>
          <cell r="I5012" t="str">
            <v>75mm</v>
          </cell>
          <cell r="J5012">
            <v>1</v>
          </cell>
          <cell r="K5012">
            <v>1</v>
          </cell>
        </row>
        <row r="5013">
          <cell r="A5013" t="str">
            <v>MC</v>
          </cell>
          <cell r="B5013" t="str">
            <v>CA304</v>
          </cell>
          <cell r="C5013" t="str">
            <v>MC</v>
          </cell>
          <cell r="D5013" t="str">
            <v>2604</v>
          </cell>
          <cell r="E5013" t="str">
            <v>NPL</v>
          </cell>
          <cell r="F5013">
            <v>2</v>
          </cell>
          <cell r="G5013" t="str">
            <v>CB132108000HWL</v>
          </cell>
          <cell r="H5013">
            <v>0.5</v>
          </cell>
          <cell r="I5013" t="str">
            <v>150mm</v>
          </cell>
          <cell r="J5013">
            <v>1</v>
          </cell>
          <cell r="K5013">
            <v>1</v>
          </cell>
        </row>
        <row r="5014">
          <cell r="A5014" t="str">
            <v>MC</v>
          </cell>
          <cell r="B5014" t="str">
            <v>CA304</v>
          </cell>
          <cell r="C5014" t="str">
            <v>MC</v>
          </cell>
          <cell r="D5014" t="str">
            <v>2504</v>
          </cell>
          <cell r="E5014" t="str">
            <v>NPL</v>
          </cell>
          <cell r="F5014">
            <v>2</v>
          </cell>
          <cell r="G5014" t="str">
            <v>CB132108000HVR</v>
          </cell>
          <cell r="H5014">
            <v>0.5</v>
          </cell>
          <cell r="I5014" t="str">
            <v>75mm</v>
          </cell>
          <cell r="J5014">
            <v>1</v>
          </cell>
          <cell r="K5014">
            <v>1</v>
          </cell>
        </row>
        <row r="5015">
          <cell r="A5015" t="str">
            <v>MC</v>
          </cell>
          <cell r="B5015" t="str">
            <v>CA304</v>
          </cell>
          <cell r="C5015" t="str">
            <v>MC</v>
          </cell>
          <cell r="D5015" t="str">
            <v>2504</v>
          </cell>
          <cell r="E5015" t="str">
            <v>NPL</v>
          </cell>
          <cell r="F5015">
            <v>2</v>
          </cell>
          <cell r="G5015" t="str">
            <v>CB132108000HWL</v>
          </cell>
          <cell r="H5015">
            <v>0.5</v>
          </cell>
          <cell r="I5015" t="str">
            <v>150mm</v>
          </cell>
          <cell r="J5015">
            <v>1</v>
          </cell>
          <cell r="K5015">
            <v>1</v>
          </cell>
        </row>
        <row r="5016">
          <cell r="A5016" t="str">
            <v>MC</v>
          </cell>
          <cell r="B5016" t="str">
            <v>CA304</v>
          </cell>
          <cell r="C5016" t="str">
            <v>MC</v>
          </cell>
          <cell r="D5016" t="str">
            <v>HOLD</v>
          </cell>
          <cell r="E5016" t="str">
            <v>TEE</v>
          </cell>
          <cell r="F5016">
            <v>2</v>
          </cell>
          <cell r="G5016" t="str">
            <v>CB400300000H00</v>
          </cell>
          <cell r="H5016">
            <v>0.5</v>
          </cell>
          <cell r="I5016" t="str">
            <v>--</v>
          </cell>
          <cell r="J5016">
            <v>1</v>
          </cell>
          <cell r="K5016">
            <v>1</v>
          </cell>
        </row>
        <row r="5017">
          <cell r="A5017" t="str">
            <v>MC</v>
          </cell>
          <cell r="B5017" t="str">
            <v>CA304</v>
          </cell>
          <cell r="C5017" t="str">
            <v>SC1</v>
          </cell>
          <cell r="D5017" t="str">
            <v>HOLD</v>
          </cell>
          <cell r="E5017" t="str">
            <v>CAP</v>
          </cell>
          <cell r="F5017">
            <v>2</v>
          </cell>
          <cell r="G5017" t="str">
            <v>CB520700000H00</v>
          </cell>
          <cell r="H5017">
            <v>0.5</v>
          </cell>
          <cell r="I5017" t="str">
            <v>--</v>
          </cell>
          <cell r="J5017">
            <v>3</v>
          </cell>
          <cell r="K5017">
            <v>3</v>
          </cell>
        </row>
        <row r="5018">
          <cell r="A5018" t="str">
            <v>MC</v>
          </cell>
          <cell r="B5018" t="str">
            <v>CA304</v>
          </cell>
          <cell r="C5018" t="str">
            <v>SC1</v>
          </cell>
          <cell r="D5018" t="str">
            <v>HOLD</v>
          </cell>
          <cell r="E5018" t="str">
            <v>CPLG</v>
          </cell>
          <cell r="F5018">
            <v>2</v>
          </cell>
          <cell r="G5018" t="str">
            <v>CB400500000H00</v>
          </cell>
          <cell r="H5018">
            <v>0.5</v>
          </cell>
          <cell r="I5018" t="str">
            <v>--</v>
          </cell>
          <cell r="J5018">
            <v>3</v>
          </cell>
          <cell r="K5018">
            <v>3</v>
          </cell>
        </row>
        <row r="5019">
          <cell r="A5019" t="str">
            <v>MC</v>
          </cell>
          <cell r="B5019" t="str">
            <v>CA304</v>
          </cell>
          <cell r="C5019" t="str">
            <v>SC1</v>
          </cell>
          <cell r="D5019" t="str">
            <v>HOLD</v>
          </cell>
          <cell r="E5019" t="str">
            <v>NPL</v>
          </cell>
          <cell r="F5019">
            <v>2</v>
          </cell>
          <cell r="G5019" t="str">
            <v>CB132308000HVR</v>
          </cell>
          <cell r="H5019">
            <v>0.5</v>
          </cell>
          <cell r="I5019" t="str">
            <v>75mm</v>
          </cell>
          <cell r="J5019">
            <v>3</v>
          </cell>
          <cell r="K5019">
            <v>3</v>
          </cell>
        </row>
        <row r="5020">
          <cell r="A5020" t="str">
            <v>MC</v>
          </cell>
          <cell r="B5020" t="str">
            <v>B2C</v>
          </cell>
          <cell r="C5020" t="str">
            <v>SH</v>
          </cell>
          <cell r="D5020" t="str">
            <v>1260</v>
          </cell>
          <cell r="E5020" t="str">
            <v>90 ELL</v>
          </cell>
          <cell r="F5020">
            <v>2</v>
          </cell>
          <cell r="G5020" t="str">
            <v>CB400100000T00</v>
          </cell>
          <cell r="H5020">
            <v>0.75</v>
          </cell>
          <cell r="I5020" t="str">
            <v>--</v>
          </cell>
          <cell r="J5020">
            <v>1</v>
          </cell>
          <cell r="K5020">
            <v>1</v>
          </cell>
        </row>
        <row r="5021">
          <cell r="A5021" t="str">
            <v>MC</v>
          </cell>
          <cell r="B5021" t="str">
            <v>B2C</v>
          </cell>
          <cell r="C5021" t="str">
            <v>SH</v>
          </cell>
          <cell r="D5021" t="str">
            <v>1360</v>
          </cell>
          <cell r="E5021" t="str">
            <v>90 ELL</v>
          </cell>
          <cell r="F5021">
            <v>2</v>
          </cell>
          <cell r="G5021" t="str">
            <v>CB400100000T00</v>
          </cell>
          <cell r="H5021">
            <v>0.75</v>
          </cell>
          <cell r="I5021" t="str">
            <v>--</v>
          </cell>
          <cell r="J5021">
            <v>1</v>
          </cell>
          <cell r="K5021">
            <v>1</v>
          </cell>
        </row>
        <row r="5022">
          <cell r="A5022" t="str">
            <v>MC</v>
          </cell>
          <cell r="B5022" t="str">
            <v>B2C</v>
          </cell>
          <cell r="C5022" t="str">
            <v>SH</v>
          </cell>
          <cell r="D5022" t="str">
            <v>1460</v>
          </cell>
          <cell r="E5022" t="str">
            <v>90 ELL</v>
          </cell>
          <cell r="F5022">
            <v>2</v>
          </cell>
          <cell r="G5022" t="str">
            <v>CB400100000T00</v>
          </cell>
          <cell r="H5022">
            <v>0.75</v>
          </cell>
          <cell r="I5022" t="str">
            <v>--</v>
          </cell>
          <cell r="J5022">
            <v>1</v>
          </cell>
          <cell r="K5022">
            <v>1</v>
          </cell>
        </row>
        <row r="5023">
          <cell r="A5023" t="str">
            <v>MC</v>
          </cell>
          <cell r="B5023" t="str">
            <v>B2C</v>
          </cell>
          <cell r="C5023" t="str">
            <v>SH</v>
          </cell>
          <cell r="D5023" t="str">
            <v>1405</v>
          </cell>
          <cell r="E5023" t="str">
            <v>90 ELL</v>
          </cell>
          <cell r="F5023">
            <v>2</v>
          </cell>
          <cell r="G5023" t="str">
            <v>CB400100000T00</v>
          </cell>
          <cell r="H5023">
            <v>0.75</v>
          </cell>
          <cell r="I5023" t="str">
            <v>--</v>
          </cell>
          <cell r="J5023">
            <v>1</v>
          </cell>
          <cell r="K5023">
            <v>1</v>
          </cell>
        </row>
        <row r="5024">
          <cell r="A5024" t="str">
            <v>MC</v>
          </cell>
          <cell r="B5024" t="str">
            <v>B2C</v>
          </cell>
          <cell r="C5024" t="str">
            <v>SH</v>
          </cell>
          <cell r="D5024" t="str">
            <v>1000</v>
          </cell>
          <cell r="E5024" t="str">
            <v>CAP</v>
          </cell>
          <cell r="F5024">
            <v>2</v>
          </cell>
          <cell r="G5024" t="str">
            <v>CB520700000T00</v>
          </cell>
          <cell r="H5024">
            <v>0.75</v>
          </cell>
          <cell r="I5024" t="str">
            <v>--</v>
          </cell>
          <cell r="J5024">
            <v>2</v>
          </cell>
          <cell r="K5024">
            <v>2</v>
          </cell>
        </row>
        <row r="5025">
          <cell r="A5025" t="str">
            <v>MC</v>
          </cell>
          <cell r="B5025" t="str">
            <v>B2C</v>
          </cell>
          <cell r="C5025" t="str">
            <v>SH</v>
          </cell>
          <cell r="D5025" t="str">
            <v>1360</v>
          </cell>
          <cell r="E5025" t="str">
            <v>CAP</v>
          </cell>
          <cell r="F5025">
            <v>2</v>
          </cell>
          <cell r="G5025" t="str">
            <v>CB520700000T00</v>
          </cell>
          <cell r="H5025">
            <v>0.75</v>
          </cell>
          <cell r="I5025" t="str">
            <v>--</v>
          </cell>
          <cell r="J5025">
            <v>1</v>
          </cell>
          <cell r="K5025">
            <v>1</v>
          </cell>
        </row>
        <row r="5026">
          <cell r="A5026" t="str">
            <v>MC</v>
          </cell>
          <cell r="B5026" t="str">
            <v>B2C</v>
          </cell>
          <cell r="C5026" t="str">
            <v>SH</v>
          </cell>
          <cell r="D5026" t="str">
            <v>1460</v>
          </cell>
          <cell r="E5026" t="str">
            <v>CAP</v>
          </cell>
          <cell r="F5026">
            <v>2</v>
          </cell>
          <cell r="G5026" t="str">
            <v>CB520700000T00</v>
          </cell>
          <cell r="H5026">
            <v>0.75</v>
          </cell>
          <cell r="I5026" t="str">
            <v>--</v>
          </cell>
          <cell r="J5026">
            <v>2</v>
          </cell>
          <cell r="K5026">
            <v>2</v>
          </cell>
        </row>
        <row r="5027">
          <cell r="A5027" t="str">
            <v>MC</v>
          </cell>
          <cell r="B5027" t="str">
            <v>B2C</v>
          </cell>
          <cell r="C5027" t="str">
            <v>SH</v>
          </cell>
          <cell r="D5027" t="str">
            <v>1260</v>
          </cell>
          <cell r="E5027" t="str">
            <v>CAP</v>
          </cell>
          <cell r="F5027">
            <v>2</v>
          </cell>
          <cell r="G5027" t="str">
            <v>CB520700000T00</v>
          </cell>
          <cell r="H5027">
            <v>0.75</v>
          </cell>
          <cell r="I5027" t="str">
            <v>--</v>
          </cell>
          <cell r="J5027">
            <v>2</v>
          </cell>
          <cell r="K5027">
            <v>2</v>
          </cell>
        </row>
        <row r="5028">
          <cell r="A5028" t="str">
            <v>MC</v>
          </cell>
          <cell r="B5028" t="str">
            <v>B2C</v>
          </cell>
          <cell r="C5028" t="str">
            <v>SH</v>
          </cell>
          <cell r="D5028" t="str">
            <v>1405</v>
          </cell>
          <cell r="E5028" t="str">
            <v>CAP</v>
          </cell>
          <cell r="F5028">
            <v>2</v>
          </cell>
          <cell r="G5028" t="str">
            <v>CB520700000T00</v>
          </cell>
          <cell r="H5028">
            <v>0.75</v>
          </cell>
          <cell r="I5028" t="str">
            <v>--</v>
          </cell>
          <cell r="J5028">
            <v>1</v>
          </cell>
          <cell r="K5028">
            <v>1</v>
          </cell>
        </row>
        <row r="5029">
          <cell r="A5029" t="str">
            <v>MC</v>
          </cell>
          <cell r="B5029" t="str">
            <v>B2C</v>
          </cell>
          <cell r="C5029" t="str">
            <v>SH</v>
          </cell>
          <cell r="D5029" t="str">
            <v>1260</v>
          </cell>
          <cell r="E5029" t="str">
            <v>NPL</v>
          </cell>
          <cell r="F5029">
            <v>2</v>
          </cell>
          <cell r="G5029" t="str">
            <v>CB132108000TVR</v>
          </cell>
          <cell r="H5029">
            <v>0.75</v>
          </cell>
          <cell r="I5029" t="str">
            <v>75mm</v>
          </cell>
          <cell r="J5029">
            <v>3</v>
          </cell>
          <cell r="K5029">
            <v>3</v>
          </cell>
        </row>
        <row r="5030">
          <cell r="A5030" t="str">
            <v>MC</v>
          </cell>
          <cell r="B5030" t="str">
            <v>B2C</v>
          </cell>
          <cell r="C5030" t="str">
            <v>SH</v>
          </cell>
          <cell r="D5030" t="str">
            <v>1360</v>
          </cell>
          <cell r="E5030" t="str">
            <v>NPL</v>
          </cell>
          <cell r="F5030">
            <v>2</v>
          </cell>
          <cell r="G5030" t="str">
            <v>CB132308000TVR</v>
          </cell>
          <cell r="H5030">
            <v>0.75</v>
          </cell>
          <cell r="I5030" t="str">
            <v>75mm</v>
          </cell>
          <cell r="J5030">
            <v>1</v>
          </cell>
          <cell r="K5030">
            <v>1</v>
          </cell>
        </row>
        <row r="5031">
          <cell r="A5031" t="str">
            <v>MC</v>
          </cell>
          <cell r="B5031" t="str">
            <v>B2C</v>
          </cell>
          <cell r="C5031" t="str">
            <v>SH</v>
          </cell>
          <cell r="D5031" t="str">
            <v>1460</v>
          </cell>
          <cell r="E5031" t="str">
            <v>NPL</v>
          </cell>
          <cell r="F5031">
            <v>2</v>
          </cell>
          <cell r="G5031" t="str">
            <v>CB132108000TVR</v>
          </cell>
          <cell r="H5031">
            <v>0.75</v>
          </cell>
          <cell r="I5031" t="str">
            <v>75mm</v>
          </cell>
          <cell r="J5031">
            <v>3</v>
          </cell>
          <cell r="K5031">
            <v>3</v>
          </cell>
        </row>
        <row r="5032">
          <cell r="A5032" t="str">
            <v>MC</v>
          </cell>
          <cell r="B5032" t="str">
            <v>B2C</v>
          </cell>
          <cell r="C5032" t="str">
            <v>SH</v>
          </cell>
          <cell r="D5032" t="str">
            <v>1360</v>
          </cell>
          <cell r="E5032" t="str">
            <v>NPL</v>
          </cell>
          <cell r="F5032">
            <v>2</v>
          </cell>
          <cell r="G5032" t="str">
            <v>CB132108000TVR</v>
          </cell>
          <cell r="H5032">
            <v>0.75</v>
          </cell>
          <cell r="I5032" t="str">
            <v>75mm</v>
          </cell>
          <cell r="J5032">
            <v>1</v>
          </cell>
          <cell r="K5032">
            <v>1</v>
          </cell>
        </row>
        <row r="5033">
          <cell r="A5033" t="str">
            <v>MC</v>
          </cell>
          <cell r="B5033" t="str">
            <v>B2C</v>
          </cell>
          <cell r="C5033" t="str">
            <v>SH</v>
          </cell>
          <cell r="D5033" t="str">
            <v>1405</v>
          </cell>
          <cell r="E5033" t="str">
            <v>NPL</v>
          </cell>
          <cell r="F5033">
            <v>2</v>
          </cell>
          <cell r="G5033" t="str">
            <v>CB132108000TVR</v>
          </cell>
          <cell r="H5033">
            <v>0.75</v>
          </cell>
          <cell r="I5033" t="str">
            <v>75mm</v>
          </cell>
          <cell r="J5033">
            <v>3</v>
          </cell>
          <cell r="K5033">
            <v>3</v>
          </cell>
        </row>
        <row r="5034">
          <cell r="A5034" t="str">
            <v>MC</v>
          </cell>
          <cell r="B5034" t="str">
            <v>B2C</v>
          </cell>
          <cell r="C5034" t="str">
            <v>SH</v>
          </cell>
          <cell r="D5034" t="str">
            <v>1405</v>
          </cell>
          <cell r="E5034" t="str">
            <v>NPL</v>
          </cell>
          <cell r="F5034">
            <v>2</v>
          </cell>
          <cell r="G5034" t="str">
            <v>CB132308000TVR</v>
          </cell>
          <cell r="H5034">
            <v>0.75</v>
          </cell>
          <cell r="I5034" t="str">
            <v>75mm</v>
          </cell>
          <cell r="J5034">
            <v>1</v>
          </cell>
          <cell r="K5034">
            <v>1</v>
          </cell>
        </row>
        <row r="5035">
          <cell r="A5035" t="str">
            <v>MC</v>
          </cell>
          <cell r="B5035" t="str">
            <v>B2C</v>
          </cell>
          <cell r="C5035" t="str">
            <v>SH</v>
          </cell>
          <cell r="D5035" t="str">
            <v>1460</v>
          </cell>
          <cell r="E5035" t="str">
            <v>NPL</v>
          </cell>
          <cell r="F5035">
            <v>2</v>
          </cell>
          <cell r="G5035" t="str">
            <v>CB132308000TVR</v>
          </cell>
          <cell r="H5035">
            <v>0.75</v>
          </cell>
          <cell r="I5035" t="str">
            <v>75mm</v>
          </cell>
          <cell r="J5035">
            <v>2</v>
          </cell>
          <cell r="K5035">
            <v>2</v>
          </cell>
        </row>
        <row r="5036">
          <cell r="A5036" t="str">
            <v>MC</v>
          </cell>
          <cell r="B5036" t="str">
            <v>B2C</v>
          </cell>
          <cell r="C5036" t="str">
            <v>SH</v>
          </cell>
          <cell r="D5036" t="str">
            <v>1000</v>
          </cell>
          <cell r="E5036" t="str">
            <v>NPL</v>
          </cell>
          <cell r="F5036">
            <v>2</v>
          </cell>
          <cell r="G5036" t="str">
            <v>CB132108000TVR</v>
          </cell>
          <cell r="H5036">
            <v>0.75</v>
          </cell>
          <cell r="I5036" t="str">
            <v>75mm</v>
          </cell>
          <cell r="J5036">
            <v>6</v>
          </cell>
          <cell r="K5036">
            <v>6</v>
          </cell>
        </row>
        <row r="5037">
          <cell r="A5037" t="str">
            <v>MC</v>
          </cell>
          <cell r="B5037" t="str">
            <v>B2C</v>
          </cell>
          <cell r="C5037" t="str">
            <v>SH</v>
          </cell>
          <cell r="D5037" t="str">
            <v>1000</v>
          </cell>
          <cell r="E5037" t="str">
            <v>NPL</v>
          </cell>
          <cell r="F5037">
            <v>2</v>
          </cell>
          <cell r="G5037" t="str">
            <v>CB132308000TVR</v>
          </cell>
          <cell r="H5037">
            <v>0.75</v>
          </cell>
          <cell r="I5037" t="str">
            <v>75mm</v>
          </cell>
          <cell r="J5037">
            <v>2</v>
          </cell>
          <cell r="K5037">
            <v>2</v>
          </cell>
        </row>
        <row r="5038">
          <cell r="A5038" t="str">
            <v>MC</v>
          </cell>
          <cell r="B5038" t="str">
            <v>B2C</v>
          </cell>
          <cell r="C5038" t="str">
            <v>SH</v>
          </cell>
          <cell r="D5038" t="str">
            <v>1260</v>
          </cell>
          <cell r="E5038" t="str">
            <v>NPL</v>
          </cell>
          <cell r="F5038">
            <v>2</v>
          </cell>
          <cell r="G5038" t="str">
            <v>CB132308000TVR</v>
          </cell>
          <cell r="H5038">
            <v>0.75</v>
          </cell>
          <cell r="I5038" t="str">
            <v>75mm</v>
          </cell>
          <cell r="J5038">
            <v>2</v>
          </cell>
          <cell r="K5038">
            <v>2</v>
          </cell>
        </row>
        <row r="5039">
          <cell r="A5039" t="str">
            <v>MC</v>
          </cell>
          <cell r="B5039" t="str">
            <v>CA304</v>
          </cell>
          <cell r="C5039" t="str">
            <v>CMC</v>
          </cell>
          <cell r="D5039" t="str">
            <v>HOLD</v>
          </cell>
          <cell r="E5039" t="str">
            <v>90 ELL</v>
          </cell>
          <cell r="F5039">
            <v>2</v>
          </cell>
          <cell r="G5039" t="str">
            <v>CB400100000T00</v>
          </cell>
          <cell r="H5039">
            <v>0.75</v>
          </cell>
          <cell r="I5039" t="str">
            <v>--</v>
          </cell>
          <cell r="J5039">
            <v>2</v>
          </cell>
          <cell r="K5039">
            <v>2</v>
          </cell>
        </row>
        <row r="5040">
          <cell r="A5040" t="str">
            <v>MC</v>
          </cell>
          <cell r="B5040" t="str">
            <v>CA304</v>
          </cell>
          <cell r="C5040" t="str">
            <v>CMC</v>
          </cell>
          <cell r="D5040" t="str">
            <v>HOLD</v>
          </cell>
          <cell r="E5040" t="str">
            <v>90 ELL</v>
          </cell>
          <cell r="F5040">
            <v>2</v>
          </cell>
          <cell r="G5040" t="str">
            <v>CB400100000T00</v>
          </cell>
          <cell r="H5040">
            <v>0.75</v>
          </cell>
          <cell r="I5040" t="str">
            <v>--</v>
          </cell>
          <cell r="J5040">
            <v>2</v>
          </cell>
          <cell r="K5040">
            <v>2</v>
          </cell>
        </row>
        <row r="5041">
          <cell r="A5041" t="str">
            <v>MC</v>
          </cell>
          <cell r="B5041" t="str">
            <v>CA304</v>
          </cell>
          <cell r="C5041" t="str">
            <v>CMC</v>
          </cell>
          <cell r="D5041" t="str">
            <v>HOLD</v>
          </cell>
          <cell r="E5041" t="str">
            <v>90 ELL</v>
          </cell>
          <cell r="F5041">
            <v>2</v>
          </cell>
          <cell r="G5041" t="str">
            <v>CB400100000T00</v>
          </cell>
          <cell r="H5041">
            <v>0.75</v>
          </cell>
          <cell r="I5041" t="str">
            <v>--</v>
          </cell>
          <cell r="J5041">
            <v>4</v>
          </cell>
          <cell r="K5041">
            <v>4</v>
          </cell>
        </row>
        <row r="5042">
          <cell r="A5042" t="str">
            <v>MC</v>
          </cell>
          <cell r="B5042" t="str">
            <v>CA304</v>
          </cell>
          <cell r="C5042" t="str">
            <v>TRIM</v>
          </cell>
          <cell r="D5042" t="str">
            <v>E-1261</v>
          </cell>
          <cell r="E5042" t="str">
            <v>90 ELL</v>
          </cell>
          <cell r="F5042">
            <v>2</v>
          </cell>
          <cell r="G5042" t="str">
            <v>CB400100000T00</v>
          </cell>
          <cell r="H5042">
            <v>0.75</v>
          </cell>
          <cell r="I5042" t="str">
            <v>--</v>
          </cell>
          <cell r="J5042">
            <v>1</v>
          </cell>
          <cell r="K5042">
            <v>1</v>
          </cell>
        </row>
        <row r="5043">
          <cell r="A5043" t="str">
            <v>MC</v>
          </cell>
          <cell r="B5043" t="str">
            <v>CA304</v>
          </cell>
          <cell r="C5043" t="str">
            <v>SCC</v>
          </cell>
          <cell r="D5043" t="str">
            <v>HOLD</v>
          </cell>
          <cell r="E5043" t="str">
            <v>C SWG</v>
          </cell>
          <cell r="F5043">
            <v>2</v>
          </cell>
          <cell r="G5043" t="str">
            <v>CB161308080T0Q</v>
          </cell>
          <cell r="H5043">
            <v>0.75</v>
          </cell>
          <cell r="I5043">
            <v>0.25</v>
          </cell>
          <cell r="J5043">
            <v>4</v>
          </cell>
          <cell r="K5043">
            <v>4</v>
          </cell>
        </row>
        <row r="5044">
          <cell r="A5044" t="str">
            <v>MC</v>
          </cell>
          <cell r="B5044" t="str">
            <v>CA304</v>
          </cell>
          <cell r="C5044" t="str">
            <v>CMC</v>
          </cell>
          <cell r="D5044" t="str">
            <v>HOLD</v>
          </cell>
          <cell r="E5044" t="str">
            <v>CAP</v>
          </cell>
          <cell r="F5044">
            <v>2</v>
          </cell>
          <cell r="G5044" t="str">
            <v>CB520700000T00</v>
          </cell>
          <cell r="H5044">
            <v>0.75</v>
          </cell>
          <cell r="I5044" t="str">
            <v>--</v>
          </cell>
          <cell r="J5044">
            <v>1</v>
          </cell>
          <cell r="K5044">
            <v>1</v>
          </cell>
        </row>
        <row r="5045">
          <cell r="A5045" t="str">
            <v>MC</v>
          </cell>
          <cell r="B5045" t="str">
            <v>CA304</v>
          </cell>
          <cell r="C5045" t="str">
            <v>CMC</v>
          </cell>
          <cell r="D5045" t="str">
            <v>HOLD</v>
          </cell>
          <cell r="E5045" t="str">
            <v>CAP</v>
          </cell>
          <cell r="F5045">
            <v>2</v>
          </cell>
          <cell r="G5045" t="str">
            <v>CB520700000T00</v>
          </cell>
          <cell r="H5045">
            <v>0.75</v>
          </cell>
          <cell r="I5045" t="str">
            <v>--</v>
          </cell>
          <cell r="J5045">
            <v>1</v>
          </cell>
          <cell r="K5045">
            <v>1</v>
          </cell>
        </row>
        <row r="5046">
          <cell r="A5046" t="str">
            <v>MC</v>
          </cell>
          <cell r="B5046" t="str">
            <v>CA304</v>
          </cell>
          <cell r="C5046" t="str">
            <v>CMC</v>
          </cell>
          <cell r="D5046" t="str">
            <v>HOLD</v>
          </cell>
          <cell r="E5046" t="str">
            <v>CAP</v>
          </cell>
          <cell r="F5046">
            <v>2</v>
          </cell>
          <cell r="G5046" t="str">
            <v>CB520700000T00</v>
          </cell>
          <cell r="H5046">
            <v>0.75</v>
          </cell>
          <cell r="I5046" t="str">
            <v>--</v>
          </cell>
          <cell r="J5046">
            <v>2</v>
          </cell>
          <cell r="K5046">
            <v>2</v>
          </cell>
        </row>
        <row r="5047">
          <cell r="A5047" t="str">
            <v>MC</v>
          </cell>
          <cell r="B5047" t="str">
            <v>CA307</v>
          </cell>
          <cell r="C5047" t="str">
            <v>HCL</v>
          </cell>
          <cell r="D5047" t="str">
            <v>1100</v>
          </cell>
          <cell r="E5047" t="str">
            <v>CAP</v>
          </cell>
          <cell r="F5047">
            <v>2</v>
          </cell>
          <cell r="G5047" t="str">
            <v>CB520700000T00</v>
          </cell>
          <cell r="H5047">
            <v>0.75</v>
          </cell>
          <cell r="I5047" t="str">
            <v>--</v>
          </cell>
          <cell r="J5047">
            <v>2</v>
          </cell>
          <cell r="K5047">
            <v>2</v>
          </cell>
        </row>
        <row r="5048">
          <cell r="A5048" t="str">
            <v>MC</v>
          </cell>
          <cell r="B5048" t="str">
            <v>CA304</v>
          </cell>
          <cell r="C5048" t="str">
            <v>MC</v>
          </cell>
          <cell r="D5048" t="str">
            <v>2410</v>
          </cell>
          <cell r="E5048" t="str">
            <v>CAP</v>
          </cell>
          <cell r="F5048">
            <v>2</v>
          </cell>
          <cell r="G5048" t="str">
            <v>CB520700000T00</v>
          </cell>
          <cell r="H5048">
            <v>0.75</v>
          </cell>
          <cell r="I5048" t="str">
            <v>--</v>
          </cell>
          <cell r="J5048">
            <v>1</v>
          </cell>
          <cell r="K5048">
            <v>1</v>
          </cell>
        </row>
        <row r="5049">
          <cell r="A5049" t="str">
            <v>MC</v>
          </cell>
          <cell r="B5049" t="str">
            <v>CA304</v>
          </cell>
          <cell r="C5049" t="str">
            <v>MC</v>
          </cell>
          <cell r="D5049" t="str">
            <v>2607</v>
          </cell>
          <cell r="E5049" t="str">
            <v>CAP</v>
          </cell>
          <cell r="F5049">
            <v>2</v>
          </cell>
          <cell r="G5049" t="str">
            <v>CB520700000T00</v>
          </cell>
          <cell r="H5049">
            <v>0.75</v>
          </cell>
          <cell r="I5049" t="str">
            <v>--</v>
          </cell>
          <cell r="J5049">
            <v>1</v>
          </cell>
          <cell r="K5049">
            <v>1</v>
          </cell>
        </row>
        <row r="5050">
          <cell r="A5050" t="str">
            <v>MC</v>
          </cell>
          <cell r="B5050" t="str">
            <v>CA304</v>
          </cell>
          <cell r="C5050" t="str">
            <v>MC</v>
          </cell>
          <cell r="D5050" t="str">
            <v>2612</v>
          </cell>
          <cell r="E5050" t="str">
            <v>CAP</v>
          </cell>
          <cell r="F5050">
            <v>2</v>
          </cell>
          <cell r="G5050" t="str">
            <v>CB520700000T00</v>
          </cell>
          <cell r="H5050">
            <v>0.75</v>
          </cell>
          <cell r="I5050" t="str">
            <v>--</v>
          </cell>
          <cell r="J5050">
            <v>3</v>
          </cell>
          <cell r="K5050">
            <v>3</v>
          </cell>
        </row>
        <row r="5051">
          <cell r="A5051" t="str">
            <v>MC</v>
          </cell>
          <cell r="B5051" t="str">
            <v>BA305</v>
          </cell>
          <cell r="C5051" t="str">
            <v>MOH</v>
          </cell>
          <cell r="D5051" t="str">
            <v>2002</v>
          </cell>
          <cell r="E5051" t="str">
            <v>CAP</v>
          </cell>
          <cell r="F5051">
            <v>2</v>
          </cell>
          <cell r="G5051" t="str">
            <v>CB520700000T00</v>
          </cell>
          <cell r="H5051">
            <v>0.75</v>
          </cell>
          <cell r="I5051" t="str">
            <v>--</v>
          </cell>
          <cell r="J5051">
            <v>1</v>
          </cell>
          <cell r="K5051">
            <v>1</v>
          </cell>
        </row>
        <row r="5052">
          <cell r="A5052" t="str">
            <v>MC</v>
          </cell>
          <cell r="B5052" t="str">
            <v>BA305</v>
          </cell>
          <cell r="C5052" t="str">
            <v>MOH</v>
          </cell>
          <cell r="D5052" t="str">
            <v>2100</v>
          </cell>
          <cell r="E5052" t="str">
            <v>CAP</v>
          </cell>
          <cell r="F5052">
            <v>2</v>
          </cell>
          <cell r="G5052" t="str">
            <v>CB520700000T00</v>
          </cell>
          <cell r="H5052">
            <v>0.75</v>
          </cell>
          <cell r="I5052" t="str">
            <v>--</v>
          </cell>
          <cell r="J5052">
            <v>1</v>
          </cell>
          <cell r="K5052">
            <v>1</v>
          </cell>
        </row>
        <row r="5053">
          <cell r="A5053" t="str">
            <v>MC</v>
          </cell>
          <cell r="B5053" t="str">
            <v>BA305</v>
          </cell>
          <cell r="C5053" t="str">
            <v>MOH</v>
          </cell>
          <cell r="D5053" t="str">
            <v>2101</v>
          </cell>
          <cell r="E5053" t="str">
            <v>CAP</v>
          </cell>
          <cell r="F5053">
            <v>2</v>
          </cell>
          <cell r="G5053" t="str">
            <v>CB520700000T00</v>
          </cell>
          <cell r="H5053">
            <v>0.75</v>
          </cell>
          <cell r="I5053" t="str">
            <v>--</v>
          </cell>
          <cell r="J5053">
            <v>2</v>
          </cell>
          <cell r="K5053">
            <v>2</v>
          </cell>
        </row>
        <row r="5054">
          <cell r="A5054" t="str">
            <v>MC</v>
          </cell>
          <cell r="B5054" t="str">
            <v>BA305</v>
          </cell>
          <cell r="C5054" t="str">
            <v>MOH</v>
          </cell>
          <cell r="D5054" t="str">
            <v>2112</v>
          </cell>
          <cell r="E5054" t="str">
            <v>CAP</v>
          </cell>
          <cell r="F5054">
            <v>2</v>
          </cell>
          <cell r="G5054" t="str">
            <v>CB520700000T00</v>
          </cell>
          <cell r="H5054">
            <v>0.75</v>
          </cell>
          <cell r="I5054" t="str">
            <v>--</v>
          </cell>
          <cell r="J5054">
            <v>1</v>
          </cell>
          <cell r="K5054">
            <v>1</v>
          </cell>
        </row>
        <row r="5055">
          <cell r="A5055" t="str">
            <v>MC</v>
          </cell>
          <cell r="B5055" t="str">
            <v>CA304</v>
          </cell>
          <cell r="C5055" t="str">
            <v>TRIM</v>
          </cell>
          <cell r="D5055" t="str">
            <v>F-1251</v>
          </cell>
          <cell r="E5055" t="str">
            <v>CAP</v>
          </cell>
          <cell r="F5055">
            <v>2</v>
          </cell>
          <cell r="G5055" t="str">
            <v>CB520700000T00</v>
          </cell>
          <cell r="H5055">
            <v>0.75</v>
          </cell>
          <cell r="I5055" t="str">
            <v>--</v>
          </cell>
          <cell r="J5055">
            <v>2</v>
          </cell>
          <cell r="K5055">
            <v>2</v>
          </cell>
        </row>
        <row r="5056">
          <cell r="A5056" t="str">
            <v>MC</v>
          </cell>
          <cell r="B5056" t="str">
            <v>BA302</v>
          </cell>
          <cell r="C5056" t="str">
            <v>SD20</v>
          </cell>
          <cell r="D5056" t="str">
            <v>2301</v>
          </cell>
          <cell r="E5056" t="str">
            <v>CAP</v>
          </cell>
          <cell r="F5056">
            <v>2</v>
          </cell>
          <cell r="G5056" t="str">
            <v>CB520700000T00</v>
          </cell>
          <cell r="H5056">
            <v>0.75</v>
          </cell>
          <cell r="I5056" t="str">
            <v>--</v>
          </cell>
          <cell r="J5056">
            <v>2</v>
          </cell>
          <cell r="K5056">
            <v>2</v>
          </cell>
        </row>
        <row r="5057">
          <cell r="A5057" t="str">
            <v>MC</v>
          </cell>
          <cell r="B5057" t="str">
            <v>CA304</v>
          </cell>
          <cell r="C5057" t="str">
            <v>VT</v>
          </cell>
          <cell r="D5057" t="str">
            <v>HOLD</v>
          </cell>
          <cell r="E5057" t="str">
            <v>CAP</v>
          </cell>
          <cell r="F5057">
            <v>2</v>
          </cell>
          <cell r="G5057" t="str">
            <v>CB520700000T00</v>
          </cell>
          <cell r="H5057">
            <v>0.75</v>
          </cell>
          <cell r="I5057" t="str">
            <v>--</v>
          </cell>
          <cell r="J5057">
            <v>4</v>
          </cell>
          <cell r="K5057">
            <v>4</v>
          </cell>
        </row>
        <row r="5058">
          <cell r="A5058" t="str">
            <v>MC</v>
          </cell>
          <cell r="B5058" t="str">
            <v>CA304</v>
          </cell>
          <cell r="C5058" t="str">
            <v>TRIM</v>
          </cell>
          <cell r="D5058" t="str">
            <v>E-1260</v>
          </cell>
          <cell r="E5058" t="str">
            <v>CAP</v>
          </cell>
          <cell r="F5058">
            <v>2</v>
          </cell>
          <cell r="G5058" t="str">
            <v>CB520700000T00</v>
          </cell>
          <cell r="H5058">
            <v>0.75</v>
          </cell>
          <cell r="I5058" t="str">
            <v>--</v>
          </cell>
          <cell r="J5058">
            <v>1</v>
          </cell>
          <cell r="K5058">
            <v>1</v>
          </cell>
        </row>
        <row r="5059">
          <cell r="A5059" t="str">
            <v>MC</v>
          </cell>
          <cell r="B5059" t="str">
            <v>CA304</v>
          </cell>
          <cell r="C5059" t="str">
            <v>MC</v>
          </cell>
          <cell r="D5059" t="str">
            <v>2506</v>
          </cell>
          <cell r="E5059" t="str">
            <v>CAP</v>
          </cell>
          <cell r="F5059">
            <v>2</v>
          </cell>
          <cell r="G5059" t="str">
            <v>CB520700000T00</v>
          </cell>
          <cell r="H5059">
            <v>0.75</v>
          </cell>
          <cell r="I5059" t="str">
            <v>--</v>
          </cell>
          <cell r="J5059">
            <v>1</v>
          </cell>
          <cell r="K5059">
            <v>1</v>
          </cell>
        </row>
        <row r="5060">
          <cell r="A5060" t="str">
            <v>MC</v>
          </cell>
          <cell r="B5060" t="str">
            <v>CA304</v>
          </cell>
          <cell r="C5060" t="str">
            <v>MC</v>
          </cell>
          <cell r="D5060" t="str">
            <v>2601</v>
          </cell>
          <cell r="E5060" t="str">
            <v>CAP</v>
          </cell>
          <cell r="F5060">
            <v>2</v>
          </cell>
          <cell r="G5060" t="str">
            <v>CB520700000T00</v>
          </cell>
          <cell r="H5060">
            <v>0.75</v>
          </cell>
          <cell r="I5060" t="str">
            <v>--</v>
          </cell>
          <cell r="J5060">
            <v>1</v>
          </cell>
          <cell r="K5060">
            <v>1</v>
          </cell>
        </row>
        <row r="5061">
          <cell r="A5061" t="str">
            <v>MC</v>
          </cell>
          <cell r="B5061" t="str">
            <v>CA304</v>
          </cell>
          <cell r="C5061" t="str">
            <v>MC</v>
          </cell>
          <cell r="D5061" t="str">
            <v>2609</v>
          </cell>
          <cell r="E5061" t="str">
            <v>CAP</v>
          </cell>
          <cell r="F5061">
            <v>2</v>
          </cell>
          <cell r="G5061" t="str">
            <v>CB520700000T00</v>
          </cell>
          <cell r="H5061">
            <v>0.75</v>
          </cell>
          <cell r="I5061" t="str">
            <v>--</v>
          </cell>
          <cell r="J5061">
            <v>1</v>
          </cell>
          <cell r="K5061">
            <v>1</v>
          </cell>
        </row>
        <row r="5062">
          <cell r="A5062" t="str">
            <v>MC</v>
          </cell>
          <cell r="B5062" t="str">
            <v>BA305</v>
          </cell>
          <cell r="C5062" t="str">
            <v>MOH</v>
          </cell>
          <cell r="D5062" t="str">
            <v>2100</v>
          </cell>
          <cell r="E5062" t="str">
            <v>CPLG</v>
          </cell>
          <cell r="F5062">
            <v>2</v>
          </cell>
          <cell r="G5062" t="str">
            <v>CB400500000T00</v>
          </cell>
          <cell r="H5062">
            <v>0.75</v>
          </cell>
          <cell r="I5062" t="str">
            <v>--</v>
          </cell>
          <cell r="J5062">
            <v>1</v>
          </cell>
          <cell r="K5062">
            <v>1</v>
          </cell>
        </row>
        <row r="5063">
          <cell r="A5063" t="str">
            <v>MC</v>
          </cell>
          <cell r="B5063" t="str">
            <v>CA307</v>
          </cell>
          <cell r="C5063" t="str">
            <v>HCL</v>
          </cell>
          <cell r="D5063" t="str">
            <v>1100</v>
          </cell>
          <cell r="E5063" t="str">
            <v>NPL</v>
          </cell>
          <cell r="F5063">
            <v>2</v>
          </cell>
          <cell r="G5063" t="str">
            <v>CB132308000TVR</v>
          </cell>
          <cell r="H5063">
            <v>0.75</v>
          </cell>
          <cell r="I5063" t="str">
            <v>75mm</v>
          </cell>
          <cell r="J5063">
            <v>2</v>
          </cell>
          <cell r="K5063">
            <v>2</v>
          </cell>
        </row>
        <row r="5064">
          <cell r="A5064" t="str">
            <v>MC</v>
          </cell>
          <cell r="B5064" t="str">
            <v>CA304</v>
          </cell>
          <cell r="C5064" t="str">
            <v>MC</v>
          </cell>
          <cell r="D5064" t="str">
            <v>2606</v>
          </cell>
          <cell r="E5064" t="str">
            <v>NPL</v>
          </cell>
          <cell r="F5064">
            <v>2</v>
          </cell>
          <cell r="G5064" t="str">
            <v>CB132108000TVR</v>
          </cell>
          <cell r="H5064">
            <v>0.75</v>
          </cell>
          <cell r="I5064" t="str">
            <v>75mm</v>
          </cell>
          <cell r="J5064">
            <v>1</v>
          </cell>
          <cell r="K5064">
            <v>1</v>
          </cell>
        </row>
        <row r="5065">
          <cell r="A5065" t="str">
            <v>MC</v>
          </cell>
          <cell r="B5065" t="str">
            <v>BA302</v>
          </cell>
          <cell r="C5065" t="str">
            <v>SD20</v>
          </cell>
          <cell r="D5065" t="str">
            <v>2301</v>
          </cell>
          <cell r="E5065" t="str">
            <v>NPL</v>
          </cell>
          <cell r="F5065">
            <v>2</v>
          </cell>
          <cell r="G5065" t="str">
            <v>CB132308000TVR</v>
          </cell>
          <cell r="H5065">
            <v>0.75</v>
          </cell>
          <cell r="I5065" t="str">
            <v>75mm</v>
          </cell>
          <cell r="J5065">
            <v>2</v>
          </cell>
          <cell r="K5065">
            <v>2</v>
          </cell>
        </row>
        <row r="5066">
          <cell r="A5066" t="str">
            <v>MC</v>
          </cell>
          <cell r="B5066" t="str">
            <v>CA304</v>
          </cell>
          <cell r="C5066" t="str">
            <v>TRIM</v>
          </cell>
          <cell r="D5066" t="str">
            <v>F-1251</v>
          </cell>
          <cell r="E5066" t="str">
            <v>NPL</v>
          </cell>
          <cell r="F5066">
            <v>2</v>
          </cell>
          <cell r="G5066" t="str">
            <v>CB132308000TVR</v>
          </cell>
          <cell r="H5066">
            <v>0.75</v>
          </cell>
          <cell r="I5066" t="str">
            <v>75mm</v>
          </cell>
          <cell r="J5066">
            <v>2</v>
          </cell>
          <cell r="K5066">
            <v>2</v>
          </cell>
        </row>
        <row r="5067">
          <cell r="A5067" t="str">
            <v>MC</v>
          </cell>
          <cell r="B5067" t="str">
            <v>CA304</v>
          </cell>
          <cell r="C5067" t="str">
            <v>VT</v>
          </cell>
          <cell r="D5067" t="str">
            <v>HOLD</v>
          </cell>
          <cell r="E5067" t="str">
            <v>NPL</v>
          </cell>
          <cell r="F5067">
            <v>2</v>
          </cell>
          <cell r="G5067" t="str">
            <v>CB132308000TVR</v>
          </cell>
          <cell r="H5067">
            <v>0.75</v>
          </cell>
          <cell r="I5067" t="str">
            <v>75mm</v>
          </cell>
          <cell r="J5067">
            <v>4</v>
          </cell>
          <cell r="K5067">
            <v>4</v>
          </cell>
        </row>
        <row r="5068">
          <cell r="A5068" t="str">
            <v>MC</v>
          </cell>
          <cell r="B5068" t="str">
            <v>CA304</v>
          </cell>
          <cell r="C5068" t="str">
            <v>TRIM</v>
          </cell>
          <cell r="D5068" t="str">
            <v>E-1260</v>
          </cell>
          <cell r="E5068" t="str">
            <v>NPL</v>
          </cell>
          <cell r="F5068">
            <v>2</v>
          </cell>
          <cell r="G5068" t="str">
            <v>CB132308000TVR</v>
          </cell>
          <cell r="H5068">
            <v>0.75</v>
          </cell>
          <cell r="I5068" t="str">
            <v>75mm</v>
          </cell>
          <cell r="J5068">
            <v>1</v>
          </cell>
          <cell r="K5068">
            <v>1</v>
          </cell>
        </row>
        <row r="5069">
          <cell r="A5069" t="str">
            <v>MC</v>
          </cell>
          <cell r="B5069" t="str">
            <v>CA304</v>
          </cell>
          <cell r="C5069" t="str">
            <v>SCC</v>
          </cell>
          <cell r="D5069" t="str">
            <v>HOLD</v>
          </cell>
          <cell r="E5069" t="str">
            <v>R TEE</v>
          </cell>
          <cell r="F5069">
            <v>2</v>
          </cell>
          <cell r="G5069" t="str">
            <v>CB400400000T0H</v>
          </cell>
          <cell r="H5069">
            <v>0.75</v>
          </cell>
          <cell r="I5069">
            <v>0.5</v>
          </cell>
          <cell r="J5069">
            <v>2</v>
          </cell>
          <cell r="K5069">
            <v>2</v>
          </cell>
        </row>
        <row r="5070">
          <cell r="A5070" t="str">
            <v>MC</v>
          </cell>
          <cell r="B5070" t="str">
            <v>CA304</v>
          </cell>
          <cell r="C5070" t="str">
            <v>CMC</v>
          </cell>
          <cell r="D5070" t="str">
            <v>HOLD</v>
          </cell>
          <cell r="E5070" t="str">
            <v>TEE</v>
          </cell>
          <cell r="F5070">
            <v>2</v>
          </cell>
          <cell r="G5070" t="str">
            <v>CB400300000T00</v>
          </cell>
          <cell r="H5070">
            <v>0.75</v>
          </cell>
          <cell r="I5070" t="str">
            <v>--</v>
          </cell>
          <cell r="J5070">
            <v>2</v>
          </cell>
          <cell r="K5070">
            <v>2</v>
          </cell>
        </row>
        <row r="5071">
          <cell r="A5071" t="str">
            <v>MC</v>
          </cell>
          <cell r="B5071" t="str">
            <v>CA304</v>
          </cell>
          <cell r="C5071" t="str">
            <v>CMC</v>
          </cell>
          <cell r="D5071" t="str">
            <v>HOLD</v>
          </cell>
          <cell r="E5071" t="str">
            <v>TEE</v>
          </cell>
          <cell r="F5071">
            <v>2</v>
          </cell>
          <cell r="G5071" t="str">
            <v>CB400300000T00</v>
          </cell>
          <cell r="H5071">
            <v>0.75</v>
          </cell>
          <cell r="I5071" t="str">
            <v>--</v>
          </cell>
          <cell r="J5071">
            <v>2</v>
          </cell>
          <cell r="K5071">
            <v>2</v>
          </cell>
        </row>
        <row r="5072">
          <cell r="A5072" t="str">
            <v>MC</v>
          </cell>
          <cell r="B5072" t="str">
            <v>CA304</v>
          </cell>
          <cell r="C5072" t="str">
            <v>CMC</v>
          </cell>
          <cell r="D5072" t="str">
            <v>HOLD</v>
          </cell>
          <cell r="E5072" t="str">
            <v>TEE</v>
          </cell>
          <cell r="F5072">
            <v>2</v>
          </cell>
          <cell r="G5072" t="str">
            <v>CB400300000T00</v>
          </cell>
          <cell r="H5072">
            <v>0.75</v>
          </cell>
          <cell r="I5072" t="str">
            <v>--</v>
          </cell>
          <cell r="J5072">
            <v>4</v>
          </cell>
          <cell r="K5072">
            <v>4</v>
          </cell>
        </row>
        <row r="5073">
          <cell r="A5073" t="str">
            <v>MC</v>
          </cell>
          <cell r="B5073" t="str">
            <v>CA304</v>
          </cell>
          <cell r="C5073" t="str">
            <v>MC</v>
          </cell>
          <cell r="D5073" t="str">
            <v>2607</v>
          </cell>
          <cell r="E5073" t="str">
            <v>TEE</v>
          </cell>
          <cell r="F5073">
            <v>2</v>
          </cell>
          <cell r="G5073" t="str">
            <v>CB400300000T00</v>
          </cell>
          <cell r="H5073">
            <v>0.75</v>
          </cell>
          <cell r="I5073" t="str">
            <v>--</v>
          </cell>
          <cell r="J5073">
            <v>1</v>
          </cell>
          <cell r="K5073">
            <v>1</v>
          </cell>
        </row>
        <row r="5074">
          <cell r="A5074" t="str">
            <v>MC</v>
          </cell>
          <cell r="B5074" t="str">
            <v>CA304</v>
          </cell>
          <cell r="C5074" t="str">
            <v>VT</v>
          </cell>
          <cell r="D5074" t="str">
            <v>HOLD</v>
          </cell>
          <cell r="E5074" t="str">
            <v>TEE</v>
          </cell>
          <cell r="F5074">
            <v>2</v>
          </cell>
          <cell r="G5074" t="str">
            <v>CB400300000T00</v>
          </cell>
          <cell r="H5074">
            <v>0.75</v>
          </cell>
          <cell r="I5074" t="str">
            <v>--</v>
          </cell>
          <cell r="J5074">
            <v>8</v>
          </cell>
          <cell r="K5074">
            <v>8</v>
          </cell>
        </row>
        <row r="5075">
          <cell r="A5075" t="str">
            <v>MC</v>
          </cell>
          <cell r="B5075" t="str">
            <v>CA304</v>
          </cell>
          <cell r="C5075" t="str">
            <v>TRIM</v>
          </cell>
          <cell r="D5075" t="str">
            <v>E-1261</v>
          </cell>
          <cell r="E5075" t="str">
            <v>TEE</v>
          </cell>
          <cell r="F5075">
            <v>2</v>
          </cell>
          <cell r="G5075" t="str">
            <v>CB400300000T00</v>
          </cell>
          <cell r="H5075">
            <v>0.75</v>
          </cell>
          <cell r="I5075" t="str">
            <v>--</v>
          </cell>
          <cell r="J5075">
            <v>1</v>
          </cell>
          <cell r="K5075">
            <v>1</v>
          </cell>
        </row>
        <row r="5076">
          <cell r="A5076" t="str">
            <v>MC</v>
          </cell>
          <cell r="B5076" t="str">
            <v>BA305</v>
          </cell>
          <cell r="C5076" t="str">
            <v>MOH</v>
          </cell>
          <cell r="D5076" t="str">
            <v>2000</v>
          </cell>
          <cell r="E5076" t="str">
            <v>90 ELL</v>
          </cell>
          <cell r="F5076">
            <v>2</v>
          </cell>
          <cell r="G5076" t="str">
            <v>CB400100000T00</v>
          </cell>
          <cell r="H5076">
            <v>0.75</v>
          </cell>
          <cell r="I5076" t="str">
            <v>--</v>
          </cell>
          <cell r="J5076">
            <v>4</v>
          </cell>
          <cell r="K5076">
            <v>4</v>
          </cell>
        </row>
        <row r="5077">
          <cell r="A5077" t="str">
            <v>MC</v>
          </cell>
          <cell r="B5077" t="str">
            <v>CA304</v>
          </cell>
          <cell r="C5077" t="str">
            <v>MC</v>
          </cell>
          <cell r="D5077" t="str">
            <v>2604</v>
          </cell>
          <cell r="E5077" t="str">
            <v>90 ELL</v>
          </cell>
          <cell r="F5077">
            <v>2</v>
          </cell>
          <cell r="G5077" t="str">
            <v>CB400100000T00</v>
          </cell>
          <cell r="H5077">
            <v>0.75</v>
          </cell>
          <cell r="I5077" t="str">
            <v>--</v>
          </cell>
          <cell r="J5077">
            <v>2</v>
          </cell>
          <cell r="K5077">
            <v>2</v>
          </cell>
        </row>
        <row r="5078">
          <cell r="A5078" t="str">
            <v>MC</v>
          </cell>
          <cell r="B5078" t="str">
            <v>CA304</v>
          </cell>
          <cell r="C5078" t="str">
            <v>MC</v>
          </cell>
          <cell r="D5078" t="str">
            <v>HOLD</v>
          </cell>
          <cell r="E5078" t="str">
            <v>90 ELL</v>
          </cell>
          <cell r="F5078">
            <v>2</v>
          </cell>
          <cell r="G5078" t="str">
            <v>CB400100000T00</v>
          </cell>
          <cell r="H5078">
            <v>0.75</v>
          </cell>
          <cell r="I5078" t="str">
            <v>--</v>
          </cell>
          <cell r="J5078">
            <v>4</v>
          </cell>
          <cell r="K5078">
            <v>4</v>
          </cell>
        </row>
        <row r="5079">
          <cell r="A5079" t="str">
            <v>MC</v>
          </cell>
          <cell r="B5079" t="str">
            <v>CA304</v>
          </cell>
          <cell r="C5079" t="str">
            <v>MC</v>
          </cell>
          <cell r="D5079" t="str">
            <v>HOLD</v>
          </cell>
          <cell r="E5079" t="str">
            <v>90 ELL</v>
          </cell>
          <cell r="F5079">
            <v>2</v>
          </cell>
          <cell r="G5079" t="str">
            <v>CB400100000T00</v>
          </cell>
          <cell r="H5079">
            <v>0.75</v>
          </cell>
          <cell r="I5079" t="str">
            <v>--</v>
          </cell>
          <cell r="J5079">
            <v>4</v>
          </cell>
          <cell r="K5079">
            <v>4</v>
          </cell>
        </row>
        <row r="5080">
          <cell r="A5080" t="str">
            <v>MC</v>
          </cell>
          <cell r="B5080" t="str">
            <v>CA304</v>
          </cell>
          <cell r="C5080" t="str">
            <v>MC</v>
          </cell>
          <cell r="D5080" t="str">
            <v>HOLD</v>
          </cell>
          <cell r="E5080" t="str">
            <v>90 ELL</v>
          </cell>
          <cell r="F5080">
            <v>2</v>
          </cell>
          <cell r="G5080" t="str">
            <v>CB400100000T00</v>
          </cell>
          <cell r="H5080">
            <v>0.75</v>
          </cell>
          <cell r="I5080" t="str">
            <v>--</v>
          </cell>
          <cell r="J5080">
            <v>4</v>
          </cell>
          <cell r="K5080">
            <v>4</v>
          </cell>
        </row>
        <row r="5081">
          <cell r="A5081" t="str">
            <v>MC</v>
          </cell>
          <cell r="B5081" t="str">
            <v>CA304</v>
          </cell>
          <cell r="C5081" t="str">
            <v>MC</v>
          </cell>
          <cell r="D5081" t="str">
            <v>HOLD</v>
          </cell>
          <cell r="E5081" t="str">
            <v>90 ELL</v>
          </cell>
          <cell r="F5081">
            <v>2</v>
          </cell>
          <cell r="G5081" t="str">
            <v>CB400100000T00</v>
          </cell>
          <cell r="H5081">
            <v>0.75</v>
          </cell>
          <cell r="I5081" t="str">
            <v>--</v>
          </cell>
          <cell r="J5081">
            <v>11</v>
          </cell>
          <cell r="K5081">
            <v>11</v>
          </cell>
        </row>
        <row r="5082">
          <cell r="A5082" t="str">
            <v>MC</v>
          </cell>
          <cell r="B5082" t="str">
            <v>CA304</v>
          </cell>
          <cell r="C5082" t="str">
            <v>MC</v>
          </cell>
          <cell r="D5082" t="str">
            <v>HOLD</v>
          </cell>
          <cell r="E5082" t="str">
            <v>90 ELL</v>
          </cell>
          <cell r="F5082">
            <v>2</v>
          </cell>
          <cell r="G5082" t="str">
            <v>CB400100000T00</v>
          </cell>
          <cell r="H5082">
            <v>0.75</v>
          </cell>
          <cell r="I5082" t="str">
            <v>--</v>
          </cell>
          <cell r="J5082">
            <v>4</v>
          </cell>
          <cell r="K5082">
            <v>4</v>
          </cell>
        </row>
        <row r="5083">
          <cell r="A5083" t="str">
            <v>MC</v>
          </cell>
          <cell r="B5083" t="str">
            <v>CA304</v>
          </cell>
          <cell r="C5083" t="str">
            <v>MC</v>
          </cell>
          <cell r="D5083" t="str">
            <v>2502</v>
          </cell>
          <cell r="E5083" t="str">
            <v>CAP</v>
          </cell>
          <cell r="F5083">
            <v>2</v>
          </cell>
          <cell r="G5083" t="str">
            <v>CB520700000T00</v>
          </cell>
          <cell r="H5083">
            <v>0.75</v>
          </cell>
          <cell r="I5083" t="str">
            <v>--</v>
          </cell>
          <cell r="J5083">
            <v>2</v>
          </cell>
          <cell r="K5083">
            <v>2</v>
          </cell>
        </row>
        <row r="5084">
          <cell r="A5084" t="str">
            <v>MC</v>
          </cell>
          <cell r="B5084" t="str">
            <v>CA304</v>
          </cell>
          <cell r="C5084" t="str">
            <v>MC</v>
          </cell>
          <cell r="D5084" t="str">
            <v>2502</v>
          </cell>
          <cell r="E5084" t="str">
            <v>CAP</v>
          </cell>
          <cell r="F5084">
            <v>2</v>
          </cell>
          <cell r="G5084" t="str">
            <v>CB520700000T00</v>
          </cell>
          <cell r="H5084">
            <v>0.75</v>
          </cell>
          <cell r="I5084" t="str">
            <v>--</v>
          </cell>
          <cell r="J5084">
            <v>1</v>
          </cell>
          <cell r="K5084">
            <v>1</v>
          </cell>
        </row>
        <row r="5085">
          <cell r="A5085" t="str">
            <v>MC</v>
          </cell>
          <cell r="B5085" t="str">
            <v>CA304</v>
          </cell>
          <cell r="C5085" t="str">
            <v>MC</v>
          </cell>
          <cell r="D5085" t="str">
            <v>2502</v>
          </cell>
          <cell r="E5085" t="str">
            <v>CAP</v>
          </cell>
          <cell r="F5085">
            <v>2</v>
          </cell>
          <cell r="G5085" t="str">
            <v>CB520700000T00</v>
          </cell>
          <cell r="H5085">
            <v>0.75</v>
          </cell>
          <cell r="I5085" t="str">
            <v>--</v>
          </cell>
          <cell r="J5085">
            <v>1</v>
          </cell>
          <cell r="K5085">
            <v>1</v>
          </cell>
        </row>
        <row r="5086">
          <cell r="A5086" t="str">
            <v>MC</v>
          </cell>
          <cell r="B5086" t="str">
            <v>CA304</v>
          </cell>
          <cell r="C5086" t="str">
            <v>MC</v>
          </cell>
          <cell r="D5086" t="str">
            <v>2502</v>
          </cell>
          <cell r="E5086" t="str">
            <v>CAP</v>
          </cell>
          <cell r="F5086">
            <v>2</v>
          </cell>
          <cell r="G5086" t="str">
            <v>CB520700000T00</v>
          </cell>
          <cell r="H5086">
            <v>0.75</v>
          </cell>
          <cell r="I5086" t="str">
            <v>--</v>
          </cell>
          <cell r="J5086">
            <v>2</v>
          </cell>
          <cell r="K5086">
            <v>2</v>
          </cell>
        </row>
        <row r="5087">
          <cell r="A5087" t="str">
            <v>MC</v>
          </cell>
          <cell r="B5087" t="str">
            <v>CA304</v>
          </cell>
          <cell r="C5087" t="str">
            <v>MC</v>
          </cell>
          <cell r="D5087" t="str">
            <v>HOLD</v>
          </cell>
          <cell r="E5087" t="str">
            <v>CAP</v>
          </cell>
          <cell r="F5087">
            <v>2</v>
          </cell>
          <cell r="G5087" t="str">
            <v>CB520700000T00</v>
          </cell>
          <cell r="H5087">
            <v>0.75</v>
          </cell>
          <cell r="I5087" t="str">
            <v>--</v>
          </cell>
          <cell r="J5087">
            <v>2</v>
          </cell>
          <cell r="K5087">
            <v>2</v>
          </cell>
        </row>
        <row r="5088">
          <cell r="A5088" t="str">
            <v>MC</v>
          </cell>
          <cell r="B5088" t="str">
            <v>CA304</v>
          </cell>
          <cell r="C5088" t="str">
            <v>MC</v>
          </cell>
          <cell r="D5088" t="str">
            <v>HOLD</v>
          </cell>
          <cell r="E5088" t="str">
            <v>CAP</v>
          </cell>
          <cell r="F5088">
            <v>2</v>
          </cell>
          <cell r="G5088" t="str">
            <v>CB520700000T00</v>
          </cell>
          <cell r="H5088">
            <v>0.75</v>
          </cell>
          <cell r="I5088" t="str">
            <v>--</v>
          </cell>
          <cell r="J5088">
            <v>2</v>
          </cell>
          <cell r="K5088">
            <v>2</v>
          </cell>
        </row>
        <row r="5089">
          <cell r="A5089" t="str">
            <v>MC</v>
          </cell>
          <cell r="B5089" t="str">
            <v>CA304</v>
          </cell>
          <cell r="C5089" t="str">
            <v>MC</v>
          </cell>
          <cell r="D5089" t="str">
            <v>HOLD</v>
          </cell>
          <cell r="E5089" t="str">
            <v>CAP</v>
          </cell>
          <cell r="F5089">
            <v>2</v>
          </cell>
          <cell r="G5089" t="str">
            <v>CB520700000T00</v>
          </cell>
          <cell r="H5089">
            <v>0.75</v>
          </cell>
          <cell r="I5089" t="str">
            <v>--</v>
          </cell>
          <cell r="J5089">
            <v>2</v>
          </cell>
          <cell r="K5089">
            <v>2</v>
          </cell>
        </row>
        <row r="5090">
          <cell r="A5090" t="str">
            <v>MC</v>
          </cell>
          <cell r="B5090" t="str">
            <v>CA304</v>
          </cell>
          <cell r="C5090" t="str">
            <v>MC</v>
          </cell>
          <cell r="D5090" t="str">
            <v>HOLD</v>
          </cell>
          <cell r="E5090" t="str">
            <v>CAP</v>
          </cell>
          <cell r="F5090">
            <v>2</v>
          </cell>
          <cell r="G5090" t="str">
            <v>CB520700000T00</v>
          </cell>
          <cell r="H5090">
            <v>0.75</v>
          </cell>
          <cell r="I5090" t="str">
            <v>--</v>
          </cell>
          <cell r="J5090">
            <v>2</v>
          </cell>
          <cell r="K5090">
            <v>2</v>
          </cell>
        </row>
        <row r="5091">
          <cell r="A5091" t="str">
            <v>MC</v>
          </cell>
          <cell r="B5091" t="str">
            <v>CA304</v>
          </cell>
          <cell r="C5091" t="str">
            <v>MC</v>
          </cell>
          <cell r="D5091" t="str">
            <v>2502</v>
          </cell>
          <cell r="E5091" t="str">
            <v>NPL</v>
          </cell>
          <cell r="F5091">
            <v>2</v>
          </cell>
          <cell r="G5091" t="str">
            <v>CB132308000TVR</v>
          </cell>
          <cell r="H5091">
            <v>0.75</v>
          </cell>
          <cell r="I5091" t="str">
            <v>75mm</v>
          </cell>
          <cell r="J5091">
            <v>4</v>
          </cell>
          <cell r="K5091">
            <v>4</v>
          </cell>
        </row>
        <row r="5092">
          <cell r="A5092" t="str">
            <v>MC</v>
          </cell>
          <cell r="B5092" t="str">
            <v>CA304</v>
          </cell>
          <cell r="C5092" t="str">
            <v>MC</v>
          </cell>
          <cell r="D5092" t="str">
            <v>2502</v>
          </cell>
          <cell r="E5092" t="str">
            <v>NPL</v>
          </cell>
          <cell r="F5092">
            <v>2</v>
          </cell>
          <cell r="G5092" t="str">
            <v>CB132308000TVR</v>
          </cell>
          <cell r="H5092">
            <v>0.75</v>
          </cell>
          <cell r="I5092" t="str">
            <v>75mm</v>
          </cell>
          <cell r="J5092">
            <v>2</v>
          </cell>
          <cell r="K5092">
            <v>2</v>
          </cell>
        </row>
        <row r="5093">
          <cell r="A5093" t="str">
            <v>MC</v>
          </cell>
          <cell r="B5093" t="str">
            <v>CA304</v>
          </cell>
          <cell r="C5093" t="str">
            <v>MC</v>
          </cell>
          <cell r="D5093" t="str">
            <v>2502</v>
          </cell>
          <cell r="E5093" t="str">
            <v>NPL</v>
          </cell>
          <cell r="F5093">
            <v>2</v>
          </cell>
          <cell r="G5093" t="str">
            <v>CB132308000TVR</v>
          </cell>
          <cell r="H5093">
            <v>0.75</v>
          </cell>
          <cell r="I5093" t="str">
            <v>75mm</v>
          </cell>
          <cell r="J5093">
            <v>2</v>
          </cell>
          <cell r="K5093">
            <v>2</v>
          </cell>
        </row>
        <row r="5094">
          <cell r="A5094" t="str">
            <v>MC</v>
          </cell>
          <cell r="B5094" t="str">
            <v>CA304</v>
          </cell>
          <cell r="C5094" t="str">
            <v>MC</v>
          </cell>
          <cell r="D5094" t="str">
            <v>2502</v>
          </cell>
          <cell r="E5094" t="str">
            <v>NPL</v>
          </cell>
          <cell r="F5094">
            <v>2</v>
          </cell>
          <cell r="G5094" t="str">
            <v>CB132308000TVR</v>
          </cell>
          <cell r="H5094">
            <v>0.75</v>
          </cell>
          <cell r="I5094" t="str">
            <v>75mm</v>
          </cell>
          <cell r="J5094">
            <v>4</v>
          </cell>
          <cell r="K5094">
            <v>4</v>
          </cell>
        </row>
        <row r="5095">
          <cell r="A5095" t="str">
            <v>MC</v>
          </cell>
          <cell r="B5095" t="str">
            <v>CA304</v>
          </cell>
          <cell r="C5095" t="str">
            <v>MC</v>
          </cell>
          <cell r="D5095" t="str">
            <v>HOLD</v>
          </cell>
          <cell r="E5095" t="str">
            <v>TEE</v>
          </cell>
          <cell r="F5095">
            <v>2</v>
          </cell>
          <cell r="G5095" t="str">
            <v>CB400300000T00</v>
          </cell>
          <cell r="H5095">
            <v>0.75</v>
          </cell>
          <cell r="I5095" t="str">
            <v>--</v>
          </cell>
          <cell r="J5095">
            <v>4</v>
          </cell>
          <cell r="K5095">
            <v>4</v>
          </cell>
        </row>
        <row r="5096">
          <cell r="A5096" t="str">
            <v>MC</v>
          </cell>
          <cell r="B5096" t="str">
            <v>CA304</v>
          </cell>
          <cell r="C5096" t="str">
            <v>MC</v>
          </cell>
          <cell r="D5096" t="str">
            <v>HOLD</v>
          </cell>
          <cell r="E5096" t="str">
            <v>TEE</v>
          </cell>
          <cell r="F5096">
            <v>2</v>
          </cell>
          <cell r="G5096" t="str">
            <v>CB400300000T00</v>
          </cell>
          <cell r="H5096">
            <v>0.75</v>
          </cell>
          <cell r="I5096" t="str">
            <v>--</v>
          </cell>
          <cell r="J5096">
            <v>4</v>
          </cell>
          <cell r="K5096">
            <v>4</v>
          </cell>
        </row>
        <row r="5097">
          <cell r="A5097" t="str">
            <v>MC</v>
          </cell>
          <cell r="B5097" t="str">
            <v>CA304</v>
          </cell>
          <cell r="C5097" t="str">
            <v>MC</v>
          </cell>
          <cell r="D5097" t="str">
            <v>HOLD</v>
          </cell>
          <cell r="E5097" t="str">
            <v>TEE</v>
          </cell>
          <cell r="F5097">
            <v>2</v>
          </cell>
          <cell r="G5097" t="str">
            <v>CB400300000T00</v>
          </cell>
          <cell r="H5097">
            <v>0.75</v>
          </cell>
          <cell r="I5097" t="str">
            <v>--</v>
          </cell>
          <cell r="J5097">
            <v>4</v>
          </cell>
          <cell r="K5097">
            <v>4</v>
          </cell>
        </row>
        <row r="5098">
          <cell r="A5098" t="str">
            <v>MC</v>
          </cell>
          <cell r="B5098" t="str">
            <v>CA304</v>
          </cell>
          <cell r="C5098" t="str">
            <v>MC</v>
          </cell>
          <cell r="D5098" t="str">
            <v>HOLD</v>
          </cell>
          <cell r="E5098" t="str">
            <v>TEE</v>
          </cell>
          <cell r="F5098">
            <v>2</v>
          </cell>
          <cell r="G5098" t="str">
            <v>CB400300000T00</v>
          </cell>
          <cell r="H5098">
            <v>0.75</v>
          </cell>
          <cell r="I5098" t="str">
            <v>--</v>
          </cell>
          <cell r="J5098">
            <v>2</v>
          </cell>
          <cell r="K5098">
            <v>2</v>
          </cell>
        </row>
        <row r="5099">
          <cell r="A5099" t="str">
            <v>MC</v>
          </cell>
          <cell r="B5099" t="str">
            <v>CA304</v>
          </cell>
          <cell r="C5099" t="str">
            <v>MC</v>
          </cell>
          <cell r="D5099" t="str">
            <v>HOLD</v>
          </cell>
          <cell r="E5099" t="str">
            <v>TEE</v>
          </cell>
          <cell r="F5099">
            <v>2</v>
          </cell>
          <cell r="G5099" t="str">
            <v>CB400300000T00</v>
          </cell>
          <cell r="H5099">
            <v>0.75</v>
          </cell>
          <cell r="I5099" t="str">
            <v>--</v>
          </cell>
          <cell r="J5099">
            <v>4</v>
          </cell>
          <cell r="K5099">
            <v>4</v>
          </cell>
        </row>
        <row r="5100">
          <cell r="A5100" t="str">
            <v>MC</v>
          </cell>
          <cell r="B5100" t="str">
            <v>CA304</v>
          </cell>
          <cell r="C5100" t="str">
            <v>SC1</v>
          </cell>
          <cell r="D5100" t="str">
            <v>HOLD</v>
          </cell>
          <cell r="E5100" t="str">
            <v>C SWG</v>
          </cell>
          <cell r="F5100">
            <v>2</v>
          </cell>
          <cell r="G5100" t="str">
            <v>CB161108080T0H</v>
          </cell>
          <cell r="H5100">
            <v>0.75</v>
          </cell>
          <cell r="I5100">
            <v>0.5</v>
          </cell>
          <cell r="J5100">
            <v>3</v>
          </cell>
          <cell r="K5100">
            <v>3</v>
          </cell>
        </row>
        <row r="5101">
          <cell r="A5101" t="str">
            <v>MC</v>
          </cell>
          <cell r="B5101" t="str">
            <v>CA304</v>
          </cell>
          <cell r="C5101" t="str">
            <v>MC</v>
          </cell>
          <cell r="D5101" t="str">
            <v>2605</v>
          </cell>
          <cell r="E5101" t="str">
            <v>90 ELL</v>
          </cell>
          <cell r="F5101">
            <v>2</v>
          </cell>
          <cell r="G5101" t="str">
            <v>CB400100000100</v>
          </cell>
          <cell r="H5101">
            <v>1</v>
          </cell>
          <cell r="I5101" t="str">
            <v>--</v>
          </cell>
          <cell r="J5101">
            <v>6</v>
          </cell>
          <cell r="K5101">
            <v>6</v>
          </cell>
        </row>
        <row r="5102">
          <cell r="A5102" t="str">
            <v>MC</v>
          </cell>
          <cell r="B5102" t="str">
            <v>CA304</v>
          </cell>
          <cell r="C5102" t="str">
            <v>MC</v>
          </cell>
          <cell r="D5102" t="str">
            <v>2609</v>
          </cell>
          <cell r="E5102" t="str">
            <v>90 ELL</v>
          </cell>
          <cell r="F5102">
            <v>2</v>
          </cell>
          <cell r="G5102" t="str">
            <v>CB400100000100</v>
          </cell>
          <cell r="H5102">
            <v>1</v>
          </cell>
          <cell r="I5102" t="str">
            <v>--</v>
          </cell>
          <cell r="J5102">
            <v>7</v>
          </cell>
          <cell r="K5102">
            <v>7</v>
          </cell>
        </row>
        <row r="5103">
          <cell r="A5103" t="str">
            <v>MC</v>
          </cell>
          <cell r="B5103" t="str">
            <v>BA305</v>
          </cell>
          <cell r="C5103" t="str">
            <v>MOH</v>
          </cell>
          <cell r="D5103" t="str">
            <v>2002</v>
          </cell>
          <cell r="E5103" t="str">
            <v>90 ELL</v>
          </cell>
          <cell r="F5103">
            <v>2</v>
          </cell>
          <cell r="G5103" t="str">
            <v>CB400100000100</v>
          </cell>
          <cell r="H5103">
            <v>1</v>
          </cell>
          <cell r="I5103" t="str">
            <v>--</v>
          </cell>
          <cell r="J5103">
            <v>6</v>
          </cell>
          <cell r="K5103">
            <v>6</v>
          </cell>
        </row>
        <row r="5104">
          <cell r="A5104" t="str">
            <v>MC</v>
          </cell>
          <cell r="B5104" t="str">
            <v>BA305</v>
          </cell>
          <cell r="C5104" t="str">
            <v>MOH</v>
          </cell>
          <cell r="D5104" t="str">
            <v>2100</v>
          </cell>
          <cell r="E5104" t="str">
            <v>90 ELL</v>
          </cell>
          <cell r="F5104">
            <v>2</v>
          </cell>
          <cell r="G5104" t="str">
            <v>CB400100000100</v>
          </cell>
          <cell r="H5104">
            <v>1</v>
          </cell>
          <cell r="I5104" t="str">
            <v>--</v>
          </cell>
          <cell r="J5104">
            <v>2</v>
          </cell>
          <cell r="K5104">
            <v>2</v>
          </cell>
        </row>
        <row r="5105">
          <cell r="A5105" t="str">
            <v>MC</v>
          </cell>
          <cell r="B5105" t="str">
            <v>BA305</v>
          </cell>
          <cell r="C5105" t="str">
            <v>MOH</v>
          </cell>
          <cell r="D5105" t="str">
            <v>2101</v>
          </cell>
          <cell r="E5105" t="str">
            <v>90 ELL</v>
          </cell>
          <cell r="F5105">
            <v>2</v>
          </cell>
          <cell r="G5105" t="str">
            <v>CB400100000100</v>
          </cell>
          <cell r="H5105">
            <v>1</v>
          </cell>
          <cell r="I5105" t="str">
            <v>--</v>
          </cell>
          <cell r="J5105">
            <v>6</v>
          </cell>
          <cell r="K5105">
            <v>6</v>
          </cell>
        </row>
        <row r="5106">
          <cell r="A5106" t="str">
            <v>MC</v>
          </cell>
          <cell r="B5106" t="str">
            <v>CA304</v>
          </cell>
          <cell r="C5106" t="str">
            <v>N</v>
          </cell>
          <cell r="D5106" t="str">
            <v>HOLD</v>
          </cell>
          <cell r="E5106" t="str">
            <v>90 ELL</v>
          </cell>
          <cell r="F5106">
            <v>2</v>
          </cell>
          <cell r="G5106" t="str">
            <v>CB400100000100</v>
          </cell>
          <cell r="H5106">
            <v>1</v>
          </cell>
          <cell r="I5106" t="str">
            <v>--</v>
          </cell>
          <cell r="J5106">
            <v>1</v>
          </cell>
          <cell r="K5106">
            <v>1</v>
          </cell>
        </row>
        <row r="5107">
          <cell r="A5107" t="str">
            <v>MC</v>
          </cell>
          <cell r="B5107" t="str">
            <v>BA312</v>
          </cell>
          <cell r="C5107" t="str">
            <v>SA98</v>
          </cell>
          <cell r="D5107" t="str">
            <v>2411</v>
          </cell>
          <cell r="E5107" t="str">
            <v>90 ELL</v>
          </cell>
          <cell r="F5107">
            <v>2</v>
          </cell>
          <cell r="G5107" t="str">
            <v>CB300108000100</v>
          </cell>
          <cell r="H5107">
            <v>1</v>
          </cell>
          <cell r="I5107" t="str">
            <v>--</v>
          </cell>
          <cell r="J5107">
            <v>9</v>
          </cell>
          <cell r="K5107">
            <v>9</v>
          </cell>
        </row>
        <row r="5108">
          <cell r="A5108" t="str">
            <v>MC</v>
          </cell>
          <cell r="B5108" t="str">
            <v>BA302</v>
          </cell>
          <cell r="C5108" t="str">
            <v>SD20</v>
          </cell>
          <cell r="D5108" t="str">
            <v>2301</v>
          </cell>
          <cell r="E5108" t="str">
            <v>90 ELL</v>
          </cell>
          <cell r="F5108">
            <v>2</v>
          </cell>
          <cell r="G5108" t="str">
            <v>CB400100000100</v>
          </cell>
          <cell r="H5108">
            <v>1</v>
          </cell>
          <cell r="I5108" t="str">
            <v>--</v>
          </cell>
          <cell r="J5108">
            <v>10</v>
          </cell>
          <cell r="K5108">
            <v>10</v>
          </cell>
        </row>
        <row r="5109">
          <cell r="A5109" t="str">
            <v>MC</v>
          </cell>
          <cell r="B5109" t="str">
            <v>BA305</v>
          </cell>
          <cell r="C5109" t="str">
            <v>MOH</v>
          </cell>
          <cell r="D5109" t="str">
            <v>2112</v>
          </cell>
          <cell r="E5109" t="str">
            <v>90 ELL</v>
          </cell>
          <cell r="F5109">
            <v>2</v>
          </cell>
          <cell r="G5109" t="str">
            <v>CB400100000100</v>
          </cell>
          <cell r="H5109">
            <v>1</v>
          </cell>
          <cell r="I5109" t="str">
            <v>--</v>
          </cell>
          <cell r="J5109">
            <v>7</v>
          </cell>
          <cell r="K5109">
            <v>7</v>
          </cell>
        </row>
        <row r="5110">
          <cell r="A5110" t="str">
            <v>MC</v>
          </cell>
          <cell r="B5110" t="str">
            <v>BA305</v>
          </cell>
          <cell r="C5110" t="str">
            <v>VNC</v>
          </cell>
          <cell r="D5110" t="str">
            <v>2016</v>
          </cell>
          <cell r="E5110" t="str">
            <v>90 ELL</v>
          </cell>
          <cell r="F5110">
            <v>2</v>
          </cell>
          <cell r="G5110" t="str">
            <v>CB400100000100</v>
          </cell>
          <cell r="H5110">
            <v>1</v>
          </cell>
          <cell r="I5110" t="str">
            <v>--</v>
          </cell>
          <cell r="J5110">
            <v>2</v>
          </cell>
          <cell r="K5110">
            <v>2</v>
          </cell>
        </row>
        <row r="5111">
          <cell r="A5111" t="str">
            <v>MC</v>
          </cell>
          <cell r="B5111" t="str">
            <v>BA305</v>
          </cell>
          <cell r="C5111" t="str">
            <v>MOH</v>
          </cell>
          <cell r="D5111" t="str">
            <v>2100</v>
          </cell>
          <cell r="E5111" t="str">
            <v>C SWG</v>
          </cell>
          <cell r="F5111">
            <v>2</v>
          </cell>
          <cell r="G5111" t="str">
            <v>CB16110808010T</v>
          </cell>
          <cell r="H5111">
            <v>1</v>
          </cell>
          <cell r="I5111">
            <v>0.75</v>
          </cell>
          <cell r="J5111">
            <v>1</v>
          </cell>
          <cell r="K5111">
            <v>1</v>
          </cell>
        </row>
        <row r="5112">
          <cell r="A5112" t="str">
            <v>MC</v>
          </cell>
          <cell r="B5112" t="str">
            <v>BA305</v>
          </cell>
          <cell r="C5112" t="str">
            <v>VNC</v>
          </cell>
          <cell r="D5112" t="str">
            <v>2016</v>
          </cell>
          <cell r="E5112" t="str">
            <v>C SWG</v>
          </cell>
          <cell r="F5112">
            <v>2</v>
          </cell>
          <cell r="G5112" t="str">
            <v>CB16110808010T</v>
          </cell>
          <cell r="H5112">
            <v>1</v>
          </cell>
          <cell r="I5112">
            <v>0.75</v>
          </cell>
          <cell r="J5112">
            <v>1</v>
          </cell>
          <cell r="K5112">
            <v>1</v>
          </cell>
        </row>
        <row r="5113">
          <cell r="A5113" t="str">
            <v>MC</v>
          </cell>
          <cell r="B5113" t="str">
            <v>BA312</v>
          </cell>
          <cell r="C5113" t="str">
            <v>SA98</v>
          </cell>
          <cell r="D5113" t="str">
            <v>2411</v>
          </cell>
          <cell r="E5113" t="str">
            <v>CPLG</v>
          </cell>
          <cell r="F5113">
            <v>2</v>
          </cell>
          <cell r="G5113" t="str">
            <v>CB400500000100</v>
          </cell>
          <cell r="H5113">
            <v>1</v>
          </cell>
          <cell r="I5113" t="str">
            <v>--</v>
          </cell>
          <cell r="J5113">
            <v>5</v>
          </cell>
          <cell r="K5113">
            <v>5</v>
          </cell>
        </row>
        <row r="5114">
          <cell r="A5114" t="str">
            <v>MC</v>
          </cell>
          <cell r="B5114" t="str">
            <v>BA302</v>
          </cell>
          <cell r="C5114" t="str">
            <v>SD20</v>
          </cell>
          <cell r="D5114" t="str">
            <v>2301</v>
          </cell>
          <cell r="E5114" t="str">
            <v>CPLG</v>
          </cell>
          <cell r="F5114">
            <v>2</v>
          </cell>
          <cell r="G5114" t="str">
            <v>CB400500000100</v>
          </cell>
          <cell r="H5114">
            <v>1</v>
          </cell>
          <cell r="I5114" t="str">
            <v>--</v>
          </cell>
          <cell r="J5114">
            <v>3</v>
          </cell>
          <cell r="K5114">
            <v>3</v>
          </cell>
        </row>
        <row r="5115">
          <cell r="A5115" t="str">
            <v>MC</v>
          </cell>
          <cell r="B5115" t="str">
            <v>BA305</v>
          </cell>
          <cell r="C5115" t="str">
            <v>VNC</v>
          </cell>
          <cell r="D5115" t="str">
            <v>2016</v>
          </cell>
          <cell r="E5115" t="str">
            <v>CPLG</v>
          </cell>
          <cell r="F5115">
            <v>2</v>
          </cell>
          <cell r="G5115" t="str">
            <v>CB400500000100</v>
          </cell>
          <cell r="H5115">
            <v>1</v>
          </cell>
          <cell r="I5115" t="str">
            <v>--</v>
          </cell>
          <cell r="J5115">
            <v>1</v>
          </cell>
          <cell r="K5115">
            <v>1</v>
          </cell>
        </row>
        <row r="5116">
          <cell r="A5116" t="str">
            <v>MC</v>
          </cell>
          <cell r="B5116" t="str">
            <v>BA305</v>
          </cell>
          <cell r="C5116" t="str">
            <v>MOH</v>
          </cell>
          <cell r="D5116" t="str">
            <v>2101</v>
          </cell>
          <cell r="E5116" t="str">
            <v>E SWG</v>
          </cell>
          <cell r="F5116">
            <v>2</v>
          </cell>
          <cell r="G5116" t="str">
            <v>CB16210808010T</v>
          </cell>
          <cell r="H5116">
            <v>1</v>
          </cell>
          <cell r="I5116">
            <v>0.75</v>
          </cell>
          <cell r="J5116">
            <v>2</v>
          </cell>
          <cell r="K5116">
            <v>2</v>
          </cell>
        </row>
        <row r="5117">
          <cell r="A5117" t="str">
            <v>MC</v>
          </cell>
          <cell r="B5117" t="str">
            <v>BA305</v>
          </cell>
          <cell r="C5117" t="str">
            <v>MOH</v>
          </cell>
          <cell r="D5117" t="str">
            <v>2112</v>
          </cell>
          <cell r="E5117" t="str">
            <v>E SWG</v>
          </cell>
          <cell r="F5117">
            <v>2</v>
          </cell>
          <cell r="G5117" t="str">
            <v>CB16210808010T</v>
          </cell>
          <cell r="H5117">
            <v>1</v>
          </cell>
          <cell r="I5117">
            <v>0.75</v>
          </cell>
          <cell r="J5117">
            <v>2</v>
          </cell>
          <cell r="K5117">
            <v>2</v>
          </cell>
        </row>
        <row r="5118">
          <cell r="A5118" t="str">
            <v>MC</v>
          </cell>
          <cell r="B5118" t="str">
            <v>BA312</v>
          </cell>
          <cell r="C5118" t="str">
            <v>SA98</v>
          </cell>
          <cell r="D5118" t="str">
            <v>2411</v>
          </cell>
          <cell r="E5118" t="str">
            <v>E SWG</v>
          </cell>
          <cell r="F5118">
            <v>2</v>
          </cell>
          <cell r="G5118" t="str">
            <v>CB16210808010T</v>
          </cell>
          <cell r="H5118">
            <v>1</v>
          </cell>
          <cell r="I5118">
            <v>0.75</v>
          </cell>
          <cell r="J5118">
            <v>2</v>
          </cell>
          <cell r="K5118">
            <v>2</v>
          </cell>
        </row>
        <row r="5119">
          <cell r="A5119" t="str">
            <v>MC</v>
          </cell>
          <cell r="B5119" t="str">
            <v>BA302</v>
          </cell>
          <cell r="C5119" t="str">
            <v>SD20</v>
          </cell>
          <cell r="D5119" t="str">
            <v>2301</v>
          </cell>
          <cell r="E5119" t="str">
            <v>E SWG</v>
          </cell>
          <cell r="F5119">
            <v>2</v>
          </cell>
          <cell r="G5119" t="str">
            <v>CB16210808010T</v>
          </cell>
          <cell r="H5119">
            <v>1</v>
          </cell>
          <cell r="I5119">
            <v>0.75</v>
          </cell>
          <cell r="J5119">
            <v>2</v>
          </cell>
          <cell r="K5119">
            <v>2</v>
          </cell>
        </row>
        <row r="5120">
          <cell r="A5120" t="str">
            <v>MC</v>
          </cell>
          <cell r="B5120" t="str">
            <v>BA305</v>
          </cell>
          <cell r="C5120" t="str">
            <v>MOH</v>
          </cell>
          <cell r="D5120" t="str">
            <v>2002</v>
          </cell>
          <cell r="E5120" t="str">
            <v>R TEE</v>
          </cell>
          <cell r="F5120">
            <v>2</v>
          </cell>
          <cell r="G5120" t="str">
            <v>CB40040000010T</v>
          </cell>
          <cell r="H5120">
            <v>1</v>
          </cell>
          <cell r="I5120">
            <v>0.75</v>
          </cell>
          <cell r="J5120">
            <v>2</v>
          </cell>
          <cell r="K5120">
            <v>2</v>
          </cell>
        </row>
        <row r="5121">
          <cell r="A5121" t="str">
            <v>MC</v>
          </cell>
          <cell r="B5121" t="str">
            <v>BA305</v>
          </cell>
          <cell r="C5121" t="str">
            <v>MOH</v>
          </cell>
          <cell r="D5121" t="str">
            <v>2101</v>
          </cell>
          <cell r="E5121" t="str">
            <v>R TEE</v>
          </cell>
          <cell r="F5121">
            <v>2</v>
          </cell>
          <cell r="G5121" t="str">
            <v>CB40040000010T</v>
          </cell>
          <cell r="H5121">
            <v>1</v>
          </cell>
          <cell r="I5121">
            <v>0.75</v>
          </cell>
          <cell r="J5121">
            <v>2</v>
          </cell>
          <cell r="K5121">
            <v>2</v>
          </cell>
        </row>
        <row r="5122">
          <cell r="A5122" t="str">
            <v>MC</v>
          </cell>
          <cell r="B5122" t="str">
            <v>BA305</v>
          </cell>
          <cell r="C5122" t="str">
            <v>MOH</v>
          </cell>
          <cell r="D5122" t="str">
            <v>2100</v>
          </cell>
          <cell r="E5122" t="str">
            <v>R TEE</v>
          </cell>
          <cell r="F5122">
            <v>2</v>
          </cell>
          <cell r="G5122" t="str">
            <v>CB40040000010T</v>
          </cell>
          <cell r="H5122">
            <v>1</v>
          </cell>
          <cell r="I5122">
            <v>0.75</v>
          </cell>
          <cell r="J5122">
            <v>1</v>
          </cell>
          <cell r="K5122">
            <v>1</v>
          </cell>
        </row>
        <row r="5123">
          <cell r="A5123" t="str">
            <v>MC</v>
          </cell>
          <cell r="B5123" t="str">
            <v>BA305</v>
          </cell>
          <cell r="C5123" t="str">
            <v>MOH</v>
          </cell>
          <cell r="D5123" t="str">
            <v>2112</v>
          </cell>
          <cell r="E5123" t="str">
            <v>R TEE</v>
          </cell>
          <cell r="F5123">
            <v>2</v>
          </cell>
          <cell r="G5123" t="str">
            <v>CB40040000010T</v>
          </cell>
          <cell r="H5123">
            <v>1</v>
          </cell>
          <cell r="I5123">
            <v>0.75</v>
          </cell>
          <cell r="J5123">
            <v>3</v>
          </cell>
          <cell r="K5123">
            <v>3</v>
          </cell>
        </row>
        <row r="5124">
          <cell r="A5124" t="str">
            <v>MC</v>
          </cell>
          <cell r="B5124" t="str">
            <v>BA302</v>
          </cell>
          <cell r="C5124" t="str">
            <v>SD20</v>
          </cell>
          <cell r="D5124" t="str">
            <v>2301</v>
          </cell>
          <cell r="E5124" t="str">
            <v>R TEE</v>
          </cell>
          <cell r="F5124">
            <v>2</v>
          </cell>
          <cell r="G5124" t="str">
            <v>CB40040000010T</v>
          </cell>
          <cell r="H5124">
            <v>1</v>
          </cell>
          <cell r="I5124">
            <v>0.75</v>
          </cell>
          <cell r="J5124">
            <v>2</v>
          </cell>
          <cell r="K5124">
            <v>2</v>
          </cell>
        </row>
        <row r="5125">
          <cell r="A5125" t="str">
            <v>MC</v>
          </cell>
          <cell r="B5125" t="str">
            <v>BA312</v>
          </cell>
          <cell r="C5125" t="str">
            <v>SA98</v>
          </cell>
          <cell r="D5125" t="str">
            <v>2411</v>
          </cell>
          <cell r="E5125" t="str">
            <v>R TEE</v>
          </cell>
          <cell r="F5125">
            <v>2</v>
          </cell>
          <cell r="G5125" t="str">
            <v>CB40040000010T</v>
          </cell>
          <cell r="H5125">
            <v>1</v>
          </cell>
          <cell r="I5125">
            <v>0.75</v>
          </cell>
          <cell r="J5125">
            <v>3</v>
          </cell>
          <cell r="K5125">
            <v>3</v>
          </cell>
        </row>
        <row r="5126">
          <cell r="A5126" t="str">
            <v>MC</v>
          </cell>
          <cell r="B5126" t="str">
            <v>BA312</v>
          </cell>
          <cell r="C5126" t="str">
            <v>SA98</v>
          </cell>
          <cell r="D5126" t="str">
            <v>2411</v>
          </cell>
          <cell r="E5126" t="str">
            <v>TEE</v>
          </cell>
          <cell r="F5126">
            <v>2</v>
          </cell>
          <cell r="G5126" t="str">
            <v>CB300308000100</v>
          </cell>
          <cell r="H5126">
            <v>1</v>
          </cell>
          <cell r="I5126" t="str">
            <v>--</v>
          </cell>
          <cell r="J5126">
            <v>2</v>
          </cell>
          <cell r="K5126">
            <v>2</v>
          </cell>
        </row>
        <row r="5127">
          <cell r="A5127" t="str">
            <v>MC</v>
          </cell>
          <cell r="B5127" t="str">
            <v>BA302</v>
          </cell>
          <cell r="C5127" t="str">
            <v>SD20</v>
          </cell>
          <cell r="D5127" t="str">
            <v>2301</v>
          </cell>
          <cell r="E5127" t="str">
            <v>TEE</v>
          </cell>
          <cell r="F5127">
            <v>2</v>
          </cell>
          <cell r="G5127" t="str">
            <v>CB400300000100</v>
          </cell>
          <cell r="H5127">
            <v>1</v>
          </cell>
          <cell r="I5127" t="str">
            <v>--</v>
          </cell>
          <cell r="J5127">
            <v>2</v>
          </cell>
          <cell r="K5127">
            <v>2</v>
          </cell>
        </row>
        <row r="5128">
          <cell r="A5128" t="str">
            <v>MC</v>
          </cell>
          <cell r="B5128" t="str">
            <v>BA305</v>
          </cell>
          <cell r="C5128" t="str">
            <v>MOH</v>
          </cell>
          <cell r="D5128" t="str">
            <v>2100</v>
          </cell>
          <cell r="E5128" t="str">
            <v>TEE</v>
          </cell>
          <cell r="F5128">
            <v>2</v>
          </cell>
          <cell r="G5128" t="str">
            <v>CB400300000100</v>
          </cell>
          <cell r="H5128">
            <v>1</v>
          </cell>
          <cell r="I5128" t="str">
            <v>--</v>
          </cell>
          <cell r="J5128">
            <v>1</v>
          </cell>
          <cell r="K5128">
            <v>1</v>
          </cell>
        </row>
        <row r="5129">
          <cell r="A5129" t="str">
            <v>MC</v>
          </cell>
          <cell r="B5129" t="str">
            <v>BA305</v>
          </cell>
          <cell r="C5129" t="str">
            <v>MOH</v>
          </cell>
          <cell r="D5129" t="str">
            <v>2101</v>
          </cell>
          <cell r="E5129" t="str">
            <v>TEE</v>
          </cell>
          <cell r="F5129">
            <v>2</v>
          </cell>
          <cell r="G5129" t="str">
            <v>CB400300000100</v>
          </cell>
          <cell r="H5129">
            <v>1</v>
          </cell>
          <cell r="I5129" t="str">
            <v>--</v>
          </cell>
          <cell r="J5129">
            <v>2</v>
          </cell>
          <cell r="K5129">
            <v>2</v>
          </cell>
        </row>
        <row r="5130">
          <cell r="A5130" t="str">
            <v>MC</v>
          </cell>
          <cell r="B5130" t="str">
            <v>CA304</v>
          </cell>
          <cell r="C5130" t="str">
            <v>MC</v>
          </cell>
          <cell r="D5130" t="str">
            <v>2604</v>
          </cell>
          <cell r="E5130" t="str">
            <v>90 ELL</v>
          </cell>
          <cell r="F5130">
            <v>2</v>
          </cell>
          <cell r="G5130" t="str">
            <v>CB400100000100</v>
          </cell>
          <cell r="H5130">
            <v>1</v>
          </cell>
          <cell r="I5130" t="str">
            <v>--</v>
          </cell>
          <cell r="J5130">
            <v>8</v>
          </cell>
          <cell r="K5130">
            <v>8</v>
          </cell>
        </row>
        <row r="5131">
          <cell r="A5131" t="str">
            <v>MC</v>
          </cell>
          <cell r="B5131" t="str">
            <v>CA304</v>
          </cell>
          <cell r="C5131" t="str">
            <v>MC</v>
          </cell>
          <cell r="D5131" t="str">
            <v>HOLD</v>
          </cell>
          <cell r="E5131" t="str">
            <v>90 ELL</v>
          </cell>
          <cell r="F5131">
            <v>2</v>
          </cell>
          <cell r="G5131" t="str">
            <v>CB400100000100</v>
          </cell>
          <cell r="H5131">
            <v>1</v>
          </cell>
          <cell r="I5131" t="str">
            <v>--</v>
          </cell>
          <cell r="J5131">
            <v>3</v>
          </cell>
          <cell r="K5131">
            <v>3</v>
          </cell>
        </row>
        <row r="5132">
          <cell r="A5132" t="str">
            <v>MC</v>
          </cell>
          <cell r="B5132" t="str">
            <v>CA304</v>
          </cell>
          <cell r="C5132" t="str">
            <v>MC</v>
          </cell>
          <cell r="D5132" t="str">
            <v>HOLD</v>
          </cell>
          <cell r="E5132" t="str">
            <v>90 ELL</v>
          </cell>
          <cell r="F5132">
            <v>2</v>
          </cell>
          <cell r="G5132" t="str">
            <v>CB400100000100</v>
          </cell>
          <cell r="H5132">
            <v>1</v>
          </cell>
          <cell r="I5132" t="str">
            <v>--</v>
          </cell>
          <cell r="J5132">
            <v>2</v>
          </cell>
          <cell r="K5132">
            <v>2</v>
          </cell>
        </row>
        <row r="5133">
          <cell r="A5133" t="str">
            <v>MC</v>
          </cell>
          <cell r="B5133" t="str">
            <v>CA304</v>
          </cell>
          <cell r="C5133" t="str">
            <v>MC</v>
          </cell>
          <cell r="D5133" t="str">
            <v>2604</v>
          </cell>
          <cell r="E5133" t="str">
            <v>C SWG</v>
          </cell>
          <cell r="F5133">
            <v>2</v>
          </cell>
          <cell r="G5133" t="str">
            <v>CB16110808010T</v>
          </cell>
          <cell r="H5133">
            <v>1</v>
          </cell>
          <cell r="I5133">
            <v>0.75</v>
          </cell>
          <cell r="J5133">
            <v>2</v>
          </cell>
          <cell r="K5133">
            <v>2</v>
          </cell>
        </row>
        <row r="5134">
          <cell r="A5134" t="str">
            <v>MC</v>
          </cell>
          <cell r="B5134" t="str">
            <v>CA304</v>
          </cell>
          <cell r="C5134" t="str">
            <v>MC</v>
          </cell>
          <cell r="D5134" t="str">
            <v>2604</v>
          </cell>
          <cell r="E5134" t="str">
            <v>E SWG</v>
          </cell>
          <cell r="F5134">
            <v>2</v>
          </cell>
          <cell r="G5134" t="str">
            <v>CB16210808010T</v>
          </cell>
          <cell r="H5134">
            <v>1</v>
          </cell>
          <cell r="I5134">
            <v>0.75</v>
          </cell>
          <cell r="J5134">
            <v>2</v>
          </cell>
          <cell r="K5134">
            <v>2</v>
          </cell>
        </row>
        <row r="5135">
          <cell r="A5135" t="str">
            <v>MC</v>
          </cell>
          <cell r="B5135" t="str">
            <v>CA304</v>
          </cell>
          <cell r="C5135" t="str">
            <v>MC</v>
          </cell>
          <cell r="D5135" t="str">
            <v>HOLD</v>
          </cell>
          <cell r="E5135" t="str">
            <v>E SWG</v>
          </cell>
          <cell r="F5135">
            <v>2</v>
          </cell>
          <cell r="G5135" t="str">
            <v>CB16210808010T</v>
          </cell>
          <cell r="H5135">
            <v>1</v>
          </cell>
          <cell r="I5135">
            <v>0.75</v>
          </cell>
          <cell r="J5135">
            <v>2</v>
          </cell>
          <cell r="K5135">
            <v>2</v>
          </cell>
        </row>
        <row r="5136">
          <cell r="A5136" t="str">
            <v>MC</v>
          </cell>
          <cell r="B5136" t="str">
            <v>CA304</v>
          </cell>
          <cell r="C5136" t="str">
            <v>MC</v>
          </cell>
          <cell r="D5136" t="str">
            <v>2604</v>
          </cell>
          <cell r="E5136" t="str">
            <v>R TEE</v>
          </cell>
          <cell r="F5136">
            <v>2</v>
          </cell>
          <cell r="G5136" t="str">
            <v>CB40040000010T</v>
          </cell>
          <cell r="H5136">
            <v>1</v>
          </cell>
          <cell r="I5136">
            <v>0.75</v>
          </cell>
          <cell r="J5136">
            <v>4</v>
          </cell>
          <cell r="K5136">
            <v>4</v>
          </cell>
        </row>
        <row r="5137">
          <cell r="A5137" t="str">
            <v>MC</v>
          </cell>
          <cell r="B5137" t="str">
            <v>CA304</v>
          </cell>
          <cell r="C5137" t="str">
            <v>MC</v>
          </cell>
          <cell r="D5137" t="str">
            <v>HOLD</v>
          </cell>
          <cell r="E5137" t="str">
            <v>R TEE</v>
          </cell>
          <cell r="F5137">
            <v>2</v>
          </cell>
          <cell r="G5137" t="str">
            <v>CB40040000010T</v>
          </cell>
          <cell r="H5137">
            <v>1</v>
          </cell>
          <cell r="I5137">
            <v>0.75</v>
          </cell>
          <cell r="J5137">
            <v>2</v>
          </cell>
          <cell r="K5137">
            <v>2</v>
          </cell>
        </row>
        <row r="5138">
          <cell r="A5138" t="str">
            <v>MC</v>
          </cell>
          <cell r="B5138" t="str">
            <v>CA304</v>
          </cell>
          <cell r="C5138" t="str">
            <v>MC</v>
          </cell>
          <cell r="D5138" t="str">
            <v>HOLD</v>
          </cell>
          <cell r="E5138" t="str">
            <v>R TEE</v>
          </cell>
          <cell r="F5138">
            <v>2</v>
          </cell>
          <cell r="G5138" t="str">
            <v>CB40040000010T</v>
          </cell>
          <cell r="H5138">
            <v>1</v>
          </cell>
          <cell r="I5138">
            <v>0.75</v>
          </cell>
          <cell r="J5138">
            <v>2</v>
          </cell>
          <cell r="K5138">
            <v>2</v>
          </cell>
        </row>
        <row r="5139">
          <cell r="A5139" t="str">
            <v>MC</v>
          </cell>
          <cell r="B5139" t="str">
            <v>CA304</v>
          </cell>
          <cell r="C5139" t="str">
            <v>MC</v>
          </cell>
          <cell r="D5139" t="str">
            <v>2604</v>
          </cell>
          <cell r="E5139" t="str">
            <v>TEE</v>
          </cell>
          <cell r="F5139">
            <v>2</v>
          </cell>
          <cell r="G5139" t="str">
            <v>CB400300000100</v>
          </cell>
          <cell r="H5139">
            <v>1</v>
          </cell>
          <cell r="I5139" t="str">
            <v>--</v>
          </cell>
          <cell r="J5139">
            <v>1</v>
          </cell>
          <cell r="K5139">
            <v>1</v>
          </cell>
        </row>
        <row r="5140">
          <cell r="A5140" t="str">
            <v>MC</v>
          </cell>
          <cell r="B5140" t="str">
            <v>CA304</v>
          </cell>
          <cell r="C5140" t="str">
            <v>MC</v>
          </cell>
          <cell r="D5140" t="str">
            <v>HOLD</v>
          </cell>
          <cell r="E5140" t="str">
            <v>TEE</v>
          </cell>
          <cell r="F5140">
            <v>2</v>
          </cell>
          <cell r="G5140" t="str">
            <v>CB400300000100</v>
          </cell>
          <cell r="H5140">
            <v>1</v>
          </cell>
          <cell r="I5140" t="str">
            <v>--</v>
          </cell>
          <cell r="J5140">
            <v>5</v>
          </cell>
          <cell r="K5140">
            <v>5</v>
          </cell>
        </row>
        <row r="5141">
          <cell r="A5141" t="str">
            <v>MC</v>
          </cell>
          <cell r="B5141" t="str">
            <v>B2C</v>
          </cell>
          <cell r="C5141" t="str">
            <v>SH</v>
          </cell>
          <cell r="D5141" t="str">
            <v>HOLD</v>
          </cell>
          <cell r="E5141" t="str">
            <v>90 ELL</v>
          </cell>
          <cell r="F5141">
            <v>2</v>
          </cell>
          <cell r="G5141" t="str">
            <v>CB400100001H00</v>
          </cell>
          <cell r="H5141">
            <v>1.5</v>
          </cell>
          <cell r="I5141" t="str">
            <v>--</v>
          </cell>
          <cell r="J5141">
            <v>10</v>
          </cell>
          <cell r="K5141">
            <v>10</v>
          </cell>
        </row>
        <row r="5142">
          <cell r="A5142" t="str">
            <v>MC</v>
          </cell>
          <cell r="B5142" t="str">
            <v>CA304</v>
          </cell>
          <cell r="C5142" t="str">
            <v>MC</v>
          </cell>
          <cell r="D5142" t="str">
            <v>2505</v>
          </cell>
          <cell r="E5142" t="str">
            <v>90 ELL</v>
          </cell>
          <cell r="F5142">
            <v>2</v>
          </cell>
          <cell r="G5142" t="str">
            <v>CB400100001H00</v>
          </cell>
          <cell r="H5142">
            <v>1.5</v>
          </cell>
          <cell r="I5142" t="str">
            <v>--</v>
          </cell>
          <cell r="J5142">
            <v>5</v>
          </cell>
          <cell r="K5142">
            <v>5</v>
          </cell>
        </row>
        <row r="5143">
          <cell r="A5143" t="str">
            <v>MC</v>
          </cell>
          <cell r="B5143" t="str">
            <v>CA304</v>
          </cell>
          <cell r="C5143" t="str">
            <v>MC</v>
          </cell>
          <cell r="D5143" t="str">
            <v>2605</v>
          </cell>
          <cell r="E5143" t="str">
            <v>90 ELL</v>
          </cell>
          <cell r="F5143">
            <v>2</v>
          </cell>
          <cell r="G5143" t="str">
            <v>CB400100001H00</v>
          </cell>
          <cell r="H5143">
            <v>1.5</v>
          </cell>
          <cell r="I5143" t="str">
            <v>--</v>
          </cell>
          <cell r="J5143">
            <v>2</v>
          </cell>
          <cell r="K5143">
            <v>2</v>
          </cell>
        </row>
        <row r="5144">
          <cell r="A5144" t="str">
            <v>MC</v>
          </cell>
          <cell r="B5144" t="str">
            <v>CA304</v>
          </cell>
          <cell r="C5144" t="str">
            <v>MC</v>
          </cell>
          <cell r="D5144" t="str">
            <v>2608</v>
          </cell>
          <cell r="E5144" t="str">
            <v>90 ELL</v>
          </cell>
          <cell r="F5144">
            <v>2</v>
          </cell>
          <cell r="G5144" t="str">
            <v>CB400100001H00</v>
          </cell>
          <cell r="H5144">
            <v>1.5</v>
          </cell>
          <cell r="I5144" t="str">
            <v>--</v>
          </cell>
          <cell r="J5144">
            <v>5</v>
          </cell>
          <cell r="K5144">
            <v>5</v>
          </cell>
        </row>
        <row r="5145">
          <cell r="A5145" t="str">
            <v>MC</v>
          </cell>
          <cell r="B5145" t="str">
            <v>CA304</v>
          </cell>
          <cell r="C5145" t="str">
            <v>MC</v>
          </cell>
          <cell r="D5145" t="str">
            <v>2609</v>
          </cell>
          <cell r="E5145" t="str">
            <v>90 ELL</v>
          </cell>
          <cell r="F5145">
            <v>2</v>
          </cell>
          <cell r="G5145" t="str">
            <v>CB400100001H00</v>
          </cell>
          <cell r="H5145">
            <v>1.5</v>
          </cell>
          <cell r="I5145" t="str">
            <v>--</v>
          </cell>
          <cell r="J5145">
            <v>11</v>
          </cell>
          <cell r="K5145">
            <v>11</v>
          </cell>
        </row>
        <row r="5146">
          <cell r="A5146" t="str">
            <v>MC</v>
          </cell>
          <cell r="B5146" t="str">
            <v>CA304</v>
          </cell>
          <cell r="C5146" t="str">
            <v>MC</v>
          </cell>
          <cell r="D5146" t="str">
            <v>2609</v>
          </cell>
          <cell r="E5146" t="str">
            <v>90 ELL</v>
          </cell>
          <cell r="F5146">
            <v>2</v>
          </cell>
          <cell r="G5146" t="str">
            <v>CB400100001H00</v>
          </cell>
          <cell r="H5146">
            <v>1.5</v>
          </cell>
          <cell r="I5146" t="str">
            <v>--</v>
          </cell>
          <cell r="J5146">
            <v>5</v>
          </cell>
          <cell r="K5146">
            <v>5</v>
          </cell>
        </row>
        <row r="5147">
          <cell r="A5147" t="str">
            <v>MC</v>
          </cell>
          <cell r="B5147" t="str">
            <v>CA304</v>
          </cell>
          <cell r="C5147" t="str">
            <v>MC</v>
          </cell>
          <cell r="D5147" t="str">
            <v>2612</v>
          </cell>
          <cell r="E5147" t="str">
            <v>90 ELL</v>
          </cell>
          <cell r="F5147">
            <v>2</v>
          </cell>
          <cell r="G5147" t="str">
            <v>CB400100001H00</v>
          </cell>
          <cell r="H5147">
            <v>1.5</v>
          </cell>
          <cell r="I5147" t="str">
            <v>--</v>
          </cell>
          <cell r="J5147">
            <v>5</v>
          </cell>
          <cell r="K5147">
            <v>5</v>
          </cell>
        </row>
        <row r="5148">
          <cell r="A5148" t="str">
            <v>MC</v>
          </cell>
          <cell r="B5148" t="str">
            <v>BA305</v>
          </cell>
          <cell r="C5148" t="str">
            <v>MOH</v>
          </cell>
          <cell r="D5148" t="str">
            <v>2100</v>
          </cell>
          <cell r="E5148" t="str">
            <v>90 ELL</v>
          </cell>
          <cell r="F5148">
            <v>2</v>
          </cell>
          <cell r="G5148" t="str">
            <v>CB400100001H00</v>
          </cell>
          <cell r="H5148">
            <v>1.5</v>
          </cell>
          <cell r="I5148" t="str">
            <v>--</v>
          </cell>
          <cell r="J5148">
            <v>5</v>
          </cell>
          <cell r="K5148">
            <v>5</v>
          </cell>
        </row>
        <row r="5149">
          <cell r="A5149" t="str">
            <v>MC</v>
          </cell>
          <cell r="B5149" t="str">
            <v>CA304</v>
          </cell>
          <cell r="C5149" t="str">
            <v>N</v>
          </cell>
          <cell r="D5149" t="str">
            <v>HOLD</v>
          </cell>
          <cell r="E5149" t="str">
            <v>90 ELL</v>
          </cell>
          <cell r="F5149">
            <v>2</v>
          </cell>
          <cell r="G5149" t="str">
            <v>CB400100001H00</v>
          </cell>
          <cell r="H5149">
            <v>1.5</v>
          </cell>
          <cell r="I5149" t="str">
            <v>--</v>
          </cell>
          <cell r="J5149">
            <v>1</v>
          </cell>
          <cell r="K5149">
            <v>1</v>
          </cell>
        </row>
        <row r="5150">
          <cell r="A5150" t="str">
            <v>MC</v>
          </cell>
          <cell r="B5150" t="str">
            <v>CA304</v>
          </cell>
          <cell r="C5150" t="str">
            <v>N</v>
          </cell>
          <cell r="D5150" t="str">
            <v>HOLD</v>
          </cell>
          <cell r="E5150" t="str">
            <v>90 ELL</v>
          </cell>
          <cell r="F5150">
            <v>2</v>
          </cell>
          <cell r="G5150" t="str">
            <v>CB400100001H00</v>
          </cell>
          <cell r="H5150">
            <v>1.5</v>
          </cell>
          <cell r="I5150" t="str">
            <v>--</v>
          </cell>
          <cell r="J5150">
            <v>1</v>
          </cell>
          <cell r="K5150">
            <v>1</v>
          </cell>
        </row>
        <row r="5151">
          <cell r="A5151" t="str">
            <v>MC</v>
          </cell>
          <cell r="B5151" t="str">
            <v>BA305</v>
          </cell>
          <cell r="C5151" t="str">
            <v>VNC</v>
          </cell>
          <cell r="D5151" t="str">
            <v>2016</v>
          </cell>
          <cell r="E5151" t="str">
            <v>90 ELL</v>
          </cell>
          <cell r="F5151">
            <v>2</v>
          </cell>
          <cell r="G5151" t="str">
            <v>CB400100001H00</v>
          </cell>
          <cell r="H5151">
            <v>1.5</v>
          </cell>
          <cell r="I5151" t="str">
            <v>--</v>
          </cell>
          <cell r="J5151">
            <v>1</v>
          </cell>
          <cell r="K5151">
            <v>1</v>
          </cell>
        </row>
        <row r="5152">
          <cell r="A5152" t="str">
            <v>MC</v>
          </cell>
          <cell r="B5152" t="str">
            <v>BA312</v>
          </cell>
          <cell r="C5152" t="str">
            <v>SA98</v>
          </cell>
          <cell r="D5152" t="str">
            <v>2411</v>
          </cell>
          <cell r="E5152" t="str">
            <v>90 ELL</v>
          </cell>
          <cell r="F5152">
            <v>2</v>
          </cell>
          <cell r="G5152" t="str">
            <v>CB300108001H00</v>
          </cell>
          <cell r="H5152">
            <v>1.5</v>
          </cell>
          <cell r="I5152" t="str">
            <v>--</v>
          </cell>
          <cell r="J5152">
            <v>1</v>
          </cell>
          <cell r="K5152">
            <v>1</v>
          </cell>
        </row>
        <row r="5153">
          <cell r="A5153" t="str">
            <v>MC</v>
          </cell>
          <cell r="B5153" t="str">
            <v>CA304</v>
          </cell>
          <cell r="C5153" t="str">
            <v>VT</v>
          </cell>
          <cell r="D5153" t="str">
            <v>HOLD</v>
          </cell>
          <cell r="E5153" t="str">
            <v>90 ELL</v>
          </cell>
          <cell r="F5153">
            <v>2</v>
          </cell>
          <cell r="G5153" t="str">
            <v>CB400100001H00</v>
          </cell>
          <cell r="H5153">
            <v>1.5</v>
          </cell>
          <cell r="I5153" t="str">
            <v>--</v>
          </cell>
          <cell r="J5153">
            <v>3</v>
          </cell>
          <cell r="K5153">
            <v>3</v>
          </cell>
        </row>
        <row r="5154">
          <cell r="A5154" t="str">
            <v>MC</v>
          </cell>
          <cell r="B5154" t="str">
            <v>CA304</v>
          </cell>
          <cell r="C5154" t="str">
            <v>MC</v>
          </cell>
          <cell r="D5154" t="str">
            <v>2608</v>
          </cell>
          <cell r="E5154" t="str">
            <v>C SWG</v>
          </cell>
          <cell r="F5154">
            <v>2</v>
          </cell>
          <cell r="G5154" t="str">
            <v>CB161108081H01</v>
          </cell>
          <cell r="H5154">
            <v>1.5</v>
          </cell>
          <cell r="I5154">
            <v>1</v>
          </cell>
          <cell r="J5154">
            <v>2</v>
          </cell>
          <cell r="K5154">
            <v>2</v>
          </cell>
        </row>
        <row r="5155">
          <cell r="A5155" t="str">
            <v>MC</v>
          </cell>
          <cell r="B5155" t="str">
            <v>BA305</v>
          </cell>
          <cell r="C5155" t="str">
            <v>MOH</v>
          </cell>
          <cell r="D5155" t="str">
            <v>2100</v>
          </cell>
          <cell r="E5155" t="str">
            <v>C SWG</v>
          </cell>
          <cell r="F5155">
            <v>2</v>
          </cell>
          <cell r="G5155" t="str">
            <v>CB161108081H01</v>
          </cell>
          <cell r="H5155">
            <v>1.5</v>
          </cell>
          <cell r="I5155">
            <v>1</v>
          </cell>
          <cell r="J5155">
            <v>1</v>
          </cell>
          <cell r="K5155">
            <v>1</v>
          </cell>
        </row>
        <row r="5156">
          <cell r="A5156" t="str">
            <v>MC</v>
          </cell>
          <cell r="B5156" t="str">
            <v>CA304</v>
          </cell>
          <cell r="C5156" t="str">
            <v>MC</v>
          </cell>
          <cell r="D5156" t="str">
            <v>2609</v>
          </cell>
          <cell r="E5156" t="str">
            <v>C SWG</v>
          </cell>
          <cell r="F5156">
            <v>2</v>
          </cell>
          <cell r="G5156" t="str">
            <v>CB161108081H01</v>
          </cell>
          <cell r="H5156">
            <v>1.5</v>
          </cell>
          <cell r="I5156">
            <v>1</v>
          </cell>
          <cell r="J5156">
            <v>2</v>
          </cell>
          <cell r="K5156">
            <v>2</v>
          </cell>
        </row>
        <row r="5157">
          <cell r="A5157" t="str">
            <v>MC</v>
          </cell>
          <cell r="B5157" t="str">
            <v>BA312</v>
          </cell>
          <cell r="C5157" t="str">
            <v>SA98</v>
          </cell>
          <cell r="D5157" t="str">
            <v>2411</v>
          </cell>
          <cell r="E5157" t="str">
            <v>C SWG</v>
          </cell>
          <cell r="F5157">
            <v>2</v>
          </cell>
          <cell r="G5157" t="str">
            <v>CB161108081H01</v>
          </cell>
          <cell r="H5157">
            <v>1.5</v>
          </cell>
          <cell r="I5157">
            <v>1</v>
          </cell>
          <cell r="J5157">
            <v>1</v>
          </cell>
          <cell r="K5157">
            <v>1</v>
          </cell>
        </row>
        <row r="5158">
          <cell r="A5158" t="str">
            <v>MC</v>
          </cell>
          <cell r="B5158" t="str">
            <v>BA305</v>
          </cell>
          <cell r="C5158" t="str">
            <v>VNC</v>
          </cell>
          <cell r="D5158" t="str">
            <v>2016</v>
          </cell>
          <cell r="E5158" t="str">
            <v>C SWG</v>
          </cell>
          <cell r="F5158">
            <v>2</v>
          </cell>
          <cell r="G5158" t="str">
            <v>CB161108081H01</v>
          </cell>
          <cell r="H5158">
            <v>1.5</v>
          </cell>
          <cell r="I5158">
            <v>1</v>
          </cell>
          <cell r="J5158">
            <v>1</v>
          </cell>
          <cell r="K5158">
            <v>1</v>
          </cell>
        </row>
        <row r="5159">
          <cell r="A5159" t="str">
            <v>MC</v>
          </cell>
          <cell r="B5159" t="str">
            <v>CA304</v>
          </cell>
          <cell r="C5159" t="str">
            <v>MC</v>
          </cell>
          <cell r="D5159" t="str">
            <v>2605</v>
          </cell>
          <cell r="E5159" t="str">
            <v>C SWG</v>
          </cell>
          <cell r="F5159">
            <v>2</v>
          </cell>
          <cell r="G5159" t="str">
            <v>CB161108081H0T</v>
          </cell>
          <cell r="H5159">
            <v>1.5</v>
          </cell>
          <cell r="I5159">
            <v>0.75</v>
          </cell>
          <cell r="J5159">
            <v>1</v>
          </cell>
          <cell r="K5159">
            <v>1</v>
          </cell>
        </row>
        <row r="5160">
          <cell r="A5160" t="str">
            <v>MC</v>
          </cell>
          <cell r="B5160" t="str">
            <v>CA304</v>
          </cell>
          <cell r="C5160" t="str">
            <v>TRIM</v>
          </cell>
          <cell r="D5160" t="str">
            <v>V-1260A/B</v>
          </cell>
          <cell r="E5160" t="str">
            <v>C SWG</v>
          </cell>
          <cell r="F5160">
            <v>2</v>
          </cell>
          <cell r="G5160" t="str">
            <v>CB161108081H0T</v>
          </cell>
          <cell r="H5160">
            <v>1.5</v>
          </cell>
          <cell r="I5160">
            <v>0.75</v>
          </cell>
          <cell r="J5160">
            <v>1</v>
          </cell>
          <cell r="K5160">
            <v>1</v>
          </cell>
        </row>
        <row r="5161">
          <cell r="A5161" t="str">
            <v>MC</v>
          </cell>
          <cell r="B5161" t="str">
            <v>CA304</v>
          </cell>
          <cell r="C5161" t="str">
            <v>MC</v>
          </cell>
          <cell r="D5161" t="str">
            <v>2606</v>
          </cell>
          <cell r="E5161" t="str">
            <v>CPLG</v>
          </cell>
          <cell r="F5161">
            <v>2</v>
          </cell>
          <cell r="G5161" t="str">
            <v>CB400500001H00</v>
          </cell>
          <cell r="H5161">
            <v>1.5</v>
          </cell>
          <cell r="I5161" t="str">
            <v>--</v>
          </cell>
          <cell r="J5161">
            <v>2</v>
          </cell>
          <cell r="K5161">
            <v>2</v>
          </cell>
        </row>
        <row r="5162">
          <cell r="A5162" t="str">
            <v>MC</v>
          </cell>
          <cell r="B5162" t="str">
            <v>BA305</v>
          </cell>
          <cell r="C5162" t="str">
            <v>MOH</v>
          </cell>
          <cell r="D5162" t="str">
            <v>2100</v>
          </cell>
          <cell r="E5162" t="str">
            <v>CPLG</v>
          </cell>
          <cell r="F5162">
            <v>2</v>
          </cell>
          <cell r="G5162" t="str">
            <v>CB400500001H00</v>
          </cell>
          <cell r="H5162">
            <v>1.5</v>
          </cell>
          <cell r="I5162" t="str">
            <v>--</v>
          </cell>
          <cell r="J5162">
            <v>3</v>
          </cell>
          <cell r="K5162">
            <v>3</v>
          </cell>
        </row>
        <row r="5163">
          <cell r="A5163" t="str">
            <v>MC</v>
          </cell>
          <cell r="B5163" t="str">
            <v>BA305</v>
          </cell>
          <cell r="C5163" t="str">
            <v>MOH</v>
          </cell>
          <cell r="D5163" t="str">
            <v>2100</v>
          </cell>
          <cell r="E5163" t="str">
            <v>E SWG</v>
          </cell>
          <cell r="F5163">
            <v>2</v>
          </cell>
          <cell r="G5163" t="str">
            <v>CB162108081H01</v>
          </cell>
          <cell r="H5163">
            <v>1.5</v>
          </cell>
          <cell r="I5163">
            <v>1</v>
          </cell>
          <cell r="J5163">
            <v>3</v>
          </cell>
          <cell r="K5163">
            <v>3</v>
          </cell>
        </row>
        <row r="5164">
          <cell r="A5164" t="str">
            <v>MC</v>
          </cell>
          <cell r="B5164" t="str">
            <v>CA304</v>
          </cell>
          <cell r="C5164" t="str">
            <v>MC</v>
          </cell>
          <cell r="D5164" t="str">
            <v>2505</v>
          </cell>
          <cell r="E5164" t="str">
            <v>R TEE</v>
          </cell>
          <cell r="F5164">
            <v>2</v>
          </cell>
          <cell r="G5164" t="str">
            <v>CB400400001H0T</v>
          </cell>
          <cell r="H5164">
            <v>1.5</v>
          </cell>
          <cell r="I5164">
            <v>0.75</v>
          </cell>
          <cell r="J5164">
            <v>4</v>
          </cell>
          <cell r="K5164">
            <v>4</v>
          </cell>
        </row>
        <row r="5165">
          <cell r="A5165" t="str">
            <v>MC</v>
          </cell>
          <cell r="B5165" t="str">
            <v>CA304</v>
          </cell>
          <cell r="C5165" t="str">
            <v>MC</v>
          </cell>
          <cell r="D5165" t="str">
            <v>2505</v>
          </cell>
          <cell r="E5165" t="str">
            <v>R TEE</v>
          </cell>
          <cell r="F5165">
            <v>2</v>
          </cell>
          <cell r="G5165" t="str">
            <v>CB400400001H01</v>
          </cell>
          <cell r="H5165">
            <v>1.5</v>
          </cell>
          <cell r="I5165">
            <v>1</v>
          </cell>
          <cell r="J5165">
            <v>4</v>
          </cell>
          <cell r="K5165">
            <v>4</v>
          </cell>
        </row>
        <row r="5166">
          <cell r="A5166" t="str">
            <v>MC</v>
          </cell>
          <cell r="B5166" t="str">
            <v>CA304</v>
          </cell>
          <cell r="C5166" t="str">
            <v>MC</v>
          </cell>
          <cell r="D5166" t="str">
            <v>2612</v>
          </cell>
          <cell r="E5166" t="str">
            <v>R TEE</v>
          </cell>
          <cell r="F5166">
            <v>2</v>
          </cell>
          <cell r="G5166" t="str">
            <v>CB400400001H0T</v>
          </cell>
          <cell r="H5166">
            <v>1.5</v>
          </cell>
          <cell r="I5166">
            <v>0.75</v>
          </cell>
          <cell r="J5166">
            <v>2</v>
          </cell>
          <cell r="K5166">
            <v>2</v>
          </cell>
        </row>
        <row r="5167">
          <cell r="A5167" t="str">
            <v>MC</v>
          </cell>
          <cell r="B5167" t="str">
            <v>BA305</v>
          </cell>
          <cell r="C5167" t="str">
            <v>MOH</v>
          </cell>
          <cell r="D5167" t="str">
            <v>2100</v>
          </cell>
          <cell r="E5167" t="str">
            <v>R TEE</v>
          </cell>
          <cell r="F5167">
            <v>2</v>
          </cell>
          <cell r="G5167" t="str">
            <v>CB400400001H0T</v>
          </cell>
          <cell r="H5167">
            <v>1.5</v>
          </cell>
          <cell r="I5167">
            <v>0.75</v>
          </cell>
          <cell r="J5167">
            <v>1</v>
          </cell>
          <cell r="K5167">
            <v>1</v>
          </cell>
        </row>
        <row r="5168">
          <cell r="A5168" t="str">
            <v>MC</v>
          </cell>
          <cell r="B5168" t="str">
            <v>BA305</v>
          </cell>
          <cell r="C5168" t="str">
            <v>MOH</v>
          </cell>
          <cell r="D5168" t="str">
            <v>2100</v>
          </cell>
          <cell r="E5168" t="str">
            <v>R TEE</v>
          </cell>
          <cell r="F5168">
            <v>2</v>
          </cell>
          <cell r="G5168" t="str">
            <v>CB400400001H01</v>
          </cell>
          <cell r="H5168">
            <v>1.5</v>
          </cell>
          <cell r="I5168">
            <v>1</v>
          </cell>
          <cell r="J5168">
            <v>3</v>
          </cell>
          <cell r="K5168">
            <v>3</v>
          </cell>
        </row>
        <row r="5169">
          <cell r="A5169" t="str">
            <v>MC</v>
          </cell>
          <cell r="B5169" t="str">
            <v>CA304</v>
          </cell>
          <cell r="C5169" t="str">
            <v>MC</v>
          </cell>
          <cell r="D5169" t="str">
            <v>2505</v>
          </cell>
          <cell r="E5169" t="str">
            <v>TEE</v>
          </cell>
          <cell r="F5169">
            <v>2</v>
          </cell>
          <cell r="G5169" t="str">
            <v>CB400300001H00</v>
          </cell>
          <cell r="H5169">
            <v>1.5</v>
          </cell>
          <cell r="I5169" t="str">
            <v>--</v>
          </cell>
          <cell r="J5169">
            <v>1</v>
          </cell>
          <cell r="K5169">
            <v>1</v>
          </cell>
        </row>
        <row r="5170">
          <cell r="A5170" t="str">
            <v>MC</v>
          </cell>
          <cell r="B5170" t="str">
            <v>CA304</v>
          </cell>
          <cell r="C5170" t="str">
            <v>MC</v>
          </cell>
          <cell r="D5170" t="str">
            <v>2605</v>
          </cell>
          <cell r="E5170" t="str">
            <v>TEE</v>
          </cell>
          <cell r="F5170">
            <v>2</v>
          </cell>
          <cell r="G5170" t="str">
            <v>CB400300001H00</v>
          </cell>
          <cell r="H5170">
            <v>1.5</v>
          </cell>
          <cell r="I5170" t="str">
            <v>--</v>
          </cell>
          <cell r="J5170">
            <v>1</v>
          </cell>
          <cell r="K5170">
            <v>1</v>
          </cell>
        </row>
        <row r="5171">
          <cell r="A5171" t="str">
            <v>MC</v>
          </cell>
          <cell r="B5171" t="str">
            <v>CA304</v>
          </cell>
          <cell r="C5171" t="str">
            <v>MC</v>
          </cell>
          <cell r="D5171" t="str">
            <v>2608</v>
          </cell>
          <cell r="E5171" t="str">
            <v>TEE</v>
          </cell>
          <cell r="F5171">
            <v>2</v>
          </cell>
          <cell r="G5171" t="str">
            <v>CB400300001H00</v>
          </cell>
          <cell r="H5171">
            <v>1.5</v>
          </cell>
          <cell r="I5171" t="str">
            <v>--</v>
          </cell>
          <cell r="J5171">
            <v>5</v>
          </cell>
          <cell r="K5171">
            <v>5</v>
          </cell>
        </row>
        <row r="5172">
          <cell r="A5172" t="str">
            <v>MC</v>
          </cell>
          <cell r="B5172" t="str">
            <v>CA304</v>
          </cell>
          <cell r="C5172" t="str">
            <v>MC</v>
          </cell>
          <cell r="D5172" t="str">
            <v>2609</v>
          </cell>
          <cell r="E5172" t="str">
            <v>TEE</v>
          </cell>
          <cell r="F5172">
            <v>2</v>
          </cell>
          <cell r="G5172" t="str">
            <v>CB400300001H00</v>
          </cell>
          <cell r="H5172">
            <v>1.5</v>
          </cell>
          <cell r="I5172" t="str">
            <v>--</v>
          </cell>
          <cell r="J5172">
            <v>1</v>
          </cell>
          <cell r="K5172">
            <v>1</v>
          </cell>
        </row>
        <row r="5173">
          <cell r="A5173" t="str">
            <v>MC</v>
          </cell>
          <cell r="B5173" t="str">
            <v>CA304</v>
          </cell>
          <cell r="C5173" t="str">
            <v>MC</v>
          </cell>
          <cell r="D5173" t="str">
            <v>HOLD</v>
          </cell>
          <cell r="E5173" t="str">
            <v>90 ELL</v>
          </cell>
          <cell r="F5173">
            <v>2</v>
          </cell>
          <cell r="G5173" t="str">
            <v>CB400100001H00</v>
          </cell>
          <cell r="H5173">
            <v>1.5</v>
          </cell>
          <cell r="I5173" t="str">
            <v>--</v>
          </cell>
          <cell r="J5173">
            <v>2</v>
          </cell>
          <cell r="K5173">
            <v>2</v>
          </cell>
        </row>
        <row r="5174">
          <cell r="A5174" t="str">
            <v>MC</v>
          </cell>
          <cell r="B5174" t="str">
            <v>CA304</v>
          </cell>
          <cell r="C5174" t="str">
            <v>MC</v>
          </cell>
          <cell r="D5174" t="str">
            <v>2604</v>
          </cell>
          <cell r="E5174" t="str">
            <v>C SWG</v>
          </cell>
          <cell r="F5174">
            <v>2</v>
          </cell>
          <cell r="G5174" t="str">
            <v>CB161108081H01</v>
          </cell>
          <cell r="H5174">
            <v>1.5</v>
          </cell>
          <cell r="I5174">
            <v>1</v>
          </cell>
          <cell r="J5174">
            <v>1</v>
          </cell>
          <cell r="K5174">
            <v>1</v>
          </cell>
        </row>
        <row r="5175">
          <cell r="A5175" t="str">
            <v>MC</v>
          </cell>
          <cell r="B5175" t="str">
            <v>B2C</v>
          </cell>
          <cell r="C5175" t="str">
            <v>SH</v>
          </cell>
          <cell r="D5175" t="str">
            <v>1405</v>
          </cell>
          <cell r="E5175" t="str">
            <v>90 ELL</v>
          </cell>
          <cell r="F5175">
            <v>2</v>
          </cell>
          <cell r="G5175" t="str">
            <v>CB300108000200</v>
          </cell>
          <cell r="H5175">
            <v>2</v>
          </cell>
          <cell r="I5175" t="str">
            <v>--</v>
          </cell>
          <cell r="J5175">
            <v>7</v>
          </cell>
          <cell r="K5175">
            <v>8</v>
          </cell>
        </row>
        <row r="5176">
          <cell r="A5176" t="str">
            <v>MC</v>
          </cell>
          <cell r="B5176" t="str">
            <v>B2C</v>
          </cell>
          <cell r="C5176" t="str">
            <v>SH</v>
          </cell>
          <cell r="D5176" t="str">
            <v>HOLD</v>
          </cell>
          <cell r="E5176" t="str">
            <v>90 ELL</v>
          </cell>
          <cell r="F5176">
            <v>2</v>
          </cell>
          <cell r="G5176" t="str">
            <v>CB300108000200</v>
          </cell>
          <cell r="H5176">
            <v>2</v>
          </cell>
          <cell r="I5176" t="str">
            <v>--</v>
          </cell>
          <cell r="J5176">
            <v>1</v>
          </cell>
          <cell r="K5176">
            <v>2</v>
          </cell>
        </row>
        <row r="5177">
          <cell r="A5177" t="str">
            <v>MC</v>
          </cell>
          <cell r="B5177" t="str">
            <v>B2C</v>
          </cell>
          <cell r="C5177" t="str">
            <v>SH</v>
          </cell>
          <cell r="D5177" t="str">
            <v>1405</v>
          </cell>
          <cell r="E5177" t="str">
            <v>SOL</v>
          </cell>
          <cell r="F5177">
            <v>2</v>
          </cell>
          <cell r="G5177" t="str">
            <v>CB39020000020T</v>
          </cell>
          <cell r="H5177">
            <v>2</v>
          </cell>
          <cell r="I5177">
            <v>0.75</v>
          </cell>
          <cell r="J5177">
            <v>2</v>
          </cell>
          <cell r="K5177">
            <v>3</v>
          </cell>
        </row>
        <row r="5178">
          <cell r="A5178" t="str">
            <v>MC</v>
          </cell>
          <cell r="B5178" t="str">
            <v>A5C</v>
          </cell>
          <cell r="C5178" t="str">
            <v>P</v>
          </cell>
          <cell r="D5178" t="str">
            <v>23112</v>
          </cell>
          <cell r="E5178" t="str">
            <v>90 ELL</v>
          </cell>
          <cell r="F5178">
            <v>2</v>
          </cell>
          <cell r="G5178" t="str">
            <v>CB300108000200</v>
          </cell>
          <cell r="H5178">
            <v>2</v>
          </cell>
          <cell r="I5178" t="str">
            <v>--</v>
          </cell>
          <cell r="J5178">
            <v>3</v>
          </cell>
          <cell r="K5178">
            <v>4</v>
          </cell>
        </row>
        <row r="5179">
          <cell r="A5179" t="str">
            <v>MC</v>
          </cell>
          <cell r="B5179" t="str">
            <v>A5C</v>
          </cell>
          <cell r="C5179" t="str">
            <v>P</v>
          </cell>
          <cell r="D5179" t="str">
            <v>23116</v>
          </cell>
          <cell r="E5179" t="str">
            <v>90 ELL</v>
          </cell>
          <cell r="F5179">
            <v>2</v>
          </cell>
          <cell r="G5179" t="str">
            <v>CB300108000200</v>
          </cell>
          <cell r="H5179">
            <v>2</v>
          </cell>
          <cell r="I5179" t="str">
            <v>--</v>
          </cell>
          <cell r="J5179">
            <v>3</v>
          </cell>
          <cell r="K5179">
            <v>4</v>
          </cell>
        </row>
        <row r="5180">
          <cell r="A5180" t="str">
            <v>MC</v>
          </cell>
          <cell r="B5180" t="str">
            <v>A5C</v>
          </cell>
          <cell r="C5180" t="str">
            <v>P</v>
          </cell>
          <cell r="D5180" t="str">
            <v>23144</v>
          </cell>
          <cell r="E5180" t="str">
            <v>90 ELL</v>
          </cell>
          <cell r="F5180">
            <v>2</v>
          </cell>
          <cell r="G5180" t="str">
            <v>CB300108000200</v>
          </cell>
          <cell r="H5180">
            <v>2</v>
          </cell>
          <cell r="I5180" t="str">
            <v>--</v>
          </cell>
          <cell r="J5180">
            <v>3</v>
          </cell>
          <cell r="K5180">
            <v>4</v>
          </cell>
        </row>
        <row r="5181">
          <cell r="A5181" t="str">
            <v>MC</v>
          </cell>
          <cell r="B5181" t="str">
            <v>A5C</v>
          </cell>
          <cell r="C5181" t="str">
            <v>P</v>
          </cell>
          <cell r="D5181" t="str">
            <v>23148</v>
          </cell>
          <cell r="E5181" t="str">
            <v>90 ELL</v>
          </cell>
          <cell r="F5181">
            <v>2</v>
          </cell>
          <cell r="G5181" t="str">
            <v>CB300108000200</v>
          </cell>
          <cell r="H5181">
            <v>2</v>
          </cell>
          <cell r="I5181" t="str">
            <v>--</v>
          </cell>
          <cell r="J5181">
            <v>3</v>
          </cell>
          <cell r="K5181">
            <v>4</v>
          </cell>
        </row>
        <row r="5182">
          <cell r="A5182" t="str">
            <v>MC</v>
          </cell>
          <cell r="B5182" t="str">
            <v>A5C</v>
          </cell>
          <cell r="C5182" t="str">
            <v>P</v>
          </cell>
          <cell r="D5182" t="str">
            <v>23155</v>
          </cell>
          <cell r="E5182" t="str">
            <v>90 ELL</v>
          </cell>
          <cell r="F5182">
            <v>2</v>
          </cell>
          <cell r="G5182" t="str">
            <v>CB300108000200</v>
          </cell>
          <cell r="H5182">
            <v>2</v>
          </cell>
          <cell r="I5182" t="str">
            <v>--</v>
          </cell>
          <cell r="J5182">
            <v>3</v>
          </cell>
          <cell r="K5182">
            <v>4</v>
          </cell>
        </row>
        <row r="5183">
          <cell r="A5183" t="str">
            <v>MC</v>
          </cell>
          <cell r="B5183" t="str">
            <v>A5C</v>
          </cell>
          <cell r="C5183" t="str">
            <v>P</v>
          </cell>
          <cell r="D5183" t="str">
            <v>HOLD2</v>
          </cell>
          <cell r="E5183" t="str">
            <v>90 ELL</v>
          </cell>
          <cell r="F5183">
            <v>2</v>
          </cell>
          <cell r="G5183" t="str">
            <v>CB300108000200</v>
          </cell>
          <cell r="H5183">
            <v>2</v>
          </cell>
          <cell r="I5183" t="str">
            <v>--</v>
          </cell>
          <cell r="J5183">
            <v>18</v>
          </cell>
          <cell r="K5183">
            <v>20</v>
          </cell>
        </row>
        <row r="5184">
          <cell r="A5184" t="str">
            <v>MC</v>
          </cell>
          <cell r="B5184" t="str">
            <v>CA304</v>
          </cell>
          <cell r="C5184" t="str">
            <v>MC</v>
          </cell>
          <cell r="D5184" t="str">
            <v>2609</v>
          </cell>
          <cell r="E5184" t="str">
            <v>90 ELL</v>
          </cell>
          <cell r="F5184">
            <v>2</v>
          </cell>
          <cell r="G5184" t="str">
            <v>CB300105000200</v>
          </cell>
          <cell r="H5184">
            <v>2</v>
          </cell>
          <cell r="I5184" t="str">
            <v>--</v>
          </cell>
          <cell r="J5184">
            <v>2</v>
          </cell>
          <cell r="K5184">
            <v>3</v>
          </cell>
        </row>
        <row r="5185">
          <cell r="A5185" t="str">
            <v>MC</v>
          </cell>
          <cell r="B5185" t="str">
            <v>CA304</v>
          </cell>
          <cell r="C5185" t="str">
            <v>MC</v>
          </cell>
          <cell r="D5185" t="str">
            <v>2612</v>
          </cell>
          <cell r="E5185" t="str">
            <v>90 ELL</v>
          </cell>
          <cell r="F5185">
            <v>2</v>
          </cell>
          <cell r="G5185" t="str">
            <v>CB300105000200</v>
          </cell>
          <cell r="H5185">
            <v>2</v>
          </cell>
          <cell r="I5185" t="str">
            <v>--</v>
          </cell>
          <cell r="J5185">
            <v>1</v>
          </cell>
          <cell r="K5185">
            <v>2</v>
          </cell>
        </row>
        <row r="5186">
          <cell r="A5186" t="str">
            <v>MC</v>
          </cell>
          <cell r="B5186" t="str">
            <v>CA304</v>
          </cell>
          <cell r="C5186" t="str">
            <v>MC</v>
          </cell>
          <cell r="D5186" t="str">
            <v>2601</v>
          </cell>
          <cell r="E5186" t="str">
            <v>90 ELL</v>
          </cell>
          <cell r="F5186">
            <v>2</v>
          </cell>
          <cell r="G5186" t="str">
            <v>CB300105000200</v>
          </cell>
          <cell r="H5186">
            <v>2</v>
          </cell>
          <cell r="I5186" t="str">
            <v>--</v>
          </cell>
          <cell r="J5186">
            <v>8</v>
          </cell>
          <cell r="K5186">
            <v>9</v>
          </cell>
        </row>
        <row r="5187">
          <cell r="A5187" t="str">
            <v>MC</v>
          </cell>
          <cell r="B5187" t="str">
            <v>CA304</v>
          </cell>
          <cell r="C5187" t="str">
            <v>MC</v>
          </cell>
          <cell r="D5187" t="str">
            <v>2610</v>
          </cell>
          <cell r="E5187" t="str">
            <v>90 ELL</v>
          </cell>
          <cell r="F5187">
            <v>2</v>
          </cell>
          <cell r="G5187" t="str">
            <v>CB300105000200</v>
          </cell>
          <cell r="H5187">
            <v>2</v>
          </cell>
          <cell r="I5187" t="str">
            <v>--</v>
          </cell>
          <cell r="J5187">
            <v>3</v>
          </cell>
          <cell r="K5187">
            <v>4</v>
          </cell>
        </row>
        <row r="5188">
          <cell r="A5188" t="str">
            <v>MC</v>
          </cell>
          <cell r="B5188" t="str">
            <v>CA304</v>
          </cell>
          <cell r="C5188" t="str">
            <v>N</v>
          </cell>
          <cell r="D5188" t="str">
            <v>HOLD</v>
          </cell>
          <cell r="E5188" t="str">
            <v>90 ELL</v>
          </cell>
          <cell r="F5188">
            <v>2</v>
          </cell>
          <cell r="G5188" t="str">
            <v>CB300105000200</v>
          </cell>
          <cell r="H5188">
            <v>2</v>
          </cell>
          <cell r="I5188" t="str">
            <v>--</v>
          </cell>
          <cell r="J5188">
            <v>1</v>
          </cell>
          <cell r="K5188">
            <v>2</v>
          </cell>
        </row>
        <row r="5189">
          <cell r="A5189" t="str">
            <v>MC</v>
          </cell>
          <cell r="B5189" t="str">
            <v>A5C</v>
          </cell>
          <cell r="C5189" t="str">
            <v>P</v>
          </cell>
          <cell r="D5189" t="str">
            <v>23108</v>
          </cell>
          <cell r="E5189" t="str">
            <v>90 ELL</v>
          </cell>
          <cell r="F5189">
            <v>2</v>
          </cell>
          <cell r="G5189" t="str">
            <v>CB300108000200</v>
          </cell>
          <cell r="H5189">
            <v>2</v>
          </cell>
          <cell r="I5189" t="str">
            <v>--</v>
          </cell>
          <cell r="J5189">
            <v>3</v>
          </cell>
          <cell r="K5189">
            <v>4</v>
          </cell>
        </row>
        <row r="5190">
          <cell r="A5190" t="str">
            <v>MC</v>
          </cell>
          <cell r="B5190" t="str">
            <v>CA304</v>
          </cell>
          <cell r="C5190" t="str">
            <v>MC</v>
          </cell>
          <cell r="D5190" t="str">
            <v>2506</v>
          </cell>
          <cell r="E5190" t="str">
            <v>90 ELL</v>
          </cell>
          <cell r="F5190">
            <v>2</v>
          </cell>
          <cell r="G5190" t="str">
            <v>CB300105000200</v>
          </cell>
          <cell r="H5190">
            <v>2</v>
          </cell>
          <cell r="I5190" t="str">
            <v>--</v>
          </cell>
          <cell r="J5190">
            <v>7</v>
          </cell>
          <cell r="K5190">
            <v>8</v>
          </cell>
        </row>
        <row r="5191">
          <cell r="A5191" t="str">
            <v>MC</v>
          </cell>
          <cell r="B5191" t="str">
            <v>CA304</v>
          </cell>
          <cell r="C5191" t="str">
            <v>MC</v>
          </cell>
          <cell r="D5191" t="str">
            <v>2505</v>
          </cell>
          <cell r="E5191" t="str">
            <v>C SWG</v>
          </cell>
          <cell r="F5191">
            <v>2</v>
          </cell>
          <cell r="G5191" t="str">
            <v>CB1614050802IH</v>
          </cell>
          <cell r="H5191">
            <v>2</v>
          </cell>
          <cell r="I5191">
            <v>1.5</v>
          </cell>
          <cell r="J5191">
            <v>1</v>
          </cell>
          <cell r="K5191">
            <v>2</v>
          </cell>
        </row>
        <row r="5192">
          <cell r="A5192" t="str">
            <v>MC</v>
          </cell>
          <cell r="B5192" t="str">
            <v>CA304</v>
          </cell>
          <cell r="C5192" t="str">
            <v>MC</v>
          </cell>
          <cell r="D5192" t="str">
            <v>2607</v>
          </cell>
          <cell r="E5192" t="str">
            <v>C SWG</v>
          </cell>
          <cell r="F5192">
            <v>2</v>
          </cell>
          <cell r="G5192" t="str">
            <v>CB1614050802IH</v>
          </cell>
          <cell r="H5192">
            <v>2</v>
          </cell>
          <cell r="I5192">
            <v>1.5</v>
          </cell>
          <cell r="J5192">
            <v>1</v>
          </cell>
          <cell r="K5192">
            <v>2</v>
          </cell>
        </row>
        <row r="5193">
          <cell r="A5193" t="str">
            <v>MC</v>
          </cell>
          <cell r="B5193" t="str">
            <v>CA304</v>
          </cell>
          <cell r="C5193" t="str">
            <v>MC</v>
          </cell>
          <cell r="D5193" t="str">
            <v>2605</v>
          </cell>
          <cell r="E5193" t="str">
            <v>C SWG</v>
          </cell>
          <cell r="F5193">
            <v>2</v>
          </cell>
          <cell r="G5193" t="str">
            <v>CB161405080201</v>
          </cell>
          <cell r="H5193">
            <v>2</v>
          </cell>
          <cell r="I5193">
            <v>1</v>
          </cell>
          <cell r="J5193">
            <v>2</v>
          </cell>
          <cell r="K5193">
            <v>3</v>
          </cell>
        </row>
        <row r="5194">
          <cell r="A5194" t="str">
            <v>MC</v>
          </cell>
          <cell r="B5194" t="str">
            <v>CA304</v>
          </cell>
          <cell r="C5194" t="str">
            <v>MC</v>
          </cell>
          <cell r="D5194" t="str">
            <v>2608</v>
          </cell>
          <cell r="E5194" t="str">
            <v>C SWG</v>
          </cell>
          <cell r="F5194">
            <v>2</v>
          </cell>
          <cell r="G5194" t="str">
            <v>CB1614050802IH</v>
          </cell>
          <cell r="H5194">
            <v>2</v>
          </cell>
          <cell r="I5194">
            <v>1.5</v>
          </cell>
          <cell r="J5194">
            <v>2</v>
          </cell>
          <cell r="K5194">
            <v>3</v>
          </cell>
        </row>
        <row r="5195">
          <cell r="A5195" t="str">
            <v>MC</v>
          </cell>
          <cell r="B5195" t="str">
            <v>BA305</v>
          </cell>
          <cell r="C5195" t="str">
            <v>MOH</v>
          </cell>
          <cell r="D5195" t="str">
            <v>2002</v>
          </cell>
          <cell r="E5195" t="str">
            <v>C SWG</v>
          </cell>
          <cell r="F5195">
            <v>2</v>
          </cell>
          <cell r="G5195" t="str">
            <v>CB161405080201</v>
          </cell>
          <cell r="H5195">
            <v>2</v>
          </cell>
          <cell r="I5195">
            <v>1</v>
          </cell>
          <cell r="J5195">
            <v>2</v>
          </cell>
          <cell r="K5195">
            <v>3</v>
          </cell>
        </row>
        <row r="5196">
          <cell r="A5196" t="str">
            <v>MC</v>
          </cell>
          <cell r="B5196" t="str">
            <v>CA304</v>
          </cell>
          <cell r="C5196" t="str">
            <v>MC</v>
          </cell>
          <cell r="D5196" t="str">
            <v>2505</v>
          </cell>
          <cell r="E5196" t="str">
            <v>E SWG</v>
          </cell>
          <cell r="F5196">
            <v>2</v>
          </cell>
          <cell r="G5196" t="str">
            <v>CB1624050802IH</v>
          </cell>
          <cell r="H5196">
            <v>2</v>
          </cell>
          <cell r="I5196">
            <v>1.5</v>
          </cell>
          <cell r="J5196">
            <v>2</v>
          </cell>
          <cell r="K5196">
            <v>3</v>
          </cell>
        </row>
        <row r="5197">
          <cell r="A5197" t="str">
            <v>MC</v>
          </cell>
          <cell r="B5197" t="str">
            <v>CA304</v>
          </cell>
          <cell r="C5197" t="str">
            <v>MC</v>
          </cell>
          <cell r="D5197" t="str">
            <v>2506</v>
          </cell>
          <cell r="E5197" t="str">
            <v>SOL</v>
          </cell>
          <cell r="F5197">
            <v>2</v>
          </cell>
          <cell r="G5197" t="str">
            <v>CB39020000020T</v>
          </cell>
          <cell r="H5197">
            <v>2</v>
          </cell>
          <cell r="I5197">
            <v>0.75</v>
          </cell>
          <cell r="J5197">
            <v>1</v>
          </cell>
          <cell r="K5197">
            <v>2</v>
          </cell>
        </row>
        <row r="5198">
          <cell r="A5198" t="str">
            <v>MC</v>
          </cell>
          <cell r="B5198" t="str">
            <v>CA304</v>
          </cell>
          <cell r="C5198" t="str">
            <v>MC</v>
          </cell>
          <cell r="D5198" t="str">
            <v>2506</v>
          </cell>
          <cell r="E5198" t="str">
            <v>SOL</v>
          </cell>
          <cell r="F5198">
            <v>2</v>
          </cell>
          <cell r="G5198" t="str">
            <v>CB390200000201</v>
          </cell>
          <cell r="H5198">
            <v>2</v>
          </cell>
          <cell r="I5198">
            <v>1</v>
          </cell>
          <cell r="J5198">
            <v>1</v>
          </cell>
          <cell r="K5198">
            <v>2</v>
          </cell>
        </row>
        <row r="5199">
          <cell r="A5199" t="str">
            <v>MC</v>
          </cell>
          <cell r="B5199" t="str">
            <v>CA304</v>
          </cell>
          <cell r="C5199" t="str">
            <v>MC</v>
          </cell>
          <cell r="D5199" t="str">
            <v>2609</v>
          </cell>
          <cell r="E5199" t="str">
            <v>SOL</v>
          </cell>
          <cell r="F5199">
            <v>2</v>
          </cell>
          <cell r="G5199" t="str">
            <v>CB39020000020T</v>
          </cell>
          <cell r="H5199">
            <v>2</v>
          </cell>
          <cell r="I5199">
            <v>0.75</v>
          </cell>
          <cell r="J5199">
            <v>1</v>
          </cell>
          <cell r="K5199">
            <v>2</v>
          </cell>
        </row>
        <row r="5200">
          <cell r="A5200" t="str">
            <v>MC</v>
          </cell>
          <cell r="B5200" t="str">
            <v>CA304</v>
          </cell>
          <cell r="C5200" t="str">
            <v>MC</v>
          </cell>
          <cell r="D5200" t="str">
            <v>2601</v>
          </cell>
          <cell r="E5200" t="str">
            <v>SOL</v>
          </cell>
          <cell r="F5200">
            <v>2</v>
          </cell>
          <cell r="G5200" t="str">
            <v>CB390200000201</v>
          </cell>
          <cell r="H5200">
            <v>2</v>
          </cell>
          <cell r="I5200">
            <v>1</v>
          </cell>
          <cell r="J5200">
            <v>1</v>
          </cell>
          <cell r="K5200">
            <v>2</v>
          </cell>
        </row>
        <row r="5201">
          <cell r="A5201" t="str">
            <v>MC</v>
          </cell>
          <cell r="B5201" t="str">
            <v>CA304</v>
          </cell>
          <cell r="C5201" t="str">
            <v>MC</v>
          </cell>
          <cell r="D5201" t="str">
            <v>2601</v>
          </cell>
          <cell r="E5201" t="str">
            <v>SOL</v>
          </cell>
          <cell r="F5201">
            <v>2</v>
          </cell>
          <cell r="G5201" t="str">
            <v>CB39020000020T</v>
          </cell>
          <cell r="H5201">
            <v>2</v>
          </cell>
          <cell r="I5201">
            <v>0.75</v>
          </cell>
          <cell r="J5201">
            <v>1</v>
          </cell>
          <cell r="K5201">
            <v>2</v>
          </cell>
        </row>
        <row r="5202">
          <cell r="A5202" t="str">
            <v>MC</v>
          </cell>
          <cell r="B5202" t="str">
            <v>CA304</v>
          </cell>
          <cell r="C5202" t="str">
            <v>MC</v>
          </cell>
          <cell r="D5202" t="str">
            <v>2607</v>
          </cell>
          <cell r="E5202" t="str">
            <v>SOL</v>
          </cell>
          <cell r="F5202">
            <v>2</v>
          </cell>
          <cell r="G5202" t="str">
            <v>CB39020000020T</v>
          </cell>
          <cell r="H5202">
            <v>2</v>
          </cell>
          <cell r="I5202">
            <v>0.75</v>
          </cell>
          <cell r="J5202">
            <v>3</v>
          </cell>
          <cell r="K5202">
            <v>4</v>
          </cell>
        </row>
        <row r="5203">
          <cell r="A5203" t="str">
            <v>MC</v>
          </cell>
          <cell r="B5203" t="str">
            <v>A5C</v>
          </cell>
          <cell r="C5203" t="str">
            <v>P</v>
          </cell>
          <cell r="D5203" t="str">
            <v>HOLD2</v>
          </cell>
          <cell r="E5203" t="str">
            <v>TOL</v>
          </cell>
          <cell r="F5203">
            <v>2</v>
          </cell>
          <cell r="G5203" t="str">
            <v>CB39030000020T</v>
          </cell>
          <cell r="H5203">
            <v>2</v>
          </cell>
          <cell r="I5203">
            <v>0.75</v>
          </cell>
          <cell r="J5203">
            <v>6</v>
          </cell>
          <cell r="K5203">
            <v>7</v>
          </cell>
        </row>
        <row r="5204">
          <cell r="A5204" t="str">
            <v>MC</v>
          </cell>
          <cell r="B5204" t="str">
            <v>BA305</v>
          </cell>
          <cell r="C5204" t="str">
            <v>MOH</v>
          </cell>
          <cell r="D5204" t="str">
            <v>2000</v>
          </cell>
          <cell r="E5204" t="str">
            <v>90 ELL</v>
          </cell>
          <cell r="F5204">
            <v>2</v>
          </cell>
          <cell r="G5204" t="str">
            <v>CB300105000200</v>
          </cell>
          <cell r="H5204">
            <v>2</v>
          </cell>
          <cell r="I5204" t="str">
            <v>--</v>
          </cell>
          <cell r="J5204">
            <v>14</v>
          </cell>
          <cell r="K5204">
            <v>16</v>
          </cell>
        </row>
        <row r="5205">
          <cell r="A5205" t="str">
            <v>MC</v>
          </cell>
          <cell r="B5205" t="str">
            <v>BA305</v>
          </cell>
          <cell r="C5205" t="str">
            <v>MOH</v>
          </cell>
          <cell r="D5205" t="str">
            <v>2000</v>
          </cell>
          <cell r="E5205" t="str">
            <v>SOL</v>
          </cell>
          <cell r="F5205">
            <v>2</v>
          </cell>
          <cell r="G5205" t="str">
            <v>CB39020000020T</v>
          </cell>
          <cell r="H5205">
            <v>2</v>
          </cell>
          <cell r="I5205">
            <v>0.75</v>
          </cell>
          <cell r="J5205">
            <v>2</v>
          </cell>
          <cell r="K5205">
            <v>3</v>
          </cell>
        </row>
        <row r="5206">
          <cell r="A5206" t="str">
            <v>MC</v>
          </cell>
          <cell r="B5206" t="str">
            <v>BA305</v>
          </cell>
          <cell r="C5206" t="str">
            <v>MOH</v>
          </cell>
          <cell r="D5206" t="str">
            <v>2000</v>
          </cell>
          <cell r="E5206" t="str">
            <v>TEE</v>
          </cell>
          <cell r="F5206">
            <v>2</v>
          </cell>
          <cell r="G5206" t="str">
            <v>CB300305000200</v>
          </cell>
          <cell r="H5206">
            <v>2</v>
          </cell>
          <cell r="I5206" t="str">
            <v>--</v>
          </cell>
          <cell r="J5206">
            <v>1</v>
          </cell>
          <cell r="K5206">
            <v>2</v>
          </cell>
        </row>
        <row r="5207">
          <cell r="A5207" t="str">
            <v>MC</v>
          </cell>
          <cell r="B5207" t="str">
            <v>CA304</v>
          </cell>
          <cell r="C5207" t="str">
            <v>MC</v>
          </cell>
          <cell r="D5207" t="str">
            <v>2502</v>
          </cell>
          <cell r="E5207" t="str">
            <v>90 ELL</v>
          </cell>
          <cell r="F5207">
            <v>2</v>
          </cell>
          <cell r="G5207" t="str">
            <v>CB300105000200</v>
          </cell>
          <cell r="H5207">
            <v>2</v>
          </cell>
          <cell r="I5207" t="str">
            <v>--</v>
          </cell>
          <cell r="J5207">
            <v>4</v>
          </cell>
          <cell r="K5207">
            <v>5</v>
          </cell>
        </row>
        <row r="5208">
          <cell r="A5208" t="str">
            <v>MC</v>
          </cell>
          <cell r="B5208" t="str">
            <v>CA304</v>
          </cell>
          <cell r="C5208" t="str">
            <v>MC</v>
          </cell>
          <cell r="D5208" t="str">
            <v>2502</v>
          </cell>
          <cell r="E5208" t="str">
            <v>90 ELL</v>
          </cell>
          <cell r="F5208">
            <v>2</v>
          </cell>
          <cell r="G5208" t="str">
            <v>CB300105000200</v>
          </cell>
          <cell r="H5208">
            <v>2</v>
          </cell>
          <cell r="I5208" t="str">
            <v>--</v>
          </cell>
          <cell r="J5208">
            <v>4</v>
          </cell>
          <cell r="K5208">
            <v>5</v>
          </cell>
        </row>
        <row r="5209">
          <cell r="A5209" t="str">
            <v>MC</v>
          </cell>
          <cell r="B5209" t="str">
            <v>CA304</v>
          </cell>
          <cell r="C5209" t="str">
            <v>MC</v>
          </cell>
          <cell r="D5209" t="str">
            <v>HOLD</v>
          </cell>
          <cell r="E5209" t="str">
            <v>90 ELL</v>
          </cell>
          <cell r="F5209">
            <v>2</v>
          </cell>
          <cell r="G5209" t="str">
            <v>CB300105000200</v>
          </cell>
          <cell r="H5209">
            <v>2</v>
          </cell>
          <cell r="I5209" t="str">
            <v>--</v>
          </cell>
          <cell r="J5209">
            <v>7</v>
          </cell>
          <cell r="K5209">
            <v>8</v>
          </cell>
        </row>
        <row r="5210">
          <cell r="A5210" t="str">
            <v>MC</v>
          </cell>
          <cell r="B5210" t="str">
            <v>CA304</v>
          </cell>
          <cell r="C5210" t="str">
            <v>MC</v>
          </cell>
          <cell r="D5210" t="str">
            <v>HOLD</v>
          </cell>
          <cell r="E5210" t="str">
            <v>90 ELL</v>
          </cell>
          <cell r="F5210">
            <v>2</v>
          </cell>
          <cell r="G5210" t="str">
            <v>CB300105000200</v>
          </cell>
          <cell r="H5210">
            <v>2</v>
          </cell>
          <cell r="I5210" t="str">
            <v>--</v>
          </cell>
          <cell r="J5210">
            <v>4</v>
          </cell>
          <cell r="K5210">
            <v>5</v>
          </cell>
        </row>
        <row r="5211">
          <cell r="A5211" t="str">
            <v>MC</v>
          </cell>
          <cell r="B5211" t="str">
            <v>CA304</v>
          </cell>
          <cell r="C5211" t="str">
            <v>MC</v>
          </cell>
          <cell r="D5211" t="str">
            <v>HOLD</v>
          </cell>
          <cell r="E5211" t="str">
            <v>90 ELL</v>
          </cell>
          <cell r="F5211">
            <v>2</v>
          </cell>
          <cell r="G5211" t="str">
            <v>CB300105000200</v>
          </cell>
          <cell r="H5211">
            <v>2</v>
          </cell>
          <cell r="I5211" t="str">
            <v>--</v>
          </cell>
          <cell r="J5211">
            <v>4</v>
          </cell>
          <cell r="K5211">
            <v>5</v>
          </cell>
        </row>
        <row r="5212">
          <cell r="A5212" t="str">
            <v>MC</v>
          </cell>
          <cell r="B5212" t="str">
            <v>CA304</v>
          </cell>
          <cell r="C5212" t="str">
            <v>MC</v>
          </cell>
          <cell r="D5212" t="str">
            <v>2604</v>
          </cell>
          <cell r="E5212" t="str">
            <v>C SWG</v>
          </cell>
          <cell r="F5212">
            <v>2</v>
          </cell>
          <cell r="G5212" t="str">
            <v>CB161405080201</v>
          </cell>
          <cell r="H5212">
            <v>2</v>
          </cell>
          <cell r="I5212">
            <v>1</v>
          </cell>
          <cell r="J5212">
            <v>2</v>
          </cell>
          <cell r="K5212">
            <v>3</v>
          </cell>
        </row>
        <row r="5213">
          <cell r="A5213" t="str">
            <v>MC</v>
          </cell>
          <cell r="B5213" t="str">
            <v>CA304</v>
          </cell>
          <cell r="C5213" t="str">
            <v>MC</v>
          </cell>
          <cell r="D5213" t="str">
            <v>HOLD</v>
          </cell>
          <cell r="E5213" t="str">
            <v>E SWG</v>
          </cell>
          <cell r="F5213">
            <v>2</v>
          </cell>
          <cell r="G5213" t="str">
            <v>CB162405080201</v>
          </cell>
          <cell r="H5213">
            <v>2</v>
          </cell>
          <cell r="I5213">
            <v>1</v>
          </cell>
          <cell r="J5213">
            <v>1</v>
          </cell>
          <cell r="K5213">
            <v>2</v>
          </cell>
        </row>
        <row r="5214">
          <cell r="A5214" t="str">
            <v>MC</v>
          </cell>
          <cell r="B5214" t="str">
            <v>CA304</v>
          </cell>
          <cell r="C5214" t="str">
            <v>MC</v>
          </cell>
          <cell r="D5214" t="str">
            <v>HOLD</v>
          </cell>
          <cell r="E5214" t="str">
            <v>SOL</v>
          </cell>
          <cell r="F5214">
            <v>2</v>
          </cell>
          <cell r="G5214" t="str">
            <v>CB39020000020T</v>
          </cell>
          <cell r="H5214">
            <v>2</v>
          </cell>
          <cell r="I5214">
            <v>0.75</v>
          </cell>
          <cell r="J5214">
            <v>2</v>
          </cell>
          <cell r="K5214">
            <v>3</v>
          </cell>
        </row>
        <row r="5215">
          <cell r="A5215" t="str">
            <v>MC</v>
          </cell>
          <cell r="B5215" t="str">
            <v>CA304</v>
          </cell>
          <cell r="C5215" t="str">
            <v>MC</v>
          </cell>
          <cell r="D5215" t="str">
            <v>HOLD</v>
          </cell>
          <cell r="E5215" t="str">
            <v>SOL</v>
          </cell>
          <cell r="F5215">
            <v>2</v>
          </cell>
          <cell r="G5215" t="str">
            <v>CB3902000002IH</v>
          </cell>
          <cell r="H5215">
            <v>2</v>
          </cell>
          <cell r="I5215">
            <v>1.5</v>
          </cell>
          <cell r="J5215">
            <v>1</v>
          </cell>
          <cell r="K5215">
            <v>2</v>
          </cell>
        </row>
        <row r="5216">
          <cell r="A5216" t="str">
            <v>MC</v>
          </cell>
          <cell r="B5216" t="str">
            <v>CA304</v>
          </cell>
          <cell r="C5216" t="str">
            <v>MC</v>
          </cell>
          <cell r="D5216" t="str">
            <v>2502</v>
          </cell>
          <cell r="E5216" t="str">
            <v>TEE</v>
          </cell>
          <cell r="F5216">
            <v>2</v>
          </cell>
          <cell r="G5216" t="str">
            <v>CB300305000200</v>
          </cell>
          <cell r="H5216">
            <v>2</v>
          </cell>
          <cell r="I5216" t="str">
            <v>--</v>
          </cell>
          <cell r="J5216">
            <v>1</v>
          </cell>
          <cell r="K5216">
            <v>2</v>
          </cell>
        </row>
        <row r="5217">
          <cell r="A5217" t="str">
            <v>MC</v>
          </cell>
          <cell r="B5217" t="str">
            <v>CA304</v>
          </cell>
          <cell r="C5217" t="str">
            <v>MC</v>
          </cell>
          <cell r="D5217" t="str">
            <v>2502</v>
          </cell>
          <cell r="E5217" t="str">
            <v>TEE</v>
          </cell>
          <cell r="F5217">
            <v>2</v>
          </cell>
          <cell r="G5217" t="str">
            <v>CB300305000200</v>
          </cell>
          <cell r="H5217">
            <v>2</v>
          </cell>
          <cell r="I5217" t="str">
            <v>--</v>
          </cell>
          <cell r="J5217">
            <v>1</v>
          </cell>
          <cell r="K5217">
            <v>2</v>
          </cell>
        </row>
        <row r="5218">
          <cell r="A5218" t="str">
            <v>MC</v>
          </cell>
          <cell r="B5218" t="str">
            <v>CA304</v>
          </cell>
          <cell r="C5218" t="str">
            <v>MC</v>
          </cell>
          <cell r="D5218" t="str">
            <v>HOLD</v>
          </cell>
          <cell r="E5218" t="str">
            <v>TEE</v>
          </cell>
          <cell r="F5218">
            <v>2</v>
          </cell>
          <cell r="G5218" t="str">
            <v>CB300305000200</v>
          </cell>
          <cell r="H5218">
            <v>2</v>
          </cell>
          <cell r="I5218" t="str">
            <v>--</v>
          </cell>
          <cell r="J5218">
            <v>1</v>
          </cell>
          <cell r="K5218">
            <v>2</v>
          </cell>
        </row>
        <row r="5219">
          <cell r="A5219" t="str">
            <v>MC</v>
          </cell>
          <cell r="B5219" t="str">
            <v>B2C</v>
          </cell>
          <cell r="C5219" t="str">
            <v>SH</v>
          </cell>
          <cell r="D5219" t="str">
            <v>1260</v>
          </cell>
          <cell r="E5219" t="str">
            <v>90 ELL</v>
          </cell>
          <cell r="F5219">
            <v>2</v>
          </cell>
          <cell r="G5219" t="str">
            <v>CB300104000300</v>
          </cell>
          <cell r="H5219">
            <v>3</v>
          </cell>
          <cell r="I5219" t="str">
            <v>--</v>
          </cell>
          <cell r="J5219">
            <v>1</v>
          </cell>
          <cell r="K5219">
            <v>2</v>
          </cell>
        </row>
        <row r="5220">
          <cell r="A5220" t="str">
            <v>MC</v>
          </cell>
          <cell r="B5220" t="str">
            <v>CA304</v>
          </cell>
          <cell r="C5220" t="str">
            <v>CMC</v>
          </cell>
          <cell r="D5220" t="str">
            <v>HOLD</v>
          </cell>
          <cell r="E5220" t="str">
            <v>90 ELL</v>
          </cell>
          <cell r="F5220">
            <v>2</v>
          </cell>
          <cell r="G5220" t="str">
            <v>CB300105000300</v>
          </cell>
          <cell r="H5220">
            <v>3</v>
          </cell>
          <cell r="I5220" t="str">
            <v>--</v>
          </cell>
          <cell r="J5220">
            <v>2</v>
          </cell>
          <cell r="K5220">
            <v>3</v>
          </cell>
        </row>
        <row r="5221">
          <cell r="A5221" t="str">
            <v>MC</v>
          </cell>
          <cell r="B5221" t="str">
            <v>CA304</v>
          </cell>
          <cell r="C5221" t="str">
            <v>MC</v>
          </cell>
          <cell r="D5221" t="str">
            <v>2612</v>
          </cell>
          <cell r="E5221" t="str">
            <v>90 ELL</v>
          </cell>
          <cell r="F5221">
            <v>2</v>
          </cell>
          <cell r="G5221" t="str">
            <v>CB300105000300</v>
          </cell>
          <cell r="H5221">
            <v>3</v>
          </cell>
          <cell r="I5221" t="str">
            <v>--</v>
          </cell>
          <cell r="J5221">
            <v>3</v>
          </cell>
          <cell r="K5221">
            <v>4</v>
          </cell>
        </row>
        <row r="5222">
          <cell r="A5222" t="str">
            <v>MC</v>
          </cell>
          <cell r="B5222" t="str">
            <v>CA304</v>
          </cell>
          <cell r="C5222" t="str">
            <v>VT</v>
          </cell>
          <cell r="D5222" t="str">
            <v>HOLD</v>
          </cell>
          <cell r="E5222" t="str">
            <v>90 ELL</v>
          </cell>
          <cell r="F5222">
            <v>2</v>
          </cell>
          <cell r="G5222" t="str">
            <v>CB300105000300</v>
          </cell>
          <cell r="H5222">
            <v>3</v>
          </cell>
          <cell r="I5222" t="str">
            <v>--</v>
          </cell>
          <cell r="J5222">
            <v>4</v>
          </cell>
          <cell r="K5222">
            <v>5</v>
          </cell>
        </row>
        <row r="5223">
          <cell r="A5223" t="str">
            <v>MC</v>
          </cell>
          <cell r="B5223" t="str">
            <v>CA304</v>
          </cell>
          <cell r="C5223" t="str">
            <v>VT</v>
          </cell>
          <cell r="D5223" t="str">
            <v>HOLD</v>
          </cell>
          <cell r="E5223" t="str">
            <v>90 ELL</v>
          </cell>
          <cell r="F5223">
            <v>2</v>
          </cell>
          <cell r="G5223" t="str">
            <v>CB300105000300</v>
          </cell>
          <cell r="H5223">
            <v>3</v>
          </cell>
          <cell r="I5223" t="str">
            <v>--</v>
          </cell>
          <cell r="J5223">
            <v>6</v>
          </cell>
          <cell r="K5223">
            <v>7</v>
          </cell>
        </row>
        <row r="5224">
          <cell r="A5224" t="str">
            <v>MC</v>
          </cell>
          <cell r="B5224" t="str">
            <v>CA304</v>
          </cell>
          <cell r="C5224" t="str">
            <v>MC</v>
          </cell>
          <cell r="D5224" t="str">
            <v>2606</v>
          </cell>
          <cell r="E5224" t="str">
            <v>90 ELL</v>
          </cell>
          <cell r="F5224">
            <v>2</v>
          </cell>
          <cell r="G5224" t="str">
            <v>CB300105000300</v>
          </cell>
          <cell r="H5224">
            <v>3</v>
          </cell>
          <cell r="I5224" t="str">
            <v>--</v>
          </cell>
          <cell r="J5224">
            <v>3</v>
          </cell>
          <cell r="K5224">
            <v>4</v>
          </cell>
        </row>
        <row r="5225">
          <cell r="A5225" t="str">
            <v>MC</v>
          </cell>
          <cell r="B5225" t="str">
            <v>CA304</v>
          </cell>
          <cell r="C5225" t="str">
            <v>VT</v>
          </cell>
          <cell r="D5225" t="str">
            <v>HOLD</v>
          </cell>
          <cell r="E5225" t="str">
            <v>C RED</v>
          </cell>
          <cell r="F5225">
            <v>2</v>
          </cell>
          <cell r="G5225" t="str">
            <v>CB300505050302</v>
          </cell>
          <cell r="H5225">
            <v>3</v>
          </cell>
          <cell r="I5225">
            <v>2</v>
          </cell>
          <cell r="J5225">
            <v>1</v>
          </cell>
          <cell r="K5225">
            <v>2</v>
          </cell>
        </row>
        <row r="5226">
          <cell r="A5226" t="str">
            <v>MC</v>
          </cell>
          <cell r="B5226" t="str">
            <v>CA304</v>
          </cell>
          <cell r="C5226" t="str">
            <v>VT</v>
          </cell>
          <cell r="D5226" t="str">
            <v>HOLD</v>
          </cell>
          <cell r="E5226" t="str">
            <v>C RED</v>
          </cell>
          <cell r="F5226">
            <v>2</v>
          </cell>
          <cell r="G5226" t="str">
            <v>CB300505050302</v>
          </cell>
          <cell r="H5226">
            <v>3</v>
          </cell>
          <cell r="I5226">
            <v>2</v>
          </cell>
          <cell r="J5226">
            <v>4</v>
          </cell>
          <cell r="K5226">
            <v>5</v>
          </cell>
        </row>
        <row r="5227">
          <cell r="A5227" t="str">
            <v>MC</v>
          </cell>
          <cell r="B5227" t="str">
            <v>CA304</v>
          </cell>
          <cell r="C5227" t="str">
            <v>MC</v>
          </cell>
          <cell r="D5227" t="str">
            <v>2601</v>
          </cell>
          <cell r="E5227" t="str">
            <v>C RED</v>
          </cell>
          <cell r="F5227">
            <v>2</v>
          </cell>
          <cell r="G5227" t="str">
            <v>CB300505050302</v>
          </cell>
          <cell r="H5227">
            <v>3</v>
          </cell>
          <cell r="I5227">
            <v>2</v>
          </cell>
          <cell r="J5227">
            <v>2</v>
          </cell>
          <cell r="K5227">
            <v>3</v>
          </cell>
        </row>
        <row r="5228">
          <cell r="A5228" t="str">
            <v>MC</v>
          </cell>
          <cell r="B5228" t="str">
            <v>BA305</v>
          </cell>
          <cell r="C5228" t="str">
            <v>MOH</v>
          </cell>
          <cell r="D5228" t="str">
            <v>2002</v>
          </cell>
          <cell r="E5228" t="str">
            <v>C RED</v>
          </cell>
          <cell r="F5228">
            <v>2</v>
          </cell>
          <cell r="G5228" t="str">
            <v>CB300505050302</v>
          </cell>
          <cell r="H5228">
            <v>3</v>
          </cell>
          <cell r="I5228">
            <v>2</v>
          </cell>
          <cell r="J5228">
            <v>1</v>
          </cell>
          <cell r="K5228">
            <v>2</v>
          </cell>
        </row>
        <row r="5229">
          <cell r="A5229" t="str">
            <v>MC</v>
          </cell>
          <cell r="B5229" t="str">
            <v>CA304</v>
          </cell>
          <cell r="C5229" t="str">
            <v>MC</v>
          </cell>
          <cell r="D5229" t="str">
            <v>2605</v>
          </cell>
          <cell r="E5229" t="str">
            <v>C SWG</v>
          </cell>
          <cell r="F5229">
            <v>2</v>
          </cell>
          <cell r="G5229" t="str">
            <v>CB1614050803IH</v>
          </cell>
          <cell r="H5229">
            <v>3</v>
          </cell>
          <cell r="I5229">
            <v>1.5</v>
          </cell>
          <cell r="J5229">
            <v>2</v>
          </cell>
          <cell r="K5229">
            <v>3</v>
          </cell>
        </row>
        <row r="5230">
          <cell r="A5230" t="str">
            <v>MC</v>
          </cell>
          <cell r="B5230" t="str">
            <v>CA304</v>
          </cell>
          <cell r="C5230" t="str">
            <v>MC</v>
          </cell>
          <cell r="D5230" t="str">
            <v>2505</v>
          </cell>
          <cell r="E5230" t="str">
            <v>C SWG</v>
          </cell>
          <cell r="F5230">
            <v>2</v>
          </cell>
          <cell r="G5230" t="str">
            <v>CB1614050803IH</v>
          </cell>
          <cell r="H5230">
            <v>3</v>
          </cell>
          <cell r="I5230">
            <v>1.5</v>
          </cell>
          <cell r="J5230">
            <v>2</v>
          </cell>
          <cell r="K5230">
            <v>3</v>
          </cell>
        </row>
        <row r="5231">
          <cell r="A5231" t="str">
            <v>MC</v>
          </cell>
          <cell r="B5231" t="str">
            <v>CA304</v>
          </cell>
          <cell r="C5231" t="str">
            <v>MC</v>
          </cell>
          <cell r="D5231" t="str">
            <v>2606</v>
          </cell>
          <cell r="E5231" t="str">
            <v>C SWG</v>
          </cell>
          <cell r="F5231">
            <v>2</v>
          </cell>
          <cell r="G5231" t="str">
            <v>CB1614050803IH</v>
          </cell>
          <cell r="H5231">
            <v>3</v>
          </cell>
          <cell r="I5231">
            <v>1.5</v>
          </cell>
          <cell r="J5231">
            <v>2</v>
          </cell>
          <cell r="K5231">
            <v>3</v>
          </cell>
        </row>
        <row r="5232">
          <cell r="A5232" t="str">
            <v>MC</v>
          </cell>
          <cell r="B5232" t="str">
            <v>CA304</v>
          </cell>
          <cell r="C5232" t="str">
            <v>MC</v>
          </cell>
          <cell r="D5232" t="str">
            <v>2612</v>
          </cell>
          <cell r="E5232" t="str">
            <v>C SWG</v>
          </cell>
          <cell r="F5232">
            <v>2</v>
          </cell>
          <cell r="G5232" t="str">
            <v>CB1614050803IH</v>
          </cell>
          <cell r="H5232">
            <v>3</v>
          </cell>
          <cell r="I5232">
            <v>1.5</v>
          </cell>
          <cell r="J5232">
            <v>1</v>
          </cell>
          <cell r="K5232">
            <v>2</v>
          </cell>
        </row>
        <row r="5233">
          <cell r="A5233" t="str">
            <v>MC</v>
          </cell>
          <cell r="B5233" t="str">
            <v>CA304</v>
          </cell>
          <cell r="C5233" t="str">
            <v>MC</v>
          </cell>
          <cell r="D5233" t="str">
            <v>2506</v>
          </cell>
          <cell r="E5233" t="str">
            <v>E RED</v>
          </cell>
          <cell r="F5233">
            <v>2</v>
          </cell>
          <cell r="G5233" t="str">
            <v>CB300605050302</v>
          </cell>
          <cell r="H5233">
            <v>3</v>
          </cell>
          <cell r="I5233">
            <v>2</v>
          </cell>
          <cell r="J5233">
            <v>1</v>
          </cell>
          <cell r="K5233">
            <v>2</v>
          </cell>
        </row>
        <row r="5234">
          <cell r="A5234" t="str">
            <v>MC</v>
          </cell>
          <cell r="B5234" t="str">
            <v>CA304</v>
          </cell>
          <cell r="C5234" t="str">
            <v>MC</v>
          </cell>
          <cell r="D5234" t="str">
            <v>2606</v>
          </cell>
          <cell r="E5234" t="str">
            <v>E RED</v>
          </cell>
          <cell r="F5234">
            <v>2</v>
          </cell>
          <cell r="G5234" t="str">
            <v>CB300605050302</v>
          </cell>
          <cell r="H5234">
            <v>3</v>
          </cell>
          <cell r="I5234">
            <v>2</v>
          </cell>
          <cell r="J5234">
            <v>1</v>
          </cell>
          <cell r="K5234">
            <v>2</v>
          </cell>
        </row>
        <row r="5235">
          <cell r="A5235" t="str">
            <v>MC</v>
          </cell>
          <cell r="B5235" t="str">
            <v>CA304</v>
          </cell>
          <cell r="C5235" t="str">
            <v>MC</v>
          </cell>
          <cell r="D5235" t="str">
            <v>2612</v>
          </cell>
          <cell r="E5235" t="str">
            <v>E RED</v>
          </cell>
          <cell r="F5235">
            <v>2</v>
          </cell>
          <cell r="G5235" t="str">
            <v>CB300605050302</v>
          </cell>
          <cell r="H5235">
            <v>3</v>
          </cell>
          <cell r="I5235">
            <v>2</v>
          </cell>
          <cell r="J5235">
            <v>2</v>
          </cell>
          <cell r="K5235">
            <v>3</v>
          </cell>
        </row>
        <row r="5236">
          <cell r="A5236" t="str">
            <v>MC</v>
          </cell>
          <cell r="B5236" t="str">
            <v>CA304</v>
          </cell>
          <cell r="C5236" t="str">
            <v>MC</v>
          </cell>
          <cell r="D5236" t="str">
            <v>2612</v>
          </cell>
          <cell r="E5236" t="str">
            <v>E SWG</v>
          </cell>
          <cell r="F5236">
            <v>2</v>
          </cell>
          <cell r="G5236" t="str">
            <v>CB1624050803IH</v>
          </cell>
          <cell r="H5236">
            <v>3</v>
          </cell>
          <cell r="I5236">
            <v>1.5</v>
          </cell>
          <cell r="J5236">
            <v>2</v>
          </cell>
          <cell r="K5236">
            <v>3</v>
          </cell>
        </row>
        <row r="5237">
          <cell r="A5237" t="str">
            <v>MC</v>
          </cell>
          <cell r="B5237" t="str">
            <v>CA304</v>
          </cell>
          <cell r="C5237" t="str">
            <v>CMC</v>
          </cell>
          <cell r="D5237" t="str">
            <v>HOLD</v>
          </cell>
          <cell r="E5237" t="str">
            <v>SOL</v>
          </cell>
          <cell r="F5237">
            <v>2</v>
          </cell>
          <cell r="G5237" t="str">
            <v>CB39020000030T</v>
          </cell>
          <cell r="H5237">
            <v>3</v>
          </cell>
          <cell r="I5237">
            <v>0.75</v>
          </cell>
          <cell r="J5237">
            <v>2</v>
          </cell>
          <cell r="K5237">
            <v>3</v>
          </cell>
        </row>
        <row r="5238">
          <cell r="A5238" t="str">
            <v>MC</v>
          </cell>
          <cell r="B5238" t="str">
            <v>CA304</v>
          </cell>
          <cell r="C5238" t="str">
            <v>MC</v>
          </cell>
          <cell r="D5238" t="str">
            <v>2612</v>
          </cell>
          <cell r="E5238" t="str">
            <v>SOL</v>
          </cell>
          <cell r="F5238">
            <v>2</v>
          </cell>
          <cell r="G5238" t="str">
            <v>CB39020000030T</v>
          </cell>
          <cell r="H5238">
            <v>3</v>
          </cell>
          <cell r="I5238">
            <v>0.75</v>
          </cell>
          <cell r="J5238">
            <v>2</v>
          </cell>
          <cell r="K5238">
            <v>3</v>
          </cell>
        </row>
        <row r="5239">
          <cell r="A5239" t="str">
            <v>MC</v>
          </cell>
          <cell r="B5239" t="str">
            <v>CA304</v>
          </cell>
          <cell r="C5239" t="str">
            <v>MC</v>
          </cell>
          <cell r="D5239" t="str">
            <v>2606</v>
          </cell>
          <cell r="E5239" t="str">
            <v>SOL</v>
          </cell>
          <cell r="F5239">
            <v>2</v>
          </cell>
          <cell r="G5239" t="str">
            <v>CB39020000030T</v>
          </cell>
          <cell r="H5239">
            <v>3</v>
          </cell>
          <cell r="I5239">
            <v>0.75</v>
          </cell>
          <cell r="J5239">
            <v>2</v>
          </cell>
          <cell r="K5239">
            <v>3</v>
          </cell>
        </row>
        <row r="5240">
          <cell r="A5240" t="str">
            <v>MC</v>
          </cell>
          <cell r="B5240" t="str">
            <v>CA304</v>
          </cell>
          <cell r="C5240" t="str">
            <v>VT</v>
          </cell>
          <cell r="D5240" t="str">
            <v>HOLD</v>
          </cell>
          <cell r="E5240" t="str">
            <v>SOL</v>
          </cell>
          <cell r="F5240">
            <v>2</v>
          </cell>
          <cell r="G5240" t="str">
            <v>CB39020000030T</v>
          </cell>
          <cell r="H5240">
            <v>3</v>
          </cell>
          <cell r="I5240">
            <v>0.75</v>
          </cell>
          <cell r="J5240">
            <v>4</v>
          </cell>
          <cell r="K5240">
            <v>5</v>
          </cell>
        </row>
        <row r="5241">
          <cell r="A5241" t="str">
            <v>MC</v>
          </cell>
          <cell r="B5241" t="str">
            <v>CA304</v>
          </cell>
          <cell r="C5241" t="str">
            <v>MC</v>
          </cell>
          <cell r="D5241" t="str">
            <v>2606</v>
          </cell>
          <cell r="E5241" t="str">
            <v>TEE</v>
          </cell>
          <cell r="F5241">
            <v>2</v>
          </cell>
          <cell r="G5241" t="str">
            <v>CB300305000300</v>
          </cell>
          <cell r="H5241">
            <v>3</v>
          </cell>
          <cell r="I5241" t="str">
            <v>--</v>
          </cell>
          <cell r="J5241">
            <v>3</v>
          </cell>
          <cell r="K5241">
            <v>4</v>
          </cell>
        </row>
        <row r="5242">
          <cell r="A5242" t="str">
            <v>MC</v>
          </cell>
          <cell r="B5242" t="str">
            <v>CA304</v>
          </cell>
          <cell r="C5242" t="str">
            <v>MC</v>
          </cell>
          <cell r="D5242" t="str">
            <v>HOLD</v>
          </cell>
          <cell r="E5242" t="str">
            <v>90 ELL</v>
          </cell>
          <cell r="F5242">
            <v>2</v>
          </cell>
          <cell r="G5242" t="str">
            <v>CB300105000300</v>
          </cell>
          <cell r="H5242">
            <v>3</v>
          </cell>
          <cell r="I5242" t="str">
            <v>--</v>
          </cell>
          <cell r="J5242">
            <v>2</v>
          </cell>
          <cell r="K5242">
            <v>3</v>
          </cell>
        </row>
        <row r="5243">
          <cell r="A5243" t="str">
            <v>MC</v>
          </cell>
          <cell r="B5243" t="str">
            <v>CA304</v>
          </cell>
          <cell r="C5243" t="str">
            <v>MC</v>
          </cell>
          <cell r="D5243" t="str">
            <v>HOLD</v>
          </cell>
          <cell r="E5243" t="str">
            <v>90 ELL</v>
          </cell>
          <cell r="F5243">
            <v>2</v>
          </cell>
          <cell r="G5243" t="str">
            <v>CB300105000300</v>
          </cell>
          <cell r="H5243">
            <v>3</v>
          </cell>
          <cell r="I5243" t="str">
            <v>--</v>
          </cell>
          <cell r="J5243">
            <v>2</v>
          </cell>
          <cell r="K5243">
            <v>3</v>
          </cell>
        </row>
        <row r="5244">
          <cell r="A5244" t="str">
            <v>MC</v>
          </cell>
          <cell r="B5244" t="str">
            <v>CA304</v>
          </cell>
          <cell r="C5244" t="str">
            <v>MC</v>
          </cell>
          <cell r="D5244" t="str">
            <v>HOLD</v>
          </cell>
          <cell r="E5244" t="str">
            <v>90 ELL</v>
          </cell>
          <cell r="F5244">
            <v>2</v>
          </cell>
          <cell r="G5244" t="str">
            <v>CB300105000300</v>
          </cell>
          <cell r="H5244">
            <v>3</v>
          </cell>
          <cell r="I5244" t="str">
            <v>--</v>
          </cell>
          <cell r="J5244">
            <v>2</v>
          </cell>
          <cell r="K5244">
            <v>3</v>
          </cell>
        </row>
        <row r="5245">
          <cell r="A5245" t="str">
            <v>MC</v>
          </cell>
          <cell r="B5245" t="str">
            <v>CA304</v>
          </cell>
          <cell r="C5245" t="str">
            <v>MC</v>
          </cell>
          <cell r="D5245" t="str">
            <v>2502</v>
          </cell>
          <cell r="E5245" t="str">
            <v>SOL</v>
          </cell>
          <cell r="F5245">
            <v>2</v>
          </cell>
          <cell r="G5245" t="str">
            <v>CB39020000030T</v>
          </cell>
          <cell r="H5245">
            <v>3</v>
          </cell>
          <cell r="I5245">
            <v>0.75</v>
          </cell>
          <cell r="J5245">
            <v>1</v>
          </cell>
          <cell r="K5245">
            <v>2</v>
          </cell>
        </row>
        <row r="5246">
          <cell r="A5246" t="str">
            <v>MC</v>
          </cell>
          <cell r="B5246" t="str">
            <v>CA304</v>
          </cell>
          <cell r="C5246" t="str">
            <v>MC</v>
          </cell>
          <cell r="D5246" t="str">
            <v>2502</v>
          </cell>
          <cell r="E5246" t="str">
            <v>SOL</v>
          </cell>
          <cell r="F5246">
            <v>2</v>
          </cell>
          <cell r="G5246" t="str">
            <v>CB39020000030T</v>
          </cell>
          <cell r="H5246">
            <v>3</v>
          </cell>
          <cell r="I5246">
            <v>0.75</v>
          </cell>
          <cell r="J5246">
            <v>1</v>
          </cell>
          <cell r="K5246">
            <v>2</v>
          </cell>
        </row>
        <row r="5247">
          <cell r="A5247" t="str">
            <v>MC</v>
          </cell>
          <cell r="B5247" t="str">
            <v>B2C</v>
          </cell>
          <cell r="C5247" t="str">
            <v>SH</v>
          </cell>
          <cell r="D5247" t="str">
            <v>1260</v>
          </cell>
          <cell r="E5247" t="str">
            <v>90 ELL</v>
          </cell>
          <cell r="F5247">
            <v>2</v>
          </cell>
          <cell r="G5247" t="str">
            <v>CB300104000400</v>
          </cell>
          <cell r="H5247">
            <v>4</v>
          </cell>
          <cell r="I5247" t="str">
            <v>--</v>
          </cell>
          <cell r="J5247">
            <v>9</v>
          </cell>
          <cell r="K5247">
            <v>11</v>
          </cell>
        </row>
        <row r="5248">
          <cell r="A5248" t="str">
            <v>MC</v>
          </cell>
          <cell r="B5248" t="str">
            <v>B2C</v>
          </cell>
          <cell r="C5248" t="str">
            <v>SH</v>
          </cell>
          <cell r="D5248" t="str">
            <v>1260</v>
          </cell>
          <cell r="E5248" t="str">
            <v>E RED</v>
          </cell>
          <cell r="F5248">
            <v>2</v>
          </cell>
          <cell r="G5248" t="str">
            <v>CB300604040403</v>
          </cell>
          <cell r="H5248">
            <v>4</v>
          </cell>
          <cell r="I5248">
            <v>3</v>
          </cell>
          <cell r="J5248">
            <v>2</v>
          </cell>
          <cell r="K5248">
            <v>3</v>
          </cell>
        </row>
        <row r="5249">
          <cell r="A5249" t="str">
            <v>MC</v>
          </cell>
          <cell r="B5249" t="str">
            <v>B2C</v>
          </cell>
          <cell r="C5249" t="str">
            <v>SH</v>
          </cell>
          <cell r="D5249" t="str">
            <v>1260</v>
          </cell>
          <cell r="E5249" t="str">
            <v>SOL</v>
          </cell>
          <cell r="F5249">
            <v>2</v>
          </cell>
          <cell r="G5249" t="str">
            <v>CB39020000040T</v>
          </cell>
          <cell r="H5249">
            <v>4</v>
          </cell>
          <cell r="I5249">
            <v>0.75</v>
          </cell>
          <cell r="J5249">
            <v>3</v>
          </cell>
          <cell r="K5249">
            <v>4</v>
          </cell>
        </row>
        <row r="5250">
          <cell r="A5250" t="str">
            <v>MC</v>
          </cell>
          <cell r="B5250" t="str">
            <v>CA304</v>
          </cell>
          <cell r="C5250" t="str">
            <v>CMC</v>
          </cell>
          <cell r="D5250" t="str">
            <v>HOLD</v>
          </cell>
          <cell r="E5250" t="str">
            <v>45 ELL</v>
          </cell>
          <cell r="F5250">
            <v>2</v>
          </cell>
          <cell r="G5250" t="str">
            <v>CB300205000400</v>
          </cell>
          <cell r="H5250">
            <v>4</v>
          </cell>
          <cell r="I5250" t="str">
            <v>--</v>
          </cell>
          <cell r="J5250">
            <v>1</v>
          </cell>
          <cell r="K5250">
            <v>2</v>
          </cell>
        </row>
        <row r="5251">
          <cell r="A5251" t="str">
            <v>MC</v>
          </cell>
          <cell r="B5251" t="str">
            <v>CA307</v>
          </cell>
          <cell r="C5251" t="str">
            <v>P</v>
          </cell>
          <cell r="D5251" t="str">
            <v>HOLD1</v>
          </cell>
          <cell r="E5251" t="str">
            <v>90 ELL</v>
          </cell>
          <cell r="F5251">
            <v>2</v>
          </cell>
          <cell r="G5251" t="str">
            <v>CB300105000400</v>
          </cell>
          <cell r="H5251">
            <v>4</v>
          </cell>
          <cell r="I5251" t="str">
            <v>--</v>
          </cell>
          <cell r="J5251">
            <v>2</v>
          </cell>
          <cell r="K5251">
            <v>3</v>
          </cell>
        </row>
        <row r="5252">
          <cell r="A5252" t="str">
            <v>MC</v>
          </cell>
          <cell r="B5252" t="str">
            <v>CA304</v>
          </cell>
          <cell r="C5252" t="str">
            <v>CMC</v>
          </cell>
          <cell r="D5252" t="str">
            <v>HOLD</v>
          </cell>
          <cell r="E5252" t="str">
            <v>90 ELL</v>
          </cell>
          <cell r="F5252">
            <v>2</v>
          </cell>
          <cell r="G5252" t="str">
            <v>CB300105000400</v>
          </cell>
          <cell r="H5252">
            <v>4</v>
          </cell>
          <cell r="I5252" t="str">
            <v>--</v>
          </cell>
          <cell r="J5252">
            <v>2</v>
          </cell>
          <cell r="K5252">
            <v>3</v>
          </cell>
        </row>
        <row r="5253">
          <cell r="A5253" t="str">
            <v>MC</v>
          </cell>
          <cell r="B5253" t="str">
            <v>CA304</v>
          </cell>
          <cell r="C5253" t="str">
            <v>MC</v>
          </cell>
          <cell r="D5253" t="str">
            <v>2507</v>
          </cell>
          <cell r="E5253" t="str">
            <v>90 ELL</v>
          </cell>
          <cell r="F5253">
            <v>2</v>
          </cell>
          <cell r="G5253" t="str">
            <v>CB300105000400</v>
          </cell>
          <cell r="H5253">
            <v>4</v>
          </cell>
          <cell r="I5253" t="str">
            <v>--</v>
          </cell>
          <cell r="J5253">
            <v>3</v>
          </cell>
          <cell r="K5253">
            <v>4</v>
          </cell>
        </row>
        <row r="5254">
          <cell r="A5254" t="str">
            <v>MC</v>
          </cell>
          <cell r="B5254" t="str">
            <v>CA304</v>
          </cell>
          <cell r="C5254" t="str">
            <v>VT</v>
          </cell>
          <cell r="D5254" t="str">
            <v>HOLD</v>
          </cell>
          <cell r="E5254" t="str">
            <v>90 ELL</v>
          </cell>
          <cell r="F5254">
            <v>2</v>
          </cell>
          <cell r="G5254" t="str">
            <v>CB300105000400</v>
          </cell>
          <cell r="H5254">
            <v>4</v>
          </cell>
          <cell r="I5254" t="str">
            <v>--</v>
          </cell>
          <cell r="J5254">
            <v>3</v>
          </cell>
          <cell r="K5254">
            <v>4</v>
          </cell>
        </row>
        <row r="5255">
          <cell r="A5255" t="str">
            <v>MC</v>
          </cell>
          <cell r="B5255" t="str">
            <v>CA304</v>
          </cell>
          <cell r="C5255" t="str">
            <v>VT</v>
          </cell>
          <cell r="D5255" t="str">
            <v>HOLD</v>
          </cell>
          <cell r="E5255" t="str">
            <v>90 ELL</v>
          </cell>
          <cell r="F5255">
            <v>2</v>
          </cell>
          <cell r="G5255" t="str">
            <v>CB300105000400</v>
          </cell>
          <cell r="H5255">
            <v>4</v>
          </cell>
          <cell r="I5255" t="str">
            <v>--</v>
          </cell>
          <cell r="J5255">
            <v>4</v>
          </cell>
          <cell r="K5255">
            <v>5</v>
          </cell>
        </row>
        <row r="5256">
          <cell r="A5256" t="str">
            <v>MC</v>
          </cell>
          <cell r="B5256" t="str">
            <v>CA304</v>
          </cell>
          <cell r="C5256" t="str">
            <v>MC</v>
          </cell>
          <cell r="D5256" t="str">
            <v>2605</v>
          </cell>
          <cell r="E5256" t="str">
            <v>C RED</v>
          </cell>
          <cell r="F5256">
            <v>2</v>
          </cell>
          <cell r="G5256" t="str">
            <v>CB300505050402</v>
          </cell>
          <cell r="H5256">
            <v>4</v>
          </cell>
          <cell r="I5256">
            <v>2</v>
          </cell>
          <cell r="J5256">
            <v>2</v>
          </cell>
          <cell r="K5256">
            <v>3</v>
          </cell>
        </row>
        <row r="5257">
          <cell r="A5257" t="str">
            <v>MC</v>
          </cell>
          <cell r="B5257" t="str">
            <v>CA304</v>
          </cell>
          <cell r="C5257" t="str">
            <v>MC</v>
          </cell>
          <cell r="D5257" t="str">
            <v>2506</v>
          </cell>
          <cell r="E5257" t="str">
            <v>C RED</v>
          </cell>
          <cell r="F5257">
            <v>2</v>
          </cell>
          <cell r="G5257" t="str">
            <v>CB300505050402</v>
          </cell>
          <cell r="H5257">
            <v>4</v>
          </cell>
          <cell r="I5257">
            <v>2</v>
          </cell>
          <cell r="J5257">
            <v>2</v>
          </cell>
          <cell r="K5257">
            <v>3</v>
          </cell>
        </row>
        <row r="5258">
          <cell r="A5258" t="str">
            <v>MC</v>
          </cell>
          <cell r="B5258" t="str">
            <v>CA304</v>
          </cell>
          <cell r="C5258" t="str">
            <v>MC</v>
          </cell>
          <cell r="D5258" t="str">
            <v>2609</v>
          </cell>
          <cell r="E5258" t="str">
            <v>C SWG</v>
          </cell>
          <cell r="F5258">
            <v>2</v>
          </cell>
          <cell r="G5258" t="str">
            <v>CB1614050804IH</v>
          </cell>
          <cell r="H5258">
            <v>4</v>
          </cell>
          <cell r="I5258">
            <v>1.5</v>
          </cell>
          <cell r="J5258">
            <v>2</v>
          </cell>
          <cell r="K5258">
            <v>3</v>
          </cell>
        </row>
        <row r="5259">
          <cell r="A5259" t="str">
            <v>MC</v>
          </cell>
          <cell r="B5259" t="str">
            <v>CA304</v>
          </cell>
          <cell r="C5259" t="str">
            <v>MC</v>
          </cell>
          <cell r="D5259" t="str">
            <v>2505</v>
          </cell>
          <cell r="E5259" t="str">
            <v>E RED</v>
          </cell>
          <cell r="F5259">
            <v>2</v>
          </cell>
          <cell r="G5259" t="str">
            <v>CB300605050402</v>
          </cell>
          <cell r="H5259">
            <v>4</v>
          </cell>
          <cell r="I5259">
            <v>2</v>
          </cell>
          <cell r="J5259">
            <v>2</v>
          </cell>
          <cell r="K5259">
            <v>3</v>
          </cell>
        </row>
        <row r="5260">
          <cell r="A5260" t="str">
            <v>MC</v>
          </cell>
          <cell r="B5260" t="str">
            <v>CA304</v>
          </cell>
          <cell r="C5260" t="str">
            <v>CMC</v>
          </cell>
          <cell r="D5260" t="str">
            <v>HOLD</v>
          </cell>
          <cell r="E5260" t="str">
            <v>SOL</v>
          </cell>
          <cell r="F5260">
            <v>2</v>
          </cell>
          <cell r="G5260" t="str">
            <v>CB39020000040T</v>
          </cell>
          <cell r="H5260">
            <v>4</v>
          </cell>
          <cell r="I5260">
            <v>0.75</v>
          </cell>
          <cell r="J5260">
            <v>1</v>
          </cell>
          <cell r="K5260">
            <v>2</v>
          </cell>
        </row>
        <row r="5261">
          <cell r="A5261" t="str">
            <v>MC</v>
          </cell>
          <cell r="B5261" t="str">
            <v>CA304</v>
          </cell>
          <cell r="C5261" t="str">
            <v>CMC</v>
          </cell>
          <cell r="D5261" t="str">
            <v>HOLD</v>
          </cell>
          <cell r="E5261" t="str">
            <v>SOL</v>
          </cell>
          <cell r="F5261">
            <v>2</v>
          </cell>
          <cell r="G5261" t="str">
            <v>CB39020000040T</v>
          </cell>
          <cell r="H5261">
            <v>4</v>
          </cell>
          <cell r="I5261">
            <v>0.75</v>
          </cell>
          <cell r="J5261">
            <v>1</v>
          </cell>
          <cell r="K5261">
            <v>2</v>
          </cell>
        </row>
        <row r="5262">
          <cell r="A5262" t="str">
            <v>MC</v>
          </cell>
          <cell r="B5262" t="str">
            <v>CA304</v>
          </cell>
          <cell r="C5262" t="str">
            <v>CMC</v>
          </cell>
          <cell r="D5262" t="str">
            <v>HOLD</v>
          </cell>
          <cell r="E5262" t="str">
            <v>TEE</v>
          </cell>
          <cell r="F5262">
            <v>2</v>
          </cell>
          <cell r="G5262" t="str">
            <v>CB300305000400</v>
          </cell>
          <cell r="H5262">
            <v>4</v>
          </cell>
          <cell r="I5262" t="str">
            <v>--</v>
          </cell>
          <cell r="J5262">
            <v>1</v>
          </cell>
          <cell r="K5262">
            <v>2</v>
          </cell>
        </row>
        <row r="5263">
          <cell r="A5263" t="str">
            <v>MC</v>
          </cell>
          <cell r="B5263" t="str">
            <v>CA304</v>
          </cell>
          <cell r="C5263" t="str">
            <v>VT</v>
          </cell>
          <cell r="D5263" t="str">
            <v>HOLD</v>
          </cell>
          <cell r="E5263" t="str">
            <v>TEE</v>
          </cell>
          <cell r="F5263">
            <v>2</v>
          </cell>
          <cell r="G5263" t="str">
            <v>CB300305000400</v>
          </cell>
          <cell r="H5263">
            <v>4</v>
          </cell>
          <cell r="I5263" t="str">
            <v>--</v>
          </cell>
          <cell r="J5263">
            <v>1</v>
          </cell>
          <cell r="K5263">
            <v>2</v>
          </cell>
        </row>
        <row r="5264">
          <cell r="A5264" t="str">
            <v>MC</v>
          </cell>
          <cell r="B5264" t="str">
            <v>CA307</v>
          </cell>
          <cell r="C5264" t="str">
            <v>P</v>
          </cell>
          <cell r="D5264" t="str">
            <v>HOLD1</v>
          </cell>
          <cell r="E5264" t="str">
            <v>TOL</v>
          </cell>
          <cell r="F5264">
            <v>2</v>
          </cell>
          <cell r="G5264" t="str">
            <v>CB39030000040T</v>
          </cell>
          <cell r="H5264">
            <v>4</v>
          </cell>
          <cell r="I5264">
            <v>0.75</v>
          </cell>
          <cell r="J5264">
            <v>1</v>
          </cell>
          <cell r="K5264">
            <v>2</v>
          </cell>
        </row>
        <row r="5265">
          <cell r="A5265" t="str">
            <v>MC</v>
          </cell>
          <cell r="B5265" t="str">
            <v>CA304</v>
          </cell>
          <cell r="C5265" t="str">
            <v>MC</v>
          </cell>
          <cell r="D5265" t="str">
            <v>2502</v>
          </cell>
          <cell r="E5265" t="str">
            <v>90 ELL</v>
          </cell>
          <cell r="F5265">
            <v>2</v>
          </cell>
          <cell r="G5265" t="str">
            <v>CB300105000400</v>
          </cell>
          <cell r="H5265">
            <v>4</v>
          </cell>
          <cell r="I5265" t="str">
            <v>--</v>
          </cell>
          <cell r="J5265">
            <v>8</v>
          </cell>
          <cell r="K5265">
            <v>10</v>
          </cell>
        </row>
        <row r="5266">
          <cell r="A5266" t="str">
            <v>MC</v>
          </cell>
          <cell r="B5266" t="str">
            <v>CA304</v>
          </cell>
          <cell r="C5266" t="str">
            <v>MC</v>
          </cell>
          <cell r="D5266" t="str">
            <v>2502</v>
          </cell>
          <cell r="E5266" t="str">
            <v>90 ELL</v>
          </cell>
          <cell r="F5266">
            <v>2</v>
          </cell>
          <cell r="G5266" t="str">
            <v>CB300105000400</v>
          </cell>
          <cell r="H5266">
            <v>4</v>
          </cell>
          <cell r="I5266" t="str">
            <v>--</v>
          </cell>
          <cell r="J5266">
            <v>7</v>
          </cell>
          <cell r="K5266">
            <v>9</v>
          </cell>
        </row>
        <row r="5267">
          <cell r="A5267" t="str">
            <v>MC</v>
          </cell>
          <cell r="B5267" t="str">
            <v>CA304</v>
          </cell>
          <cell r="C5267" t="str">
            <v>MC</v>
          </cell>
          <cell r="D5267" t="str">
            <v>HOLD</v>
          </cell>
          <cell r="E5267" t="str">
            <v>90 ELL</v>
          </cell>
          <cell r="F5267">
            <v>2</v>
          </cell>
          <cell r="G5267" t="str">
            <v>CB300105000400</v>
          </cell>
          <cell r="H5267">
            <v>4</v>
          </cell>
          <cell r="I5267" t="str">
            <v>--</v>
          </cell>
          <cell r="J5267">
            <v>5</v>
          </cell>
          <cell r="K5267">
            <v>6</v>
          </cell>
        </row>
        <row r="5268">
          <cell r="A5268" t="str">
            <v>MC</v>
          </cell>
          <cell r="B5268" t="str">
            <v>CA304</v>
          </cell>
          <cell r="C5268" t="str">
            <v>MC</v>
          </cell>
          <cell r="D5268" t="str">
            <v>HOLD</v>
          </cell>
          <cell r="E5268" t="str">
            <v>90 ELL</v>
          </cell>
          <cell r="F5268">
            <v>2</v>
          </cell>
          <cell r="G5268" t="str">
            <v>CB300105000400</v>
          </cell>
          <cell r="H5268">
            <v>4</v>
          </cell>
          <cell r="I5268" t="str">
            <v>--</v>
          </cell>
          <cell r="J5268">
            <v>5</v>
          </cell>
          <cell r="K5268">
            <v>6</v>
          </cell>
        </row>
        <row r="5269">
          <cell r="A5269" t="str">
            <v>MC</v>
          </cell>
          <cell r="B5269" t="str">
            <v>CA304</v>
          </cell>
          <cell r="C5269" t="str">
            <v>MC</v>
          </cell>
          <cell r="D5269" t="str">
            <v>2503</v>
          </cell>
          <cell r="E5269" t="str">
            <v>90 ELL</v>
          </cell>
          <cell r="F5269">
            <v>2</v>
          </cell>
          <cell r="G5269" t="str">
            <v>CB300105000400</v>
          </cell>
          <cell r="H5269">
            <v>4</v>
          </cell>
          <cell r="I5269" t="str">
            <v>--</v>
          </cell>
          <cell r="J5269">
            <v>3</v>
          </cell>
          <cell r="K5269">
            <v>4</v>
          </cell>
        </row>
        <row r="5270">
          <cell r="A5270" t="str">
            <v>MC</v>
          </cell>
          <cell r="B5270" t="str">
            <v>CA304</v>
          </cell>
          <cell r="C5270" t="str">
            <v>MC</v>
          </cell>
          <cell r="D5270" t="str">
            <v>HOLD</v>
          </cell>
          <cell r="E5270" t="str">
            <v>90 ELL</v>
          </cell>
          <cell r="F5270">
            <v>2</v>
          </cell>
          <cell r="G5270" t="str">
            <v>CB300105000400</v>
          </cell>
          <cell r="H5270">
            <v>4</v>
          </cell>
          <cell r="I5270" t="str">
            <v>--</v>
          </cell>
          <cell r="J5270">
            <v>5</v>
          </cell>
          <cell r="K5270">
            <v>6</v>
          </cell>
        </row>
        <row r="5271">
          <cell r="A5271" t="str">
            <v>MC</v>
          </cell>
          <cell r="B5271" t="str">
            <v>CA304</v>
          </cell>
          <cell r="C5271" t="str">
            <v>MC</v>
          </cell>
          <cell r="D5271" t="str">
            <v>2604</v>
          </cell>
          <cell r="E5271" t="str">
            <v>C RED</v>
          </cell>
          <cell r="F5271">
            <v>2</v>
          </cell>
          <cell r="G5271" t="str">
            <v>CB300505050402</v>
          </cell>
          <cell r="H5271">
            <v>4</v>
          </cell>
          <cell r="I5271">
            <v>2</v>
          </cell>
          <cell r="J5271">
            <v>2</v>
          </cell>
          <cell r="K5271">
            <v>3</v>
          </cell>
        </row>
        <row r="5272">
          <cell r="A5272" t="str">
            <v>MC</v>
          </cell>
          <cell r="B5272" t="str">
            <v>CA304</v>
          </cell>
          <cell r="C5272" t="str">
            <v>MC</v>
          </cell>
          <cell r="D5272" t="str">
            <v>2502</v>
          </cell>
          <cell r="E5272" t="str">
            <v>E RED</v>
          </cell>
          <cell r="F5272">
            <v>2</v>
          </cell>
          <cell r="G5272" t="str">
            <v>CB300605050403</v>
          </cell>
          <cell r="H5272">
            <v>4</v>
          </cell>
          <cell r="I5272">
            <v>3</v>
          </cell>
          <cell r="J5272">
            <v>2</v>
          </cell>
          <cell r="K5272">
            <v>3</v>
          </cell>
        </row>
        <row r="5273">
          <cell r="A5273" t="str">
            <v>MC</v>
          </cell>
          <cell r="B5273" t="str">
            <v>CA304</v>
          </cell>
          <cell r="C5273" t="str">
            <v>MC</v>
          </cell>
          <cell r="D5273" t="str">
            <v>2502</v>
          </cell>
          <cell r="E5273" t="str">
            <v>E RED</v>
          </cell>
          <cell r="F5273">
            <v>2</v>
          </cell>
          <cell r="G5273" t="str">
            <v>CB300605050403</v>
          </cell>
          <cell r="H5273">
            <v>4</v>
          </cell>
          <cell r="I5273">
            <v>3</v>
          </cell>
          <cell r="J5273">
            <v>2</v>
          </cell>
          <cell r="K5273">
            <v>3</v>
          </cell>
        </row>
        <row r="5274">
          <cell r="A5274" t="str">
            <v>MC</v>
          </cell>
          <cell r="B5274" t="str">
            <v>CA304</v>
          </cell>
          <cell r="C5274" t="str">
            <v>MC</v>
          </cell>
          <cell r="D5274" t="str">
            <v>2502</v>
          </cell>
          <cell r="E5274" t="str">
            <v>SOL</v>
          </cell>
          <cell r="F5274">
            <v>2</v>
          </cell>
          <cell r="G5274" t="str">
            <v>CB39020000040T</v>
          </cell>
          <cell r="H5274">
            <v>4</v>
          </cell>
          <cell r="I5274">
            <v>0.75</v>
          </cell>
          <cell r="J5274">
            <v>1</v>
          </cell>
          <cell r="K5274">
            <v>2</v>
          </cell>
        </row>
        <row r="5275">
          <cell r="A5275" t="str">
            <v>MC</v>
          </cell>
          <cell r="B5275" t="str">
            <v>B2C</v>
          </cell>
          <cell r="C5275" t="str">
            <v>SH</v>
          </cell>
          <cell r="D5275" t="str">
            <v>1360</v>
          </cell>
          <cell r="E5275" t="str">
            <v>90 ELL</v>
          </cell>
          <cell r="F5275">
            <v>2</v>
          </cell>
          <cell r="G5275" t="str">
            <v>CB300104000600</v>
          </cell>
          <cell r="H5275">
            <v>6</v>
          </cell>
          <cell r="I5275" t="str">
            <v>--</v>
          </cell>
          <cell r="J5275">
            <v>2</v>
          </cell>
          <cell r="K5275">
            <v>3</v>
          </cell>
        </row>
        <row r="5276">
          <cell r="A5276" t="str">
            <v>MC</v>
          </cell>
          <cell r="B5276" t="str">
            <v>B2C</v>
          </cell>
          <cell r="C5276" t="str">
            <v>SH</v>
          </cell>
          <cell r="D5276" t="str">
            <v>1460</v>
          </cell>
          <cell r="E5276" t="str">
            <v>90 ELL</v>
          </cell>
          <cell r="F5276">
            <v>2</v>
          </cell>
          <cell r="G5276" t="str">
            <v>CB300104000600</v>
          </cell>
          <cell r="H5276">
            <v>6</v>
          </cell>
          <cell r="I5276" t="str">
            <v>--</v>
          </cell>
          <cell r="J5276">
            <v>7</v>
          </cell>
          <cell r="K5276">
            <v>9</v>
          </cell>
        </row>
        <row r="5277">
          <cell r="A5277" t="str">
            <v>MC</v>
          </cell>
          <cell r="B5277" t="str">
            <v>B2C</v>
          </cell>
          <cell r="C5277" t="str">
            <v>SH</v>
          </cell>
          <cell r="D5277" t="str">
            <v>1000</v>
          </cell>
          <cell r="E5277" t="str">
            <v>CAP</v>
          </cell>
          <cell r="F5277">
            <v>2</v>
          </cell>
          <cell r="G5277" t="str">
            <v>CB300704000600</v>
          </cell>
          <cell r="H5277">
            <v>6</v>
          </cell>
          <cell r="I5277" t="str">
            <v>--</v>
          </cell>
          <cell r="J5277">
            <v>2</v>
          </cell>
          <cell r="K5277">
            <v>3</v>
          </cell>
        </row>
        <row r="5278">
          <cell r="A5278" t="str">
            <v>MC</v>
          </cell>
          <cell r="B5278" t="str">
            <v>B2C</v>
          </cell>
          <cell r="C5278" t="str">
            <v>SH</v>
          </cell>
          <cell r="D5278" t="str">
            <v>1460</v>
          </cell>
          <cell r="E5278" t="str">
            <v>E RED</v>
          </cell>
          <cell r="F5278">
            <v>2</v>
          </cell>
          <cell r="G5278" t="str">
            <v>CB300604040604</v>
          </cell>
          <cell r="H5278">
            <v>6</v>
          </cell>
          <cell r="I5278">
            <v>4</v>
          </cell>
          <cell r="J5278">
            <v>2</v>
          </cell>
          <cell r="K5278">
            <v>3</v>
          </cell>
        </row>
        <row r="5279">
          <cell r="A5279" t="str">
            <v>MC</v>
          </cell>
          <cell r="B5279" t="str">
            <v>B2C</v>
          </cell>
          <cell r="C5279" t="str">
            <v>SH</v>
          </cell>
          <cell r="D5279" t="str">
            <v>1460</v>
          </cell>
          <cell r="E5279" t="str">
            <v>SOL</v>
          </cell>
          <cell r="F5279">
            <v>2</v>
          </cell>
          <cell r="G5279" t="str">
            <v>CB39020000060T</v>
          </cell>
          <cell r="H5279">
            <v>6</v>
          </cell>
          <cell r="I5279">
            <v>0.75</v>
          </cell>
          <cell r="J5279">
            <v>3</v>
          </cell>
          <cell r="K5279">
            <v>4</v>
          </cell>
        </row>
        <row r="5280">
          <cell r="A5280" t="str">
            <v>MC</v>
          </cell>
          <cell r="B5280" t="str">
            <v>B2C</v>
          </cell>
          <cell r="C5280" t="str">
            <v>SH</v>
          </cell>
          <cell r="D5280" t="str">
            <v>1000</v>
          </cell>
          <cell r="E5280" t="str">
            <v>SOL</v>
          </cell>
          <cell r="F5280">
            <v>2</v>
          </cell>
          <cell r="G5280" t="str">
            <v>CB39020000060T</v>
          </cell>
          <cell r="H5280">
            <v>6</v>
          </cell>
          <cell r="I5280">
            <v>0.75</v>
          </cell>
          <cell r="J5280">
            <v>4</v>
          </cell>
          <cell r="K5280">
            <v>5</v>
          </cell>
        </row>
        <row r="5281">
          <cell r="A5281" t="str">
            <v>MC</v>
          </cell>
          <cell r="B5281" t="str">
            <v>CA307</v>
          </cell>
          <cell r="C5281" t="str">
            <v>HCLG</v>
          </cell>
          <cell r="D5281" t="str">
            <v>1100</v>
          </cell>
          <cell r="E5281" t="str">
            <v>90 ELL</v>
          </cell>
          <cell r="F5281">
            <v>2</v>
          </cell>
          <cell r="G5281" t="str">
            <v>CB300105000600</v>
          </cell>
          <cell r="H5281">
            <v>6</v>
          </cell>
          <cell r="I5281" t="str">
            <v>--</v>
          </cell>
          <cell r="J5281">
            <v>2</v>
          </cell>
          <cell r="K5281">
            <v>3</v>
          </cell>
        </row>
        <row r="5282">
          <cell r="A5282" t="str">
            <v>MC</v>
          </cell>
          <cell r="B5282" t="str">
            <v>CA304</v>
          </cell>
          <cell r="C5282" t="str">
            <v>CMC</v>
          </cell>
          <cell r="D5282" t="str">
            <v>HOLD</v>
          </cell>
          <cell r="E5282" t="str">
            <v>90 ELL</v>
          </cell>
          <cell r="F5282">
            <v>2</v>
          </cell>
          <cell r="G5282" t="str">
            <v>CB300105000600</v>
          </cell>
          <cell r="H5282">
            <v>6</v>
          </cell>
          <cell r="I5282" t="str">
            <v>--</v>
          </cell>
          <cell r="J5282">
            <v>1</v>
          </cell>
          <cell r="K5282">
            <v>2</v>
          </cell>
        </row>
        <row r="5283">
          <cell r="A5283" t="str">
            <v>MC</v>
          </cell>
          <cell r="B5283" t="str">
            <v>CA304</v>
          </cell>
          <cell r="C5283" t="str">
            <v>CMC</v>
          </cell>
          <cell r="D5283" t="str">
            <v>HOLD</v>
          </cell>
          <cell r="E5283" t="str">
            <v>90 ELL</v>
          </cell>
          <cell r="F5283">
            <v>2</v>
          </cell>
          <cell r="G5283" t="str">
            <v>CB300105000600</v>
          </cell>
          <cell r="H5283">
            <v>6</v>
          </cell>
          <cell r="I5283" t="str">
            <v>--</v>
          </cell>
          <cell r="J5283">
            <v>4</v>
          </cell>
          <cell r="K5283">
            <v>5</v>
          </cell>
        </row>
        <row r="5284">
          <cell r="A5284" t="str">
            <v>MC</v>
          </cell>
          <cell r="B5284" t="str">
            <v>CA304</v>
          </cell>
          <cell r="C5284" t="str">
            <v>CMC</v>
          </cell>
          <cell r="D5284" t="str">
            <v>HOLD</v>
          </cell>
          <cell r="E5284" t="str">
            <v>90 ELL</v>
          </cell>
          <cell r="F5284">
            <v>2</v>
          </cell>
          <cell r="G5284" t="str">
            <v>CB300105000600</v>
          </cell>
          <cell r="H5284">
            <v>6</v>
          </cell>
          <cell r="I5284" t="str">
            <v>--</v>
          </cell>
          <cell r="J5284">
            <v>1</v>
          </cell>
          <cell r="K5284">
            <v>2</v>
          </cell>
        </row>
        <row r="5285">
          <cell r="A5285" t="str">
            <v>MC</v>
          </cell>
          <cell r="B5285" t="str">
            <v>CA307</v>
          </cell>
          <cell r="C5285" t="str">
            <v>HCL</v>
          </cell>
          <cell r="D5285" t="str">
            <v>1100</v>
          </cell>
          <cell r="E5285" t="str">
            <v>90 ELL</v>
          </cell>
          <cell r="F5285">
            <v>2</v>
          </cell>
          <cell r="G5285" t="str">
            <v>CB300105000600</v>
          </cell>
          <cell r="H5285">
            <v>6</v>
          </cell>
          <cell r="I5285" t="str">
            <v>--</v>
          </cell>
          <cell r="J5285">
            <v>13</v>
          </cell>
          <cell r="K5285">
            <v>15</v>
          </cell>
        </row>
        <row r="5286">
          <cell r="A5286" t="str">
            <v>MC</v>
          </cell>
          <cell r="B5286" t="str">
            <v>CA304</v>
          </cell>
          <cell r="C5286" t="str">
            <v>MC</v>
          </cell>
          <cell r="D5286" t="str">
            <v>2410</v>
          </cell>
          <cell r="E5286" t="str">
            <v>90 ELL</v>
          </cell>
          <cell r="F5286">
            <v>2</v>
          </cell>
          <cell r="G5286" t="str">
            <v>CB300105000600</v>
          </cell>
          <cell r="H5286">
            <v>6</v>
          </cell>
          <cell r="I5286" t="str">
            <v>--</v>
          </cell>
          <cell r="J5286">
            <v>3</v>
          </cell>
          <cell r="K5286">
            <v>4</v>
          </cell>
        </row>
        <row r="5287">
          <cell r="A5287" t="str">
            <v>MC</v>
          </cell>
          <cell r="B5287" t="str">
            <v>CA304</v>
          </cell>
          <cell r="C5287" t="str">
            <v>MC</v>
          </cell>
          <cell r="D5287" t="str">
            <v>2412</v>
          </cell>
          <cell r="E5287" t="str">
            <v>90 ELL</v>
          </cell>
          <cell r="F5287">
            <v>2</v>
          </cell>
          <cell r="G5287" t="str">
            <v>CB300105000600</v>
          </cell>
          <cell r="H5287">
            <v>6</v>
          </cell>
          <cell r="I5287" t="str">
            <v>--</v>
          </cell>
          <cell r="J5287">
            <v>4</v>
          </cell>
          <cell r="K5287">
            <v>5</v>
          </cell>
        </row>
        <row r="5288">
          <cell r="A5288" t="str">
            <v>MC</v>
          </cell>
          <cell r="B5288" t="str">
            <v>BA305</v>
          </cell>
          <cell r="C5288" t="str">
            <v>MOH</v>
          </cell>
          <cell r="D5288" t="str">
            <v>HOLD</v>
          </cell>
          <cell r="E5288" t="str">
            <v>90 ELL</v>
          </cell>
          <cell r="F5288">
            <v>2</v>
          </cell>
          <cell r="G5288" t="str">
            <v>CB300105000600</v>
          </cell>
          <cell r="H5288">
            <v>6</v>
          </cell>
          <cell r="I5288" t="str">
            <v>--</v>
          </cell>
          <cell r="J5288">
            <v>3</v>
          </cell>
          <cell r="K5288">
            <v>4</v>
          </cell>
        </row>
        <row r="5289">
          <cell r="A5289" t="str">
            <v>MC</v>
          </cell>
          <cell r="B5289" t="str">
            <v>CA304</v>
          </cell>
          <cell r="C5289" t="str">
            <v>MC</v>
          </cell>
          <cell r="D5289" t="str">
            <v>2613</v>
          </cell>
          <cell r="E5289" t="str">
            <v>90 ELL</v>
          </cell>
          <cell r="F5289">
            <v>2</v>
          </cell>
          <cell r="G5289" t="str">
            <v>CB300105000600</v>
          </cell>
          <cell r="H5289">
            <v>6</v>
          </cell>
          <cell r="I5289" t="str">
            <v>--</v>
          </cell>
          <cell r="J5289">
            <v>9</v>
          </cell>
          <cell r="K5289">
            <v>11</v>
          </cell>
        </row>
        <row r="5290">
          <cell r="A5290" t="str">
            <v>MC</v>
          </cell>
          <cell r="B5290" t="str">
            <v>CA307</v>
          </cell>
          <cell r="C5290" t="str">
            <v>HCL</v>
          </cell>
          <cell r="D5290" t="str">
            <v>1100</v>
          </cell>
          <cell r="E5290" t="str">
            <v>SOL</v>
          </cell>
          <cell r="F5290">
            <v>2</v>
          </cell>
          <cell r="G5290" t="str">
            <v>CB39020000060T</v>
          </cell>
          <cell r="H5290">
            <v>6</v>
          </cell>
          <cell r="I5290">
            <v>0.75</v>
          </cell>
          <cell r="J5290">
            <v>4</v>
          </cell>
          <cell r="K5290">
            <v>5</v>
          </cell>
        </row>
        <row r="5291">
          <cell r="A5291" t="str">
            <v>MC</v>
          </cell>
          <cell r="B5291" t="str">
            <v>CA304</v>
          </cell>
          <cell r="C5291" t="str">
            <v>MC</v>
          </cell>
          <cell r="D5291" t="str">
            <v>2410</v>
          </cell>
          <cell r="E5291" t="str">
            <v>SOL</v>
          </cell>
          <cell r="F5291">
            <v>2</v>
          </cell>
          <cell r="G5291" t="str">
            <v>CB39020000060T</v>
          </cell>
          <cell r="H5291">
            <v>6</v>
          </cell>
          <cell r="I5291">
            <v>0.75</v>
          </cell>
          <cell r="J5291">
            <v>3</v>
          </cell>
          <cell r="K5291">
            <v>4</v>
          </cell>
        </row>
        <row r="5292">
          <cell r="A5292" t="str">
            <v>MC</v>
          </cell>
          <cell r="B5292" t="str">
            <v>CA304</v>
          </cell>
          <cell r="C5292" t="str">
            <v>MC</v>
          </cell>
          <cell r="D5292" t="str">
            <v>2412</v>
          </cell>
          <cell r="E5292" t="str">
            <v>SOL</v>
          </cell>
          <cell r="F5292">
            <v>2</v>
          </cell>
          <cell r="G5292" t="str">
            <v>CB39020000060T</v>
          </cell>
          <cell r="H5292">
            <v>6</v>
          </cell>
          <cell r="I5292">
            <v>0.75</v>
          </cell>
          <cell r="J5292">
            <v>1</v>
          </cell>
          <cell r="K5292">
            <v>2</v>
          </cell>
        </row>
        <row r="5293">
          <cell r="A5293" t="str">
            <v>MC</v>
          </cell>
          <cell r="B5293" t="str">
            <v>CA304</v>
          </cell>
          <cell r="C5293" t="str">
            <v>CMC</v>
          </cell>
          <cell r="D5293" t="str">
            <v>HOLD</v>
          </cell>
          <cell r="E5293" t="str">
            <v>TEE</v>
          </cell>
          <cell r="F5293">
            <v>2</v>
          </cell>
          <cell r="G5293" t="str">
            <v>CB300305000600</v>
          </cell>
          <cell r="H5293">
            <v>6</v>
          </cell>
          <cell r="I5293" t="str">
            <v>--</v>
          </cell>
          <cell r="J5293">
            <v>1</v>
          </cell>
          <cell r="K5293">
            <v>2</v>
          </cell>
        </row>
        <row r="5294">
          <cell r="A5294" t="str">
            <v>MC</v>
          </cell>
          <cell r="B5294" t="str">
            <v>CA307</v>
          </cell>
          <cell r="C5294" t="str">
            <v>HCL</v>
          </cell>
          <cell r="D5294" t="str">
            <v>1100</v>
          </cell>
          <cell r="E5294" t="str">
            <v>TEE</v>
          </cell>
          <cell r="F5294">
            <v>2</v>
          </cell>
          <cell r="G5294" t="str">
            <v>CB300305000600</v>
          </cell>
          <cell r="H5294">
            <v>6</v>
          </cell>
          <cell r="I5294" t="str">
            <v>--</v>
          </cell>
          <cell r="J5294">
            <v>1</v>
          </cell>
          <cell r="K5294">
            <v>2</v>
          </cell>
        </row>
        <row r="5295">
          <cell r="A5295" t="str">
            <v>MC</v>
          </cell>
          <cell r="B5295" t="str">
            <v>CA307</v>
          </cell>
          <cell r="C5295" t="str">
            <v>HCLG</v>
          </cell>
          <cell r="D5295" t="str">
            <v>1100</v>
          </cell>
          <cell r="E5295" t="str">
            <v>TOL</v>
          </cell>
          <cell r="F5295">
            <v>2</v>
          </cell>
          <cell r="G5295" t="str">
            <v>CB39030000060T</v>
          </cell>
          <cell r="H5295">
            <v>6</v>
          </cell>
          <cell r="I5295">
            <v>0.75</v>
          </cell>
          <cell r="J5295">
            <v>1</v>
          </cell>
          <cell r="K5295">
            <v>2</v>
          </cell>
        </row>
        <row r="5296">
          <cell r="A5296" t="str">
            <v>MC</v>
          </cell>
          <cell r="B5296" t="str">
            <v>CA304</v>
          </cell>
          <cell r="C5296" t="str">
            <v>MC</v>
          </cell>
          <cell r="D5296" t="str">
            <v>2502</v>
          </cell>
          <cell r="E5296" t="str">
            <v>45 ELL</v>
          </cell>
          <cell r="F5296">
            <v>2</v>
          </cell>
          <cell r="G5296" t="str">
            <v>CB300205000600</v>
          </cell>
          <cell r="H5296">
            <v>6</v>
          </cell>
          <cell r="I5296" t="str">
            <v>--</v>
          </cell>
          <cell r="J5296">
            <v>1</v>
          </cell>
          <cell r="K5296">
            <v>2</v>
          </cell>
        </row>
        <row r="5297">
          <cell r="A5297" t="str">
            <v>MC</v>
          </cell>
          <cell r="B5297" t="str">
            <v>CA304</v>
          </cell>
          <cell r="C5297" t="str">
            <v>MC</v>
          </cell>
          <cell r="D5297" t="str">
            <v>2504</v>
          </cell>
          <cell r="E5297" t="str">
            <v>90 ELL</v>
          </cell>
          <cell r="F5297">
            <v>2</v>
          </cell>
          <cell r="G5297" t="str">
            <v>CB300105000600</v>
          </cell>
          <cell r="H5297">
            <v>6</v>
          </cell>
          <cell r="I5297" t="str">
            <v>--</v>
          </cell>
          <cell r="J5297">
            <v>7</v>
          </cell>
          <cell r="K5297">
            <v>9</v>
          </cell>
        </row>
        <row r="5298">
          <cell r="A5298" t="str">
            <v>MC</v>
          </cell>
          <cell r="B5298" t="str">
            <v>BA305</v>
          </cell>
          <cell r="C5298" t="str">
            <v>MOH</v>
          </cell>
          <cell r="D5298" t="str">
            <v>2103</v>
          </cell>
          <cell r="E5298" t="str">
            <v>90 ELL</v>
          </cell>
          <cell r="F5298">
            <v>2</v>
          </cell>
          <cell r="G5298" t="str">
            <v>CB300105000600</v>
          </cell>
          <cell r="H5298">
            <v>6</v>
          </cell>
          <cell r="I5298" t="str">
            <v>--</v>
          </cell>
          <cell r="J5298">
            <v>5</v>
          </cell>
          <cell r="K5298">
            <v>6</v>
          </cell>
        </row>
        <row r="5299">
          <cell r="A5299" t="str">
            <v>MC</v>
          </cell>
          <cell r="B5299" t="str">
            <v>CA304</v>
          </cell>
          <cell r="C5299" t="str">
            <v>MC</v>
          </cell>
          <cell r="D5299" t="str">
            <v>2502</v>
          </cell>
          <cell r="E5299" t="str">
            <v>90 ELL</v>
          </cell>
          <cell r="F5299">
            <v>2</v>
          </cell>
          <cell r="G5299" t="str">
            <v>CB300105000600</v>
          </cell>
          <cell r="H5299">
            <v>6</v>
          </cell>
          <cell r="I5299" t="str">
            <v>--</v>
          </cell>
          <cell r="J5299">
            <v>4</v>
          </cell>
          <cell r="K5299">
            <v>5</v>
          </cell>
        </row>
        <row r="5300">
          <cell r="A5300" t="str">
            <v>MC</v>
          </cell>
          <cell r="B5300" t="str">
            <v>CA304</v>
          </cell>
          <cell r="C5300" t="str">
            <v>MC</v>
          </cell>
          <cell r="D5300" t="str">
            <v>2502</v>
          </cell>
          <cell r="E5300" t="str">
            <v>90 ELL</v>
          </cell>
          <cell r="F5300">
            <v>2</v>
          </cell>
          <cell r="G5300" t="str">
            <v>CB300105000600</v>
          </cell>
          <cell r="H5300">
            <v>6</v>
          </cell>
          <cell r="I5300" t="str">
            <v>--</v>
          </cell>
          <cell r="J5300">
            <v>6</v>
          </cell>
          <cell r="K5300">
            <v>7</v>
          </cell>
        </row>
        <row r="5301">
          <cell r="A5301" t="str">
            <v>MC</v>
          </cell>
          <cell r="B5301" t="str">
            <v>BA305</v>
          </cell>
          <cell r="C5301" t="str">
            <v>MOH</v>
          </cell>
          <cell r="D5301" t="str">
            <v>2103</v>
          </cell>
          <cell r="E5301" t="str">
            <v>E RED</v>
          </cell>
          <cell r="F5301">
            <v>2</v>
          </cell>
          <cell r="G5301" t="str">
            <v>CB300605050604</v>
          </cell>
          <cell r="H5301">
            <v>6</v>
          </cell>
          <cell r="I5301">
            <v>4</v>
          </cell>
          <cell r="J5301">
            <v>2</v>
          </cell>
          <cell r="K5301">
            <v>3</v>
          </cell>
        </row>
        <row r="5302">
          <cell r="A5302" t="str">
            <v>MC</v>
          </cell>
          <cell r="B5302" t="str">
            <v>CA304</v>
          </cell>
          <cell r="C5302" t="str">
            <v>MC</v>
          </cell>
          <cell r="D5302" t="str">
            <v>2502</v>
          </cell>
          <cell r="E5302" t="str">
            <v>SOL</v>
          </cell>
          <cell r="F5302">
            <v>2</v>
          </cell>
          <cell r="G5302" t="str">
            <v>CB39020000060T</v>
          </cell>
          <cell r="H5302">
            <v>6</v>
          </cell>
          <cell r="I5302">
            <v>0.75</v>
          </cell>
          <cell r="J5302">
            <v>2</v>
          </cell>
          <cell r="K5302">
            <v>3</v>
          </cell>
        </row>
        <row r="5303">
          <cell r="A5303" t="str">
            <v>MC</v>
          </cell>
          <cell r="B5303" t="str">
            <v>CA304</v>
          </cell>
          <cell r="C5303" t="str">
            <v>MC</v>
          </cell>
          <cell r="D5303" t="str">
            <v>2502</v>
          </cell>
          <cell r="E5303" t="str">
            <v>SOL</v>
          </cell>
          <cell r="F5303">
            <v>2</v>
          </cell>
          <cell r="G5303" t="str">
            <v>CB39020000060T</v>
          </cell>
          <cell r="H5303">
            <v>6</v>
          </cell>
          <cell r="I5303">
            <v>0.75</v>
          </cell>
          <cell r="J5303">
            <v>1</v>
          </cell>
          <cell r="K5303">
            <v>2</v>
          </cell>
        </row>
        <row r="5304">
          <cell r="A5304" t="str">
            <v>MC</v>
          </cell>
          <cell r="B5304" t="str">
            <v>CA304</v>
          </cell>
          <cell r="C5304" t="str">
            <v>MC</v>
          </cell>
          <cell r="D5304" t="str">
            <v>2504</v>
          </cell>
          <cell r="E5304" t="str">
            <v>SOL</v>
          </cell>
          <cell r="F5304">
            <v>2</v>
          </cell>
          <cell r="G5304" t="str">
            <v>CB3902000006IH</v>
          </cell>
          <cell r="H5304">
            <v>6</v>
          </cell>
          <cell r="I5304">
            <v>1.5</v>
          </cell>
          <cell r="J5304">
            <v>2</v>
          </cell>
          <cell r="K5304">
            <v>3</v>
          </cell>
        </row>
        <row r="5305">
          <cell r="A5305" t="str">
            <v>MC</v>
          </cell>
          <cell r="B5305" t="str">
            <v>CA304</v>
          </cell>
          <cell r="C5305" t="str">
            <v>MC</v>
          </cell>
          <cell r="D5305" t="str">
            <v>2502</v>
          </cell>
          <cell r="E5305" t="str">
            <v>SOL</v>
          </cell>
          <cell r="F5305">
            <v>2</v>
          </cell>
          <cell r="G5305" t="str">
            <v>CB39020000060T</v>
          </cell>
          <cell r="H5305">
            <v>6</v>
          </cell>
          <cell r="I5305">
            <v>0.75</v>
          </cell>
          <cell r="J5305">
            <v>2</v>
          </cell>
          <cell r="K5305">
            <v>3</v>
          </cell>
        </row>
        <row r="5306">
          <cell r="A5306" t="str">
            <v>MC</v>
          </cell>
          <cell r="B5306" t="str">
            <v>CA304</v>
          </cell>
          <cell r="C5306" t="str">
            <v>MC</v>
          </cell>
          <cell r="D5306" t="str">
            <v>2504</v>
          </cell>
          <cell r="E5306" t="str">
            <v>SOL</v>
          </cell>
          <cell r="F5306">
            <v>2</v>
          </cell>
          <cell r="G5306" t="str">
            <v>CB39020000060T</v>
          </cell>
          <cell r="H5306">
            <v>6</v>
          </cell>
          <cell r="I5306">
            <v>0.75</v>
          </cell>
          <cell r="J5306">
            <v>3</v>
          </cell>
          <cell r="K5306">
            <v>4</v>
          </cell>
        </row>
        <row r="5307">
          <cell r="A5307" t="str">
            <v>MC</v>
          </cell>
          <cell r="B5307" t="str">
            <v>CA304</v>
          </cell>
          <cell r="C5307" t="str">
            <v>MC</v>
          </cell>
          <cell r="D5307" t="str">
            <v>2502</v>
          </cell>
          <cell r="E5307" t="str">
            <v>TEE</v>
          </cell>
          <cell r="F5307">
            <v>2</v>
          </cell>
          <cell r="G5307" t="str">
            <v>CB300305000600</v>
          </cell>
          <cell r="H5307">
            <v>6</v>
          </cell>
          <cell r="I5307" t="str">
            <v>--</v>
          </cell>
          <cell r="J5307">
            <v>1</v>
          </cell>
          <cell r="K5307">
            <v>2</v>
          </cell>
        </row>
        <row r="5308">
          <cell r="A5308" t="str">
            <v>MC</v>
          </cell>
          <cell r="B5308" t="str">
            <v>BA305</v>
          </cell>
          <cell r="C5308" t="str">
            <v>MOH</v>
          </cell>
          <cell r="D5308" t="str">
            <v>2103</v>
          </cell>
          <cell r="E5308" t="str">
            <v>TEE</v>
          </cell>
          <cell r="F5308">
            <v>2</v>
          </cell>
          <cell r="G5308" t="str">
            <v>CB300305000600</v>
          </cell>
          <cell r="H5308">
            <v>6</v>
          </cell>
          <cell r="I5308" t="str">
            <v>--</v>
          </cell>
          <cell r="J5308">
            <v>1</v>
          </cell>
          <cell r="K5308">
            <v>2</v>
          </cell>
        </row>
        <row r="5309">
          <cell r="A5309" t="str">
            <v>MC</v>
          </cell>
          <cell r="B5309" t="str">
            <v>B2C</v>
          </cell>
          <cell r="C5309" t="str">
            <v>SH</v>
          </cell>
          <cell r="D5309" t="str">
            <v>1360</v>
          </cell>
          <cell r="E5309" t="str">
            <v>90 ELL</v>
          </cell>
          <cell r="F5309">
            <v>2</v>
          </cell>
          <cell r="G5309" t="str">
            <v>CB300104000800</v>
          </cell>
          <cell r="H5309">
            <v>8</v>
          </cell>
          <cell r="I5309" t="str">
            <v>--</v>
          </cell>
          <cell r="J5309">
            <v>7</v>
          </cell>
          <cell r="K5309">
            <v>9</v>
          </cell>
        </row>
        <row r="5310">
          <cell r="A5310" t="str">
            <v>MC</v>
          </cell>
          <cell r="B5310" t="str">
            <v>B2C</v>
          </cell>
          <cell r="C5310" t="str">
            <v>SH</v>
          </cell>
          <cell r="D5310" t="str">
            <v>1360</v>
          </cell>
          <cell r="E5310" t="str">
            <v>E RED</v>
          </cell>
          <cell r="F5310">
            <v>2</v>
          </cell>
          <cell r="G5310" t="str">
            <v>CB300604040806</v>
          </cell>
          <cell r="H5310">
            <v>8</v>
          </cell>
          <cell r="I5310">
            <v>6</v>
          </cell>
          <cell r="J5310">
            <v>2</v>
          </cell>
          <cell r="K5310">
            <v>3</v>
          </cell>
        </row>
        <row r="5311">
          <cell r="A5311" t="str">
            <v>MC</v>
          </cell>
          <cell r="B5311" t="str">
            <v>B2C</v>
          </cell>
          <cell r="C5311" t="str">
            <v>SH</v>
          </cell>
          <cell r="D5311" t="str">
            <v>1360</v>
          </cell>
          <cell r="E5311" t="str">
            <v>SOL</v>
          </cell>
          <cell r="F5311">
            <v>2</v>
          </cell>
          <cell r="G5311" t="str">
            <v>CB39020000080T</v>
          </cell>
          <cell r="H5311">
            <v>8</v>
          </cell>
          <cell r="I5311">
            <v>0.75</v>
          </cell>
          <cell r="J5311">
            <v>2</v>
          </cell>
          <cell r="K5311">
            <v>3</v>
          </cell>
        </row>
        <row r="5312">
          <cell r="A5312" t="str">
            <v>MC</v>
          </cell>
          <cell r="B5312" t="str">
            <v>CA304</v>
          </cell>
          <cell r="C5312" t="str">
            <v>MC</v>
          </cell>
          <cell r="D5312" t="str">
            <v>2501</v>
          </cell>
          <cell r="E5312" t="str">
            <v>90 ELL</v>
          </cell>
          <cell r="F5312">
            <v>2</v>
          </cell>
          <cell r="G5312" t="str">
            <v>CB300105000800</v>
          </cell>
          <cell r="H5312">
            <v>8</v>
          </cell>
          <cell r="I5312" t="str">
            <v>--</v>
          </cell>
          <cell r="J5312">
            <v>3</v>
          </cell>
          <cell r="K5312">
            <v>4</v>
          </cell>
        </row>
        <row r="5313">
          <cell r="A5313" t="str">
            <v>MC</v>
          </cell>
          <cell r="B5313" t="str">
            <v>CA304</v>
          </cell>
          <cell r="C5313" t="str">
            <v>MC</v>
          </cell>
          <cell r="D5313" t="str">
            <v>2501</v>
          </cell>
          <cell r="E5313" t="str">
            <v>90 ELL</v>
          </cell>
          <cell r="F5313">
            <v>2</v>
          </cell>
          <cell r="G5313" t="str">
            <v>CB300105000800</v>
          </cell>
          <cell r="H5313">
            <v>8</v>
          </cell>
          <cell r="I5313" t="str">
            <v>--</v>
          </cell>
          <cell r="J5313">
            <v>3</v>
          </cell>
          <cell r="K5313">
            <v>4</v>
          </cell>
        </row>
        <row r="5314">
          <cell r="A5314" t="str">
            <v>MC</v>
          </cell>
          <cell r="B5314" t="str">
            <v>CA304</v>
          </cell>
          <cell r="C5314" t="str">
            <v>MC</v>
          </cell>
          <cell r="D5314" t="str">
            <v>2501</v>
          </cell>
          <cell r="E5314" t="str">
            <v>90 ELL</v>
          </cell>
          <cell r="F5314">
            <v>2</v>
          </cell>
          <cell r="G5314" t="str">
            <v>CB300105000800</v>
          </cell>
          <cell r="H5314">
            <v>8</v>
          </cell>
          <cell r="I5314" t="str">
            <v>--</v>
          </cell>
          <cell r="J5314">
            <v>4</v>
          </cell>
          <cell r="K5314">
            <v>5</v>
          </cell>
        </row>
        <row r="5315">
          <cell r="A5315" t="str">
            <v>MC</v>
          </cell>
          <cell r="B5315" t="str">
            <v>CA304</v>
          </cell>
          <cell r="C5315" t="str">
            <v>MC</v>
          </cell>
          <cell r="D5315" t="str">
            <v>2501</v>
          </cell>
          <cell r="E5315" t="str">
            <v>E RED</v>
          </cell>
          <cell r="F5315">
            <v>2</v>
          </cell>
          <cell r="G5315" t="str">
            <v>CB300605050806</v>
          </cell>
          <cell r="H5315">
            <v>8</v>
          </cell>
          <cell r="I5315">
            <v>6</v>
          </cell>
          <cell r="J5315">
            <v>1</v>
          </cell>
          <cell r="K5315">
            <v>2</v>
          </cell>
        </row>
        <row r="5316">
          <cell r="A5316" t="str">
            <v>MC</v>
          </cell>
          <cell r="B5316" t="str">
            <v>CA304</v>
          </cell>
          <cell r="C5316" t="str">
            <v>MC</v>
          </cell>
          <cell r="D5316" t="str">
            <v>2501</v>
          </cell>
          <cell r="E5316" t="str">
            <v>SOL</v>
          </cell>
          <cell r="F5316">
            <v>2</v>
          </cell>
          <cell r="G5316" t="str">
            <v>CB39020000080T</v>
          </cell>
          <cell r="H5316">
            <v>8</v>
          </cell>
          <cell r="I5316">
            <v>0.75</v>
          </cell>
          <cell r="J5316">
            <v>1</v>
          </cell>
          <cell r="K5316">
            <v>2</v>
          </cell>
        </row>
        <row r="5317">
          <cell r="A5317" t="str">
            <v>MC</v>
          </cell>
          <cell r="B5317" t="str">
            <v>CA304</v>
          </cell>
          <cell r="C5317" t="str">
            <v>MC</v>
          </cell>
          <cell r="D5317" t="str">
            <v>2501</v>
          </cell>
          <cell r="E5317" t="str">
            <v>SOL</v>
          </cell>
          <cell r="F5317">
            <v>2</v>
          </cell>
          <cell r="G5317" t="str">
            <v>CB39020000080T</v>
          </cell>
          <cell r="H5317">
            <v>8</v>
          </cell>
          <cell r="I5317">
            <v>0.75</v>
          </cell>
          <cell r="J5317">
            <v>3</v>
          </cell>
          <cell r="K5317">
            <v>4</v>
          </cell>
        </row>
        <row r="5318">
          <cell r="A5318" t="str">
            <v>MC</v>
          </cell>
          <cell r="B5318" t="str">
            <v>CA304</v>
          </cell>
          <cell r="C5318" t="str">
            <v>MC</v>
          </cell>
          <cell r="D5318" t="str">
            <v>2501</v>
          </cell>
          <cell r="E5318" t="str">
            <v>SOL</v>
          </cell>
          <cell r="F5318">
            <v>2</v>
          </cell>
          <cell r="G5318" t="str">
            <v>CB39020000080T</v>
          </cell>
          <cell r="H5318">
            <v>8</v>
          </cell>
          <cell r="I5318">
            <v>0.75</v>
          </cell>
          <cell r="J5318">
            <v>3</v>
          </cell>
          <cell r="K5318">
            <v>4</v>
          </cell>
        </row>
        <row r="5319">
          <cell r="A5319" t="str">
            <v>MC</v>
          </cell>
          <cell r="B5319" t="str">
            <v>CA304</v>
          </cell>
          <cell r="C5319" t="str">
            <v>MC</v>
          </cell>
          <cell r="D5319" t="str">
            <v>2501</v>
          </cell>
          <cell r="E5319" t="str">
            <v>TEE</v>
          </cell>
          <cell r="F5319">
            <v>2</v>
          </cell>
          <cell r="G5319" t="str">
            <v>CB300305000800</v>
          </cell>
          <cell r="H5319">
            <v>8</v>
          </cell>
          <cell r="I5319" t="str">
            <v>--</v>
          </cell>
          <cell r="J5319">
            <v>1</v>
          </cell>
          <cell r="K5319">
            <v>2</v>
          </cell>
        </row>
        <row r="5320">
          <cell r="A5320" t="str">
            <v>MC</v>
          </cell>
          <cell r="B5320" t="str">
            <v>B2C</v>
          </cell>
          <cell r="C5320" t="str">
            <v>SH</v>
          </cell>
          <cell r="D5320" t="str">
            <v>1000</v>
          </cell>
          <cell r="E5320" t="str">
            <v>90 ELL</v>
          </cell>
          <cell r="F5320">
            <v>2</v>
          </cell>
          <cell r="G5320" t="str">
            <v>CB300104001000</v>
          </cell>
          <cell r="H5320">
            <v>10</v>
          </cell>
          <cell r="I5320" t="str">
            <v>--</v>
          </cell>
          <cell r="J5320">
            <v>6</v>
          </cell>
          <cell r="K5320">
            <v>7</v>
          </cell>
        </row>
        <row r="5321">
          <cell r="A5321" t="str">
            <v>MC</v>
          </cell>
          <cell r="B5321" t="str">
            <v>B2C</v>
          </cell>
          <cell r="C5321" t="str">
            <v>SH</v>
          </cell>
          <cell r="D5321" t="str">
            <v>1000</v>
          </cell>
          <cell r="E5321" t="str">
            <v>SOL</v>
          </cell>
          <cell r="F5321">
            <v>2</v>
          </cell>
          <cell r="G5321" t="str">
            <v>CB3902000010IH</v>
          </cell>
          <cell r="H5321">
            <v>10</v>
          </cell>
          <cell r="I5321">
            <v>1.5</v>
          </cell>
          <cell r="J5321">
            <v>1</v>
          </cell>
          <cell r="K5321">
            <v>2</v>
          </cell>
        </row>
        <row r="5322">
          <cell r="A5322" t="str">
            <v>MC</v>
          </cell>
          <cell r="B5322" t="str">
            <v>B2C</v>
          </cell>
          <cell r="C5322" t="str">
            <v>SH</v>
          </cell>
          <cell r="D5322" t="str">
            <v>1000</v>
          </cell>
          <cell r="E5322" t="str">
            <v>SOL</v>
          </cell>
          <cell r="F5322">
            <v>2</v>
          </cell>
          <cell r="G5322" t="str">
            <v>CB39020000100T</v>
          </cell>
          <cell r="H5322">
            <v>10</v>
          </cell>
          <cell r="I5322">
            <v>0.75</v>
          </cell>
          <cell r="J5322">
            <v>1</v>
          </cell>
          <cell r="K5322">
            <v>2</v>
          </cell>
        </row>
        <row r="5323">
          <cell r="A5323" t="str">
            <v>MC</v>
          </cell>
          <cell r="B5323" t="str">
            <v>CA304</v>
          </cell>
          <cell r="C5323" t="str">
            <v>VT</v>
          </cell>
          <cell r="D5323" t="str">
            <v>HOLD</v>
          </cell>
          <cell r="E5323" t="str">
            <v>90 ELL</v>
          </cell>
          <cell r="F5323">
            <v>2</v>
          </cell>
          <cell r="G5323" t="str">
            <v>CB300105001000</v>
          </cell>
          <cell r="H5323">
            <v>10</v>
          </cell>
          <cell r="I5323" t="str">
            <v>--</v>
          </cell>
          <cell r="J5323">
            <v>3</v>
          </cell>
          <cell r="K5323">
            <v>4</v>
          </cell>
        </row>
        <row r="5324">
          <cell r="A5324" t="str">
            <v>MC</v>
          </cell>
          <cell r="B5324" t="str">
            <v>CA304</v>
          </cell>
          <cell r="C5324" t="str">
            <v>VT</v>
          </cell>
          <cell r="D5324" t="str">
            <v>HOLD</v>
          </cell>
          <cell r="E5324" t="str">
            <v>SOL</v>
          </cell>
          <cell r="F5324">
            <v>2</v>
          </cell>
          <cell r="G5324" t="str">
            <v>CB3902000010IH</v>
          </cell>
          <cell r="H5324">
            <v>10</v>
          </cell>
          <cell r="I5324">
            <v>1.5</v>
          </cell>
          <cell r="J5324">
            <v>1</v>
          </cell>
          <cell r="K5324">
            <v>2</v>
          </cell>
        </row>
        <row r="5325">
          <cell r="A5325" t="str">
            <v>MC</v>
          </cell>
          <cell r="B5325" t="str">
            <v>BA312</v>
          </cell>
          <cell r="C5325" t="str">
            <v>SA98</v>
          </cell>
          <cell r="D5325" t="str">
            <v>2411</v>
          </cell>
          <cell r="E5325" t="str">
            <v>WN FLG</v>
          </cell>
          <cell r="F5325">
            <v>3</v>
          </cell>
          <cell r="G5325" t="str">
            <v>CB200208000H00</v>
          </cell>
          <cell r="H5325">
            <v>0.5</v>
          </cell>
          <cell r="I5325" t="str">
            <v>--</v>
          </cell>
          <cell r="J5325">
            <v>2</v>
          </cell>
          <cell r="K5325">
            <v>2</v>
          </cell>
        </row>
        <row r="5326">
          <cell r="A5326" t="str">
            <v>MC</v>
          </cell>
          <cell r="B5326" t="str">
            <v>CA304</v>
          </cell>
          <cell r="C5326" t="str">
            <v>MC</v>
          </cell>
          <cell r="D5326" t="str">
            <v>HOLD</v>
          </cell>
          <cell r="E5326" t="str">
            <v>SW FLG</v>
          </cell>
          <cell r="F5326">
            <v>3</v>
          </cell>
          <cell r="G5326" t="str">
            <v>CB241208000H00</v>
          </cell>
          <cell r="H5326">
            <v>0.5</v>
          </cell>
          <cell r="I5326" t="str">
            <v>--</v>
          </cell>
          <cell r="J5326">
            <v>1</v>
          </cell>
          <cell r="K5326">
            <v>1</v>
          </cell>
        </row>
        <row r="5327">
          <cell r="A5327" t="str">
            <v>MC</v>
          </cell>
          <cell r="B5327" t="str">
            <v>BA305</v>
          </cell>
          <cell r="C5327" t="str">
            <v>MOH</v>
          </cell>
          <cell r="D5327" t="str">
            <v>2112</v>
          </cell>
          <cell r="E5327" t="str">
            <v>SW FLG</v>
          </cell>
          <cell r="F5327">
            <v>3</v>
          </cell>
          <cell r="G5327" t="str">
            <v>CB240208000T00</v>
          </cell>
          <cell r="H5327">
            <v>0.75</v>
          </cell>
          <cell r="I5327" t="str">
            <v>--</v>
          </cell>
          <cell r="J5327">
            <v>4</v>
          </cell>
          <cell r="K5327">
            <v>4</v>
          </cell>
        </row>
        <row r="5328">
          <cell r="A5328" t="str">
            <v>MC</v>
          </cell>
          <cell r="B5328" t="str">
            <v>BA302</v>
          </cell>
          <cell r="C5328" t="str">
            <v>SD20</v>
          </cell>
          <cell r="D5328" t="str">
            <v>2301</v>
          </cell>
          <cell r="E5328" t="str">
            <v>SW FLG</v>
          </cell>
          <cell r="F5328">
            <v>3</v>
          </cell>
          <cell r="G5328" t="str">
            <v>CB240208000T00</v>
          </cell>
          <cell r="H5328">
            <v>0.75</v>
          </cell>
          <cell r="I5328" t="str">
            <v>--</v>
          </cell>
          <cell r="J5328">
            <v>2</v>
          </cell>
          <cell r="K5328">
            <v>2</v>
          </cell>
        </row>
        <row r="5329">
          <cell r="A5329" t="str">
            <v>MC</v>
          </cell>
          <cell r="B5329" t="str">
            <v>CA304</v>
          </cell>
          <cell r="C5329" t="str">
            <v>TRIM</v>
          </cell>
          <cell r="D5329" t="str">
            <v>F-1251</v>
          </cell>
          <cell r="E5329" t="str">
            <v>SW FLG</v>
          </cell>
          <cell r="F5329">
            <v>3</v>
          </cell>
          <cell r="G5329" t="str">
            <v>CB241208000T00</v>
          </cell>
          <cell r="H5329">
            <v>0.75</v>
          </cell>
          <cell r="I5329" t="str">
            <v>--</v>
          </cell>
          <cell r="J5329">
            <v>2</v>
          </cell>
          <cell r="K5329">
            <v>2</v>
          </cell>
        </row>
        <row r="5330">
          <cell r="A5330" t="str">
            <v>MC</v>
          </cell>
          <cell r="B5330" t="str">
            <v>CA304</v>
          </cell>
          <cell r="C5330" t="str">
            <v>TRIM</v>
          </cell>
          <cell r="D5330" t="str">
            <v>E-1260</v>
          </cell>
          <cell r="E5330" t="str">
            <v>SW FLG</v>
          </cell>
          <cell r="F5330">
            <v>3</v>
          </cell>
          <cell r="G5330" t="str">
            <v>CB241208000T00</v>
          </cell>
          <cell r="H5330">
            <v>0.75</v>
          </cell>
          <cell r="I5330" t="str">
            <v>--</v>
          </cell>
          <cell r="J5330">
            <v>1</v>
          </cell>
          <cell r="K5330">
            <v>1</v>
          </cell>
        </row>
        <row r="5331">
          <cell r="A5331" t="str">
            <v>MC</v>
          </cell>
          <cell r="B5331" t="str">
            <v>CA304</v>
          </cell>
          <cell r="C5331" t="str">
            <v>TRIM</v>
          </cell>
          <cell r="D5331" t="str">
            <v>V-1260A/B</v>
          </cell>
          <cell r="E5331" t="str">
            <v>SW FLG</v>
          </cell>
          <cell r="F5331">
            <v>3</v>
          </cell>
          <cell r="G5331" t="str">
            <v>CB241208000T00</v>
          </cell>
          <cell r="H5331">
            <v>0.75</v>
          </cell>
          <cell r="I5331" t="str">
            <v>--</v>
          </cell>
          <cell r="J5331">
            <v>1</v>
          </cell>
          <cell r="K5331">
            <v>1</v>
          </cell>
        </row>
        <row r="5332">
          <cell r="A5332" t="str">
            <v>MC</v>
          </cell>
          <cell r="B5332" t="str">
            <v>BA305</v>
          </cell>
          <cell r="C5332" t="str">
            <v>VNC</v>
          </cell>
          <cell r="D5332" t="str">
            <v>2016</v>
          </cell>
          <cell r="E5332" t="str">
            <v>SW FLG</v>
          </cell>
          <cell r="F5332">
            <v>3</v>
          </cell>
          <cell r="G5332" t="str">
            <v>CB240208000T00</v>
          </cell>
          <cell r="H5332">
            <v>0.75</v>
          </cell>
          <cell r="I5332" t="str">
            <v>--</v>
          </cell>
          <cell r="J5332">
            <v>1</v>
          </cell>
          <cell r="K5332">
            <v>1</v>
          </cell>
        </row>
        <row r="5333">
          <cell r="A5333" t="str">
            <v>MC</v>
          </cell>
          <cell r="B5333" t="str">
            <v>BA305</v>
          </cell>
          <cell r="C5333" t="str">
            <v>MOH</v>
          </cell>
          <cell r="D5333" t="str">
            <v>2101</v>
          </cell>
          <cell r="E5333" t="str">
            <v>SW FLG</v>
          </cell>
          <cell r="F5333">
            <v>3</v>
          </cell>
          <cell r="G5333" t="str">
            <v>CB240208000T00</v>
          </cell>
          <cell r="H5333">
            <v>0.75</v>
          </cell>
          <cell r="I5333" t="str">
            <v>--</v>
          </cell>
          <cell r="J5333">
            <v>2</v>
          </cell>
          <cell r="K5333">
            <v>2</v>
          </cell>
        </row>
        <row r="5334">
          <cell r="A5334" t="str">
            <v>MC</v>
          </cell>
          <cell r="B5334" t="str">
            <v>CA304</v>
          </cell>
          <cell r="C5334" t="str">
            <v>TRIM</v>
          </cell>
          <cell r="D5334" t="str">
            <v>E-1261</v>
          </cell>
          <cell r="E5334" t="str">
            <v>SW FLG</v>
          </cell>
          <cell r="F5334">
            <v>3</v>
          </cell>
          <cell r="G5334" t="str">
            <v>CB241208000T00</v>
          </cell>
          <cell r="H5334">
            <v>0.75</v>
          </cell>
          <cell r="I5334" t="str">
            <v>--</v>
          </cell>
          <cell r="J5334">
            <v>2</v>
          </cell>
          <cell r="K5334">
            <v>2</v>
          </cell>
        </row>
        <row r="5335">
          <cell r="A5335" t="str">
            <v>MC</v>
          </cell>
          <cell r="B5335" t="str">
            <v>BA312</v>
          </cell>
          <cell r="C5335" t="str">
            <v>SA98</v>
          </cell>
          <cell r="D5335" t="str">
            <v>2411</v>
          </cell>
          <cell r="E5335" t="str">
            <v>WN FLG</v>
          </cell>
          <cell r="F5335">
            <v>3</v>
          </cell>
          <cell r="G5335" t="str">
            <v>CB200208000T00</v>
          </cell>
          <cell r="H5335">
            <v>0.75</v>
          </cell>
          <cell r="I5335" t="str">
            <v>--</v>
          </cell>
          <cell r="J5335">
            <v>4</v>
          </cell>
          <cell r="K5335">
            <v>4</v>
          </cell>
        </row>
        <row r="5336">
          <cell r="A5336" t="str">
            <v>MC</v>
          </cell>
          <cell r="B5336" t="str">
            <v>CA304</v>
          </cell>
          <cell r="C5336" t="str">
            <v>MC</v>
          </cell>
          <cell r="D5336" t="str">
            <v>2604</v>
          </cell>
          <cell r="E5336" t="str">
            <v>SW FLG</v>
          </cell>
          <cell r="F5336">
            <v>3</v>
          </cell>
          <cell r="G5336" t="str">
            <v>CB241208000T00</v>
          </cell>
          <cell r="H5336">
            <v>0.75</v>
          </cell>
          <cell r="I5336" t="str">
            <v>--</v>
          </cell>
          <cell r="J5336">
            <v>5</v>
          </cell>
          <cell r="K5336">
            <v>5</v>
          </cell>
        </row>
        <row r="5337">
          <cell r="A5337" t="str">
            <v>MC</v>
          </cell>
          <cell r="B5337" t="str">
            <v>CA304</v>
          </cell>
          <cell r="C5337" t="str">
            <v>MC</v>
          </cell>
          <cell r="D5337" t="str">
            <v>HOLD</v>
          </cell>
          <cell r="E5337" t="str">
            <v>SW FLG</v>
          </cell>
          <cell r="F5337">
            <v>3</v>
          </cell>
          <cell r="G5337" t="str">
            <v>CB241208000T00</v>
          </cell>
          <cell r="H5337">
            <v>0.75</v>
          </cell>
          <cell r="I5337" t="str">
            <v>--</v>
          </cell>
          <cell r="J5337">
            <v>3</v>
          </cell>
          <cell r="K5337">
            <v>3</v>
          </cell>
        </row>
        <row r="5338">
          <cell r="A5338" t="str">
            <v>MC</v>
          </cell>
          <cell r="B5338" t="str">
            <v>CA304</v>
          </cell>
          <cell r="C5338" t="str">
            <v>MC</v>
          </cell>
          <cell r="D5338" t="str">
            <v>2410</v>
          </cell>
          <cell r="E5338" t="str">
            <v>LWN FLG</v>
          </cell>
          <cell r="F5338">
            <v>3</v>
          </cell>
          <cell r="G5338" t="str">
            <v>CB2912000001WL</v>
          </cell>
          <cell r="H5338">
            <v>1</v>
          </cell>
          <cell r="I5338" t="str">
            <v>150mm</v>
          </cell>
          <cell r="J5338">
            <v>1</v>
          </cell>
          <cell r="K5338">
            <v>1</v>
          </cell>
        </row>
        <row r="5339">
          <cell r="A5339" t="str">
            <v>MC</v>
          </cell>
          <cell r="B5339" t="str">
            <v>CA304</v>
          </cell>
          <cell r="C5339" t="str">
            <v>MC</v>
          </cell>
          <cell r="D5339" t="str">
            <v>2412</v>
          </cell>
          <cell r="E5339" t="str">
            <v>LWN FLG</v>
          </cell>
          <cell r="F5339">
            <v>3</v>
          </cell>
          <cell r="G5339" t="str">
            <v>CB2912000001WL</v>
          </cell>
          <cell r="H5339">
            <v>1</v>
          </cell>
          <cell r="I5339" t="str">
            <v>150mm</v>
          </cell>
          <cell r="J5339">
            <v>1</v>
          </cell>
          <cell r="K5339">
            <v>1</v>
          </cell>
        </row>
        <row r="5340">
          <cell r="A5340" t="str">
            <v>MC</v>
          </cell>
          <cell r="B5340" t="str">
            <v>CA304</v>
          </cell>
          <cell r="C5340" t="str">
            <v>MC</v>
          </cell>
          <cell r="D5340" t="str">
            <v>2505</v>
          </cell>
          <cell r="E5340" t="str">
            <v>LWN FLG</v>
          </cell>
          <cell r="F5340">
            <v>3</v>
          </cell>
          <cell r="G5340" t="str">
            <v>CB2912000001WL</v>
          </cell>
          <cell r="H5340">
            <v>1</v>
          </cell>
          <cell r="I5340" t="str">
            <v>150mm</v>
          </cell>
          <cell r="J5340">
            <v>1</v>
          </cell>
          <cell r="K5340">
            <v>1</v>
          </cell>
        </row>
        <row r="5341">
          <cell r="A5341" t="str">
            <v>MC</v>
          </cell>
          <cell r="B5341" t="str">
            <v>CA304</v>
          </cell>
          <cell r="C5341" t="str">
            <v>MC</v>
          </cell>
          <cell r="D5341" t="str">
            <v>2506</v>
          </cell>
          <cell r="E5341" t="str">
            <v>LWN FLG</v>
          </cell>
          <cell r="F5341">
            <v>3</v>
          </cell>
          <cell r="G5341" t="str">
            <v>CB2912000001WL</v>
          </cell>
          <cell r="H5341">
            <v>1</v>
          </cell>
          <cell r="I5341" t="str">
            <v>150mm</v>
          </cell>
          <cell r="J5341">
            <v>1</v>
          </cell>
          <cell r="K5341">
            <v>1</v>
          </cell>
        </row>
        <row r="5342">
          <cell r="A5342" t="str">
            <v>MC</v>
          </cell>
          <cell r="B5342" t="str">
            <v>CA304</v>
          </cell>
          <cell r="C5342" t="str">
            <v>MC</v>
          </cell>
          <cell r="D5342" t="str">
            <v>2609</v>
          </cell>
          <cell r="E5342" t="str">
            <v>LWN FLG</v>
          </cell>
          <cell r="F5342">
            <v>3</v>
          </cell>
          <cell r="G5342" t="str">
            <v>CB2912000001WL</v>
          </cell>
          <cell r="H5342">
            <v>1</v>
          </cell>
          <cell r="I5342" t="str">
            <v>150mm</v>
          </cell>
          <cell r="J5342">
            <v>1</v>
          </cell>
          <cell r="K5342">
            <v>1</v>
          </cell>
        </row>
        <row r="5343">
          <cell r="A5343" t="str">
            <v>MC</v>
          </cell>
          <cell r="B5343" t="str">
            <v>CA304</v>
          </cell>
          <cell r="C5343" t="str">
            <v>MC</v>
          </cell>
          <cell r="D5343" t="str">
            <v>2501</v>
          </cell>
          <cell r="E5343" t="str">
            <v>LWN FLG</v>
          </cell>
          <cell r="F5343">
            <v>3</v>
          </cell>
          <cell r="G5343" t="str">
            <v>CB2912000001WL</v>
          </cell>
          <cell r="H5343">
            <v>1</v>
          </cell>
          <cell r="I5343" t="str">
            <v>150mm</v>
          </cell>
          <cell r="J5343">
            <v>1</v>
          </cell>
          <cell r="K5343">
            <v>1</v>
          </cell>
        </row>
        <row r="5344">
          <cell r="A5344" t="str">
            <v>MC</v>
          </cell>
          <cell r="B5344" t="str">
            <v>CA304</v>
          </cell>
          <cell r="C5344" t="str">
            <v>MC</v>
          </cell>
          <cell r="D5344" t="str">
            <v>2605</v>
          </cell>
          <cell r="E5344" t="str">
            <v>LWN FLG</v>
          </cell>
          <cell r="F5344">
            <v>3</v>
          </cell>
          <cell r="G5344" t="str">
            <v>CB2912000001WL</v>
          </cell>
          <cell r="H5344">
            <v>1</v>
          </cell>
          <cell r="I5344" t="str">
            <v>150mm</v>
          </cell>
          <cell r="J5344">
            <v>1</v>
          </cell>
          <cell r="K5344">
            <v>1</v>
          </cell>
        </row>
        <row r="5345">
          <cell r="A5345" t="str">
            <v>MC</v>
          </cell>
          <cell r="B5345" t="str">
            <v>CA304</v>
          </cell>
          <cell r="C5345" t="str">
            <v>MC</v>
          </cell>
          <cell r="D5345" t="str">
            <v>2608</v>
          </cell>
          <cell r="E5345" t="str">
            <v>SW FLG</v>
          </cell>
          <cell r="F5345">
            <v>3</v>
          </cell>
          <cell r="G5345" t="str">
            <v>CB241208000100</v>
          </cell>
          <cell r="H5345">
            <v>1</v>
          </cell>
          <cell r="I5345" t="str">
            <v>--</v>
          </cell>
          <cell r="J5345">
            <v>2</v>
          </cell>
          <cell r="K5345">
            <v>2</v>
          </cell>
        </row>
        <row r="5346">
          <cell r="A5346" t="str">
            <v>MC</v>
          </cell>
          <cell r="B5346" t="str">
            <v>BA305</v>
          </cell>
          <cell r="C5346" t="str">
            <v>MOH</v>
          </cell>
          <cell r="D5346" t="str">
            <v>2112</v>
          </cell>
          <cell r="E5346" t="str">
            <v>SW FLG</v>
          </cell>
          <cell r="F5346">
            <v>3</v>
          </cell>
          <cell r="G5346" t="str">
            <v>CB240208000100</v>
          </cell>
          <cell r="H5346">
            <v>1</v>
          </cell>
          <cell r="I5346" t="str">
            <v>--</v>
          </cell>
          <cell r="J5346">
            <v>1</v>
          </cell>
          <cell r="K5346">
            <v>1</v>
          </cell>
        </row>
        <row r="5347">
          <cell r="A5347" t="str">
            <v>MC</v>
          </cell>
          <cell r="B5347" t="str">
            <v>BA302</v>
          </cell>
          <cell r="C5347" t="str">
            <v>SD20</v>
          </cell>
          <cell r="D5347" t="str">
            <v>2301</v>
          </cell>
          <cell r="E5347" t="str">
            <v>SW FLG</v>
          </cell>
          <cell r="F5347">
            <v>3</v>
          </cell>
          <cell r="G5347" t="str">
            <v>CB240208000100</v>
          </cell>
          <cell r="H5347">
            <v>1</v>
          </cell>
          <cell r="I5347" t="str">
            <v>--</v>
          </cell>
          <cell r="J5347">
            <v>1</v>
          </cell>
          <cell r="K5347">
            <v>1</v>
          </cell>
        </row>
        <row r="5348">
          <cell r="A5348" t="str">
            <v>MC</v>
          </cell>
          <cell r="B5348" t="str">
            <v>BA305</v>
          </cell>
          <cell r="C5348" t="str">
            <v>VNC</v>
          </cell>
          <cell r="D5348" t="str">
            <v>2016</v>
          </cell>
          <cell r="E5348" t="str">
            <v>SW FLG</v>
          </cell>
          <cell r="F5348">
            <v>3</v>
          </cell>
          <cell r="G5348" t="str">
            <v>CB240208000100</v>
          </cell>
          <cell r="H5348">
            <v>1</v>
          </cell>
          <cell r="I5348" t="str">
            <v>--</v>
          </cell>
          <cell r="J5348">
            <v>2</v>
          </cell>
          <cell r="K5348">
            <v>2</v>
          </cell>
        </row>
        <row r="5349">
          <cell r="A5349" t="str">
            <v>MC</v>
          </cell>
          <cell r="B5349" t="str">
            <v>BA305</v>
          </cell>
          <cell r="C5349" t="str">
            <v>MOH</v>
          </cell>
          <cell r="D5349" t="str">
            <v>2100</v>
          </cell>
          <cell r="E5349" t="str">
            <v>SW FLG</v>
          </cell>
          <cell r="F5349">
            <v>3</v>
          </cell>
          <cell r="G5349" t="str">
            <v>CB240208000100</v>
          </cell>
          <cell r="H5349">
            <v>1</v>
          </cell>
          <cell r="I5349" t="str">
            <v>--</v>
          </cell>
          <cell r="J5349">
            <v>2</v>
          </cell>
          <cell r="K5349">
            <v>2</v>
          </cell>
        </row>
        <row r="5350">
          <cell r="A5350" t="str">
            <v>MC</v>
          </cell>
          <cell r="B5350" t="str">
            <v>BA305</v>
          </cell>
          <cell r="C5350" t="str">
            <v>MOH</v>
          </cell>
          <cell r="D5350" t="str">
            <v>2101</v>
          </cell>
          <cell r="E5350" t="str">
            <v>SW FLG</v>
          </cell>
          <cell r="F5350">
            <v>3</v>
          </cell>
          <cell r="G5350" t="str">
            <v>CB240208000100</v>
          </cell>
          <cell r="H5350">
            <v>1</v>
          </cell>
          <cell r="I5350" t="str">
            <v>--</v>
          </cell>
          <cell r="J5350">
            <v>1</v>
          </cell>
          <cell r="K5350">
            <v>1</v>
          </cell>
        </row>
        <row r="5351">
          <cell r="A5351" t="str">
            <v>MC</v>
          </cell>
          <cell r="B5351" t="str">
            <v>BA312</v>
          </cell>
          <cell r="C5351" t="str">
            <v>SA98</v>
          </cell>
          <cell r="D5351" t="str">
            <v>2411</v>
          </cell>
          <cell r="E5351" t="str">
            <v>WN FLG</v>
          </cell>
          <cell r="F5351">
            <v>3</v>
          </cell>
          <cell r="G5351" t="str">
            <v>CB200208000100</v>
          </cell>
          <cell r="H5351">
            <v>1</v>
          </cell>
          <cell r="I5351" t="str">
            <v>--</v>
          </cell>
          <cell r="J5351">
            <v>6</v>
          </cell>
          <cell r="K5351">
            <v>6</v>
          </cell>
        </row>
        <row r="5352">
          <cell r="A5352" t="str">
            <v>MC</v>
          </cell>
          <cell r="B5352" t="str">
            <v>CA304</v>
          </cell>
          <cell r="C5352" t="str">
            <v>MC</v>
          </cell>
          <cell r="D5352" t="str">
            <v>2502</v>
          </cell>
          <cell r="E5352" t="str">
            <v>LWN FLG</v>
          </cell>
          <cell r="F5352">
            <v>3</v>
          </cell>
          <cell r="G5352" t="str">
            <v>CB2912000001WL</v>
          </cell>
          <cell r="H5352">
            <v>1</v>
          </cell>
          <cell r="I5352" t="str">
            <v>150mm</v>
          </cell>
          <cell r="J5352">
            <v>1</v>
          </cell>
          <cell r="K5352">
            <v>1</v>
          </cell>
        </row>
        <row r="5353">
          <cell r="A5353" t="str">
            <v>MC</v>
          </cell>
          <cell r="B5353" t="str">
            <v>CA304</v>
          </cell>
          <cell r="C5353" t="str">
            <v>MC</v>
          </cell>
          <cell r="D5353" t="str">
            <v>2604</v>
          </cell>
          <cell r="E5353" t="str">
            <v>LWN FLG</v>
          </cell>
          <cell r="F5353">
            <v>3</v>
          </cell>
          <cell r="G5353" t="str">
            <v>CB2912000001WL</v>
          </cell>
          <cell r="H5353">
            <v>1</v>
          </cell>
          <cell r="I5353" t="str">
            <v>150mm</v>
          </cell>
          <cell r="J5353">
            <v>1</v>
          </cell>
          <cell r="K5353">
            <v>1</v>
          </cell>
        </row>
        <row r="5354">
          <cell r="A5354" t="str">
            <v>MC</v>
          </cell>
          <cell r="B5354" t="str">
            <v>CA304</v>
          </cell>
          <cell r="C5354" t="str">
            <v>MC</v>
          </cell>
          <cell r="D5354" t="str">
            <v>2604</v>
          </cell>
          <cell r="E5354" t="str">
            <v>SW FLG</v>
          </cell>
          <cell r="F5354">
            <v>3</v>
          </cell>
          <cell r="G5354" t="str">
            <v>CB241208000100</v>
          </cell>
          <cell r="H5354">
            <v>1</v>
          </cell>
          <cell r="I5354" t="str">
            <v>--</v>
          </cell>
          <cell r="J5354">
            <v>1</v>
          </cell>
          <cell r="K5354">
            <v>1</v>
          </cell>
        </row>
        <row r="5355">
          <cell r="A5355" t="str">
            <v>MC</v>
          </cell>
          <cell r="B5355" t="str">
            <v>CA304</v>
          </cell>
          <cell r="C5355" t="str">
            <v>MC</v>
          </cell>
          <cell r="D5355" t="str">
            <v>HOLD</v>
          </cell>
          <cell r="E5355" t="str">
            <v>SW FLG</v>
          </cell>
          <cell r="F5355">
            <v>3</v>
          </cell>
          <cell r="G5355" t="str">
            <v>CB241208000100</v>
          </cell>
          <cell r="H5355">
            <v>1</v>
          </cell>
          <cell r="I5355" t="str">
            <v>--</v>
          </cell>
          <cell r="J5355">
            <v>9</v>
          </cell>
          <cell r="K5355">
            <v>9</v>
          </cell>
        </row>
        <row r="5356">
          <cell r="A5356" t="str">
            <v>MC</v>
          </cell>
          <cell r="B5356" t="str">
            <v>B2C</v>
          </cell>
          <cell r="C5356" t="str">
            <v>SH</v>
          </cell>
          <cell r="D5356" t="str">
            <v>HOLD</v>
          </cell>
          <cell r="E5356" t="str">
            <v>SW FLG</v>
          </cell>
          <cell r="F5356">
            <v>3</v>
          </cell>
          <cell r="G5356" t="str">
            <v>CB240208001H00</v>
          </cell>
          <cell r="H5356">
            <v>1.5</v>
          </cell>
          <cell r="I5356" t="str">
            <v>--</v>
          </cell>
          <cell r="J5356">
            <v>1</v>
          </cell>
          <cell r="K5356">
            <v>1</v>
          </cell>
        </row>
        <row r="5357">
          <cell r="A5357" t="str">
            <v>MC</v>
          </cell>
          <cell r="B5357" t="str">
            <v>CA304</v>
          </cell>
          <cell r="C5357" t="str">
            <v>MC</v>
          </cell>
          <cell r="D5357" t="str">
            <v>2605</v>
          </cell>
          <cell r="E5357" t="str">
            <v>SW FLG</v>
          </cell>
          <cell r="F5357">
            <v>3</v>
          </cell>
          <cell r="G5357" t="str">
            <v>CB241208001H00</v>
          </cell>
          <cell r="H5357">
            <v>1.5</v>
          </cell>
          <cell r="I5357" t="str">
            <v>--</v>
          </cell>
          <cell r="J5357">
            <v>1</v>
          </cell>
          <cell r="K5357">
            <v>1</v>
          </cell>
        </row>
        <row r="5358">
          <cell r="A5358" t="str">
            <v>MC</v>
          </cell>
          <cell r="B5358" t="str">
            <v>CA304</v>
          </cell>
          <cell r="C5358" t="str">
            <v>MC</v>
          </cell>
          <cell r="D5358" t="str">
            <v>2608</v>
          </cell>
          <cell r="E5358" t="str">
            <v>SW FLG</v>
          </cell>
          <cell r="F5358">
            <v>3</v>
          </cell>
          <cell r="G5358" t="str">
            <v>CB241208001H00</v>
          </cell>
          <cell r="H5358">
            <v>1.5</v>
          </cell>
          <cell r="I5358" t="str">
            <v>--</v>
          </cell>
          <cell r="J5358">
            <v>6</v>
          </cell>
          <cell r="K5358">
            <v>6</v>
          </cell>
        </row>
        <row r="5359">
          <cell r="A5359" t="str">
            <v>MC</v>
          </cell>
          <cell r="B5359" t="str">
            <v>CA304</v>
          </cell>
          <cell r="C5359" t="str">
            <v>N</v>
          </cell>
          <cell r="D5359" t="str">
            <v>HOLD</v>
          </cell>
          <cell r="E5359" t="str">
            <v>SW FLG</v>
          </cell>
          <cell r="F5359">
            <v>3</v>
          </cell>
          <cell r="G5359" t="str">
            <v>CB241208001H00</v>
          </cell>
          <cell r="H5359">
            <v>1.5</v>
          </cell>
          <cell r="I5359" t="str">
            <v>--</v>
          </cell>
          <cell r="J5359">
            <v>1</v>
          </cell>
          <cell r="K5359">
            <v>1</v>
          </cell>
        </row>
        <row r="5360">
          <cell r="A5360" t="str">
            <v>MC</v>
          </cell>
          <cell r="B5360" t="str">
            <v>CA304</v>
          </cell>
          <cell r="C5360" t="str">
            <v>TRIM</v>
          </cell>
          <cell r="D5360" t="str">
            <v>V-1260A/B</v>
          </cell>
          <cell r="E5360" t="str">
            <v>SW FLG</v>
          </cell>
          <cell r="F5360">
            <v>3</v>
          </cell>
          <cell r="G5360" t="str">
            <v>CB241208001H00</v>
          </cell>
          <cell r="H5360">
            <v>1.5</v>
          </cell>
          <cell r="I5360" t="str">
            <v>--</v>
          </cell>
          <cell r="J5360">
            <v>12</v>
          </cell>
          <cell r="K5360">
            <v>12</v>
          </cell>
        </row>
        <row r="5361">
          <cell r="A5361" t="str">
            <v>MC</v>
          </cell>
          <cell r="B5361" t="str">
            <v>CA304</v>
          </cell>
          <cell r="C5361" t="str">
            <v>TRIM</v>
          </cell>
          <cell r="D5361" t="str">
            <v>E-1261</v>
          </cell>
          <cell r="E5361" t="str">
            <v>SW FLG</v>
          </cell>
          <cell r="F5361">
            <v>3</v>
          </cell>
          <cell r="G5361" t="str">
            <v>CB241208001H00</v>
          </cell>
          <cell r="H5361">
            <v>1.5</v>
          </cell>
          <cell r="I5361" t="str">
            <v>--</v>
          </cell>
          <cell r="J5361">
            <v>2</v>
          </cell>
          <cell r="K5361">
            <v>2</v>
          </cell>
        </row>
        <row r="5362">
          <cell r="A5362" t="str">
            <v>MC</v>
          </cell>
          <cell r="B5362" t="str">
            <v>CA304</v>
          </cell>
          <cell r="C5362" t="str">
            <v>MC</v>
          </cell>
          <cell r="D5362" t="str">
            <v>2505</v>
          </cell>
          <cell r="E5362" t="str">
            <v>SW FLG</v>
          </cell>
          <cell r="F5362">
            <v>3</v>
          </cell>
          <cell r="G5362" t="str">
            <v>CB241208001H00</v>
          </cell>
          <cell r="H5362">
            <v>1.5</v>
          </cell>
          <cell r="I5362" t="str">
            <v>--</v>
          </cell>
          <cell r="J5362">
            <v>6</v>
          </cell>
          <cell r="K5362">
            <v>6</v>
          </cell>
        </row>
        <row r="5363">
          <cell r="A5363" t="str">
            <v>MC</v>
          </cell>
          <cell r="B5363" t="str">
            <v>CA304</v>
          </cell>
          <cell r="C5363" t="str">
            <v>MC</v>
          </cell>
          <cell r="D5363" t="str">
            <v>2607</v>
          </cell>
          <cell r="E5363" t="str">
            <v>SW FLG</v>
          </cell>
          <cell r="F5363">
            <v>3</v>
          </cell>
          <cell r="G5363" t="str">
            <v>CB241208001H00</v>
          </cell>
          <cell r="H5363">
            <v>1.5</v>
          </cell>
          <cell r="I5363" t="str">
            <v>--</v>
          </cell>
          <cell r="J5363">
            <v>1</v>
          </cell>
          <cell r="K5363">
            <v>1</v>
          </cell>
        </row>
        <row r="5364">
          <cell r="A5364" t="str">
            <v>MC</v>
          </cell>
          <cell r="B5364" t="str">
            <v>CA304</v>
          </cell>
          <cell r="C5364" t="str">
            <v>MC</v>
          </cell>
          <cell r="D5364" t="str">
            <v>2609</v>
          </cell>
          <cell r="E5364" t="str">
            <v>SW FLG</v>
          </cell>
          <cell r="F5364">
            <v>3</v>
          </cell>
          <cell r="G5364" t="str">
            <v>CB241208001H00</v>
          </cell>
          <cell r="H5364">
            <v>1.5</v>
          </cell>
          <cell r="I5364" t="str">
            <v>--</v>
          </cell>
          <cell r="J5364">
            <v>2</v>
          </cell>
          <cell r="K5364">
            <v>2</v>
          </cell>
        </row>
        <row r="5365">
          <cell r="A5365" t="str">
            <v>MC</v>
          </cell>
          <cell r="B5365" t="str">
            <v>BA305</v>
          </cell>
          <cell r="C5365" t="str">
            <v>MOH</v>
          </cell>
          <cell r="D5365" t="str">
            <v>2100</v>
          </cell>
          <cell r="E5365" t="str">
            <v>SW FLG</v>
          </cell>
          <cell r="F5365">
            <v>3</v>
          </cell>
          <cell r="G5365" t="str">
            <v>CB240208001H00</v>
          </cell>
          <cell r="H5365">
            <v>1.5</v>
          </cell>
          <cell r="I5365" t="str">
            <v>--</v>
          </cell>
          <cell r="J5365">
            <v>1</v>
          </cell>
          <cell r="K5365">
            <v>1</v>
          </cell>
        </row>
        <row r="5366">
          <cell r="A5366" t="str">
            <v>MC</v>
          </cell>
          <cell r="B5366" t="str">
            <v>CA304</v>
          </cell>
          <cell r="C5366" t="str">
            <v>N</v>
          </cell>
          <cell r="D5366" t="str">
            <v>HOLD</v>
          </cell>
          <cell r="E5366" t="str">
            <v>SW FLG</v>
          </cell>
          <cell r="F5366">
            <v>3</v>
          </cell>
          <cell r="G5366" t="str">
            <v>CB241208001H00</v>
          </cell>
          <cell r="H5366">
            <v>1.5</v>
          </cell>
          <cell r="I5366" t="str">
            <v>--</v>
          </cell>
          <cell r="J5366">
            <v>1</v>
          </cell>
          <cell r="K5366">
            <v>1</v>
          </cell>
        </row>
        <row r="5367">
          <cell r="A5367" t="str">
            <v>MC</v>
          </cell>
          <cell r="B5367" t="str">
            <v>CA304</v>
          </cell>
          <cell r="C5367" t="str">
            <v>MC</v>
          </cell>
          <cell r="D5367" t="str">
            <v>2604</v>
          </cell>
          <cell r="E5367" t="str">
            <v>SW FLG</v>
          </cell>
          <cell r="F5367">
            <v>3</v>
          </cell>
          <cell r="G5367" t="str">
            <v>CB241208001H00</v>
          </cell>
          <cell r="H5367">
            <v>1.5</v>
          </cell>
          <cell r="I5367" t="str">
            <v>--</v>
          </cell>
          <cell r="J5367">
            <v>1</v>
          </cell>
          <cell r="K5367">
            <v>1</v>
          </cell>
        </row>
        <row r="5368">
          <cell r="A5368" t="str">
            <v>MC</v>
          </cell>
          <cell r="B5368" t="str">
            <v>CA304</v>
          </cell>
          <cell r="C5368" t="str">
            <v>MC</v>
          </cell>
          <cell r="D5368" t="str">
            <v>HOLD</v>
          </cell>
          <cell r="E5368" t="str">
            <v>SW FLG</v>
          </cell>
          <cell r="F5368">
            <v>3</v>
          </cell>
          <cell r="G5368" t="str">
            <v>CB241208001H00</v>
          </cell>
          <cell r="H5368">
            <v>1.5</v>
          </cell>
          <cell r="I5368" t="str">
            <v>--</v>
          </cell>
          <cell r="J5368">
            <v>5</v>
          </cell>
          <cell r="K5368">
            <v>5</v>
          </cell>
        </row>
        <row r="5369">
          <cell r="A5369" t="str">
            <v>MC</v>
          </cell>
          <cell r="B5369" t="str">
            <v>B2C</v>
          </cell>
          <cell r="C5369" t="str">
            <v>SH</v>
          </cell>
          <cell r="D5369" t="str">
            <v>1405</v>
          </cell>
          <cell r="E5369" t="str">
            <v>WN FLG</v>
          </cell>
          <cell r="F5369">
            <v>3</v>
          </cell>
          <cell r="G5369" t="str">
            <v>CB200208000200</v>
          </cell>
          <cell r="H5369">
            <v>2</v>
          </cell>
          <cell r="I5369" t="str">
            <v>--</v>
          </cell>
          <cell r="J5369">
            <v>7</v>
          </cell>
          <cell r="K5369">
            <v>8</v>
          </cell>
        </row>
        <row r="5370">
          <cell r="A5370" t="str">
            <v>MC</v>
          </cell>
          <cell r="B5370" t="str">
            <v>B2C</v>
          </cell>
          <cell r="C5370" t="str">
            <v>SH</v>
          </cell>
          <cell r="D5370" t="str">
            <v>HOLD</v>
          </cell>
          <cell r="E5370" t="str">
            <v>WN FLG</v>
          </cell>
          <cell r="F5370">
            <v>3</v>
          </cell>
          <cell r="G5370" t="str">
            <v>CB200208000200</v>
          </cell>
          <cell r="H5370">
            <v>2</v>
          </cell>
          <cell r="I5370" t="str">
            <v>--</v>
          </cell>
          <cell r="J5370">
            <v>4</v>
          </cell>
          <cell r="K5370">
            <v>5</v>
          </cell>
        </row>
        <row r="5371">
          <cell r="A5371" t="str">
            <v>MC</v>
          </cell>
          <cell r="B5371" t="str">
            <v>CA304</v>
          </cell>
          <cell r="C5371" t="str">
            <v>MC</v>
          </cell>
          <cell r="D5371" t="str">
            <v>2610</v>
          </cell>
          <cell r="E5371" t="str">
            <v>WN FLG</v>
          </cell>
          <cell r="F5371">
            <v>3</v>
          </cell>
          <cell r="G5371" t="str">
            <v>CB201205000200</v>
          </cell>
          <cell r="H5371">
            <v>2</v>
          </cell>
          <cell r="I5371" t="str">
            <v>--</v>
          </cell>
          <cell r="J5371">
            <v>4</v>
          </cell>
          <cell r="K5371">
            <v>5</v>
          </cell>
        </row>
        <row r="5372">
          <cell r="A5372" t="str">
            <v>MC</v>
          </cell>
          <cell r="B5372" t="str">
            <v>CA304</v>
          </cell>
          <cell r="C5372" t="str">
            <v>MC</v>
          </cell>
          <cell r="D5372" t="str">
            <v>2505</v>
          </cell>
          <cell r="E5372" t="str">
            <v>WN FLG</v>
          </cell>
          <cell r="F5372">
            <v>3</v>
          </cell>
          <cell r="G5372" t="str">
            <v>CB201205000200</v>
          </cell>
          <cell r="H5372">
            <v>2</v>
          </cell>
          <cell r="I5372" t="str">
            <v>--</v>
          </cell>
          <cell r="J5372">
            <v>1</v>
          </cell>
          <cell r="K5372">
            <v>2</v>
          </cell>
        </row>
        <row r="5373">
          <cell r="A5373" t="str">
            <v>MC</v>
          </cell>
          <cell r="B5373" t="str">
            <v>CA304</v>
          </cell>
          <cell r="C5373" t="str">
            <v>MC</v>
          </cell>
          <cell r="D5373" t="str">
            <v>2506</v>
          </cell>
          <cell r="E5373" t="str">
            <v>WN FLG</v>
          </cell>
          <cell r="F5373">
            <v>3</v>
          </cell>
          <cell r="G5373" t="str">
            <v>CB201205000200</v>
          </cell>
          <cell r="H5373">
            <v>2</v>
          </cell>
          <cell r="I5373" t="str">
            <v>--</v>
          </cell>
          <cell r="J5373">
            <v>1</v>
          </cell>
          <cell r="K5373">
            <v>2</v>
          </cell>
        </row>
        <row r="5374">
          <cell r="A5374" t="str">
            <v>MC</v>
          </cell>
          <cell r="B5374" t="str">
            <v>CA304</v>
          </cell>
          <cell r="C5374" t="str">
            <v>MC</v>
          </cell>
          <cell r="D5374" t="str">
            <v>2607</v>
          </cell>
          <cell r="E5374" t="str">
            <v>WN FLG</v>
          </cell>
          <cell r="F5374">
            <v>3</v>
          </cell>
          <cell r="G5374" t="str">
            <v>CB201205000200</v>
          </cell>
          <cell r="H5374">
            <v>2</v>
          </cell>
          <cell r="I5374" t="str">
            <v>--</v>
          </cell>
          <cell r="J5374">
            <v>4</v>
          </cell>
          <cell r="K5374">
            <v>5</v>
          </cell>
        </row>
        <row r="5375">
          <cell r="A5375" t="str">
            <v>MC</v>
          </cell>
          <cell r="B5375" t="str">
            <v>CA304</v>
          </cell>
          <cell r="C5375" t="str">
            <v>MC</v>
          </cell>
          <cell r="D5375" t="str">
            <v>2606</v>
          </cell>
          <cell r="E5375" t="str">
            <v>WN FLG</v>
          </cell>
          <cell r="F5375">
            <v>3</v>
          </cell>
          <cell r="G5375" t="str">
            <v>CB201205000200</v>
          </cell>
          <cell r="H5375">
            <v>2</v>
          </cell>
          <cell r="I5375" t="str">
            <v>--</v>
          </cell>
          <cell r="J5375">
            <v>1</v>
          </cell>
          <cell r="K5375">
            <v>2</v>
          </cell>
        </row>
        <row r="5376">
          <cell r="A5376" t="str">
            <v>MC</v>
          </cell>
          <cell r="B5376" t="str">
            <v>CA304</v>
          </cell>
          <cell r="C5376" t="str">
            <v>MC</v>
          </cell>
          <cell r="D5376" t="str">
            <v>2608</v>
          </cell>
          <cell r="E5376" t="str">
            <v>WN FLG</v>
          </cell>
          <cell r="F5376">
            <v>3</v>
          </cell>
          <cell r="G5376" t="str">
            <v>CB201205000200</v>
          </cell>
          <cell r="H5376">
            <v>2</v>
          </cell>
          <cell r="I5376" t="str">
            <v>--</v>
          </cell>
          <cell r="J5376">
            <v>2</v>
          </cell>
          <cell r="K5376">
            <v>3</v>
          </cell>
        </row>
        <row r="5377">
          <cell r="A5377" t="str">
            <v>MC</v>
          </cell>
          <cell r="B5377" t="str">
            <v>CA304</v>
          </cell>
          <cell r="C5377" t="str">
            <v>MC</v>
          </cell>
          <cell r="D5377" t="str">
            <v>2609</v>
          </cell>
          <cell r="E5377" t="str">
            <v>WN FLG</v>
          </cell>
          <cell r="F5377">
            <v>3</v>
          </cell>
          <cell r="G5377" t="str">
            <v>CB201205000200</v>
          </cell>
          <cell r="H5377">
            <v>2</v>
          </cell>
          <cell r="I5377" t="str">
            <v>--</v>
          </cell>
          <cell r="J5377">
            <v>2</v>
          </cell>
          <cell r="K5377">
            <v>3</v>
          </cell>
        </row>
        <row r="5378">
          <cell r="A5378" t="str">
            <v>MC</v>
          </cell>
          <cell r="B5378" t="str">
            <v>BA305</v>
          </cell>
          <cell r="C5378" t="str">
            <v>MOH</v>
          </cell>
          <cell r="D5378" t="str">
            <v>2002</v>
          </cell>
          <cell r="E5378" t="str">
            <v>WN FLG</v>
          </cell>
          <cell r="F5378">
            <v>3</v>
          </cell>
          <cell r="G5378" t="str">
            <v>CB200105000200</v>
          </cell>
          <cell r="H5378">
            <v>2</v>
          </cell>
          <cell r="I5378" t="str">
            <v>--</v>
          </cell>
          <cell r="J5378">
            <v>1</v>
          </cell>
          <cell r="K5378">
            <v>2</v>
          </cell>
        </row>
        <row r="5379">
          <cell r="A5379" t="str">
            <v>MC</v>
          </cell>
          <cell r="B5379" t="str">
            <v>CA304</v>
          </cell>
          <cell r="C5379" t="str">
            <v>N</v>
          </cell>
          <cell r="D5379" t="str">
            <v>HOLD</v>
          </cell>
          <cell r="E5379" t="str">
            <v>WN FLG</v>
          </cell>
          <cell r="F5379">
            <v>3</v>
          </cell>
          <cell r="G5379" t="str">
            <v>CB201205000200</v>
          </cell>
          <cell r="H5379">
            <v>2</v>
          </cell>
          <cell r="I5379" t="str">
            <v>--</v>
          </cell>
          <cell r="J5379">
            <v>1</v>
          </cell>
          <cell r="K5379">
            <v>2</v>
          </cell>
        </row>
        <row r="5380">
          <cell r="A5380" t="str">
            <v>MC</v>
          </cell>
          <cell r="B5380" t="str">
            <v>BA312</v>
          </cell>
          <cell r="C5380" t="str">
            <v>SA98</v>
          </cell>
          <cell r="D5380" t="str">
            <v>2411</v>
          </cell>
          <cell r="E5380" t="str">
            <v>WN FLG</v>
          </cell>
          <cell r="F5380">
            <v>3</v>
          </cell>
          <cell r="G5380" t="str">
            <v>CB200105000200</v>
          </cell>
          <cell r="H5380">
            <v>2</v>
          </cell>
          <cell r="I5380" t="str">
            <v>--</v>
          </cell>
          <cell r="J5380">
            <v>1</v>
          </cell>
          <cell r="K5380">
            <v>2</v>
          </cell>
        </row>
        <row r="5381">
          <cell r="A5381" t="str">
            <v>MC</v>
          </cell>
          <cell r="B5381" t="str">
            <v>CA304</v>
          </cell>
          <cell r="C5381" t="str">
            <v>TRIM</v>
          </cell>
          <cell r="D5381" t="str">
            <v>E-1261</v>
          </cell>
          <cell r="E5381" t="str">
            <v>WN FLG</v>
          </cell>
          <cell r="F5381">
            <v>3</v>
          </cell>
          <cell r="G5381" t="str">
            <v>CB201205000200</v>
          </cell>
          <cell r="H5381">
            <v>2</v>
          </cell>
          <cell r="I5381" t="str">
            <v>--</v>
          </cell>
          <cell r="J5381">
            <v>2</v>
          </cell>
          <cell r="K5381">
            <v>3</v>
          </cell>
        </row>
        <row r="5382">
          <cell r="A5382" t="str">
            <v>MC</v>
          </cell>
          <cell r="B5382" t="str">
            <v>CA304</v>
          </cell>
          <cell r="C5382" t="str">
            <v>VT</v>
          </cell>
          <cell r="D5382" t="str">
            <v>HOLD</v>
          </cell>
          <cell r="E5382" t="str">
            <v>WN FLG</v>
          </cell>
          <cell r="F5382">
            <v>3</v>
          </cell>
          <cell r="G5382" t="str">
            <v>CB201205000200</v>
          </cell>
          <cell r="H5382">
            <v>2</v>
          </cell>
          <cell r="I5382" t="str">
            <v>--</v>
          </cell>
          <cell r="J5382">
            <v>4</v>
          </cell>
          <cell r="K5382">
            <v>5</v>
          </cell>
        </row>
        <row r="5383">
          <cell r="A5383" t="str">
            <v>MC</v>
          </cell>
          <cell r="B5383" t="str">
            <v>CA304</v>
          </cell>
          <cell r="C5383" t="str">
            <v>VT</v>
          </cell>
          <cell r="D5383" t="str">
            <v>HOLD</v>
          </cell>
          <cell r="E5383" t="str">
            <v>WN FLG</v>
          </cell>
          <cell r="F5383">
            <v>3</v>
          </cell>
          <cell r="G5383" t="str">
            <v>CB201205000200</v>
          </cell>
          <cell r="H5383">
            <v>2</v>
          </cell>
          <cell r="I5383" t="str">
            <v>--</v>
          </cell>
          <cell r="J5383">
            <v>1</v>
          </cell>
          <cell r="K5383">
            <v>2</v>
          </cell>
        </row>
        <row r="5384">
          <cell r="A5384" t="str">
            <v>MC</v>
          </cell>
          <cell r="B5384" t="str">
            <v>BA305</v>
          </cell>
          <cell r="C5384" t="str">
            <v>MOH</v>
          </cell>
          <cell r="D5384" t="str">
            <v>2000</v>
          </cell>
          <cell r="E5384" t="str">
            <v>WN FLG</v>
          </cell>
          <cell r="F5384">
            <v>3</v>
          </cell>
          <cell r="G5384" t="str">
            <v>CB200105000200</v>
          </cell>
          <cell r="H5384">
            <v>2</v>
          </cell>
          <cell r="I5384" t="str">
            <v>--</v>
          </cell>
          <cell r="J5384">
            <v>4</v>
          </cell>
          <cell r="K5384">
            <v>5</v>
          </cell>
        </row>
        <row r="5385">
          <cell r="A5385" t="str">
            <v>MC</v>
          </cell>
          <cell r="B5385" t="str">
            <v>CA304</v>
          </cell>
          <cell r="C5385" t="str">
            <v>MC</v>
          </cell>
          <cell r="D5385" t="str">
            <v>2502</v>
          </cell>
          <cell r="E5385" t="str">
            <v>WN FLG</v>
          </cell>
          <cell r="F5385">
            <v>3</v>
          </cell>
          <cell r="G5385" t="str">
            <v>CB201205000200</v>
          </cell>
          <cell r="H5385">
            <v>2</v>
          </cell>
          <cell r="I5385" t="str">
            <v>--</v>
          </cell>
          <cell r="J5385">
            <v>4</v>
          </cell>
          <cell r="K5385">
            <v>5</v>
          </cell>
        </row>
        <row r="5386">
          <cell r="A5386" t="str">
            <v>MC</v>
          </cell>
          <cell r="B5386" t="str">
            <v>CA304</v>
          </cell>
          <cell r="C5386" t="str">
            <v>MC</v>
          </cell>
          <cell r="D5386" t="str">
            <v>2502</v>
          </cell>
          <cell r="E5386" t="str">
            <v>WN FLG</v>
          </cell>
          <cell r="F5386">
            <v>3</v>
          </cell>
          <cell r="G5386" t="str">
            <v>CB201205000200</v>
          </cell>
          <cell r="H5386">
            <v>2</v>
          </cell>
          <cell r="I5386" t="str">
            <v>--</v>
          </cell>
          <cell r="J5386">
            <v>4</v>
          </cell>
          <cell r="K5386">
            <v>5</v>
          </cell>
        </row>
        <row r="5387">
          <cell r="A5387" t="str">
            <v>MC</v>
          </cell>
          <cell r="B5387" t="str">
            <v>CA304</v>
          </cell>
          <cell r="C5387" t="str">
            <v>MC</v>
          </cell>
          <cell r="D5387" t="str">
            <v>HOLD</v>
          </cell>
          <cell r="E5387" t="str">
            <v>WN FLG</v>
          </cell>
          <cell r="F5387">
            <v>3</v>
          </cell>
          <cell r="G5387" t="str">
            <v>CB201205000200</v>
          </cell>
          <cell r="H5387">
            <v>2</v>
          </cell>
          <cell r="I5387" t="str">
            <v>--</v>
          </cell>
          <cell r="J5387">
            <v>2</v>
          </cell>
          <cell r="K5387">
            <v>3</v>
          </cell>
        </row>
        <row r="5388">
          <cell r="A5388" t="str">
            <v>MC</v>
          </cell>
          <cell r="B5388" t="str">
            <v>CA304</v>
          </cell>
          <cell r="C5388" t="str">
            <v>MC</v>
          </cell>
          <cell r="D5388" t="str">
            <v>HOLD</v>
          </cell>
          <cell r="E5388" t="str">
            <v>WN FLG</v>
          </cell>
          <cell r="F5388">
            <v>3</v>
          </cell>
          <cell r="G5388" t="str">
            <v>CB201205000200</v>
          </cell>
          <cell r="H5388">
            <v>2</v>
          </cell>
          <cell r="I5388" t="str">
            <v>--</v>
          </cell>
          <cell r="J5388">
            <v>2</v>
          </cell>
          <cell r="K5388">
            <v>3</v>
          </cell>
        </row>
        <row r="5389">
          <cell r="A5389" t="str">
            <v>MC</v>
          </cell>
          <cell r="B5389" t="str">
            <v>CA304</v>
          </cell>
          <cell r="C5389" t="str">
            <v>MC</v>
          </cell>
          <cell r="D5389" t="str">
            <v>HOLD</v>
          </cell>
          <cell r="E5389" t="str">
            <v>WN FLG</v>
          </cell>
          <cell r="F5389">
            <v>3</v>
          </cell>
          <cell r="G5389" t="str">
            <v>CB201205000200</v>
          </cell>
          <cell r="H5389">
            <v>2</v>
          </cell>
          <cell r="I5389" t="str">
            <v>--</v>
          </cell>
          <cell r="J5389">
            <v>9</v>
          </cell>
          <cell r="K5389">
            <v>10</v>
          </cell>
        </row>
        <row r="5390">
          <cell r="A5390" t="str">
            <v>MC</v>
          </cell>
          <cell r="B5390" t="str">
            <v>CA304</v>
          </cell>
          <cell r="C5390" t="str">
            <v>MC</v>
          </cell>
          <cell r="D5390" t="str">
            <v>HOLD</v>
          </cell>
          <cell r="E5390" t="str">
            <v>WN FLG</v>
          </cell>
          <cell r="F5390">
            <v>3</v>
          </cell>
          <cell r="G5390" t="str">
            <v>CB201205000200</v>
          </cell>
          <cell r="H5390">
            <v>2</v>
          </cell>
          <cell r="I5390" t="str">
            <v>--</v>
          </cell>
          <cell r="J5390">
            <v>5</v>
          </cell>
          <cell r="K5390">
            <v>6</v>
          </cell>
        </row>
        <row r="5391">
          <cell r="A5391" t="str">
            <v>MC</v>
          </cell>
          <cell r="B5391" t="str">
            <v>CA304</v>
          </cell>
          <cell r="C5391" t="str">
            <v>MC</v>
          </cell>
          <cell r="D5391" t="str">
            <v>HOLD</v>
          </cell>
          <cell r="E5391" t="str">
            <v>WN FLG</v>
          </cell>
          <cell r="F5391">
            <v>3</v>
          </cell>
          <cell r="G5391" t="str">
            <v>CB201205000200</v>
          </cell>
          <cell r="H5391">
            <v>2</v>
          </cell>
          <cell r="I5391" t="str">
            <v>--</v>
          </cell>
          <cell r="J5391">
            <v>2</v>
          </cell>
          <cell r="K5391">
            <v>3</v>
          </cell>
        </row>
        <row r="5392">
          <cell r="A5392" t="str">
            <v>MC</v>
          </cell>
          <cell r="B5392" t="str">
            <v>CA304</v>
          </cell>
          <cell r="C5392" t="str">
            <v>MC</v>
          </cell>
          <cell r="D5392" t="str">
            <v>HOLD</v>
          </cell>
          <cell r="E5392" t="str">
            <v>WN FLG</v>
          </cell>
          <cell r="F5392">
            <v>3</v>
          </cell>
          <cell r="G5392" t="str">
            <v>CB201205000200</v>
          </cell>
          <cell r="H5392">
            <v>2</v>
          </cell>
          <cell r="I5392" t="str">
            <v>--</v>
          </cell>
          <cell r="J5392">
            <v>2</v>
          </cell>
          <cell r="K5392">
            <v>3</v>
          </cell>
        </row>
        <row r="5393">
          <cell r="A5393" t="str">
            <v>MC</v>
          </cell>
          <cell r="B5393" t="str">
            <v>B2C</v>
          </cell>
          <cell r="C5393" t="str">
            <v>SH</v>
          </cell>
          <cell r="D5393" t="str">
            <v>1260</v>
          </cell>
          <cell r="E5393" t="str">
            <v>WN FLG</v>
          </cell>
          <cell r="F5393">
            <v>3</v>
          </cell>
          <cell r="G5393" t="str">
            <v>CB200204000300</v>
          </cell>
          <cell r="H5393">
            <v>3</v>
          </cell>
          <cell r="I5393" t="str">
            <v>--</v>
          </cell>
          <cell r="J5393">
            <v>4</v>
          </cell>
          <cell r="K5393">
            <v>5</v>
          </cell>
        </row>
        <row r="5394">
          <cell r="A5394" t="str">
            <v>MC</v>
          </cell>
          <cell r="B5394" t="str">
            <v>CA304</v>
          </cell>
          <cell r="C5394" t="str">
            <v>CMC</v>
          </cell>
          <cell r="D5394" t="str">
            <v>HOLD</v>
          </cell>
          <cell r="E5394" t="str">
            <v>WN FLG</v>
          </cell>
          <cell r="F5394">
            <v>3</v>
          </cell>
          <cell r="G5394" t="str">
            <v>CB201205000300</v>
          </cell>
          <cell r="H5394">
            <v>3</v>
          </cell>
          <cell r="I5394" t="str">
            <v>--</v>
          </cell>
          <cell r="J5394">
            <v>10</v>
          </cell>
          <cell r="K5394">
            <v>11</v>
          </cell>
        </row>
        <row r="5395">
          <cell r="A5395" t="str">
            <v>MC</v>
          </cell>
          <cell r="B5395" t="str">
            <v>CA304</v>
          </cell>
          <cell r="C5395" t="str">
            <v>MC</v>
          </cell>
          <cell r="D5395" t="str">
            <v>2505</v>
          </cell>
          <cell r="E5395" t="str">
            <v>WN FLG</v>
          </cell>
          <cell r="F5395">
            <v>3</v>
          </cell>
          <cell r="G5395" t="str">
            <v>CB201205000300</v>
          </cell>
          <cell r="H5395">
            <v>3</v>
          </cell>
          <cell r="I5395" t="str">
            <v>--</v>
          </cell>
          <cell r="J5395">
            <v>2</v>
          </cell>
          <cell r="K5395">
            <v>3</v>
          </cell>
        </row>
        <row r="5396">
          <cell r="A5396" t="str">
            <v>MC</v>
          </cell>
          <cell r="B5396" t="str">
            <v>CA304</v>
          </cell>
          <cell r="C5396" t="str">
            <v>MC</v>
          </cell>
          <cell r="D5396" t="str">
            <v>2605</v>
          </cell>
          <cell r="E5396" t="str">
            <v>WN FLG</v>
          </cell>
          <cell r="F5396">
            <v>3</v>
          </cell>
          <cell r="G5396" t="str">
            <v>CB201205000300</v>
          </cell>
          <cell r="H5396">
            <v>3</v>
          </cell>
          <cell r="I5396" t="str">
            <v>--</v>
          </cell>
          <cell r="J5396">
            <v>2</v>
          </cell>
          <cell r="K5396">
            <v>3</v>
          </cell>
        </row>
        <row r="5397">
          <cell r="A5397" t="str">
            <v>MC</v>
          </cell>
          <cell r="B5397" t="str">
            <v>CA304</v>
          </cell>
          <cell r="C5397" t="str">
            <v>MC</v>
          </cell>
          <cell r="D5397" t="str">
            <v>2506</v>
          </cell>
          <cell r="E5397" t="str">
            <v>WN FLG</v>
          </cell>
          <cell r="F5397">
            <v>3</v>
          </cell>
          <cell r="G5397" t="str">
            <v>CB201205000300</v>
          </cell>
          <cell r="H5397">
            <v>3</v>
          </cell>
          <cell r="I5397" t="str">
            <v>--</v>
          </cell>
          <cell r="J5397">
            <v>1</v>
          </cell>
          <cell r="K5397">
            <v>2</v>
          </cell>
        </row>
        <row r="5398">
          <cell r="A5398" t="str">
            <v>MC</v>
          </cell>
          <cell r="B5398" t="str">
            <v>BA305</v>
          </cell>
          <cell r="C5398" t="str">
            <v>MOH</v>
          </cell>
          <cell r="D5398" t="str">
            <v>2002</v>
          </cell>
          <cell r="E5398" t="str">
            <v>WN FLG</v>
          </cell>
          <cell r="F5398">
            <v>3</v>
          </cell>
          <cell r="G5398" t="str">
            <v>CB200105000300</v>
          </cell>
          <cell r="H5398">
            <v>3</v>
          </cell>
          <cell r="I5398" t="str">
            <v>--</v>
          </cell>
          <cell r="J5398">
            <v>1</v>
          </cell>
          <cell r="K5398">
            <v>2</v>
          </cell>
        </row>
        <row r="5399">
          <cell r="A5399" t="str">
            <v>MC</v>
          </cell>
          <cell r="B5399" t="str">
            <v>CA304</v>
          </cell>
          <cell r="C5399" t="str">
            <v>VT</v>
          </cell>
          <cell r="D5399" t="str">
            <v>HOLD</v>
          </cell>
          <cell r="E5399" t="str">
            <v>WN FLG</v>
          </cell>
          <cell r="F5399">
            <v>3</v>
          </cell>
          <cell r="G5399" t="str">
            <v>CB201205000300</v>
          </cell>
          <cell r="H5399">
            <v>3</v>
          </cell>
          <cell r="I5399" t="str">
            <v>--</v>
          </cell>
          <cell r="J5399">
            <v>1</v>
          </cell>
          <cell r="K5399">
            <v>2</v>
          </cell>
        </row>
        <row r="5400">
          <cell r="A5400" t="str">
            <v>MC</v>
          </cell>
          <cell r="B5400" t="str">
            <v>CA304</v>
          </cell>
          <cell r="C5400" t="str">
            <v>MC</v>
          </cell>
          <cell r="D5400" t="str">
            <v>2601</v>
          </cell>
          <cell r="E5400" t="str">
            <v>WN FLG</v>
          </cell>
          <cell r="F5400">
            <v>3</v>
          </cell>
          <cell r="G5400" t="str">
            <v>CB201205000300</v>
          </cell>
          <cell r="H5400">
            <v>3</v>
          </cell>
          <cell r="I5400" t="str">
            <v>--</v>
          </cell>
          <cell r="J5400">
            <v>2</v>
          </cell>
          <cell r="K5400">
            <v>3</v>
          </cell>
        </row>
        <row r="5401">
          <cell r="A5401" t="str">
            <v>MC</v>
          </cell>
          <cell r="B5401" t="str">
            <v>CA304</v>
          </cell>
          <cell r="C5401" t="str">
            <v>MC</v>
          </cell>
          <cell r="D5401" t="str">
            <v>2606</v>
          </cell>
          <cell r="E5401" t="str">
            <v>WN FLG</v>
          </cell>
          <cell r="F5401">
            <v>3</v>
          </cell>
          <cell r="G5401" t="str">
            <v>CB201205000300</v>
          </cell>
          <cell r="H5401">
            <v>3</v>
          </cell>
          <cell r="I5401" t="str">
            <v>--</v>
          </cell>
          <cell r="J5401">
            <v>8</v>
          </cell>
          <cell r="K5401">
            <v>9</v>
          </cell>
        </row>
        <row r="5402">
          <cell r="A5402" t="str">
            <v>MC</v>
          </cell>
          <cell r="B5402" t="str">
            <v>CA304</v>
          </cell>
          <cell r="C5402" t="str">
            <v>MC</v>
          </cell>
          <cell r="D5402" t="str">
            <v>2612</v>
          </cell>
          <cell r="E5402" t="str">
            <v>WN FLG</v>
          </cell>
          <cell r="F5402">
            <v>3</v>
          </cell>
          <cell r="G5402" t="str">
            <v>CB201205000300</v>
          </cell>
          <cell r="H5402">
            <v>3</v>
          </cell>
          <cell r="I5402" t="str">
            <v>--</v>
          </cell>
          <cell r="J5402">
            <v>7</v>
          </cell>
          <cell r="K5402">
            <v>8</v>
          </cell>
        </row>
        <row r="5403">
          <cell r="A5403" t="str">
            <v>MC</v>
          </cell>
          <cell r="B5403" t="str">
            <v>CA304</v>
          </cell>
          <cell r="C5403" t="str">
            <v>VT</v>
          </cell>
          <cell r="D5403" t="str">
            <v>HOLD</v>
          </cell>
          <cell r="E5403" t="str">
            <v>WN FLG</v>
          </cell>
          <cell r="F5403">
            <v>3</v>
          </cell>
          <cell r="G5403" t="str">
            <v>CB201205000300</v>
          </cell>
          <cell r="H5403">
            <v>3</v>
          </cell>
          <cell r="I5403" t="str">
            <v>--</v>
          </cell>
          <cell r="J5403">
            <v>16</v>
          </cell>
          <cell r="K5403">
            <v>18</v>
          </cell>
        </row>
        <row r="5404">
          <cell r="A5404" t="str">
            <v>MC</v>
          </cell>
          <cell r="B5404" t="str">
            <v>CA304</v>
          </cell>
          <cell r="C5404" t="str">
            <v>MC</v>
          </cell>
          <cell r="D5404" t="str">
            <v>2502</v>
          </cell>
          <cell r="E5404" t="str">
            <v>WN FLG</v>
          </cell>
          <cell r="F5404">
            <v>3</v>
          </cell>
          <cell r="G5404" t="str">
            <v>CB201205000300</v>
          </cell>
          <cell r="H5404">
            <v>3</v>
          </cell>
          <cell r="I5404" t="str">
            <v>--</v>
          </cell>
          <cell r="J5404">
            <v>2</v>
          </cell>
          <cell r="K5404">
            <v>3</v>
          </cell>
        </row>
        <row r="5405">
          <cell r="A5405" t="str">
            <v>MC</v>
          </cell>
          <cell r="B5405" t="str">
            <v>CA304</v>
          </cell>
          <cell r="C5405" t="str">
            <v>MC</v>
          </cell>
          <cell r="D5405" t="str">
            <v>2502</v>
          </cell>
          <cell r="E5405" t="str">
            <v>WN FLG</v>
          </cell>
          <cell r="F5405">
            <v>3</v>
          </cell>
          <cell r="G5405" t="str">
            <v>CB201205000300</v>
          </cell>
          <cell r="H5405">
            <v>3</v>
          </cell>
          <cell r="I5405" t="str">
            <v>--</v>
          </cell>
          <cell r="J5405">
            <v>2</v>
          </cell>
          <cell r="K5405">
            <v>3</v>
          </cell>
        </row>
        <row r="5406">
          <cell r="A5406" t="str">
            <v>MC</v>
          </cell>
          <cell r="B5406" t="str">
            <v>CA304</v>
          </cell>
          <cell r="C5406" t="str">
            <v>MC</v>
          </cell>
          <cell r="D5406" t="str">
            <v>HOLD</v>
          </cell>
          <cell r="E5406" t="str">
            <v>WN FLG</v>
          </cell>
          <cell r="F5406">
            <v>3</v>
          </cell>
          <cell r="G5406" t="str">
            <v>CB201205000300</v>
          </cell>
          <cell r="H5406">
            <v>3</v>
          </cell>
          <cell r="I5406" t="str">
            <v>--</v>
          </cell>
          <cell r="J5406">
            <v>9</v>
          </cell>
          <cell r="K5406">
            <v>10</v>
          </cell>
        </row>
        <row r="5407">
          <cell r="A5407" t="str">
            <v>MC</v>
          </cell>
          <cell r="B5407" t="str">
            <v>CA304</v>
          </cell>
          <cell r="C5407" t="str">
            <v>MC</v>
          </cell>
          <cell r="D5407" t="str">
            <v>HOLD</v>
          </cell>
          <cell r="E5407" t="str">
            <v>WN FLG</v>
          </cell>
          <cell r="F5407">
            <v>3</v>
          </cell>
          <cell r="G5407" t="str">
            <v>CB201205000300</v>
          </cell>
          <cell r="H5407">
            <v>3</v>
          </cell>
          <cell r="I5407" t="str">
            <v>--</v>
          </cell>
          <cell r="J5407">
            <v>9</v>
          </cell>
          <cell r="K5407">
            <v>10</v>
          </cell>
        </row>
        <row r="5408">
          <cell r="A5408" t="str">
            <v>MC</v>
          </cell>
          <cell r="B5408" t="str">
            <v>CA304</v>
          </cell>
          <cell r="C5408" t="str">
            <v>MC</v>
          </cell>
          <cell r="D5408" t="str">
            <v>HOLD</v>
          </cell>
          <cell r="E5408" t="str">
            <v>WN FLG</v>
          </cell>
          <cell r="F5408">
            <v>3</v>
          </cell>
          <cell r="G5408" t="str">
            <v>CB201205000300</v>
          </cell>
          <cell r="H5408">
            <v>3</v>
          </cell>
          <cell r="I5408" t="str">
            <v>--</v>
          </cell>
          <cell r="J5408">
            <v>9</v>
          </cell>
          <cell r="K5408">
            <v>10</v>
          </cell>
        </row>
        <row r="5409">
          <cell r="A5409" t="str">
            <v>MC</v>
          </cell>
          <cell r="B5409" t="str">
            <v>B2C</v>
          </cell>
          <cell r="C5409" t="str">
            <v>SH</v>
          </cell>
          <cell r="D5409" t="str">
            <v>1260</v>
          </cell>
          <cell r="E5409" t="str">
            <v>WN FLG</v>
          </cell>
          <cell r="F5409">
            <v>3</v>
          </cell>
          <cell r="G5409" t="str">
            <v>CB200204000400</v>
          </cell>
          <cell r="H5409">
            <v>4</v>
          </cell>
          <cell r="I5409" t="str">
            <v>--</v>
          </cell>
          <cell r="J5409">
            <v>9</v>
          </cell>
          <cell r="K5409">
            <v>11</v>
          </cell>
        </row>
        <row r="5410">
          <cell r="A5410" t="str">
            <v>MC</v>
          </cell>
          <cell r="B5410" t="str">
            <v>B2C</v>
          </cell>
          <cell r="C5410" t="str">
            <v>SH</v>
          </cell>
          <cell r="D5410" t="str">
            <v>1460</v>
          </cell>
          <cell r="E5410" t="str">
            <v>WN FLG</v>
          </cell>
          <cell r="F5410">
            <v>3</v>
          </cell>
          <cell r="G5410" t="str">
            <v>CB200204000400</v>
          </cell>
          <cell r="H5410">
            <v>4</v>
          </cell>
          <cell r="I5410" t="str">
            <v>--</v>
          </cell>
          <cell r="J5410">
            <v>4</v>
          </cell>
          <cell r="K5410">
            <v>5</v>
          </cell>
        </row>
        <row r="5411">
          <cell r="A5411" t="str">
            <v>MC</v>
          </cell>
          <cell r="B5411" t="str">
            <v>CA304</v>
          </cell>
          <cell r="C5411" t="str">
            <v>CMC</v>
          </cell>
          <cell r="D5411" t="str">
            <v>HOLD</v>
          </cell>
          <cell r="E5411" t="str">
            <v>WN FLG</v>
          </cell>
          <cell r="F5411">
            <v>3</v>
          </cell>
          <cell r="G5411" t="str">
            <v>CB201205000400</v>
          </cell>
          <cell r="H5411">
            <v>4</v>
          </cell>
          <cell r="I5411" t="str">
            <v>--</v>
          </cell>
          <cell r="J5411">
            <v>3</v>
          </cell>
          <cell r="K5411">
            <v>4</v>
          </cell>
        </row>
        <row r="5412">
          <cell r="A5412" t="str">
            <v>MC</v>
          </cell>
          <cell r="B5412" t="str">
            <v>CA304</v>
          </cell>
          <cell r="C5412" t="str">
            <v>CMC</v>
          </cell>
          <cell r="D5412" t="str">
            <v>HOLD</v>
          </cell>
          <cell r="E5412" t="str">
            <v>WN FLG</v>
          </cell>
          <cell r="F5412">
            <v>3</v>
          </cell>
          <cell r="G5412" t="str">
            <v>CB201205000400</v>
          </cell>
          <cell r="H5412">
            <v>4</v>
          </cell>
          <cell r="I5412" t="str">
            <v>--</v>
          </cell>
          <cell r="J5412">
            <v>3</v>
          </cell>
          <cell r="K5412">
            <v>4</v>
          </cell>
        </row>
        <row r="5413">
          <cell r="A5413" t="str">
            <v>MC</v>
          </cell>
          <cell r="B5413" t="str">
            <v>CA304</v>
          </cell>
          <cell r="C5413" t="str">
            <v>CMC</v>
          </cell>
          <cell r="D5413" t="str">
            <v>HOLD</v>
          </cell>
          <cell r="E5413" t="str">
            <v>WN FLG</v>
          </cell>
          <cell r="F5413">
            <v>3</v>
          </cell>
          <cell r="G5413" t="str">
            <v>CB201205000400</v>
          </cell>
          <cell r="H5413">
            <v>4</v>
          </cell>
          <cell r="I5413" t="str">
            <v>--</v>
          </cell>
          <cell r="J5413">
            <v>2</v>
          </cell>
          <cell r="K5413">
            <v>3</v>
          </cell>
        </row>
        <row r="5414">
          <cell r="A5414" t="str">
            <v>MC</v>
          </cell>
          <cell r="B5414" t="str">
            <v>CA304</v>
          </cell>
          <cell r="C5414" t="str">
            <v>MC</v>
          </cell>
          <cell r="D5414" t="str">
            <v>2507</v>
          </cell>
          <cell r="E5414" t="str">
            <v>WN FLG</v>
          </cell>
          <cell r="F5414">
            <v>3</v>
          </cell>
          <cell r="G5414" t="str">
            <v>CB201205000400</v>
          </cell>
          <cell r="H5414">
            <v>4</v>
          </cell>
          <cell r="I5414" t="str">
            <v>--</v>
          </cell>
          <cell r="J5414">
            <v>1</v>
          </cell>
          <cell r="K5414">
            <v>2</v>
          </cell>
        </row>
        <row r="5415">
          <cell r="A5415" t="str">
            <v>MC</v>
          </cell>
          <cell r="B5415" t="str">
            <v>CA304</v>
          </cell>
          <cell r="C5415" t="str">
            <v>VT</v>
          </cell>
          <cell r="D5415" t="str">
            <v>HOLD</v>
          </cell>
          <cell r="E5415" t="str">
            <v>WN FLG</v>
          </cell>
          <cell r="F5415">
            <v>3</v>
          </cell>
          <cell r="G5415" t="str">
            <v>CB201205000400</v>
          </cell>
          <cell r="H5415">
            <v>4</v>
          </cell>
          <cell r="I5415" t="str">
            <v>--</v>
          </cell>
          <cell r="J5415">
            <v>1</v>
          </cell>
          <cell r="K5415">
            <v>2</v>
          </cell>
        </row>
        <row r="5416">
          <cell r="A5416" t="str">
            <v>MC</v>
          </cell>
          <cell r="B5416" t="str">
            <v>CA304</v>
          </cell>
          <cell r="C5416" t="str">
            <v>VT</v>
          </cell>
          <cell r="D5416" t="str">
            <v>HOLD</v>
          </cell>
          <cell r="E5416" t="str">
            <v>WN FLG</v>
          </cell>
          <cell r="F5416">
            <v>3</v>
          </cell>
          <cell r="G5416" t="str">
            <v>CB201205000400</v>
          </cell>
          <cell r="H5416">
            <v>4</v>
          </cell>
          <cell r="I5416" t="str">
            <v>--</v>
          </cell>
          <cell r="J5416">
            <v>10</v>
          </cell>
          <cell r="K5416">
            <v>12</v>
          </cell>
        </row>
        <row r="5417">
          <cell r="A5417" t="str">
            <v>MC</v>
          </cell>
          <cell r="B5417" t="str">
            <v>CA304</v>
          </cell>
          <cell r="C5417" t="str">
            <v>MC</v>
          </cell>
          <cell r="D5417" t="str">
            <v>2503</v>
          </cell>
          <cell r="E5417" t="str">
            <v>WN FLG</v>
          </cell>
          <cell r="F5417">
            <v>3</v>
          </cell>
          <cell r="G5417" t="str">
            <v>CB201205000400</v>
          </cell>
          <cell r="H5417">
            <v>4</v>
          </cell>
          <cell r="I5417" t="str">
            <v>--</v>
          </cell>
          <cell r="J5417">
            <v>1</v>
          </cell>
          <cell r="K5417">
            <v>2</v>
          </cell>
        </row>
        <row r="5418">
          <cell r="A5418" t="str">
            <v>MC</v>
          </cell>
          <cell r="B5418" t="str">
            <v>CA304</v>
          </cell>
          <cell r="C5418" t="str">
            <v>MC</v>
          </cell>
          <cell r="D5418" t="str">
            <v>HOLD</v>
          </cell>
          <cell r="E5418" t="str">
            <v>WN FLG</v>
          </cell>
          <cell r="F5418">
            <v>3</v>
          </cell>
          <cell r="G5418" t="str">
            <v>CB201205000400</v>
          </cell>
          <cell r="H5418">
            <v>4</v>
          </cell>
          <cell r="I5418" t="str">
            <v>--</v>
          </cell>
          <cell r="J5418">
            <v>5</v>
          </cell>
          <cell r="K5418">
            <v>6</v>
          </cell>
        </row>
        <row r="5419">
          <cell r="A5419" t="str">
            <v>MC</v>
          </cell>
          <cell r="B5419" t="str">
            <v>CA304</v>
          </cell>
          <cell r="C5419" t="str">
            <v>MC</v>
          </cell>
          <cell r="D5419" t="str">
            <v>HOLD</v>
          </cell>
          <cell r="E5419" t="str">
            <v>WN FLG</v>
          </cell>
          <cell r="F5419">
            <v>3</v>
          </cell>
          <cell r="G5419" t="str">
            <v>CB201205000400</v>
          </cell>
          <cell r="H5419">
            <v>4</v>
          </cell>
          <cell r="I5419" t="str">
            <v>--</v>
          </cell>
          <cell r="J5419">
            <v>5</v>
          </cell>
          <cell r="K5419">
            <v>6</v>
          </cell>
        </row>
        <row r="5420">
          <cell r="A5420" t="str">
            <v>MC</v>
          </cell>
          <cell r="B5420" t="str">
            <v>CA304</v>
          </cell>
          <cell r="C5420" t="str">
            <v>MC</v>
          </cell>
          <cell r="D5420" t="str">
            <v>HOLD</v>
          </cell>
          <cell r="E5420" t="str">
            <v>WN FLG</v>
          </cell>
          <cell r="F5420">
            <v>3</v>
          </cell>
          <cell r="G5420" t="str">
            <v>CB201205000400</v>
          </cell>
          <cell r="H5420">
            <v>4</v>
          </cell>
          <cell r="I5420" t="str">
            <v>--</v>
          </cell>
          <cell r="J5420">
            <v>5</v>
          </cell>
          <cell r="K5420">
            <v>6</v>
          </cell>
        </row>
        <row r="5421">
          <cell r="A5421" t="str">
            <v>MC</v>
          </cell>
          <cell r="B5421" t="str">
            <v>BA305</v>
          </cell>
          <cell r="C5421" t="str">
            <v>MOH</v>
          </cell>
          <cell r="D5421" t="str">
            <v>2103</v>
          </cell>
          <cell r="E5421" t="str">
            <v>WN FLG</v>
          </cell>
          <cell r="F5421">
            <v>3</v>
          </cell>
          <cell r="G5421" t="str">
            <v>CB200205000400</v>
          </cell>
          <cell r="H5421">
            <v>4</v>
          </cell>
          <cell r="I5421" t="str">
            <v>--</v>
          </cell>
          <cell r="J5421">
            <v>2</v>
          </cell>
          <cell r="K5421">
            <v>3</v>
          </cell>
        </row>
        <row r="5422">
          <cell r="A5422" t="str">
            <v>MC</v>
          </cell>
          <cell r="B5422" t="str">
            <v>B2C</v>
          </cell>
          <cell r="C5422" t="str">
            <v>SH</v>
          </cell>
          <cell r="D5422" t="str">
            <v>1460</v>
          </cell>
          <cell r="E5422" t="str">
            <v>WN FLG</v>
          </cell>
          <cell r="F5422">
            <v>3</v>
          </cell>
          <cell r="G5422" t="str">
            <v>CB200204000600</v>
          </cell>
          <cell r="H5422">
            <v>6</v>
          </cell>
          <cell r="I5422" t="str">
            <v>--</v>
          </cell>
          <cell r="J5422">
            <v>9</v>
          </cell>
          <cell r="K5422">
            <v>11</v>
          </cell>
        </row>
        <row r="5423">
          <cell r="A5423" t="str">
            <v>MC</v>
          </cell>
          <cell r="B5423" t="str">
            <v>B2C</v>
          </cell>
          <cell r="C5423" t="str">
            <v>SH</v>
          </cell>
          <cell r="D5423" t="str">
            <v>1360</v>
          </cell>
          <cell r="E5423" t="str">
            <v>WN FLG</v>
          </cell>
          <cell r="F5423">
            <v>3</v>
          </cell>
          <cell r="G5423" t="str">
            <v>CB200204000600</v>
          </cell>
          <cell r="H5423">
            <v>6</v>
          </cell>
          <cell r="I5423" t="str">
            <v>--</v>
          </cell>
          <cell r="J5423">
            <v>4</v>
          </cell>
          <cell r="K5423">
            <v>5</v>
          </cell>
        </row>
        <row r="5424">
          <cell r="A5424" t="str">
            <v>MC</v>
          </cell>
          <cell r="B5424" t="str">
            <v>CA304</v>
          </cell>
          <cell r="C5424" t="str">
            <v>CMC</v>
          </cell>
          <cell r="D5424" t="str">
            <v>HOLD</v>
          </cell>
          <cell r="E5424" t="str">
            <v>WN FLG</v>
          </cell>
          <cell r="F5424">
            <v>3</v>
          </cell>
          <cell r="G5424" t="str">
            <v>CB201205000600</v>
          </cell>
          <cell r="H5424">
            <v>6</v>
          </cell>
          <cell r="I5424" t="str">
            <v>--</v>
          </cell>
          <cell r="J5424">
            <v>1</v>
          </cell>
          <cell r="K5424">
            <v>2</v>
          </cell>
        </row>
        <row r="5425">
          <cell r="A5425" t="str">
            <v>MC</v>
          </cell>
          <cell r="B5425" t="str">
            <v>CA304</v>
          </cell>
          <cell r="C5425" t="str">
            <v>CMC</v>
          </cell>
          <cell r="D5425" t="str">
            <v>HOLD</v>
          </cell>
          <cell r="E5425" t="str">
            <v>WN FLG</v>
          </cell>
          <cell r="F5425">
            <v>3</v>
          </cell>
          <cell r="G5425" t="str">
            <v>CB201205000600</v>
          </cell>
          <cell r="H5425">
            <v>6</v>
          </cell>
          <cell r="I5425" t="str">
            <v>--</v>
          </cell>
          <cell r="J5425">
            <v>1</v>
          </cell>
          <cell r="K5425">
            <v>2</v>
          </cell>
        </row>
        <row r="5426">
          <cell r="A5426" t="str">
            <v>MC</v>
          </cell>
          <cell r="B5426" t="str">
            <v>CA307</v>
          </cell>
          <cell r="C5426" t="str">
            <v>HCL</v>
          </cell>
          <cell r="D5426" t="str">
            <v>1100</v>
          </cell>
          <cell r="E5426" t="str">
            <v>WN FLG</v>
          </cell>
          <cell r="F5426">
            <v>3</v>
          </cell>
          <cell r="G5426" t="str">
            <v>CB203205000600</v>
          </cell>
          <cell r="H5426">
            <v>6</v>
          </cell>
          <cell r="I5426" t="str">
            <v>--</v>
          </cell>
          <cell r="J5426">
            <v>2</v>
          </cell>
          <cell r="K5426">
            <v>3</v>
          </cell>
        </row>
        <row r="5427">
          <cell r="A5427" t="str">
            <v>MC</v>
          </cell>
          <cell r="B5427" t="str">
            <v>CA304</v>
          </cell>
          <cell r="C5427" t="str">
            <v>MC</v>
          </cell>
          <cell r="D5427" t="str">
            <v>2410</v>
          </cell>
          <cell r="E5427" t="str">
            <v>WN FLG</v>
          </cell>
          <cell r="F5427">
            <v>3</v>
          </cell>
          <cell r="G5427" t="str">
            <v>CB201205000600</v>
          </cell>
          <cell r="H5427">
            <v>6</v>
          </cell>
          <cell r="I5427" t="str">
            <v>--</v>
          </cell>
          <cell r="J5427">
            <v>2</v>
          </cell>
          <cell r="K5427">
            <v>3</v>
          </cell>
        </row>
        <row r="5428">
          <cell r="A5428" t="str">
            <v>MC</v>
          </cell>
          <cell r="B5428" t="str">
            <v>CA304</v>
          </cell>
          <cell r="C5428" t="str">
            <v>MC</v>
          </cell>
          <cell r="D5428" t="str">
            <v>2412</v>
          </cell>
          <cell r="E5428" t="str">
            <v>WN FLG</v>
          </cell>
          <cell r="F5428">
            <v>3</v>
          </cell>
          <cell r="G5428" t="str">
            <v>CB201205000600</v>
          </cell>
          <cell r="H5428">
            <v>6</v>
          </cell>
          <cell r="I5428" t="str">
            <v>--</v>
          </cell>
          <cell r="J5428">
            <v>1</v>
          </cell>
          <cell r="K5428">
            <v>2</v>
          </cell>
        </row>
        <row r="5429">
          <cell r="A5429" t="str">
            <v>MC</v>
          </cell>
          <cell r="B5429" t="str">
            <v>BA305</v>
          </cell>
          <cell r="C5429" t="str">
            <v>MOH</v>
          </cell>
          <cell r="D5429" t="str">
            <v>HOLD</v>
          </cell>
          <cell r="E5429" t="str">
            <v>WN FLG</v>
          </cell>
          <cell r="F5429">
            <v>3</v>
          </cell>
          <cell r="G5429" t="str">
            <v>CB200105000600</v>
          </cell>
          <cell r="H5429">
            <v>6</v>
          </cell>
          <cell r="I5429" t="str">
            <v>--</v>
          </cell>
          <cell r="J5429">
            <v>2</v>
          </cell>
          <cell r="K5429">
            <v>3</v>
          </cell>
        </row>
        <row r="5430">
          <cell r="A5430" t="str">
            <v>MC</v>
          </cell>
          <cell r="B5430" t="str">
            <v>CA304</v>
          </cell>
          <cell r="C5430" t="str">
            <v>MC</v>
          </cell>
          <cell r="D5430" t="str">
            <v>2613</v>
          </cell>
          <cell r="E5430" t="str">
            <v>WN FLG</v>
          </cell>
          <cell r="F5430">
            <v>3</v>
          </cell>
          <cell r="G5430" t="str">
            <v>CB201205000600</v>
          </cell>
          <cell r="H5430">
            <v>6</v>
          </cell>
          <cell r="I5430" t="str">
            <v>--</v>
          </cell>
          <cell r="J5430">
            <v>2</v>
          </cell>
          <cell r="K5430">
            <v>3</v>
          </cell>
        </row>
        <row r="5431">
          <cell r="A5431" t="str">
            <v>MC</v>
          </cell>
          <cell r="B5431" t="str">
            <v>CA304</v>
          </cell>
          <cell r="C5431" t="str">
            <v>MC</v>
          </cell>
          <cell r="D5431" t="str">
            <v>2502</v>
          </cell>
          <cell r="E5431" t="str">
            <v>WN FLG</v>
          </cell>
          <cell r="F5431">
            <v>3</v>
          </cell>
          <cell r="G5431" t="str">
            <v>CB201205000600</v>
          </cell>
          <cell r="H5431">
            <v>6</v>
          </cell>
          <cell r="I5431" t="str">
            <v>--</v>
          </cell>
          <cell r="J5431">
            <v>5</v>
          </cell>
          <cell r="K5431">
            <v>6</v>
          </cell>
        </row>
        <row r="5432">
          <cell r="A5432" t="str">
            <v>MC</v>
          </cell>
          <cell r="B5432" t="str">
            <v>CA304</v>
          </cell>
          <cell r="C5432" t="str">
            <v>MC</v>
          </cell>
          <cell r="D5432" t="str">
            <v>2502</v>
          </cell>
          <cell r="E5432" t="str">
            <v>WN FLG</v>
          </cell>
          <cell r="F5432">
            <v>3</v>
          </cell>
          <cell r="G5432" t="str">
            <v>CB201205000600</v>
          </cell>
          <cell r="H5432">
            <v>6</v>
          </cell>
          <cell r="I5432" t="str">
            <v>--</v>
          </cell>
          <cell r="J5432">
            <v>5</v>
          </cell>
          <cell r="K5432">
            <v>6</v>
          </cell>
        </row>
        <row r="5433">
          <cell r="A5433" t="str">
            <v>MC</v>
          </cell>
          <cell r="B5433" t="str">
            <v>BA305</v>
          </cell>
          <cell r="C5433" t="str">
            <v>MOH</v>
          </cell>
          <cell r="D5433" t="str">
            <v>2103</v>
          </cell>
          <cell r="E5433" t="str">
            <v>WN FLG</v>
          </cell>
          <cell r="F5433">
            <v>3</v>
          </cell>
          <cell r="G5433" t="str">
            <v>CB200105000600</v>
          </cell>
          <cell r="H5433">
            <v>6</v>
          </cell>
          <cell r="I5433" t="str">
            <v>--</v>
          </cell>
          <cell r="J5433">
            <v>4</v>
          </cell>
          <cell r="K5433">
            <v>5</v>
          </cell>
        </row>
        <row r="5434">
          <cell r="A5434" t="str">
            <v>MC</v>
          </cell>
          <cell r="B5434" t="str">
            <v>CA304</v>
          </cell>
          <cell r="C5434" t="str">
            <v>MC</v>
          </cell>
          <cell r="D5434" t="str">
            <v>2504</v>
          </cell>
          <cell r="E5434" t="str">
            <v>WN FLG</v>
          </cell>
          <cell r="F5434">
            <v>3</v>
          </cell>
          <cell r="G5434" t="str">
            <v>CB201205000600</v>
          </cell>
          <cell r="H5434">
            <v>6</v>
          </cell>
          <cell r="I5434" t="str">
            <v>--</v>
          </cell>
          <cell r="J5434">
            <v>1</v>
          </cell>
          <cell r="K5434">
            <v>2</v>
          </cell>
        </row>
        <row r="5435">
          <cell r="A5435" t="str">
            <v>MC</v>
          </cell>
          <cell r="B5435" t="str">
            <v>B2C</v>
          </cell>
          <cell r="C5435" t="str">
            <v>SH</v>
          </cell>
          <cell r="D5435" t="str">
            <v>1360</v>
          </cell>
          <cell r="E5435" t="str">
            <v>WN FLG</v>
          </cell>
          <cell r="F5435">
            <v>3</v>
          </cell>
          <cell r="G5435" t="str">
            <v>CB200204000800</v>
          </cell>
          <cell r="H5435">
            <v>8</v>
          </cell>
          <cell r="I5435" t="str">
            <v>--</v>
          </cell>
          <cell r="J5435">
            <v>9</v>
          </cell>
          <cell r="K5435">
            <v>11</v>
          </cell>
        </row>
        <row r="5436">
          <cell r="A5436" t="str">
            <v>MC</v>
          </cell>
          <cell r="B5436" t="str">
            <v>CA304</v>
          </cell>
          <cell r="C5436" t="str">
            <v>MC</v>
          </cell>
          <cell r="D5436" t="str">
            <v>2501</v>
          </cell>
          <cell r="E5436" t="str">
            <v>WN FLG</v>
          </cell>
          <cell r="F5436">
            <v>3</v>
          </cell>
          <cell r="G5436" t="str">
            <v>CB201205000800</v>
          </cell>
          <cell r="H5436">
            <v>8</v>
          </cell>
          <cell r="I5436" t="str">
            <v>--</v>
          </cell>
          <cell r="J5436">
            <v>3</v>
          </cell>
          <cell r="K5436">
            <v>4</v>
          </cell>
        </row>
        <row r="5437">
          <cell r="A5437" t="str">
            <v>MC</v>
          </cell>
          <cell r="B5437" t="str">
            <v>CA304</v>
          </cell>
          <cell r="C5437" t="str">
            <v>MC</v>
          </cell>
          <cell r="D5437" t="str">
            <v>2501</v>
          </cell>
          <cell r="E5437" t="str">
            <v>WN FLG</v>
          </cell>
          <cell r="F5437">
            <v>3</v>
          </cell>
          <cell r="G5437" t="str">
            <v>CB201205000800</v>
          </cell>
          <cell r="H5437">
            <v>8</v>
          </cell>
          <cell r="I5437" t="str">
            <v>--</v>
          </cell>
          <cell r="J5437">
            <v>3</v>
          </cell>
          <cell r="K5437">
            <v>4</v>
          </cell>
        </row>
        <row r="5438">
          <cell r="A5438" t="str">
            <v>MC</v>
          </cell>
          <cell r="B5438" t="str">
            <v>B2C</v>
          </cell>
          <cell r="C5438" t="str">
            <v>SH</v>
          </cell>
          <cell r="D5438" t="str">
            <v>1000</v>
          </cell>
          <cell r="E5438" t="str">
            <v>WN FLG</v>
          </cell>
          <cell r="F5438">
            <v>3</v>
          </cell>
          <cell r="G5438" t="str">
            <v>CB200204001000</v>
          </cell>
          <cell r="H5438">
            <v>10</v>
          </cell>
          <cell r="I5438" t="str">
            <v>--</v>
          </cell>
          <cell r="J5438">
            <v>3</v>
          </cell>
          <cell r="K5438">
            <v>4</v>
          </cell>
        </row>
        <row r="5439">
          <cell r="A5439" t="str">
            <v>MC</v>
          </cell>
          <cell r="B5439" t="str">
            <v>CA304</v>
          </cell>
          <cell r="C5439" t="str">
            <v>VT</v>
          </cell>
          <cell r="D5439" t="str">
            <v>HOLD</v>
          </cell>
          <cell r="E5439" t="str">
            <v>WN FLG</v>
          </cell>
          <cell r="F5439">
            <v>3</v>
          </cell>
          <cell r="G5439" t="str">
            <v>CB201205001000</v>
          </cell>
          <cell r="H5439">
            <v>10</v>
          </cell>
          <cell r="I5439" t="str">
            <v>--</v>
          </cell>
          <cell r="J5439">
            <v>1</v>
          </cell>
          <cell r="K5439">
            <v>2</v>
          </cell>
        </row>
        <row r="5440">
          <cell r="A5440" t="str">
            <v>MC</v>
          </cell>
          <cell r="B5440" t="str">
            <v>B2C</v>
          </cell>
          <cell r="C5440" t="str">
            <v>SH</v>
          </cell>
          <cell r="D5440" t="str">
            <v>1000</v>
          </cell>
          <cell r="E5440" t="str">
            <v>GATE VA</v>
          </cell>
          <cell r="F5440">
            <v>6</v>
          </cell>
          <cell r="G5440" t="str">
            <v>VG8010400000H00</v>
          </cell>
          <cell r="H5440">
            <v>0.5</v>
          </cell>
          <cell r="I5440" t="str">
            <v>--</v>
          </cell>
          <cell r="J5440">
            <v>2</v>
          </cell>
          <cell r="K5440">
            <v>2</v>
          </cell>
        </row>
        <row r="5441">
          <cell r="A5441" t="str">
            <v>MC</v>
          </cell>
          <cell r="B5441" t="str">
            <v>B2C</v>
          </cell>
          <cell r="C5441" t="str">
            <v>SH</v>
          </cell>
          <cell r="D5441" t="str">
            <v>1260</v>
          </cell>
          <cell r="E5441" t="str">
            <v>GATE VA</v>
          </cell>
          <cell r="F5441">
            <v>6</v>
          </cell>
          <cell r="G5441" t="str">
            <v>VG8010400000H00</v>
          </cell>
          <cell r="H5441">
            <v>0.5</v>
          </cell>
          <cell r="I5441" t="str">
            <v>--</v>
          </cell>
          <cell r="J5441">
            <v>2</v>
          </cell>
          <cell r="K5441">
            <v>2</v>
          </cell>
        </row>
        <row r="5442">
          <cell r="A5442" t="str">
            <v>MC</v>
          </cell>
          <cell r="B5442" t="str">
            <v>B2C</v>
          </cell>
          <cell r="C5442" t="str">
            <v>SH</v>
          </cell>
          <cell r="D5442" t="str">
            <v>1360</v>
          </cell>
          <cell r="E5442" t="str">
            <v>GATE VA</v>
          </cell>
          <cell r="F5442">
            <v>6</v>
          </cell>
          <cell r="G5442" t="str">
            <v>VG8010400000H00</v>
          </cell>
          <cell r="H5442">
            <v>0.5</v>
          </cell>
          <cell r="I5442" t="str">
            <v>--</v>
          </cell>
          <cell r="J5442">
            <v>2</v>
          </cell>
          <cell r="K5442">
            <v>2</v>
          </cell>
        </row>
        <row r="5443">
          <cell r="A5443" t="str">
            <v>MC</v>
          </cell>
          <cell r="B5443" t="str">
            <v>B2C</v>
          </cell>
          <cell r="C5443" t="str">
            <v>SH</v>
          </cell>
          <cell r="D5443" t="str">
            <v>1405</v>
          </cell>
          <cell r="E5443" t="str">
            <v>GATE VA</v>
          </cell>
          <cell r="F5443">
            <v>6</v>
          </cell>
          <cell r="G5443" t="str">
            <v>VG8010400000H00</v>
          </cell>
          <cell r="H5443">
            <v>0.5</v>
          </cell>
          <cell r="I5443" t="str">
            <v>--</v>
          </cell>
          <cell r="J5443">
            <v>2</v>
          </cell>
          <cell r="K5443">
            <v>2</v>
          </cell>
        </row>
        <row r="5444">
          <cell r="A5444" t="str">
            <v>MC</v>
          </cell>
          <cell r="B5444" t="str">
            <v>B2C</v>
          </cell>
          <cell r="C5444" t="str">
            <v>SH</v>
          </cell>
          <cell r="D5444" t="str">
            <v>1460</v>
          </cell>
          <cell r="E5444" t="str">
            <v>GATE VA</v>
          </cell>
          <cell r="F5444">
            <v>6</v>
          </cell>
          <cell r="G5444" t="str">
            <v>VG8010400000H00</v>
          </cell>
          <cell r="H5444">
            <v>0.5</v>
          </cell>
          <cell r="I5444" t="str">
            <v>--</v>
          </cell>
          <cell r="J5444">
            <v>2</v>
          </cell>
          <cell r="K5444">
            <v>2</v>
          </cell>
        </row>
        <row r="5445">
          <cell r="A5445" t="str">
            <v>MC</v>
          </cell>
          <cell r="B5445" t="str">
            <v>CA304</v>
          </cell>
          <cell r="C5445" t="str">
            <v>MC</v>
          </cell>
          <cell r="D5445" t="str">
            <v>2505</v>
          </cell>
          <cell r="E5445" t="str">
            <v>BALL VA</v>
          </cell>
          <cell r="F5445">
            <v>6</v>
          </cell>
          <cell r="G5445" t="str">
            <v>VB8010100000H00</v>
          </cell>
          <cell r="H5445">
            <v>0.5</v>
          </cell>
          <cell r="I5445" t="str">
            <v>--</v>
          </cell>
          <cell r="J5445">
            <v>2</v>
          </cell>
          <cell r="K5445">
            <v>2</v>
          </cell>
        </row>
        <row r="5446">
          <cell r="A5446" t="str">
            <v>MC</v>
          </cell>
          <cell r="B5446" t="str">
            <v>CA304</v>
          </cell>
          <cell r="C5446" t="str">
            <v>MC</v>
          </cell>
          <cell r="D5446" t="str">
            <v>2501</v>
          </cell>
          <cell r="E5446" t="str">
            <v>BALL VA</v>
          </cell>
          <cell r="F5446">
            <v>6</v>
          </cell>
          <cell r="G5446" t="str">
            <v>VB8010100000H00</v>
          </cell>
          <cell r="H5446">
            <v>0.5</v>
          </cell>
          <cell r="I5446" t="str">
            <v>--</v>
          </cell>
          <cell r="J5446">
            <v>2</v>
          </cell>
          <cell r="K5446">
            <v>2</v>
          </cell>
        </row>
        <row r="5447">
          <cell r="A5447" t="str">
            <v>MC</v>
          </cell>
          <cell r="B5447" t="str">
            <v>BA305</v>
          </cell>
          <cell r="C5447" t="str">
            <v>MOH</v>
          </cell>
          <cell r="D5447" t="str">
            <v>2100</v>
          </cell>
          <cell r="E5447" t="str">
            <v>BALL VA</v>
          </cell>
          <cell r="F5447">
            <v>6</v>
          </cell>
          <cell r="G5447" t="str">
            <v>VB8010100000H00</v>
          </cell>
          <cell r="H5447">
            <v>0.5</v>
          </cell>
          <cell r="I5447" t="str">
            <v>--</v>
          </cell>
          <cell r="J5447">
            <v>2</v>
          </cell>
          <cell r="K5447">
            <v>2</v>
          </cell>
        </row>
        <row r="5448">
          <cell r="A5448" t="str">
            <v>MC</v>
          </cell>
          <cell r="B5448" t="str">
            <v>BA305</v>
          </cell>
          <cell r="C5448" t="str">
            <v>MOH</v>
          </cell>
          <cell r="D5448" t="str">
            <v>2101</v>
          </cell>
          <cell r="E5448" t="str">
            <v>BALL VA</v>
          </cell>
          <cell r="F5448">
            <v>6</v>
          </cell>
          <cell r="G5448" t="str">
            <v>VB8010100000H00</v>
          </cell>
          <cell r="H5448">
            <v>0.5</v>
          </cell>
          <cell r="I5448" t="str">
            <v>--</v>
          </cell>
          <cell r="J5448">
            <v>2</v>
          </cell>
          <cell r="K5448">
            <v>2</v>
          </cell>
        </row>
        <row r="5449">
          <cell r="A5449" t="str">
            <v>MC</v>
          </cell>
          <cell r="B5449" t="str">
            <v>CA304</v>
          </cell>
          <cell r="C5449" t="str">
            <v>MC</v>
          </cell>
          <cell r="D5449" t="str">
            <v>2610</v>
          </cell>
          <cell r="E5449" t="str">
            <v>BALL VA</v>
          </cell>
          <cell r="F5449">
            <v>6</v>
          </cell>
          <cell r="G5449" t="str">
            <v>VB8010100000H00</v>
          </cell>
          <cell r="H5449">
            <v>0.5</v>
          </cell>
          <cell r="I5449" t="str">
            <v>--</v>
          </cell>
          <cell r="J5449">
            <v>2</v>
          </cell>
          <cell r="K5449">
            <v>2</v>
          </cell>
        </row>
        <row r="5450">
          <cell r="A5450" t="str">
            <v>MC</v>
          </cell>
          <cell r="B5450" t="str">
            <v>BA312</v>
          </cell>
          <cell r="C5450" t="str">
            <v>SA98</v>
          </cell>
          <cell r="D5450" t="str">
            <v>2411</v>
          </cell>
          <cell r="E5450" t="str">
            <v>BALL VA</v>
          </cell>
          <cell r="F5450">
            <v>6</v>
          </cell>
          <cell r="G5450" t="str">
            <v>VB3110100000H00</v>
          </cell>
          <cell r="H5450">
            <v>0.5</v>
          </cell>
          <cell r="I5450" t="str">
            <v>--</v>
          </cell>
          <cell r="J5450">
            <v>2</v>
          </cell>
          <cell r="K5450">
            <v>2</v>
          </cell>
        </row>
        <row r="5451">
          <cell r="A5451" t="str">
            <v>MC</v>
          </cell>
          <cell r="B5451" t="str">
            <v>CA304</v>
          </cell>
          <cell r="C5451" t="str">
            <v>MC</v>
          </cell>
          <cell r="D5451" t="str">
            <v>2613</v>
          </cell>
          <cell r="E5451" t="str">
            <v>BALL VA</v>
          </cell>
          <cell r="F5451">
            <v>6</v>
          </cell>
          <cell r="G5451" t="str">
            <v>VB8010100000H00</v>
          </cell>
          <cell r="H5451">
            <v>0.5</v>
          </cell>
          <cell r="I5451" t="str">
            <v>--</v>
          </cell>
          <cell r="J5451">
            <v>2</v>
          </cell>
          <cell r="K5451">
            <v>2</v>
          </cell>
        </row>
        <row r="5452">
          <cell r="A5452" t="str">
            <v>MC</v>
          </cell>
          <cell r="B5452" t="str">
            <v>BA305</v>
          </cell>
          <cell r="C5452" t="str">
            <v>MOH</v>
          </cell>
          <cell r="D5452" t="str">
            <v>2112</v>
          </cell>
          <cell r="E5452" t="str">
            <v>BALL VA</v>
          </cell>
          <cell r="F5452">
            <v>6</v>
          </cell>
          <cell r="G5452" t="str">
            <v>VB8010100000H00</v>
          </cell>
          <cell r="H5452">
            <v>0.5</v>
          </cell>
          <cell r="I5452" t="str">
            <v>--</v>
          </cell>
          <cell r="J5452">
            <v>2</v>
          </cell>
          <cell r="K5452">
            <v>2</v>
          </cell>
        </row>
        <row r="5453">
          <cell r="A5453" t="str">
            <v>MC</v>
          </cell>
          <cell r="B5453" t="str">
            <v>CA304</v>
          </cell>
          <cell r="C5453" t="str">
            <v>SCC</v>
          </cell>
          <cell r="D5453" t="str">
            <v>HOLD</v>
          </cell>
          <cell r="E5453" t="str">
            <v>BALL VA</v>
          </cell>
          <cell r="F5453">
            <v>6</v>
          </cell>
          <cell r="G5453" t="str">
            <v>VB8010100000H00</v>
          </cell>
          <cell r="H5453">
            <v>0.5</v>
          </cell>
          <cell r="I5453" t="str">
            <v>--</v>
          </cell>
          <cell r="J5453">
            <v>2</v>
          </cell>
          <cell r="K5453">
            <v>2</v>
          </cell>
        </row>
        <row r="5454">
          <cell r="A5454" t="str">
            <v>MC</v>
          </cell>
          <cell r="B5454" t="str">
            <v>CA304</v>
          </cell>
          <cell r="C5454" t="str">
            <v>SCC</v>
          </cell>
          <cell r="D5454" t="str">
            <v>HOLD</v>
          </cell>
          <cell r="E5454" t="str">
            <v>BELLOWS VA</v>
          </cell>
          <cell r="F5454">
            <v>6</v>
          </cell>
          <cell r="G5454" t="str">
            <v>VBE8010100000H00</v>
          </cell>
          <cell r="H5454">
            <v>0.5</v>
          </cell>
          <cell r="I5454" t="str">
            <v>--</v>
          </cell>
          <cell r="J5454">
            <v>2</v>
          </cell>
          <cell r="K5454">
            <v>2</v>
          </cell>
        </row>
        <row r="5455">
          <cell r="A5455" t="str">
            <v>MC</v>
          </cell>
          <cell r="B5455" t="str">
            <v>CA307</v>
          </cell>
          <cell r="C5455" t="str">
            <v>HCL</v>
          </cell>
          <cell r="D5455" t="str">
            <v>1100</v>
          </cell>
          <cell r="E5455" t="str">
            <v>GATE VA</v>
          </cell>
          <cell r="F5455">
            <v>6</v>
          </cell>
          <cell r="G5455" t="str">
            <v>VG8010700000H00</v>
          </cell>
          <cell r="H5455">
            <v>0.5</v>
          </cell>
          <cell r="I5455" t="str">
            <v>--</v>
          </cell>
          <cell r="J5455">
            <v>2</v>
          </cell>
          <cell r="K5455">
            <v>2</v>
          </cell>
        </row>
        <row r="5456">
          <cell r="A5456" t="str">
            <v>MC</v>
          </cell>
          <cell r="B5456" t="str">
            <v>CA304</v>
          </cell>
          <cell r="C5456" t="str">
            <v>MC</v>
          </cell>
          <cell r="D5456" t="str">
            <v>2504</v>
          </cell>
          <cell r="E5456" t="str">
            <v>BALL VA</v>
          </cell>
          <cell r="F5456">
            <v>6</v>
          </cell>
          <cell r="G5456" t="str">
            <v>VB8010100000H00</v>
          </cell>
          <cell r="H5456">
            <v>0.5</v>
          </cell>
          <cell r="I5456" t="str">
            <v>--</v>
          </cell>
          <cell r="J5456">
            <v>2</v>
          </cell>
          <cell r="K5456">
            <v>2</v>
          </cell>
        </row>
        <row r="5457">
          <cell r="A5457" t="str">
            <v>MC</v>
          </cell>
          <cell r="B5457" t="str">
            <v>CA304</v>
          </cell>
          <cell r="C5457" t="str">
            <v>MC</v>
          </cell>
          <cell r="D5457" t="str">
            <v>2604</v>
          </cell>
          <cell r="E5457" t="str">
            <v>BALL VA</v>
          </cell>
          <cell r="F5457">
            <v>6</v>
          </cell>
          <cell r="G5457" t="str">
            <v>VB8010100000H00</v>
          </cell>
          <cell r="H5457">
            <v>0.5</v>
          </cell>
          <cell r="I5457" t="str">
            <v>--</v>
          </cell>
          <cell r="J5457">
            <v>2</v>
          </cell>
          <cell r="K5457">
            <v>2</v>
          </cell>
        </row>
        <row r="5458">
          <cell r="A5458" t="str">
            <v>MC</v>
          </cell>
          <cell r="B5458" t="str">
            <v>CA304</v>
          </cell>
          <cell r="C5458" t="str">
            <v>MC</v>
          </cell>
          <cell r="D5458" t="str">
            <v>HOLD</v>
          </cell>
          <cell r="E5458" t="str">
            <v>BALL VA</v>
          </cell>
          <cell r="F5458">
            <v>6</v>
          </cell>
          <cell r="G5458" t="str">
            <v>VB8010100000H00</v>
          </cell>
          <cell r="H5458">
            <v>0.5</v>
          </cell>
          <cell r="I5458" t="str">
            <v>--</v>
          </cell>
          <cell r="J5458">
            <v>1</v>
          </cell>
          <cell r="K5458">
            <v>1</v>
          </cell>
        </row>
        <row r="5459">
          <cell r="A5459" t="str">
            <v>MC</v>
          </cell>
          <cell r="B5459" t="str">
            <v>CA304</v>
          </cell>
          <cell r="C5459" t="str">
            <v>MC</v>
          </cell>
          <cell r="D5459" t="str">
            <v>HOLD</v>
          </cell>
          <cell r="E5459" t="str">
            <v>CHECK VA</v>
          </cell>
          <cell r="F5459">
            <v>6</v>
          </cell>
          <cell r="G5459" t="str">
            <v>VCB8010600000H00</v>
          </cell>
          <cell r="H5459">
            <v>0.5</v>
          </cell>
          <cell r="I5459" t="str">
            <v>--</v>
          </cell>
          <cell r="J5459">
            <v>1</v>
          </cell>
          <cell r="K5459">
            <v>1</v>
          </cell>
        </row>
        <row r="5460">
          <cell r="A5460" t="str">
            <v>MC</v>
          </cell>
          <cell r="B5460" t="str">
            <v>CA304</v>
          </cell>
          <cell r="C5460" t="str">
            <v>SC1</v>
          </cell>
          <cell r="D5460" t="str">
            <v>HOLD</v>
          </cell>
          <cell r="E5460" t="str">
            <v>BELLOWS VA</v>
          </cell>
          <cell r="F5460">
            <v>6</v>
          </cell>
          <cell r="G5460" t="str">
            <v>VBE8010100000H00</v>
          </cell>
          <cell r="H5460">
            <v>0.5</v>
          </cell>
          <cell r="I5460" t="str">
            <v>--</v>
          </cell>
          <cell r="J5460">
            <v>3</v>
          </cell>
          <cell r="K5460">
            <v>3</v>
          </cell>
        </row>
        <row r="5461">
          <cell r="A5461" t="str">
            <v>MC</v>
          </cell>
          <cell r="B5461" t="str">
            <v>B2C</v>
          </cell>
          <cell r="C5461" t="str">
            <v>SH</v>
          </cell>
          <cell r="D5461" t="str">
            <v>1000</v>
          </cell>
          <cell r="E5461" t="str">
            <v>GATE VA</v>
          </cell>
          <cell r="F5461">
            <v>6</v>
          </cell>
          <cell r="G5461" t="str">
            <v>VG8010100000T00</v>
          </cell>
          <cell r="H5461">
            <v>0.75</v>
          </cell>
          <cell r="I5461" t="str">
            <v>--</v>
          </cell>
          <cell r="J5461">
            <v>6</v>
          </cell>
          <cell r="K5461">
            <v>6</v>
          </cell>
        </row>
        <row r="5462">
          <cell r="A5462" t="str">
            <v>MC</v>
          </cell>
          <cell r="B5462" t="str">
            <v>B2C</v>
          </cell>
          <cell r="C5462" t="str">
            <v>SH</v>
          </cell>
          <cell r="D5462" t="str">
            <v>1260</v>
          </cell>
          <cell r="E5462" t="str">
            <v>GATE VA</v>
          </cell>
          <cell r="F5462">
            <v>6</v>
          </cell>
          <cell r="G5462" t="str">
            <v>VG8010400000T00</v>
          </cell>
          <cell r="H5462">
            <v>0.75</v>
          </cell>
          <cell r="I5462" t="str">
            <v>--</v>
          </cell>
          <cell r="J5462">
            <v>1</v>
          </cell>
          <cell r="K5462">
            <v>1</v>
          </cell>
        </row>
        <row r="5463">
          <cell r="A5463" t="str">
            <v>MC</v>
          </cell>
          <cell r="B5463" t="str">
            <v>B2C</v>
          </cell>
          <cell r="C5463" t="str">
            <v>SH</v>
          </cell>
          <cell r="D5463" t="str">
            <v>1260</v>
          </cell>
          <cell r="E5463" t="str">
            <v>GATE VA</v>
          </cell>
          <cell r="F5463">
            <v>6</v>
          </cell>
          <cell r="G5463" t="str">
            <v>VG8010100000T00</v>
          </cell>
          <cell r="H5463">
            <v>0.75</v>
          </cell>
          <cell r="I5463" t="str">
            <v>--</v>
          </cell>
          <cell r="J5463">
            <v>2</v>
          </cell>
          <cell r="K5463">
            <v>2</v>
          </cell>
        </row>
        <row r="5464">
          <cell r="A5464" t="str">
            <v>MC</v>
          </cell>
          <cell r="B5464" t="str">
            <v>B2C</v>
          </cell>
          <cell r="C5464" t="str">
            <v>SH</v>
          </cell>
          <cell r="D5464" t="str">
            <v>1360</v>
          </cell>
          <cell r="E5464" t="str">
            <v>GATE VA</v>
          </cell>
          <cell r="F5464">
            <v>6</v>
          </cell>
          <cell r="G5464" t="str">
            <v>VG8010400000T00</v>
          </cell>
          <cell r="H5464">
            <v>0.75</v>
          </cell>
          <cell r="I5464" t="str">
            <v>--</v>
          </cell>
          <cell r="J5464">
            <v>1</v>
          </cell>
          <cell r="K5464">
            <v>1</v>
          </cell>
        </row>
        <row r="5465">
          <cell r="A5465" t="str">
            <v>MC</v>
          </cell>
          <cell r="B5465" t="str">
            <v>B2C</v>
          </cell>
          <cell r="C5465" t="str">
            <v>SH</v>
          </cell>
          <cell r="D5465" t="str">
            <v>1360</v>
          </cell>
          <cell r="E5465" t="str">
            <v>GATE VA</v>
          </cell>
          <cell r="F5465">
            <v>6</v>
          </cell>
          <cell r="G5465" t="str">
            <v>VG8010100000T00</v>
          </cell>
          <cell r="H5465">
            <v>0.75</v>
          </cell>
          <cell r="I5465" t="str">
            <v>--</v>
          </cell>
          <cell r="J5465">
            <v>1</v>
          </cell>
          <cell r="K5465">
            <v>1</v>
          </cell>
        </row>
        <row r="5466">
          <cell r="A5466" t="str">
            <v>MC</v>
          </cell>
          <cell r="B5466" t="str">
            <v>B2C</v>
          </cell>
          <cell r="C5466" t="str">
            <v>SH</v>
          </cell>
          <cell r="D5466" t="str">
            <v>1460</v>
          </cell>
          <cell r="E5466" t="str">
            <v>GATE VA</v>
          </cell>
          <cell r="F5466">
            <v>6</v>
          </cell>
          <cell r="G5466" t="str">
            <v>VG8010100000T00</v>
          </cell>
          <cell r="H5466">
            <v>0.75</v>
          </cell>
          <cell r="I5466" t="str">
            <v>--</v>
          </cell>
          <cell r="J5466">
            <v>2</v>
          </cell>
          <cell r="K5466">
            <v>2</v>
          </cell>
        </row>
        <row r="5467">
          <cell r="A5467" t="str">
            <v>MC</v>
          </cell>
          <cell r="B5467" t="str">
            <v>B2C</v>
          </cell>
          <cell r="C5467" t="str">
            <v>SH</v>
          </cell>
          <cell r="D5467" t="str">
            <v>1405</v>
          </cell>
          <cell r="E5467" t="str">
            <v>GATE VA</v>
          </cell>
          <cell r="F5467">
            <v>6</v>
          </cell>
          <cell r="G5467" t="str">
            <v>VG8010100000T00</v>
          </cell>
          <cell r="H5467">
            <v>0.75</v>
          </cell>
          <cell r="I5467" t="str">
            <v>--</v>
          </cell>
          <cell r="J5467">
            <v>1</v>
          </cell>
          <cell r="K5467">
            <v>1</v>
          </cell>
        </row>
        <row r="5468">
          <cell r="A5468" t="str">
            <v>MC</v>
          </cell>
          <cell r="B5468" t="str">
            <v>B2C</v>
          </cell>
          <cell r="C5468" t="str">
            <v>SH</v>
          </cell>
          <cell r="D5468" t="str">
            <v>1405</v>
          </cell>
          <cell r="E5468" t="str">
            <v>GATE VA</v>
          </cell>
          <cell r="F5468">
            <v>6</v>
          </cell>
          <cell r="G5468" t="str">
            <v>VG8010400000T00</v>
          </cell>
          <cell r="H5468">
            <v>0.75</v>
          </cell>
          <cell r="I5468" t="str">
            <v>--</v>
          </cell>
          <cell r="J5468">
            <v>1</v>
          </cell>
          <cell r="K5468">
            <v>1</v>
          </cell>
        </row>
        <row r="5469">
          <cell r="A5469" t="str">
            <v>MC</v>
          </cell>
          <cell r="B5469" t="str">
            <v>B2C</v>
          </cell>
          <cell r="C5469" t="str">
            <v>SH</v>
          </cell>
          <cell r="D5469" t="str">
            <v>1460</v>
          </cell>
          <cell r="E5469" t="str">
            <v>GATE VA</v>
          </cell>
          <cell r="F5469">
            <v>6</v>
          </cell>
          <cell r="G5469" t="str">
            <v>VG8010400000T00</v>
          </cell>
          <cell r="H5469">
            <v>0.75</v>
          </cell>
          <cell r="I5469" t="str">
            <v>--</v>
          </cell>
          <cell r="J5469">
            <v>1</v>
          </cell>
          <cell r="K5469">
            <v>1</v>
          </cell>
        </row>
        <row r="5470">
          <cell r="A5470" t="str">
            <v>MC</v>
          </cell>
          <cell r="B5470" t="str">
            <v>CA304</v>
          </cell>
          <cell r="C5470" t="str">
            <v>CMC</v>
          </cell>
          <cell r="D5470" t="str">
            <v>HOLD</v>
          </cell>
          <cell r="E5470" t="str">
            <v>BALL VA</v>
          </cell>
          <cell r="F5470">
            <v>6</v>
          </cell>
          <cell r="G5470" t="str">
            <v>VB8010100000T00</v>
          </cell>
          <cell r="H5470">
            <v>0.75</v>
          </cell>
          <cell r="I5470" t="str">
            <v>--</v>
          </cell>
          <cell r="J5470">
            <v>1</v>
          </cell>
          <cell r="K5470">
            <v>1</v>
          </cell>
        </row>
        <row r="5471">
          <cell r="A5471" t="str">
            <v>MC</v>
          </cell>
          <cell r="B5471" t="str">
            <v>CA304</v>
          </cell>
          <cell r="C5471" t="str">
            <v>CMC</v>
          </cell>
          <cell r="D5471" t="str">
            <v>HOLD</v>
          </cell>
          <cell r="E5471" t="str">
            <v>BALL VA</v>
          </cell>
          <cell r="F5471">
            <v>6</v>
          </cell>
          <cell r="G5471" t="str">
            <v>VB8010100000T00</v>
          </cell>
          <cell r="H5471">
            <v>0.75</v>
          </cell>
          <cell r="I5471" t="str">
            <v>--</v>
          </cell>
          <cell r="J5471">
            <v>2</v>
          </cell>
          <cell r="K5471">
            <v>2</v>
          </cell>
        </row>
        <row r="5472">
          <cell r="A5472" t="str">
            <v>MC</v>
          </cell>
          <cell r="B5472" t="str">
            <v>CA304</v>
          </cell>
          <cell r="C5472" t="str">
            <v>CMC</v>
          </cell>
          <cell r="D5472" t="str">
            <v>HOLD</v>
          </cell>
          <cell r="E5472" t="str">
            <v>BALL VA</v>
          </cell>
          <cell r="F5472">
            <v>6</v>
          </cell>
          <cell r="G5472" t="str">
            <v>VB8010100000T00</v>
          </cell>
          <cell r="H5472">
            <v>0.75</v>
          </cell>
          <cell r="I5472" t="str">
            <v>--</v>
          </cell>
          <cell r="J5472">
            <v>2</v>
          </cell>
          <cell r="K5472">
            <v>2</v>
          </cell>
        </row>
        <row r="5473">
          <cell r="A5473" t="str">
            <v>MC</v>
          </cell>
          <cell r="B5473" t="str">
            <v>CA304</v>
          </cell>
          <cell r="C5473" t="str">
            <v>CMC</v>
          </cell>
          <cell r="D5473" t="str">
            <v>HOLD</v>
          </cell>
          <cell r="E5473" t="str">
            <v>BALL VA</v>
          </cell>
          <cell r="F5473">
            <v>6</v>
          </cell>
          <cell r="G5473" t="str">
            <v>VB8010100000T00</v>
          </cell>
          <cell r="H5473">
            <v>0.75</v>
          </cell>
          <cell r="I5473" t="str">
            <v>--</v>
          </cell>
          <cell r="J5473">
            <v>1</v>
          </cell>
          <cell r="K5473">
            <v>1</v>
          </cell>
        </row>
        <row r="5474">
          <cell r="A5474" t="str">
            <v>MC</v>
          </cell>
          <cell r="B5474" t="str">
            <v>CA304</v>
          </cell>
          <cell r="C5474" t="str">
            <v>CMC</v>
          </cell>
          <cell r="D5474" t="str">
            <v>HOLD</v>
          </cell>
          <cell r="E5474" t="str">
            <v>BALL VA</v>
          </cell>
          <cell r="F5474">
            <v>6</v>
          </cell>
          <cell r="G5474" t="str">
            <v>VB8010100000T00</v>
          </cell>
          <cell r="H5474">
            <v>0.75</v>
          </cell>
          <cell r="I5474" t="str">
            <v>--</v>
          </cell>
          <cell r="J5474">
            <v>2</v>
          </cell>
          <cell r="K5474">
            <v>2</v>
          </cell>
        </row>
        <row r="5475">
          <cell r="A5475" t="str">
            <v>MC</v>
          </cell>
          <cell r="B5475" t="str">
            <v>CA304</v>
          </cell>
          <cell r="C5475" t="str">
            <v>CMC</v>
          </cell>
          <cell r="D5475" t="str">
            <v>HOLD</v>
          </cell>
          <cell r="E5475" t="str">
            <v>BALL VA</v>
          </cell>
          <cell r="F5475">
            <v>6</v>
          </cell>
          <cell r="G5475" t="str">
            <v>VB8010100000T00</v>
          </cell>
          <cell r="H5475">
            <v>0.75</v>
          </cell>
          <cell r="I5475" t="str">
            <v>--</v>
          </cell>
          <cell r="J5475">
            <v>4</v>
          </cell>
          <cell r="K5475">
            <v>4</v>
          </cell>
        </row>
        <row r="5476">
          <cell r="A5476" t="str">
            <v>MC</v>
          </cell>
          <cell r="B5476" t="str">
            <v>CA304</v>
          </cell>
          <cell r="C5476" t="str">
            <v>MC</v>
          </cell>
          <cell r="D5476" t="str">
            <v>2410</v>
          </cell>
          <cell r="E5476" t="str">
            <v>BALL VA</v>
          </cell>
          <cell r="F5476">
            <v>6</v>
          </cell>
          <cell r="G5476" t="str">
            <v>VB8010100000T00</v>
          </cell>
          <cell r="H5476">
            <v>0.75</v>
          </cell>
          <cell r="I5476" t="str">
            <v>--</v>
          </cell>
          <cell r="J5476">
            <v>1</v>
          </cell>
          <cell r="K5476">
            <v>1</v>
          </cell>
        </row>
        <row r="5477">
          <cell r="A5477" t="str">
            <v>MC</v>
          </cell>
          <cell r="B5477" t="str">
            <v>CA304</v>
          </cell>
          <cell r="C5477" t="str">
            <v>MC</v>
          </cell>
          <cell r="D5477" t="str">
            <v>2410</v>
          </cell>
          <cell r="E5477" t="str">
            <v>BALL VA</v>
          </cell>
          <cell r="F5477">
            <v>6</v>
          </cell>
          <cell r="G5477" t="str">
            <v>VB8010100000T00</v>
          </cell>
          <cell r="H5477">
            <v>0.75</v>
          </cell>
          <cell r="I5477" t="str">
            <v>--</v>
          </cell>
          <cell r="J5477">
            <v>1</v>
          </cell>
          <cell r="K5477">
            <v>1</v>
          </cell>
        </row>
        <row r="5478">
          <cell r="A5478" t="str">
            <v>MC</v>
          </cell>
          <cell r="B5478" t="str">
            <v>CA304</v>
          </cell>
          <cell r="C5478" t="str">
            <v>MC</v>
          </cell>
          <cell r="D5478" t="str">
            <v>2505</v>
          </cell>
          <cell r="E5478" t="str">
            <v>BALL VA</v>
          </cell>
          <cell r="F5478">
            <v>6</v>
          </cell>
          <cell r="G5478" t="str">
            <v>VB8010100000T00</v>
          </cell>
          <cell r="H5478">
            <v>0.75</v>
          </cell>
          <cell r="I5478" t="str">
            <v>--</v>
          </cell>
          <cell r="J5478">
            <v>2</v>
          </cell>
          <cell r="K5478">
            <v>2</v>
          </cell>
        </row>
        <row r="5479">
          <cell r="A5479" t="str">
            <v>MC</v>
          </cell>
          <cell r="B5479" t="str">
            <v>CA304</v>
          </cell>
          <cell r="C5479" t="str">
            <v>MC</v>
          </cell>
          <cell r="D5479" t="str">
            <v>2601</v>
          </cell>
          <cell r="E5479" t="str">
            <v>BALL VA</v>
          </cell>
          <cell r="F5479">
            <v>6</v>
          </cell>
          <cell r="G5479" t="str">
            <v>VB8010100000T00</v>
          </cell>
          <cell r="H5479">
            <v>0.75</v>
          </cell>
          <cell r="I5479" t="str">
            <v>--</v>
          </cell>
          <cell r="J5479">
            <v>1</v>
          </cell>
          <cell r="K5479">
            <v>1</v>
          </cell>
        </row>
        <row r="5480">
          <cell r="A5480" t="str">
            <v>MC</v>
          </cell>
          <cell r="B5480" t="str">
            <v>CA304</v>
          </cell>
          <cell r="C5480" t="str">
            <v>MC</v>
          </cell>
          <cell r="D5480" t="str">
            <v>2607</v>
          </cell>
          <cell r="E5480" t="str">
            <v>BALL VA</v>
          </cell>
          <cell r="F5480">
            <v>6</v>
          </cell>
          <cell r="G5480" t="str">
            <v>VB8010100000T00</v>
          </cell>
          <cell r="H5480">
            <v>0.75</v>
          </cell>
          <cell r="I5480" t="str">
            <v>--</v>
          </cell>
          <cell r="J5480">
            <v>1</v>
          </cell>
          <cell r="K5480">
            <v>1</v>
          </cell>
        </row>
        <row r="5481">
          <cell r="A5481" t="str">
            <v>MC</v>
          </cell>
          <cell r="B5481" t="str">
            <v>CA304</v>
          </cell>
          <cell r="C5481" t="str">
            <v>MC</v>
          </cell>
          <cell r="D5481" t="str">
            <v>2609</v>
          </cell>
          <cell r="E5481" t="str">
            <v>BALL VA</v>
          </cell>
          <cell r="F5481">
            <v>6</v>
          </cell>
          <cell r="G5481" t="str">
            <v>VB8010100000T00</v>
          </cell>
          <cell r="H5481">
            <v>0.75</v>
          </cell>
          <cell r="I5481" t="str">
            <v>--</v>
          </cell>
          <cell r="J5481">
            <v>1</v>
          </cell>
          <cell r="K5481">
            <v>1</v>
          </cell>
        </row>
        <row r="5482">
          <cell r="A5482" t="str">
            <v>MC</v>
          </cell>
          <cell r="B5482" t="str">
            <v>CA304</v>
          </cell>
          <cell r="C5482" t="str">
            <v>MC</v>
          </cell>
          <cell r="D5482" t="str">
            <v>2412</v>
          </cell>
          <cell r="E5482" t="str">
            <v>BALL VA</v>
          </cell>
          <cell r="F5482">
            <v>6</v>
          </cell>
          <cell r="G5482" t="str">
            <v>VB8010100000T00</v>
          </cell>
          <cell r="H5482">
            <v>0.75</v>
          </cell>
          <cell r="I5482" t="str">
            <v>--</v>
          </cell>
          <cell r="J5482">
            <v>1</v>
          </cell>
          <cell r="K5482">
            <v>1</v>
          </cell>
        </row>
        <row r="5483">
          <cell r="A5483" t="str">
            <v>MC</v>
          </cell>
          <cell r="B5483" t="str">
            <v>CA304</v>
          </cell>
          <cell r="C5483" t="str">
            <v>MC</v>
          </cell>
          <cell r="D5483" t="str">
            <v>2501</v>
          </cell>
          <cell r="E5483" t="str">
            <v>BALL VA</v>
          </cell>
          <cell r="F5483">
            <v>6</v>
          </cell>
          <cell r="G5483" t="str">
            <v>VB8010100000T00</v>
          </cell>
          <cell r="H5483">
            <v>0.75</v>
          </cell>
          <cell r="I5483" t="str">
            <v>--</v>
          </cell>
          <cell r="J5483">
            <v>1</v>
          </cell>
          <cell r="K5483">
            <v>1</v>
          </cell>
        </row>
        <row r="5484">
          <cell r="A5484" t="str">
            <v>MC</v>
          </cell>
          <cell r="B5484" t="str">
            <v>CA304</v>
          </cell>
          <cell r="C5484" t="str">
            <v>MC</v>
          </cell>
          <cell r="D5484" t="str">
            <v>2501</v>
          </cell>
          <cell r="E5484" t="str">
            <v>BALL VA</v>
          </cell>
          <cell r="F5484">
            <v>6</v>
          </cell>
          <cell r="G5484" t="str">
            <v>VB8010100000T00</v>
          </cell>
          <cell r="H5484">
            <v>0.75</v>
          </cell>
          <cell r="I5484" t="str">
            <v>--</v>
          </cell>
          <cell r="J5484">
            <v>3</v>
          </cell>
          <cell r="K5484">
            <v>3</v>
          </cell>
        </row>
        <row r="5485">
          <cell r="A5485" t="str">
            <v>MC</v>
          </cell>
          <cell r="B5485" t="str">
            <v>CA304</v>
          </cell>
          <cell r="C5485" t="str">
            <v>MC</v>
          </cell>
          <cell r="D5485" t="str">
            <v>2501</v>
          </cell>
          <cell r="E5485" t="str">
            <v>BALL VA</v>
          </cell>
          <cell r="F5485">
            <v>6</v>
          </cell>
          <cell r="G5485" t="str">
            <v>VB8010100000T00</v>
          </cell>
          <cell r="H5485">
            <v>0.75</v>
          </cell>
          <cell r="I5485" t="str">
            <v>--</v>
          </cell>
          <cell r="J5485">
            <v>3</v>
          </cell>
          <cell r="K5485">
            <v>3</v>
          </cell>
        </row>
        <row r="5486">
          <cell r="A5486" t="str">
            <v>MC</v>
          </cell>
          <cell r="B5486" t="str">
            <v>CA304</v>
          </cell>
          <cell r="C5486" t="str">
            <v>MC</v>
          </cell>
          <cell r="D5486" t="str">
            <v>2612</v>
          </cell>
          <cell r="E5486" t="str">
            <v>BALL VA</v>
          </cell>
          <cell r="F5486">
            <v>6</v>
          </cell>
          <cell r="G5486" t="str">
            <v>VB8010100000T00</v>
          </cell>
          <cell r="H5486">
            <v>0.75</v>
          </cell>
          <cell r="I5486" t="str">
            <v>--</v>
          </cell>
          <cell r="J5486">
            <v>4</v>
          </cell>
          <cell r="K5486">
            <v>4</v>
          </cell>
        </row>
        <row r="5487">
          <cell r="A5487" t="str">
            <v>MC</v>
          </cell>
          <cell r="B5487" t="str">
            <v>BA305</v>
          </cell>
          <cell r="C5487" t="str">
            <v>MOH</v>
          </cell>
          <cell r="D5487" t="str">
            <v>2100</v>
          </cell>
          <cell r="E5487" t="str">
            <v>BALL VA</v>
          </cell>
          <cell r="F5487">
            <v>6</v>
          </cell>
          <cell r="G5487" t="str">
            <v>VB8010100000T00</v>
          </cell>
          <cell r="H5487">
            <v>0.75</v>
          </cell>
          <cell r="I5487" t="str">
            <v>--</v>
          </cell>
          <cell r="J5487">
            <v>1</v>
          </cell>
          <cell r="K5487">
            <v>1</v>
          </cell>
        </row>
        <row r="5488">
          <cell r="A5488" t="str">
            <v>MC</v>
          </cell>
          <cell r="B5488" t="str">
            <v>BA305</v>
          </cell>
          <cell r="C5488" t="str">
            <v>MOH</v>
          </cell>
          <cell r="D5488" t="str">
            <v>2101</v>
          </cell>
          <cell r="E5488" t="str">
            <v>BALL VA</v>
          </cell>
          <cell r="F5488">
            <v>6</v>
          </cell>
          <cell r="G5488" t="str">
            <v>VB8010100000T00</v>
          </cell>
          <cell r="H5488">
            <v>0.75</v>
          </cell>
          <cell r="I5488" t="str">
            <v>--</v>
          </cell>
          <cell r="J5488">
            <v>2</v>
          </cell>
          <cell r="K5488">
            <v>2</v>
          </cell>
        </row>
        <row r="5489">
          <cell r="A5489" t="str">
            <v>MC</v>
          </cell>
          <cell r="B5489" t="str">
            <v>BA312</v>
          </cell>
          <cell r="C5489" t="str">
            <v>SA98</v>
          </cell>
          <cell r="D5489" t="str">
            <v>2411</v>
          </cell>
          <cell r="E5489" t="str">
            <v>BALL VA</v>
          </cell>
          <cell r="F5489">
            <v>6</v>
          </cell>
          <cell r="G5489" t="str">
            <v>VB3110100000T00</v>
          </cell>
          <cell r="H5489">
            <v>0.75</v>
          </cell>
          <cell r="I5489" t="str">
            <v>--</v>
          </cell>
          <cell r="J5489">
            <v>2</v>
          </cell>
          <cell r="K5489">
            <v>2</v>
          </cell>
        </row>
        <row r="5490">
          <cell r="A5490" t="str">
            <v>MC</v>
          </cell>
          <cell r="B5490" t="str">
            <v>CA304</v>
          </cell>
          <cell r="C5490" t="str">
            <v>TRIM</v>
          </cell>
          <cell r="D5490" t="str">
            <v>V-1260A/B</v>
          </cell>
          <cell r="E5490" t="str">
            <v>BALL VA</v>
          </cell>
          <cell r="F5490">
            <v>6</v>
          </cell>
          <cell r="G5490" t="str">
            <v>VB8010100000T00</v>
          </cell>
          <cell r="H5490">
            <v>0.75</v>
          </cell>
          <cell r="I5490" t="str">
            <v>--</v>
          </cell>
          <cell r="J5490">
            <v>2</v>
          </cell>
          <cell r="K5490">
            <v>2</v>
          </cell>
        </row>
        <row r="5491">
          <cell r="A5491" t="str">
            <v>MC</v>
          </cell>
          <cell r="B5491" t="str">
            <v>BA302</v>
          </cell>
          <cell r="C5491" t="str">
            <v>SD20</v>
          </cell>
          <cell r="D5491" t="str">
            <v>2301</v>
          </cell>
          <cell r="E5491" t="str">
            <v>BALL VA</v>
          </cell>
          <cell r="F5491">
            <v>6</v>
          </cell>
          <cell r="G5491" t="str">
            <v>VB8010100000T00</v>
          </cell>
          <cell r="H5491">
            <v>0.75</v>
          </cell>
          <cell r="I5491" t="str">
            <v>--</v>
          </cell>
          <cell r="J5491">
            <v>2</v>
          </cell>
          <cell r="K5491">
            <v>2</v>
          </cell>
        </row>
        <row r="5492">
          <cell r="A5492" t="str">
            <v>MC</v>
          </cell>
          <cell r="B5492" t="str">
            <v>CA304</v>
          </cell>
          <cell r="C5492" t="str">
            <v>VT</v>
          </cell>
          <cell r="D5492" t="str">
            <v>HOLD</v>
          </cell>
          <cell r="E5492" t="str">
            <v>BALL VA</v>
          </cell>
          <cell r="F5492">
            <v>6</v>
          </cell>
          <cell r="G5492" t="str">
            <v>VB8010100000T00</v>
          </cell>
          <cell r="H5492">
            <v>0.75</v>
          </cell>
          <cell r="I5492" t="str">
            <v>--</v>
          </cell>
          <cell r="J5492">
            <v>8</v>
          </cell>
          <cell r="K5492">
            <v>8</v>
          </cell>
        </row>
        <row r="5493">
          <cell r="A5493" t="str">
            <v>MC</v>
          </cell>
          <cell r="B5493" t="str">
            <v>CA304</v>
          </cell>
          <cell r="C5493" t="str">
            <v>VT</v>
          </cell>
          <cell r="D5493" t="str">
            <v>HOLD</v>
          </cell>
          <cell r="E5493" t="str">
            <v>BALL VA</v>
          </cell>
          <cell r="F5493">
            <v>6</v>
          </cell>
          <cell r="G5493" t="str">
            <v>VB8010100000T00</v>
          </cell>
          <cell r="H5493">
            <v>0.75</v>
          </cell>
          <cell r="I5493" t="str">
            <v>--</v>
          </cell>
          <cell r="J5493">
            <v>4</v>
          </cell>
          <cell r="K5493">
            <v>4</v>
          </cell>
        </row>
        <row r="5494">
          <cell r="A5494" t="str">
            <v>MC</v>
          </cell>
          <cell r="B5494" t="str">
            <v>CA304</v>
          </cell>
          <cell r="C5494" t="str">
            <v>TRIM</v>
          </cell>
          <cell r="D5494" t="str">
            <v>E-1260</v>
          </cell>
          <cell r="E5494" t="str">
            <v>BALL VA</v>
          </cell>
          <cell r="F5494">
            <v>6</v>
          </cell>
          <cell r="G5494" t="str">
            <v>VB8010100000T00</v>
          </cell>
          <cell r="H5494">
            <v>0.75</v>
          </cell>
          <cell r="I5494" t="str">
            <v>--</v>
          </cell>
          <cell r="J5494">
            <v>1</v>
          </cell>
          <cell r="K5494">
            <v>1</v>
          </cell>
        </row>
        <row r="5495">
          <cell r="A5495" t="str">
            <v>MC</v>
          </cell>
          <cell r="B5495" t="str">
            <v>CA304</v>
          </cell>
          <cell r="C5495" t="str">
            <v>TRIM</v>
          </cell>
          <cell r="D5495" t="str">
            <v>F-1251</v>
          </cell>
          <cell r="E5495" t="str">
            <v>BALL VA</v>
          </cell>
          <cell r="F5495">
            <v>6</v>
          </cell>
          <cell r="G5495" t="str">
            <v>VB8010100000T00</v>
          </cell>
          <cell r="H5495">
            <v>0.75</v>
          </cell>
          <cell r="I5495" t="str">
            <v>--</v>
          </cell>
          <cell r="J5495">
            <v>2</v>
          </cell>
          <cell r="K5495">
            <v>2</v>
          </cell>
        </row>
        <row r="5496">
          <cell r="A5496" t="str">
            <v>MC</v>
          </cell>
          <cell r="B5496" t="str">
            <v>CA304</v>
          </cell>
          <cell r="C5496" t="str">
            <v>TRIM</v>
          </cell>
          <cell r="D5496" t="str">
            <v>V-1260A/B</v>
          </cell>
          <cell r="E5496" t="str">
            <v>BALL VA</v>
          </cell>
          <cell r="F5496">
            <v>6</v>
          </cell>
          <cell r="G5496" t="str">
            <v>VB8010100000T00</v>
          </cell>
          <cell r="H5496">
            <v>0.75</v>
          </cell>
          <cell r="I5496" t="str">
            <v>--</v>
          </cell>
          <cell r="J5496">
            <v>2</v>
          </cell>
          <cell r="K5496">
            <v>2</v>
          </cell>
        </row>
        <row r="5497">
          <cell r="A5497" t="str">
            <v>MC</v>
          </cell>
          <cell r="B5497" t="str">
            <v>CA304</v>
          </cell>
          <cell r="C5497" t="str">
            <v>MC</v>
          </cell>
          <cell r="D5497" t="str">
            <v>2506</v>
          </cell>
          <cell r="E5497" t="str">
            <v>BALL VA</v>
          </cell>
          <cell r="F5497">
            <v>6</v>
          </cell>
          <cell r="G5497" t="str">
            <v>VB8010100000T00</v>
          </cell>
          <cell r="H5497">
            <v>0.75</v>
          </cell>
          <cell r="I5497" t="str">
            <v>--</v>
          </cell>
          <cell r="J5497">
            <v>1</v>
          </cell>
          <cell r="K5497">
            <v>1</v>
          </cell>
        </row>
        <row r="5498">
          <cell r="A5498" t="str">
            <v>MC</v>
          </cell>
          <cell r="B5498" t="str">
            <v>CA304</v>
          </cell>
          <cell r="C5498" t="str">
            <v>MC</v>
          </cell>
          <cell r="D5498" t="str">
            <v>2607</v>
          </cell>
          <cell r="E5498" t="str">
            <v>BALL VA</v>
          </cell>
          <cell r="F5498">
            <v>6</v>
          </cell>
          <cell r="G5498" t="str">
            <v>VB8010100000T00</v>
          </cell>
          <cell r="H5498">
            <v>0.75</v>
          </cell>
          <cell r="I5498" t="str">
            <v>--</v>
          </cell>
          <cell r="J5498">
            <v>2</v>
          </cell>
          <cell r="K5498">
            <v>2</v>
          </cell>
        </row>
        <row r="5499">
          <cell r="A5499" t="str">
            <v>MC</v>
          </cell>
          <cell r="B5499" t="str">
            <v>BA305</v>
          </cell>
          <cell r="C5499" t="str">
            <v>MOH</v>
          </cell>
          <cell r="D5499" t="str">
            <v>2002</v>
          </cell>
          <cell r="E5499" t="str">
            <v>BALL VA</v>
          </cell>
          <cell r="F5499">
            <v>6</v>
          </cell>
          <cell r="G5499" t="str">
            <v>VB8010100000T00</v>
          </cell>
          <cell r="H5499">
            <v>0.75</v>
          </cell>
          <cell r="I5499" t="str">
            <v>--</v>
          </cell>
          <cell r="J5499">
            <v>1</v>
          </cell>
          <cell r="K5499">
            <v>1</v>
          </cell>
        </row>
        <row r="5500">
          <cell r="A5500" t="str">
            <v>MC</v>
          </cell>
          <cell r="B5500" t="str">
            <v>BA305</v>
          </cell>
          <cell r="C5500" t="str">
            <v>MOH</v>
          </cell>
          <cell r="D5500" t="str">
            <v>2112</v>
          </cell>
          <cell r="E5500" t="str">
            <v>BALL VA</v>
          </cell>
          <cell r="F5500">
            <v>6</v>
          </cell>
          <cell r="G5500" t="str">
            <v>VB8010100000T00</v>
          </cell>
          <cell r="H5500">
            <v>0.75</v>
          </cell>
          <cell r="I5500" t="str">
            <v>--</v>
          </cell>
          <cell r="J5500">
            <v>1</v>
          </cell>
          <cell r="K5500">
            <v>1</v>
          </cell>
        </row>
        <row r="5501">
          <cell r="A5501" t="str">
            <v>MC</v>
          </cell>
          <cell r="B5501" t="str">
            <v>CA304</v>
          </cell>
          <cell r="C5501" t="str">
            <v>SCC</v>
          </cell>
          <cell r="D5501" t="str">
            <v>HOLD</v>
          </cell>
          <cell r="E5501" t="str">
            <v>BALL VA</v>
          </cell>
          <cell r="F5501">
            <v>6</v>
          </cell>
          <cell r="G5501" t="str">
            <v>VB8010100000T00</v>
          </cell>
          <cell r="H5501">
            <v>0.75</v>
          </cell>
          <cell r="I5501" t="str">
            <v>--</v>
          </cell>
          <cell r="J5501">
            <v>6</v>
          </cell>
          <cell r="K5501">
            <v>6</v>
          </cell>
        </row>
        <row r="5502">
          <cell r="A5502" t="str">
            <v>MC</v>
          </cell>
          <cell r="B5502" t="str">
            <v>CA304</v>
          </cell>
          <cell r="C5502" t="str">
            <v>TRIM</v>
          </cell>
          <cell r="D5502" t="str">
            <v>E-1261</v>
          </cell>
          <cell r="E5502" t="str">
            <v>BALL VA</v>
          </cell>
          <cell r="F5502">
            <v>6</v>
          </cell>
          <cell r="G5502" t="str">
            <v>VB8010100000T00</v>
          </cell>
          <cell r="H5502">
            <v>0.75</v>
          </cell>
          <cell r="I5502" t="str">
            <v>--</v>
          </cell>
          <cell r="J5502">
            <v>9</v>
          </cell>
          <cell r="K5502">
            <v>9</v>
          </cell>
        </row>
        <row r="5503">
          <cell r="A5503" t="str">
            <v>MC</v>
          </cell>
          <cell r="B5503" t="str">
            <v>CA307</v>
          </cell>
          <cell r="C5503" t="str">
            <v>HCL</v>
          </cell>
          <cell r="D5503" t="str">
            <v>1100</v>
          </cell>
          <cell r="E5503" t="str">
            <v>GATE VA</v>
          </cell>
          <cell r="F5503">
            <v>6</v>
          </cell>
          <cell r="G5503" t="str">
            <v>VG8010700000T00</v>
          </cell>
          <cell r="H5503">
            <v>0.75</v>
          </cell>
          <cell r="I5503" t="str">
            <v>--</v>
          </cell>
          <cell r="J5503">
            <v>2</v>
          </cell>
          <cell r="K5503">
            <v>2</v>
          </cell>
        </row>
        <row r="5504">
          <cell r="A5504" t="str">
            <v>MC</v>
          </cell>
          <cell r="B5504" t="str">
            <v>CA307</v>
          </cell>
          <cell r="C5504" t="str">
            <v>HCL</v>
          </cell>
          <cell r="D5504" t="str">
            <v>1100</v>
          </cell>
          <cell r="E5504" t="str">
            <v>GATE VA</v>
          </cell>
          <cell r="F5504">
            <v>6</v>
          </cell>
          <cell r="G5504" t="str">
            <v>VG8010200000T00</v>
          </cell>
          <cell r="H5504">
            <v>0.75</v>
          </cell>
          <cell r="I5504" t="str">
            <v>--</v>
          </cell>
          <cell r="J5504">
            <v>2</v>
          </cell>
          <cell r="K5504">
            <v>2</v>
          </cell>
        </row>
        <row r="5505">
          <cell r="A5505" t="str">
            <v>MC</v>
          </cell>
          <cell r="B5505" t="str">
            <v>BA305</v>
          </cell>
          <cell r="C5505" t="str">
            <v>MOH</v>
          </cell>
          <cell r="D5505" t="str">
            <v>2112</v>
          </cell>
          <cell r="E5505" t="str">
            <v>GLOBE VA</v>
          </cell>
          <cell r="F5505">
            <v>6</v>
          </cell>
          <cell r="G5505" t="str">
            <v>VL8010700000T00</v>
          </cell>
          <cell r="H5505">
            <v>0.75</v>
          </cell>
          <cell r="I5505" t="str">
            <v>--</v>
          </cell>
          <cell r="J5505">
            <v>1</v>
          </cell>
          <cell r="K5505">
            <v>1</v>
          </cell>
        </row>
        <row r="5506">
          <cell r="A5506" t="str">
            <v>MC</v>
          </cell>
          <cell r="B5506" t="str">
            <v>BA305</v>
          </cell>
          <cell r="C5506" t="str">
            <v>MOH</v>
          </cell>
          <cell r="D5506" t="str">
            <v>2000</v>
          </cell>
          <cell r="E5506" t="str">
            <v>BALL VA</v>
          </cell>
          <cell r="F5506">
            <v>6</v>
          </cell>
          <cell r="G5506" t="str">
            <v>VB8010100000T00</v>
          </cell>
          <cell r="H5506">
            <v>0.75</v>
          </cell>
          <cell r="I5506" t="str">
            <v>--</v>
          </cell>
          <cell r="J5506">
            <v>2</v>
          </cell>
          <cell r="K5506">
            <v>2</v>
          </cell>
        </row>
        <row r="5507">
          <cell r="A5507" t="str">
            <v>MC</v>
          </cell>
          <cell r="B5507" t="str">
            <v>CA304</v>
          </cell>
          <cell r="C5507" t="str">
            <v>MC</v>
          </cell>
          <cell r="D5507" t="str">
            <v>2502</v>
          </cell>
          <cell r="E5507" t="str">
            <v>BALL VA</v>
          </cell>
          <cell r="F5507">
            <v>6</v>
          </cell>
          <cell r="G5507" t="str">
            <v>VB8010100000T00</v>
          </cell>
          <cell r="H5507">
            <v>0.75</v>
          </cell>
          <cell r="I5507" t="str">
            <v>--</v>
          </cell>
          <cell r="J5507">
            <v>2</v>
          </cell>
          <cell r="K5507">
            <v>2</v>
          </cell>
        </row>
        <row r="5508">
          <cell r="A5508" t="str">
            <v>MC</v>
          </cell>
          <cell r="B5508" t="str">
            <v>CA304</v>
          </cell>
          <cell r="C5508" t="str">
            <v>MC</v>
          </cell>
          <cell r="D5508" t="str">
            <v>2502</v>
          </cell>
          <cell r="E5508" t="str">
            <v>BALL VA</v>
          </cell>
          <cell r="F5508">
            <v>6</v>
          </cell>
          <cell r="G5508" t="str">
            <v>VB8010100000T00</v>
          </cell>
          <cell r="H5508">
            <v>0.75</v>
          </cell>
          <cell r="I5508" t="str">
            <v>--</v>
          </cell>
          <cell r="J5508">
            <v>2</v>
          </cell>
          <cell r="K5508">
            <v>2</v>
          </cell>
        </row>
        <row r="5509">
          <cell r="A5509" t="str">
            <v>MC</v>
          </cell>
          <cell r="B5509" t="str">
            <v>CA304</v>
          </cell>
          <cell r="C5509" t="str">
            <v>MC</v>
          </cell>
          <cell r="D5509" t="str">
            <v>2502</v>
          </cell>
          <cell r="E5509" t="str">
            <v>BALL VA</v>
          </cell>
          <cell r="F5509">
            <v>6</v>
          </cell>
          <cell r="G5509" t="str">
            <v>VB8010100000T00</v>
          </cell>
          <cell r="H5509">
            <v>0.75</v>
          </cell>
          <cell r="I5509" t="str">
            <v>--</v>
          </cell>
          <cell r="J5509">
            <v>2</v>
          </cell>
          <cell r="K5509">
            <v>2</v>
          </cell>
        </row>
        <row r="5510">
          <cell r="A5510" t="str">
            <v>MC</v>
          </cell>
          <cell r="B5510" t="str">
            <v>CA304</v>
          </cell>
          <cell r="C5510" t="str">
            <v>MC</v>
          </cell>
          <cell r="D5510" t="str">
            <v>2502</v>
          </cell>
          <cell r="E5510" t="str">
            <v>BALL VA</v>
          </cell>
          <cell r="F5510">
            <v>6</v>
          </cell>
          <cell r="G5510" t="str">
            <v>VB8010100000T00</v>
          </cell>
          <cell r="H5510">
            <v>0.75</v>
          </cell>
          <cell r="I5510" t="str">
            <v>--</v>
          </cell>
          <cell r="J5510">
            <v>1</v>
          </cell>
          <cell r="K5510">
            <v>1</v>
          </cell>
        </row>
        <row r="5511">
          <cell r="A5511" t="str">
            <v>MC</v>
          </cell>
          <cell r="B5511" t="str">
            <v>CA304</v>
          </cell>
          <cell r="C5511" t="str">
            <v>MC</v>
          </cell>
          <cell r="D5511" t="str">
            <v>2502</v>
          </cell>
          <cell r="E5511" t="str">
            <v>BALL VA</v>
          </cell>
          <cell r="F5511">
            <v>6</v>
          </cell>
          <cell r="G5511" t="str">
            <v>VB8010100000T00</v>
          </cell>
          <cell r="H5511">
            <v>0.75</v>
          </cell>
          <cell r="I5511" t="str">
            <v>--</v>
          </cell>
          <cell r="J5511">
            <v>2</v>
          </cell>
          <cell r="K5511">
            <v>2</v>
          </cell>
        </row>
        <row r="5512">
          <cell r="A5512" t="str">
            <v>MC</v>
          </cell>
          <cell r="B5512" t="str">
            <v>CA304</v>
          </cell>
          <cell r="C5512" t="str">
            <v>MC</v>
          </cell>
          <cell r="D5512" t="str">
            <v>2504</v>
          </cell>
          <cell r="E5512" t="str">
            <v>BALL VA</v>
          </cell>
          <cell r="F5512">
            <v>6</v>
          </cell>
          <cell r="G5512" t="str">
            <v>VB8010100000T00</v>
          </cell>
          <cell r="H5512">
            <v>0.75</v>
          </cell>
          <cell r="I5512" t="str">
            <v>--</v>
          </cell>
          <cell r="J5512">
            <v>2</v>
          </cell>
          <cell r="K5512">
            <v>2</v>
          </cell>
        </row>
        <row r="5513">
          <cell r="A5513" t="str">
            <v>MC</v>
          </cell>
          <cell r="B5513" t="str">
            <v>CA304</v>
          </cell>
          <cell r="C5513" t="str">
            <v>MC</v>
          </cell>
          <cell r="D5513" t="str">
            <v>HOLD</v>
          </cell>
          <cell r="E5513" t="str">
            <v>BALL VA</v>
          </cell>
          <cell r="F5513">
            <v>6</v>
          </cell>
          <cell r="G5513" t="str">
            <v>VB8010100000T00</v>
          </cell>
          <cell r="H5513">
            <v>0.75</v>
          </cell>
          <cell r="I5513" t="str">
            <v>--</v>
          </cell>
          <cell r="J5513">
            <v>4</v>
          </cell>
          <cell r="K5513">
            <v>4</v>
          </cell>
        </row>
        <row r="5514">
          <cell r="A5514" t="str">
            <v>MC</v>
          </cell>
          <cell r="B5514" t="str">
            <v>CA304</v>
          </cell>
          <cell r="C5514" t="str">
            <v>MC</v>
          </cell>
          <cell r="D5514" t="str">
            <v>HOLD</v>
          </cell>
          <cell r="E5514" t="str">
            <v>BALL VA</v>
          </cell>
          <cell r="F5514">
            <v>6</v>
          </cell>
          <cell r="G5514" t="str">
            <v>VB8010100000T00</v>
          </cell>
          <cell r="H5514">
            <v>0.75</v>
          </cell>
          <cell r="I5514" t="str">
            <v>--</v>
          </cell>
          <cell r="J5514">
            <v>2</v>
          </cell>
          <cell r="K5514">
            <v>2</v>
          </cell>
        </row>
        <row r="5515">
          <cell r="A5515" t="str">
            <v>MC</v>
          </cell>
          <cell r="B5515" t="str">
            <v>CA304</v>
          </cell>
          <cell r="C5515" t="str">
            <v>MC</v>
          </cell>
          <cell r="D5515" t="str">
            <v>HOLD</v>
          </cell>
          <cell r="E5515" t="str">
            <v>BALL VA</v>
          </cell>
          <cell r="F5515">
            <v>6</v>
          </cell>
          <cell r="G5515" t="str">
            <v>VB8010100000T00</v>
          </cell>
          <cell r="H5515">
            <v>0.75</v>
          </cell>
          <cell r="I5515" t="str">
            <v>--</v>
          </cell>
          <cell r="J5515">
            <v>4</v>
          </cell>
          <cell r="K5515">
            <v>4</v>
          </cell>
        </row>
        <row r="5516">
          <cell r="A5516" t="str">
            <v>MC</v>
          </cell>
          <cell r="B5516" t="str">
            <v>CA304</v>
          </cell>
          <cell r="C5516" t="str">
            <v>MC</v>
          </cell>
          <cell r="D5516" t="str">
            <v>HOLD</v>
          </cell>
          <cell r="E5516" t="str">
            <v>BALL VA</v>
          </cell>
          <cell r="F5516">
            <v>6</v>
          </cell>
          <cell r="G5516" t="str">
            <v>VB8010100000T00</v>
          </cell>
          <cell r="H5516">
            <v>0.75</v>
          </cell>
          <cell r="I5516" t="str">
            <v>--</v>
          </cell>
          <cell r="J5516">
            <v>2</v>
          </cell>
          <cell r="K5516">
            <v>2</v>
          </cell>
        </row>
        <row r="5517">
          <cell r="A5517" t="str">
            <v>MC</v>
          </cell>
          <cell r="B5517" t="str">
            <v>CA304</v>
          </cell>
          <cell r="C5517" t="str">
            <v>MC</v>
          </cell>
          <cell r="D5517" t="str">
            <v>HOLD</v>
          </cell>
          <cell r="E5517" t="str">
            <v>BALL VA</v>
          </cell>
          <cell r="F5517">
            <v>6</v>
          </cell>
          <cell r="G5517" t="str">
            <v>VB8010100000T00</v>
          </cell>
          <cell r="H5517">
            <v>0.75</v>
          </cell>
          <cell r="I5517" t="str">
            <v>--</v>
          </cell>
          <cell r="J5517">
            <v>4</v>
          </cell>
          <cell r="K5517">
            <v>4</v>
          </cell>
        </row>
        <row r="5518">
          <cell r="A5518" t="str">
            <v>MC</v>
          </cell>
          <cell r="B5518" t="str">
            <v>CA304</v>
          </cell>
          <cell r="C5518" t="str">
            <v>MC</v>
          </cell>
          <cell r="D5518" t="str">
            <v>HOLD</v>
          </cell>
          <cell r="E5518" t="str">
            <v>BALL VA</v>
          </cell>
          <cell r="F5518">
            <v>6</v>
          </cell>
          <cell r="G5518" t="str">
            <v>VB8010100000T00</v>
          </cell>
          <cell r="H5518">
            <v>0.75</v>
          </cell>
          <cell r="I5518" t="str">
            <v>--</v>
          </cell>
          <cell r="J5518">
            <v>9</v>
          </cell>
          <cell r="K5518">
            <v>9</v>
          </cell>
        </row>
        <row r="5519">
          <cell r="A5519" t="str">
            <v>MC</v>
          </cell>
          <cell r="B5519" t="str">
            <v>CA304</v>
          </cell>
          <cell r="C5519" t="str">
            <v>MC</v>
          </cell>
          <cell r="D5519" t="str">
            <v>HOLD</v>
          </cell>
          <cell r="E5519" t="str">
            <v>BALL VA</v>
          </cell>
          <cell r="F5519">
            <v>6</v>
          </cell>
          <cell r="G5519" t="str">
            <v>VB8010100000T00</v>
          </cell>
          <cell r="H5519">
            <v>0.75</v>
          </cell>
          <cell r="I5519" t="str">
            <v>--</v>
          </cell>
          <cell r="J5519">
            <v>2</v>
          </cell>
          <cell r="K5519">
            <v>2</v>
          </cell>
        </row>
        <row r="5520">
          <cell r="A5520" t="str">
            <v>MC</v>
          </cell>
          <cell r="B5520" t="str">
            <v>CA304</v>
          </cell>
          <cell r="C5520" t="str">
            <v>MC</v>
          </cell>
          <cell r="D5520" t="str">
            <v>HOLD</v>
          </cell>
          <cell r="E5520" t="str">
            <v>BALL VA</v>
          </cell>
          <cell r="F5520">
            <v>6</v>
          </cell>
          <cell r="G5520" t="str">
            <v>VB8010100000T00</v>
          </cell>
          <cell r="H5520">
            <v>0.75</v>
          </cell>
          <cell r="I5520" t="str">
            <v>--</v>
          </cell>
          <cell r="J5520">
            <v>4</v>
          </cell>
          <cell r="K5520">
            <v>4</v>
          </cell>
        </row>
        <row r="5521">
          <cell r="A5521" t="str">
            <v>MC</v>
          </cell>
          <cell r="B5521" t="str">
            <v>CA304</v>
          </cell>
          <cell r="C5521" t="str">
            <v>MC</v>
          </cell>
          <cell r="D5521" t="str">
            <v>2604</v>
          </cell>
          <cell r="E5521" t="str">
            <v>BALL VA</v>
          </cell>
          <cell r="F5521">
            <v>6</v>
          </cell>
          <cell r="G5521" t="str">
            <v>VB8010100000T00</v>
          </cell>
          <cell r="H5521">
            <v>0.75</v>
          </cell>
          <cell r="I5521" t="str">
            <v>--</v>
          </cell>
          <cell r="J5521">
            <v>2</v>
          </cell>
          <cell r="K5521">
            <v>2</v>
          </cell>
        </row>
        <row r="5522">
          <cell r="A5522" t="str">
            <v>MC</v>
          </cell>
          <cell r="B5522" t="str">
            <v>CA304</v>
          </cell>
          <cell r="C5522" t="str">
            <v>MC</v>
          </cell>
          <cell r="D5522" t="str">
            <v>HOLD</v>
          </cell>
          <cell r="E5522" t="str">
            <v>BALL VA</v>
          </cell>
          <cell r="F5522">
            <v>6</v>
          </cell>
          <cell r="G5522" t="str">
            <v>VB8010100000T00</v>
          </cell>
          <cell r="H5522">
            <v>0.75</v>
          </cell>
          <cell r="I5522" t="str">
            <v>--</v>
          </cell>
          <cell r="J5522">
            <v>2</v>
          </cell>
          <cell r="K5522">
            <v>2</v>
          </cell>
        </row>
        <row r="5523">
          <cell r="A5523" t="str">
            <v>MC</v>
          </cell>
          <cell r="B5523" t="str">
            <v>CA304</v>
          </cell>
          <cell r="C5523" t="str">
            <v>MC</v>
          </cell>
          <cell r="D5523" t="str">
            <v>HOLD</v>
          </cell>
          <cell r="E5523" t="str">
            <v>BALL VA</v>
          </cell>
          <cell r="F5523">
            <v>6</v>
          </cell>
          <cell r="G5523" t="str">
            <v>VB8010100000T00</v>
          </cell>
          <cell r="H5523">
            <v>0.75</v>
          </cell>
          <cell r="I5523" t="str">
            <v>--</v>
          </cell>
          <cell r="J5523">
            <v>2</v>
          </cell>
          <cell r="K5523">
            <v>2</v>
          </cell>
        </row>
        <row r="5524">
          <cell r="A5524" t="str">
            <v>MC</v>
          </cell>
          <cell r="B5524" t="str">
            <v>CA304</v>
          </cell>
          <cell r="C5524" t="str">
            <v>MC</v>
          </cell>
          <cell r="D5524" t="str">
            <v>2502</v>
          </cell>
          <cell r="E5524" t="str">
            <v>BELLOWS VA</v>
          </cell>
          <cell r="F5524">
            <v>6</v>
          </cell>
          <cell r="G5524" t="str">
            <v>VBE8010300000T00</v>
          </cell>
          <cell r="H5524">
            <v>0.75</v>
          </cell>
          <cell r="I5524" t="str">
            <v>--</v>
          </cell>
          <cell r="J5524">
            <v>1</v>
          </cell>
          <cell r="K5524">
            <v>1</v>
          </cell>
        </row>
        <row r="5525">
          <cell r="A5525" t="str">
            <v>MC</v>
          </cell>
          <cell r="B5525" t="str">
            <v>CA304</v>
          </cell>
          <cell r="C5525" t="str">
            <v>MC</v>
          </cell>
          <cell r="D5525" t="str">
            <v>2604</v>
          </cell>
          <cell r="E5525" t="str">
            <v>BELLOWS VA</v>
          </cell>
          <cell r="F5525">
            <v>6</v>
          </cell>
          <cell r="G5525" t="str">
            <v>VBE8010100000T00</v>
          </cell>
          <cell r="H5525">
            <v>0.75</v>
          </cell>
          <cell r="I5525" t="str">
            <v>--</v>
          </cell>
          <cell r="J5525">
            <v>1</v>
          </cell>
          <cell r="K5525">
            <v>1</v>
          </cell>
        </row>
        <row r="5526">
          <cell r="A5526" t="str">
            <v>MC</v>
          </cell>
          <cell r="B5526" t="str">
            <v>CA304</v>
          </cell>
          <cell r="C5526" t="str">
            <v>SC1</v>
          </cell>
          <cell r="D5526" t="str">
            <v>HOLD</v>
          </cell>
          <cell r="E5526" t="str">
            <v>BALL VA</v>
          </cell>
          <cell r="F5526">
            <v>6</v>
          </cell>
          <cell r="G5526" t="str">
            <v>VB8010100000T00</v>
          </cell>
          <cell r="H5526">
            <v>0.75</v>
          </cell>
          <cell r="I5526" t="str">
            <v>--</v>
          </cell>
          <cell r="J5526">
            <v>3</v>
          </cell>
          <cell r="K5526">
            <v>3</v>
          </cell>
        </row>
        <row r="5527">
          <cell r="A5527" t="str">
            <v>MC</v>
          </cell>
          <cell r="B5527" t="str">
            <v>BA305</v>
          </cell>
          <cell r="C5527" t="str">
            <v>MOH</v>
          </cell>
          <cell r="D5527" t="str">
            <v>2100</v>
          </cell>
          <cell r="E5527" t="str">
            <v>BALL VA</v>
          </cell>
          <cell r="F5527">
            <v>6</v>
          </cell>
          <cell r="G5527" t="str">
            <v>VB8010100000100</v>
          </cell>
          <cell r="H5527">
            <v>1</v>
          </cell>
          <cell r="I5527" t="str">
            <v>--</v>
          </cell>
          <cell r="J5527">
            <v>1</v>
          </cell>
          <cell r="K5527">
            <v>1</v>
          </cell>
        </row>
        <row r="5528">
          <cell r="A5528" t="str">
            <v>MC</v>
          </cell>
          <cell r="B5528" t="str">
            <v>BA305</v>
          </cell>
          <cell r="C5528" t="str">
            <v>MOH</v>
          </cell>
          <cell r="D5528" t="str">
            <v>2101</v>
          </cell>
          <cell r="E5528" t="str">
            <v>BALL VA</v>
          </cell>
          <cell r="F5528">
            <v>6</v>
          </cell>
          <cell r="G5528" t="str">
            <v>VB8010100000100</v>
          </cell>
          <cell r="H5528">
            <v>1</v>
          </cell>
          <cell r="I5528" t="str">
            <v>--</v>
          </cell>
          <cell r="J5528">
            <v>4</v>
          </cell>
          <cell r="K5528">
            <v>4</v>
          </cell>
        </row>
        <row r="5529">
          <cell r="A5529" t="str">
            <v>MC</v>
          </cell>
          <cell r="B5529" t="str">
            <v>CA304</v>
          </cell>
          <cell r="C5529" t="str">
            <v>N</v>
          </cell>
          <cell r="D5529" t="str">
            <v>HOLD</v>
          </cell>
          <cell r="E5529" t="str">
            <v>BALL VA</v>
          </cell>
          <cell r="F5529">
            <v>6</v>
          </cell>
          <cell r="G5529" t="str">
            <v>VB8010100000100</v>
          </cell>
          <cell r="H5529">
            <v>1</v>
          </cell>
          <cell r="I5529" t="str">
            <v>--</v>
          </cell>
          <cell r="J5529">
            <v>1</v>
          </cell>
          <cell r="K5529">
            <v>1</v>
          </cell>
        </row>
        <row r="5530">
          <cell r="A5530" t="str">
            <v>MC</v>
          </cell>
          <cell r="B5530" t="str">
            <v>BA312</v>
          </cell>
          <cell r="C5530" t="str">
            <v>SA98</v>
          </cell>
          <cell r="D5530" t="str">
            <v>2411</v>
          </cell>
          <cell r="E5530" t="str">
            <v>BALL VA</v>
          </cell>
          <cell r="F5530">
            <v>6</v>
          </cell>
          <cell r="G5530" t="str">
            <v>VB3110100000100</v>
          </cell>
          <cell r="H5530">
            <v>1</v>
          </cell>
          <cell r="I5530" t="str">
            <v>--</v>
          </cell>
          <cell r="J5530">
            <v>2</v>
          </cell>
          <cell r="K5530">
            <v>2</v>
          </cell>
        </row>
        <row r="5531">
          <cell r="A5531" t="str">
            <v>MC</v>
          </cell>
          <cell r="B5531" t="str">
            <v>BA302</v>
          </cell>
          <cell r="C5531" t="str">
            <v>SD20</v>
          </cell>
          <cell r="D5531" t="str">
            <v>2301</v>
          </cell>
          <cell r="E5531" t="str">
            <v>BALL VA</v>
          </cell>
          <cell r="F5531">
            <v>6</v>
          </cell>
          <cell r="G5531" t="str">
            <v>VB8010100000100</v>
          </cell>
          <cell r="H5531">
            <v>1</v>
          </cell>
          <cell r="I5531" t="str">
            <v>--</v>
          </cell>
          <cell r="J5531">
            <v>2</v>
          </cell>
          <cell r="K5531">
            <v>2</v>
          </cell>
        </row>
        <row r="5532">
          <cell r="A5532" t="str">
            <v>MC</v>
          </cell>
          <cell r="B5532" t="str">
            <v>BA305</v>
          </cell>
          <cell r="C5532" t="str">
            <v>MOH</v>
          </cell>
          <cell r="D5532" t="str">
            <v>2002</v>
          </cell>
          <cell r="E5532" t="str">
            <v>BALL VA</v>
          </cell>
          <cell r="F5532">
            <v>6</v>
          </cell>
          <cell r="G5532" t="str">
            <v>VB8010100000100</v>
          </cell>
          <cell r="H5532">
            <v>1</v>
          </cell>
          <cell r="I5532" t="str">
            <v>--</v>
          </cell>
          <cell r="J5532">
            <v>1</v>
          </cell>
          <cell r="K5532">
            <v>1</v>
          </cell>
        </row>
        <row r="5533">
          <cell r="A5533" t="str">
            <v>MC</v>
          </cell>
          <cell r="B5533" t="str">
            <v>BA305</v>
          </cell>
          <cell r="C5533" t="str">
            <v>MOH</v>
          </cell>
          <cell r="D5533" t="str">
            <v>2112</v>
          </cell>
          <cell r="E5533" t="str">
            <v>BALL VA</v>
          </cell>
          <cell r="F5533">
            <v>6</v>
          </cell>
          <cell r="G5533" t="str">
            <v>VB8010100000100</v>
          </cell>
          <cell r="H5533">
            <v>1</v>
          </cell>
          <cell r="I5533" t="str">
            <v>--</v>
          </cell>
          <cell r="J5533">
            <v>2</v>
          </cell>
          <cell r="K5533">
            <v>2</v>
          </cell>
        </row>
        <row r="5534">
          <cell r="A5534" t="str">
            <v>MC</v>
          </cell>
          <cell r="B5534" t="str">
            <v>BA305</v>
          </cell>
          <cell r="C5534" t="str">
            <v>VNC</v>
          </cell>
          <cell r="D5534" t="str">
            <v>2016</v>
          </cell>
          <cell r="E5534" t="str">
            <v>BALL VA</v>
          </cell>
          <cell r="F5534">
            <v>6</v>
          </cell>
          <cell r="G5534" t="str">
            <v>VB8010100000100</v>
          </cell>
          <cell r="H5534">
            <v>1</v>
          </cell>
          <cell r="I5534" t="str">
            <v>--</v>
          </cell>
          <cell r="J5534">
            <v>1</v>
          </cell>
          <cell r="K5534">
            <v>1</v>
          </cell>
        </row>
        <row r="5535">
          <cell r="A5535" t="str">
            <v>MC</v>
          </cell>
          <cell r="B5535" t="str">
            <v>BA305</v>
          </cell>
          <cell r="C5535" t="str">
            <v>MOH</v>
          </cell>
          <cell r="D5535" t="str">
            <v>2100</v>
          </cell>
          <cell r="E5535" t="str">
            <v>CHECK VA</v>
          </cell>
          <cell r="F5535">
            <v>6</v>
          </cell>
          <cell r="G5535" t="str">
            <v>VCB8010800000100</v>
          </cell>
          <cell r="H5535">
            <v>1</v>
          </cell>
          <cell r="I5535" t="str">
            <v>--</v>
          </cell>
          <cell r="J5535">
            <v>1</v>
          </cell>
          <cell r="K5535">
            <v>1</v>
          </cell>
        </row>
        <row r="5536">
          <cell r="A5536" t="str">
            <v>MC</v>
          </cell>
          <cell r="B5536" t="str">
            <v>BA305</v>
          </cell>
          <cell r="C5536" t="str">
            <v>MOH</v>
          </cell>
          <cell r="D5536" t="str">
            <v>2101</v>
          </cell>
          <cell r="E5536" t="str">
            <v>CHECK VA</v>
          </cell>
          <cell r="F5536">
            <v>6</v>
          </cell>
          <cell r="G5536" t="str">
            <v>VCB8010800000100</v>
          </cell>
          <cell r="H5536">
            <v>1</v>
          </cell>
          <cell r="I5536" t="str">
            <v>--</v>
          </cell>
          <cell r="J5536">
            <v>1</v>
          </cell>
          <cell r="K5536">
            <v>1</v>
          </cell>
        </row>
        <row r="5537">
          <cell r="A5537" t="str">
            <v>MC</v>
          </cell>
          <cell r="B5537" t="str">
            <v>CA304</v>
          </cell>
          <cell r="C5537" t="str">
            <v>N</v>
          </cell>
          <cell r="D5537" t="str">
            <v>HOLD</v>
          </cell>
          <cell r="E5537" t="str">
            <v>CHECK VA</v>
          </cell>
          <cell r="F5537">
            <v>6</v>
          </cell>
          <cell r="G5537" t="str">
            <v>VCB8010600000100</v>
          </cell>
          <cell r="H5537">
            <v>1</v>
          </cell>
          <cell r="I5537" t="str">
            <v>--</v>
          </cell>
          <cell r="J5537">
            <v>1</v>
          </cell>
          <cell r="K5537">
            <v>1</v>
          </cell>
        </row>
        <row r="5538">
          <cell r="A5538" t="str">
            <v>MC</v>
          </cell>
          <cell r="B5538" t="str">
            <v>BA305</v>
          </cell>
          <cell r="C5538" t="str">
            <v>MOH</v>
          </cell>
          <cell r="D5538" t="str">
            <v>2112</v>
          </cell>
          <cell r="E5538" t="str">
            <v>CHECK VA</v>
          </cell>
          <cell r="F5538">
            <v>6</v>
          </cell>
          <cell r="G5538" t="str">
            <v>VCB8010800000100</v>
          </cell>
          <cell r="H5538">
            <v>1</v>
          </cell>
          <cell r="I5538" t="str">
            <v>--</v>
          </cell>
          <cell r="J5538">
            <v>1</v>
          </cell>
          <cell r="K5538">
            <v>1</v>
          </cell>
        </row>
        <row r="5539">
          <cell r="A5539" t="str">
            <v>MC</v>
          </cell>
          <cell r="B5539" t="str">
            <v>BA305</v>
          </cell>
          <cell r="C5539" t="str">
            <v>MOH</v>
          </cell>
          <cell r="D5539" t="str">
            <v>2100</v>
          </cell>
          <cell r="E5539" t="str">
            <v>GLOBE VA</v>
          </cell>
          <cell r="F5539">
            <v>6</v>
          </cell>
          <cell r="G5539" t="str">
            <v>VL8010700000100</v>
          </cell>
          <cell r="H5539">
            <v>1</v>
          </cell>
          <cell r="I5539" t="str">
            <v>--</v>
          </cell>
          <cell r="J5539">
            <v>2</v>
          </cell>
          <cell r="K5539">
            <v>2</v>
          </cell>
        </row>
        <row r="5540">
          <cell r="A5540" t="str">
            <v>MC</v>
          </cell>
          <cell r="B5540" t="str">
            <v>BA305</v>
          </cell>
          <cell r="C5540" t="str">
            <v>MOH</v>
          </cell>
          <cell r="D5540" t="str">
            <v>2101</v>
          </cell>
          <cell r="E5540" t="str">
            <v>GLOBE VA</v>
          </cell>
          <cell r="F5540">
            <v>6</v>
          </cell>
          <cell r="G5540" t="str">
            <v>VL8010700000100</v>
          </cell>
          <cell r="H5540">
            <v>1</v>
          </cell>
          <cell r="I5540" t="str">
            <v>--</v>
          </cell>
          <cell r="J5540">
            <v>1</v>
          </cell>
          <cell r="K5540">
            <v>1</v>
          </cell>
        </row>
        <row r="5541">
          <cell r="A5541" t="str">
            <v>MC</v>
          </cell>
          <cell r="B5541" t="str">
            <v>BA312</v>
          </cell>
          <cell r="C5541" t="str">
            <v>SA98</v>
          </cell>
          <cell r="D5541" t="str">
            <v>2411</v>
          </cell>
          <cell r="E5541" t="str">
            <v>GLOBE VA</v>
          </cell>
          <cell r="F5541">
            <v>6</v>
          </cell>
          <cell r="G5541" t="str">
            <v>VL3110100000100</v>
          </cell>
          <cell r="H5541">
            <v>1</v>
          </cell>
          <cell r="I5541" t="str">
            <v>--</v>
          </cell>
          <cell r="J5541">
            <v>1</v>
          </cell>
          <cell r="K5541">
            <v>1</v>
          </cell>
        </row>
        <row r="5542">
          <cell r="A5542" t="str">
            <v>MC</v>
          </cell>
          <cell r="B5542" t="str">
            <v>BA302</v>
          </cell>
          <cell r="C5542" t="str">
            <v>SD20</v>
          </cell>
          <cell r="D5542" t="str">
            <v>2301</v>
          </cell>
          <cell r="E5542" t="str">
            <v>GLOBE VA</v>
          </cell>
          <cell r="F5542">
            <v>6</v>
          </cell>
          <cell r="G5542" t="str">
            <v>VL8010500000100</v>
          </cell>
          <cell r="H5542">
            <v>1</v>
          </cell>
          <cell r="I5542" t="str">
            <v>--</v>
          </cell>
          <cell r="J5542">
            <v>1</v>
          </cell>
          <cell r="K5542">
            <v>1</v>
          </cell>
        </row>
        <row r="5543">
          <cell r="A5543" t="str">
            <v>MC</v>
          </cell>
          <cell r="B5543" t="str">
            <v>CA304</v>
          </cell>
          <cell r="C5543" t="str">
            <v>MC</v>
          </cell>
          <cell r="D5543" t="str">
            <v>HOLD</v>
          </cell>
          <cell r="E5543" t="str">
            <v>BALL VA</v>
          </cell>
          <cell r="F5543">
            <v>6</v>
          </cell>
          <cell r="G5543" t="str">
            <v>VB8010100000100</v>
          </cell>
          <cell r="H5543">
            <v>1</v>
          </cell>
          <cell r="I5543" t="str">
            <v>--</v>
          </cell>
          <cell r="J5543">
            <v>4</v>
          </cell>
          <cell r="K5543">
            <v>4</v>
          </cell>
        </row>
        <row r="5544">
          <cell r="A5544" t="str">
            <v>MC</v>
          </cell>
          <cell r="B5544" t="str">
            <v>CA304</v>
          </cell>
          <cell r="C5544" t="str">
            <v>MC</v>
          </cell>
          <cell r="D5544" t="str">
            <v>2604</v>
          </cell>
          <cell r="E5544" t="str">
            <v>BALL VA</v>
          </cell>
          <cell r="F5544">
            <v>6</v>
          </cell>
          <cell r="G5544" t="str">
            <v>VB8010100000100</v>
          </cell>
          <cell r="H5544">
            <v>1</v>
          </cell>
          <cell r="I5544" t="str">
            <v>--</v>
          </cell>
          <cell r="J5544">
            <v>3</v>
          </cell>
          <cell r="K5544">
            <v>3</v>
          </cell>
        </row>
        <row r="5545">
          <cell r="A5545" t="str">
            <v>MC</v>
          </cell>
          <cell r="B5545" t="str">
            <v>B2C</v>
          </cell>
          <cell r="C5545" t="str">
            <v>SH</v>
          </cell>
          <cell r="D5545" t="str">
            <v>HOLD</v>
          </cell>
          <cell r="E5545" t="str">
            <v>GATE VA</v>
          </cell>
          <cell r="F5545">
            <v>6</v>
          </cell>
          <cell r="G5545" t="str">
            <v>VG8010100001H00</v>
          </cell>
          <cell r="H5545">
            <v>1.5</v>
          </cell>
          <cell r="I5545" t="str">
            <v>--</v>
          </cell>
          <cell r="J5545">
            <v>2</v>
          </cell>
          <cell r="K5545">
            <v>2</v>
          </cell>
        </row>
        <row r="5546">
          <cell r="A5546" t="str">
            <v>MC</v>
          </cell>
          <cell r="B5546" t="str">
            <v>CA304</v>
          </cell>
          <cell r="C5546" t="str">
            <v>MC</v>
          </cell>
          <cell r="D5546" t="str">
            <v>2505</v>
          </cell>
          <cell r="E5546" t="str">
            <v>BALL VA</v>
          </cell>
          <cell r="F5546">
            <v>6</v>
          </cell>
          <cell r="G5546" t="str">
            <v>VB8010100001H00</v>
          </cell>
          <cell r="H5546">
            <v>1.5</v>
          </cell>
          <cell r="I5546" t="str">
            <v>--</v>
          </cell>
          <cell r="J5546">
            <v>2</v>
          </cell>
          <cell r="K5546">
            <v>2</v>
          </cell>
        </row>
        <row r="5547">
          <cell r="A5547" t="str">
            <v>MC</v>
          </cell>
          <cell r="B5547" t="str">
            <v>CA304</v>
          </cell>
          <cell r="C5547" t="str">
            <v>MC</v>
          </cell>
          <cell r="D5547" t="str">
            <v>2605</v>
          </cell>
          <cell r="E5547" t="str">
            <v>BALL VA</v>
          </cell>
          <cell r="F5547">
            <v>6</v>
          </cell>
          <cell r="G5547" t="str">
            <v>VB8010100001H00</v>
          </cell>
          <cell r="H5547">
            <v>1.5</v>
          </cell>
          <cell r="I5547" t="str">
            <v>--</v>
          </cell>
          <cell r="J5547">
            <v>2</v>
          </cell>
          <cell r="K5547">
            <v>2</v>
          </cell>
        </row>
        <row r="5548">
          <cell r="A5548" t="str">
            <v>MC</v>
          </cell>
          <cell r="B5548" t="str">
            <v>CA304</v>
          </cell>
          <cell r="C5548" t="str">
            <v>MC</v>
          </cell>
          <cell r="D5548" t="str">
            <v>2609</v>
          </cell>
          <cell r="E5548" t="str">
            <v>BALL VA</v>
          </cell>
          <cell r="F5548">
            <v>6</v>
          </cell>
          <cell r="G5548" t="str">
            <v>VB8010100001H00</v>
          </cell>
          <cell r="H5548">
            <v>1.5</v>
          </cell>
          <cell r="I5548" t="str">
            <v>--</v>
          </cell>
          <cell r="J5548">
            <v>1</v>
          </cell>
          <cell r="K5548">
            <v>1</v>
          </cell>
        </row>
        <row r="5549">
          <cell r="A5549" t="str">
            <v>MC</v>
          </cell>
          <cell r="B5549" t="str">
            <v>CA304</v>
          </cell>
          <cell r="C5549" t="str">
            <v>MC</v>
          </cell>
          <cell r="D5549" t="str">
            <v>2612</v>
          </cell>
          <cell r="E5549" t="str">
            <v>BALL VA</v>
          </cell>
          <cell r="F5549">
            <v>6</v>
          </cell>
          <cell r="G5549" t="str">
            <v>VB8010100001H00</v>
          </cell>
          <cell r="H5549">
            <v>1.5</v>
          </cell>
          <cell r="I5549" t="str">
            <v>--</v>
          </cell>
          <cell r="J5549">
            <v>3</v>
          </cell>
          <cell r="K5549">
            <v>3</v>
          </cell>
        </row>
        <row r="5550">
          <cell r="A5550" t="str">
            <v>MC</v>
          </cell>
          <cell r="B5550" t="str">
            <v>BA305</v>
          </cell>
          <cell r="C5550" t="str">
            <v>MOH</v>
          </cell>
          <cell r="D5550" t="str">
            <v>2100</v>
          </cell>
          <cell r="E5550" t="str">
            <v>BALL VA</v>
          </cell>
          <cell r="F5550">
            <v>6</v>
          </cell>
          <cell r="G5550" t="str">
            <v>VB8010100001H00</v>
          </cell>
          <cell r="H5550">
            <v>1.5</v>
          </cell>
          <cell r="I5550" t="str">
            <v>--</v>
          </cell>
          <cell r="J5550">
            <v>2</v>
          </cell>
          <cell r="K5550">
            <v>2</v>
          </cell>
        </row>
        <row r="5551">
          <cell r="A5551" t="str">
            <v>MC</v>
          </cell>
          <cell r="B5551" t="str">
            <v>CA304</v>
          </cell>
          <cell r="C5551" t="str">
            <v>MC</v>
          </cell>
          <cell r="D5551" t="str">
            <v>2609</v>
          </cell>
          <cell r="E5551" t="str">
            <v>BALL VA</v>
          </cell>
          <cell r="F5551">
            <v>6</v>
          </cell>
          <cell r="G5551" t="str">
            <v>VB8010100001H00</v>
          </cell>
          <cell r="H5551">
            <v>1.5</v>
          </cell>
          <cell r="I5551" t="str">
            <v>--</v>
          </cell>
          <cell r="J5551">
            <v>1</v>
          </cell>
          <cell r="K5551">
            <v>1</v>
          </cell>
        </row>
        <row r="5552">
          <cell r="A5552" t="str">
            <v>MC</v>
          </cell>
          <cell r="B5552" t="str">
            <v>CA304</v>
          </cell>
          <cell r="C5552" t="str">
            <v>N</v>
          </cell>
          <cell r="D5552" t="str">
            <v>HOLD</v>
          </cell>
          <cell r="E5552" t="str">
            <v>BALL VA</v>
          </cell>
          <cell r="F5552">
            <v>6</v>
          </cell>
          <cell r="G5552" t="str">
            <v>VB8010100001H00</v>
          </cell>
          <cell r="H5552">
            <v>1.5</v>
          </cell>
          <cell r="I5552" t="str">
            <v>--</v>
          </cell>
          <cell r="J5552">
            <v>1</v>
          </cell>
          <cell r="K5552">
            <v>1</v>
          </cell>
        </row>
        <row r="5553">
          <cell r="A5553" t="str">
            <v>MC</v>
          </cell>
          <cell r="B5553" t="str">
            <v>CA304</v>
          </cell>
          <cell r="C5553" t="str">
            <v>N</v>
          </cell>
          <cell r="D5553" t="str">
            <v>HOLD</v>
          </cell>
          <cell r="E5553" t="str">
            <v>BALL VA</v>
          </cell>
          <cell r="F5553">
            <v>6</v>
          </cell>
          <cell r="G5553" t="str">
            <v>VB8010100001H00</v>
          </cell>
          <cell r="H5553">
            <v>1.5</v>
          </cell>
          <cell r="I5553" t="str">
            <v>--</v>
          </cell>
          <cell r="J5553">
            <v>1</v>
          </cell>
          <cell r="K5553">
            <v>1</v>
          </cell>
        </row>
        <row r="5554">
          <cell r="A5554" t="str">
            <v>MC</v>
          </cell>
          <cell r="B5554" t="str">
            <v>CA304</v>
          </cell>
          <cell r="C5554" t="str">
            <v>TRIM</v>
          </cell>
          <cell r="D5554" t="str">
            <v>V-1260A/B</v>
          </cell>
          <cell r="E5554" t="str">
            <v>BALL VA</v>
          </cell>
          <cell r="F5554">
            <v>6</v>
          </cell>
          <cell r="G5554" t="str">
            <v>VB8010100001H00</v>
          </cell>
          <cell r="H5554">
            <v>1.5</v>
          </cell>
          <cell r="I5554" t="str">
            <v>--</v>
          </cell>
          <cell r="J5554">
            <v>8</v>
          </cell>
          <cell r="K5554">
            <v>8</v>
          </cell>
        </row>
        <row r="5555">
          <cell r="A5555" t="str">
            <v>MC</v>
          </cell>
          <cell r="B5555" t="str">
            <v>CA304</v>
          </cell>
          <cell r="C5555" t="str">
            <v>MC</v>
          </cell>
          <cell r="D5555" t="str">
            <v>2608</v>
          </cell>
          <cell r="E5555" t="str">
            <v>BALL VA</v>
          </cell>
          <cell r="F5555">
            <v>6</v>
          </cell>
          <cell r="G5555" t="str">
            <v>VB8010100001H00</v>
          </cell>
          <cell r="H5555">
            <v>1.5</v>
          </cell>
          <cell r="I5555" t="str">
            <v>--</v>
          </cell>
          <cell r="J5555">
            <v>2</v>
          </cell>
          <cell r="K5555">
            <v>2</v>
          </cell>
        </row>
        <row r="5556">
          <cell r="A5556" t="str">
            <v>MC</v>
          </cell>
          <cell r="B5556" t="str">
            <v>CA304</v>
          </cell>
          <cell r="C5556" t="str">
            <v>MC</v>
          </cell>
          <cell r="D5556" t="str">
            <v>2609</v>
          </cell>
          <cell r="E5556" t="str">
            <v>BALL VA</v>
          </cell>
          <cell r="F5556">
            <v>6</v>
          </cell>
          <cell r="G5556" t="str">
            <v>VB8010100001H00</v>
          </cell>
          <cell r="H5556">
            <v>1.5</v>
          </cell>
          <cell r="I5556" t="str">
            <v>--</v>
          </cell>
          <cell r="J5556">
            <v>2</v>
          </cell>
          <cell r="K5556">
            <v>2</v>
          </cell>
        </row>
        <row r="5557">
          <cell r="A5557" t="str">
            <v>MC</v>
          </cell>
          <cell r="B5557" t="str">
            <v>CA304</v>
          </cell>
          <cell r="C5557" t="str">
            <v>TRIM</v>
          </cell>
          <cell r="D5557" t="str">
            <v>E-1261</v>
          </cell>
          <cell r="E5557" t="str">
            <v>BALL VA</v>
          </cell>
          <cell r="F5557">
            <v>6</v>
          </cell>
          <cell r="G5557" t="str">
            <v>VB8010100001H00</v>
          </cell>
          <cell r="H5557">
            <v>1.5</v>
          </cell>
          <cell r="I5557" t="str">
            <v>--</v>
          </cell>
          <cell r="J5557">
            <v>2</v>
          </cell>
          <cell r="K5557">
            <v>2</v>
          </cell>
        </row>
        <row r="5558">
          <cell r="A5558" t="str">
            <v>MC</v>
          </cell>
          <cell r="B5558" t="str">
            <v>CA304</v>
          </cell>
          <cell r="C5558" t="str">
            <v>MC</v>
          </cell>
          <cell r="D5558" t="str">
            <v>2608</v>
          </cell>
          <cell r="E5558" t="str">
            <v>BELLOWS VA</v>
          </cell>
          <cell r="F5558">
            <v>6</v>
          </cell>
          <cell r="G5558" t="str">
            <v>VBE8010100001H00</v>
          </cell>
          <cell r="H5558">
            <v>1.5</v>
          </cell>
          <cell r="I5558" t="str">
            <v>--</v>
          </cell>
          <cell r="J5558">
            <v>2</v>
          </cell>
          <cell r="K5558">
            <v>2</v>
          </cell>
        </row>
        <row r="5559">
          <cell r="A5559" t="str">
            <v>MC</v>
          </cell>
          <cell r="B5559" t="str">
            <v>CA304</v>
          </cell>
          <cell r="C5559" t="str">
            <v>N</v>
          </cell>
          <cell r="D5559" t="str">
            <v>HOLD</v>
          </cell>
          <cell r="E5559" t="str">
            <v>CHECK VA</v>
          </cell>
          <cell r="F5559">
            <v>6</v>
          </cell>
          <cell r="G5559" t="str">
            <v>VCB8010600001H00</v>
          </cell>
          <cell r="H5559">
            <v>1.5</v>
          </cell>
          <cell r="I5559" t="str">
            <v>--</v>
          </cell>
          <cell r="J5559">
            <v>1</v>
          </cell>
          <cell r="K5559">
            <v>1</v>
          </cell>
        </row>
        <row r="5560">
          <cell r="A5560" t="str">
            <v>MC</v>
          </cell>
          <cell r="B5560" t="str">
            <v>CA304</v>
          </cell>
          <cell r="C5560" t="str">
            <v>N</v>
          </cell>
          <cell r="D5560" t="str">
            <v>HOLD</v>
          </cell>
          <cell r="E5560" t="str">
            <v>CHECK VA</v>
          </cell>
          <cell r="F5560">
            <v>6</v>
          </cell>
          <cell r="G5560" t="str">
            <v>VCB8010600001H00</v>
          </cell>
          <cell r="H5560">
            <v>1.5</v>
          </cell>
          <cell r="I5560" t="str">
            <v>--</v>
          </cell>
          <cell r="J5560">
            <v>1</v>
          </cell>
          <cell r="K5560">
            <v>1</v>
          </cell>
        </row>
        <row r="5561">
          <cell r="A5561" t="str">
            <v>MC</v>
          </cell>
          <cell r="B5561" t="str">
            <v>CA304</v>
          </cell>
          <cell r="C5561" t="str">
            <v>MC</v>
          </cell>
          <cell r="D5561" t="str">
            <v>2604</v>
          </cell>
          <cell r="E5561" t="str">
            <v>BALL VA</v>
          </cell>
          <cell r="F5561">
            <v>6</v>
          </cell>
          <cell r="G5561" t="str">
            <v>VB8010100001H00</v>
          </cell>
          <cell r="H5561">
            <v>1.5</v>
          </cell>
          <cell r="I5561" t="str">
            <v>--</v>
          </cell>
          <cell r="J5561">
            <v>1</v>
          </cell>
          <cell r="K5561">
            <v>1</v>
          </cell>
        </row>
        <row r="5562">
          <cell r="A5562" t="str">
            <v>UT</v>
          </cell>
          <cell r="B5562" t="str">
            <v>A5C</v>
          </cell>
          <cell r="C5562" t="str">
            <v>WW</v>
          </cell>
          <cell r="D5562" t="str">
            <v>002</v>
          </cell>
          <cell r="E5562" t="str">
            <v>PIPE</v>
          </cell>
          <cell r="F5562">
            <v>1</v>
          </cell>
          <cell r="G5562" t="str">
            <v>CB100404000600</v>
          </cell>
          <cell r="H5562">
            <v>6</v>
          </cell>
          <cell r="I5562" t="str">
            <v>--</v>
          </cell>
          <cell r="J5562">
            <v>10</v>
          </cell>
          <cell r="K5562" t="str">
            <v>-</v>
          </cell>
        </row>
        <row r="5563">
          <cell r="A5563" t="str">
            <v>UT</v>
          </cell>
          <cell r="B5563" t="str">
            <v>A5C</v>
          </cell>
          <cell r="C5563" t="str">
            <v>WW</v>
          </cell>
          <cell r="D5563" t="str">
            <v>002</v>
          </cell>
          <cell r="E5563" t="str">
            <v>PIPE</v>
          </cell>
          <cell r="F5563">
            <v>1</v>
          </cell>
          <cell r="G5563" t="str">
            <v>CB100404000800</v>
          </cell>
          <cell r="H5563">
            <v>8</v>
          </cell>
          <cell r="I5563" t="str">
            <v>--</v>
          </cell>
          <cell r="J5563">
            <v>20</v>
          </cell>
          <cell r="K5563" t="str">
            <v>-</v>
          </cell>
        </row>
        <row r="5564">
          <cell r="A5564" t="str">
            <v>UT</v>
          </cell>
          <cell r="B5564" t="str">
            <v>B2C</v>
          </cell>
          <cell r="C5564" t="str">
            <v>SCL</v>
          </cell>
          <cell r="D5564" t="str">
            <v>002</v>
          </cell>
          <cell r="E5564" t="str">
            <v>PIPE</v>
          </cell>
          <cell r="F5564">
            <v>1</v>
          </cell>
          <cell r="G5564" t="str">
            <v>CB100508000T00</v>
          </cell>
          <cell r="H5564">
            <v>0.75</v>
          </cell>
          <cell r="I5564" t="str">
            <v>--</v>
          </cell>
          <cell r="J5564">
            <v>33</v>
          </cell>
          <cell r="K5564" t="str">
            <v>-</v>
          </cell>
        </row>
        <row r="5565">
          <cell r="A5565" t="str">
            <v>UT</v>
          </cell>
          <cell r="B5565" t="str">
            <v>B2C</v>
          </cell>
          <cell r="C5565" t="str">
            <v>SH</v>
          </cell>
          <cell r="D5565" t="str">
            <v>001</v>
          </cell>
          <cell r="E5565" t="str">
            <v>PIPE</v>
          </cell>
          <cell r="F5565">
            <v>1</v>
          </cell>
          <cell r="G5565" t="str">
            <v>CB100404000300</v>
          </cell>
          <cell r="H5565">
            <v>3</v>
          </cell>
          <cell r="I5565" t="str">
            <v>--</v>
          </cell>
          <cell r="J5565">
            <v>40</v>
          </cell>
          <cell r="K5565" t="str">
            <v>-</v>
          </cell>
        </row>
        <row r="5566">
          <cell r="A5566" t="str">
            <v>UT</v>
          </cell>
          <cell r="B5566" t="str">
            <v>CA307</v>
          </cell>
          <cell r="C5566" t="str">
            <v>P</v>
          </cell>
          <cell r="D5566" t="str">
            <v>HOLD7</v>
          </cell>
          <cell r="E5566" t="str">
            <v>PIPE</v>
          </cell>
          <cell r="F5566">
            <v>1</v>
          </cell>
          <cell r="G5566" t="str">
            <v>CB100405000400</v>
          </cell>
          <cell r="H5566">
            <v>4</v>
          </cell>
          <cell r="I5566" t="str">
            <v>--</v>
          </cell>
          <cell r="J5566">
            <v>43</v>
          </cell>
          <cell r="K5566" t="str">
            <v>-</v>
          </cell>
        </row>
        <row r="5567">
          <cell r="A5567" t="str">
            <v>UT</v>
          </cell>
          <cell r="B5567" t="str">
            <v>B2C</v>
          </cell>
          <cell r="C5567" t="str">
            <v>SH</v>
          </cell>
          <cell r="D5567" t="str">
            <v>001</v>
          </cell>
          <cell r="E5567" t="str">
            <v>PIPE</v>
          </cell>
          <cell r="F5567">
            <v>1</v>
          </cell>
          <cell r="G5567" t="str">
            <v>CB100404000400</v>
          </cell>
          <cell r="H5567">
            <v>4</v>
          </cell>
          <cell r="I5567" t="str">
            <v>--</v>
          </cell>
          <cell r="J5567">
            <v>43.5</v>
          </cell>
          <cell r="K5567" t="str">
            <v>-</v>
          </cell>
        </row>
        <row r="5568">
          <cell r="A5568" t="str">
            <v>UT</v>
          </cell>
          <cell r="B5568" t="str">
            <v>A5C</v>
          </cell>
          <cell r="C5568" t="str">
            <v>P</v>
          </cell>
          <cell r="D5568" t="str">
            <v>23116</v>
          </cell>
          <cell r="E5568" t="str">
            <v>PIPE</v>
          </cell>
          <cell r="F5568">
            <v>1</v>
          </cell>
          <cell r="G5568" t="str">
            <v>CB100408000200</v>
          </cell>
          <cell r="H5568">
            <v>2</v>
          </cell>
          <cell r="I5568" t="str">
            <v>--</v>
          </cell>
          <cell r="J5568">
            <v>55.8</v>
          </cell>
          <cell r="K5568" t="str">
            <v>-</v>
          </cell>
        </row>
        <row r="5569">
          <cell r="A5569" t="str">
            <v>UT</v>
          </cell>
          <cell r="B5569" t="str">
            <v>A5C</v>
          </cell>
          <cell r="C5569" t="str">
            <v>P</v>
          </cell>
          <cell r="D5569" t="str">
            <v>23112</v>
          </cell>
          <cell r="E5569" t="str">
            <v>PIPE</v>
          </cell>
          <cell r="F5569">
            <v>1</v>
          </cell>
          <cell r="G5569" t="str">
            <v>CB100408000200</v>
          </cell>
          <cell r="H5569">
            <v>2</v>
          </cell>
          <cell r="I5569" t="str">
            <v>--</v>
          </cell>
          <cell r="J5569">
            <v>57</v>
          </cell>
          <cell r="K5569" t="str">
            <v>-</v>
          </cell>
        </row>
        <row r="5570">
          <cell r="A5570" t="str">
            <v>UT</v>
          </cell>
          <cell r="B5570" t="str">
            <v>CA304</v>
          </cell>
          <cell r="C5570" t="str">
            <v>MC</v>
          </cell>
          <cell r="D5570" t="str">
            <v>12014</v>
          </cell>
          <cell r="E5570" t="str">
            <v>PIPE</v>
          </cell>
          <cell r="F5570">
            <v>1</v>
          </cell>
          <cell r="G5570" t="str">
            <v>CB100405000200</v>
          </cell>
          <cell r="H5570">
            <v>2</v>
          </cell>
          <cell r="I5570" t="str">
            <v>--</v>
          </cell>
          <cell r="J5570">
            <v>58.5</v>
          </cell>
          <cell r="K5570" t="str">
            <v>-</v>
          </cell>
        </row>
        <row r="5571">
          <cell r="A5571" t="str">
            <v>UT</v>
          </cell>
          <cell r="B5571" t="str">
            <v>A5C</v>
          </cell>
          <cell r="C5571" t="str">
            <v>P</v>
          </cell>
          <cell r="D5571" t="str">
            <v>23148</v>
          </cell>
          <cell r="E5571" t="str">
            <v>PIPE</v>
          </cell>
          <cell r="F5571">
            <v>1</v>
          </cell>
          <cell r="G5571" t="str">
            <v>CB100408000200</v>
          </cell>
          <cell r="H5571">
            <v>2</v>
          </cell>
          <cell r="I5571" t="str">
            <v>--</v>
          </cell>
          <cell r="J5571">
            <v>59.6</v>
          </cell>
          <cell r="K5571" t="str">
            <v>-</v>
          </cell>
        </row>
        <row r="5572">
          <cell r="A5572" t="str">
            <v>UT</v>
          </cell>
          <cell r="B5572" t="str">
            <v>A5C</v>
          </cell>
          <cell r="C5572" t="str">
            <v>P</v>
          </cell>
          <cell r="D5572" t="str">
            <v>23155</v>
          </cell>
          <cell r="E5572" t="str">
            <v>PIPE</v>
          </cell>
          <cell r="F5572">
            <v>1</v>
          </cell>
          <cell r="G5572" t="str">
            <v>CB100408000200</v>
          </cell>
          <cell r="H5572">
            <v>2</v>
          </cell>
          <cell r="I5572" t="str">
            <v>--</v>
          </cell>
          <cell r="J5572">
            <v>60.5</v>
          </cell>
          <cell r="K5572" t="str">
            <v>-</v>
          </cell>
        </row>
        <row r="5573">
          <cell r="A5573" t="str">
            <v>UT</v>
          </cell>
          <cell r="B5573" t="str">
            <v>A5C</v>
          </cell>
          <cell r="C5573" t="str">
            <v>P</v>
          </cell>
          <cell r="D5573" t="str">
            <v>23144</v>
          </cell>
          <cell r="E5573" t="str">
            <v>PIPE</v>
          </cell>
          <cell r="F5573">
            <v>1</v>
          </cell>
          <cell r="G5573" t="str">
            <v>CB100408000200</v>
          </cell>
          <cell r="H5573">
            <v>2</v>
          </cell>
          <cell r="I5573" t="str">
            <v>--</v>
          </cell>
          <cell r="J5573">
            <v>62.5</v>
          </cell>
          <cell r="K5573" t="str">
            <v>-</v>
          </cell>
        </row>
        <row r="5574">
          <cell r="A5574" t="str">
            <v>UT</v>
          </cell>
          <cell r="B5574" t="str">
            <v>A5C</v>
          </cell>
          <cell r="C5574" t="str">
            <v>P</v>
          </cell>
          <cell r="D5574" t="str">
            <v>23108</v>
          </cell>
          <cell r="E5574" t="str">
            <v>PIPE</v>
          </cell>
          <cell r="F5574">
            <v>1</v>
          </cell>
          <cell r="G5574" t="str">
            <v>CB100408000200</v>
          </cell>
          <cell r="H5574">
            <v>2</v>
          </cell>
          <cell r="I5574" t="str">
            <v>--</v>
          </cell>
          <cell r="J5574">
            <v>64</v>
          </cell>
          <cell r="K5574" t="str">
            <v>-</v>
          </cell>
        </row>
        <row r="5575">
          <cell r="A5575" t="str">
            <v>UT</v>
          </cell>
          <cell r="B5575" t="str">
            <v>A5C</v>
          </cell>
          <cell r="C5575" t="str">
            <v>P</v>
          </cell>
          <cell r="D5575" t="str">
            <v>HOLD4</v>
          </cell>
          <cell r="E5575" t="str">
            <v>PIPE</v>
          </cell>
          <cell r="F5575">
            <v>1</v>
          </cell>
          <cell r="G5575" t="str">
            <v>CB100408000200</v>
          </cell>
          <cell r="H5575">
            <v>2</v>
          </cell>
          <cell r="I5575" t="str">
            <v>--</v>
          </cell>
          <cell r="J5575">
            <v>82</v>
          </cell>
          <cell r="K5575" t="str">
            <v>-</v>
          </cell>
        </row>
        <row r="5576">
          <cell r="A5576" t="str">
            <v>UT</v>
          </cell>
          <cell r="B5576" t="str">
            <v>A5C</v>
          </cell>
          <cell r="C5576" t="str">
            <v>P</v>
          </cell>
          <cell r="D5576" t="str">
            <v>HOLD6</v>
          </cell>
          <cell r="E5576" t="str">
            <v>PIPE</v>
          </cell>
          <cell r="F5576">
            <v>1</v>
          </cell>
          <cell r="G5576" t="str">
            <v>CB100404000400</v>
          </cell>
          <cell r="H5576">
            <v>4</v>
          </cell>
          <cell r="I5576" t="str">
            <v>--</v>
          </cell>
          <cell r="J5576">
            <v>83</v>
          </cell>
          <cell r="K5576" t="str">
            <v>-</v>
          </cell>
        </row>
        <row r="5577">
          <cell r="A5577" t="str">
            <v>UT</v>
          </cell>
          <cell r="B5577" t="str">
            <v>A5C</v>
          </cell>
          <cell r="C5577" t="str">
            <v>P</v>
          </cell>
          <cell r="D5577" t="str">
            <v>HOLD3</v>
          </cell>
          <cell r="E5577" t="str">
            <v>PIPE</v>
          </cell>
          <cell r="F5577">
            <v>1</v>
          </cell>
          <cell r="G5577" t="str">
            <v>CB100408000200</v>
          </cell>
          <cell r="H5577">
            <v>2</v>
          </cell>
          <cell r="I5577" t="str">
            <v>--</v>
          </cell>
          <cell r="J5577">
            <v>85</v>
          </cell>
          <cell r="K5577" t="str">
            <v>-</v>
          </cell>
        </row>
        <row r="5578">
          <cell r="A5578" t="str">
            <v>UT</v>
          </cell>
          <cell r="B5578" t="str">
            <v>CA307</v>
          </cell>
          <cell r="C5578" t="str">
            <v>HCLG</v>
          </cell>
          <cell r="D5578" t="str">
            <v>1100</v>
          </cell>
          <cell r="E5578" t="str">
            <v>PIPE</v>
          </cell>
          <cell r="F5578">
            <v>1</v>
          </cell>
          <cell r="G5578" t="str">
            <v>CB100405000600</v>
          </cell>
          <cell r="H5578">
            <v>6</v>
          </cell>
          <cell r="I5578" t="str">
            <v>--</v>
          </cell>
          <cell r="J5578">
            <v>97</v>
          </cell>
          <cell r="K5578" t="str">
            <v>-</v>
          </cell>
        </row>
        <row r="5579">
          <cell r="A5579" t="str">
            <v>UT</v>
          </cell>
          <cell r="B5579" t="str">
            <v>A5C</v>
          </cell>
          <cell r="C5579" t="str">
            <v>P</v>
          </cell>
          <cell r="D5579" t="str">
            <v>HOLD1</v>
          </cell>
          <cell r="E5579" t="str">
            <v>PIPE</v>
          </cell>
          <cell r="F5579">
            <v>1</v>
          </cell>
          <cell r="G5579" t="str">
            <v>CB100408000200</v>
          </cell>
          <cell r="H5579">
            <v>2</v>
          </cell>
          <cell r="I5579" t="str">
            <v>--</v>
          </cell>
          <cell r="J5579">
            <v>142</v>
          </cell>
          <cell r="K5579" t="str">
            <v>-</v>
          </cell>
        </row>
        <row r="5580">
          <cell r="A5580" t="str">
            <v>UT</v>
          </cell>
          <cell r="B5580" t="str">
            <v>A5C</v>
          </cell>
          <cell r="C5580" t="str">
            <v>WW</v>
          </cell>
          <cell r="D5580" t="str">
            <v>003</v>
          </cell>
          <cell r="E5580" t="str">
            <v>PIPE</v>
          </cell>
          <cell r="F5580">
            <v>1</v>
          </cell>
          <cell r="G5580" t="str">
            <v>CB100404000300</v>
          </cell>
          <cell r="H5580">
            <v>3</v>
          </cell>
          <cell r="I5580" t="str">
            <v>--</v>
          </cell>
          <cell r="J5580">
            <v>144</v>
          </cell>
          <cell r="K5580" t="str">
            <v>-</v>
          </cell>
        </row>
        <row r="5581">
          <cell r="A5581" t="str">
            <v>UT</v>
          </cell>
          <cell r="B5581" t="str">
            <v>A5C</v>
          </cell>
          <cell r="C5581" t="str">
            <v>P</v>
          </cell>
          <cell r="D5581" t="str">
            <v>HOLD5</v>
          </cell>
          <cell r="E5581" t="str">
            <v>PIPE</v>
          </cell>
          <cell r="F5581">
            <v>1</v>
          </cell>
          <cell r="G5581" t="str">
            <v>CB100404000400</v>
          </cell>
          <cell r="H5581">
            <v>4</v>
          </cell>
          <cell r="I5581" t="str">
            <v>--</v>
          </cell>
          <cell r="J5581">
            <v>228</v>
          </cell>
          <cell r="K5581" t="str">
            <v>-</v>
          </cell>
        </row>
        <row r="5582">
          <cell r="A5582" t="str">
            <v>UT</v>
          </cell>
          <cell r="B5582" t="str">
            <v>B2C</v>
          </cell>
          <cell r="C5582" t="str">
            <v>SH</v>
          </cell>
          <cell r="D5582" t="str">
            <v>001</v>
          </cell>
          <cell r="E5582" t="str">
            <v>PIPE</v>
          </cell>
          <cell r="F5582">
            <v>1</v>
          </cell>
          <cell r="G5582" t="str">
            <v>CB100404000800</v>
          </cell>
          <cell r="H5582">
            <v>8</v>
          </cell>
          <cell r="I5582" t="str">
            <v>--</v>
          </cell>
          <cell r="J5582">
            <v>240</v>
          </cell>
          <cell r="K5582" t="str">
            <v>-</v>
          </cell>
        </row>
        <row r="5583">
          <cell r="A5583" t="str">
            <v>UT</v>
          </cell>
          <cell r="B5583" t="str">
            <v>A5C</v>
          </cell>
          <cell r="C5583" t="str">
            <v>P</v>
          </cell>
          <cell r="D5583" t="str">
            <v>HOLD2</v>
          </cell>
          <cell r="E5583" t="str">
            <v>PIPE</v>
          </cell>
          <cell r="F5583">
            <v>1</v>
          </cell>
          <cell r="G5583" t="str">
            <v>CB100408000200</v>
          </cell>
          <cell r="H5583">
            <v>2</v>
          </cell>
          <cell r="I5583" t="str">
            <v>--</v>
          </cell>
          <cell r="J5583">
            <v>312</v>
          </cell>
          <cell r="K5583" t="str">
            <v>-</v>
          </cell>
        </row>
        <row r="5584">
          <cell r="A5584" t="str">
            <v>UT</v>
          </cell>
          <cell r="B5584" t="str">
            <v>A5C</v>
          </cell>
          <cell r="C5584" t="str">
            <v>WW</v>
          </cell>
          <cell r="D5584" t="str">
            <v>002</v>
          </cell>
          <cell r="E5584" t="str">
            <v>PIPE</v>
          </cell>
          <cell r="F5584">
            <v>1</v>
          </cell>
          <cell r="G5584" t="str">
            <v>CB100404001200</v>
          </cell>
          <cell r="H5584">
            <v>12</v>
          </cell>
          <cell r="I5584" t="str">
            <v>--</v>
          </cell>
          <cell r="J5584">
            <v>358</v>
          </cell>
          <cell r="K5584" t="str">
            <v>-</v>
          </cell>
        </row>
        <row r="5585">
          <cell r="A5585" t="str">
            <v>UT</v>
          </cell>
          <cell r="B5585" t="str">
            <v>B2C</v>
          </cell>
          <cell r="C5585" t="str">
            <v>SCL</v>
          </cell>
          <cell r="D5585" t="str">
            <v>002</v>
          </cell>
          <cell r="E5585" t="str">
            <v>PIPE</v>
          </cell>
          <cell r="F5585">
            <v>1</v>
          </cell>
          <cell r="G5585" t="str">
            <v>CB100508000T00</v>
          </cell>
          <cell r="H5585">
            <v>0.75</v>
          </cell>
          <cell r="I5585" t="str">
            <v>--</v>
          </cell>
          <cell r="J5585" t="str">
            <v>-</v>
          </cell>
          <cell r="K5585">
            <v>33</v>
          </cell>
        </row>
        <row r="5586">
          <cell r="A5586" t="str">
            <v>UT</v>
          </cell>
          <cell r="B5586" t="str">
            <v>A5C</v>
          </cell>
          <cell r="C5586" t="str">
            <v>P</v>
          </cell>
          <cell r="D5586" t="str">
            <v>23116</v>
          </cell>
          <cell r="E5586" t="str">
            <v>PIPE</v>
          </cell>
          <cell r="F5586">
            <v>1</v>
          </cell>
          <cell r="G5586" t="str">
            <v>CB100408000200</v>
          </cell>
          <cell r="H5586">
            <v>2</v>
          </cell>
          <cell r="I5586" t="str">
            <v>--</v>
          </cell>
          <cell r="J5586" t="str">
            <v>-</v>
          </cell>
          <cell r="K5586">
            <v>55.8</v>
          </cell>
        </row>
        <row r="5587">
          <cell r="A5587" t="str">
            <v>UT</v>
          </cell>
          <cell r="B5587" t="str">
            <v>A5C</v>
          </cell>
          <cell r="C5587" t="str">
            <v>P</v>
          </cell>
          <cell r="D5587" t="str">
            <v>23112</v>
          </cell>
          <cell r="E5587" t="str">
            <v>PIPE</v>
          </cell>
          <cell r="F5587">
            <v>1</v>
          </cell>
          <cell r="G5587" t="str">
            <v>CB100408000200</v>
          </cell>
          <cell r="H5587">
            <v>2</v>
          </cell>
          <cell r="I5587" t="str">
            <v>--</v>
          </cell>
          <cell r="J5587" t="str">
            <v>-</v>
          </cell>
          <cell r="K5587">
            <v>57</v>
          </cell>
        </row>
        <row r="5588">
          <cell r="A5588" t="str">
            <v>UT</v>
          </cell>
          <cell r="B5588" t="str">
            <v>CA304</v>
          </cell>
          <cell r="C5588" t="str">
            <v>MC</v>
          </cell>
          <cell r="D5588" t="str">
            <v>12014</v>
          </cell>
          <cell r="E5588" t="str">
            <v>PIPE</v>
          </cell>
          <cell r="F5588">
            <v>1</v>
          </cell>
          <cell r="G5588" t="str">
            <v>CB100405000200</v>
          </cell>
          <cell r="H5588">
            <v>2</v>
          </cell>
          <cell r="I5588" t="str">
            <v>--</v>
          </cell>
          <cell r="J5588" t="str">
            <v>-</v>
          </cell>
          <cell r="K5588">
            <v>58.5</v>
          </cell>
        </row>
        <row r="5589">
          <cell r="A5589" t="str">
            <v>UT</v>
          </cell>
          <cell r="B5589" t="str">
            <v>A5C</v>
          </cell>
          <cell r="C5589" t="str">
            <v>P</v>
          </cell>
          <cell r="D5589" t="str">
            <v>23148</v>
          </cell>
          <cell r="E5589" t="str">
            <v>PIPE</v>
          </cell>
          <cell r="F5589">
            <v>1</v>
          </cell>
          <cell r="G5589" t="str">
            <v>CB100408000200</v>
          </cell>
          <cell r="H5589">
            <v>2</v>
          </cell>
          <cell r="I5589" t="str">
            <v>--</v>
          </cell>
          <cell r="J5589" t="str">
            <v>-</v>
          </cell>
          <cell r="K5589">
            <v>59.6</v>
          </cell>
        </row>
        <row r="5590">
          <cell r="A5590" t="str">
            <v>UT</v>
          </cell>
          <cell r="B5590" t="str">
            <v>A5C</v>
          </cell>
          <cell r="C5590" t="str">
            <v>P</v>
          </cell>
          <cell r="D5590" t="str">
            <v>23155</v>
          </cell>
          <cell r="E5590" t="str">
            <v>PIPE</v>
          </cell>
          <cell r="F5590">
            <v>1</v>
          </cell>
          <cell r="G5590" t="str">
            <v>CB100408000200</v>
          </cell>
          <cell r="H5590">
            <v>2</v>
          </cell>
          <cell r="I5590" t="str">
            <v>--</v>
          </cell>
          <cell r="J5590" t="str">
            <v>-</v>
          </cell>
          <cell r="K5590">
            <v>60.5</v>
          </cell>
        </row>
        <row r="5591">
          <cell r="A5591" t="str">
            <v>UT</v>
          </cell>
          <cell r="B5591" t="str">
            <v>A5C</v>
          </cell>
          <cell r="C5591" t="str">
            <v>P</v>
          </cell>
          <cell r="D5591" t="str">
            <v>23144</v>
          </cell>
          <cell r="E5591" t="str">
            <v>PIPE</v>
          </cell>
          <cell r="F5591">
            <v>1</v>
          </cell>
          <cell r="G5591" t="str">
            <v>CB100408000200</v>
          </cell>
          <cell r="H5591">
            <v>2</v>
          </cell>
          <cell r="I5591" t="str">
            <v>--</v>
          </cell>
          <cell r="J5591" t="str">
            <v>-</v>
          </cell>
          <cell r="K5591">
            <v>62.5</v>
          </cell>
        </row>
        <row r="5592">
          <cell r="A5592" t="str">
            <v>UT</v>
          </cell>
          <cell r="B5592" t="str">
            <v>A5C</v>
          </cell>
          <cell r="C5592" t="str">
            <v>P</v>
          </cell>
          <cell r="D5592" t="str">
            <v>23108</v>
          </cell>
          <cell r="E5592" t="str">
            <v>PIPE</v>
          </cell>
          <cell r="F5592">
            <v>1</v>
          </cell>
          <cell r="G5592" t="str">
            <v>CB100408000200</v>
          </cell>
          <cell r="H5592">
            <v>2</v>
          </cell>
          <cell r="I5592" t="str">
            <v>--</v>
          </cell>
          <cell r="J5592" t="str">
            <v>-</v>
          </cell>
          <cell r="K5592">
            <v>64</v>
          </cell>
        </row>
        <row r="5593">
          <cell r="A5593" t="str">
            <v>UT</v>
          </cell>
          <cell r="B5593" t="str">
            <v>A5C</v>
          </cell>
          <cell r="C5593" t="str">
            <v>P</v>
          </cell>
          <cell r="D5593" t="str">
            <v>HOLD4</v>
          </cell>
          <cell r="E5593" t="str">
            <v>PIPE</v>
          </cell>
          <cell r="F5593">
            <v>1</v>
          </cell>
          <cell r="G5593" t="str">
            <v>CB100408000200</v>
          </cell>
          <cell r="H5593">
            <v>2</v>
          </cell>
          <cell r="I5593" t="str">
            <v>--</v>
          </cell>
          <cell r="J5593" t="str">
            <v>-</v>
          </cell>
          <cell r="K5593">
            <v>82</v>
          </cell>
        </row>
        <row r="5594">
          <cell r="A5594" t="str">
            <v>UT</v>
          </cell>
          <cell r="B5594" t="str">
            <v>A5C</v>
          </cell>
          <cell r="C5594" t="str">
            <v>P</v>
          </cell>
          <cell r="D5594" t="str">
            <v>HOLD3</v>
          </cell>
          <cell r="E5594" t="str">
            <v>PIPE</v>
          </cell>
          <cell r="F5594">
            <v>1</v>
          </cell>
          <cell r="G5594" t="str">
            <v>CB100408000200</v>
          </cell>
          <cell r="H5594">
            <v>2</v>
          </cell>
          <cell r="I5594" t="str">
            <v>--</v>
          </cell>
          <cell r="J5594" t="str">
            <v>-</v>
          </cell>
          <cell r="K5594">
            <v>85</v>
          </cell>
        </row>
        <row r="5595">
          <cell r="A5595" t="str">
            <v>UT</v>
          </cell>
          <cell r="B5595" t="str">
            <v>A5C</v>
          </cell>
          <cell r="C5595" t="str">
            <v>P</v>
          </cell>
          <cell r="D5595" t="str">
            <v>HOLD1</v>
          </cell>
          <cell r="E5595" t="str">
            <v>PIPE</v>
          </cell>
          <cell r="F5595">
            <v>1</v>
          </cell>
          <cell r="G5595" t="str">
            <v>CB100408000200</v>
          </cell>
          <cell r="H5595">
            <v>2</v>
          </cell>
          <cell r="I5595" t="str">
            <v>--</v>
          </cell>
          <cell r="J5595" t="str">
            <v>-</v>
          </cell>
          <cell r="K5595">
            <v>142</v>
          </cell>
        </row>
        <row r="5596">
          <cell r="A5596" t="str">
            <v>UT</v>
          </cell>
          <cell r="B5596" t="str">
            <v>A5C</v>
          </cell>
          <cell r="C5596" t="str">
            <v>P</v>
          </cell>
          <cell r="D5596" t="str">
            <v>HOLD2</v>
          </cell>
          <cell r="E5596" t="str">
            <v>PIPE</v>
          </cell>
          <cell r="F5596">
            <v>1</v>
          </cell>
          <cell r="G5596" t="str">
            <v>CB100408000200</v>
          </cell>
          <cell r="H5596">
            <v>2</v>
          </cell>
          <cell r="I5596" t="str">
            <v>--</v>
          </cell>
          <cell r="J5596" t="str">
            <v>-</v>
          </cell>
          <cell r="K5596">
            <v>312</v>
          </cell>
        </row>
        <row r="5597">
          <cell r="A5597" t="str">
            <v>UT</v>
          </cell>
          <cell r="B5597" t="str">
            <v>B2C</v>
          </cell>
          <cell r="C5597" t="str">
            <v>SH</v>
          </cell>
          <cell r="D5597" t="str">
            <v>001</v>
          </cell>
          <cell r="E5597" t="str">
            <v>PIPE</v>
          </cell>
          <cell r="F5597">
            <v>1</v>
          </cell>
          <cell r="G5597" t="str">
            <v>CB100404000300</v>
          </cell>
          <cell r="H5597">
            <v>3</v>
          </cell>
          <cell r="I5597" t="str">
            <v>--</v>
          </cell>
          <cell r="J5597" t="str">
            <v>-</v>
          </cell>
          <cell r="K5597">
            <v>40</v>
          </cell>
        </row>
        <row r="5598">
          <cell r="A5598" t="str">
            <v>UT</v>
          </cell>
          <cell r="B5598" t="str">
            <v>B2C</v>
          </cell>
          <cell r="C5598" t="str">
            <v>SH</v>
          </cell>
          <cell r="D5598" t="str">
            <v>001</v>
          </cell>
          <cell r="E5598" t="str">
            <v>PIPE</v>
          </cell>
          <cell r="F5598">
            <v>1</v>
          </cell>
          <cell r="G5598" t="str">
            <v>CB100404001200</v>
          </cell>
          <cell r="H5598">
            <v>12</v>
          </cell>
          <cell r="I5598" t="str">
            <v>--</v>
          </cell>
          <cell r="J5598" t="str">
            <v>-</v>
          </cell>
          <cell r="K5598">
            <v>230</v>
          </cell>
        </row>
        <row r="5599">
          <cell r="A5599" t="str">
            <v>UT</v>
          </cell>
          <cell r="B5599" t="str">
            <v>A5C</v>
          </cell>
          <cell r="C5599" t="str">
            <v>WW</v>
          </cell>
          <cell r="D5599" t="str">
            <v>002</v>
          </cell>
          <cell r="E5599" t="str">
            <v>PIPE</v>
          </cell>
          <cell r="F5599">
            <v>1</v>
          </cell>
          <cell r="G5599" t="str">
            <v>CB100404001200</v>
          </cell>
          <cell r="H5599">
            <v>12</v>
          </cell>
          <cell r="I5599" t="str">
            <v>--</v>
          </cell>
          <cell r="J5599" t="str">
            <v>-</v>
          </cell>
          <cell r="K5599">
            <v>10</v>
          </cell>
        </row>
        <row r="5600">
          <cell r="A5600" t="str">
            <v>UT</v>
          </cell>
          <cell r="B5600" t="str">
            <v>A5C</v>
          </cell>
          <cell r="C5600" t="str">
            <v>WW</v>
          </cell>
          <cell r="D5600" t="str">
            <v>002</v>
          </cell>
          <cell r="E5600" t="str">
            <v>PIPE</v>
          </cell>
          <cell r="F5600">
            <v>1</v>
          </cell>
          <cell r="G5600" t="str">
            <v>CB100404002000</v>
          </cell>
          <cell r="H5600">
            <v>20</v>
          </cell>
          <cell r="I5600" t="str">
            <v>--</v>
          </cell>
          <cell r="J5600" t="str">
            <v>-</v>
          </cell>
          <cell r="K5600">
            <v>348</v>
          </cell>
        </row>
        <row r="5601">
          <cell r="A5601" t="str">
            <v>UT</v>
          </cell>
          <cell r="B5601" t="str">
            <v>B2C</v>
          </cell>
          <cell r="C5601" t="str">
            <v>SH</v>
          </cell>
          <cell r="D5601" t="str">
            <v>001</v>
          </cell>
          <cell r="E5601" t="str">
            <v>PIPE</v>
          </cell>
          <cell r="F5601">
            <v>1</v>
          </cell>
          <cell r="G5601" t="str">
            <v>CB100404000400</v>
          </cell>
          <cell r="H5601">
            <v>4</v>
          </cell>
          <cell r="I5601" t="str">
            <v>--</v>
          </cell>
          <cell r="J5601" t="str">
            <v>-</v>
          </cell>
          <cell r="K5601">
            <v>41.5</v>
          </cell>
        </row>
        <row r="5602">
          <cell r="A5602" t="str">
            <v>UT</v>
          </cell>
          <cell r="B5602" t="str">
            <v>CA307</v>
          </cell>
          <cell r="C5602" t="str">
            <v>P</v>
          </cell>
          <cell r="D5602" t="str">
            <v>HOLD7</v>
          </cell>
          <cell r="E5602" t="str">
            <v>PIPE</v>
          </cell>
          <cell r="F5602">
            <v>1</v>
          </cell>
          <cell r="G5602" t="str">
            <v>CB100405000400</v>
          </cell>
          <cell r="H5602">
            <v>4</v>
          </cell>
          <cell r="I5602" t="str">
            <v>--</v>
          </cell>
          <cell r="J5602" t="str">
            <v>-</v>
          </cell>
          <cell r="K5602">
            <v>43</v>
          </cell>
        </row>
        <row r="5603">
          <cell r="A5603" t="str">
            <v>UT</v>
          </cell>
          <cell r="B5603" t="str">
            <v>A5C</v>
          </cell>
          <cell r="C5603" t="str">
            <v>P</v>
          </cell>
          <cell r="D5603" t="str">
            <v>HOLD6</v>
          </cell>
          <cell r="E5603" t="str">
            <v>PIPE</v>
          </cell>
          <cell r="F5603">
            <v>1</v>
          </cell>
          <cell r="G5603" t="str">
            <v>CB100404000400</v>
          </cell>
          <cell r="H5603">
            <v>4</v>
          </cell>
          <cell r="I5603" t="str">
            <v>--</v>
          </cell>
          <cell r="J5603" t="str">
            <v>-</v>
          </cell>
          <cell r="K5603">
            <v>83</v>
          </cell>
        </row>
        <row r="5604">
          <cell r="A5604" t="str">
            <v>UT</v>
          </cell>
          <cell r="B5604" t="str">
            <v>A5C</v>
          </cell>
          <cell r="C5604" t="str">
            <v>P</v>
          </cell>
          <cell r="D5604" t="str">
            <v>HOLD5</v>
          </cell>
          <cell r="E5604" t="str">
            <v>PIPE</v>
          </cell>
          <cell r="F5604">
            <v>1</v>
          </cell>
          <cell r="G5604" t="str">
            <v>CB100404000400</v>
          </cell>
          <cell r="H5604">
            <v>4</v>
          </cell>
          <cell r="I5604" t="str">
            <v>--</v>
          </cell>
          <cell r="J5604" t="str">
            <v>-</v>
          </cell>
          <cell r="K5604">
            <v>228</v>
          </cell>
        </row>
        <row r="5605">
          <cell r="A5605" t="str">
            <v>UT</v>
          </cell>
          <cell r="B5605" t="str">
            <v>A5C</v>
          </cell>
          <cell r="C5605" t="str">
            <v>WW</v>
          </cell>
          <cell r="D5605" t="str">
            <v>003</v>
          </cell>
          <cell r="E5605" t="str">
            <v>PIPE</v>
          </cell>
          <cell r="F5605">
            <v>1</v>
          </cell>
          <cell r="G5605" t="str">
            <v>CB100404000400</v>
          </cell>
          <cell r="H5605">
            <v>4</v>
          </cell>
          <cell r="I5605" t="str">
            <v>--</v>
          </cell>
          <cell r="J5605" t="str">
            <v>-</v>
          </cell>
          <cell r="K5605">
            <v>144</v>
          </cell>
        </row>
        <row r="5606">
          <cell r="A5606" t="str">
            <v>UT</v>
          </cell>
          <cell r="B5606" t="str">
            <v>B2C</v>
          </cell>
          <cell r="C5606" t="str">
            <v>SH</v>
          </cell>
          <cell r="D5606" t="str">
            <v>001</v>
          </cell>
          <cell r="E5606" t="str">
            <v>PIPE</v>
          </cell>
          <cell r="F5606">
            <v>1</v>
          </cell>
          <cell r="G5606" t="str">
            <v>CB100404000600</v>
          </cell>
          <cell r="H5606">
            <v>6</v>
          </cell>
          <cell r="I5606" t="str">
            <v>--</v>
          </cell>
          <cell r="J5606" t="str">
            <v>-</v>
          </cell>
          <cell r="K5606">
            <v>2</v>
          </cell>
        </row>
        <row r="5607">
          <cell r="A5607" t="str">
            <v>UT</v>
          </cell>
          <cell r="B5607" t="str">
            <v>CA307</v>
          </cell>
          <cell r="C5607" t="str">
            <v>HCLG</v>
          </cell>
          <cell r="D5607" t="str">
            <v>1100</v>
          </cell>
          <cell r="E5607" t="str">
            <v>PIPE</v>
          </cell>
          <cell r="F5607">
            <v>1</v>
          </cell>
          <cell r="G5607" t="str">
            <v>CB100405000600</v>
          </cell>
          <cell r="H5607">
            <v>6</v>
          </cell>
          <cell r="I5607" t="str">
            <v>--</v>
          </cell>
          <cell r="J5607" t="str">
            <v>-</v>
          </cell>
          <cell r="K5607">
            <v>97</v>
          </cell>
        </row>
        <row r="5608">
          <cell r="A5608" t="str">
            <v>UT</v>
          </cell>
          <cell r="B5608" t="str">
            <v>A5C</v>
          </cell>
          <cell r="C5608" t="str">
            <v>WW</v>
          </cell>
          <cell r="D5608" t="str">
            <v>002</v>
          </cell>
          <cell r="E5608" t="str">
            <v>PIPE</v>
          </cell>
          <cell r="F5608">
            <v>1</v>
          </cell>
          <cell r="G5608" t="str">
            <v>CB100404000600</v>
          </cell>
          <cell r="H5608">
            <v>6</v>
          </cell>
          <cell r="I5608" t="str">
            <v>--</v>
          </cell>
          <cell r="J5608" t="str">
            <v>-</v>
          </cell>
          <cell r="K5608">
            <v>10</v>
          </cell>
        </row>
        <row r="5609">
          <cell r="A5609" t="str">
            <v>UT</v>
          </cell>
          <cell r="B5609" t="str">
            <v>B2C</v>
          </cell>
          <cell r="C5609" t="str">
            <v>SH</v>
          </cell>
          <cell r="D5609" t="str">
            <v>001</v>
          </cell>
          <cell r="E5609" t="str">
            <v>PIPE</v>
          </cell>
          <cell r="F5609">
            <v>1</v>
          </cell>
          <cell r="G5609" t="str">
            <v>CB100404000800</v>
          </cell>
          <cell r="H5609">
            <v>8</v>
          </cell>
          <cell r="I5609" t="str">
            <v>--</v>
          </cell>
          <cell r="J5609" t="str">
            <v>-</v>
          </cell>
          <cell r="K5609">
            <v>10</v>
          </cell>
        </row>
        <row r="5610">
          <cell r="A5610" t="str">
            <v>UT</v>
          </cell>
          <cell r="B5610" t="str">
            <v>A5C</v>
          </cell>
          <cell r="C5610" t="str">
            <v>WW</v>
          </cell>
          <cell r="D5610" t="str">
            <v>002</v>
          </cell>
          <cell r="E5610" t="str">
            <v>PIPE</v>
          </cell>
          <cell r="F5610">
            <v>1</v>
          </cell>
          <cell r="G5610" t="str">
            <v>CB100404000800</v>
          </cell>
          <cell r="H5610">
            <v>8</v>
          </cell>
          <cell r="I5610" t="str">
            <v>--</v>
          </cell>
          <cell r="J5610" t="str">
            <v>-</v>
          </cell>
          <cell r="K5610">
            <v>20</v>
          </cell>
        </row>
        <row r="5611">
          <cell r="A5611" t="str">
            <v>UT</v>
          </cell>
          <cell r="B5611" t="str">
            <v>B2C</v>
          </cell>
          <cell r="C5611" t="str">
            <v>SCL</v>
          </cell>
          <cell r="D5611" t="str">
            <v>002</v>
          </cell>
          <cell r="E5611" t="str">
            <v>NPL</v>
          </cell>
          <cell r="F5611">
            <v>2</v>
          </cell>
          <cell r="G5611" t="str">
            <v>CB132308000TVR</v>
          </cell>
          <cell r="H5611">
            <v>0.75</v>
          </cell>
          <cell r="I5611" t="str">
            <v>75mm</v>
          </cell>
          <cell r="J5611" t="str">
            <v>-</v>
          </cell>
          <cell r="K5611">
            <v>3</v>
          </cell>
        </row>
        <row r="5612">
          <cell r="A5612" t="str">
            <v>UT</v>
          </cell>
          <cell r="B5612" t="str">
            <v>B2C</v>
          </cell>
          <cell r="C5612" t="str">
            <v>SCL</v>
          </cell>
          <cell r="D5612" t="str">
            <v>002</v>
          </cell>
          <cell r="E5612" t="str">
            <v>TEE</v>
          </cell>
          <cell r="F5612">
            <v>2</v>
          </cell>
          <cell r="G5612" t="str">
            <v>CB400300000T00</v>
          </cell>
          <cell r="H5612">
            <v>0.75</v>
          </cell>
          <cell r="I5612" t="str">
            <v>--</v>
          </cell>
          <cell r="J5612" t="str">
            <v>-</v>
          </cell>
          <cell r="K5612">
            <v>6</v>
          </cell>
        </row>
        <row r="5613">
          <cell r="A5613" t="str">
            <v>UT</v>
          </cell>
          <cell r="B5613" t="str">
            <v>B2C</v>
          </cell>
          <cell r="C5613" t="str">
            <v>SCL</v>
          </cell>
          <cell r="D5613" t="str">
            <v>002</v>
          </cell>
          <cell r="E5613" t="str">
            <v>90 ELL</v>
          </cell>
          <cell r="F5613">
            <v>2</v>
          </cell>
          <cell r="G5613" t="str">
            <v>CB400100000T00</v>
          </cell>
          <cell r="H5613">
            <v>0.75</v>
          </cell>
          <cell r="I5613" t="str">
            <v>--</v>
          </cell>
          <cell r="J5613" t="str">
            <v>-</v>
          </cell>
          <cell r="K5613">
            <v>8</v>
          </cell>
        </row>
        <row r="5614">
          <cell r="A5614" t="str">
            <v>UT</v>
          </cell>
          <cell r="B5614" t="str">
            <v>B2C</v>
          </cell>
          <cell r="C5614" t="str">
            <v>SH</v>
          </cell>
          <cell r="D5614" t="str">
            <v>001</v>
          </cell>
          <cell r="E5614" t="str">
            <v>NPL</v>
          </cell>
          <cell r="F5614">
            <v>2</v>
          </cell>
          <cell r="G5614" t="str">
            <v>CB132308000TVR</v>
          </cell>
          <cell r="H5614">
            <v>0.75</v>
          </cell>
          <cell r="I5614" t="str">
            <v>75mm</v>
          </cell>
          <cell r="J5614" t="str">
            <v>-</v>
          </cell>
          <cell r="K5614">
            <v>12</v>
          </cell>
        </row>
        <row r="5615">
          <cell r="A5615" t="str">
            <v>UT</v>
          </cell>
          <cell r="B5615" t="str">
            <v>B2C</v>
          </cell>
          <cell r="C5615" t="str">
            <v>SCL</v>
          </cell>
          <cell r="D5615" t="str">
            <v>002</v>
          </cell>
          <cell r="E5615" t="str">
            <v>90 ELL</v>
          </cell>
          <cell r="F5615">
            <v>2</v>
          </cell>
          <cell r="G5615" t="str">
            <v>CB400100000T00</v>
          </cell>
          <cell r="H5615">
            <v>0.75</v>
          </cell>
          <cell r="I5615" t="str">
            <v>--</v>
          </cell>
          <cell r="J5615">
            <v>8</v>
          </cell>
          <cell r="K5615" t="str">
            <v>-</v>
          </cell>
        </row>
        <row r="5616">
          <cell r="A5616" t="str">
            <v>UT</v>
          </cell>
          <cell r="B5616" t="str">
            <v>B2C</v>
          </cell>
          <cell r="C5616" t="str">
            <v>SCL</v>
          </cell>
          <cell r="D5616" t="str">
            <v>002</v>
          </cell>
          <cell r="E5616" t="str">
            <v>NPL</v>
          </cell>
          <cell r="F5616">
            <v>2</v>
          </cell>
          <cell r="G5616" t="str">
            <v>CB132308000TVR</v>
          </cell>
          <cell r="H5616">
            <v>0.75</v>
          </cell>
          <cell r="I5616" t="str">
            <v>75mm</v>
          </cell>
          <cell r="J5616">
            <v>3</v>
          </cell>
          <cell r="K5616" t="str">
            <v>-</v>
          </cell>
        </row>
        <row r="5617">
          <cell r="A5617" t="str">
            <v>UT</v>
          </cell>
          <cell r="B5617" t="str">
            <v>B2C</v>
          </cell>
          <cell r="C5617" t="str">
            <v>SH</v>
          </cell>
          <cell r="D5617" t="str">
            <v>001</v>
          </cell>
          <cell r="E5617" t="str">
            <v>NPL</v>
          </cell>
          <cell r="F5617">
            <v>2</v>
          </cell>
          <cell r="G5617" t="str">
            <v>CB132308000TVR</v>
          </cell>
          <cell r="H5617">
            <v>0.75</v>
          </cell>
          <cell r="I5617" t="str">
            <v>75mm</v>
          </cell>
          <cell r="J5617">
            <v>12</v>
          </cell>
          <cell r="K5617" t="str">
            <v>-</v>
          </cell>
        </row>
        <row r="5618">
          <cell r="A5618" t="str">
            <v>UT</v>
          </cell>
          <cell r="B5618" t="str">
            <v>B2C</v>
          </cell>
          <cell r="C5618" t="str">
            <v>SCL</v>
          </cell>
          <cell r="D5618" t="str">
            <v>002</v>
          </cell>
          <cell r="E5618" t="str">
            <v>TEE</v>
          </cell>
          <cell r="F5618">
            <v>2</v>
          </cell>
          <cell r="G5618" t="str">
            <v>CB400300000T00</v>
          </cell>
          <cell r="H5618">
            <v>0.75</v>
          </cell>
          <cell r="I5618" t="str">
            <v>--</v>
          </cell>
          <cell r="J5618">
            <v>6</v>
          </cell>
          <cell r="K5618" t="str">
            <v>-</v>
          </cell>
        </row>
        <row r="5619">
          <cell r="A5619" t="str">
            <v>UT</v>
          </cell>
          <cell r="B5619" t="str">
            <v>CA307</v>
          </cell>
          <cell r="C5619" t="str">
            <v>P</v>
          </cell>
          <cell r="D5619" t="str">
            <v>HOLD7</v>
          </cell>
          <cell r="E5619" t="str">
            <v>CAP</v>
          </cell>
          <cell r="F5619">
            <v>2</v>
          </cell>
          <cell r="G5619" t="str">
            <v>CB520700000T00</v>
          </cell>
          <cell r="H5619">
            <v>0.75</v>
          </cell>
          <cell r="I5619" t="str">
            <v>--</v>
          </cell>
          <cell r="K5619">
            <v>1</v>
          </cell>
        </row>
        <row r="5620">
          <cell r="A5620" t="str">
            <v>UT</v>
          </cell>
          <cell r="B5620" t="str">
            <v>CA307</v>
          </cell>
          <cell r="C5620" t="str">
            <v>P</v>
          </cell>
          <cell r="D5620" t="str">
            <v>HOLD7</v>
          </cell>
          <cell r="E5620" t="str">
            <v>CAP</v>
          </cell>
          <cell r="F5620">
            <v>2</v>
          </cell>
          <cell r="G5620" t="str">
            <v>CB520700000T00</v>
          </cell>
          <cell r="H5620">
            <v>0.75</v>
          </cell>
          <cell r="I5620" t="str">
            <v>--</v>
          </cell>
          <cell r="J5620">
            <v>1</v>
          </cell>
          <cell r="K5620" t="str">
            <v>-</v>
          </cell>
        </row>
        <row r="5621">
          <cell r="A5621" t="str">
            <v>UT</v>
          </cell>
          <cell r="B5621" t="str">
            <v>CA307</v>
          </cell>
          <cell r="C5621" t="str">
            <v>HCLG</v>
          </cell>
          <cell r="D5621" t="str">
            <v>1100</v>
          </cell>
          <cell r="E5621" t="str">
            <v>CAP</v>
          </cell>
          <cell r="F5621">
            <v>2</v>
          </cell>
          <cell r="G5621" t="str">
            <v>CB520700000T00</v>
          </cell>
          <cell r="H5621">
            <v>0.75</v>
          </cell>
          <cell r="I5621" t="str">
            <v>--</v>
          </cell>
          <cell r="J5621" t="str">
            <v>-</v>
          </cell>
          <cell r="K5621">
            <v>1</v>
          </cell>
        </row>
        <row r="5622">
          <cell r="A5622" t="str">
            <v>UT</v>
          </cell>
          <cell r="B5622" t="str">
            <v>A5C</v>
          </cell>
          <cell r="C5622" t="str">
            <v>P</v>
          </cell>
          <cell r="D5622" t="str">
            <v>HOLD4</v>
          </cell>
          <cell r="E5622" t="str">
            <v>CAP</v>
          </cell>
          <cell r="F5622">
            <v>2</v>
          </cell>
          <cell r="G5622" t="str">
            <v>CB520700000T00</v>
          </cell>
          <cell r="H5622">
            <v>0.75</v>
          </cell>
          <cell r="I5622" t="str">
            <v>--</v>
          </cell>
          <cell r="J5622" t="str">
            <v>-</v>
          </cell>
          <cell r="K5622">
            <v>1</v>
          </cell>
        </row>
        <row r="5623">
          <cell r="A5623" t="str">
            <v>UT</v>
          </cell>
          <cell r="B5623" t="str">
            <v>A5C</v>
          </cell>
          <cell r="C5623" t="str">
            <v>P</v>
          </cell>
          <cell r="D5623" t="str">
            <v>HOLD6</v>
          </cell>
          <cell r="E5623" t="str">
            <v>CAP</v>
          </cell>
          <cell r="F5623">
            <v>2</v>
          </cell>
          <cell r="G5623" t="str">
            <v>CB520700000T00</v>
          </cell>
          <cell r="H5623">
            <v>0.75</v>
          </cell>
          <cell r="I5623" t="str">
            <v>--</v>
          </cell>
          <cell r="J5623" t="str">
            <v>-</v>
          </cell>
          <cell r="K5623">
            <v>1</v>
          </cell>
        </row>
        <row r="5624">
          <cell r="A5624" t="str">
            <v>UT</v>
          </cell>
          <cell r="B5624" t="str">
            <v>A5C</v>
          </cell>
          <cell r="C5624" t="str">
            <v>P</v>
          </cell>
          <cell r="D5624" t="str">
            <v>HOLD1</v>
          </cell>
          <cell r="E5624" t="str">
            <v>CAP</v>
          </cell>
          <cell r="F5624">
            <v>2</v>
          </cell>
          <cell r="G5624" t="str">
            <v>CB520700000T00</v>
          </cell>
          <cell r="H5624">
            <v>0.75</v>
          </cell>
          <cell r="I5624" t="str">
            <v>--</v>
          </cell>
          <cell r="J5624" t="str">
            <v>-</v>
          </cell>
          <cell r="K5624">
            <v>2</v>
          </cell>
        </row>
        <row r="5625">
          <cell r="A5625" t="str">
            <v>UT</v>
          </cell>
          <cell r="B5625" t="str">
            <v>A5C</v>
          </cell>
          <cell r="C5625" t="str">
            <v>P</v>
          </cell>
          <cell r="D5625" t="str">
            <v>HOLD3</v>
          </cell>
          <cell r="E5625" t="str">
            <v>CAP</v>
          </cell>
          <cell r="F5625">
            <v>2</v>
          </cell>
          <cell r="G5625" t="str">
            <v>CB520700000T00</v>
          </cell>
          <cell r="H5625">
            <v>0.75</v>
          </cell>
          <cell r="I5625" t="str">
            <v>--</v>
          </cell>
          <cell r="J5625" t="str">
            <v>-</v>
          </cell>
          <cell r="K5625">
            <v>2</v>
          </cell>
        </row>
        <row r="5626">
          <cell r="A5626" t="str">
            <v>UT</v>
          </cell>
          <cell r="B5626" t="str">
            <v>A5C</v>
          </cell>
          <cell r="C5626" t="str">
            <v>P</v>
          </cell>
          <cell r="D5626" t="str">
            <v>HOLD2</v>
          </cell>
          <cell r="E5626" t="str">
            <v>CAP</v>
          </cell>
          <cell r="F5626">
            <v>2</v>
          </cell>
          <cell r="G5626" t="str">
            <v>CB520700000T00</v>
          </cell>
          <cell r="H5626">
            <v>0.75</v>
          </cell>
          <cell r="I5626" t="str">
            <v>--</v>
          </cell>
          <cell r="J5626" t="str">
            <v>-</v>
          </cell>
          <cell r="K5626">
            <v>4</v>
          </cell>
        </row>
        <row r="5627">
          <cell r="A5627" t="str">
            <v>UT</v>
          </cell>
          <cell r="B5627" t="str">
            <v>A5C</v>
          </cell>
          <cell r="C5627" t="str">
            <v>P</v>
          </cell>
          <cell r="D5627" t="str">
            <v>HOLD5</v>
          </cell>
          <cell r="E5627" t="str">
            <v>CAP</v>
          </cell>
          <cell r="F5627">
            <v>2</v>
          </cell>
          <cell r="G5627" t="str">
            <v>CB520700000T00</v>
          </cell>
          <cell r="H5627">
            <v>0.75</v>
          </cell>
          <cell r="I5627" t="str">
            <v>--</v>
          </cell>
          <cell r="J5627" t="str">
            <v>-</v>
          </cell>
          <cell r="K5627">
            <v>4</v>
          </cell>
        </row>
        <row r="5628">
          <cell r="A5628" t="str">
            <v>UT</v>
          </cell>
          <cell r="B5628" t="str">
            <v>CA307</v>
          </cell>
          <cell r="C5628" t="str">
            <v>HCLG</v>
          </cell>
          <cell r="D5628" t="str">
            <v>1100</v>
          </cell>
          <cell r="E5628" t="str">
            <v>CAP</v>
          </cell>
          <cell r="F5628">
            <v>2</v>
          </cell>
          <cell r="G5628" t="str">
            <v>CB520700000T00</v>
          </cell>
          <cell r="H5628">
            <v>0.75</v>
          </cell>
          <cell r="I5628" t="str">
            <v>--</v>
          </cell>
          <cell r="J5628">
            <v>1</v>
          </cell>
          <cell r="K5628" t="str">
            <v>-</v>
          </cell>
        </row>
        <row r="5629">
          <cell r="A5629" t="str">
            <v>UT</v>
          </cell>
          <cell r="B5629" t="str">
            <v>A5C</v>
          </cell>
          <cell r="C5629" t="str">
            <v>P</v>
          </cell>
          <cell r="D5629" t="str">
            <v>HOLD1</v>
          </cell>
          <cell r="E5629" t="str">
            <v>CAP</v>
          </cell>
          <cell r="F5629">
            <v>2</v>
          </cell>
          <cell r="G5629" t="str">
            <v>CB520700000T00</v>
          </cell>
          <cell r="H5629">
            <v>0.75</v>
          </cell>
          <cell r="I5629" t="str">
            <v>--</v>
          </cell>
          <cell r="J5629">
            <v>2</v>
          </cell>
          <cell r="K5629" t="str">
            <v>-</v>
          </cell>
        </row>
        <row r="5630">
          <cell r="A5630" t="str">
            <v>UT</v>
          </cell>
          <cell r="B5630" t="str">
            <v>A5C</v>
          </cell>
          <cell r="C5630" t="str">
            <v>P</v>
          </cell>
          <cell r="D5630" t="str">
            <v>HOLD2</v>
          </cell>
          <cell r="E5630" t="str">
            <v>CAP</v>
          </cell>
          <cell r="F5630">
            <v>2</v>
          </cell>
          <cell r="G5630" t="str">
            <v>CB520700000T00</v>
          </cell>
          <cell r="H5630">
            <v>0.75</v>
          </cell>
          <cell r="I5630" t="str">
            <v>--</v>
          </cell>
          <cell r="J5630">
            <v>4</v>
          </cell>
          <cell r="K5630" t="str">
            <v>-</v>
          </cell>
        </row>
        <row r="5631">
          <cell r="A5631" t="str">
            <v>UT</v>
          </cell>
          <cell r="B5631" t="str">
            <v>A5C</v>
          </cell>
          <cell r="C5631" t="str">
            <v>P</v>
          </cell>
          <cell r="D5631" t="str">
            <v>HOLD3</v>
          </cell>
          <cell r="E5631" t="str">
            <v>CAP</v>
          </cell>
          <cell r="F5631">
            <v>2</v>
          </cell>
          <cell r="G5631" t="str">
            <v>CB520700000T00</v>
          </cell>
          <cell r="H5631">
            <v>0.75</v>
          </cell>
          <cell r="I5631" t="str">
            <v>--</v>
          </cell>
          <cell r="J5631">
            <v>2</v>
          </cell>
          <cell r="K5631" t="str">
            <v>-</v>
          </cell>
        </row>
        <row r="5632">
          <cell r="A5632" t="str">
            <v>UT</v>
          </cell>
          <cell r="B5632" t="str">
            <v>A5C</v>
          </cell>
          <cell r="C5632" t="str">
            <v>P</v>
          </cell>
          <cell r="D5632" t="str">
            <v>HOLD4</v>
          </cell>
          <cell r="E5632" t="str">
            <v>CAP</v>
          </cell>
          <cell r="F5632">
            <v>2</v>
          </cell>
          <cell r="G5632" t="str">
            <v>CB520700000T00</v>
          </cell>
          <cell r="H5632">
            <v>0.75</v>
          </cell>
          <cell r="I5632" t="str">
            <v>--</v>
          </cell>
          <cell r="J5632">
            <v>1</v>
          </cell>
          <cell r="K5632" t="str">
            <v>-</v>
          </cell>
        </row>
        <row r="5633">
          <cell r="A5633" t="str">
            <v>UT</v>
          </cell>
          <cell r="B5633" t="str">
            <v>A5C</v>
          </cell>
          <cell r="C5633" t="str">
            <v>P</v>
          </cell>
          <cell r="D5633" t="str">
            <v>HOLD5</v>
          </cell>
          <cell r="E5633" t="str">
            <v>CAP</v>
          </cell>
          <cell r="F5633">
            <v>2</v>
          </cell>
          <cell r="G5633" t="str">
            <v>CB520700000T00</v>
          </cell>
          <cell r="H5633">
            <v>0.75</v>
          </cell>
          <cell r="I5633" t="str">
            <v>--</v>
          </cell>
          <cell r="J5633">
            <v>4</v>
          </cell>
          <cell r="K5633" t="str">
            <v>-</v>
          </cell>
        </row>
        <row r="5634">
          <cell r="A5634" t="str">
            <v>UT</v>
          </cell>
          <cell r="B5634" t="str">
            <v>A5C</v>
          </cell>
          <cell r="C5634" t="str">
            <v>P</v>
          </cell>
          <cell r="D5634" t="str">
            <v>HOLD6</v>
          </cell>
          <cell r="E5634" t="str">
            <v>CAP</v>
          </cell>
          <cell r="F5634">
            <v>2</v>
          </cell>
          <cell r="G5634" t="str">
            <v>CB520700000T00</v>
          </cell>
          <cell r="H5634">
            <v>0.75</v>
          </cell>
          <cell r="I5634" t="str">
            <v>--</v>
          </cell>
          <cell r="J5634">
            <v>1</v>
          </cell>
          <cell r="K5634" t="str">
            <v>-</v>
          </cell>
        </row>
        <row r="5635">
          <cell r="A5635" t="str">
            <v>UT</v>
          </cell>
          <cell r="B5635" t="str">
            <v>A5C</v>
          </cell>
          <cell r="C5635" t="str">
            <v>WW</v>
          </cell>
          <cell r="D5635" t="str">
            <v>003</v>
          </cell>
          <cell r="E5635" t="str">
            <v>NPL</v>
          </cell>
          <cell r="F5635">
            <v>2</v>
          </cell>
          <cell r="G5635" t="str">
            <v>CB132308000TVR</v>
          </cell>
          <cell r="H5635">
            <v>0.75</v>
          </cell>
          <cell r="I5635" t="str">
            <v>75mm</v>
          </cell>
          <cell r="J5635" t="str">
            <v>-</v>
          </cell>
          <cell r="K5635">
            <v>1</v>
          </cell>
        </row>
        <row r="5636">
          <cell r="A5636" t="str">
            <v>UT</v>
          </cell>
          <cell r="B5636" t="str">
            <v>A5C</v>
          </cell>
          <cell r="C5636" t="str">
            <v>WW</v>
          </cell>
          <cell r="D5636" t="str">
            <v>002</v>
          </cell>
          <cell r="E5636" t="str">
            <v>NPL</v>
          </cell>
          <cell r="F5636">
            <v>2</v>
          </cell>
          <cell r="G5636" t="str">
            <v>CB132108000TVR</v>
          </cell>
          <cell r="H5636">
            <v>0.75</v>
          </cell>
          <cell r="I5636" t="str">
            <v>75mm</v>
          </cell>
          <cell r="J5636" t="str">
            <v>-</v>
          </cell>
          <cell r="K5636">
            <v>4</v>
          </cell>
        </row>
        <row r="5637">
          <cell r="A5637" t="str">
            <v>UT</v>
          </cell>
          <cell r="B5637" t="str">
            <v>A5C</v>
          </cell>
          <cell r="C5637" t="str">
            <v>WW</v>
          </cell>
          <cell r="D5637" t="str">
            <v>002</v>
          </cell>
          <cell r="E5637" t="str">
            <v>NPL</v>
          </cell>
          <cell r="F5637">
            <v>2</v>
          </cell>
          <cell r="G5637" t="str">
            <v>CB132108000TVR</v>
          </cell>
          <cell r="H5637">
            <v>0.75</v>
          </cell>
          <cell r="I5637" t="str">
            <v>75mm</v>
          </cell>
          <cell r="J5637">
            <v>4</v>
          </cell>
          <cell r="K5637" t="str">
            <v>-</v>
          </cell>
        </row>
        <row r="5638">
          <cell r="A5638" t="str">
            <v>UT</v>
          </cell>
          <cell r="B5638" t="str">
            <v>A5C</v>
          </cell>
          <cell r="C5638" t="str">
            <v>WW</v>
          </cell>
          <cell r="D5638" t="str">
            <v>003</v>
          </cell>
          <cell r="E5638" t="str">
            <v>NPL</v>
          </cell>
          <cell r="F5638">
            <v>2</v>
          </cell>
          <cell r="G5638" t="str">
            <v>CB132308000TVR</v>
          </cell>
          <cell r="H5638">
            <v>0.75</v>
          </cell>
          <cell r="I5638" t="str">
            <v>75mm</v>
          </cell>
          <cell r="J5638">
            <v>1</v>
          </cell>
          <cell r="K5638" t="str">
            <v>-</v>
          </cell>
        </row>
        <row r="5639">
          <cell r="A5639" t="str">
            <v>UT</v>
          </cell>
          <cell r="B5639" t="str">
            <v>A5C</v>
          </cell>
          <cell r="C5639" t="str">
            <v>P</v>
          </cell>
          <cell r="D5639" t="str">
            <v>HOLD4</v>
          </cell>
          <cell r="E5639" t="str">
            <v>SOL</v>
          </cell>
          <cell r="F5639">
            <v>2</v>
          </cell>
          <cell r="G5639" t="str">
            <v>CB39020000020T</v>
          </cell>
          <cell r="H5639">
            <v>2</v>
          </cell>
          <cell r="I5639">
            <v>0.75</v>
          </cell>
          <cell r="J5639" t="str">
            <v>-</v>
          </cell>
          <cell r="K5639">
            <v>1</v>
          </cell>
        </row>
        <row r="5640">
          <cell r="A5640" t="str">
            <v>UT</v>
          </cell>
          <cell r="B5640" t="str">
            <v>CA304</v>
          </cell>
          <cell r="C5640" t="str">
            <v>MC</v>
          </cell>
          <cell r="D5640" t="str">
            <v>12014</v>
          </cell>
          <cell r="E5640" t="str">
            <v>TOL</v>
          </cell>
          <cell r="F5640">
            <v>2</v>
          </cell>
          <cell r="G5640" t="str">
            <v>CB39030000020T</v>
          </cell>
          <cell r="H5640">
            <v>2</v>
          </cell>
          <cell r="I5640">
            <v>0.75</v>
          </cell>
          <cell r="J5640" t="str">
            <v>-</v>
          </cell>
          <cell r="K5640">
            <v>1</v>
          </cell>
        </row>
        <row r="5641">
          <cell r="A5641" t="str">
            <v>UT</v>
          </cell>
          <cell r="B5641" t="str">
            <v>A5C</v>
          </cell>
          <cell r="C5641" t="str">
            <v>P</v>
          </cell>
          <cell r="D5641" t="str">
            <v>23108</v>
          </cell>
          <cell r="E5641" t="str">
            <v>TOL</v>
          </cell>
          <cell r="F5641">
            <v>2</v>
          </cell>
          <cell r="G5641" t="str">
            <v>CB39030000020T</v>
          </cell>
          <cell r="H5641">
            <v>2</v>
          </cell>
          <cell r="I5641">
            <v>0.75</v>
          </cell>
          <cell r="J5641" t="str">
            <v>-</v>
          </cell>
          <cell r="K5641">
            <v>1</v>
          </cell>
        </row>
        <row r="5642">
          <cell r="A5642" t="str">
            <v>UT</v>
          </cell>
          <cell r="B5642" t="str">
            <v>A5C</v>
          </cell>
          <cell r="C5642" t="str">
            <v>P</v>
          </cell>
          <cell r="D5642" t="str">
            <v>23112</v>
          </cell>
          <cell r="E5642" t="str">
            <v>TOL</v>
          </cell>
          <cell r="F5642">
            <v>2</v>
          </cell>
          <cell r="G5642" t="str">
            <v>CB39030000020T</v>
          </cell>
          <cell r="H5642">
            <v>2</v>
          </cell>
          <cell r="I5642">
            <v>0.75</v>
          </cell>
          <cell r="J5642" t="str">
            <v>-</v>
          </cell>
          <cell r="K5642">
            <v>1</v>
          </cell>
        </row>
        <row r="5643">
          <cell r="A5643" t="str">
            <v>UT</v>
          </cell>
          <cell r="B5643" t="str">
            <v>A5C</v>
          </cell>
          <cell r="C5643" t="str">
            <v>P</v>
          </cell>
          <cell r="D5643" t="str">
            <v>23116</v>
          </cell>
          <cell r="E5643" t="str">
            <v>TOL</v>
          </cell>
          <cell r="F5643">
            <v>2</v>
          </cell>
          <cell r="G5643" t="str">
            <v>CB39030000020T</v>
          </cell>
          <cell r="H5643">
            <v>2</v>
          </cell>
          <cell r="I5643">
            <v>0.75</v>
          </cell>
          <cell r="J5643" t="str">
            <v>-</v>
          </cell>
          <cell r="K5643">
            <v>1</v>
          </cell>
        </row>
        <row r="5644">
          <cell r="A5644" t="str">
            <v>UT</v>
          </cell>
          <cell r="B5644" t="str">
            <v>A5C</v>
          </cell>
          <cell r="C5644" t="str">
            <v>P</v>
          </cell>
          <cell r="D5644" t="str">
            <v>23144</v>
          </cell>
          <cell r="E5644" t="str">
            <v>TOL</v>
          </cell>
          <cell r="F5644">
            <v>2</v>
          </cell>
          <cell r="G5644" t="str">
            <v>CB39030000020T</v>
          </cell>
          <cell r="H5644">
            <v>2</v>
          </cell>
          <cell r="I5644">
            <v>0.75</v>
          </cell>
          <cell r="J5644" t="str">
            <v>-</v>
          </cell>
          <cell r="K5644">
            <v>1</v>
          </cell>
        </row>
        <row r="5645">
          <cell r="A5645" t="str">
            <v>UT</v>
          </cell>
          <cell r="B5645" t="str">
            <v>A5C</v>
          </cell>
          <cell r="C5645" t="str">
            <v>P</v>
          </cell>
          <cell r="D5645" t="str">
            <v>23148</v>
          </cell>
          <cell r="E5645" t="str">
            <v>TOL</v>
          </cell>
          <cell r="F5645">
            <v>2</v>
          </cell>
          <cell r="G5645" t="str">
            <v>CB39030000020T</v>
          </cell>
          <cell r="H5645">
            <v>2</v>
          </cell>
          <cell r="I5645">
            <v>0.75</v>
          </cell>
          <cell r="J5645" t="str">
            <v>-</v>
          </cell>
          <cell r="K5645">
            <v>1</v>
          </cell>
        </row>
        <row r="5646">
          <cell r="A5646" t="str">
            <v>UT</v>
          </cell>
          <cell r="B5646" t="str">
            <v>A5C</v>
          </cell>
          <cell r="C5646" t="str">
            <v>P</v>
          </cell>
          <cell r="D5646" t="str">
            <v>23155</v>
          </cell>
          <cell r="E5646" t="str">
            <v>TOL</v>
          </cell>
          <cell r="F5646">
            <v>2</v>
          </cell>
          <cell r="G5646" t="str">
            <v>CB39030000020T</v>
          </cell>
          <cell r="H5646">
            <v>2</v>
          </cell>
          <cell r="I5646">
            <v>0.75</v>
          </cell>
          <cell r="J5646" t="str">
            <v>-</v>
          </cell>
          <cell r="K5646">
            <v>1</v>
          </cell>
        </row>
        <row r="5647">
          <cell r="A5647" t="str">
            <v>UT</v>
          </cell>
          <cell r="B5647" t="str">
            <v>A5C</v>
          </cell>
          <cell r="C5647" t="str">
            <v>P</v>
          </cell>
          <cell r="D5647" t="str">
            <v>HOLD4</v>
          </cell>
          <cell r="E5647" t="str">
            <v>TOL</v>
          </cell>
          <cell r="F5647">
            <v>2</v>
          </cell>
          <cell r="G5647" t="str">
            <v>CB39030000020T</v>
          </cell>
          <cell r="H5647">
            <v>2</v>
          </cell>
          <cell r="I5647">
            <v>0.75</v>
          </cell>
          <cell r="J5647" t="str">
            <v>-</v>
          </cell>
          <cell r="K5647">
            <v>1</v>
          </cell>
        </row>
        <row r="5648">
          <cell r="A5648" t="str">
            <v>UT</v>
          </cell>
          <cell r="B5648" t="str">
            <v>A5C</v>
          </cell>
          <cell r="C5648" t="str">
            <v>P</v>
          </cell>
          <cell r="D5648" t="str">
            <v>HOLD1</v>
          </cell>
          <cell r="E5648" t="str">
            <v>SOL</v>
          </cell>
          <cell r="F5648">
            <v>2</v>
          </cell>
          <cell r="G5648" t="str">
            <v>CB39020000020T</v>
          </cell>
          <cell r="H5648">
            <v>2</v>
          </cell>
          <cell r="I5648">
            <v>0.75</v>
          </cell>
          <cell r="J5648" t="str">
            <v>-</v>
          </cell>
          <cell r="K5648">
            <v>2</v>
          </cell>
        </row>
        <row r="5649">
          <cell r="A5649" t="str">
            <v>UT</v>
          </cell>
          <cell r="B5649" t="str">
            <v>A5C</v>
          </cell>
          <cell r="C5649" t="str">
            <v>P</v>
          </cell>
          <cell r="D5649" t="str">
            <v>HOLD3</v>
          </cell>
          <cell r="E5649" t="str">
            <v>SOL</v>
          </cell>
          <cell r="F5649">
            <v>2</v>
          </cell>
          <cell r="G5649" t="str">
            <v>CB39020000020T</v>
          </cell>
          <cell r="H5649">
            <v>2</v>
          </cell>
          <cell r="I5649">
            <v>0.75</v>
          </cell>
          <cell r="J5649" t="str">
            <v>-</v>
          </cell>
          <cell r="K5649">
            <v>2</v>
          </cell>
        </row>
        <row r="5650">
          <cell r="A5650" t="str">
            <v>UT</v>
          </cell>
          <cell r="B5650" t="str">
            <v>A5C</v>
          </cell>
          <cell r="C5650" t="str">
            <v>P</v>
          </cell>
          <cell r="D5650" t="str">
            <v>HOLD3</v>
          </cell>
          <cell r="E5650" t="str">
            <v>TOL</v>
          </cell>
          <cell r="F5650">
            <v>2</v>
          </cell>
          <cell r="G5650" t="str">
            <v>CB39030000020T</v>
          </cell>
          <cell r="H5650">
            <v>2</v>
          </cell>
          <cell r="I5650">
            <v>0.75</v>
          </cell>
          <cell r="J5650" t="str">
            <v>-</v>
          </cell>
          <cell r="K5650">
            <v>2</v>
          </cell>
        </row>
        <row r="5651">
          <cell r="A5651" t="str">
            <v>UT</v>
          </cell>
          <cell r="B5651" t="str">
            <v>CA304</v>
          </cell>
          <cell r="C5651" t="str">
            <v>MC</v>
          </cell>
          <cell r="D5651" t="str">
            <v>12014</v>
          </cell>
          <cell r="E5651" t="str">
            <v>90 ELL</v>
          </cell>
          <cell r="F5651">
            <v>2</v>
          </cell>
          <cell r="G5651" t="str">
            <v>CB300105000200</v>
          </cell>
          <cell r="H5651">
            <v>2</v>
          </cell>
          <cell r="I5651" t="str">
            <v>--</v>
          </cell>
          <cell r="J5651" t="str">
            <v>-</v>
          </cell>
          <cell r="K5651">
            <v>4</v>
          </cell>
        </row>
        <row r="5652">
          <cell r="A5652" t="str">
            <v>UT</v>
          </cell>
          <cell r="B5652" t="str">
            <v>A5C</v>
          </cell>
          <cell r="C5652" t="str">
            <v>P</v>
          </cell>
          <cell r="D5652" t="str">
            <v>23108</v>
          </cell>
          <cell r="E5652" t="str">
            <v>90 ELL</v>
          </cell>
          <cell r="F5652">
            <v>2</v>
          </cell>
          <cell r="G5652" t="str">
            <v>CB300108000200</v>
          </cell>
          <cell r="H5652">
            <v>2</v>
          </cell>
          <cell r="I5652" t="str">
            <v>--</v>
          </cell>
          <cell r="J5652" t="str">
            <v>-</v>
          </cell>
          <cell r="K5652">
            <v>4</v>
          </cell>
        </row>
        <row r="5653">
          <cell r="A5653" t="str">
            <v>UT</v>
          </cell>
          <cell r="B5653" t="str">
            <v>A5C</v>
          </cell>
          <cell r="C5653" t="str">
            <v>P</v>
          </cell>
          <cell r="D5653" t="str">
            <v>23112</v>
          </cell>
          <cell r="E5653" t="str">
            <v>90 ELL</v>
          </cell>
          <cell r="F5653">
            <v>2</v>
          </cell>
          <cell r="G5653" t="str">
            <v>CB300108000200</v>
          </cell>
          <cell r="H5653">
            <v>2</v>
          </cell>
          <cell r="I5653" t="str">
            <v>--</v>
          </cell>
          <cell r="J5653" t="str">
            <v>-</v>
          </cell>
          <cell r="K5653">
            <v>4</v>
          </cell>
        </row>
        <row r="5654">
          <cell r="A5654" t="str">
            <v>UT</v>
          </cell>
          <cell r="B5654" t="str">
            <v>A5C</v>
          </cell>
          <cell r="C5654" t="str">
            <v>P</v>
          </cell>
          <cell r="D5654" t="str">
            <v>23116</v>
          </cell>
          <cell r="E5654" t="str">
            <v>90 ELL</v>
          </cell>
          <cell r="F5654">
            <v>2</v>
          </cell>
          <cell r="G5654" t="str">
            <v>CB300108000200</v>
          </cell>
          <cell r="H5654">
            <v>2</v>
          </cell>
          <cell r="I5654" t="str">
            <v>--</v>
          </cell>
          <cell r="J5654" t="str">
            <v>-</v>
          </cell>
          <cell r="K5654">
            <v>4</v>
          </cell>
        </row>
        <row r="5655">
          <cell r="A5655" t="str">
            <v>UT</v>
          </cell>
          <cell r="B5655" t="str">
            <v>A5C</v>
          </cell>
          <cell r="C5655" t="str">
            <v>P</v>
          </cell>
          <cell r="D5655" t="str">
            <v>23144</v>
          </cell>
          <cell r="E5655" t="str">
            <v>90 ELL</v>
          </cell>
          <cell r="F5655">
            <v>2</v>
          </cell>
          <cell r="G5655" t="str">
            <v>CB300108000200</v>
          </cell>
          <cell r="H5655">
            <v>2</v>
          </cell>
          <cell r="I5655" t="str">
            <v>--</v>
          </cell>
          <cell r="J5655" t="str">
            <v>-</v>
          </cell>
          <cell r="K5655">
            <v>4</v>
          </cell>
        </row>
        <row r="5656">
          <cell r="A5656" t="str">
            <v>UT</v>
          </cell>
          <cell r="B5656" t="str">
            <v>A5C</v>
          </cell>
          <cell r="C5656" t="str">
            <v>P</v>
          </cell>
          <cell r="D5656" t="str">
            <v>23148</v>
          </cell>
          <cell r="E5656" t="str">
            <v>90 ELL</v>
          </cell>
          <cell r="F5656">
            <v>2</v>
          </cell>
          <cell r="G5656" t="str">
            <v>CB300108000200</v>
          </cell>
          <cell r="H5656">
            <v>2</v>
          </cell>
          <cell r="I5656" t="str">
            <v>--</v>
          </cell>
          <cell r="J5656" t="str">
            <v>-</v>
          </cell>
          <cell r="K5656">
            <v>4</v>
          </cell>
        </row>
        <row r="5657">
          <cell r="A5657" t="str">
            <v>UT</v>
          </cell>
          <cell r="B5657" t="str">
            <v>A5C</v>
          </cell>
          <cell r="C5657" t="str">
            <v>P</v>
          </cell>
          <cell r="D5657" t="str">
            <v>23155</v>
          </cell>
          <cell r="E5657" t="str">
            <v>90 ELL</v>
          </cell>
          <cell r="F5657">
            <v>2</v>
          </cell>
          <cell r="G5657" t="str">
            <v>CB300108000200</v>
          </cell>
          <cell r="H5657">
            <v>2</v>
          </cell>
          <cell r="I5657" t="str">
            <v>--</v>
          </cell>
          <cell r="J5657" t="str">
            <v>-</v>
          </cell>
          <cell r="K5657">
            <v>4</v>
          </cell>
        </row>
        <row r="5658">
          <cell r="A5658" t="str">
            <v>UT</v>
          </cell>
          <cell r="B5658" t="str">
            <v>A5C</v>
          </cell>
          <cell r="C5658" t="str">
            <v>P</v>
          </cell>
          <cell r="D5658" t="str">
            <v>HOLD2</v>
          </cell>
          <cell r="E5658" t="str">
            <v>SOL</v>
          </cell>
          <cell r="F5658">
            <v>2</v>
          </cell>
          <cell r="G5658" t="str">
            <v>CB39020000020T</v>
          </cell>
          <cell r="H5658">
            <v>2</v>
          </cell>
          <cell r="I5658">
            <v>0.75</v>
          </cell>
          <cell r="J5658" t="str">
            <v>-</v>
          </cell>
          <cell r="K5658">
            <v>4</v>
          </cell>
        </row>
        <row r="5659">
          <cell r="A5659" t="str">
            <v>UT</v>
          </cell>
          <cell r="B5659" t="str">
            <v>A5C</v>
          </cell>
          <cell r="C5659" t="str">
            <v>P</v>
          </cell>
          <cell r="D5659" t="str">
            <v>HOLD1</v>
          </cell>
          <cell r="E5659" t="str">
            <v>TOL</v>
          </cell>
          <cell r="F5659">
            <v>2</v>
          </cell>
          <cell r="G5659" t="str">
            <v>CB39030000020T</v>
          </cell>
          <cell r="H5659">
            <v>2</v>
          </cell>
          <cell r="I5659">
            <v>0.75</v>
          </cell>
          <cell r="J5659" t="str">
            <v>-</v>
          </cell>
          <cell r="K5659">
            <v>4</v>
          </cell>
        </row>
        <row r="5660">
          <cell r="A5660" t="str">
            <v>UT</v>
          </cell>
          <cell r="B5660" t="str">
            <v>A5C</v>
          </cell>
          <cell r="C5660" t="str">
            <v>P</v>
          </cell>
          <cell r="D5660" t="str">
            <v>HOLD2</v>
          </cell>
          <cell r="E5660" t="str">
            <v>TOL</v>
          </cell>
          <cell r="F5660">
            <v>2</v>
          </cell>
          <cell r="G5660" t="str">
            <v>CB39030000020T</v>
          </cell>
          <cell r="H5660">
            <v>2</v>
          </cell>
          <cell r="I5660">
            <v>0.75</v>
          </cell>
          <cell r="J5660" t="str">
            <v>-</v>
          </cell>
          <cell r="K5660">
            <v>4</v>
          </cell>
        </row>
        <row r="5661">
          <cell r="A5661" t="str">
            <v>UT</v>
          </cell>
          <cell r="B5661" t="str">
            <v>A5C</v>
          </cell>
          <cell r="C5661" t="str">
            <v>P</v>
          </cell>
          <cell r="D5661" t="str">
            <v>HOLD4</v>
          </cell>
          <cell r="E5661" t="str">
            <v>90 ELL</v>
          </cell>
          <cell r="F5661">
            <v>2</v>
          </cell>
          <cell r="G5661" t="str">
            <v>CB300108000200</v>
          </cell>
          <cell r="H5661">
            <v>2</v>
          </cell>
          <cell r="I5661" t="str">
            <v>--</v>
          </cell>
          <cell r="J5661" t="str">
            <v>-</v>
          </cell>
          <cell r="K5661">
            <v>6</v>
          </cell>
        </row>
        <row r="5662">
          <cell r="A5662" t="str">
            <v>UT</v>
          </cell>
          <cell r="B5662" t="str">
            <v>A5C</v>
          </cell>
          <cell r="C5662" t="str">
            <v>P</v>
          </cell>
          <cell r="D5662" t="str">
            <v>HOLD3</v>
          </cell>
          <cell r="E5662" t="str">
            <v>90 ELL</v>
          </cell>
          <cell r="F5662">
            <v>2</v>
          </cell>
          <cell r="G5662" t="str">
            <v>CB300108000200</v>
          </cell>
          <cell r="H5662">
            <v>2</v>
          </cell>
          <cell r="I5662" t="str">
            <v>--</v>
          </cell>
          <cell r="J5662" t="str">
            <v>-</v>
          </cell>
          <cell r="K5662">
            <v>12</v>
          </cell>
        </row>
        <row r="5663">
          <cell r="A5663" t="str">
            <v>UT</v>
          </cell>
          <cell r="B5663" t="str">
            <v>A5C</v>
          </cell>
          <cell r="C5663" t="str">
            <v>P</v>
          </cell>
          <cell r="D5663" t="str">
            <v>HOLD1</v>
          </cell>
          <cell r="E5663" t="str">
            <v>90 ELL</v>
          </cell>
          <cell r="F5663">
            <v>2</v>
          </cell>
          <cell r="G5663" t="str">
            <v>CB300108000200</v>
          </cell>
          <cell r="H5663">
            <v>2</v>
          </cell>
          <cell r="I5663" t="str">
            <v>--</v>
          </cell>
          <cell r="J5663" t="str">
            <v>-</v>
          </cell>
          <cell r="K5663">
            <v>16</v>
          </cell>
        </row>
        <row r="5664">
          <cell r="A5664" t="str">
            <v>UT</v>
          </cell>
          <cell r="B5664" t="str">
            <v>A5C</v>
          </cell>
          <cell r="C5664" t="str">
            <v>P</v>
          </cell>
          <cell r="D5664" t="str">
            <v>HOLD2</v>
          </cell>
          <cell r="E5664" t="str">
            <v>90 ELL</v>
          </cell>
          <cell r="F5664">
            <v>2</v>
          </cell>
          <cell r="G5664" t="str">
            <v>CB300108000200</v>
          </cell>
          <cell r="H5664">
            <v>2</v>
          </cell>
          <cell r="I5664" t="str">
            <v>--</v>
          </cell>
          <cell r="J5664" t="str">
            <v>-</v>
          </cell>
          <cell r="K5664">
            <v>24</v>
          </cell>
        </row>
        <row r="5665">
          <cell r="A5665" t="str">
            <v>UT</v>
          </cell>
          <cell r="B5665" t="str">
            <v>CA304</v>
          </cell>
          <cell r="C5665" t="str">
            <v>MC</v>
          </cell>
          <cell r="D5665" t="str">
            <v>12014</v>
          </cell>
          <cell r="E5665" t="str">
            <v>90 ELL</v>
          </cell>
          <cell r="F5665">
            <v>2</v>
          </cell>
          <cell r="G5665" t="str">
            <v>CB300105000200</v>
          </cell>
          <cell r="H5665">
            <v>2</v>
          </cell>
          <cell r="I5665" t="str">
            <v>--</v>
          </cell>
          <cell r="J5665">
            <v>4</v>
          </cell>
          <cell r="K5665" t="str">
            <v>-</v>
          </cell>
        </row>
        <row r="5666">
          <cell r="A5666" t="str">
            <v>UT</v>
          </cell>
          <cell r="B5666" t="str">
            <v>A5C</v>
          </cell>
          <cell r="C5666" t="str">
            <v>P</v>
          </cell>
          <cell r="D5666" t="str">
            <v>23108</v>
          </cell>
          <cell r="E5666" t="str">
            <v>90 ELL</v>
          </cell>
          <cell r="F5666">
            <v>2</v>
          </cell>
          <cell r="G5666" t="str">
            <v>CB300108000200</v>
          </cell>
          <cell r="H5666">
            <v>2</v>
          </cell>
          <cell r="I5666" t="str">
            <v>--</v>
          </cell>
          <cell r="J5666">
            <v>4</v>
          </cell>
          <cell r="K5666" t="str">
            <v>-</v>
          </cell>
        </row>
        <row r="5667">
          <cell r="A5667" t="str">
            <v>UT</v>
          </cell>
          <cell r="B5667" t="str">
            <v>A5C</v>
          </cell>
          <cell r="C5667" t="str">
            <v>P</v>
          </cell>
          <cell r="D5667" t="str">
            <v>23112</v>
          </cell>
          <cell r="E5667" t="str">
            <v>90 ELL</v>
          </cell>
          <cell r="F5667">
            <v>2</v>
          </cell>
          <cell r="G5667" t="str">
            <v>CB300108000200</v>
          </cell>
          <cell r="H5667">
            <v>2</v>
          </cell>
          <cell r="I5667" t="str">
            <v>--</v>
          </cell>
          <cell r="J5667">
            <v>4</v>
          </cell>
          <cell r="K5667" t="str">
            <v>-</v>
          </cell>
        </row>
        <row r="5668">
          <cell r="A5668" t="str">
            <v>UT</v>
          </cell>
          <cell r="B5668" t="str">
            <v>A5C</v>
          </cell>
          <cell r="C5668" t="str">
            <v>P</v>
          </cell>
          <cell r="D5668" t="str">
            <v>23116</v>
          </cell>
          <cell r="E5668" t="str">
            <v>90 ELL</v>
          </cell>
          <cell r="F5668">
            <v>2</v>
          </cell>
          <cell r="G5668" t="str">
            <v>CB300108000200</v>
          </cell>
          <cell r="H5668">
            <v>2</v>
          </cell>
          <cell r="I5668" t="str">
            <v>--</v>
          </cell>
          <cell r="J5668">
            <v>4</v>
          </cell>
          <cell r="K5668" t="str">
            <v>-</v>
          </cell>
        </row>
        <row r="5669">
          <cell r="A5669" t="str">
            <v>UT</v>
          </cell>
          <cell r="B5669" t="str">
            <v>A5C</v>
          </cell>
          <cell r="C5669" t="str">
            <v>P</v>
          </cell>
          <cell r="D5669" t="str">
            <v>23144</v>
          </cell>
          <cell r="E5669" t="str">
            <v>90 ELL</v>
          </cell>
          <cell r="F5669">
            <v>2</v>
          </cell>
          <cell r="G5669" t="str">
            <v>CB300108000200</v>
          </cell>
          <cell r="H5669">
            <v>2</v>
          </cell>
          <cell r="I5669" t="str">
            <v>--</v>
          </cell>
          <cell r="J5669">
            <v>4</v>
          </cell>
          <cell r="K5669" t="str">
            <v>-</v>
          </cell>
        </row>
        <row r="5670">
          <cell r="A5670" t="str">
            <v>UT</v>
          </cell>
          <cell r="B5670" t="str">
            <v>A5C</v>
          </cell>
          <cell r="C5670" t="str">
            <v>P</v>
          </cell>
          <cell r="D5670" t="str">
            <v>23148</v>
          </cell>
          <cell r="E5670" t="str">
            <v>90 ELL</v>
          </cell>
          <cell r="F5670">
            <v>2</v>
          </cell>
          <cell r="G5670" t="str">
            <v>CB300108000200</v>
          </cell>
          <cell r="H5670">
            <v>2</v>
          </cell>
          <cell r="I5670" t="str">
            <v>--</v>
          </cell>
          <cell r="J5670">
            <v>4</v>
          </cell>
          <cell r="K5670" t="str">
            <v>-</v>
          </cell>
        </row>
        <row r="5671">
          <cell r="A5671" t="str">
            <v>UT</v>
          </cell>
          <cell r="B5671" t="str">
            <v>A5C</v>
          </cell>
          <cell r="C5671" t="str">
            <v>P</v>
          </cell>
          <cell r="D5671" t="str">
            <v>23155</v>
          </cell>
          <cell r="E5671" t="str">
            <v>90 ELL</v>
          </cell>
          <cell r="F5671">
            <v>2</v>
          </cell>
          <cell r="G5671" t="str">
            <v>CB300108000200</v>
          </cell>
          <cell r="H5671">
            <v>2</v>
          </cell>
          <cell r="I5671" t="str">
            <v>--</v>
          </cell>
          <cell r="J5671">
            <v>4</v>
          </cell>
          <cell r="K5671" t="str">
            <v>-</v>
          </cell>
        </row>
        <row r="5672">
          <cell r="A5672" t="str">
            <v>UT</v>
          </cell>
          <cell r="B5672" t="str">
            <v>A5C</v>
          </cell>
          <cell r="C5672" t="str">
            <v>P</v>
          </cell>
          <cell r="D5672" t="str">
            <v>HOLD1</v>
          </cell>
          <cell r="E5672" t="str">
            <v>90 ELL</v>
          </cell>
          <cell r="F5672">
            <v>2</v>
          </cell>
          <cell r="G5672" t="str">
            <v>CB300108000200</v>
          </cell>
          <cell r="H5672">
            <v>2</v>
          </cell>
          <cell r="I5672" t="str">
            <v>--</v>
          </cell>
          <cell r="J5672">
            <v>16</v>
          </cell>
          <cell r="K5672" t="str">
            <v>-</v>
          </cell>
        </row>
        <row r="5673">
          <cell r="A5673" t="str">
            <v>UT</v>
          </cell>
          <cell r="B5673" t="str">
            <v>A5C</v>
          </cell>
          <cell r="C5673" t="str">
            <v>P</v>
          </cell>
          <cell r="D5673" t="str">
            <v>HOLD2</v>
          </cell>
          <cell r="E5673" t="str">
            <v>90 ELL</v>
          </cell>
          <cell r="F5673">
            <v>2</v>
          </cell>
          <cell r="G5673" t="str">
            <v>CB300108000200</v>
          </cell>
          <cell r="H5673">
            <v>2</v>
          </cell>
          <cell r="I5673" t="str">
            <v>--</v>
          </cell>
          <cell r="J5673">
            <v>24</v>
          </cell>
          <cell r="K5673" t="str">
            <v>-</v>
          </cell>
        </row>
        <row r="5674">
          <cell r="A5674" t="str">
            <v>UT</v>
          </cell>
          <cell r="B5674" t="str">
            <v>A5C</v>
          </cell>
          <cell r="C5674" t="str">
            <v>P</v>
          </cell>
          <cell r="D5674" t="str">
            <v>HOLD3</v>
          </cell>
          <cell r="E5674" t="str">
            <v>90 ELL</v>
          </cell>
          <cell r="F5674">
            <v>2</v>
          </cell>
          <cell r="G5674" t="str">
            <v>CB300108000200</v>
          </cell>
          <cell r="H5674">
            <v>2</v>
          </cell>
          <cell r="I5674" t="str">
            <v>--</v>
          </cell>
          <cell r="J5674">
            <v>12</v>
          </cell>
          <cell r="K5674" t="str">
            <v>-</v>
          </cell>
        </row>
        <row r="5675">
          <cell r="A5675" t="str">
            <v>UT</v>
          </cell>
          <cell r="B5675" t="str">
            <v>A5C</v>
          </cell>
          <cell r="C5675" t="str">
            <v>P</v>
          </cell>
          <cell r="D5675" t="str">
            <v>HOLD4</v>
          </cell>
          <cell r="E5675" t="str">
            <v>90 ELL</v>
          </cell>
          <cell r="F5675">
            <v>2</v>
          </cell>
          <cell r="G5675" t="str">
            <v>CB300108000200</v>
          </cell>
          <cell r="H5675">
            <v>2</v>
          </cell>
          <cell r="I5675" t="str">
            <v>--</v>
          </cell>
          <cell r="J5675">
            <v>6</v>
          </cell>
          <cell r="K5675" t="str">
            <v>-</v>
          </cell>
        </row>
        <row r="5676">
          <cell r="A5676" t="str">
            <v>UT</v>
          </cell>
          <cell r="B5676" t="str">
            <v>A5C</v>
          </cell>
          <cell r="C5676" t="str">
            <v>P</v>
          </cell>
          <cell r="D5676" t="str">
            <v>HOLD1</v>
          </cell>
          <cell r="E5676" t="str">
            <v>SOL</v>
          </cell>
          <cell r="F5676">
            <v>2</v>
          </cell>
          <cell r="G5676" t="str">
            <v>CB39020000020T</v>
          </cell>
          <cell r="H5676">
            <v>2</v>
          </cell>
          <cell r="I5676">
            <v>0.75</v>
          </cell>
          <cell r="J5676">
            <v>2</v>
          </cell>
          <cell r="K5676" t="str">
            <v>-</v>
          </cell>
        </row>
        <row r="5677">
          <cell r="A5677" t="str">
            <v>UT</v>
          </cell>
          <cell r="B5677" t="str">
            <v>A5C</v>
          </cell>
          <cell r="C5677" t="str">
            <v>P</v>
          </cell>
          <cell r="D5677" t="str">
            <v>HOLD2</v>
          </cell>
          <cell r="E5677" t="str">
            <v>SOL</v>
          </cell>
          <cell r="F5677">
            <v>2</v>
          </cell>
          <cell r="G5677" t="str">
            <v>CB39020000020T</v>
          </cell>
          <cell r="H5677">
            <v>2</v>
          </cell>
          <cell r="I5677">
            <v>0.75</v>
          </cell>
          <cell r="J5677">
            <v>4</v>
          </cell>
          <cell r="K5677" t="str">
            <v>-</v>
          </cell>
        </row>
        <row r="5678">
          <cell r="A5678" t="str">
            <v>UT</v>
          </cell>
          <cell r="B5678" t="str">
            <v>A5C</v>
          </cell>
          <cell r="C5678" t="str">
            <v>P</v>
          </cell>
          <cell r="D5678" t="str">
            <v>HOLD3</v>
          </cell>
          <cell r="E5678" t="str">
            <v>SOL</v>
          </cell>
          <cell r="F5678">
            <v>2</v>
          </cell>
          <cell r="G5678" t="str">
            <v>CB39020000020T</v>
          </cell>
          <cell r="H5678">
            <v>2</v>
          </cell>
          <cell r="I5678">
            <v>0.75</v>
          </cell>
          <cell r="J5678">
            <v>2</v>
          </cell>
          <cell r="K5678" t="str">
            <v>-</v>
          </cell>
        </row>
        <row r="5679">
          <cell r="A5679" t="str">
            <v>UT</v>
          </cell>
          <cell r="B5679" t="str">
            <v>A5C</v>
          </cell>
          <cell r="C5679" t="str">
            <v>P</v>
          </cell>
          <cell r="D5679" t="str">
            <v>HOLD4</v>
          </cell>
          <cell r="E5679" t="str">
            <v>SOL</v>
          </cell>
          <cell r="F5679">
            <v>2</v>
          </cell>
          <cell r="G5679" t="str">
            <v>CB39020000020T</v>
          </cell>
          <cell r="H5679">
            <v>2</v>
          </cell>
          <cell r="I5679">
            <v>0.75</v>
          </cell>
          <cell r="J5679">
            <v>1</v>
          </cell>
          <cell r="K5679" t="str">
            <v>-</v>
          </cell>
        </row>
        <row r="5680">
          <cell r="A5680" t="str">
            <v>UT</v>
          </cell>
          <cell r="B5680" t="str">
            <v>CA304</v>
          </cell>
          <cell r="C5680" t="str">
            <v>MC</v>
          </cell>
          <cell r="D5680" t="str">
            <v>12014</v>
          </cell>
          <cell r="E5680" t="str">
            <v>TOL</v>
          </cell>
          <cell r="F5680">
            <v>2</v>
          </cell>
          <cell r="G5680" t="str">
            <v>CB39030000020T</v>
          </cell>
          <cell r="H5680">
            <v>2</v>
          </cell>
          <cell r="I5680">
            <v>0.75</v>
          </cell>
          <cell r="J5680">
            <v>1</v>
          </cell>
          <cell r="K5680" t="str">
            <v>-</v>
          </cell>
        </row>
        <row r="5681">
          <cell r="A5681" t="str">
            <v>UT</v>
          </cell>
          <cell r="B5681" t="str">
            <v>A5C</v>
          </cell>
          <cell r="C5681" t="str">
            <v>P</v>
          </cell>
          <cell r="D5681" t="str">
            <v>23108</v>
          </cell>
          <cell r="E5681" t="str">
            <v>TOL</v>
          </cell>
          <cell r="F5681">
            <v>2</v>
          </cell>
          <cell r="G5681" t="str">
            <v>CB39030000020T</v>
          </cell>
          <cell r="H5681">
            <v>2</v>
          </cell>
          <cell r="I5681">
            <v>0.75</v>
          </cell>
          <cell r="J5681">
            <v>1</v>
          </cell>
          <cell r="K5681" t="str">
            <v>-</v>
          </cell>
        </row>
        <row r="5682">
          <cell r="A5682" t="str">
            <v>UT</v>
          </cell>
          <cell r="B5682" t="str">
            <v>A5C</v>
          </cell>
          <cell r="C5682" t="str">
            <v>P</v>
          </cell>
          <cell r="D5682" t="str">
            <v>23112</v>
          </cell>
          <cell r="E5682" t="str">
            <v>TOL</v>
          </cell>
          <cell r="F5682">
            <v>2</v>
          </cell>
          <cell r="G5682" t="str">
            <v>CB39030000020T</v>
          </cell>
          <cell r="H5682">
            <v>2</v>
          </cell>
          <cell r="I5682">
            <v>0.75</v>
          </cell>
          <cell r="J5682">
            <v>1</v>
          </cell>
          <cell r="K5682" t="str">
            <v>-</v>
          </cell>
        </row>
        <row r="5683">
          <cell r="A5683" t="str">
            <v>UT</v>
          </cell>
          <cell r="B5683" t="str">
            <v>A5C</v>
          </cell>
          <cell r="C5683" t="str">
            <v>P</v>
          </cell>
          <cell r="D5683" t="str">
            <v>23116</v>
          </cell>
          <cell r="E5683" t="str">
            <v>TOL</v>
          </cell>
          <cell r="F5683">
            <v>2</v>
          </cell>
          <cell r="G5683" t="str">
            <v>CB39030000020T</v>
          </cell>
          <cell r="H5683">
            <v>2</v>
          </cell>
          <cell r="I5683">
            <v>0.75</v>
          </cell>
          <cell r="J5683">
            <v>1</v>
          </cell>
          <cell r="K5683" t="str">
            <v>-</v>
          </cell>
        </row>
        <row r="5684">
          <cell r="A5684" t="str">
            <v>UT</v>
          </cell>
          <cell r="B5684" t="str">
            <v>A5C</v>
          </cell>
          <cell r="C5684" t="str">
            <v>P</v>
          </cell>
          <cell r="D5684" t="str">
            <v>23144</v>
          </cell>
          <cell r="E5684" t="str">
            <v>TOL</v>
          </cell>
          <cell r="F5684">
            <v>2</v>
          </cell>
          <cell r="G5684" t="str">
            <v>CB39030000020T</v>
          </cell>
          <cell r="H5684">
            <v>2</v>
          </cell>
          <cell r="I5684">
            <v>0.75</v>
          </cell>
          <cell r="J5684">
            <v>1</v>
          </cell>
          <cell r="K5684" t="str">
            <v>-</v>
          </cell>
        </row>
        <row r="5685">
          <cell r="A5685" t="str">
            <v>UT</v>
          </cell>
          <cell r="B5685" t="str">
            <v>A5C</v>
          </cell>
          <cell r="C5685" t="str">
            <v>P</v>
          </cell>
          <cell r="D5685" t="str">
            <v>23148</v>
          </cell>
          <cell r="E5685" t="str">
            <v>TOL</v>
          </cell>
          <cell r="F5685">
            <v>2</v>
          </cell>
          <cell r="G5685" t="str">
            <v>CB39030000020T</v>
          </cell>
          <cell r="H5685">
            <v>2</v>
          </cell>
          <cell r="I5685">
            <v>0.75</v>
          </cell>
          <cell r="J5685">
            <v>1</v>
          </cell>
          <cell r="K5685" t="str">
            <v>-</v>
          </cell>
        </row>
        <row r="5686">
          <cell r="A5686" t="str">
            <v>UT</v>
          </cell>
          <cell r="B5686" t="str">
            <v>A5C</v>
          </cell>
          <cell r="C5686" t="str">
            <v>P</v>
          </cell>
          <cell r="D5686" t="str">
            <v>23155</v>
          </cell>
          <cell r="E5686" t="str">
            <v>TOL</v>
          </cell>
          <cell r="F5686">
            <v>2</v>
          </cell>
          <cell r="G5686" t="str">
            <v>CB39030000020T</v>
          </cell>
          <cell r="H5686">
            <v>2</v>
          </cell>
          <cell r="I5686">
            <v>0.75</v>
          </cell>
          <cell r="J5686">
            <v>1</v>
          </cell>
          <cell r="K5686" t="str">
            <v>-</v>
          </cell>
        </row>
        <row r="5687">
          <cell r="A5687" t="str">
            <v>UT</v>
          </cell>
          <cell r="B5687" t="str">
            <v>A5C</v>
          </cell>
          <cell r="C5687" t="str">
            <v>P</v>
          </cell>
          <cell r="D5687" t="str">
            <v>HOLD1</v>
          </cell>
          <cell r="E5687" t="str">
            <v>TOL</v>
          </cell>
          <cell r="F5687">
            <v>2</v>
          </cell>
          <cell r="G5687" t="str">
            <v>CB39030000020T</v>
          </cell>
          <cell r="H5687">
            <v>2</v>
          </cell>
          <cell r="I5687">
            <v>0.75</v>
          </cell>
          <cell r="J5687">
            <v>4</v>
          </cell>
          <cell r="K5687" t="str">
            <v>-</v>
          </cell>
        </row>
        <row r="5688">
          <cell r="A5688" t="str">
            <v>UT</v>
          </cell>
          <cell r="B5688" t="str">
            <v>A5C</v>
          </cell>
          <cell r="C5688" t="str">
            <v>P</v>
          </cell>
          <cell r="D5688" t="str">
            <v>HOLD2</v>
          </cell>
          <cell r="E5688" t="str">
            <v>TOL</v>
          </cell>
          <cell r="F5688">
            <v>2</v>
          </cell>
          <cell r="G5688" t="str">
            <v>CB39030000020T</v>
          </cell>
          <cell r="H5688">
            <v>2</v>
          </cell>
          <cell r="I5688">
            <v>0.75</v>
          </cell>
          <cell r="J5688">
            <v>4</v>
          </cell>
          <cell r="K5688" t="str">
            <v>-</v>
          </cell>
        </row>
        <row r="5689">
          <cell r="A5689" t="str">
            <v>UT</v>
          </cell>
          <cell r="B5689" t="str">
            <v>A5C</v>
          </cell>
          <cell r="C5689" t="str">
            <v>P</v>
          </cell>
          <cell r="D5689" t="str">
            <v>HOLD3</v>
          </cell>
          <cell r="E5689" t="str">
            <v>TOL</v>
          </cell>
          <cell r="F5689">
            <v>2</v>
          </cell>
          <cell r="G5689" t="str">
            <v>CB39030000020T</v>
          </cell>
          <cell r="H5689">
            <v>2</v>
          </cell>
          <cell r="I5689">
            <v>0.75</v>
          </cell>
          <cell r="J5689">
            <v>2</v>
          </cell>
          <cell r="K5689" t="str">
            <v>-</v>
          </cell>
        </row>
        <row r="5690">
          <cell r="A5690" t="str">
            <v>UT</v>
          </cell>
          <cell r="B5690" t="str">
            <v>A5C</v>
          </cell>
          <cell r="C5690" t="str">
            <v>P</v>
          </cell>
          <cell r="D5690" t="str">
            <v>HOLD4</v>
          </cell>
          <cell r="E5690" t="str">
            <v>TOL</v>
          </cell>
          <cell r="F5690">
            <v>2</v>
          </cell>
          <cell r="G5690" t="str">
            <v>CB39030000020T</v>
          </cell>
          <cell r="H5690">
            <v>2</v>
          </cell>
          <cell r="I5690">
            <v>0.75</v>
          </cell>
          <cell r="J5690">
            <v>1</v>
          </cell>
          <cell r="K5690" t="str">
            <v>-</v>
          </cell>
        </row>
        <row r="5691">
          <cell r="A5691" t="str">
            <v>UT</v>
          </cell>
          <cell r="B5691" t="str">
            <v>B2C</v>
          </cell>
          <cell r="C5691" t="str">
            <v>SH</v>
          </cell>
          <cell r="D5691" t="str">
            <v>001</v>
          </cell>
          <cell r="E5691" t="str">
            <v>SOL</v>
          </cell>
          <cell r="F5691">
            <v>2</v>
          </cell>
          <cell r="G5691" t="str">
            <v>CB39020000030T</v>
          </cell>
          <cell r="H5691">
            <v>3</v>
          </cell>
          <cell r="I5691">
            <v>0.75</v>
          </cell>
          <cell r="J5691" t="str">
            <v>-</v>
          </cell>
          <cell r="K5691">
            <v>2</v>
          </cell>
        </row>
        <row r="5692">
          <cell r="A5692" t="str">
            <v>UT</v>
          </cell>
          <cell r="B5692" t="str">
            <v>B2C</v>
          </cell>
          <cell r="C5692" t="str">
            <v>SH</v>
          </cell>
          <cell r="D5692" t="str">
            <v>001</v>
          </cell>
          <cell r="E5692" t="str">
            <v>TOL</v>
          </cell>
          <cell r="F5692">
            <v>2</v>
          </cell>
          <cell r="G5692" t="str">
            <v>CB39030000030T</v>
          </cell>
          <cell r="H5692">
            <v>3</v>
          </cell>
          <cell r="I5692">
            <v>0.75</v>
          </cell>
          <cell r="J5692" t="str">
            <v>-</v>
          </cell>
          <cell r="K5692">
            <v>2</v>
          </cell>
        </row>
        <row r="5693">
          <cell r="A5693" t="str">
            <v>UT</v>
          </cell>
          <cell r="B5693" t="str">
            <v>B2C</v>
          </cell>
          <cell r="C5693" t="str">
            <v>SH</v>
          </cell>
          <cell r="D5693" t="str">
            <v>001</v>
          </cell>
          <cell r="E5693" t="str">
            <v>90 ELL</v>
          </cell>
          <cell r="F5693">
            <v>2</v>
          </cell>
          <cell r="G5693" t="str">
            <v>CB300104000300</v>
          </cell>
          <cell r="H5693">
            <v>3</v>
          </cell>
          <cell r="I5693" t="str">
            <v>--</v>
          </cell>
          <cell r="J5693" t="str">
            <v>-</v>
          </cell>
          <cell r="K5693">
            <v>6</v>
          </cell>
        </row>
        <row r="5694">
          <cell r="A5694" t="str">
            <v>UT</v>
          </cell>
          <cell r="B5694" t="str">
            <v>B2C</v>
          </cell>
          <cell r="C5694" t="str">
            <v>SH</v>
          </cell>
          <cell r="D5694" t="str">
            <v>001</v>
          </cell>
          <cell r="E5694" t="str">
            <v>90 ELL</v>
          </cell>
          <cell r="F5694">
            <v>2</v>
          </cell>
          <cell r="G5694" t="str">
            <v>CB300104000300</v>
          </cell>
          <cell r="H5694">
            <v>3</v>
          </cell>
          <cell r="I5694" t="str">
            <v>--</v>
          </cell>
          <cell r="J5694">
            <v>6</v>
          </cell>
          <cell r="K5694" t="str">
            <v>-</v>
          </cell>
        </row>
        <row r="5695">
          <cell r="A5695" t="str">
            <v>UT</v>
          </cell>
          <cell r="B5695" t="str">
            <v>B2C</v>
          </cell>
          <cell r="C5695" t="str">
            <v>SH</v>
          </cell>
          <cell r="D5695" t="str">
            <v>001</v>
          </cell>
          <cell r="E5695" t="str">
            <v>SOL</v>
          </cell>
          <cell r="F5695">
            <v>2</v>
          </cell>
          <cell r="G5695" t="str">
            <v>CB39020000030T</v>
          </cell>
          <cell r="H5695">
            <v>3</v>
          </cell>
          <cell r="I5695">
            <v>0.75</v>
          </cell>
          <cell r="J5695">
            <v>2</v>
          </cell>
          <cell r="K5695" t="str">
            <v>-</v>
          </cell>
        </row>
        <row r="5696">
          <cell r="A5696" t="str">
            <v>UT</v>
          </cell>
          <cell r="B5696" t="str">
            <v>B2C</v>
          </cell>
          <cell r="C5696" t="str">
            <v>SH</v>
          </cell>
          <cell r="D5696" t="str">
            <v>001</v>
          </cell>
          <cell r="E5696" t="str">
            <v>TOL</v>
          </cell>
          <cell r="F5696">
            <v>2</v>
          </cell>
          <cell r="G5696" t="str">
            <v>CB39030000030T</v>
          </cell>
          <cell r="H5696">
            <v>3</v>
          </cell>
          <cell r="I5696">
            <v>0.75</v>
          </cell>
          <cell r="J5696">
            <v>2</v>
          </cell>
          <cell r="K5696" t="str">
            <v>-</v>
          </cell>
        </row>
        <row r="5697">
          <cell r="A5697" t="str">
            <v>UT</v>
          </cell>
          <cell r="B5697" t="str">
            <v>A5C</v>
          </cell>
          <cell r="C5697" t="str">
            <v>WW</v>
          </cell>
          <cell r="D5697" t="str">
            <v>003</v>
          </cell>
          <cell r="E5697" t="str">
            <v>90 ELL</v>
          </cell>
          <cell r="F5697">
            <v>2</v>
          </cell>
          <cell r="G5697" t="str">
            <v>CB300104000300</v>
          </cell>
          <cell r="H5697">
            <v>3</v>
          </cell>
          <cell r="I5697" t="str">
            <v>--</v>
          </cell>
          <cell r="J5697">
            <v>4</v>
          </cell>
          <cell r="K5697" t="str">
            <v>-</v>
          </cell>
        </row>
        <row r="5698">
          <cell r="A5698" t="str">
            <v>UT</v>
          </cell>
          <cell r="B5698" t="str">
            <v>A5C</v>
          </cell>
          <cell r="C5698" t="str">
            <v>WW</v>
          </cell>
          <cell r="D5698" t="str">
            <v>003</v>
          </cell>
          <cell r="E5698" t="str">
            <v>SOL</v>
          </cell>
          <cell r="F5698">
            <v>2</v>
          </cell>
          <cell r="G5698" t="str">
            <v>CB39020000030T</v>
          </cell>
          <cell r="H5698">
            <v>3</v>
          </cell>
          <cell r="I5698">
            <v>0.75</v>
          </cell>
          <cell r="J5698">
            <v>1</v>
          </cell>
          <cell r="K5698" t="str">
            <v>-</v>
          </cell>
        </row>
        <row r="5699">
          <cell r="A5699" t="str">
            <v>UT</v>
          </cell>
          <cell r="B5699" t="str">
            <v>A5C</v>
          </cell>
          <cell r="C5699" t="str">
            <v>WW</v>
          </cell>
          <cell r="D5699" t="str">
            <v>003</v>
          </cell>
          <cell r="E5699" t="str">
            <v>TOL</v>
          </cell>
          <cell r="F5699">
            <v>2</v>
          </cell>
          <cell r="G5699" t="str">
            <v>CB39030000030T</v>
          </cell>
          <cell r="H5699">
            <v>3</v>
          </cell>
          <cell r="I5699">
            <v>0.75</v>
          </cell>
          <cell r="J5699">
            <v>1</v>
          </cell>
          <cell r="K5699" t="str">
            <v>-</v>
          </cell>
        </row>
        <row r="5700">
          <cell r="A5700" t="str">
            <v>UT</v>
          </cell>
          <cell r="B5700" t="str">
            <v>B2C</v>
          </cell>
          <cell r="C5700" t="str">
            <v>SH</v>
          </cell>
          <cell r="D5700" t="str">
            <v>001</v>
          </cell>
          <cell r="E5700" t="str">
            <v>90 ELL</v>
          </cell>
          <cell r="F5700">
            <v>2</v>
          </cell>
          <cell r="G5700" t="str">
            <v>CB300104000400</v>
          </cell>
          <cell r="H5700">
            <v>4</v>
          </cell>
          <cell r="I5700" t="str">
            <v>--</v>
          </cell>
          <cell r="J5700">
            <v>9</v>
          </cell>
          <cell r="K5700" t="str">
            <v>-</v>
          </cell>
        </row>
        <row r="5701">
          <cell r="A5701" t="str">
            <v>UT</v>
          </cell>
          <cell r="B5701" t="str">
            <v>B2C</v>
          </cell>
          <cell r="C5701" t="str">
            <v>SH</v>
          </cell>
          <cell r="D5701" t="str">
            <v>001</v>
          </cell>
          <cell r="E5701" t="str">
            <v>CAP</v>
          </cell>
          <cell r="F5701">
            <v>2</v>
          </cell>
          <cell r="G5701" t="str">
            <v>CB300704000400</v>
          </cell>
          <cell r="H5701">
            <v>4</v>
          </cell>
          <cell r="I5701" t="str">
            <v>--</v>
          </cell>
          <cell r="J5701">
            <v>3</v>
          </cell>
          <cell r="K5701" t="str">
            <v>-</v>
          </cell>
        </row>
        <row r="5702">
          <cell r="A5702" t="str">
            <v>UT</v>
          </cell>
          <cell r="B5702" t="str">
            <v>B2C</v>
          </cell>
          <cell r="C5702" t="str">
            <v>SH</v>
          </cell>
          <cell r="D5702" t="str">
            <v>001</v>
          </cell>
          <cell r="E5702" t="str">
            <v>SOL</v>
          </cell>
          <cell r="F5702">
            <v>2</v>
          </cell>
          <cell r="G5702" t="str">
            <v>CB39020000040T</v>
          </cell>
          <cell r="H5702">
            <v>4</v>
          </cell>
          <cell r="I5702">
            <v>0.75</v>
          </cell>
          <cell r="J5702">
            <v>9</v>
          </cell>
          <cell r="K5702" t="str">
            <v>-</v>
          </cell>
        </row>
        <row r="5703">
          <cell r="A5703" t="str">
            <v>UT</v>
          </cell>
          <cell r="B5703" t="str">
            <v>B2C</v>
          </cell>
          <cell r="C5703" t="str">
            <v>SH</v>
          </cell>
          <cell r="D5703" t="str">
            <v>001</v>
          </cell>
          <cell r="E5703" t="str">
            <v>TOL</v>
          </cell>
          <cell r="F5703">
            <v>2</v>
          </cell>
          <cell r="G5703" t="str">
            <v>CB39030000040T</v>
          </cell>
          <cell r="H5703">
            <v>4</v>
          </cell>
          <cell r="I5703">
            <v>0.75</v>
          </cell>
          <cell r="J5703">
            <v>3</v>
          </cell>
          <cell r="K5703" t="str">
            <v>-</v>
          </cell>
        </row>
        <row r="5704">
          <cell r="A5704" t="str">
            <v>UT</v>
          </cell>
          <cell r="B5704" t="str">
            <v>CA307</v>
          </cell>
          <cell r="C5704" t="str">
            <v>P</v>
          </cell>
          <cell r="D5704" t="str">
            <v>HOLD7</v>
          </cell>
          <cell r="E5704" t="str">
            <v>90 ELL</v>
          </cell>
          <cell r="F5704">
            <v>2</v>
          </cell>
          <cell r="G5704" t="str">
            <v>CB300105000400</v>
          </cell>
          <cell r="H5704">
            <v>4</v>
          </cell>
          <cell r="I5704" t="str">
            <v>--</v>
          </cell>
          <cell r="J5704">
            <v>6</v>
          </cell>
          <cell r="K5704" t="str">
            <v>-</v>
          </cell>
        </row>
        <row r="5705">
          <cell r="A5705" t="str">
            <v>UT</v>
          </cell>
          <cell r="B5705" t="str">
            <v>CA307</v>
          </cell>
          <cell r="C5705" t="str">
            <v>P</v>
          </cell>
          <cell r="D5705" t="str">
            <v>HOLD7</v>
          </cell>
          <cell r="E5705" t="str">
            <v>SOL</v>
          </cell>
          <cell r="F5705">
            <v>2</v>
          </cell>
          <cell r="G5705" t="str">
            <v>CB39020000040T</v>
          </cell>
          <cell r="H5705">
            <v>4</v>
          </cell>
          <cell r="I5705">
            <v>0.75</v>
          </cell>
          <cell r="J5705">
            <v>1</v>
          </cell>
          <cell r="K5705" t="str">
            <v>-</v>
          </cell>
        </row>
        <row r="5706">
          <cell r="A5706" t="str">
            <v>UT</v>
          </cell>
          <cell r="B5706" t="str">
            <v>CA307</v>
          </cell>
          <cell r="C5706" t="str">
            <v>P</v>
          </cell>
          <cell r="D5706" t="str">
            <v>HOLD7</v>
          </cell>
          <cell r="E5706" t="str">
            <v>TOL</v>
          </cell>
          <cell r="F5706">
            <v>2</v>
          </cell>
          <cell r="G5706" t="str">
            <v>CB39030000040T</v>
          </cell>
          <cell r="H5706">
            <v>4</v>
          </cell>
          <cell r="I5706">
            <v>0.75</v>
          </cell>
          <cell r="J5706">
            <v>1</v>
          </cell>
          <cell r="K5706" t="str">
            <v>-</v>
          </cell>
        </row>
        <row r="5707">
          <cell r="A5707" t="str">
            <v>UT</v>
          </cell>
          <cell r="B5707" t="str">
            <v>A5C</v>
          </cell>
          <cell r="C5707" t="str">
            <v>P</v>
          </cell>
          <cell r="D5707" t="str">
            <v>HOLD5</v>
          </cell>
          <cell r="E5707" t="str">
            <v>90 ELL</v>
          </cell>
          <cell r="F5707">
            <v>2</v>
          </cell>
          <cell r="G5707" t="str">
            <v>CB300104000400</v>
          </cell>
          <cell r="H5707">
            <v>4</v>
          </cell>
          <cell r="I5707" t="str">
            <v>--</v>
          </cell>
          <cell r="J5707">
            <v>24</v>
          </cell>
          <cell r="K5707" t="str">
            <v>-</v>
          </cell>
        </row>
        <row r="5708">
          <cell r="A5708" t="str">
            <v>UT</v>
          </cell>
          <cell r="B5708" t="str">
            <v>A5C</v>
          </cell>
          <cell r="C5708" t="str">
            <v>P</v>
          </cell>
          <cell r="D5708" t="str">
            <v>HOLD6</v>
          </cell>
          <cell r="E5708" t="str">
            <v>90 ELL</v>
          </cell>
          <cell r="F5708">
            <v>2</v>
          </cell>
          <cell r="G5708" t="str">
            <v>CB300104000400</v>
          </cell>
          <cell r="H5708">
            <v>4</v>
          </cell>
          <cell r="I5708" t="str">
            <v>--</v>
          </cell>
          <cell r="J5708">
            <v>6</v>
          </cell>
          <cell r="K5708" t="str">
            <v>-</v>
          </cell>
        </row>
        <row r="5709">
          <cell r="A5709" t="str">
            <v>UT</v>
          </cell>
          <cell r="B5709" t="str">
            <v>A5C</v>
          </cell>
          <cell r="C5709" t="str">
            <v>P</v>
          </cell>
          <cell r="D5709" t="str">
            <v>HOLD5</v>
          </cell>
          <cell r="E5709" t="str">
            <v>SOL</v>
          </cell>
          <cell r="F5709">
            <v>2</v>
          </cell>
          <cell r="G5709" t="str">
            <v>CB39020000040T</v>
          </cell>
          <cell r="H5709">
            <v>4</v>
          </cell>
          <cell r="I5709">
            <v>0.75</v>
          </cell>
          <cell r="J5709">
            <v>4</v>
          </cell>
          <cell r="K5709" t="str">
            <v>-</v>
          </cell>
        </row>
        <row r="5710">
          <cell r="A5710" t="str">
            <v>UT</v>
          </cell>
          <cell r="B5710" t="str">
            <v>A5C</v>
          </cell>
          <cell r="C5710" t="str">
            <v>P</v>
          </cell>
          <cell r="D5710" t="str">
            <v>HOLD6</v>
          </cell>
          <cell r="E5710" t="str">
            <v>SOL</v>
          </cell>
          <cell r="F5710">
            <v>2</v>
          </cell>
          <cell r="G5710" t="str">
            <v>CB39020000040T</v>
          </cell>
          <cell r="H5710">
            <v>4</v>
          </cell>
          <cell r="I5710">
            <v>0.75</v>
          </cell>
          <cell r="J5710">
            <v>1</v>
          </cell>
          <cell r="K5710" t="str">
            <v>-</v>
          </cell>
        </row>
        <row r="5711">
          <cell r="A5711" t="str">
            <v>UT</v>
          </cell>
          <cell r="B5711" t="str">
            <v>A5C</v>
          </cell>
          <cell r="C5711" t="str">
            <v>P</v>
          </cell>
          <cell r="D5711" t="str">
            <v>HOLD5</v>
          </cell>
          <cell r="E5711" t="str">
            <v>TOL</v>
          </cell>
          <cell r="F5711">
            <v>2</v>
          </cell>
          <cell r="G5711" t="str">
            <v>CB39030000040T</v>
          </cell>
          <cell r="H5711">
            <v>4</v>
          </cell>
          <cell r="I5711">
            <v>0.75</v>
          </cell>
          <cell r="J5711">
            <v>4</v>
          </cell>
          <cell r="K5711" t="str">
            <v>-</v>
          </cell>
        </row>
        <row r="5712">
          <cell r="A5712" t="str">
            <v>UT</v>
          </cell>
          <cell r="B5712" t="str">
            <v>A5C</v>
          </cell>
          <cell r="C5712" t="str">
            <v>P</v>
          </cell>
          <cell r="D5712" t="str">
            <v>HOLD6</v>
          </cell>
          <cell r="E5712" t="str">
            <v>TOL</v>
          </cell>
          <cell r="F5712">
            <v>2</v>
          </cell>
          <cell r="G5712" t="str">
            <v>CB39030000040T</v>
          </cell>
          <cell r="H5712">
            <v>4</v>
          </cell>
          <cell r="I5712">
            <v>0.75</v>
          </cell>
          <cell r="J5712">
            <v>1</v>
          </cell>
          <cell r="K5712" t="str">
            <v>-</v>
          </cell>
        </row>
        <row r="5713">
          <cell r="A5713" t="str">
            <v>UT</v>
          </cell>
          <cell r="B5713" t="str">
            <v>B2C</v>
          </cell>
          <cell r="C5713" t="str">
            <v>SH</v>
          </cell>
          <cell r="D5713" t="str">
            <v>001</v>
          </cell>
          <cell r="E5713" t="str">
            <v>SOL</v>
          </cell>
          <cell r="F5713">
            <v>2</v>
          </cell>
          <cell r="G5713" t="str">
            <v>CB39020000060T</v>
          </cell>
          <cell r="H5713">
            <v>6</v>
          </cell>
          <cell r="I5713">
            <v>0.75</v>
          </cell>
          <cell r="J5713">
            <v>6</v>
          </cell>
          <cell r="K5713" t="str">
            <v>-</v>
          </cell>
        </row>
        <row r="5714">
          <cell r="A5714" t="str">
            <v>UT</v>
          </cell>
          <cell r="B5714" t="str">
            <v>CA307</v>
          </cell>
          <cell r="C5714" t="str">
            <v>HCLG</v>
          </cell>
          <cell r="D5714" t="str">
            <v>1100</v>
          </cell>
          <cell r="E5714" t="str">
            <v>90 ELL</v>
          </cell>
          <cell r="F5714">
            <v>2</v>
          </cell>
          <cell r="G5714" t="str">
            <v>CB300105000600</v>
          </cell>
          <cell r="H5714">
            <v>6</v>
          </cell>
          <cell r="I5714" t="str">
            <v>--</v>
          </cell>
          <cell r="J5714">
            <v>9</v>
          </cell>
          <cell r="K5714" t="str">
            <v>-</v>
          </cell>
        </row>
        <row r="5715">
          <cell r="A5715" t="str">
            <v>UT</v>
          </cell>
          <cell r="B5715" t="str">
            <v>CA307</v>
          </cell>
          <cell r="C5715" t="str">
            <v>HCLG</v>
          </cell>
          <cell r="D5715" t="str">
            <v>1100</v>
          </cell>
          <cell r="E5715" t="str">
            <v>SOL</v>
          </cell>
          <cell r="F5715">
            <v>2</v>
          </cell>
          <cell r="G5715" t="str">
            <v>CB39020000060T</v>
          </cell>
          <cell r="H5715">
            <v>6</v>
          </cell>
          <cell r="I5715">
            <v>0.75</v>
          </cell>
          <cell r="J5715">
            <v>1</v>
          </cell>
          <cell r="K5715" t="str">
            <v>-</v>
          </cell>
        </row>
        <row r="5716">
          <cell r="A5716" t="str">
            <v>UT</v>
          </cell>
          <cell r="B5716" t="str">
            <v>CA307</v>
          </cell>
          <cell r="C5716" t="str">
            <v>HCLG</v>
          </cell>
          <cell r="D5716" t="str">
            <v>1100</v>
          </cell>
          <cell r="E5716" t="str">
            <v>TEE</v>
          </cell>
          <cell r="F5716">
            <v>2</v>
          </cell>
          <cell r="G5716" t="str">
            <v>CB300305000600</v>
          </cell>
          <cell r="H5716">
            <v>6</v>
          </cell>
          <cell r="I5716" t="str">
            <v>--</v>
          </cell>
          <cell r="J5716">
            <v>1</v>
          </cell>
          <cell r="K5716" t="str">
            <v>-</v>
          </cell>
        </row>
        <row r="5717">
          <cell r="A5717" t="str">
            <v>UT</v>
          </cell>
          <cell r="B5717" t="str">
            <v>CA307</v>
          </cell>
          <cell r="C5717" t="str">
            <v>HCLG</v>
          </cell>
          <cell r="D5717" t="str">
            <v>1100</v>
          </cell>
          <cell r="E5717" t="str">
            <v>TOL</v>
          </cell>
          <cell r="F5717">
            <v>2</v>
          </cell>
          <cell r="G5717" t="str">
            <v>CB39030000060T</v>
          </cell>
          <cell r="H5717">
            <v>6</v>
          </cell>
          <cell r="I5717">
            <v>0.75</v>
          </cell>
          <cell r="J5717">
            <v>2</v>
          </cell>
          <cell r="K5717" t="str">
            <v>-</v>
          </cell>
        </row>
        <row r="5718">
          <cell r="A5718" t="str">
            <v>UT</v>
          </cell>
          <cell r="B5718" t="str">
            <v>A5C</v>
          </cell>
          <cell r="C5718" t="str">
            <v>WW</v>
          </cell>
          <cell r="D5718" t="str">
            <v>002</v>
          </cell>
          <cell r="E5718" t="str">
            <v>90 ELL</v>
          </cell>
          <cell r="F5718">
            <v>2</v>
          </cell>
          <cell r="G5718" t="str">
            <v>CB300104000600</v>
          </cell>
          <cell r="H5718">
            <v>6</v>
          </cell>
          <cell r="I5718" t="str">
            <v>--</v>
          </cell>
          <cell r="J5718">
            <v>1</v>
          </cell>
          <cell r="K5718" t="str">
            <v>-</v>
          </cell>
        </row>
        <row r="5719">
          <cell r="A5719" t="str">
            <v>UT</v>
          </cell>
          <cell r="B5719" t="str">
            <v>A5C</v>
          </cell>
          <cell r="C5719" t="str">
            <v>WW</v>
          </cell>
          <cell r="D5719" t="str">
            <v>002</v>
          </cell>
          <cell r="E5719" t="str">
            <v>SOL</v>
          </cell>
          <cell r="F5719">
            <v>2</v>
          </cell>
          <cell r="G5719" t="str">
            <v>CB39020000060T</v>
          </cell>
          <cell r="H5719">
            <v>6</v>
          </cell>
          <cell r="I5719">
            <v>0.75</v>
          </cell>
          <cell r="J5719">
            <v>1</v>
          </cell>
          <cell r="K5719" t="str">
            <v>-</v>
          </cell>
        </row>
        <row r="5720">
          <cell r="A5720" t="str">
            <v>UT</v>
          </cell>
          <cell r="B5720" t="str">
            <v>B2C</v>
          </cell>
          <cell r="C5720" t="str">
            <v>SH</v>
          </cell>
          <cell r="D5720" t="str">
            <v>001</v>
          </cell>
          <cell r="E5720" t="str">
            <v>90 ELL</v>
          </cell>
          <cell r="F5720">
            <v>2</v>
          </cell>
          <cell r="G5720" t="str">
            <v>CB300104000800</v>
          </cell>
          <cell r="H5720">
            <v>8</v>
          </cell>
          <cell r="I5720" t="str">
            <v>--</v>
          </cell>
          <cell r="J5720">
            <v>21</v>
          </cell>
          <cell r="K5720" t="str">
            <v>-</v>
          </cell>
        </row>
        <row r="5721">
          <cell r="A5721" t="str">
            <v>UT</v>
          </cell>
          <cell r="B5721" t="str">
            <v>B2C</v>
          </cell>
          <cell r="C5721" t="str">
            <v>SH</v>
          </cell>
          <cell r="D5721" t="str">
            <v>001</v>
          </cell>
          <cell r="E5721" t="str">
            <v>SOL</v>
          </cell>
          <cell r="F5721">
            <v>2</v>
          </cell>
          <cell r="G5721" t="str">
            <v>CB39020000080T</v>
          </cell>
          <cell r="H5721">
            <v>8</v>
          </cell>
          <cell r="I5721">
            <v>0.75</v>
          </cell>
          <cell r="J5721">
            <v>1</v>
          </cell>
          <cell r="K5721" t="str">
            <v>-</v>
          </cell>
        </row>
        <row r="5722">
          <cell r="A5722" t="str">
            <v>UT</v>
          </cell>
          <cell r="B5722" t="str">
            <v>B2C</v>
          </cell>
          <cell r="C5722" t="str">
            <v>SH</v>
          </cell>
          <cell r="D5722" t="str">
            <v>001</v>
          </cell>
          <cell r="E5722" t="str">
            <v>TOL</v>
          </cell>
          <cell r="F5722">
            <v>2</v>
          </cell>
          <cell r="G5722" t="str">
            <v>CB39030000080T</v>
          </cell>
          <cell r="H5722">
            <v>8</v>
          </cell>
          <cell r="I5722">
            <v>0.75</v>
          </cell>
          <cell r="J5722">
            <v>3</v>
          </cell>
          <cell r="K5722" t="str">
            <v>-</v>
          </cell>
        </row>
        <row r="5723">
          <cell r="A5723" t="str">
            <v>UT</v>
          </cell>
          <cell r="B5723" t="str">
            <v>A5C</v>
          </cell>
          <cell r="C5723" t="str">
            <v>WW</v>
          </cell>
          <cell r="D5723" t="str">
            <v>002</v>
          </cell>
          <cell r="E5723" t="str">
            <v>90 ELL</v>
          </cell>
          <cell r="F5723">
            <v>2</v>
          </cell>
          <cell r="G5723" t="str">
            <v>CB300104000800</v>
          </cell>
          <cell r="H5723">
            <v>8</v>
          </cell>
          <cell r="I5723" t="str">
            <v>--</v>
          </cell>
          <cell r="J5723">
            <v>3</v>
          </cell>
          <cell r="K5723" t="str">
            <v>-</v>
          </cell>
        </row>
        <row r="5724">
          <cell r="A5724" t="str">
            <v>UT</v>
          </cell>
          <cell r="B5724" t="str">
            <v>A5C</v>
          </cell>
          <cell r="C5724" t="str">
            <v>WW</v>
          </cell>
          <cell r="D5724" t="str">
            <v>002</v>
          </cell>
          <cell r="E5724" t="str">
            <v>SOL</v>
          </cell>
          <cell r="F5724">
            <v>2</v>
          </cell>
          <cell r="G5724" t="str">
            <v>CB39020000080T</v>
          </cell>
          <cell r="H5724">
            <v>8</v>
          </cell>
          <cell r="I5724">
            <v>0.75</v>
          </cell>
          <cell r="J5724">
            <v>1</v>
          </cell>
          <cell r="K5724" t="str">
            <v>-</v>
          </cell>
        </row>
        <row r="5725">
          <cell r="A5725" t="str">
            <v>UT</v>
          </cell>
          <cell r="B5725" t="str">
            <v>A5C</v>
          </cell>
          <cell r="C5725" t="str">
            <v>WW</v>
          </cell>
          <cell r="D5725" t="str">
            <v>002</v>
          </cell>
          <cell r="E5725" t="str">
            <v>TOL</v>
          </cell>
          <cell r="F5725">
            <v>2</v>
          </cell>
          <cell r="G5725" t="str">
            <v>CB39030000080T</v>
          </cell>
          <cell r="H5725">
            <v>8</v>
          </cell>
          <cell r="I5725">
            <v>0.75</v>
          </cell>
          <cell r="J5725">
            <v>1</v>
          </cell>
          <cell r="K5725" t="str">
            <v>-</v>
          </cell>
        </row>
        <row r="5726">
          <cell r="A5726" t="str">
            <v>UT</v>
          </cell>
          <cell r="B5726" t="str">
            <v>A5C</v>
          </cell>
          <cell r="C5726" t="str">
            <v>WW</v>
          </cell>
          <cell r="D5726" t="str">
            <v>002</v>
          </cell>
          <cell r="E5726" t="str">
            <v>90 ELL</v>
          </cell>
          <cell r="F5726">
            <v>2</v>
          </cell>
          <cell r="G5726" t="str">
            <v>CB300104001200</v>
          </cell>
          <cell r="H5726">
            <v>12</v>
          </cell>
          <cell r="I5726" t="str">
            <v>--</v>
          </cell>
          <cell r="J5726">
            <v>7</v>
          </cell>
          <cell r="K5726" t="str">
            <v>-</v>
          </cell>
        </row>
        <row r="5727">
          <cell r="A5727" t="str">
            <v>UT</v>
          </cell>
          <cell r="B5727" t="str">
            <v>A5C</v>
          </cell>
          <cell r="C5727" t="str">
            <v>WW</v>
          </cell>
          <cell r="D5727" t="str">
            <v>002</v>
          </cell>
          <cell r="E5727" t="str">
            <v>SOL</v>
          </cell>
          <cell r="F5727">
            <v>2</v>
          </cell>
          <cell r="G5727" t="str">
            <v>CB39020000120T</v>
          </cell>
          <cell r="H5727">
            <v>12</v>
          </cell>
          <cell r="I5727">
            <v>0.75</v>
          </cell>
          <cell r="J5727">
            <v>2</v>
          </cell>
          <cell r="K5727" t="str">
            <v>-</v>
          </cell>
        </row>
        <row r="5728">
          <cell r="A5728" t="str">
            <v>UT</v>
          </cell>
          <cell r="B5728" t="str">
            <v>A5C</v>
          </cell>
          <cell r="C5728" t="str">
            <v>WW</v>
          </cell>
          <cell r="D5728" t="str">
            <v>002</v>
          </cell>
          <cell r="E5728" t="str">
            <v>TOL</v>
          </cell>
          <cell r="F5728">
            <v>2</v>
          </cell>
          <cell r="G5728" t="str">
            <v>CB39030000120T</v>
          </cell>
          <cell r="H5728">
            <v>12</v>
          </cell>
          <cell r="I5728">
            <v>0.75</v>
          </cell>
          <cell r="J5728">
            <v>1</v>
          </cell>
          <cell r="K5728" t="str">
            <v>-</v>
          </cell>
        </row>
        <row r="5729">
          <cell r="A5729" t="str">
            <v>UT</v>
          </cell>
          <cell r="B5729" t="str">
            <v>B2C</v>
          </cell>
          <cell r="C5729" t="str">
            <v>SH</v>
          </cell>
          <cell r="D5729" t="str">
            <v>001</v>
          </cell>
          <cell r="E5729" t="str">
            <v>TOL</v>
          </cell>
          <cell r="F5729">
            <v>2</v>
          </cell>
          <cell r="G5729" t="str">
            <v>CB39030000120T</v>
          </cell>
          <cell r="H5729">
            <v>12</v>
          </cell>
          <cell r="I5729">
            <v>0.75</v>
          </cell>
          <cell r="J5729" t="str">
            <v>-</v>
          </cell>
          <cell r="K5729">
            <v>2</v>
          </cell>
        </row>
        <row r="5730">
          <cell r="A5730" t="str">
            <v>UT</v>
          </cell>
          <cell r="B5730" t="str">
            <v>B2C</v>
          </cell>
          <cell r="C5730" t="str">
            <v>SH</v>
          </cell>
          <cell r="D5730" t="str">
            <v>001</v>
          </cell>
          <cell r="E5730" t="str">
            <v>90 ELL</v>
          </cell>
          <cell r="F5730">
            <v>2</v>
          </cell>
          <cell r="G5730" t="str">
            <v>CB300104001200</v>
          </cell>
          <cell r="H5730">
            <v>12</v>
          </cell>
          <cell r="I5730" t="str">
            <v>--</v>
          </cell>
          <cell r="J5730" t="str">
            <v>-</v>
          </cell>
          <cell r="K5730">
            <v>18</v>
          </cell>
        </row>
        <row r="5731">
          <cell r="A5731" t="str">
            <v>UT</v>
          </cell>
          <cell r="B5731" t="str">
            <v>A5C</v>
          </cell>
          <cell r="C5731" t="str">
            <v>WW</v>
          </cell>
          <cell r="D5731" t="str">
            <v>002</v>
          </cell>
          <cell r="E5731" t="str">
            <v>SOL</v>
          </cell>
          <cell r="F5731">
            <v>2</v>
          </cell>
          <cell r="G5731" t="str">
            <v>CB39020000120T</v>
          </cell>
          <cell r="H5731">
            <v>12</v>
          </cell>
          <cell r="I5731">
            <v>0.75</v>
          </cell>
          <cell r="J5731" t="str">
            <v>-</v>
          </cell>
          <cell r="K5731">
            <v>1</v>
          </cell>
        </row>
        <row r="5732">
          <cell r="A5732" t="str">
            <v>UT</v>
          </cell>
          <cell r="B5732" t="str">
            <v>A5C</v>
          </cell>
          <cell r="C5732" t="str">
            <v>WW</v>
          </cell>
          <cell r="D5732" t="str">
            <v>002</v>
          </cell>
          <cell r="E5732" t="str">
            <v>TOL</v>
          </cell>
          <cell r="F5732">
            <v>2</v>
          </cell>
          <cell r="G5732" t="str">
            <v>CB39030000120T</v>
          </cell>
          <cell r="H5732">
            <v>12</v>
          </cell>
          <cell r="I5732">
            <v>0.75</v>
          </cell>
          <cell r="J5732" t="str">
            <v>-</v>
          </cell>
          <cell r="K5732">
            <v>1</v>
          </cell>
        </row>
        <row r="5733">
          <cell r="A5733" t="str">
            <v>UT</v>
          </cell>
          <cell r="B5733" t="str">
            <v>A5C</v>
          </cell>
          <cell r="C5733" t="str">
            <v>WW</v>
          </cell>
          <cell r="D5733" t="str">
            <v>002</v>
          </cell>
          <cell r="E5733" t="str">
            <v>90 ELL</v>
          </cell>
          <cell r="F5733">
            <v>2</v>
          </cell>
          <cell r="G5733" t="str">
            <v>CB300104001200</v>
          </cell>
          <cell r="H5733">
            <v>12</v>
          </cell>
          <cell r="I5733" t="str">
            <v>--</v>
          </cell>
          <cell r="J5733" t="str">
            <v>-</v>
          </cell>
          <cell r="K5733">
            <v>3</v>
          </cell>
        </row>
        <row r="5734">
          <cell r="A5734" t="str">
            <v>UT</v>
          </cell>
          <cell r="B5734" t="str">
            <v>A5C</v>
          </cell>
          <cell r="C5734" t="str">
            <v>WW</v>
          </cell>
          <cell r="D5734" t="str">
            <v>002</v>
          </cell>
          <cell r="E5734" t="str">
            <v>SOL</v>
          </cell>
          <cell r="F5734">
            <v>2</v>
          </cell>
          <cell r="G5734" t="str">
            <v>CB39020000200T</v>
          </cell>
          <cell r="H5734">
            <v>20</v>
          </cell>
          <cell r="I5734">
            <v>0.75</v>
          </cell>
          <cell r="J5734" t="str">
            <v>-</v>
          </cell>
          <cell r="K5734">
            <v>1</v>
          </cell>
        </row>
        <row r="5735">
          <cell r="A5735" t="str">
            <v>UT</v>
          </cell>
          <cell r="B5735" t="str">
            <v>A5C</v>
          </cell>
          <cell r="C5735" t="str">
            <v>WW</v>
          </cell>
          <cell r="D5735" t="str">
            <v>002</v>
          </cell>
          <cell r="E5735" t="str">
            <v>90 ELL</v>
          </cell>
          <cell r="F5735">
            <v>2</v>
          </cell>
          <cell r="G5735" t="str">
            <v>CB300104002000</v>
          </cell>
          <cell r="H5735">
            <v>20</v>
          </cell>
          <cell r="I5735" t="str">
            <v>--</v>
          </cell>
          <cell r="J5735" t="str">
            <v>-</v>
          </cell>
          <cell r="K5735">
            <v>4</v>
          </cell>
        </row>
        <row r="5736">
          <cell r="A5736" t="str">
            <v>UT</v>
          </cell>
          <cell r="B5736" t="str">
            <v>B2C</v>
          </cell>
          <cell r="C5736" t="str">
            <v>SH</v>
          </cell>
          <cell r="D5736" t="str">
            <v>001</v>
          </cell>
          <cell r="E5736" t="str">
            <v>SOL</v>
          </cell>
          <cell r="F5736">
            <v>2</v>
          </cell>
          <cell r="G5736" t="str">
            <v>CB39020000040T</v>
          </cell>
          <cell r="H5736">
            <v>4</v>
          </cell>
          <cell r="I5736">
            <v>0.75</v>
          </cell>
          <cell r="J5736" t="str">
            <v>-</v>
          </cell>
          <cell r="K5736">
            <v>3</v>
          </cell>
        </row>
        <row r="5737">
          <cell r="A5737" t="str">
            <v>UT</v>
          </cell>
          <cell r="B5737" t="str">
            <v>B2C</v>
          </cell>
          <cell r="C5737" t="str">
            <v>SH</v>
          </cell>
          <cell r="D5737" t="str">
            <v>001</v>
          </cell>
          <cell r="E5737" t="str">
            <v>TOL</v>
          </cell>
          <cell r="F5737">
            <v>2</v>
          </cell>
          <cell r="G5737" t="str">
            <v>CB39030000040T</v>
          </cell>
          <cell r="H5737">
            <v>4</v>
          </cell>
          <cell r="I5737">
            <v>0.75</v>
          </cell>
          <cell r="J5737" t="str">
            <v>-</v>
          </cell>
          <cell r="K5737">
            <v>3</v>
          </cell>
        </row>
        <row r="5738">
          <cell r="A5738" t="str">
            <v>UT</v>
          </cell>
          <cell r="B5738" t="str">
            <v>B2C</v>
          </cell>
          <cell r="C5738" t="str">
            <v>SH</v>
          </cell>
          <cell r="D5738" t="str">
            <v>001</v>
          </cell>
          <cell r="E5738" t="str">
            <v>90 ELL</v>
          </cell>
          <cell r="F5738">
            <v>2</v>
          </cell>
          <cell r="G5738" t="str">
            <v>CB300104000400</v>
          </cell>
          <cell r="H5738">
            <v>4</v>
          </cell>
          <cell r="I5738" t="str">
            <v>--</v>
          </cell>
          <cell r="J5738" t="str">
            <v>-</v>
          </cell>
          <cell r="K5738">
            <v>9</v>
          </cell>
        </row>
        <row r="5739">
          <cell r="A5739" t="str">
            <v>UT</v>
          </cell>
          <cell r="B5739" t="str">
            <v>CA307</v>
          </cell>
          <cell r="C5739" t="str">
            <v>P</v>
          </cell>
          <cell r="D5739" t="str">
            <v>HOLD7</v>
          </cell>
          <cell r="E5739" t="str">
            <v>SOL</v>
          </cell>
          <cell r="F5739">
            <v>2</v>
          </cell>
          <cell r="G5739" t="str">
            <v>CB39020000040T</v>
          </cell>
          <cell r="H5739">
            <v>4</v>
          </cell>
          <cell r="I5739">
            <v>0.75</v>
          </cell>
          <cell r="J5739" t="str">
            <v>-</v>
          </cell>
          <cell r="K5739">
            <v>1</v>
          </cell>
        </row>
        <row r="5740">
          <cell r="A5740" t="str">
            <v>UT</v>
          </cell>
          <cell r="B5740" t="str">
            <v>CA307</v>
          </cell>
          <cell r="C5740" t="str">
            <v>P</v>
          </cell>
          <cell r="D5740" t="str">
            <v>HOLD7</v>
          </cell>
          <cell r="E5740" t="str">
            <v>TOL</v>
          </cell>
          <cell r="F5740">
            <v>2</v>
          </cell>
          <cell r="G5740" t="str">
            <v>CB39030000040T</v>
          </cell>
          <cell r="H5740">
            <v>4</v>
          </cell>
          <cell r="I5740">
            <v>0.75</v>
          </cell>
          <cell r="J5740" t="str">
            <v>-</v>
          </cell>
          <cell r="K5740">
            <v>1</v>
          </cell>
        </row>
        <row r="5741">
          <cell r="A5741" t="str">
            <v>UT</v>
          </cell>
          <cell r="B5741" t="str">
            <v>CA307</v>
          </cell>
          <cell r="C5741" t="str">
            <v>P</v>
          </cell>
          <cell r="D5741" t="str">
            <v>HOLD7</v>
          </cell>
          <cell r="E5741" t="str">
            <v>90 ELL</v>
          </cell>
          <cell r="F5741">
            <v>2</v>
          </cell>
          <cell r="G5741" t="str">
            <v>CB300105000400</v>
          </cell>
          <cell r="H5741">
            <v>4</v>
          </cell>
          <cell r="I5741" t="str">
            <v>--</v>
          </cell>
          <cell r="J5741" t="str">
            <v>-</v>
          </cell>
          <cell r="K5741">
            <v>6</v>
          </cell>
        </row>
        <row r="5742">
          <cell r="A5742" t="str">
            <v>UT</v>
          </cell>
          <cell r="B5742" t="str">
            <v>A5C</v>
          </cell>
          <cell r="C5742" t="str">
            <v>P</v>
          </cell>
          <cell r="D5742" t="str">
            <v>HOLD6</v>
          </cell>
          <cell r="E5742" t="str">
            <v>SOL</v>
          </cell>
          <cell r="F5742">
            <v>2</v>
          </cell>
          <cell r="G5742" t="str">
            <v>CB39020000040T</v>
          </cell>
          <cell r="H5742">
            <v>4</v>
          </cell>
          <cell r="I5742">
            <v>0.75</v>
          </cell>
          <cell r="J5742" t="str">
            <v>-</v>
          </cell>
          <cell r="K5742">
            <v>1</v>
          </cell>
        </row>
        <row r="5743">
          <cell r="A5743" t="str">
            <v>UT</v>
          </cell>
          <cell r="B5743" t="str">
            <v>A5C</v>
          </cell>
          <cell r="C5743" t="str">
            <v>P</v>
          </cell>
          <cell r="D5743" t="str">
            <v>HOLD6</v>
          </cell>
          <cell r="E5743" t="str">
            <v>TOL</v>
          </cell>
          <cell r="F5743">
            <v>2</v>
          </cell>
          <cell r="G5743" t="str">
            <v>CB39030000040T</v>
          </cell>
          <cell r="H5743">
            <v>4</v>
          </cell>
          <cell r="I5743">
            <v>0.75</v>
          </cell>
          <cell r="J5743" t="str">
            <v>-</v>
          </cell>
          <cell r="K5743">
            <v>1</v>
          </cell>
        </row>
        <row r="5744">
          <cell r="A5744" t="str">
            <v>UT</v>
          </cell>
          <cell r="B5744" t="str">
            <v>A5C</v>
          </cell>
          <cell r="C5744" t="str">
            <v>P</v>
          </cell>
          <cell r="D5744" t="str">
            <v>HOLD5</v>
          </cell>
          <cell r="E5744" t="str">
            <v>SOL</v>
          </cell>
          <cell r="F5744">
            <v>2</v>
          </cell>
          <cell r="G5744" t="str">
            <v>CB39020000040T</v>
          </cell>
          <cell r="H5744">
            <v>4</v>
          </cell>
          <cell r="I5744">
            <v>0.75</v>
          </cell>
          <cell r="J5744" t="str">
            <v>-</v>
          </cell>
          <cell r="K5744">
            <v>4</v>
          </cell>
        </row>
        <row r="5745">
          <cell r="A5745" t="str">
            <v>UT</v>
          </cell>
          <cell r="B5745" t="str">
            <v>A5C</v>
          </cell>
          <cell r="C5745" t="str">
            <v>P</v>
          </cell>
          <cell r="D5745" t="str">
            <v>HOLD5</v>
          </cell>
          <cell r="E5745" t="str">
            <v>TOL</v>
          </cell>
          <cell r="F5745">
            <v>2</v>
          </cell>
          <cell r="G5745" t="str">
            <v>CB39030000040T</v>
          </cell>
          <cell r="H5745">
            <v>4</v>
          </cell>
          <cell r="I5745">
            <v>0.75</v>
          </cell>
          <cell r="J5745" t="str">
            <v>-</v>
          </cell>
          <cell r="K5745">
            <v>4</v>
          </cell>
        </row>
        <row r="5746">
          <cell r="A5746" t="str">
            <v>UT</v>
          </cell>
          <cell r="B5746" t="str">
            <v>A5C</v>
          </cell>
          <cell r="C5746" t="str">
            <v>P</v>
          </cell>
          <cell r="D5746" t="str">
            <v>HOLD6</v>
          </cell>
          <cell r="E5746" t="str">
            <v>90 ELL</v>
          </cell>
          <cell r="F5746">
            <v>2</v>
          </cell>
          <cell r="G5746" t="str">
            <v>CB300104000400</v>
          </cell>
          <cell r="H5746">
            <v>4</v>
          </cell>
          <cell r="I5746" t="str">
            <v>--</v>
          </cell>
          <cell r="J5746" t="str">
            <v>-</v>
          </cell>
          <cell r="K5746">
            <v>6</v>
          </cell>
        </row>
        <row r="5747">
          <cell r="A5747" t="str">
            <v>UT</v>
          </cell>
          <cell r="B5747" t="str">
            <v>A5C</v>
          </cell>
          <cell r="C5747" t="str">
            <v>P</v>
          </cell>
          <cell r="D5747" t="str">
            <v>HOLD5</v>
          </cell>
          <cell r="E5747" t="str">
            <v>90 ELL</v>
          </cell>
          <cell r="F5747">
            <v>2</v>
          </cell>
          <cell r="G5747" t="str">
            <v>CB300104000400</v>
          </cell>
          <cell r="H5747">
            <v>4</v>
          </cell>
          <cell r="I5747" t="str">
            <v>--</v>
          </cell>
          <cell r="J5747" t="str">
            <v>-</v>
          </cell>
          <cell r="K5747">
            <v>24</v>
          </cell>
        </row>
        <row r="5748">
          <cell r="A5748" t="str">
            <v>UT</v>
          </cell>
          <cell r="B5748" t="str">
            <v>A5C</v>
          </cell>
          <cell r="C5748" t="str">
            <v>WW</v>
          </cell>
          <cell r="D5748" t="str">
            <v>003</v>
          </cell>
          <cell r="E5748" t="str">
            <v>SOL</v>
          </cell>
          <cell r="F5748">
            <v>2</v>
          </cell>
          <cell r="G5748" t="str">
            <v>CB39020000040T</v>
          </cell>
          <cell r="H5748">
            <v>4</v>
          </cell>
          <cell r="I5748">
            <v>0.75</v>
          </cell>
          <cell r="J5748" t="str">
            <v>-</v>
          </cell>
          <cell r="K5748">
            <v>1</v>
          </cell>
        </row>
        <row r="5749">
          <cell r="A5749" t="str">
            <v>UT</v>
          </cell>
          <cell r="B5749" t="str">
            <v>A5C</v>
          </cell>
          <cell r="C5749" t="str">
            <v>WW</v>
          </cell>
          <cell r="D5749" t="str">
            <v>003</v>
          </cell>
          <cell r="E5749" t="str">
            <v>TOL</v>
          </cell>
          <cell r="F5749">
            <v>2</v>
          </cell>
          <cell r="G5749" t="str">
            <v>CB39030000040T</v>
          </cell>
          <cell r="H5749">
            <v>4</v>
          </cell>
          <cell r="I5749">
            <v>0.75</v>
          </cell>
          <cell r="J5749" t="str">
            <v>-</v>
          </cell>
          <cell r="K5749">
            <v>1</v>
          </cell>
        </row>
        <row r="5750">
          <cell r="A5750" t="str">
            <v>UT</v>
          </cell>
          <cell r="B5750" t="str">
            <v>A5C</v>
          </cell>
          <cell r="C5750" t="str">
            <v>WW</v>
          </cell>
          <cell r="D5750" t="str">
            <v>003</v>
          </cell>
          <cell r="E5750" t="str">
            <v>90 ELL</v>
          </cell>
          <cell r="F5750">
            <v>2</v>
          </cell>
          <cell r="G5750" t="str">
            <v>CB300104000400</v>
          </cell>
          <cell r="H5750">
            <v>4</v>
          </cell>
          <cell r="I5750" t="str">
            <v>--</v>
          </cell>
          <cell r="J5750" t="str">
            <v>-</v>
          </cell>
          <cell r="K5750">
            <v>4</v>
          </cell>
        </row>
        <row r="5751">
          <cell r="A5751" t="str">
            <v>UT</v>
          </cell>
          <cell r="B5751" t="str">
            <v>B2C</v>
          </cell>
          <cell r="C5751" t="str">
            <v>SH</v>
          </cell>
          <cell r="D5751" t="str">
            <v>001</v>
          </cell>
          <cell r="E5751" t="str">
            <v>CAP</v>
          </cell>
          <cell r="F5751">
            <v>2</v>
          </cell>
          <cell r="G5751" t="str">
            <v>CB300704000600</v>
          </cell>
          <cell r="H5751">
            <v>6</v>
          </cell>
          <cell r="I5751" t="str">
            <v>--</v>
          </cell>
          <cell r="J5751" t="str">
            <v>-</v>
          </cell>
          <cell r="K5751">
            <v>3</v>
          </cell>
        </row>
        <row r="5752">
          <cell r="A5752" t="str">
            <v>UT</v>
          </cell>
          <cell r="B5752" t="str">
            <v>B2C</v>
          </cell>
          <cell r="C5752" t="str">
            <v>SH</v>
          </cell>
          <cell r="D5752" t="str">
            <v>001</v>
          </cell>
          <cell r="E5752" t="str">
            <v>SOL</v>
          </cell>
          <cell r="F5752">
            <v>2</v>
          </cell>
          <cell r="G5752" t="str">
            <v>CB39020000060T</v>
          </cell>
          <cell r="H5752">
            <v>6</v>
          </cell>
          <cell r="I5752">
            <v>0.75</v>
          </cell>
          <cell r="J5752" t="str">
            <v>-</v>
          </cell>
          <cell r="K5752">
            <v>6</v>
          </cell>
        </row>
        <row r="5753">
          <cell r="A5753" t="str">
            <v>UT</v>
          </cell>
          <cell r="B5753" t="str">
            <v>CA307</v>
          </cell>
          <cell r="C5753" t="str">
            <v>HCLG</v>
          </cell>
          <cell r="D5753" t="str">
            <v>1100</v>
          </cell>
          <cell r="E5753" t="str">
            <v>SOL</v>
          </cell>
          <cell r="F5753">
            <v>2</v>
          </cell>
          <cell r="G5753" t="str">
            <v>CB39020000060T</v>
          </cell>
          <cell r="H5753">
            <v>6</v>
          </cell>
          <cell r="I5753">
            <v>0.75</v>
          </cell>
          <cell r="J5753" t="str">
            <v>-</v>
          </cell>
          <cell r="K5753">
            <v>1</v>
          </cell>
        </row>
        <row r="5754">
          <cell r="A5754" t="str">
            <v>UT</v>
          </cell>
          <cell r="B5754" t="str">
            <v>CA307</v>
          </cell>
          <cell r="C5754" t="str">
            <v>HCLG</v>
          </cell>
          <cell r="D5754" t="str">
            <v>1100</v>
          </cell>
          <cell r="E5754" t="str">
            <v>TEE</v>
          </cell>
          <cell r="F5754">
            <v>2</v>
          </cell>
          <cell r="G5754" t="str">
            <v>CB300305000600</v>
          </cell>
          <cell r="H5754">
            <v>6</v>
          </cell>
          <cell r="I5754" t="str">
            <v>--</v>
          </cell>
          <cell r="J5754" t="str">
            <v>-</v>
          </cell>
          <cell r="K5754">
            <v>1</v>
          </cell>
        </row>
        <row r="5755">
          <cell r="A5755" t="str">
            <v>UT</v>
          </cell>
          <cell r="B5755" t="str">
            <v>CA307</v>
          </cell>
          <cell r="C5755" t="str">
            <v>HCLG</v>
          </cell>
          <cell r="D5755" t="str">
            <v>1100</v>
          </cell>
          <cell r="E5755" t="str">
            <v>TOL</v>
          </cell>
          <cell r="F5755">
            <v>2</v>
          </cell>
          <cell r="G5755" t="str">
            <v>CB39030000060T</v>
          </cell>
          <cell r="H5755">
            <v>6</v>
          </cell>
          <cell r="I5755">
            <v>0.75</v>
          </cell>
          <cell r="J5755" t="str">
            <v>-</v>
          </cell>
          <cell r="K5755">
            <v>2</v>
          </cell>
        </row>
        <row r="5756">
          <cell r="A5756" t="str">
            <v>UT</v>
          </cell>
          <cell r="B5756" t="str">
            <v>CA307</v>
          </cell>
          <cell r="C5756" t="str">
            <v>HCLG</v>
          </cell>
          <cell r="D5756" t="str">
            <v>1100</v>
          </cell>
          <cell r="E5756" t="str">
            <v>90 ELL</v>
          </cell>
          <cell r="F5756">
            <v>2</v>
          </cell>
          <cell r="G5756" t="str">
            <v>CB300105000600</v>
          </cell>
          <cell r="H5756">
            <v>6</v>
          </cell>
          <cell r="I5756" t="str">
            <v>--</v>
          </cell>
          <cell r="J5756" t="str">
            <v>-</v>
          </cell>
          <cell r="K5756">
            <v>9</v>
          </cell>
        </row>
        <row r="5757">
          <cell r="A5757" t="str">
            <v>UT</v>
          </cell>
          <cell r="B5757" t="str">
            <v>A5C</v>
          </cell>
          <cell r="C5757" t="str">
            <v>WW</v>
          </cell>
          <cell r="D5757" t="str">
            <v>002</v>
          </cell>
          <cell r="E5757" t="str">
            <v>90 ELL</v>
          </cell>
          <cell r="F5757">
            <v>2</v>
          </cell>
          <cell r="G5757" t="str">
            <v>CB300104000600</v>
          </cell>
          <cell r="H5757">
            <v>6</v>
          </cell>
          <cell r="I5757" t="str">
            <v>--</v>
          </cell>
          <cell r="J5757" t="str">
            <v>-</v>
          </cell>
          <cell r="K5757">
            <v>1</v>
          </cell>
        </row>
        <row r="5758">
          <cell r="A5758" t="str">
            <v>UT</v>
          </cell>
          <cell r="B5758" t="str">
            <v>A5C</v>
          </cell>
          <cell r="C5758" t="str">
            <v>WW</v>
          </cell>
          <cell r="D5758" t="str">
            <v>002</v>
          </cell>
          <cell r="E5758" t="str">
            <v>SOL</v>
          </cell>
          <cell r="F5758">
            <v>2</v>
          </cell>
          <cell r="G5758" t="str">
            <v>CB39020000060T</v>
          </cell>
          <cell r="H5758">
            <v>6</v>
          </cell>
          <cell r="I5758">
            <v>0.75</v>
          </cell>
          <cell r="J5758" t="str">
            <v>-</v>
          </cell>
          <cell r="K5758">
            <v>1</v>
          </cell>
        </row>
        <row r="5759">
          <cell r="A5759" t="str">
            <v>UT</v>
          </cell>
          <cell r="B5759" t="str">
            <v>B2C</v>
          </cell>
          <cell r="C5759" t="str">
            <v>SH</v>
          </cell>
          <cell r="D5759" t="str">
            <v>001</v>
          </cell>
          <cell r="E5759" t="str">
            <v>SOL</v>
          </cell>
          <cell r="F5759">
            <v>2</v>
          </cell>
          <cell r="G5759" t="str">
            <v>CB39020000080T</v>
          </cell>
          <cell r="H5759">
            <v>8</v>
          </cell>
          <cell r="I5759">
            <v>0.75</v>
          </cell>
          <cell r="J5759" t="str">
            <v>-</v>
          </cell>
          <cell r="K5759">
            <v>1</v>
          </cell>
        </row>
        <row r="5760">
          <cell r="A5760" t="str">
            <v>UT</v>
          </cell>
          <cell r="B5760" t="str">
            <v>B2C</v>
          </cell>
          <cell r="C5760" t="str">
            <v>SH</v>
          </cell>
          <cell r="D5760" t="str">
            <v>001</v>
          </cell>
          <cell r="E5760" t="str">
            <v>TOL</v>
          </cell>
          <cell r="F5760">
            <v>2</v>
          </cell>
          <cell r="G5760" t="str">
            <v>CB39030000080T</v>
          </cell>
          <cell r="H5760">
            <v>8</v>
          </cell>
          <cell r="I5760">
            <v>0.75</v>
          </cell>
          <cell r="J5760" t="str">
            <v>-</v>
          </cell>
          <cell r="K5760">
            <v>1</v>
          </cell>
        </row>
        <row r="5761">
          <cell r="A5761" t="str">
            <v>UT</v>
          </cell>
          <cell r="B5761" t="str">
            <v>B2C</v>
          </cell>
          <cell r="C5761" t="str">
            <v>SH</v>
          </cell>
          <cell r="D5761" t="str">
            <v>001</v>
          </cell>
          <cell r="E5761" t="str">
            <v>90 ELL</v>
          </cell>
          <cell r="F5761">
            <v>2</v>
          </cell>
          <cell r="G5761" t="str">
            <v>CB300104000800</v>
          </cell>
          <cell r="H5761">
            <v>8</v>
          </cell>
          <cell r="I5761" t="str">
            <v>--</v>
          </cell>
          <cell r="J5761" t="str">
            <v>-</v>
          </cell>
          <cell r="K5761">
            <v>3</v>
          </cell>
        </row>
        <row r="5762">
          <cell r="A5762" t="str">
            <v>UT</v>
          </cell>
          <cell r="B5762" t="str">
            <v>A5C</v>
          </cell>
          <cell r="C5762" t="str">
            <v>WW</v>
          </cell>
          <cell r="D5762" t="str">
            <v>002</v>
          </cell>
          <cell r="E5762" t="str">
            <v>SOL</v>
          </cell>
          <cell r="F5762">
            <v>2</v>
          </cell>
          <cell r="G5762" t="str">
            <v>CB39020000080T</v>
          </cell>
          <cell r="H5762">
            <v>8</v>
          </cell>
          <cell r="I5762">
            <v>0.75</v>
          </cell>
          <cell r="J5762" t="str">
            <v>-</v>
          </cell>
          <cell r="K5762">
            <v>1</v>
          </cell>
        </row>
        <row r="5763">
          <cell r="A5763" t="str">
            <v>UT</v>
          </cell>
          <cell r="B5763" t="str">
            <v>A5C</v>
          </cell>
          <cell r="C5763" t="str">
            <v>WW</v>
          </cell>
          <cell r="D5763" t="str">
            <v>002</v>
          </cell>
          <cell r="E5763" t="str">
            <v>TOL</v>
          </cell>
          <cell r="F5763">
            <v>2</v>
          </cell>
          <cell r="G5763" t="str">
            <v>CB39030000080T</v>
          </cell>
          <cell r="H5763">
            <v>8</v>
          </cell>
          <cell r="I5763">
            <v>0.75</v>
          </cell>
          <cell r="J5763" t="str">
            <v>-</v>
          </cell>
          <cell r="K5763">
            <v>1</v>
          </cell>
        </row>
        <row r="5764">
          <cell r="A5764" t="str">
            <v>UT</v>
          </cell>
          <cell r="B5764" t="str">
            <v>A5C</v>
          </cell>
          <cell r="C5764" t="str">
            <v>WW</v>
          </cell>
          <cell r="D5764" t="str">
            <v>002</v>
          </cell>
          <cell r="E5764" t="str">
            <v>90 ELL</v>
          </cell>
          <cell r="F5764">
            <v>2</v>
          </cell>
          <cell r="G5764" t="str">
            <v>CB300104000800</v>
          </cell>
          <cell r="H5764">
            <v>8</v>
          </cell>
          <cell r="I5764" t="str">
            <v>--</v>
          </cell>
          <cell r="J5764" t="str">
            <v>-</v>
          </cell>
          <cell r="K5764">
            <v>3</v>
          </cell>
        </row>
        <row r="5765">
          <cell r="A5765" t="str">
            <v>UT</v>
          </cell>
          <cell r="B5765" t="str">
            <v>B2C</v>
          </cell>
          <cell r="C5765" t="str">
            <v>SCL</v>
          </cell>
          <cell r="D5765" t="str">
            <v>002</v>
          </cell>
          <cell r="E5765" t="str">
            <v>SW FLG</v>
          </cell>
          <cell r="F5765">
            <v>3</v>
          </cell>
          <cell r="G5765" t="str">
            <v>CB240208000T00</v>
          </cell>
          <cell r="H5765">
            <v>0.75</v>
          </cell>
          <cell r="I5765" t="str">
            <v>--</v>
          </cell>
          <cell r="J5765" t="str">
            <v>-</v>
          </cell>
          <cell r="K5765">
            <v>6</v>
          </cell>
        </row>
        <row r="5766">
          <cell r="A5766" t="str">
            <v>UT</v>
          </cell>
          <cell r="B5766" t="str">
            <v>B2C</v>
          </cell>
          <cell r="C5766" t="str">
            <v>SCL</v>
          </cell>
          <cell r="D5766" t="str">
            <v>002</v>
          </cell>
          <cell r="E5766" t="str">
            <v>SW FLG</v>
          </cell>
          <cell r="F5766">
            <v>3</v>
          </cell>
          <cell r="G5766" t="str">
            <v>CB240208000T00</v>
          </cell>
          <cell r="H5766">
            <v>0.75</v>
          </cell>
          <cell r="I5766" t="str">
            <v>--</v>
          </cell>
          <cell r="J5766">
            <v>6</v>
          </cell>
          <cell r="K5766" t="str">
            <v>-</v>
          </cell>
        </row>
        <row r="5767">
          <cell r="A5767" t="str">
            <v>UT</v>
          </cell>
          <cell r="B5767" t="str">
            <v>B2C</v>
          </cell>
          <cell r="C5767" t="str">
            <v>SH</v>
          </cell>
          <cell r="D5767" t="str">
            <v>001</v>
          </cell>
          <cell r="E5767" t="str">
            <v>WN FLG</v>
          </cell>
          <cell r="F5767">
            <v>3</v>
          </cell>
          <cell r="G5767" t="str">
            <v>CB200204000300</v>
          </cell>
          <cell r="H5767">
            <v>3</v>
          </cell>
          <cell r="I5767" t="str">
            <v>--</v>
          </cell>
          <cell r="J5767" t="str">
            <v>-</v>
          </cell>
          <cell r="K5767">
            <v>2</v>
          </cell>
        </row>
        <row r="5768">
          <cell r="A5768" t="str">
            <v>UT</v>
          </cell>
          <cell r="B5768" t="str">
            <v>B2C</v>
          </cell>
          <cell r="C5768" t="str">
            <v>SH</v>
          </cell>
          <cell r="D5768" t="str">
            <v>001</v>
          </cell>
          <cell r="E5768" t="str">
            <v>WN FLG</v>
          </cell>
          <cell r="F5768">
            <v>3</v>
          </cell>
          <cell r="G5768" t="str">
            <v>CB200204000300</v>
          </cell>
          <cell r="H5768">
            <v>3</v>
          </cell>
          <cell r="I5768" t="str">
            <v>--</v>
          </cell>
          <cell r="J5768">
            <v>2</v>
          </cell>
          <cell r="K5768" t="str">
            <v>-</v>
          </cell>
        </row>
        <row r="5769">
          <cell r="A5769" t="str">
            <v>UT</v>
          </cell>
          <cell r="B5769" t="str">
            <v>A5C</v>
          </cell>
          <cell r="C5769" t="str">
            <v>WW</v>
          </cell>
          <cell r="D5769" t="str">
            <v>003</v>
          </cell>
          <cell r="E5769" t="str">
            <v>WN FLG</v>
          </cell>
          <cell r="F5769">
            <v>3</v>
          </cell>
          <cell r="G5769" t="str">
            <v>CB200104000300</v>
          </cell>
          <cell r="H5769">
            <v>3</v>
          </cell>
          <cell r="I5769" t="str">
            <v>--</v>
          </cell>
          <cell r="J5769">
            <v>1</v>
          </cell>
          <cell r="K5769" t="str">
            <v>-</v>
          </cell>
        </row>
        <row r="5770">
          <cell r="A5770" t="str">
            <v>UT</v>
          </cell>
          <cell r="B5770" t="str">
            <v>B2C</v>
          </cell>
          <cell r="C5770" t="str">
            <v>SH</v>
          </cell>
          <cell r="D5770" t="str">
            <v>001</v>
          </cell>
          <cell r="E5770" t="str">
            <v>WN FLG</v>
          </cell>
          <cell r="F5770">
            <v>3</v>
          </cell>
          <cell r="G5770" t="str">
            <v>CB200204000400</v>
          </cell>
          <cell r="H5770">
            <v>4</v>
          </cell>
          <cell r="I5770" t="str">
            <v>--</v>
          </cell>
          <cell r="J5770">
            <v>3</v>
          </cell>
          <cell r="K5770" t="str">
            <v>-</v>
          </cell>
        </row>
        <row r="5771">
          <cell r="A5771" t="str">
            <v>UT</v>
          </cell>
          <cell r="B5771" t="str">
            <v>A5C</v>
          </cell>
          <cell r="C5771" t="str">
            <v>WW</v>
          </cell>
          <cell r="D5771" t="str">
            <v>002</v>
          </cell>
          <cell r="E5771" t="str">
            <v>WN FLG</v>
          </cell>
          <cell r="F5771">
            <v>3</v>
          </cell>
          <cell r="G5771" t="str">
            <v>CB200104000600</v>
          </cell>
          <cell r="H5771">
            <v>6</v>
          </cell>
          <cell r="I5771" t="str">
            <v>--</v>
          </cell>
          <cell r="J5771">
            <v>1</v>
          </cell>
          <cell r="K5771" t="str">
            <v>-</v>
          </cell>
        </row>
        <row r="5772">
          <cell r="A5772" t="str">
            <v>UT</v>
          </cell>
          <cell r="B5772" t="str">
            <v>B2C</v>
          </cell>
          <cell r="C5772" t="str">
            <v>SH</v>
          </cell>
          <cell r="D5772" t="str">
            <v>001</v>
          </cell>
          <cell r="E5772" t="str">
            <v>WN FLG</v>
          </cell>
          <cell r="F5772">
            <v>3</v>
          </cell>
          <cell r="G5772" t="str">
            <v>CB200204000800</v>
          </cell>
          <cell r="H5772">
            <v>8</v>
          </cell>
          <cell r="I5772" t="str">
            <v>--</v>
          </cell>
          <cell r="J5772">
            <v>2</v>
          </cell>
          <cell r="K5772" t="str">
            <v>-</v>
          </cell>
        </row>
        <row r="5773">
          <cell r="A5773" t="str">
            <v>UT</v>
          </cell>
          <cell r="B5773" t="str">
            <v>A5C</v>
          </cell>
          <cell r="C5773" t="str">
            <v>WW</v>
          </cell>
          <cell r="D5773" t="str">
            <v>002</v>
          </cell>
          <cell r="E5773" t="str">
            <v>WN FLG</v>
          </cell>
          <cell r="F5773">
            <v>3</v>
          </cell>
          <cell r="G5773" t="str">
            <v>CB200104000800</v>
          </cell>
          <cell r="H5773">
            <v>8</v>
          </cell>
          <cell r="I5773" t="str">
            <v>--</v>
          </cell>
          <cell r="J5773">
            <v>1</v>
          </cell>
          <cell r="K5773" t="str">
            <v>-</v>
          </cell>
        </row>
        <row r="5774">
          <cell r="A5774" t="str">
            <v>UT</v>
          </cell>
          <cell r="B5774" t="str">
            <v>A5C</v>
          </cell>
          <cell r="C5774" t="str">
            <v>WW</v>
          </cell>
          <cell r="D5774" t="str">
            <v>002</v>
          </cell>
          <cell r="E5774" t="str">
            <v>WN FLG</v>
          </cell>
          <cell r="F5774">
            <v>3</v>
          </cell>
          <cell r="G5774" t="str">
            <v>CB200104001200</v>
          </cell>
          <cell r="H5774">
            <v>12</v>
          </cell>
          <cell r="I5774" t="str">
            <v>--</v>
          </cell>
          <cell r="J5774">
            <v>2</v>
          </cell>
          <cell r="K5774" t="str">
            <v>-</v>
          </cell>
        </row>
        <row r="5775">
          <cell r="A5775" t="str">
            <v>UT</v>
          </cell>
          <cell r="B5775" t="str">
            <v>B2C</v>
          </cell>
          <cell r="C5775" t="str">
            <v>SH</v>
          </cell>
          <cell r="D5775" t="str">
            <v>001</v>
          </cell>
          <cell r="E5775" t="str">
            <v>WN FLG</v>
          </cell>
          <cell r="F5775">
            <v>3</v>
          </cell>
          <cell r="G5775" t="str">
            <v>CB200204001200</v>
          </cell>
          <cell r="H5775">
            <v>12</v>
          </cell>
          <cell r="I5775" t="str">
            <v>--</v>
          </cell>
          <cell r="J5775" t="str">
            <v>-</v>
          </cell>
          <cell r="K5775">
            <v>1</v>
          </cell>
        </row>
        <row r="5776">
          <cell r="A5776" t="str">
            <v>UT</v>
          </cell>
          <cell r="B5776" t="str">
            <v>A5C</v>
          </cell>
          <cell r="C5776" t="str">
            <v>WW</v>
          </cell>
          <cell r="D5776" t="str">
            <v>002</v>
          </cell>
          <cell r="E5776" t="str">
            <v>WN FLG</v>
          </cell>
          <cell r="F5776">
            <v>3</v>
          </cell>
          <cell r="G5776" t="str">
            <v>CB200104001200</v>
          </cell>
          <cell r="H5776">
            <v>12</v>
          </cell>
          <cell r="I5776" t="str">
            <v>--</v>
          </cell>
          <cell r="J5776" t="str">
            <v>-</v>
          </cell>
          <cell r="K5776">
            <v>1</v>
          </cell>
        </row>
        <row r="5777">
          <cell r="A5777" t="str">
            <v>UT</v>
          </cell>
          <cell r="B5777" t="str">
            <v>A5C</v>
          </cell>
          <cell r="C5777" t="str">
            <v>WW</v>
          </cell>
          <cell r="D5777" t="str">
            <v>002</v>
          </cell>
          <cell r="E5777" t="str">
            <v>WN FLG</v>
          </cell>
          <cell r="F5777">
            <v>3</v>
          </cell>
          <cell r="G5777" t="str">
            <v>CB200104002000</v>
          </cell>
          <cell r="H5777">
            <v>20</v>
          </cell>
          <cell r="I5777" t="str">
            <v>--</v>
          </cell>
          <cell r="J5777" t="str">
            <v>-</v>
          </cell>
          <cell r="K5777">
            <v>1</v>
          </cell>
        </row>
        <row r="5778">
          <cell r="A5778" t="str">
            <v>UT</v>
          </cell>
          <cell r="B5778" t="str">
            <v>B2C</v>
          </cell>
          <cell r="C5778" t="str">
            <v>SH</v>
          </cell>
          <cell r="D5778" t="str">
            <v>001</v>
          </cell>
          <cell r="E5778" t="str">
            <v>WN FLG</v>
          </cell>
          <cell r="F5778">
            <v>3</v>
          </cell>
          <cell r="G5778" t="str">
            <v>CB200204000400</v>
          </cell>
          <cell r="H5778">
            <v>4</v>
          </cell>
          <cell r="I5778" t="str">
            <v>--</v>
          </cell>
          <cell r="J5778" t="str">
            <v>-</v>
          </cell>
          <cell r="K5778">
            <v>3</v>
          </cell>
        </row>
        <row r="5779">
          <cell r="A5779" t="str">
            <v>UT</v>
          </cell>
          <cell r="B5779" t="str">
            <v>A5C</v>
          </cell>
          <cell r="C5779" t="str">
            <v>WW</v>
          </cell>
          <cell r="D5779" t="str">
            <v>003</v>
          </cell>
          <cell r="E5779" t="str">
            <v>WN FLG</v>
          </cell>
          <cell r="F5779">
            <v>3</v>
          </cell>
          <cell r="G5779" t="str">
            <v>CB200104000400</v>
          </cell>
          <cell r="H5779">
            <v>4</v>
          </cell>
          <cell r="I5779" t="str">
            <v>--</v>
          </cell>
          <cell r="J5779" t="str">
            <v>-</v>
          </cell>
          <cell r="K5779">
            <v>1</v>
          </cell>
        </row>
        <row r="5780">
          <cell r="A5780" t="str">
            <v>UT</v>
          </cell>
          <cell r="B5780" t="str">
            <v>A5C</v>
          </cell>
          <cell r="C5780" t="str">
            <v>WW</v>
          </cell>
          <cell r="D5780" t="str">
            <v>002</v>
          </cell>
          <cell r="E5780" t="str">
            <v>WN FLG</v>
          </cell>
          <cell r="F5780">
            <v>3</v>
          </cell>
          <cell r="G5780" t="str">
            <v>CB200104000600</v>
          </cell>
          <cell r="H5780">
            <v>6</v>
          </cell>
          <cell r="I5780" t="str">
            <v>--</v>
          </cell>
          <cell r="J5780" t="str">
            <v>-</v>
          </cell>
          <cell r="K5780">
            <v>1</v>
          </cell>
        </row>
        <row r="5781">
          <cell r="A5781" t="str">
            <v>UT</v>
          </cell>
          <cell r="B5781" t="str">
            <v>B2C</v>
          </cell>
          <cell r="C5781" t="str">
            <v>SH</v>
          </cell>
          <cell r="D5781" t="str">
            <v>001</v>
          </cell>
          <cell r="E5781" t="str">
            <v>WN FLG</v>
          </cell>
          <cell r="F5781">
            <v>3</v>
          </cell>
          <cell r="G5781" t="str">
            <v>CB200204000800</v>
          </cell>
          <cell r="H5781">
            <v>8</v>
          </cell>
          <cell r="I5781" t="str">
            <v>--</v>
          </cell>
          <cell r="J5781" t="str">
            <v>-</v>
          </cell>
          <cell r="K5781">
            <v>1</v>
          </cell>
        </row>
        <row r="5782">
          <cell r="A5782" t="str">
            <v>UT</v>
          </cell>
          <cell r="B5782" t="str">
            <v>A5C</v>
          </cell>
          <cell r="C5782" t="str">
            <v>WW</v>
          </cell>
          <cell r="D5782" t="str">
            <v>002</v>
          </cell>
          <cell r="E5782" t="str">
            <v>WN FLG</v>
          </cell>
          <cell r="F5782">
            <v>3</v>
          </cell>
          <cell r="G5782" t="str">
            <v>CB200104000800</v>
          </cell>
          <cell r="H5782">
            <v>8</v>
          </cell>
          <cell r="I5782" t="str">
            <v>--</v>
          </cell>
          <cell r="J5782" t="str">
            <v>-</v>
          </cell>
          <cell r="K5782">
            <v>1</v>
          </cell>
        </row>
        <row r="5783">
          <cell r="A5783" t="str">
            <v>UT</v>
          </cell>
          <cell r="B5783" t="str">
            <v>B2C</v>
          </cell>
          <cell r="C5783" t="str">
            <v>SCL</v>
          </cell>
          <cell r="D5783" t="str">
            <v>002</v>
          </cell>
          <cell r="E5783" t="str">
            <v>GATE VA</v>
          </cell>
          <cell r="F5783">
            <v>6</v>
          </cell>
          <cell r="G5783" t="str">
            <v>VG8010100000T00</v>
          </cell>
          <cell r="H5783">
            <v>0.75</v>
          </cell>
          <cell r="I5783" t="str">
            <v>--</v>
          </cell>
          <cell r="J5783" t="str">
            <v>-</v>
          </cell>
          <cell r="K5783">
            <v>3</v>
          </cell>
        </row>
        <row r="5784">
          <cell r="A5784" t="str">
            <v>UT</v>
          </cell>
          <cell r="B5784" t="str">
            <v>B2C</v>
          </cell>
          <cell r="C5784" t="str">
            <v>SCL</v>
          </cell>
          <cell r="D5784" t="str">
            <v>002</v>
          </cell>
          <cell r="E5784" t="str">
            <v>GATE VA</v>
          </cell>
          <cell r="F5784">
            <v>6</v>
          </cell>
          <cell r="G5784" t="str">
            <v>VG8010400000T00</v>
          </cell>
          <cell r="H5784">
            <v>0.75</v>
          </cell>
          <cell r="I5784" t="str">
            <v>--</v>
          </cell>
          <cell r="J5784" t="str">
            <v>-</v>
          </cell>
          <cell r="K5784">
            <v>3</v>
          </cell>
        </row>
        <row r="5785">
          <cell r="A5785" t="str">
            <v>UT</v>
          </cell>
          <cell r="B5785" t="str">
            <v>B2C</v>
          </cell>
          <cell r="C5785" t="str">
            <v>SH</v>
          </cell>
          <cell r="D5785" t="str">
            <v>001</v>
          </cell>
          <cell r="E5785" t="str">
            <v>GATE VA</v>
          </cell>
          <cell r="F5785">
            <v>6</v>
          </cell>
          <cell r="G5785" t="str">
            <v>VG8010100000T00</v>
          </cell>
          <cell r="H5785">
            <v>0.75</v>
          </cell>
          <cell r="I5785" t="str">
            <v>--</v>
          </cell>
          <cell r="J5785" t="str">
            <v>-</v>
          </cell>
          <cell r="K5785">
            <v>3</v>
          </cell>
        </row>
        <row r="5786">
          <cell r="A5786" t="str">
            <v>UT</v>
          </cell>
          <cell r="B5786" t="str">
            <v>B2C</v>
          </cell>
          <cell r="C5786" t="str">
            <v>SCL</v>
          </cell>
          <cell r="D5786" t="str">
            <v>002</v>
          </cell>
          <cell r="E5786" t="str">
            <v>GLOBE VA</v>
          </cell>
          <cell r="F5786">
            <v>6</v>
          </cell>
          <cell r="G5786" t="str">
            <v>VL8010100000T00</v>
          </cell>
          <cell r="H5786">
            <v>0.75</v>
          </cell>
          <cell r="I5786" t="str">
            <v>--</v>
          </cell>
          <cell r="J5786" t="str">
            <v>-</v>
          </cell>
          <cell r="K5786">
            <v>3</v>
          </cell>
        </row>
        <row r="5787">
          <cell r="A5787" t="str">
            <v>UT</v>
          </cell>
          <cell r="B5787" t="str">
            <v>B2C</v>
          </cell>
          <cell r="C5787" t="str">
            <v>SCL</v>
          </cell>
          <cell r="D5787" t="str">
            <v>002</v>
          </cell>
          <cell r="E5787" t="str">
            <v>GATE VA</v>
          </cell>
          <cell r="F5787">
            <v>6</v>
          </cell>
          <cell r="G5787" t="str">
            <v>VG8010400000T00</v>
          </cell>
          <cell r="H5787">
            <v>0.75</v>
          </cell>
          <cell r="I5787" t="str">
            <v>--</v>
          </cell>
          <cell r="J5787">
            <v>3</v>
          </cell>
          <cell r="K5787" t="str">
            <v>-</v>
          </cell>
        </row>
        <row r="5788">
          <cell r="A5788" t="str">
            <v>UT</v>
          </cell>
          <cell r="B5788" t="str">
            <v>B2C</v>
          </cell>
          <cell r="C5788" t="str">
            <v>SCL</v>
          </cell>
          <cell r="D5788" t="str">
            <v>002</v>
          </cell>
          <cell r="E5788" t="str">
            <v>GATE VA</v>
          </cell>
          <cell r="F5788">
            <v>6</v>
          </cell>
          <cell r="G5788" t="str">
            <v>VG8010100000T00</v>
          </cell>
          <cell r="H5788">
            <v>0.75</v>
          </cell>
          <cell r="I5788" t="str">
            <v>--</v>
          </cell>
          <cell r="J5788">
            <v>3</v>
          </cell>
          <cell r="K5788" t="str">
            <v>-</v>
          </cell>
        </row>
        <row r="5789">
          <cell r="A5789" t="str">
            <v>UT</v>
          </cell>
          <cell r="B5789" t="str">
            <v>B2C</v>
          </cell>
          <cell r="C5789" t="str">
            <v>SH</v>
          </cell>
          <cell r="D5789" t="str">
            <v>001</v>
          </cell>
          <cell r="E5789" t="str">
            <v>GATE VA</v>
          </cell>
          <cell r="F5789">
            <v>6</v>
          </cell>
          <cell r="G5789" t="str">
            <v>VG8010100000T00</v>
          </cell>
          <cell r="H5789">
            <v>0.75</v>
          </cell>
          <cell r="I5789" t="str">
            <v>--</v>
          </cell>
          <cell r="J5789">
            <v>3</v>
          </cell>
          <cell r="K5789" t="str">
            <v>-</v>
          </cell>
        </row>
        <row r="5790">
          <cell r="A5790" t="str">
            <v>UT</v>
          </cell>
          <cell r="B5790" t="str">
            <v>B2C</v>
          </cell>
          <cell r="C5790" t="str">
            <v>SH</v>
          </cell>
          <cell r="D5790" t="str">
            <v>001</v>
          </cell>
          <cell r="E5790" t="str">
            <v>GATE VA</v>
          </cell>
          <cell r="F5790">
            <v>6</v>
          </cell>
          <cell r="G5790" t="str">
            <v>VG8010400000T00</v>
          </cell>
          <cell r="H5790">
            <v>0.75</v>
          </cell>
          <cell r="I5790" t="str">
            <v>--</v>
          </cell>
          <cell r="J5790" t="str">
            <v>-</v>
          </cell>
          <cell r="K5790">
            <v>9</v>
          </cell>
        </row>
        <row r="5791">
          <cell r="A5791" t="str">
            <v>UT</v>
          </cell>
          <cell r="B5791" t="str">
            <v>B2C</v>
          </cell>
          <cell r="C5791" t="str">
            <v>SH</v>
          </cell>
          <cell r="D5791" t="str">
            <v>001</v>
          </cell>
          <cell r="E5791" t="str">
            <v>GATE VA</v>
          </cell>
          <cell r="F5791">
            <v>6</v>
          </cell>
          <cell r="G5791" t="str">
            <v>VG8010400000T00</v>
          </cell>
          <cell r="H5791">
            <v>0.75</v>
          </cell>
          <cell r="I5791" t="str">
            <v>--</v>
          </cell>
          <cell r="J5791">
            <v>9</v>
          </cell>
          <cell r="K5791" t="str">
            <v>-</v>
          </cell>
        </row>
        <row r="5792">
          <cell r="A5792" t="str">
            <v>UT</v>
          </cell>
          <cell r="B5792" t="str">
            <v>B2C</v>
          </cell>
          <cell r="C5792" t="str">
            <v>SCL</v>
          </cell>
          <cell r="D5792" t="str">
            <v>002</v>
          </cell>
          <cell r="E5792" t="str">
            <v>GLOBE VA</v>
          </cell>
          <cell r="F5792">
            <v>6</v>
          </cell>
          <cell r="G5792" t="str">
            <v>VL8010100000T00</v>
          </cell>
          <cell r="H5792">
            <v>0.75</v>
          </cell>
          <cell r="I5792" t="str">
            <v>--</v>
          </cell>
          <cell r="J5792">
            <v>3</v>
          </cell>
          <cell r="K5792" t="str">
            <v>-</v>
          </cell>
        </row>
        <row r="5793">
          <cell r="A5793" t="str">
            <v>UT</v>
          </cell>
          <cell r="B5793" t="str">
            <v>CA307</v>
          </cell>
          <cell r="C5793" t="str">
            <v>P</v>
          </cell>
          <cell r="D5793" t="str">
            <v>HOLD7</v>
          </cell>
          <cell r="E5793" t="str">
            <v>BELLOWS VA</v>
          </cell>
          <cell r="F5793">
            <v>6</v>
          </cell>
          <cell r="G5793" t="str">
            <v>VBE8010500000T00</v>
          </cell>
          <cell r="H5793">
            <v>0.75</v>
          </cell>
          <cell r="I5793" t="str">
            <v>--</v>
          </cell>
          <cell r="J5793" t="str">
            <v>-</v>
          </cell>
          <cell r="K5793">
            <v>1</v>
          </cell>
        </row>
        <row r="5794">
          <cell r="A5794" t="str">
            <v>UT</v>
          </cell>
          <cell r="B5794" t="str">
            <v>CA307</v>
          </cell>
          <cell r="C5794" t="str">
            <v>P</v>
          </cell>
          <cell r="D5794" t="str">
            <v>HOLD7</v>
          </cell>
          <cell r="E5794" t="str">
            <v>BELLOWS VA</v>
          </cell>
          <cell r="F5794">
            <v>6</v>
          </cell>
          <cell r="G5794" t="str">
            <v>VBE8010500000T00</v>
          </cell>
          <cell r="H5794">
            <v>0.75</v>
          </cell>
          <cell r="I5794" t="str">
            <v>--</v>
          </cell>
          <cell r="J5794">
            <v>1</v>
          </cell>
          <cell r="K5794" t="str">
            <v>-</v>
          </cell>
        </row>
        <row r="5795">
          <cell r="A5795" t="str">
            <v>UT</v>
          </cell>
          <cell r="B5795" t="str">
            <v>A5C</v>
          </cell>
          <cell r="C5795" t="str">
            <v>P</v>
          </cell>
          <cell r="D5795" t="str">
            <v>HOLD4</v>
          </cell>
          <cell r="E5795" t="str">
            <v>BALL VA</v>
          </cell>
          <cell r="F5795">
            <v>6</v>
          </cell>
          <cell r="G5795" t="str">
            <v>VB8010600000T00</v>
          </cell>
          <cell r="H5795">
            <v>0.75</v>
          </cell>
          <cell r="I5795" t="str">
            <v>--</v>
          </cell>
          <cell r="J5795" t="str">
            <v>-</v>
          </cell>
          <cell r="K5795">
            <v>1</v>
          </cell>
        </row>
        <row r="5796">
          <cell r="A5796" t="str">
            <v>UT</v>
          </cell>
          <cell r="B5796" t="str">
            <v>A5C</v>
          </cell>
          <cell r="C5796" t="str">
            <v>P</v>
          </cell>
          <cell r="D5796" t="str">
            <v>HOLD6</v>
          </cell>
          <cell r="E5796" t="str">
            <v>BALL VA</v>
          </cell>
          <cell r="F5796">
            <v>6</v>
          </cell>
          <cell r="G5796" t="str">
            <v>VB8010600000T00</v>
          </cell>
          <cell r="H5796">
            <v>0.75</v>
          </cell>
          <cell r="I5796" t="str">
            <v>--</v>
          </cell>
          <cell r="J5796" t="str">
            <v>-</v>
          </cell>
          <cell r="K5796">
            <v>1</v>
          </cell>
        </row>
        <row r="5797">
          <cell r="A5797" t="str">
            <v>UT</v>
          </cell>
          <cell r="B5797" t="str">
            <v>CA307</v>
          </cell>
          <cell r="C5797" t="str">
            <v>HCLG</v>
          </cell>
          <cell r="D5797" t="str">
            <v>1100</v>
          </cell>
          <cell r="E5797" t="str">
            <v>BELLOWS VA</v>
          </cell>
          <cell r="F5797">
            <v>6</v>
          </cell>
          <cell r="G5797" t="str">
            <v>VBE8010500000T00</v>
          </cell>
          <cell r="H5797">
            <v>0.75</v>
          </cell>
          <cell r="I5797" t="str">
            <v>--</v>
          </cell>
          <cell r="J5797" t="str">
            <v>-</v>
          </cell>
          <cell r="K5797">
            <v>1</v>
          </cell>
        </row>
        <row r="5798">
          <cell r="A5798" t="str">
            <v>UT</v>
          </cell>
          <cell r="B5798" t="str">
            <v>A5C</v>
          </cell>
          <cell r="C5798" t="str">
            <v>P</v>
          </cell>
          <cell r="D5798" t="str">
            <v>HOLD1</v>
          </cell>
          <cell r="E5798" t="str">
            <v>BALL VA</v>
          </cell>
          <cell r="F5798">
            <v>6</v>
          </cell>
          <cell r="G5798" t="str">
            <v>VB8010600000T00</v>
          </cell>
          <cell r="H5798">
            <v>0.75</v>
          </cell>
          <cell r="I5798" t="str">
            <v>--</v>
          </cell>
          <cell r="J5798" t="str">
            <v>-</v>
          </cell>
          <cell r="K5798">
            <v>2</v>
          </cell>
        </row>
        <row r="5799">
          <cell r="A5799" t="str">
            <v>UT</v>
          </cell>
          <cell r="B5799" t="str">
            <v>A5C</v>
          </cell>
          <cell r="C5799" t="str">
            <v>P</v>
          </cell>
          <cell r="D5799" t="str">
            <v>HOLD3</v>
          </cell>
          <cell r="E5799" t="str">
            <v>BALL VA</v>
          </cell>
          <cell r="F5799">
            <v>6</v>
          </cell>
          <cell r="G5799" t="str">
            <v>VB8010600000T00</v>
          </cell>
          <cell r="H5799">
            <v>0.75</v>
          </cell>
          <cell r="I5799" t="str">
            <v>--</v>
          </cell>
          <cell r="J5799" t="str">
            <v>-</v>
          </cell>
          <cell r="K5799">
            <v>2</v>
          </cell>
        </row>
        <row r="5800">
          <cell r="A5800" t="str">
            <v>UT</v>
          </cell>
          <cell r="B5800" t="str">
            <v>A5C</v>
          </cell>
          <cell r="C5800" t="str">
            <v>P</v>
          </cell>
          <cell r="D5800" t="str">
            <v>HOLD2</v>
          </cell>
          <cell r="E5800" t="str">
            <v>BALL VA</v>
          </cell>
          <cell r="F5800">
            <v>6</v>
          </cell>
          <cell r="G5800" t="str">
            <v>VB8010600000T00</v>
          </cell>
          <cell r="H5800">
            <v>0.75</v>
          </cell>
          <cell r="I5800" t="str">
            <v>--</v>
          </cell>
          <cell r="J5800" t="str">
            <v>-</v>
          </cell>
          <cell r="K5800">
            <v>4</v>
          </cell>
        </row>
        <row r="5801">
          <cell r="A5801" t="str">
            <v>UT</v>
          </cell>
          <cell r="B5801" t="str">
            <v>A5C</v>
          </cell>
          <cell r="C5801" t="str">
            <v>P</v>
          </cell>
          <cell r="D5801" t="str">
            <v>HOLD5</v>
          </cell>
          <cell r="E5801" t="str">
            <v>BALL VA</v>
          </cell>
          <cell r="F5801">
            <v>6</v>
          </cell>
          <cell r="G5801" t="str">
            <v>VB8010600000T00</v>
          </cell>
          <cell r="H5801">
            <v>0.75</v>
          </cell>
          <cell r="I5801" t="str">
            <v>--</v>
          </cell>
          <cell r="J5801" t="str">
            <v>-</v>
          </cell>
          <cell r="K5801">
            <v>4</v>
          </cell>
        </row>
        <row r="5802">
          <cell r="A5802" t="str">
            <v>UT</v>
          </cell>
          <cell r="B5802" t="str">
            <v>A5C</v>
          </cell>
          <cell r="C5802" t="str">
            <v>P</v>
          </cell>
          <cell r="D5802" t="str">
            <v>HOLD1</v>
          </cell>
          <cell r="E5802" t="str">
            <v>BALL VA</v>
          </cell>
          <cell r="F5802">
            <v>6</v>
          </cell>
          <cell r="G5802" t="str">
            <v>VB8010600000T00</v>
          </cell>
          <cell r="H5802">
            <v>0.75</v>
          </cell>
          <cell r="I5802" t="str">
            <v>--</v>
          </cell>
          <cell r="J5802">
            <v>2</v>
          </cell>
          <cell r="K5802" t="str">
            <v>-</v>
          </cell>
        </row>
        <row r="5803">
          <cell r="A5803" t="str">
            <v>UT</v>
          </cell>
          <cell r="B5803" t="str">
            <v>A5C</v>
          </cell>
          <cell r="C5803" t="str">
            <v>P</v>
          </cell>
          <cell r="D5803" t="str">
            <v>HOLD2</v>
          </cell>
          <cell r="E5803" t="str">
            <v>BALL VA</v>
          </cell>
          <cell r="F5803">
            <v>6</v>
          </cell>
          <cell r="G5803" t="str">
            <v>VB8010600000T00</v>
          </cell>
          <cell r="H5803">
            <v>0.75</v>
          </cell>
          <cell r="I5803" t="str">
            <v>--</v>
          </cell>
          <cell r="J5803">
            <v>4</v>
          </cell>
          <cell r="K5803" t="str">
            <v>-</v>
          </cell>
        </row>
        <row r="5804">
          <cell r="A5804" t="str">
            <v>UT</v>
          </cell>
          <cell r="B5804" t="str">
            <v>A5C</v>
          </cell>
          <cell r="C5804" t="str">
            <v>P</v>
          </cell>
          <cell r="D5804" t="str">
            <v>HOLD3</v>
          </cell>
          <cell r="E5804" t="str">
            <v>BALL VA</v>
          </cell>
          <cell r="F5804">
            <v>6</v>
          </cell>
          <cell r="G5804" t="str">
            <v>VB8010600000T00</v>
          </cell>
          <cell r="H5804">
            <v>0.75</v>
          </cell>
          <cell r="I5804" t="str">
            <v>--</v>
          </cell>
          <cell r="J5804">
            <v>2</v>
          </cell>
          <cell r="K5804" t="str">
            <v>-</v>
          </cell>
        </row>
        <row r="5805">
          <cell r="A5805" t="str">
            <v>UT</v>
          </cell>
          <cell r="B5805" t="str">
            <v>A5C</v>
          </cell>
          <cell r="C5805" t="str">
            <v>P</v>
          </cell>
          <cell r="D5805" t="str">
            <v>HOLD4</v>
          </cell>
          <cell r="E5805" t="str">
            <v>BALL VA</v>
          </cell>
          <cell r="F5805">
            <v>6</v>
          </cell>
          <cell r="G5805" t="str">
            <v>VB8010600000T00</v>
          </cell>
          <cell r="H5805">
            <v>0.75</v>
          </cell>
          <cell r="I5805" t="str">
            <v>--</v>
          </cell>
          <cell r="J5805">
            <v>1</v>
          </cell>
          <cell r="K5805" t="str">
            <v>-</v>
          </cell>
        </row>
        <row r="5806">
          <cell r="A5806" t="str">
            <v>UT</v>
          </cell>
          <cell r="B5806" t="str">
            <v>A5C</v>
          </cell>
          <cell r="C5806" t="str">
            <v>P</v>
          </cell>
          <cell r="D5806" t="str">
            <v>HOLD5</v>
          </cell>
          <cell r="E5806" t="str">
            <v>BALL VA</v>
          </cell>
          <cell r="F5806">
            <v>6</v>
          </cell>
          <cell r="G5806" t="str">
            <v>VB8010600000T00</v>
          </cell>
          <cell r="H5806">
            <v>0.75</v>
          </cell>
          <cell r="I5806" t="str">
            <v>--</v>
          </cell>
          <cell r="J5806">
            <v>4</v>
          </cell>
          <cell r="K5806" t="str">
            <v>-</v>
          </cell>
        </row>
        <row r="5807">
          <cell r="A5807" t="str">
            <v>UT</v>
          </cell>
          <cell r="B5807" t="str">
            <v>A5C</v>
          </cell>
          <cell r="C5807" t="str">
            <v>P</v>
          </cell>
          <cell r="D5807" t="str">
            <v>HOLD6</v>
          </cell>
          <cell r="E5807" t="str">
            <v>BALL VA</v>
          </cell>
          <cell r="F5807">
            <v>6</v>
          </cell>
          <cell r="G5807" t="str">
            <v>VB8010600000T00</v>
          </cell>
          <cell r="H5807">
            <v>0.75</v>
          </cell>
          <cell r="I5807" t="str">
            <v>--</v>
          </cell>
          <cell r="J5807">
            <v>1</v>
          </cell>
          <cell r="K5807" t="str">
            <v>-</v>
          </cell>
        </row>
        <row r="5808">
          <cell r="A5808" t="str">
            <v>UT</v>
          </cell>
          <cell r="B5808" t="str">
            <v>CA307</v>
          </cell>
          <cell r="C5808" t="str">
            <v>HCLG</v>
          </cell>
          <cell r="D5808" t="str">
            <v>1100</v>
          </cell>
          <cell r="E5808" t="str">
            <v>BELLOWS VA</v>
          </cell>
          <cell r="F5808">
            <v>6</v>
          </cell>
          <cell r="G5808" t="str">
            <v>VBE8010500000T00</v>
          </cell>
          <cell r="H5808">
            <v>0.75</v>
          </cell>
          <cell r="I5808" t="str">
            <v>--</v>
          </cell>
          <cell r="J5808">
            <v>1</v>
          </cell>
          <cell r="K5808" t="str">
            <v>-</v>
          </cell>
        </row>
        <row r="5809">
          <cell r="A5809" t="str">
            <v>UT</v>
          </cell>
          <cell r="B5809" t="str">
            <v>A5C</v>
          </cell>
          <cell r="C5809" t="str">
            <v>WW</v>
          </cell>
          <cell r="D5809" t="str">
            <v>003</v>
          </cell>
          <cell r="E5809" t="str">
            <v>GATE VA</v>
          </cell>
          <cell r="F5809">
            <v>6</v>
          </cell>
          <cell r="G5809" t="str">
            <v>VG8010100000T00</v>
          </cell>
          <cell r="H5809">
            <v>0.75</v>
          </cell>
          <cell r="I5809" t="str">
            <v>--</v>
          </cell>
          <cell r="J5809" t="str">
            <v>-</v>
          </cell>
          <cell r="K5809">
            <v>1</v>
          </cell>
        </row>
        <row r="5810">
          <cell r="A5810" t="str">
            <v>UT</v>
          </cell>
          <cell r="B5810" t="str">
            <v>A5C</v>
          </cell>
          <cell r="C5810" t="str">
            <v>WW</v>
          </cell>
          <cell r="D5810" t="str">
            <v>003</v>
          </cell>
          <cell r="E5810" t="str">
            <v>GATE VA</v>
          </cell>
          <cell r="F5810">
            <v>6</v>
          </cell>
          <cell r="G5810" t="str">
            <v>VG8010100000T00</v>
          </cell>
          <cell r="H5810">
            <v>0.75</v>
          </cell>
          <cell r="I5810" t="str">
            <v>--</v>
          </cell>
          <cell r="J5810">
            <v>1</v>
          </cell>
          <cell r="K5810" t="str">
            <v>-</v>
          </cell>
        </row>
        <row r="5811">
          <cell r="A5811" t="str">
            <v>UT</v>
          </cell>
          <cell r="B5811" t="str">
            <v>A5C</v>
          </cell>
          <cell r="C5811" t="str">
            <v>WW</v>
          </cell>
          <cell r="D5811" t="str">
            <v>002</v>
          </cell>
          <cell r="E5811" t="str">
            <v>GATE VA</v>
          </cell>
          <cell r="F5811">
            <v>6</v>
          </cell>
          <cell r="G5811" t="str">
            <v>VG8010400000T00</v>
          </cell>
          <cell r="H5811">
            <v>0.75</v>
          </cell>
          <cell r="I5811" t="str">
            <v>--</v>
          </cell>
          <cell r="J5811" t="str">
            <v>-</v>
          </cell>
          <cell r="K5811">
            <v>4</v>
          </cell>
        </row>
        <row r="5812">
          <cell r="A5812" t="str">
            <v>UT</v>
          </cell>
          <cell r="B5812" t="str">
            <v>A5C</v>
          </cell>
          <cell r="C5812" t="str">
            <v>WW</v>
          </cell>
          <cell r="D5812" t="str">
            <v>002</v>
          </cell>
          <cell r="E5812" t="str">
            <v>GATE VA</v>
          </cell>
          <cell r="F5812">
            <v>6</v>
          </cell>
          <cell r="G5812" t="str">
            <v>VG8010400000T00</v>
          </cell>
          <cell r="H5812">
            <v>0.75</v>
          </cell>
          <cell r="I5812" t="str">
            <v>--</v>
          </cell>
          <cell r="J5812">
            <v>4</v>
          </cell>
          <cell r="K5812" t="str">
            <v>-</v>
          </cell>
        </row>
        <row r="5813">
          <cell r="A5813" t="str">
            <v>UT</v>
          </cell>
          <cell r="B5813" t="str">
            <v>B2C</v>
          </cell>
          <cell r="C5813" t="str">
            <v>SCL</v>
          </cell>
          <cell r="D5813" t="str">
            <v>002</v>
          </cell>
          <cell r="E5813" t="str">
            <v>STEAM TRAP</v>
          </cell>
          <cell r="F5813">
            <v>7</v>
          </cell>
          <cell r="G5813" t="str">
            <v>SP-05-100000T00</v>
          </cell>
          <cell r="H5813">
            <v>0.75</v>
          </cell>
          <cell r="I5813" t="str">
            <v>--</v>
          </cell>
          <cell r="J5813" t="str">
            <v>-</v>
          </cell>
          <cell r="K5813">
            <v>3</v>
          </cell>
        </row>
        <row r="5814">
          <cell r="A5814" t="str">
            <v>UT</v>
          </cell>
          <cell r="B5814" t="str">
            <v>B2C</v>
          </cell>
          <cell r="C5814" t="str">
            <v>SCL</v>
          </cell>
          <cell r="D5814" t="str">
            <v>002</v>
          </cell>
          <cell r="E5814" t="str">
            <v>STEAM TRAP</v>
          </cell>
          <cell r="F5814">
            <v>7</v>
          </cell>
          <cell r="G5814" t="str">
            <v>SP-05-100000T00</v>
          </cell>
          <cell r="H5814">
            <v>0.75</v>
          </cell>
          <cell r="I5814" t="str">
            <v>--</v>
          </cell>
          <cell r="J5814">
            <v>3</v>
          </cell>
          <cell r="K5814" t="str">
            <v>-</v>
          </cell>
        </row>
        <row r="5815">
          <cell r="A5815" t="str">
            <v>M1</v>
          </cell>
          <cell r="B5815" t="str">
            <v>A5C</v>
          </cell>
          <cell r="C5815" t="str">
            <v>SCD</v>
          </cell>
          <cell r="D5815" t="str">
            <v>HOLD1</v>
          </cell>
          <cell r="E5815" t="str">
            <v>C SWG</v>
          </cell>
          <cell r="F5815">
            <v>2</v>
          </cell>
          <cell r="G5815" t="str">
            <v>CB161308080H0Q</v>
          </cell>
          <cell r="H5815">
            <v>0.25</v>
          </cell>
          <cell r="I5815" t="str">
            <v>-</v>
          </cell>
          <cell r="J5815">
            <v>2</v>
          </cell>
          <cell r="K5815">
            <v>2</v>
          </cell>
        </row>
        <row r="5816">
          <cell r="A5816" t="str">
            <v>M1</v>
          </cell>
          <cell r="B5816" t="str">
            <v>A5C</v>
          </cell>
          <cell r="C5816" t="str">
            <v>SCC</v>
          </cell>
          <cell r="D5816" t="str">
            <v>HOLD1</v>
          </cell>
          <cell r="E5816" t="str">
            <v>C SWG</v>
          </cell>
          <cell r="F5816">
            <v>2</v>
          </cell>
          <cell r="G5816" t="str">
            <v>CB161308080H0Q</v>
          </cell>
          <cell r="H5816">
            <v>0.25</v>
          </cell>
          <cell r="I5816" t="str">
            <v>-</v>
          </cell>
          <cell r="J5816">
            <v>3</v>
          </cell>
          <cell r="K5816">
            <v>3</v>
          </cell>
        </row>
        <row r="5817">
          <cell r="A5817" t="str">
            <v>M1</v>
          </cell>
          <cell r="B5817" t="str">
            <v>A5C</v>
          </cell>
          <cell r="C5817" t="str">
            <v>P</v>
          </cell>
          <cell r="D5817" t="str">
            <v>22065</v>
          </cell>
          <cell r="E5817" t="str">
            <v>C SWG</v>
          </cell>
          <cell r="F5817">
            <v>2</v>
          </cell>
          <cell r="G5817" t="str">
            <v>CB161108080T0H</v>
          </cell>
          <cell r="H5817">
            <v>0.5</v>
          </cell>
          <cell r="I5817" t="str">
            <v>-</v>
          </cell>
          <cell r="J5817">
            <v>1</v>
          </cell>
          <cell r="K5817">
            <v>1</v>
          </cell>
        </row>
        <row r="5818">
          <cell r="A5818" t="str">
            <v>M1</v>
          </cell>
          <cell r="B5818" t="str">
            <v>A5C</v>
          </cell>
          <cell r="C5818" t="str">
            <v>SCD</v>
          </cell>
          <cell r="D5818" t="str">
            <v>HOLD1</v>
          </cell>
          <cell r="E5818" t="str">
            <v>C SWG</v>
          </cell>
          <cell r="F5818">
            <v>2</v>
          </cell>
          <cell r="G5818" t="str">
            <v>CB161308080T0Q</v>
          </cell>
          <cell r="H5818">
            <v>0.25</v>
          </cell>
          <cell r="I5818" t="str">
            <v>-</v>
          </cell>
          <cell r="J5818">
            <v>2</v>
          </cell>
          <cell r="K5818">
            <v>2</v>
          </cell>
        </row>
        <row r="5819">
          <cell r="A5819" t="str">
            <v>M1</v>
          </cell>
          <cell r="B5819" t="str">
            <v>A5C</v>
          </cell>
          <cell r="C5819" t="str">
            <v>SCD</v>
          </cell>
          <cell r="D5819" t="str">
            <v>HOLD1</v>
          </cell>
          <cell r="E5819" t="str">
            <v>C SWG</v>
          </cell>
          <cell r="F5819">
            <v>2</v>
          </cell>
          <cell r="G5819" t="str">
            <v>CB161108080T0H</v>
          </cell>
          <cell r="H5819">
            <v>0.5</v>
          </cell>
          <cell r="I5819" t="str">
            <v>-</v>
          </cell>
          <cell r="J5819">
            <v>2</v>
          </cell>
          <cell r="K5819">
            <v>2</v>
          </cell>
        </row>
        <row r="5820">
          <cell r="A5820" t="str">
            <v>M1</v>
          </cell>
          <cell r="B5820" t="str">
            <v>A5C</v>
          </cell>
          <cell r="C5820" t="str">
            <v>SCC</v>
          </cell>
          <cell r="D5820" t="str">
            <v>HOLD1</v>
          </cell>
          <cell r="E5820" t="str">
            <v>C SWG</v>
          </cell>
          <cell r="F5820">
            <v>2</v>
          </cell>
          <cell r="G5820" t="str">
            <v>CB161308080T0Q</v>
          </cell>
          <cell r="H5820">
            <v>0.25</v>
          </cell>
          <cell r="I5820" t="str">
            <v>-</v>
          </cell>
          <cell r="J5820">
            <v>3</v>
          </cell>
          <cell r="K5820">
            <v>3</v>
          </cell>
        </row>
        <row r="5821">
          <cell r="A5821" t="str">
            <v>M1</v>
          </cell>
          <cell r="B5821" t="str">
            <v>A5C</v>
          </cell>
          <cell r="C5821" t="str">
            <v>SCC</v>
          </cell>
          <cell r="D5821" t="str">
            <v>HOLD1</v>
          </cell>
          <cell r="E5821" t="str">
            <v>C SWG</v>
          </cell>
          <cell r="F5821">
            <v>2</v>
          </cell>
          <cell r="G5821" t="str">
            <v>CB161108080T0H</v>
          </cell>
          <cell r="H5821">
            <v>0.5</v>
          </cell>
          <cell r="I5821" t="str">
            <v>-</v>
          </cell>
          <cell r="J5821">
            <v>3</v>
          </cell>
          <cell r="K5821">
            <v>3</v>
          </cell>
        </row>
        <row r="5822">
          <cell r="A5822" t="str">
            <v>M1</v>
          </cell>
          <cell r="B5822" t="str">
            <v>A5C</v>
          </cell>
          <cell r="C5822" t="str">
            <v>P</v>
          </cell>
          <cell r="D5822" t="str">
            <v>22065</v>
          </cell>
          <cell r="E5822" t="str">
            <v>R TEE</v>
          </cell>
          <cell r="F5822">
            <v>2</v>
          </cell>
          <cell r="G5822" t="str">
            <v>CB400400000T0H</v>
          </cell>
          <cell r="H5822">
            <v>0.5</v>
          </cell>
          <cell r="I5822" t="str">
            <v>-</v>
          </cell>
          <cell r="J5822">
            <v>1</v>
          </cell>
          <cell r="K5822">
            <v>1</v>
          </cell>
        </row>
        <row r="5823">
          <cell r="A5823" t="str">
            <v>M1</v>
          </cell>
          <cell r="B5823" t="str">
            <v>A5C</v>
          </cell>
          <cell r="C5823" t="str">
            <v>SCC</v>
          </cell>
          <cell r="D5823" t="str">
            <v>HOLD1</v>
          </cell>
          <cell r="E5823" t="str">
            <v>R TEE</v>
          </cell>
          <cell r="F5823">
            <v>2</v>
          </cell>
          <cell r="G5823" t="str">
            <v>CB400400000T0H</v>
          </cell>
          <cell r="H5823">
            <v>0.5</v>
          </cell>
          <cell r="I5823" t="str">
            <v>-</v>
          </cell>
          <cell r="J5823">
            <v>3</v>
          </cell>
          <cell r="K5823">
            <v>3</v>
          </cell>
        </row>
        <row r="5824">
          <cell r="A5824" t="str">
            <v>M1</v>
          </cell>
          <cell r="B5824" t="str">
            <v>A5C</v>
          </cell>
          <cell r="C5824" t="str">
            <v>SCD</v>
          </cell>
          <cell r="D5824" t="str">
            <v>HOLD1</v>
          </cell>
          <cell r="E5824" t="str">
            <v>R TEE</v>
          </cell>
          <cell r="F5824">
            <v>2</v>
          </cell>
          <cell r="G5824" t="str">
            <v>CB400400000T0H</v>
          </cell>
          <cell r="H5824">
            <v>0.5</v>
          </cell>
          <cell r="I5824" t="str">
            <v>-</v>
          </cell>
          <cell r="J5824">
            <v>2</v>
          </cell>
          <cell r="K5824">
            <v>2</v>
          </cell>
        </row>
        <row r="5825">
          <cell r="A5825" t="str">
            <v>M1</v>
          </cell>
          <cell r="B5825" t="str">
            <v>A6C</v>
          </cell>
          <cell r="C5825" t="str">
            <v>HOR</v>
          </cell>
          <cell r="D5825" t="str">
            <v>65620</v>
          </cell>
          <cell r="E5825" t="str">
            <v>C SWG</v>
          </cell>
          <cell r="F5825">
            <v>2</v>
          </cell>
          <cell r="G5825" t="str">
            <v>CB161308080T0Q</v>
          </cell>
          <cell r="H5825">
            <v>0.25</v>
          </cell>
          <cell r="I5825" t="str">
            <v>-</v>
          </cell>
          <cell r="J5825">
            <v>1</v>
          </cell>
          <cell r="K5825">
            <v>1</v>
          </cell>
        </row>
        <row r="5826">
          <cell r="A5826" t="str">
            <v>M1</v>
          </cell>
          <cell r="B5826" t="str">
            <v>A5C</v>
          </cell>
          <cell r="C5826" t="str">
            <v>N</v>
          </cell>
          <cell r="D5826" t="str">
            <v>22670</v>
          </cell>
          <cell r="E5826" t="str">
            <v>C SWG</v>
          </cell>
          <cell r="F5826">
            <v>2</v>
          </cell>
          <cell r="G5826" t="str">
            <v>CB16110808010T</v>
          </cell>
          <cell r="H5826">
            <v>0.75</v>
          </cell>
          <cell r="I5826" t="str">
            <v>-</v>
          </cell>
          <cell r="J5826">
            <v>1</v>
          </cell>
          <cell r="K5826">
            <v>1</v>
          </cell>
        </row>
        <row r="5827">
          <cell r="A5827" t="str">
            <v>M1</v>
          </cell>
          <cell r="B5827" t="str">
            <v>A5C</v>
          </cell>
          <cell r="C5827" t="str">
            <v>P</v>
          </cell>
          <cell r="D5827" t="str">
            <v>24029</v>
          </cell>
          <cell r="E5827" t="str">
            <v>C SWG</v>
          </cell>
          <cell r="F5827">
            <v>2</v>
          </cell>
          <cell r="G5827" t="str">
            <v>CB16110808010T</v>
          </cell>
          <cell r="H5827">
            <v>0.75</v>
          </cell>
          <cell r="I5827" t="str">
            <v>-</v>
          </cell>
          <cell r="J5827">
            <v>1</v>
          </cell>
          <cell r="K5827">
            <v>1</v>
          </cell>
        </row>
        <row r="5828">
          <cell r="A5828" t="str">
            <v>M1</v>
          </cell>
          <cell r="B5828" t="str">
            <v>A5C</v>
          </cell>
          <cell r="C5828" t="str">
            <v>TRIM</v>
          </cell>
          <cell r="D5828" t="str">
            <v>V-2206</v>
          </cell>
          <cell r="E5828" t="str">
            <v>C SWG</v>
          </cell>
          <cell r="F5828">
            <v>2</v>
          </cell>
          <cell r="G5828" t="str">
            <v>CB16110808010T</v>
          </cell>
          <cell r="H5828">
            <v>0.75</v>
          </cell>
          <cell r="I5828" t="str">
            <v>-</v>
          </cell>
          <cell r="J5828">
            <v>1</v>
          </cell>
          <cell r="K5828">
            <v>1</v>
          </cell>
        </row>
        <row r="5829">
          <cell r="A5829" t="str">
            <v>M1</v>
          </cell>
          <cell r="B5829" t="str">
            <v>A5C</v>
          </cell>
          <cell r="C5829" t="str">
            <v>N</v>
          </cell>
          <cell r="D5829" t="str">
            <v>22670</v>
          </cell>
          <cell r="E5829" t="str">
            <v>C SWG</v>
          </cell>
          <cell r="F5829">
            <v>2</v>
          </cell>
          <cell r="G5829" t="str">
            <v>CB16110808010H</v>
          </cell>
          <cell r="H5829">
            <v>0.5</v>
          </cell>
          <cell r="I5829" t="str">
            <v>-</v>
          </cell>
          <cell r="J5829">
            <v>4</v>
          </cell>
          <cell r="K5829">
            <v>4</v>
          </cell>
        </row>
        <row r="5830">
          <cell r="A5830" t="str">
            <v>M1</v>
          </cell>
          <cell r="B5830" t="str">
            <v>A5C</v>
          </cell>
          <cell r="C5830" t="str">
            <v>P</v>
          </cell>
          <cell r="D5830" t="str">
            <v>22103</v>
          </cell>
          <cell r="E5830" t="str">
            <v>R TEE</v>
          </cell>
          <cell r="F5830">
            <v>2</v>
          </cell>
          <cell r="G5830" t="str">
            <v>CB40040000010T</v>
          </cell>
          <cell r="H5830">
            <v>0.75</v>
          </cell>
          <cell r="I5830" t="str">
            <v>-</v>
          </cell>
          <cell r="J5830">
            <v>1</v>
          </cell>
          <cell r="K5830">
            <v>1</v>
          </cell>
        </row>
        <row r="5831">
          <cell r="A5831" t="str">
            <v>M1</v>
          </cell>
          <cell r="B5831" t="str">
            <v>A5C</v>
          </cell>
          <cell r="C5831" t="str">
            <v>P</v>
          </cell>
          <cell r="D5831" t="str">
            <v>22106</v>
          </cell>
          <cell r="E5831" t="str">
            <v>R TEE</v>
          </cell>
          <cell r="F5831">
            <v>2</v>
          </cell>
          <cell r="G5831" t="str">
            <v>CB40040000010H</v>
          </cell>
          <cell r="H5831">
            <v>0.5</v>
          </cell>
          <cell r="I5831" t="str">
            <v>-</v>
          </cell>
          <cell r="J5831">
            <v>4</v>
          </cell>
          <cell r="K5831">
            <v>4</v>
          </cell>
        </row>
        <row r="5832">
          <cell r="A5832" t="str">
            <v>M1</v>
          </cell>
          <cell r="B5832" t="str">
            <v>A5C</v>
          </cell>
          <cell r="C5832" t="str">
            <v>P</v>
          </cell>
          <cell r="D5832" t="str">
            <v>22106</v>
          </cell>
          <cell r="E5832" t="str">
            <v>R TEE</v>
          </cell>
          <cell r="F5832">
            <v>2</v>
          </cell>
          <cell r="G5832" t="str">
            <v>CB40040000010T</v>
          </cell>
          <cell r="H5832">
            <v>0.75</v>
          </cell>
          <cell r="I5832" t="str">
            <v>-</v>
          </cell>
          <cell r="J5832">
            <v>2</v>
          </cell>
          <cell r="K5832">
            <v>2</v>
          </cell>
        </row>
        <row r="5833">
          <cell r="A5833" t="str">
            <v>M1</v>
          </cell>
          <cell r="B5833" t="str">
            <v>A5C</v>
          </cell>
          <cell r="C5833" t="str">
            <v>TRIM</v>
          </cell>
          <cell r="D5833" t="str">
            <v>V-2206</v>
          </cell>
          <cell r="E5833" t="str">
            <v>R TEE</v>
          </cell>
          <cell r="F5833">
            <v>2</v>
          </cell>
          <cell r="G5833" t="str">
            <v>CB40040000010T</v>
          </cell>
          <cell r="H5833">
            <v>0.75</v>
          </cell>
          <cell r="I5833" t="str">
            <v>-</v>
          </cell>
          <cell r="J5833">
            <v>1</v>
          </cell>
          <cell r="K5833">
            <v>1</v>
          </cell>
        </row>
        <row r="5834">
          <cell r="A5834" t="str">
            <v>M1</v>
          </cell>
          <cell r="B5834" t="str">
            <v>A6C</v>
          </cell>
          <cell r="C5834" t="str">
            <v>HOR</v>
          </cell>
          <cell r="D5834" t="str">
            <v>65612</v>
          </cell>
          <cell r="E5834" t="str">
            <v>R TEE</v>
          </cell>
          <cell r="F5834">
            <v>2</v>
          </cell>
          <cell r="G5834" t="str">
            <v>CB40040000010T</v>
          </cell>
          <cell r="H5834">
            <v>0.75</v>
          </cell>
          <cell r="I5834" t="str">
            <v>-</v>
          </cell>
          <cell r="J5834">
            <v>4</v>
          </cell>
          <cell r="K5834">
            <v>4</v>
          </cell>
        </row>
        <row r="5835">
          <cell r="A5835" t="str">
            <v>M1</v>
          </cell>
          <cell r="B5835" t="str">
            <v>A5C</v>
          </cell>
          <cell r="C5835" t="str">
            <v>TRIM</v>
          </cell>
          <cell r="D5835" t="str">
            <v>V-2208</v>
          </cell>
          <cell r="E5835" t="str">
            <v>C SWG</v>
          </cell>
          <cell r="F5835">
            <v>2</v>
          </cell>
          <cell r="G5835" t="str">
            <v>CB16110808010T</v>
          </cell>
          <cell r="H5835">
            <v>0.75</v>
          </cell>
          <cell r="I5835" t="str">
            <v>-</v>
          </cell>
          <cell r="J5835">
            <v>1</v>
          </cell>
          <cell r="K5835">
            <v>1</v>
          </cell>
        </row>
        <row r="5836">
          <cell r="A5836" t="str">
            <v>M1</v>
          </cell>
          <cell r="B5836" t="str">
            <v>A6C</v>
          </cell>
          <cell r="C5836" t="str">
            <v>HOR</v>
          </cell>
          <cell r="D5836" t="str">
            <v>65622</v>
          </cell>
          <cell r="E5836" t="str">
            <v>C SWG</v>
          </cell>
          <cell r="F5836">
            <v>2</v>
          </cell>
          <cell r="G5836" t="str">
            <v>CB16110808010T</v>
          </cell>
          <cell r="H5836">
            <v>0.75</v>
          </cell>
          <cell r="I5836" t="str">
            <v>-</v>
          </cell>
          <cell r="J5836">
            <v>4</v>
          </cell>
          <cell r="K5836">
            <v>4</v>
          </cell>
        </row>
        <row r="5837">
          <cell r="A5837" t="str">
            <v>M1</v>
          </cell>
          <cell r="B5837" t="str">
            <v>A5C</v>
          </cell>
          <cell r="C5837" t="str">
            <v>TRIM</v>
          </cell>
          <cell r="D5837" t="str">
            <v>V-2209</v>
          </cell>
          <cell r="E5837" t="str">
            <v>C SWG</v>
          </cell>
          <cell r="F5837">
            <v>2</v>
          </cell>
          <cell r="G5837" t="str">
            <v>CB16110808010T</v>
          </cell>
          <cell r="H5837">
            <v>0.75</v>
          </cell>
          <cell r="I5837" t="str">
            <v>-</v>
          </cell>
          <cell r="J5837">
            <v>1</v>
          </cell>
          <cell r="K5837">
            <v>1</v>
          </cell>
        </row>
        <row r="5838">
          <cell r="A5838" t="str">
            <v>M1</v>
          </cell>
          <cell r="B5838" t="str">
            <v>A5C</v>
          </cell>
          <cell r="C5838" t="str">
            <v>P</v>
          </cell>
          <cell r="D5838" t="str">
            <v>22087</v>
          </cell>
          <cell r="E5838" t="str">
            <v>R TEE</v>
          </cell>
          <cell r="F5838">
            <v>2</v>
          </cell>
          <cell r="G5838" t="str">
            <v>CB400400001H01</v>
          </cell>
          <cell r="H5838">
            <v>1</v>
          </cell>
          <cell r="I5838" t="str">
            <v>-</v>
          </cell>
          <cell r="J5838">
            <v>1</v>
          </cell>
          <cell r="K5838">
            <v>1</v>
          </cell>
        </row>
        <row r="5839">
          <cell r="A5839" t="str">
            <v>M1</v>
          </cell>
          <cell r="B5839" t="str">
            <v>A5C</v>
          </cell>
          <cell r="C5839" t="str">
            <v>P</v>
          </cell>
          <cell r="D5839" t="str">
            <v>22040</v>
          </cell>
          <cell r="E5839" t="str">
            <v>C SWG</v>
          </cell>
          <cell r="F5839">
            <v>2</v>
          </cell>
          <cell r="G5839" t="str">
            <v>CB161108081H01</v>
          </cell>
          <cell r="H5839">
            <v>1</v>
          </cell>
          <cell r="I5839" t="str">
            <v>-</v>
          </cell>
          <cell r="J5839">
            <v>1</v>
          </cell>
          <cell r="K5839">
            <v>1</v>
          </cell>
        </row>
        <row r="5840">
          <cell r="A5840" t="str">
            <v>M1</v>
          </cell>
          <cell r="B5840" t="str">
            <v>A5C</v>
          </cell>
          <cell r="C5840" t="str">
            <v>P</v>
          </cell>
          <cell r="D5840" t="str">
            <v>22041</v>
          </cell>
          <cell r="E5840" t="str">
            <v>C SWG</v>
          </cell>
          <cell r="F5840">
            <v>2</v>
          </cell>
          <cell r="G5840" t="str">
            <v>CB161108081H01</v>
          </cell>
          <cell r="H5840">
            <v>1</v>
          </cell>
          <cell r="I5840" t="str">
            <v>-</v>
          </cell>
          <cell r="J5840">
            <v>1</v>
          </cell>
          <cell r="K5840">
            <v>1</v>
          </cell>
        </row>
        <row r="5841">
          <cell r="A5841" t="str">
            <v>M1</v>
          </cell>
          <cell r="B5841" t="str">
            <v>A5C</v>
          </cell>
          <cell r="C5841" t="str">
            <v>P</v>
          </cell>
          <cell r="D5841" t="str">
            <v>22071</v>
          </cell>
          <cell r="E5841" t="str">
            <v>R TEE</v>
          </cell>
          <cell r="F5841">
            <v>2</v>
          </cell>
          <cell r="G5841" t="str">
            <v>CB400400001H0T</v>
          </cell>
          <cell r="H5841">
            <v>0.75</v>
          </cell>
          <cell r="I5841" t="str">
            <v>-</v>
          </cell>
          <cell r="J5841">
            <v>1</v>
          </cell>
          <cell r="K5841">
            <v>1</v>
          </cell>
        </row>
        <row r="5842">
          <cell r="A5842" t="str">
            <v>M1</v>
          </cell>
          <cell r="B5842" t="str">
            <v>A5C</v>
          </cell>
          <cell r="C5842" t="str">
            <v>P</v>
          </cell>
          <cell r="D5842" t="str">
            <v>22071</v>
          </cell>
          <cell r="E5842" t="str">
            <v>R TEE</v>
          </cell>
          <cell r="F5842">
            <v>2</v>
          </cell>
          <cell r="G5842" t="str">
            <v>CB400400001H0T</v>
          </cell>
          <cell r="H5842">
            <v>0.75</v>
          </cell>
          <cell r="I5842" t="str">
            <v>-</v>
          </cell>
          <cell r="J5842">
            <v>4</v>
          </cell>
          <cell r="K5842">
            <v>4</v>
          </cell>
        </row>
        <row r="5843">
          <cell r="A5843" t="str">
            <v>M1</v>
          </cell>
          <cell r="B5843" t="str">
            <v>A5C</v>
          </cell>
          <cell r="C5843" t="str">
            <v>P</v>
          </cell>
          <cell r="D5843" t="str">
            <v>22039</v>
          </cell>
          <cell r="E5843" t="str">
            <v>C SWG</v>
          </cell>
          <cell r="F5843">
            <v>2</v>
          </cell>
          <cell r="G5843" t="str">
            <v>CB161108081H01</v>
          </cell>
          <cell r="H5843">
            <v>1</v>
          </cell>
          <cell r="I5843" t="str">
            <v>-</v>
          </cell>
          <cell r="J5843">
            <v>1</v>
          </cell>
          <cell r="K5843">
            <v>1</v>
          </cell>
        </row>
        <row r="5844">
          <cell r="A5844" t="str">
            <v>M1</v>
          </cell>
          <cell r="B5844" t="str">
            <v>A5C</v>
          </cell>
          <cell r="C5844" t="str">
            <v>P</v>
          </cell>
          <cell r="D5844" t="str">
            <v>22071</v>
          </cell>
          <cell r="E5844" t="str">
            <v>R TEE</v>
          </cell>
          <cell r="F5844">
            <v>2</v>
          </cell>
          <cell r="G5844" t="str">
            <v>CB400400001H0T</v>
          </cell>
          <cell r="H5844">
            <v>0.75</v>
          </cell>
          <cell r="I5844" t="str">
            <v>-</v>
          </cell>
          <cell r="J5844">
            <v>4</v>
          </cell>
          <cell r="K5844">
            <v>4</v>
          </cell>
        </row>
        <row r="5845">
          <cell r="A5845" t="str">
            <v>M1</v>
          </cell>
          <cell r="B5845" t="str">
            <v>A5C</v>
          </cell>
          <cell r="C5845" t="str">
            <v>P</v>
          </cell>
          <cell r="D5845" t="str">
            <v>22102</v>
          </cell>
          <cell r="E5845" t="str">
            <v>R TEE</v>
          </cell>
          <cell r="F5845">
            <v>2</v>
          </cell>
          <cell r="G5845" t="str">
            <v>CB400400001H0T</v>
          </cell>
          <cell r="H5845">
            <v>0.75</v>
          </cell>
          <cell r="I5845" t="str">
            <v>-</v>
          </cell>
          <cell r="J5845">
            <v>5</v>
          </cell>
          <cell r="K5845">
            <v>5</v>
          </cell>
        </row>
        <row r="5846">
          <cell r="A5846" t="str">
            <v>M1</v>
          </cell>
          <cell r="B5846" t="str">
            <v>B2C</v>
          </cell>
          <cell r="C5846" t="str">
            <v>SH</v>
          </cell>
          <cell r="D5846" t="str">
            <v>22614</v>
          </cell>
          <cell r="E5846" t="str">
            <v>SOL</v>
          </cell>
          <cell r="F5846">
            <v>2</v>
          </cell>
          <cell r="G5846" t="str">
            <v>CB390200000201</v>
          </cell>
          <cell r="H5846">
            <v>1</v>
          </cell>
          <cell r="I5846" t="str">
            <v>-</v>
          </cell>
          <cell r="J5846">
            <v>1</v>
          </cell>
          <cell r="K5846">
            <v>2</v>
          </cell>
        </row>
        <row r="5847">
          <cell r="A5847" t="str">
            <v>M1</v>
          </cell>
          <cell r="B5847" t="str">
            <v>A5C</v>
          </cell>
          <cell r="C5847" t="str">
            <v>P</v>
          </cell>
          <cell r="D5847" t="str">
            <v>22104</v>
          </cell>
          <cell r="E5847" t="str">
            <v>R TEE</v>
          </cell>
          <cell r="F5847">
            <v>2</v>
          </cell>
          <cell r="G5847" t="str">
            <v>CB400400001H0T</v>
          </cell>
          <cell r="H5847">
            <v>0.75</v>
          </cell>
          <cell r="I5847" t="str">
            <v>-</v>
          </cell>
          <cell r="J5847">
            <v>1</v>
          </cell>
          <cell r="K5847">
            <v>1</v>
          </cell>
        </row>
        <row r="5848">
          <cell r="A5848" t="str">
            <v>M1</v>
          </cell>
          <cell r="B5848" t="str">
            <v>A5C</v>
          </cell>
          <cell r="C5848" t="str">
            <v>N</v>
          </cell>
          <cell r="D5848" t="str">
            <v>25611</v>
          </cell>
          <cell r="E5848" t="str">
            <v>SOL</v>
          </cell>
          <cell r="F5848">
            <v>2</v>
          </cell>
          <cell r="G5848" t="str">
            <v>CB390200000201</v>
          </cell>
          <cell r="H5848">
            <v>1</v>
          </cell>
          <cell r="I5848" t="str">
            <v>-</v>
          </cell>
          <cell r="J5848">
            <v>1</v>
          </cell>
          <cell r="K5848">
            <v>2</v>
          </cell>
        </row>
        <row r="5849">
          <cell r="A5849" t="str">
            <v>M1</v>
          </cell>
          <cell r="B5849" t="str">
            <v>A5C</v>
          </cell>
          <cell r="C5849" t="str">
            <v>P</v>
          </cell>
          <cell r="D5849" t="str">
            <v>22090</v>
          </cell>
          <cell r="E5849" t="str">
            <v>SOL</v>
          </cell>
          <cell r="F5849">
            <v>2</v>
          </cell>
          <cell r="G5849" t="str">
            <v>CB390200000301</v>
          </cell>
          <cell r="H5849">
            <v>1</v>
          </cell>
          <cell r="I5849" t="str">
            <v>-</v>
          </cell>
          <cell r="J5849">
            <v>1</v>
          </cell>
          <cell r="K5849">
            <v>2</v>
          </cell>
        </row>
        <row r="5850">
          <cell r="A5850" t="str">
            <v>M1</v>
          </cell>
          <cell r="B5850" t="str">
            <v>A5C</v>
          </cell>
          <cell r="C5850" t="str">
            <v>P</v>
          </cell>
          <cell r="D5850" t="str">
            <v>22157</v>
          </cell>
          <cell r="E5850" t="str">
            <v>R TEE</v>
          </cell>
          <cell r="F5850">
            <v>2</v>
          </cell>
          <cell r="G5850" t="str">
            <v>CB400400001H0H</v>
          </cell>
          <cell r="H5850">
            <v>0.5</v>
          </cell>
          <cell r="I5850" t="str">
            <v>-</v>
          </cell>
          <cell r="J5850">
            <v>1</v>
          </cell>
          <cell r="K5850">
            <v>1</v>
          </cell>
        </row>
        <row r="5851">
          <cell r="A5851" t="str">
            <v>M1</v>
          </cell>
          <cell r="B5851" t="str">
            <v>A5C</v>
          </cell>
          <cell r="C5851" t="str">
            <v>P</v>
          </cell>
          <cell r="D5851" t="str">
            <v>22158</v>
          </cell>
          <cell r="E5851" t="str">
            <v>R TEE</v>
          </cell>
          <cell r="F5851">
            <v>2</v>
          </cell>
          <cell r="G5851" t="str">
            <v>CB400400001H0H</v>
          </cell>
          <cell r="H5851">
            <v>0.5</v>
          </cell>
          <cell r="I5851" t="str">
            <v>-</v>
          </cell>
          <cell r="J5851">
            <v>1</v>
          </cell>
          <cell r="K5851">
            <v>1</v>
          </cell>
        </row>
        <row r="5852">
          <cell r="A5852" t="str">
            <v>M1</v>
          </cell>
          <cell r="B5852" t="str">
            <v>A5C</v>
          </cell>
          <cell r="C5852" t="str">
            <v>P</v>
          </cell>
          <cell r="D5852" t="str">
            <v>22078</v>
          </cell>
          <cell r="E5852" t="str">
            <v>R TEE</v>
          </cell>
          <cell r="F5852">
            <v>2</v>
          </cell>
          <cell r="G5852" t="str">
            <v>CB400400001H0T</v>
          </cell>
          <cell r="H5852">
            <v>0.75</v>
          </cell>
          <cell r="I5852" t="str">
            <v>-</v>
          </cell>
          <cell r="J5852">
            <v>1</v>
          </cell>
          <cell r="K5852">
            <v>1</v>
          </cell>
        </row>
        <row r="5853">
          <cell r="A5853" t="str">
            <v>M1</v>
          </cell>
          <cell r="B5853" t="str">
            <v>A5C</v>
          </cell>
          <cell r="C5853" t="str">
            <v>P</v>
          </cell>
          <cell r="D5853" t="str">
            <v>22087</v>
          </cell>
          <cell r="E5853" t="str">
            <v>R TEE</v>
          </cell>
          <cell r="F5853">
            <v>2</v>
          </cell>
          <cell r="G5853" t="str">
            <v>CB400400001H0T</v>
          </cell>
          <cell r="H5853">
            <v>0.75</v>
          </cell>
          <cell r="I5853" t="str">
            <v>-</v>
          </cell>
          <cell r="J5853">
            <v>1</v>
          </cell>
          <cell r="K5853">
            <v>1</v>
          </cell>
        </row>
        <row r="5854">
          <cell r="A5854" t="str">
            <v>M1</v>
          </cell>
          <cell r="B5854" t="str">
            <v>A5C</v>
          </cell>
          <cell r="C5854" t="str">
            <v>P</v>
          </cell>
          <cell r="D5854" t="str">
            <v>22091</v>
          </cell>
          <cell r="E5854" t="str">
            <v>SOL</v>
          </cell>
          <cell r="F5854">
            <v>2</v>
          </cell>
          <cell r="G5854" t="str">
            <v>CB390200000301</v>
          </cell>
          <cell r="H5854">
            <v>1</v>
          </cell>
          <cell r="I5854" t="str">
            <v>-</v>
          </cell>
          <cell r="J5854">
            <v>1</v>
          </cell>
          <cell r="K5854">
            <v>2</v>
          </cell>
        </row>
        <row r="5855">
          <cell r="A5855" t="str">
            <v>M1</v>
          </cell>
          <cell r="B5855" t="str">
            <v>A5C</v>
          </cell>
          <cell r="C5855" t="str">
            <v>P</v>
          </cell>
          <cell r="D5855" t="str">
            <v>22092</v>
          </cell>
          <cell r="E5855" t="str">
            <v>SOL</v>
          </cell>
          <cell r="F5855">
            <v>2</v>
          </cell>
          <cell r="G5855" t="str">
            <v>CB390200000301</v>
          </cell>
          <cell r="H5855">
            <v>1</v>
          </cell>
          <cell r="I5855" t="str">
            <v>-</v>
          </cell>
          <cell r="J5855">
            <v>1</v>
          </cell>
          <cell r="K5855">
            <v>2</v>
          </cell>
        </row>
        <row r="5856">
          <cell r="A5856" t="str">
            <v>M1</v>
          </cell>
          <cell r="B5856" t="str">
            <v>A5C</v>
          </cell>
          <cell r="C5856" t="str">
            <v>P</v>
          </cell>
          <cell r="D5856" t="str">
            <v>22102</v>
          </cell>
          <cell r="E5856" t="str">
            <v>R TEE</v>
          </cell>
          <cell r="F5856">
            <v>2</v>
          </cell>
          <cell r="G5856" t="str">
            <v>CB400400001H0T</v>
          </cell>
          <cell r="H5856">
            <v>0.75</v>
          </cell>
          <cell r="I5856" t="str">
            <v>-</v>
          </cell>
          <cell r="J5856">
            <v>2</v>
          </cell>
          <cell r="K5856">
            <v>2</v>
          </cell>
        </row>
        <row r="5857">
          <cell r="A5857" t="str">
            <v>M1</v>
          </cell>
          <cell r="B5857" t="str">
            <v>A5C</v>
          </cell>
          <cell r="C5857" t="str">
            <v>P</v>
          </cell>
          <cell r="D5857" t="str">
            <v>22113</v>
          </cell>
          <cell r="E5857" t="str">
            <v>R TEE</v>
          </cell>
          <cell r="F5857">
            <v>2</v>
          </cell>
          <cell r="G5857" t="str">
            <v>CB400400001H0T</v>
          </cell>
          <cell r="H5857">
            <v>0.75</v>
          </cell>
          <cell r="I5857" t="str">
            <v>-</v>
          </cell>
          <cell r="J5857">
            <v>1</v>
          </cell>
          <cell r="K5857">
            <v>1</v>
          </cell>
        </row>
        <row r="5858">
          <cell r="A5858" t="str">
            <v>M1</v>
          </cell>
          <cell r="B5858" t="str">
            <v>A5C</v>
          </cell>
          <cell r="C5858" t="str">
            <v>P</v>
          </cell>
          <cell r="D5858" t="str">
            <v>22114</v>
          </cell>
          <cell r="E5858" t="str">
            <v>R TEE</v>
          </cell>
          <cell r="F5858">
            <v>2</v>
          </cell>
          <cell r="G5858" t="str">
            <v>CB400400001H0T</v>
          </cell>
          <cell r="H5858">
            <v>0.75</v>
          </cell>
          <cell r="I5858" t="str">
            <v>-</v>
          </cell>
          <cell r="J5858">
            <v>1</v>
          </cell>
          <cell r="K5858">
            <v>1</v>
          </cell>
        </row>
        <row r="5859">
          <cell r="A5859" t="str">
            <v>M1</v>
          </cell>
          <cell r="B5859" t="str">
            <v>A5C</v>
          </cell>
          <cell r="C5859" t="str">
            <v>P</v>
          </cell>
          <cell r="D5859" t="str">
            <v>22093</v>
          </cell>
          <cell r="E5859" t="str">
            <v>SOL</v>
          </cell>
          <cell r="F5859">
            <v>2</v>
          </cell>
          <cell r="G5859" t="str">
            <v>CB390200000301</v>
          </cell>
          <cell r="H5859">
            <v>1</v>
          </cell>
          <cell r="I5859" t="str">
            <v>-</v>
          </cell>
          <cell r="J5859">
            <v>1</v>
          </cell>
          <cell r="K5859">
            <v>2</v>
          </cell>
        </row>
        <row r="5860">
          <cell r="A5860" t="str">
            <v>M1</v>
          </cell>
          <cell r="B5860" t="str">
            <v>A5C</v>
          </cell>
          <cell r="C5860" t="str">
            <v>P</v>
          </cell>
          <cell r="D5860" t="str">
            <v>22003</v>
          </cell>
          <cell r="E5860" t="str">
            <v>SOL</v>
          </cell>
          <cell r="F5860">
            <v>2</v>
          </cell>
          <cell r="G5860" t="str">
            <v>CB390200000301</v>
          </cell>
          <cell r="H5860">
            <v>1</v>
          </cell>
          <cell r="I5860" t="str">
            <v>-</v>
          </cell>
          <cell r="J5860">
            <v>1</v>
          </cell>
          <cell r="K5860">
            <v>2</v>
          </cell>
        </row>
        <row r="5861">
          <cell r="A5861" t="str">
            <v>M1</v>
          </cell>
          <cell r="B5861" t="str">
            <v>A5C</v>
          </cell>
          <cell r="C5861" t="str">
            <v>P</v>
          </cell>
          <cell r="D5861" t="str">
            <v>22001</v>
          </cell>
          <cell r="E5861" t="str">
            <v>SOL</v>
          </cell>
          <cell r="F5861">
            <v>2</v>
          </cell>
          <cell r="G5861" t="str">
            <v>CB390200000301</v>
          </cell>
          <cell r="H5861">
            <v>1</v>
          </cell>
          <cell r="I5861" t="str">
            <v>-</v>
          </cell>
          <cell r="J5861">
            <v>1</v>
          </cell>
          <cell r="K5861">
            <v>2</v>
          </cell>
        </row>
        <row r="5862">
          <cell r="A5862" t="str">
            <v>M1</v>
          </cell>
          <cell r="B5862" t="str">
            <v>A5C</v>
          </cell>
          <cell r="C5862" t="str">
            <v>P</v>
          </cell>
          <cell r="D5862" t="str">
            <v>22069</v>
          </cell>
          <cell r="E5862" t="str">
            <v>SOL</v>
          </cell>
          <cell r="F5862">
            <v>2</v>
          </cell>
          <cell r="G5862" t="str">
            <v>CB390200000401</v>
          </cell>
          <cell r="H5862">
            <v>1</v>
          </cell>
          <cell r="I5862" t="str">
            <v>-</v>
          </cell>
          <cell r="J5862">
            <v>1</v>
          </cell>
          <cell r="K5862">
            <v>2</v>
          </cell>
        </row>
        <row r="5863">
          <cell r="A5863" t="str">
            <v>M1</v>
          </cell>
          <cell r="B5863" t="str">
            <v>A5C</v>
          </cell>
          <cell r="C5863" t="str">
            <v>P</v>
          </cell>
          <cell r="D5863" t="str">
            <v>22039</v>
          </cell>
          <cell r="E5863" t="str">
            <v>R TEE</v>
          </cell>
          <cell r="F5863">
            <v>2</v>
          </cell>
          <cell r="G5863" t="str">
            <v>CB400400001H0H</v>
          </cell>
          <cell r="H5863">
            <v>0.5</v>
          </cell>
          <cell r="I5863" t="str">
            <v>-</v>
          </cell>
          <cell r="J5863">
            <v>1</v>
          </cell>
          <cell r="K5863">
            <v>1</v>
          </cell>
        </row>
        <row r="5864">
          <cell r="A5864" t="str">
            <v>M1</v>
          </cell>
          <cell r="B5864" t="str">
            <v>A5C</v>
          </cell>
          <cell r="C5864" t="str">
            <v>P</v>
          </cell>
          <cell r="D5864" t="str">
            <v>22041</v>
          </cell>
          <cell r="E5864" t="str">
            <v>R TEE</v>
          </cell>
          <cell r="F5864">
            <v>2</v>
          </cell>
          <cell r="G5864" t="str">
            <v>CB400400001H0H</v>
          </cell>
          <cell r="H5864">
            <v>0.5</v>
          </cell>
          <cell r="I5864" t="str">
            <v>-</v>
          </cell>
          <cell r="J5864">
            <v>1</v>
          </cell>
          <cell r="K5864">
            <v>1</v>
          </cell>
        </row>
        <row r="5865">
          <cell r="A5865" t="str">
            <v>M1</v>
          </cell>
          <cell r="B5865" t="str">
            <v>A6C</v>
          </cell>
          <cell r="C5865" t="str">
            <v>HOR</v>
          </cell>
          <cell r="D5865" t="str">
            <v>65612</v>
          </cell>
          <cell r="E5865" t="str">
            <v>R TEE</v>
          </cell>
          <cell r="F5865">
            <v>2</v>
          </cell>
          <cell r="G5865" t="str">
            <v>CB400400001H0T</v>
          </cell>
          <cell r="H5865">
            <v>0.75</v>
          </cell>
          <cell r="I5865" t="str">
            <v>-</v>
          </cell>
          <cell r="J5865">
            <v>2</v>
          </cell>
          <cell r="K5865">
            <v>2</v>
          </cell>
        </row>
        <row r="5866">
          <cell r="A5866" t="str">
            <v>M1</v>
          </cell>
          <cell r="B5866" t="str">
            <v>A6C</v>
          </cell>
          <cell r="C5866" t="str">
            <v>HOS</v>
          </cell>
          <cell r="D5866" t="str">
            <v>65624</v>
          </cell>
          <cell r="E5866" t="str">
            <v>SOL</v>
          </cell>
          <cell r="F5866">
            <v>2</v>
          </cell>
          <cell r="G5866" t="str">
            <v>CB390200000801</v>
          </cell>
          <cell r="H5866">
            <v>1</v>
          </cell>
          <cell r="I5866" t="str">
            <v>-</v>
          </cell>
          <cell r="J5866">
            <v>1</v>
          </cell>
          <cell r="K5866">
            <v>2</v>
          </cell>
        </row>
        <row r="5867">
          <cell r="A5867" t="str">
            <v>M1</v>
          </cell>
          <cell r="B5867" t="str">
            <v>A5C</v>
          </cell>
          <cell r="C5867" t="str">
            <v>P</v>
          </cell>
          <cell r="D5867" t="str">
            <v>22040</v>
          </cell>
          <cell r="E5867" t="str">
            <v>R TEE</v>
          </cell>
          <cell r="F5867">
            <v>2</v>
          </cell>
          <cell r="G5867" t="str">
            <v>CB400400001H0H</v>
          </cell>
          <cell r="H5867">
            <v>0.5</v>
          </cell>
          <cell r="I5867" t="str">
            <v>-</v>
          </cell>
          <cell r="J5867">
            <v>1</v>
          </cell>
          <cell r="K5867">
            <v>1</v>
          </cell>
        </row>
        <row r="5868">
          <cell r="A5868" t="str">
            <v>M1</v>
          </cell>
          <cell r="B5868" t="str">
            <v>A6C</v>
          </cell>
          <cell r="C5868" t="str">
            <v>HOS</v>
          </cell>
          <cell r="D5868" t="str">
            <v>65633</v>
          </cell>
          <cell r="E5868" t="str">
            <v>C SWG</v>
          </cell>
          <cell r="F5868">
            <v>2</v>
          </cell>
          <cell r="G5868" t="str">
            <v>CB161108081H0T</v>
          </cell>
          <cell r="H5868">
            <v>0.75</v>
          </cell>
          <cell r="I5868" t="str">
            <v>-</v>
          </cell>
          <cell r="J5868">
            <v>1</v>
          </cell>
          <cell r="K5868">
            <v>1</v>
          </cell>
        </row>
        <row r="5869">
          <cell r="A5869" t="str">
            <v>M1</v>
          </cell>
          <cell r="B5869" t="str">
            <v>A6C</v>
          </cell>
          <cell r="C5869" t="str">
            <v>HOS</v>
          </cell>
          <cell r="D5869" t="str">
            <v>65625</v>
          </cell>
          <cell r="E5869" t="str">
            <v>SOL</v>
          </cell>
          <cell r="F5869">
            <v>2</v>
          </cell>
          <cell r="G5869" t="str">
            <v>CB390200000801</v>
          </cell>
          <cell r="H5869">
            <v>1</v>
          </cell>
          <cell r="I5869" t="str">
            <v>-</v>
          </cell>
          <cell r="J5869">
            <v>1</v>
          </cell>
          <cell r="K5869">
            <v>2</v>
          </cell>
        </row>
        <row r="5870">
          <cell r="A5870" t="str">
            <v>M1</v>
          </cell>
          <cell r="B5870" t="str">
            <v>A6C</v>
          </cell>
          <cell r="C5870" t="str">
            <v>HOS</v>
          </cell>
          <cell r="D5870" t="str">
            <v>65633</v>
          </cell>
          <cell r="E5870" t="str">
            <v>R TEE</v>
          </cell>
          <cell r="F5870">
            <v>2</v>
          </cell>
          <cell r="G5870" t="str">
            <v>CB400400001H0T</v>
          </cell>
          <cell r="H5870">
            <v>0.75</v>
          </cell>
          <cell r="I5870" t="str">
            <v>-</v>
          </cell>
          <cell r="J5870">
            <v>1</v>
          </cell>
          <cell r="K5870">
            <v>1</v>
          </cell>
        </row>
        <row r="5871">
          <cell r="A5871" t="str">
            <v>M1</v>
          </cell>
          <cell r="B5871" t="str">
            <v>A5C</v>
          </cell>
          <cell r="C5871" t="str">
            <v>P</v>
          </cell>
          <cell r="D5871" t="str">
            <v>22002</v>
          </cell>
          <cell r="E5871" t="str">
            <v>R TEE</v>
          </cell>
          <cell r="F5871">
            <v>2</v>
          </cell>
          <cell r="G5871" t="str">
            <v>CB400400001H0T</v>
          </cell>
          <cell r="H5871">
            <v>0.75</v>
          </cell>
          <cell r="I5871" t="str">
            <v>-</v>
          </cell>
          <cell r="J5871">
            <v>2</v>
          </cell>
          <cell r="K5871">
            <v>2</v>
          </cell>
        </row>
        <row r="5872">
          <cell r="A5872" t="str">
            <v>M1</v>
          </cell>
          <cell r="B5872" t="str">
            <v>A5C</v>
          </cell>
          <cell r="C5872" t="str">
            <v>P</v>
          </cell>
          <cell r="D5872" t="str">
            <v>22111</v>
          </cell>
          <cell r="E5872" t="str">
            <v>R TEE</v>
          </cell>
          <cell r="F5872">
            <v>2</v>
          </cell>
          <cell r="G5872" t="str">
            <v>CB400400001H0T</v>
          </cell>
          <cell r="H5872">
            <v>0.75</v>
          </cell>
          <cell r="I5872" t="str">
            <v>-</v>
          </cell>
          <cell r="J5872">
            <v>6</v>
          </cell>
          <cell r="K5872">
            <v>6</v>
          </cell>
        </row>
        <row r="5873">
          <cell r="A5873" t="str">
            <v>M1</v>
          </cell>
          <cell r="B5873" t="str">
            <v>A4C</v>
          </cell>
          <cell r="C5873" t="str">
            <v>P</v>
          </cell>
          <cell r="D5873" t="str">
            <v>22031</v>
          </cell>
          <cell r="E5873" t="str">
            <v>C SWG</v>
          </cell>
          <cell r="F5873">
            <v>2</v>
          </cell>
          <cell r="G5873" t="str">
            <v>CB161108081H0H</v>
          </cell>
          <cell r="H5873">
            <v>0.5</v>
          </cell>
          <cell r="I5873" t="str">
            <v>-</v>
          </cell>
          <cell r="J5873">
            <v>6</v>
          </cell>
          <cell r="K5873">
            <v>6</v>
          </cell>
        </row>
        <row r="5874">
          <cell r="A5874" t="str">
            <v>M1</v>
          </cell>
          <cell r="B5874" t="str">
            <v>A4C</v>
          </cell>
          <cell r="C5874" t="str">
            <v>P</v>
          </cell>
          <cell r="D5874" t="str">
            <v>22031</v>
          </cell>
          <cell r="E5874" t="str">
            <v>R TEE</v>
          </cell>
          <cell r="F5874">
            <v>2</v>
          </cell>
          <cell r="G5874" t="str">
            <v>CB400400001H0T</v>
          </cell>
          <cell r="H5874">
            <v>0.75</v>
          </cell>
          <cell r="I5874" t="str">
            <v>-</v>
          </cell>
          <cell r="J5874">
            <v>1</v>
          </cell>
          <cell r="K5874">
            <v>1</v>
          </cell>
        </row>
        <row r="5875">
          <cell r="A5875" t="str">
            <v>M1</v>
          </cell>
          <cell r="B5875" t="str">
            <v>B2C</v>
          </cell>
          <cell r="C5875" t="str">
            <v>SH</v>
          </cell>
          <cell r="D5875" t="str">
            <v>22614</v>
          </cell>
          <cell r="E5875" t="str">
            <v>E SWG</v>
          </cell>
          <cell r="F5875">
            <v>2</v>
          </cell>
          <cell r="G5875" t="str">
            <v>CB1624080802IH</v>
          </cell>
          <cell r="H5875">
            <v>1.5</v>
          </cell>
          <cell r="I5875" t="str">
            <v>-</v>
          </cell>
          <cell r="J5875">
            <v>2</v>
          </cell>
          <cell r="K5875">
            <v>3</v>
          </cell>
        </row>
        <row r="5876">
          <cell r="A5876" t="str">
            <v>M1</v>
          </cell>
          <cell r="B5876" t="str">
            <v>A6C</v>
          </cell>
          <cell r="C5876" t="str">
            <v>HOS</v>
          </cell>
          <cell r="D5876" t="str">
            <v>65613</v>
          </cell>
          <cell r="E5876" t="str">
            <v>SOL</v>
          </cell>
          <cell r="F5876">
            <v>2</v>
          </cell>
          <cell r="G5876" t="str">
            <v>CB390200000801</v>
          </cell>
          <cell r="H5876">
            <v>1</v>
          </cell>
          <cell r="I5876" t="str">
            <v>-</v>
          </cell>
          <cell r="J5876">
            <v>1</v>
          </cell>
          <cell r="K5876">
            <v>2</v>
          </cell>
        </row>
        <row r="5877">
          <cell r="A5877" t="str">
            <v>M1</v>
          </cell>
          <cell r="B5877" t="str">
            <v>B2C</v>
          </cell>
          <cell r="C5877" t="str">
            <v>SH</v>
          </cell>
          <cell r="D5877" t="str">
            <v>22613</v>
          </cell>
          <cell r="E5877" t="str">
            <v>E SWG</v>
          </cell>
          <cell r="F5877">
            <v>2</v>
          </cell>
          <cell r="G5877" t="str">
            <v>CB1624080802IH</v>
          </cell>
          <cell r="H5877">
            <v>1.5</v>
          </cell>
          <cell r="I5877" t="str">
            <v>-</v>
          </cell>
          <cell r="J5877">
            <v>2</v>
          </cell>
          <cell r="K5877">
            <v>3</v>
          </cell>
        </row>
        <row r="5878">
          <cell r="A5878" t="str">
            <v>M1</v>
          </cell>
          <cell r="B5878" t="str">
            <v>B2C</v>
          </cell>
          <cell r="C5878" t="str">
            <v>SH</v>
          </cell>
          <cell r="D5878" t="str">
            <v>22612</v>
          </cell>
          <cell r="E5878" t="str">
            <v>SOL</v>
          </cell>
          <cell r="F5878">
            <v>2</v>
          </cell>
          <cell r="G5878" t="str">
            <v>CB39020000020T</v>
          </cell>
          <cell r="H5878">
            <v>0.75</v>
          </cell>
          <cell r="I5878" t="str">
            <v>-</v>
          </cell>
          <cell r="J5878">
            <v>2</v>
          </cell>
          <cell r="K5878">
            <v>3</v>
          </cell>
        </row>
        <row r="5879">
          <cell r="A5879" t="str">
            <v>M1</v>
          </cell>
          <cell r="B5879" t="str">
            <v>B2C</v>
          </cell>
          <cell r="C5879" t="str">
            <v>SH</v>
          </cell>
          <cell r="D5879" t="str">
            <v>22611</v>
          </cell>
          <cell r="E5879" t="str">
            <v>SOL</v>
          </cell>
          <cell r="F5879">
            <v>2</v>
          </cell>
          <cell r="G5879" t="str">
            <v>CB39020000020T</v>
          </cell>
          <cell r="H5879">
            <v>0.75</v>
          </cell>
          <cell r="I5879" t="str">
            <v>-</v>
          </cell>
          <cell r="J5879">
            <v>1</v>
          </cell>
          <cell r="K5879">
            <v>2</v>
          </cell>
        </row>
        <row r="5880">
          <cell r="A5880" t="str">
            <v>M1</v>
          </cell>
          <cell r="B5880" t="str">
            <v>B2C</v>
          </cell>
          <cell r="C5880" t="str">
            <v>SH</v>
          </cell>
          <cell r="D5880" t="str">
            <v>22614</v>
          </cell>
          <cell r="E5880" t="str">
            <v>SOL</v>
          </cell>
          <cell r="F5880">
            <v>2</v>
          </cell>
          <cell r="G5880" t="str">
            <v>CB39020000020T</v>
          </cell>
          <cell r="H5880">
            <v>0.75</v>
          </cell>
          <cell r="I5880" t="str">
            <v>-</v>
          </cell>
          <cell r="J5880">
            <v>2</v>
          </cell>
          <cell r="K5880">
            <v>3</v>
          </cell>
        </row>
        <row r="5881">
          <cell r="A5881" t="str">
            <v>M1</v>
          </cell>
          <cell r="B5881" t="str">
            <v>A6C</v>
          </cell>
          <cell r="C5881" t="str">
            <v>HOS</v>
          </cell>
          <cell r="D5881" t="str">
            <v>65613</v>
          </cell>
          <cell r="E5881" t="str">
            <v>SOL</v>
          </cell>
          <cell r="F5881">
            <v>2</v>
          </cell>
          <cell r="G5881" t="str">
            <v>CB390200000801</v>
          </cell>
          <cell r="H5881">
            <v>1</v>
          </cell>
          <cell r="I5881" t="str">
            <v>-</v>
          </cell>
          <cell r="J5881">
            <v>1</v>
          </cell>
          <cell r="K5881">
            <v>2</v>
          </cell>
        </row>
        <row r="5882">
          <cell r="A5882" t="str">
            <v>M1</v>
          </cell>
          <cell r="B5882" t="str">
            <v>B2C</v>
          </cell>
          <cell r="C5882" t="str">
            <v>SH</v>
          </cell>
          <cell r="D5882" t="str">
            <v>22613</v>
          </cell>
          <cell r="E5882" t="str">
            <v>SOL</v>
          </cell>
          <cell r="F5882">
            <v>2</v>
          </cell>
          <cell r="G5882" t="str">
            <v>CB39020000020T</v>
          </cell>
          <cell r="H5882">
            <v>0.75</v>
          </cell>
          <cell r="I5882" t="str">
            <v>-</v>
          </cell>
          <cell r="J5882">
            <v>2</v>
          </cell>
          <cell r="K5882">
            <v>3</v>
          </cell>
        </row>
        <row r="5883">
          <cell r="A5883" t="str">
            <v>M1</v>
          </cell>
          <cell r="B5883" t="str">
            <v>A5C</v>
          </cell>
          <cell r="C5883" t="str">
            <v>P</v>
          </cell>
          <cell r="D5883" t="str">
            <v>22117</v>
          </cell>
          <cell r="E5883" t="str">
            <v>C SWG</v>
          </cell>
          <cell r="F5883">
            <v>2</v>
          </cell>
          <cell r="G5883" t="str">
            <v>CB1614080802IH</v>
          </cell>
          <cell r="H5883">
            <v>1.5</v>
          </cell>
          <cell r="I5883" t="str">
            <v>-</v>
          </cell>
          <cell r="J5883">
            <v>1</v>
          </cell>
          <cell r="K5883">
            <v>2</v>
          </cell>
        </row>
        <row r="5884">
          <cell r="A5884" t="str">
            <v>M1</v>
          </cell>
          <cell r="B5884" t="str">
            <v>B2C</v>
          </cell>
          <cell r="C5884" t="str">
            <v>SH</v>
          </cell>
          <cell r="D5884" t="str">
            <v>22611</v>
          </cell>
          <cell r="E5884" t="str">
            <v>E SWG</v>
          </cell>
          <cell r="F5884">
            <v>2</v>
          </cell>
          <cell r="G5884" t="str">
            <v>CB162408080201</v>
          </cell>
          <cell r="H5884">
            <v>1</v>
          </cell>
          <cell r="I5884" t="str">
            <v>-</v>
          </cell>
          <cell r="J5884">
            <v>2</v>
          </cell>
          <cell r="K5884">
            <v>3</v>
          </cell>
        </row>
        <row r="5885">
          <cell r="A5885" t="str">
            <v>M1</v>
          </cell>
          <cell r="B5885" t="str">
            <v>A5C</v>
          </cell>
          <cell r="C5885" t="str">
            <v>P</v>
          </cell>
          <cell r="D5885" t="str">
            <v>22130</v>
          </cell>
          <cell r="E5885" t="str">
            <v>C SWG</v>
          </cell>
          <cell r="F5885">
            <v>2</v>
          </cell>
          <cell r="G5885" t="str">
            <v>CB161408080201</v>
          </cell>
          <cell r="H5885">
            <v>1</v>
          </cell>
          <cell r="I5885" t="str">
            <v>-</v>
          </cell>
          <cell r="J5885">
            <v>2</v>
          </cell>
          <cell r="K5885">
            <v>3</v>
          </cell>
        </row>
        <row r="5886">
          <cell r="A5886" t="str">
            <v>M1</v>
          </cell>
          <cell r="B5886" t="str">
            <v>A5C</v>
          </cell>
          <cell r="C5886" t="str">
            <v>P</v>
          </cell>
          <cell r="D5886" t="str">
            <v>22140</v>
          </cell>
          <cell r="E5886" t="str">
            <v>C SWG</v>
          </cell>
          <cell r="F5886">
            <v>2</v>
          </cell>
          <cell r="G5886" t="str">
            <v>CB161408080201</v>
          </cell>
          <cell r="H5886">
            <v>1</v>
          </cell>
          <cell r="I5886" t="str">
            <v>-</v>
          </cell>
          <cell r="J5886">
            <v>2</v>
          </cell>
          <cell r="K5886">
            <v>3</v>
          </cell>
        </row>
        <row r="5887">
          <cell r="A5887" t="str">
            <v>M1</v>
          </cell>
          <cell r="B5887" t="str">
            <v>A5C</v>
          </cell>
          <cell r="C5887" t="str">
            <v>P</v>
          </cell>
          <cell r="D5887" t="str">
            <v>22101</v>
          </cell>
          <cell r="E5887" t="str">
            <v>E SWG</v>
          </cell>
          <cell r="F5887">
            <v>2</v>
          </cell>
          <cell r="G5887" t="str">
            <v>CB1624080802IH</v>
          </cell>
          <cell r="H5887">
            <v>1.5</v>
          </cell>
          <cell r="I5887" t="str">
            <v>-</v>
          </cell>
          <cell r="J5887">
            <v>1</v>
          </cell>
          <cell r="K5887">
            <v>2</v>
          </cell>
        </row>
        <row r="5888">
          <cell r="A5888" t="str">
            <v>M1</v>
          </cell>
          <cell r="B5888" t="str">
            <v>A5C</v>
          </cell>
          <cell r="C5888" t="str">
            <v>P</v>
          </cell>
          <cell r="D5888" t="str">
            <v>22109</v>
          </cell>
          <cell r="E5888" t="str">
            <v>E SWG</v>
          </cell>
          <cell r="F5888">
            <v>2</v>
          </cell>
          <cell r="G5888" t="str">
            <v>CB1624080802IH</v>
          </cell>
          <cell r="H5888">
            <v>1.5</v>
          </cell>
          <cell r="I5888" t="str">
            <v>-</v>
          </cell>
          <cell r="J5888">
            <v>2</v>
          </cell>
          <cell r="K5888">
            <v>3</v>
          </cell>
        </row>
        <row r="5889">
          <cell r="A5889" t="str">
            <v>M1</v>
          </cell>
          <cell r="B5889" t="str">
            <v>A5C</v>
          </cell>
          <cell r="C5889" t="str">
            <v>P</v>
          </cell>
          <cell r="D5889" t="str">
            <v>22066</v>
          </cell>
          <cell r="E5889" t="str">
            <v>E SWG</v>
          </cell>
          <cell r="F5889">
            <v>2</v>
          </cell>
          <cell r="G5889" t="str">
            <v>CB162408080201</v>
          </cell>
          <cell r="H5889">
            <v>1</v>
          </cell>
          <cell r="I5889" t="str">
            <v>-</v>
          </cell>
          <cell r="J5889">
            <v>2</v>
          </cell>
          <cell r="K5889">
            <v>3</v>
          </cell>
        </row>
        <row r="5890">
          <cell r="A5890" t="str">
            <v>M1</v>
          </cell>
          <cell r="B5890" t="str">
            <v>A5C</v>
          </cell>
          <cell r="C5890" t="str">
            <v>N</v>
          </cell>
          <cell r="D5890" t="str">
            <v>25611</v>
          </cell>
          <cell r="E5890" t="str">
            <v>SOL</v>
          </cell>
          <cell r="F5890">
            <v>2</v>
          </cell>
          <cell r="G5890" t="str">
            <v>CB39020000020T</v>
          </cell>
          <cell r="H5890">
            <v>0.75</v>
          </cell>
          <cell r="I5890" t="str">
            <v>-</v>
          </cell>
          <cell r="J5890">
            <v>2</v>
          </cell>
          <cell r="K5890">
            <v>3</v>
          </cell>
        </row>
        <row r="5891">
          <cell r="A5891" t="str">
            <v>M1</v>
          </cell>
          <cell r="B5891" t="str">
            <v>A5C</v>
          </cell>
          <cell r="C5891" t="str">
            <v>P</v>
          </cell>
          <cell r="D5891" t="str">
            <v>22068</v>
          </cell>
          <cell r="E5891" t="str">
            <v>SOL</v>
          </cell>
          <cell r="F5891">
            <v>2</v>
          </cell>
          <cell r="G5891" t="str">
            <v>CB39020000020T</v>
          </cell>
          <cell r="H5891">
            <v>0.75</v>
          </cell>
          <cell r="I5891" t="str">
            <v>-</v>
          </cell>
          <cell r="J5891">
            <v>2</v>
          </cell>
          <cell r="K5891">
            <v>3</v>
          </cell>
        </row>
        <row r="5892">
          <cell r="A5892" t="str">
            <v>M1</v>
          </cell>
          <cell r="B5892" t="str">
            <v>A5C</v>
          </cell>
          <cell r="C5892" t="str">
            <v>P</v>
          </cell>
          <cell r="D5892" t="str">
            <v>22140</v>
          </cell>
          <cell r="E5892" t="str">
            <v>SOL</v>
          </cell>
          <cell r="F5892">
            <v>2</v>
          </cell>
          <cell r="G5892" t="str">
            <v>CB39020000020T</v>
          </cell>
          <cell r="H5892">
            <v>0.75</v>
          </cell>
          <cell r="I5892" t="str">
            <v>-</v>
          </cell>
          <cell r="J5892">
            <v>2</v>
          </cell>
          <cell r="K5892">
            <v>3</v>
          </cell>
        </row>
        <row r="5893">
          <cell r="A5893" t="str">
            <v>M1</v>
          </cell>
          <cell r="B5893" t="str">
            <v>A5C</v>
          </cell>
          <cell r="C5893" t="str">
            <v>P</v>
          </cell>
          <cell r="D5893" t="str">
            <v>22130</v>
          </cell>
          <cell r="E5893" t="str">
            <v>SOL</v>
          </cell>
          <cell r="F5893">
            <v>2</v>
          </cell>
          <cell r="G5893" t="str">
            <v>CB39020000020T</v>
          </cell>
          <cell r="H5893">
            <v>0.75</v>
          </cell>
          <cell r="I5893" t="str">
            <v>-</v>
          </cell>
          <cell r="J5893">
            <v>2</v>
          </cell>
          <cell r="K5893">
            <v>3</v>
          </cell>
        </row>
        <row r="5894">
          <cell r="A5894" t="str">
            <v>M1</v>
          </cell>
          <cell r="B5894" t="str">
            <v>A5C</v>
          </cell>
          <cell r="C5894" t="str">
            <v>P</v>
          </cell>
          <cell r="D5894" t="str">
            <v>22100</v>
          </cell>
          <cell r="E5894" t="str">
            <v>C SWG</v>
          </cell>
          <cell r="F5894">
            <v>2</v>
          </cell>
          <cell r="G5894" t="str">
            <v>CB1614080802IH</v>
          </cell>
          <cell r="H5894">
            <v>1.5</v>
          </cell>
          <cell r="I5894" t="str">
            <v>-</v>
          </cell>
          <cell r="J5894">
            <v>2</v>
          </cell>
          <cell r="K5894">
            <v>3</v>
          </cell>
        </row>
        <row r="5895">
          <cell r="A5895" t="str">
            <v>M1</v>
          </cell>
          <cell r="B5895" t="str">
            <v>A5C</v>
          </cell>
          <cell r="C5895" t="str">
            <v>P</v>
          </cell>
          <cell r="D5895" t="str">
            <v>22100</v>
          </cell>
          <cell r="E5895" t="str">
            <v>SOL</v>
          </cell>
          <cell r="F5895">
            <v>2</v>
          </cell>
          <cell r="G5895" t="str">
            <v>CB39020000020T</v>
          </cell>
          <cell r="H5895">
            <v>0.75</v>
          </cell>
          <cell r="I5895" t="str">
            <v>-</v>
          </cell>
          <cell r="J5895">
            <v>2</v>
          </cell>
          <cell r="K5895">
            <v>3</v>
          </cell>
        </row>
        <row r="5896">
          <cell r="A5896" t="str">
            <v>M1</v>
          </cell>
          <cell r="B5896" t="str">
            <v>A5C</v>
          </cell>
          <cell r="C5896" t="str">
            <v>P</v>
          </cell>
          <cell r="D5896" t="str">
            <v>22034</v>
          </cell>
          <cell r="E5896" t="str">
            <v>SOL</v>
          </cell>
          <cell r="F5896">
            <v>2</v>
          </cell>
          <cell r="G5896" t="str">
            <v>CB3902000006010601</v>
          </cell>
          <cell r="H5896">
            <v>1</v>
          </cell>
          <cell r="I5896" t="str">
            <v>-</v>
          </cell>
          <cell r="J5896">
            <v>2</v>
          </cell>
          <cell r="K5896">
            <v>3</v>
          </cell>
        </row>
        <row r="5897">
          <cell r="A5897" t="str">
            <v>M1</v>
          </cell>
          <cell r="B5897" t="str">
            <v>A5C</v>
          </cell>
          <cell r="C5897" t="str">
            <v>P</v>
          </cell>
          <cell r="D5897" t="str">
            <v>22004</v>
          </cell>
          <cell r="E5897" t="str">
            <v>SOL</v>
          </cell>
          <cell r="F5897">
            <v>2</v>
          </cell>
          <cell r="G5897" t="str">
            <v>CB39020000020T</v>
          </cell>
          <cell r="H5897">
            <v>0.75</v>
          </cell>
          <cell r="I5897" t="str">
            <v>-</v>
          </cell>
          <cell r="J5897">
            <v>1</v>
          </cell>
          <cell r="K5897">
            <v>2</v>
          </cell>
        </row>
        <row r="5898">
          <cell r="A5898" t="str">
            <v>M1</v>
          </cell>
          <cell r="B5898" t="str">
            <v>A5C</v>
          </cell>
          <cell r="C5898" t="str">
            <v>P</v>
          </cell>
          <cell r="D5898" t="str">
            <v>22004</v>
          </cell>
          <cell r="E5898" t="str">
            <v>SOL</v>
          </cell>
          <cell r="F5898">
            <v>2</v>
          </cell>
          <cell r="G5898" t="str">
            <v>CB39020000020T</v>
          </cell>
          <cell r="H5898">
            <v>0.75</v>
          </cell>
          <cell r="I5898" t="str">
            <v>-</v>
          </cell>
          <cell r="J5898">
            <v>1</v>
          </cell>
          <cell r="K5898">
            <v>2</v>
          </cell>
        </row>
        <row r="5899">
          <cell r="A5899" t="str">
            <v>M1</v>
          </cell>
          <cell r="B5899" t="str">
            <v>A4C</v>
          </cell>
          <cell r="C5899" t="str">
            <v>P</v>
          </cell>
          <cell r="D5899" t="str">
            <v>22031</v>
          </cell>
          <cell r="E5899" t="str">
            <v>C SWG</v>
          </cell>
          <cell r="F5899">
            <v>2</v>
          </cell>
          <cell r="G5899" t="str">
            <v>CB1614080802IH</v>
          </cell>
          <cell r="H5899">
            <v>1.5</v>
          </cell>
          <cell r="I5899" t="str">
            <v>-</v>
          </cell>
          <cell r="J5899">
            <v>1</v>
          </cell>
          <cell r="K5899">
            <v>2</v>
          </cell>
        </row>
        <row r="5900">
          <cell r="A5900" t="str">
            <v>M1</v>
          </cell>
          <cell r="B5900" t="str">
            <v>A4C</v>
          </cell>
          <cell r="C5900" t="str">
            <v>P</v>
          </cell>
          <cell r="D5900" t="str">
            <v>22031</v>
          </cell>
          <cell r="E5900" t="str">
            <v>C SWG</v>
          </cell>
          <cell r="F5900">
            <v>2</v>
          </cell>
          <cell r="G5900" t="str">
            <v>CB1614080802IH</v>
          </cell>
          <cell r="H5900">
            <v>1.5</v>
          </cell>
          <cell r="I5900" t="str">
            <v>-</v>
          </cell>
          <cell r="J5900">
            <v>5</v>
          </cell>
          <cell r="K5900">
            <v>6</v>
          </cell>
        </row>
        <row r="5901">
          <cell r="A5901" t="str">
            <v>M1</v>
          </cell>
          <cell r="B5901" t="str">
            <v>A5C</v>
          </cell>
          <cell r="C5901" t="str">
            <v>P</v>
          </cell>
          <cell r="D5901" t="str">
            <v>22062</v>
          </cell>
          <cell r="E5901" t="str">
            <v>SOL</v>
          </cell>
          <cell r="F5901">
            <v>2</v>
          </cell>
          <cell r="G5901" t="str">
            <v>CB390200001001</v>
          </cell>
          <cell r="H5901">
            <v>1</v>
          </cell>
          <cell r="I5901" t="str">
            <v>-</v>
          </cell>
          <cell r="J5901">
            <v>2</v>
          </cell>
          <cell r="K5901">
            <v>3</v>
          </cell>
        </row>
        <row r="5902">
          <cell r="A5902" t="str">
            <v>M1</v>
          </cell>
          <cell r="B5902" t="str">
            <v>B2C</v>
          </cell>
          <cell r="C5902" t="str">
            <v>SH</v>
          </cell>
          <cell r="D5902" t="str">
            <v>22612</v>
          </cell>
          <cell r="E5902" t="str">
            <v>E RED</v>
          </cell>
          <cell r="F5902">
            <v>2</v>
          </cell>
          <cell r="G5902" t="str">
            <v>CB300604080302</v>
          </cell>
          <cell r="H5902">
            <v>2</v>
          </cell>
          <cell r="I5902" t="str">
            <v>-</v>
          </cell>
          <cell r="J5902">
            <v>1</v>
          </cell>
          <cell r="K5902">
            <v>2</v>
          </cell>
        </row>
        <row r="5903">
          <cell r="A5903" t="str">
            <v>M1</v>
          </cell>
          <cell r="B5903" t="str">
            <v>B2C</v>
          </cell>
          <cell r="C5903" t="str">
            <v>SH</v>
          </cell>
          <cell r="D5903" t="str">
            <v>22625</v>
          </cell>
          <cell r="E5903" t="str">
            <v>E RED</v>
          </cell>
          <cell r="F5903">
            <v>2</v>
          </cell>
          <cell r="G5903" t="str">
            <v>CB300604080302</v>
          </cell>
          <cell r="H5903">
            <v>2</v>
          </cell>
          <cell r="I5903" t="str">
            <v>-</v>
          </cell>
          <cell r="J5903">
            <v>1</v>
          </cell>
          <cell r="K5903">
            <v>2</v>
          </cell>
        </row>
        <row r="5904">
          <cell r="A5904" t="str">
            <v>M1</v>
          </cell>
          <cell r="B5904" t="str">
            <v>B2C</v>
          </cell>
          <cell r="C5904" t="str">
            <v>SH</v>
          </cell>
          <cell r="D5904" t="str">
            <v>22601</v>
          </cell>
          <cell r="E5904" t="str">
            <v>SOL</v>
          </cell>
          <cell r="F5904">
            <v>2</v>
          </cell>
          <cell r="G5904" t="str">
            <v>CB39020000030T</v>
          </cell>
          <cell r="H5904">
            <v>0.75</v>
          </cell>
          <cell r="I5904" t="str">
            <v>-</v>
          </cell>
          <cell r="J5904">
            <v>2</v>
          </cell>
          <cell r="K5904">
            <v>3</v>
          </cell>
        </row>
        <row r="5905">
          <cell r="A5905" t="str">
            <v>M1</v>
          </cell>
          <cell r="B5905" t="str">
            <v>B2C</v>
          </cell>
          <cell r="C5905" t="str">
            <v>TRIM</v>
          </cell>
          <cell r="D5905" t="str">
            <v>V-2218</v>
          </cell>
          <cell r="E5905" t="str">
            <v>SOL</v>
          </cell>
          <cell r="F5905">
            <v>2</v>
          </cell>
          <cell r="G5905" t="str">
            <v>CB39020000030T</v>
          </cell>
          <cell r="H5905">
            <v>0.75</v>
          </cell>
          <cell r="I5905" t="str">
            <v>-</v>
          </cell>
          <cell r="J5905">
            <v>6</v>
          </cell>
          <cell r="K5905">
            <v>7</v>
          </cell>
        </row>
        <row r="5906">
          <cell r="A5906" t="str">
            <v>M1</v>
          </cell>
          <cell r="B5906" t="str">
            <v>A5C</v>
          </cell>
          <cell r="C5906" t="str">
            <v>P</v>
          </cell>
          <cell r="D5906" t="str">
            <v>22066</v>
          </cell>
          <cell r="E5906" t="str">
            <v>E RED</v>
          </cell>
          <cell r="F5906">
            <v>2</v>
          </cell>
          <cell r="G5906" t="str">
            <v>CB300604080302</v>
          </cell>
          <cell r="H5906">
            <v>2</v>
          </cell>
          <cell r="I5906" t="str">
            <v>-</v>
          </cell>
          <cell r="J5906">
            <v>1</v>
          </cell>
          <cell r="K5906">
            <v>2</v>
          </cell>
        </row>
        <row r="5907">
          <cell r="A5907" t="str">
            <v>M1</v>
          </cell>
          <cell r="B5907" t="str">
            <v>A5C</v>
          </cell>
          <cell r="C5907" t="str">
            <v>P</v>
          </cell>
          <cell r="D5907" t="str">
            <v>22130</v>
          </cell>
          <cell r="E5907" t="str">
            <v>E RED</v>
          </cell>
          <cell r="F5907">
            <v>2</v>
          </cell>
          <cell r="G5907" t="str">
            <v>CB300604080302</v>
          </cell>
          <cell r="H5907">
            <v>2</v>
          </cell>
          <cell r="I5907" t="str">
            <v>-</v>
          </cell>
          <cell r="J5907">
            <v>2</v>
          </cell>
          <cell r="K5907">
            <v>3</v>
          </cell>
        </row>
        <row r="5908">
          <cell r="A5908" t="str">
            <v>M1</v>
          </cell>
          <cell r="B5908" t="str">
            <v>A5C</v>
          </cell>
          <cell r="C5908" t="str">
            <v>P</v>
          </cell>
          <cell r="D5908" t="str">
            <v>22140</v>
          </cell>
          <cell r="E5908" t="str">
            <v>E RED</v>
          </cell>
          <cell r="F5908">
            <v>2</v>
          </cell>
          <cell r="G5908" t="str">
            <v>CB300604080302</v>
          </cell>
          <cell r="H5908">
            <v>2</v>
          </cell>
          <cell r="I5908" t="str">
            <v>-</v>
          </cell>
          <cell r="J5908">
            <v>2</v>
          </cell>
          <cell r="K5908">
            <v>3</v>
          </cell>
        </row>
        <row r="5909">
          <cell r="A5909" t="str">
            <v>M1</v>
          </cell>
          <cell r="B5909" t="str">
            <v>A5C</v>
          </cell>
          <cell r="C5909" t="str">
            <v>P</v>
          </cell>
          <cell r="D5909" t="str">
            <v>22081</v>
          </cell>
          <cell r="E5909" t="str">
            <v>E RED</v>
          </cell>
          <cell r="F5909">
            <v>2</v>
          </cell>
          <cell r="G5909" t="str">
            <v>CB300604080302</v>
          </cell>
          <cell r="H5909">
            <v>2</v>
          </cell>
          <cell r="I5909" t="str">
            <v>-</v>
          </cell>
          <cell r="J5909">
            <v>2</v>
          </cell>
          <cell r="K5909">
            <v>3</v>
          </cell>
        </row>
        <row r="5910">
          <cell r="A5910" t="str">
            <v>M1</v>
          </cell>
          <cell r="B5910" t="str">
            <v>A5C</v>
          </cell>
          <cell r="C5910" t="str">
            <v>P</v>
          </cell>
          <cell r="D5910" t="str">
            <v>22153</v>
          </cell>
          <cell r="E5910" t="str">
            <v>SOL</v>
          </cell>
          <cell r="F5910">
            <v>2</v>
          </cell>
          <cell r="G5910" t="str">
            <v>CB39020000030T</v>
          </cell>
          <cell r="H5910">
            <v>0.75</v>
          </cell>
          <cell r="I5910" t="str">
            <v>-</v>
          </cell>
          <cell r="J5910">
            <v>4</v>
          </cell>
          <cell r="K5910">
            <v>5</v>
          </cell>
        </row>
        <row r="5911">
          <cell r="A5911" t="str">
            <v>M1</v>
          </cell>
          <cell r="B5911" t="str">
            <v>A5C</v>
          </cell>
          <cell r="C5911" t="str">
            <v>TRIM</v>
          </cell>
          <cell r="D5911" t="str">
            <v>V-2211</v>
          </cell>
          <cell r="E5911" t="str">
            <v>SOL</v>
          </cell>
          <cell r="F5911">
            <v>2</v>
          </cell>
          <cell r="G5911" t="str">
            <v>CB39020000030T</v>
          </cell>
          <cell r="H5911">
            <v>0.75</v>
          </cell>
          <cell r="I5911" t="str">
            <v>-</v>
          </cell>
          <cell r="J5911">
            <v>5</v>
          </cell>
          <cell r="K5911">
            <v>6</v>
          </cell>
        </row>
        <row r="5912">
          <cell r="A5912" t="str">
            <v>M1</v>
          </cell>
          <cell r="B5912" t="str">
            <v>A5C</v>
          </cell>
          <cell r="C5912" t="str">
            <v>P</v>
          </cell>
          <cell r="D5912" t="str">
            <v>22081</v>
          </cell>
          <cell r="E5912" t="str">
            <v>SOL</v>
          </cell>
          <cell r="F5912">
            <v>2</v>
          </cell>
          <cell r="G5912" t="str">
            <v>CB39020000030T</v>
          </cell>
          <cell r="H5912">
            <v>0.75</v>
          </cell>
          <cell r="I5912" t="str">
            <v>-</v>
          </cell>
          <cell r="J5912">
            <v>3</v>
          </cell>
          <cell r="K5912">
            <v>4</v>
          </cell>
        </row>
        <row r="5913">
          <cell r="A5913" t="str">
            <v>M1</v>
          </cell>
          <cell r="B5913" t="str">
            <v>A5C</v>
          </cell>
          <cell r="C5913" t="str">
            <v>P</v>
          </cell>
          <cell r="D5913" t="str">
            <v>22094</v>
          </cell>
          <cell r="E5913" t="str">
            <v>C SWG</v>
          </cell>
          <cell r="F5913">
            <v>2</v>
          </cell>
          <cell r="G5913" t="str">
            <v>CB1614040803IH</v>
          </cell>
          <cell r="H5913">
            <v>1.5</v>
          </cell>
          <cell r="I5913" t="str">
            <v>-</v>
          </cell>
          <cell r="J5913">
            <v>2</v>
          </cell>
          <cell r="K5913">
            <v>3</v>
          </cell>
        </row>
        <row r="5914">
          <cell r="A5914" t="str">
            <v>M1</v>
          </cell>
          <cell r="B5914" t="str">
            <v>A5C</v>
          </cell>
          <cell r="C5914" t="str">
            <v>P</v>
          </cell>
          <cell r="D5914" t="str">
            <v>22095</v>
          </cell>
          <cell r="E5914" t="str">
            <v>C SWG</v>
          </cell>
          <cell r="F5914">
            <v>2</v>
          </cell>
          <cell r="G5914" t="str">
            <v>CB1614040803IH</v>
          </cell>
          <cell r="H5914">
            <v>1.5</v>
          </cell>
          <cell r="I5914" t="str">
            <v>-</v>
          </cell>
          <cell r="J5914">
            <v>2</v>
          </cell>
          <cell r="K5914">
            <v>3</v>
          </cell>
        </row>
        <row r="5915">
          <cell r="A5915" t="str">
            <v>M1</v>
          </cell>
          <cell r="B5915" t="str">
            <v>A5C</v>
          </cell>
          <cell r="C5915" t="str">
            <v>P</v>
          </cell>
          <cell r="D5915" t="str">
            <v>22073</v>
          </cell>
          <cell r="E5915" t="str">
            <v>SOL</v>
          </cell>
          <cell r="F5915">
            <v>2</v>
          </cell>
          <cell r="G5915" t="str">
            <v>CB390200001001</v>
          </cell>
          <cell r="H5915">
            <v>1</v>
          </cell>
          <cell r="I5915" t="str">
            <v>-</v>
          </cell>
          <cell r="J5915">
            <v>2</v>
          </cell>
          <cell r="K5915">
            <v>3</v>
          </cell>
        </row>
        <row r="5916">
          <cell r="A5916" t="str">
            <v>M1</v>
          </cell>
          <cell r="B5916" t="str">
            <v>A4C</v>
          </cell>
          <cell r="C5916" t="str">
            <v>P</v>
          </cell>
          <cell r="D5916" t="str">
            <v>22008</v>
          </cell>
          <cell r="E5916" t="str">
            <v>SOL</v>
          </cell>
          <cell r="F5916">
            <v>2</v>
          </cell>
          <cell r="G5916" t="str">
            <v>CB390200001001</v>
          </cell>
          <cell r="H5916">
            <v>1</v>
          </cell>
          <cell r="I5916" t="str">
            <v>-</v>
          </cell>
          <cell r="J5916">
            <v>2</v>
          </cell>
          <cell r="K5916">
            <v>3</v>
          </cell>
        </row>
        <row r="5917">
          <cell r="A5917" t="str">
            <v>M1</v>
          </cell>
          <cell r="B5917" t="str">
            <v>A4C</v>
          </cell>
          <cell r="C5917" t="str">
            <v>P</v>
          </cell>
          <cell r="D5917" t="str">
            <v>22008</v>
          </cell>
          <cell r="E5917" t="str">
            <v>SOL</v>
          </cell>
          <cell r="F5917">
            <v>2</v>
          </cell>
          <cell r="G5917" t="str">
            <v>CB390200001001</v>
          </cell>
          <cell r="H5917">
            <v>1</v>
          </cell>
          <cell r="I5917" t="str">
            <v>-</v>
          </cell>
          <cell r="J5917">
            <v>2</v>
          </cell>
          <cell r="K5917">
            <v>3</v>
          </cell>
        </row>
        <row r="5918">
          <cell r="A5918" t="str">
            <v>M1</v>
          </cell>
          <cell r="B5918" t="str">
            <v>A5C</v>
          </cell>
          <cell r="C5918" t="str">
            <v>P</v>
          </cell>
          <cell r="D5918" t="str">
            <v>22092</v>
          </cell>
          <cell r="E5918" t="str">
            <v>SOL</v>
          </cell>
          <cell r="F5918">
            <v>2</v>
          </cell>
          <cell r="G5918" t="str">
            <v>CB39020000030T</v>
          </cell>
          <cell r="H5918">
            <v>0.75</v>
          </cell>
          <cell r="I5918" t="str">
            <v>-</v>
          </cell>
          <cell r="J5918">
            <v>1</v>
          </cell>
          <cell r="K5918">
            <v>2</v>
          </cell>
        </row>
        <row r="5919">
          <cell r="A5919" t="str">
            <v>M1</v>
          </cell>
          <cell r="B5919" t="str">
            <v>A5C</v>
          </cell>
          <cell r="C5919" t="str">
            <v>P</v>
          </cell>
          <cell r="D5919" t="str">
            <v>22095</v>
          </cell>
          <cell r="E5919" t="str">
            <v>SOL</v>
          </cell>
          <cell r="F5919">
            <v>2</v>
          </cell>
          <cell r="G5919" t="str">
            <v>CB39020000030T</v>
          </cell>
          <cell r="H5919">
            <v>0.75</v>
          </cell>
          <cell r="I5919" t="str">
            <v>-</v>
          </cell>
          <cell r="J5919">
            <v>5</v>
          </cell>
          <cell r="K5919">
            <v>6</v>
          </cell>
        </row>
        <row r="5920">
          <cell r="A5920" t="str">
            <v>M1</v>
          </cell>
          <cell r="B5920" t="str">
            <v>A5C</v>
          </cell>
          <cell r="C5920" t="str">
            <v>P</v>
          </cell>
          <cell r="D5920" t="str">
            <v>22090</v>
          </cell>
          <cell r="E5920" t="str">
            <v>SOL</v>
          </cell>
          <cell r="F5920">
            <v>2</v>
          </cell>
          <cell r="G5920" t="str">
            <v>CB39020000030T</v>
          </cell>
          <cell r="H5920">
            <v>0.75</v>
          </cell>
          <cell r="I5920" t="str">
            <v>-</v>
          </cell>
          <cell r="J5920">
            <v>1</v>
          </cell>
          <cell r="K5920">
            <v>2</v>
          </cell>
        </row>
        <row r="5921">
          <cell r="A5921" t="str">
            <v>M1</v>
          </cell>
          <cell r="B5921" t="str">
            <v>A5C</v>
          </cell>
          <cell r="C5921" t="str">
            <v>P</v>
          </cell>
          <cell r="D5921" t="str">
            <v>22093</v>
          </cell>
          <cell r="E5921" t="str">
            <v>SOL</v>
          </cell>
          <cell r="F5921">
            <v>2</v>
          </cell>
          <cell r="G5921" t="str">
            <v>CB39020000030T</v>
          </cell>
          <cell r="H5921">
            <v>0.75</v>
          </cell>
          <cell r="I5921" t="str">
            <v>-</v>
          </cell>
          <cell r="J5921">
            <v>1</v>
          </cell>
          <cell r="K5921">
            <v>2</v>
          </cell>
        </row>
        <row r="5922">
          <cell r="A5922" t="str">
            <v>M1</v>
          </cell>
          <cell r="B5922" t="str">
            <v>A5C</v>
          </cell>
          <cell r="C5922" t="str">
            <v>P</v>
          </cell>
          <cell r="D5922" t="str">
            <v>22001</v>
          </cell>
          <cell r="E5922" t="str">
            <v>NPL</v>
          </cell>
          <cell r="F5922">
            <v>2</v>
          </cell>
          <cell r="G5922" t="str">
            <v>CB1321080001VR</v>
          </cell>
          <cell r="H5922">
            <v>1</v>
          </cell>
          <cell r="I5922" t="str">
            <v>75mm</v>
          </cell>
          <cell r="J5922">
            <v>2</v>
          </cell>
          <cell r="K5922">
            <v>2</v>
          </cell>
        </row>
        <row r="5923">
          <cell r="A5923" t="str">
            <v>M1</v>
          </cell>
          <cell r="B5923" t="str">
            <v>A5C</v>
          </cell>
          <cell r="C5923" t="str">
            <v>P</v>
          </cell>
          <cell r="D5923" t="str">
            <v>22094</v>
          </cell>
          <cell r="E5923" t="str">
            <v>SOL</v>
          </cell>
          <cell r="F5923">
            <v>2</v>
          </cell>
          <cell r="G5923" t="str">
            <v>CB39020000030T</v>
          </cell>
          <cell r="H5923">
            <v>0.75</v>
          </cell>
          <cell r="I5923" t="str">
            <v>-</v>
          </cell>
          <cell r="J5923">
            <v>5</v>
          </cell>
          <cell r="K5923">
            <v>6</v>
          </cell>
        </row>
        <row r="5924">
          <cell r="A5924" t="str">
            <v>M1</v>
          </cell>
          <cell r="B5924" t="str">
            <v>A5C</v>
          </cell>
          <cell r="C5924" t="str">
            <v>P</v>
          </cell>
          <cell r="D5924" t="str">
            <v>22004</v>
          </cell>
          <cell r="E5924" t="str">
            <v>C RED</v>
          </cell>
          <cell r="F5924">
            <v>2</v>
          </cell>
          <cell r="G5924" t="str">
            <v>CB300504080302</v>
          </cell>
          <cell r="H5924">
            <v>2</v>
          </cell>
          <cell r="I5924" t="str">
            <v>-</v>
          </cell>
          <cell r="J5924">
            <v>1</v>
          </cell>
          <cell r="K5924">
            <v>2</v>
          </cell>
        </row>
        <row r="5925">
          <cell r="A5925" t="str">
            <v>M1</v>
          </cell>
          <cell r="B5925" t="str">
            <v>A5C</v>
          </cell>
          <cell r="C5925" t="str">
            <v>P</v>
          </cell>
          <cell r="D5925" t="str">
            <v>22004</v>
          </cell>
          <cell r="E5925" t="str">
            <v>C RED</v>
          </cell>
          <cell r="F5925">
            <v>2</v>
          </cell>
          <cell r="G5925" t="str">
            <v>CB300504080302</v>
          </cell>
          <cell r="H5925">
            <v>2</v>
          </cell>
          <cell r="I5925" t="str">
            <v>-</v>
          </cell>
          <cell r="J5925">
            <v>1</v>
          </cell>
          <cell r="K5925">
            <v>2</v>
          </cell>
        </row>
        <row r="5926">
          <cell r="A5926" t="str">
            <v>M1</v>
          </cell>
          <cell r="B5926" t="str">
            <v>A5C</v>
          </cell>
          <cell r="C5926" t="str">
            <v>P</v>
          </cell>
          <cell r="D5926" t="str">
            <v>22003</v>
          </cell>
          <cell r="E5926" t="str">
            <v>SOL</v>
          </cell>
          <cell r="F5926">
            <v>2</v>
          </cell>
          <cell r="G5926" t="str">
            <v>CB39020000030T</v>
          </cell>
          <cell r="H5926">
            <v>0.75</v>
          </cell>
          <cell r="I5926" t="str">
            <v>-</v>
          </cell>
          <cell r="J5926">
            <v>2</v>
          </cell>
          <cell r="K5926">
            <v>3</v>
          </cell>
        </row>
        <row r="5927">
          <cell r="A5927" t="str">
            <v>M1</v>
          </cell>
          <cell r="B5927" t="str">
            <v>A5C</v>
          </cell>
          <cell r="C5927" t="str">
            <v>P</v>
          </cell>
          <cell r="D5927" t="str">
            <v>22096</v>
          </cell>
          <cell r="E5927" t="str">
            <v>SOL</v>
          </cell>
          <cell r="F5927">
            <v>2</v>
          </cell>
          <cell r="G5927" t="str">
            <v>CB390200000201</v>
          </cell>
          <cell r="H5927">
            <v>1</v>
          </cell>
          <cell r="I5927" t="str">
            <v>-</v>
          </cell>
          <cell r="J5927">
            <v>1</v>
          </cell>
          <cell r="K5927">
            <v>2</v>
          </cell>
        </row>
        <row r="5928">
          <cell r="A5928" t="str">
            <v>M1</v>
          </cell>
          <cell r="B5928" t="str">
            <v>A5C</v>
          </cell>
          <cell r="C5928" t="str">
            <v>P</v>
          </cell>
          <cell r="D5928" t="str">
            <v>22004</v>
          </cell>
          <cell r="E5928" t="str">
            <v>SOL</v>
          </cell>
          <cell r="F5928">
            <v>2</v>
          </cell>
          <cell r="G5928" t="str">
            <v>CB39020000030T</v>
          </cell>
          <cell r="H5928">
            <v>0.75</v>
          </cell>
          <cell r="I5928" t="str">
            <v>-</v>
          </cell>
          <cell r="J5928">
            <v>1</v>
          </cell>
          <cell r="K5928">
            <v>2</v>
          </cell>
        </row>
        <row r="5929">
          <cell r="A5929" t="str">
            <v>M1</v>
          </cell>
          <cell r="B5929" t="str">
            <v>A5C</v>
          </cell>
          <cell r="C5929" t="str">
            <v>P</v>
          </cell>
          <cell r="D5929" t="str">
            <v>22004</v>
          </cell>
          <cell r="E5929" t="str">
            <v>SOL</v>
          </cell>
          <cell r="F5929">
            <v>2</v>
          </cell>
          <cell r="G5929" t="str">
            <v>CB3902000003IH</v>
          </cell>
          <cell r="H5929">
            <v>1.5</v>
          </cell>
          <cell r="I5929" t="str">
            <v>-</v>
          </cell>
          <cell r="J5929">
            <v>1</v>
          </cell>
          <cell r="K5929">
            <v>2</v>
          </cell>
        </row>
        <row r="5930">
          <cell r="A5930" t="str">
            <v>M1</v>
          </cell>
          <cell r="B5930" t="str">
            <v>A5C</v>
          </cell>
          <cell r="C5930" t="str">
            <v>P</v>
          </cell>
          <cell r="D5930" t="str">
            <v>22005</v>
          </cell>
          <cell r="E5930" t="str">
            <v>SOL</v>
          </cell>
          <cell r="F5930">
            <v>2</v>
          </cell>
          <cell r="G5930" t="str">
            <v>CB39020000030T</v>
          </cell>
          <cell r="H5930">
            <v>0.75</v>
          </cell>
          <cell r="I5930" t="str">
            <v>-</v>
          </cell>
          <cell r="J5930">
            <v>1</v>
          </cell>
          <cell r="K5930">
            <v>2</v>
          </cell>
        </row>
        <row r="5931">
          <cell r="A5931" t="str">
            <v>M1</v>
          </cell>
          <cell r="B5931" t="str">
            <v>A5C</v>
          </cell>
          <cell r="C5931" t="str">
            <v>P</v>
          </cell>
          <cell r="D5931" t="str">
            <v>22001</v>
          </cell>
          <cell r="E5931" t="str">
            <v>SOL</v>
          </cell>
          <cell r="F5931">
            <v>2</v>
          </cell>
          <cell r="G5931" t="str">
            <v>CB39020000030T</v>
          </cell>
          <cell r="H5931">
            <v>0.75</v>
          </cell>
          <cell r="I5931" t="str">
            <v>-</v>
          </cell>
          <cell r="J5931">
            <v>3</v>
          </cell>
          <cell r="K5931">
            <v>4</v>
          </cell>
        </row>
        <row r="5932">
          <cell r="A5932" t="str">
            <v>M1</v>
          </cell>
          <cell r="B5932" t="str">
            <v>A5C</v>
          </cell>
          <cell r="C5932" t="str">
            <v>N</v>
          </cell>
          <cell r="D5932" t="str">
            <v>22681</v>
          </cell>
          <cell r="E5932" t="str">
            <v>90 ELL</v>
          </cell>
          <cell r="F5932">
            <v>2</v>
          </cell>
          <cell r="G5932" t="str">
            <v>CB400100001000</v>
          </cell>
          <cell r="H5932">
            <v>1</v>
          </cell>
          <cell r="I5932" t="str">
            <v>--</v>
          </cell>
          <cell r="J5932">
            <v>1</v>
          </cell>
          <cell r="K5932">
            <v>1</v>
          </cell>
        </row>
        <row r="5933">
          <cell r="A5933" t="str">
            <v>M1</v>
          </cell>
          <cell r="B5933" t="str">
            <v>A5C</v>
          </cell>
          <cell r="C5933" t="str">
            <v>P</v>
          </cell>
          <cell r="D5933" t="str">
            <v>22001</v>
          </cell>
          <cell r="E5933" t="str">
            <v>SOL</v>
          </cell>
          <cell r="F5933">
            <v>2</v>
          </cell>
          <cell r="G5933" t="str">
            <v>CB3902000003IH</v>
          </cell>
          <cell r="H5933">
            <v>1.5</v>
          </cell>
          <cell r="I5933" t="str">
            <v>-</v>
          </cell>
          <cell r="J5933">
            <v>1</v>
          </cell>
          <cell r="K5933">
            <v>2</v>
          </cell>
        </row>
        <row r="5934">
          <cell r="A5934" t="str">
            <v>M1</v>
          </cell>
          <cell r="B5934" t="str">
            <v>A5C</v>
          </cell>
          <cell r="C5934" t="str">
            <v>TRIM</v>
          </cell>
          <cell r="D5934" t="str">
            <v>V-2213</v>
          </cell>
          <cell r="E5934" t="str">
            <v>SOL</v>
          </cell>
          <cell r="F5934">
            <v>2</v>
          </cell>
          <cell r="G5934" t="str">
            <v>CB39020000030T</v>
          </cell>
          <cell r="H5934">
            <v>0.75</v>
          </cell>
          <cell r="I5934" t="str">
            <v>-</v>
          </cell>
          <cell r="J5934">
            <v>1</v>
          </cell>
          <cell r="K5934">
            <v>2</v>
          </cell>
        </row>
        <row r="5935">
          <cell r="A5935" t="str">
            <v>M1</v>
          </cell>
          <cell r="B5935" t="str">
            <v>A4C</v>
          </cell>
          <cell r="C5935" t="str">
            <v>P</v>
          </cell>
          <cell r="D5935" t="str">
            <v>22031</v>
          </cell>
          <cell r="E5935" t="str">
            <v>C RED</v>
          </cell>
          <cell r="F5935">
            <v>2</v>
          </cell>
          <cell r="G5935" t="str">
            <v>CB300504080302</v>
          </cell>
          <cell r="H5935">
            <v>2</v>
          </cell>
          <cell r="I5935" t="str">
            <v>-</v>
          </cell>
          <cell r="J5935">
            <v>5</v>
          </cell>
          <cell r="K5935">
            <v>6</v>
          </cell>
        </row>
        <row r="5936">
          <cell r="A5936" t="str">
            <v>M1</v>
          </cell>
          <cell r="B5936" t="str">
            <v>A4C</v>
          </cell>
          <cell r="C5936" t="str">
            <v>P</v>
          </cell>
          <cell r="D5936" t="str">
            <v>22031</v>
          </cell>
          <cell r="E5936" t="str">
            <v>C RED</v>
          </cell>
          <cell r="F5936">
            <v>2</v>
          </cell>
          <cell r="G5936" t="str">
            <v>CB300504080302</v>
          </cell>
          <cell r="H5936">
            <v>2</v>
          </cell>
          <cell r="I5936" t="str">
            <v>-</v>
          </cell>
          <cell r="J5936">
            <v>1</v>
          </cell>
          <cell r="K5936">
            <v>2</v>
          </cell>
        </row>
        <row r="5937">
          <cell r="A5937" t="str">
            <v>M1</v>
          </cell>
          <cell r="B5937" t="str">
            <v>A5C</v>
          </cell>
          <cell r="C5937" t="str">
            <v>P</v>
          </cell>
          <cell r="D5937" t="str">
            <v>22096</v>
          </cell>
          <cell r="E5937" t="str">
            <v>E RED</v>
          </cell>
          <cell r="F5937">
            <v>2</v>
          </cell>
          <cell r="G5937" t="str">
            <v>CB300604080302</v>
          </cell>
          <cell r="H5937">
            <v>2</v>
          </cell>
          <cell r="I5937" t="str">
            <v>-</v>
          </cell>
          <cell r="J5937">
            <v>1</v>
          </cell>
          <cell r="K5937">
            <v>2</v>
          </cell>
        </row>
        <row r="5938">
          <cell r="A5938" t="str">
            <v>M1</v>
          </cell>
          <cell r="B5938" t="str">
            <v>A5C</v>
          </cell>
          <cell r="C5938" t="str">
            <v>TRIM</v>
          </cell>
          <cell r="D5938" t="str">
            <v>C-2201</v>
          </cell>
          <cell r="E5938" t="str">
            <v>SOL</v>
          </cell>
          <cell r="F5938">
            <v>2</v>
          </cell>
          <cell r="G5938" t="str">
            <v>CB39020000030T</v>
          </cell>
          <cell r="H5938">
            <v>0.75</v>
          </cell>
          <cell r="I5938" t="str">
            <v>-</v>
          </cell>
          <cell r="J5938">
            <v>4</v>
          </cell>
          <cell r="K5938">
            <v>5</v>
          </cell>
        </row>
        <row r="5939">
          <cell r="A5939" t="str">
            <v>M1</v>
          </cell>
          <cell r="B5939" t="str">
            <v>A6C</v>
          </cell>
          <cell r="C5939" t="str">
            <v>TRIM</v>
          </cell>
          <cell r="D5939" t="str">
            <v>V-6501</v>
          </cell>
          <cell r="E5939" t="str">
            <v>SOL</v>
          </cell>
          <cell r="F5939">
            <v>2</v>
          </cell>
          <cell r="G5939" t="str">
            <v>CB39020000030T</v>
          </cell>
          <cell r="H5939">
            <v>0.75</v>
          </cell>
          <cell r="I5939" t="str">
            <v>-</v>
          </cell>
          <cell r="J5939">
            <v>6</v>
          </cell>
          <cell r="K5939">
            <v>7</v>
          </cell>
        </row>
        <row r="5940">
          <cell r="A5940" t="str">
            <v>M1</v>
          </cell>
          <cell r="B5940" t="str">
            <v>A5C</v>
          </cell>
          <cell r="C5940" t="str">
            <v>P</v>
          </cell>
          <cell r="D5940" t="str">
            <v>22088</v>
          </cell>
          <cell r="E5940" t="str">
            <v>SOL</v>
          </cell>
          <cell r="F5940">
            <v>2</v>
          </cell>
          <cell r="G5940" t="str">
            <v>CB39020000030T</v>
          </cell>
          <cell r="H5940">
            <v>0.75</v>
          </cell>
          <cell r="I5940" t="str">
            <v>-</v>
          </cell>
          <cell r="J5940">
            <v>3</v>
          </cell>
          <cell r="K5940">
            <v>4</v>
          </cell>
        </row>
        <row r="5941">
          <cell r="A5941" t="str">
            <v>M1</v>
          </cell>
          <cell r="B5941" t="str">
            <v>A5C</v>
          </cell>
          <cell r="C5941" t="str">
            <v>P</v>
          </cell>
          <cell r="D5941" t="str">
            <v>22089</v>
          </cell>
          <cell r="E5941" t="str">
            <v>SOL</v>
          </cell>
          <cell r="F5941">
            <v>2</v>
          </cell>
          <cell r="G5941" t="str">
            <v>CB39020000030T</v>
          </cell>
          <cell r="H5941">
            <v>0.75</v>
          </cell>
          <cell r="I5941" t="str">
            <v>-</v>
          </cell>
          <cell r="J5941">
            <v>1</v>
          </cell>
          <cell r="K5941">
            <v>2</v>
          </cell>
        </row>
        <row r="5942">
          <cell r="A5942" t="str">
            <v>M1</v>
          </cell>
          <cell r="B5942" t="str">
            <v>A5C</v>
          </cell>
          <cell r="C5942" t="str">
            <v>P</v>
          </cell>
          <cell r="D5942" t="str">
            <v>22069</v>
          </cell>
          <cell r="E5942" t="str">
            <v>C RED</v>
          </cell>
          <cell r="F5942">
            <v>2</v>
          </cell>
          <cell r="G5942" t="str">
            <v>CB300504080402</v>
          </cell>
          <cell r="H5942">
            <v>2</v>
          </cell>
          <cell r="I5942" t="str">
            <v>-</v>
          </cell>
          <cell r="J5942">
            <v>1</v>
          </cell>
          <cell r="K5942">
            <v>2</v>
          </cell>
        </row>
        <row r="5943">
          <cell r="A5943" t="str">
            <v>M1</v>
          </cell>
          <cell r="B5943" t="str">
            <v>A5C</v>
          </cell>
          <cell r="C5943" t="str">
            <v>P</v>
          </cell>
          <cell r="D5943" t="str">
            <v>22118</v>
          </cell>
          <cell r="E5943" t="str">
            <v>C RED</v>
          </cell>
          <cell r="F5943">
            <v>2</v>
          </cell>
          <cell r="G5943" t="str">
            <v>CB300504040403</v>
          </cell>
          <cell r="H5943">
            <v>3</v>
          </cell>
          <cell r="I5943" t="str">
            <v>-</v>
          </cell>
          <cell r="J5943">
            <v>1</v>
          </cell>
          <cell r="K5943">
            <v>2</v>
          </cell>
        </row>
        <row r="5944">
          <cell r="A5944" t="str">
            <v>M1</v>
          </cell>
          <cell r="B5944" t="str">
            <v>A5C</v>
          </cell>
          <cell r="C5944" t="str">
            <v>TRIM</v>
          </cell>
          <cell r="D5944" t="str">
            <v>V-2211</v>
          </cell>
          <cell r="E5944" t="str">
            <v>C RED</v>
          </cell>
          <cell r="F5944">
            <v>2</v>
          </cell>
          <cell r="G5944" t="str">
            <v>CB300504040403</v>
          </cell>
          <cell r="H5944">
            <v>3</v>
          </cell>
          <cell r="I5944" t="str">
            <v>-</v>
          </cell>
          <cell r="J5944">
            <v>1</v>
          </cell>
          <cell r="K5944">
            <v>2</v>
          </cell>
        </row>
        <row r="5945">
          <cell r="A5945" t="str">
            <v>M1</v>
          </cell>
          <cell r="B5945" t="str">
            <v>A5C</v>
          </cell>
          <cell r="C5945" t="str">
            <v>COMP</v>
          </cell>
          <cell r="D5945" t="str">
            <v>005</v>
          </cell>
          <cell r="E5945" t="str">
            <v>E RED</v>
          </cell>
          <cell r="F5945">
            <v>2</v>
          </cell>
          <cell r="G5945" t="str">
            <v>CB300604080402</v>
          </cell>
          <cell r="H5945">
            <v>2</v>
          </cell>
          <cell r="I5945" t="str">
            <v>-</v>
          </cell>
          <cell r="J5945">
            <v>1</v>
          </cell>
          <cell r="K5945">
            <v>2</v>
          </cell>
        </row>
        <row r="5946">
          <cell r="A5946" t="str">
            <v>M1</v>
          </cell>
          <cell r="B5946" t="str">
            <v>A5C</v>
          </cell>
          <cell r="C5946" t="str">
            <v>P</v>
          </cell>
          <cell r="D5946" t="str">
            <v>22109</v>
          </cell>
          <cell r="E5946" t="str">
            <v>E RED</v>
          </cell>
          <cell r="F5946">
            <v>2</v>
          </cell>
          <cell r="G5946" t="str">
            <v>CB300604080402</v>
          </cell>
          <cell r="H5946">
            <v>2</v>
          </cell>
          <cell r="I5946" t="str">
            <v>-</v>
          </cell>
          <cell r="J5946">
            <v>2</v>
          </cell>
          <cell r="K5946">
            <v>3</v>
          </cell>
        </row>
        <row r="5947">
          <cell r="A5947" t="str">
            <v>M1</v>
          </cell>
          <cell r="B5947" t="str">
            <v>A5C</v>
          </cell>
          <cell r="C5947" t="str">
            <v>P</v>
          </cell>
          <cell r="D5947" t="str">
            <v>22021</v>
          </cell>
          <cell r="E5947" t="str">
            <v>SOL</v>
          </cell>
          <cell r="F5947">
            <v>2</v>
          </cell>
          <cell r="G5947" t="str">
            <v>CB39020000040T</v>
          </cell>
          <cell r="H5947">
            <v>0.75</v>
          </cell>
          <cell r="I5947" t="str">
            <v>-</v>
          </cell>
          <cell r="J5947">
            <v>1</v>
          </cell>
          <cell r="K5947">
            <v>2</v>
          </cell>
        </row>
        <row r="5948">
          <cell r="A5948" t="str">
            <v>M1</v>
          </cell>
          <cell r="B5948" t="str">
            <v>A5C</v>
          </cell>
          <cell r="C5948" t="str">
            <v>P</v>
          </cell>
          <cell r="D5948" t="str">
            <v>22024</v>
          </cell>
          <cell r="E5948" t="str">
            <v>SOL</v>
          </cell>
          <cell r="F5948">
            <v>2</v>
          </cell>
          <cell r="G5948" t="str">
            <v>CB39020000040T</v>
          </cell>
          <cell r="H5948">
            <v>0.75</v>
          </cell>
          <cell r="I5948" t="str">
            <v>-</v>
          </cell>
          <cell r="J5948">
            <v>1</v>
          </cell>
          <cell r="K5948">
            <v>2</v>
          </cell>
        </row>
        <row r="5949">
          <cell r="A5949" t="str">
            <v>M1</v>
          </cell>
          <cell r="B5949" t="str">
            <v>A5C</v>
          </cell>
          <cell r="C5949" t="str">
            <v>P</v>
          </cell>
          <cell r="D5949" t="str">
            <v>22069</v>
          </cell>
          <cell r="E5949" t="str">
            <v>SOL</v>
          </cell>
          <cell r="F5949">
            <v>2</v>
          </cell>
          <cell r="G5949" t="str">
            <v>CB39020000040T</v>
          </cell>
          <cell r="H5949">
            <v>0.75</v>
          </cell>
          <cell r="I5949" t="str">
            <v>-</v>
          </cell>
          <cell r="J5949">
            <v>4</v>
          </cell>
          <cell r="K5949">
            <v>5</v>
          </cell>
        </row>
        <row r="5950">
          <cell r="A5950" t="str">
            <v>M1</v>
          </cell>
          <cell r="B5950" t="str">
            <v>A5C</v>
          </cell>
          <cell r="C5950" t="str">
            <v>P</v>
          </cell>
          <cell r="D5950" t="str">
            <v>22069</v>
          </cell>
          <cell r="E5950" t="str">
            <v>SOL</v>
          </cell>
          <cell r="F5950">
            <v>2</v>
          </cell>
          <cell r="G5950" t="str">
            <v>CB3902000004IH</v>
          </cell>
          <cell r="H5950">
            <v>1.5</v>
          </cell>
          <cell r="I5950" t="str">
            <v>-</v>
          </cell>
          <cell r="J5950">
            <v>1</v>
          </cell>
          <cell r="K5950">
            <v>2</v>
          </cell>
        </row>
        <row r="5951">
          <cell r="A5951" t="str">
            <v>M1</v>
          </cell>
          <cell r="B5951" t="str">
            <v>A5C</v>
          </cell>
          <cell r="C5951" t="str">
            <v>TRIM</v>
          </cell>
          <cell r="D5951" t="str">
            <v>V-2202</v>
          </cell>
          <cell r="E5951" t="str">
            <v>90 ELL</v>
          </cell>
          <cell r="F5951">
            <v>2</v>
          </cell>
          <cell r="G5951" t="str">
            <v>CB400100001000</v>
          </cell>
          <cell r="H5951">
            <v>1</v>
          </cell>
          <cell r="I5951" t="str">
            <v>--</v>
          </cell>
          <cell r="J5951">
            <v>1</v>
          </cell>
          <cell r="K5951">
            <v>1</v>
          </cell>
        </row>
        <row r="5952">
          <cell r="A5952" t="str">
            <v>M1</v>
          </cell>
          <cell r="B5952" t="str">
            <v>A5C</v>
          </cell>
          <cell r="C5952" t="str">
            <v>P</v>
          </cell>
          <cell r="D5952" t="str">
            <v>22069</v>
          </cell>
          <cell r="E5952" t="str">
            <v>SOL</v>
          </cell>
          <cell r="F5952">
            <v>2</v>
          </cell>
          <cell r="G5952" t="str">
            <v>CB39020000040T</v>
          </cell>
          <cell r="H5952">
            <v>0.75</v>
          </cell>
          <cell r="I5952" t="str">
            <v>-</v>
          </cell>
          <cell r="J5952">
            <v>1</v>
          </cell>
          <cell r="K5952">
            <v>2</v>
          </cell>
        </row>
        <row r="5953">
          <cell r="A5953" t="str">
            <v>M1</v>
          </cell>
          <cell r="B5953" t="str">
            <v>A5C</v>
          </cell>
          <cell r="C5953" t="str">
            <v>P</v>
          </cell>
          <cell r="D5953" t="str">
            <v>22082</v>
          </cell>
          <cell r="E5953" t="str">
            <v>SOL</v>
          </cell>
          <cell r="F5953">
            <v>2</v>
          </cell>
          <cell r="G5953" t="str">
            <v>CB39020000040T</v>
          </cell>
          <cell r="H5953">
            <v>0.75</v>
          </cell>
          <cell r="I5953" t="str">
            <v>-</v>
          </cell>
          <cell r="J5953">
            <v>2</v>
          </cell>
          <cell r="K5953">
            <v>3</v>
          </cell>
        </row>
        <row r="5954">
          <cell r="A5954" t="str">
            <v>M1</v>
          </cell>
          <cell r="B5954" t="str">
            <v>A5C</v>
          </cell>
          <cell r="C5954" t="str">
            <v>P</v>
          </cell>
          <cell r="D5954" t="str">
            <v>22139</v>
          </cell>
          <cell r="E5954" t="str">
            <v>SOL</v>
          </cell>
          <cell r="F5954">
            <v>2</v>
          </cell>
          <cell r="G5954" t="str">
            <v>CB39020000040T</v>
          </cell>
          <cell r="H5954">
            <v>0.75</v>
          </cell>
          <cell r="I5954" t="str">
            <v>-</v>
          </cell>
          <cell r="J5954">
            <v>2</v>
          </cell>
          <cell r="K5954">
            <v>3</v>
          </cell>
        </row>
        <row r="5955">
          <cell r="A5955" t="str">
            <v>M1</v>
          </cell>
          <cell r="B5955" t="str">
            <v>A5C</v>
          </cell>
          <cell r="C5955" t="str">
            <v>TRIM</v>
          </cell>
          <cell r="D5955" t="str">
            <v>V-2211</v>
          </cell>
          <cell r="E5955" t="str">
            <v>SOL</v>
          </cell>
          <cell r="F5955">
            <v>2</v>
          </cell>
          <cell r="G5955" t="str">
            <v>CB39020000040T</v>
          </cell>
          <cell r="H5955">
            <v>0.75</v>
          </cell>
          <cell r="I5955" t="str">
            <v>-</v>
          </cell>
          <cell r="J5955">
            <v>1</v>
          </cell>
          <cell r="K5955">
            <v>2</v>
          </cell>
        </row>
        <row r="5956">
          <cell r="A5956" t="str">
            <v>M1</v>
          </cell>
          <cell r="B5956" t="str">
            <v>A5C</v>
          </cell>
          <cell r="C5956" t="str">
            <v>P</v>
          </cell>
          <cell r="D5956" t="str">
            <v>22102</v>
          </cell>
          <cell r="E5956" t="str">
            <v>SOL</v>
          </cell>
          <cell r="F5956">
            <v>2</v>
          </cell>
          <cell r="G5956" t="str">
            <v>CB3902000004IH</v>
          </cell>
          <cell r="H5956">
            <v>1.5</v>
          </cell>
          <cell r="I5956" t="str">
            <v>-</v>
          </cell>
          <cell r="J5956">
            <v>2</v>
          </cell>
          <cell r="K5956">
            <v>3</v>
          </cell>
        </row>
        <row r="5957">
          <cell r="A5957" t="str">
            <v>M1</v>
          </cell>
          <cell r="B5957" t="str">
            <v>A5C</v>
          </cell>
          <cell r="C5957" t="str">
            <v>P</v>
          </cell>
          <cell r="D5957" t="str">
            <v>22094</v>
          </cell>
          <cell r="E5957" t="str">
            <v>E RED</v>
          </cell>
          <cell r="F5957">
            <v>2</v>
          </cell>
          <cell r="G5957" t="str">
            <v>CB300604040403</v>
          </cell>
          <cell r="H5957">
            <v>3</v>
          </cell>
          <cell r="I5957" t="str">
            <v>-</v>
          </cell>
          <cell r="J5957">
            <v>2</v>
          </cell>
          <cell r="K5957">
            <v>3</v>
          </cell>
        </row>
        <row r="5958">
          <cell r="A5958" t="str">
            <v>M1</v>
          </cell>
          <cell r="B5958" t="str">
            <v>A5C</v>
          </cell>
          <cell r="C5958" t="str">
            <v>P</v>
          </cell>
          <cell r="D5958" t="str">
            <v>22095</v>
          </cell>
          <cell r="E5958" t="str">
            <v>E RED</v>
          </cell>
          <cell r="F5958">
            <v>2</v>
          </cell>
          <cell r="G5958" t="str">
            <v>CB300604040403</v>
          </cell>
          <cell r="H5958">
            <v>3</v>
          </cell>
          <cell r="I5958" t="str">
            <v>-</v>
          </cell>
          <cell r="J5958">
            <v>2</v>
          </cell>
          <cell r="K5958">
            <v>3</v>
          </cell>
        </row>
        <row r="5959">
          <cell r="A5959" t="str">
            <v>M1</v>
          </cell>
          <cell r="B5959" t="str">
            <v>A5C</v>
          </cell>
          <cell r="C5959" t="str">
            <v>P</v>
          </cell>
          <cell r="D5959" t="str">
            <v>22099</v>
          </cell>
          <cell r="E5959" t="str">
            <v>SOL</v>
          </cell>
          <cell r="F5959">
            <v>2</v>
          </cell>
          <cell r="G5959" t="str">
            <v>CB39020000040T</v>
          </cell>
          <cell r="H5959">
            <v>0.75</v>
          </cell>
          <cell r="I5959" t="str">
            <v>-</v>
          </cell>
          <cell r="J5959">
            <v>2</v>
          </cell>
          <cell r="K5959">
            <v>3</v>
          </cell>
        </row>
        <row r="5960">
          <cell r="A5960" t="str">
            <v>M1</v>
          </cell>
          <cell r="B5960" t="str">
            <v>A5C</v>
          </cell>
          <cell r="C5960" t="str">
            <v>P</v>
          </cell>
          <cell r="D5960" t="str">
            <v>22099</v>
          </cell>
          <cell r="E5960" t="str">
            <v>SOL</v>
          </cell>
          <cell r="F5960">
            <v>2</v>
          </cell>
          <cell r="G5960" t="str">
            <v>CB3902000004IH</v>
          </cell>
          <cell r="H5960">
            <v>1.5</v>
          </cell>
          <cell r="I5960" t="str">
            <v>-</v>
          </cell>
          <cell r="J5960">
            <v>1</v>
          </cell>
          <cell r="K5960">
            <v>2</v>
          </cell>
        </row>
        <row r="5961">
          <cell r="A5961" t="str">
            <v>M1</v>
          </cell>
          <cell r="B5961" t="str">
            <v>A5C</v>
          </cell>
          <cell r="C5961" t="str">
            <v>P</v>
          </cell>
          <cell r="D5961" t="str">
            <v>22003</v>
          </cell>
          <cell r="E5961" t="str">
            <v>E RED</v>
          </cell>
          <cell r="F5961">
            <v>2</v>
          </cell>
          <cell r="G5961" t="str">
            <v>CB300604040403</v>
          </cell>
          <cell r="H5961">
            <v>3</v>
          </cell>
          <cell r="I5961" t="str">
            <v>-</v>
          </cell>
          <cell r="J5961">
            <v>2</v>
          </cell>
          <cell r="K5961">
            <v>3</v>
          </cell>
        </row>
        <row r="5962">
          <cell r="A5962" t="str">
            <v>M1</v>
          </cell>
          <cell r="B5962" t="str">
            <v>A5C</v>
          </cell>
          <cell r="C5962" t="str">
            <v>WW</v>
          </cell>
          <cell r="D5962" t="str">
            <v>22601</v>
          </cell>
          <cell r="E5962" t="str">
            <v>E RED</v>
          </cell>
          <cell r="F5962">
            <v>2</v>
          </cell>
          <cell r="G5962" t="str">
            <v>CB300604040403</v>
          </cell>
          <cell r="H5962">
            <v>3</v>
          </cell>
          <cell r="I5962" t="str">
            <v>-</v>
          </cell>
          <cell r="J5962">
            <v>2</v>
          </cell>
          <cell r="K5962">
            <v>3</v>
          </cell>
        </row>
        <row r="5963">
          <cell r="A5963" t="str">
            <v>M1</v>
          </cell>
          <cell r="B5963" t="str">
            <v>A5C</v>
          </cell>
          <cell r="C5963" t="str">
            <v>WW</v>
          </cell>
          <cell r="D5963" t="str">
            <v>22601</v>
          </cell>
          <cell r="E5963" t="str">
            <v>SOL</v>
          </cell>
          <cell r="F5963">
            <v>2</v>
          </cell>
          <cell r="G5963" t="str">
            <v>CB39020000040T</v>
          </cell>
          <cell r="H5963">
            <v>0.75</v>
          </cell>
          <cell r="I5963" t="str">
            <v>-</v>
          </cell>
          <cell r="J5963">
            <v>4</v>
          </cell>
          <cell r="K5963">
            <v>5</v>
          </cell>
        </row>
        <row r="5964">
          <cell r="A5964" t="str">
            <v>M1</v>
          </cell>
          <cell r="B5964" t="str">
            <v>A5C</v>
          </cell>
          <cell r="C5964" t="str">
            <v>TRIM</v>
          </cell>
          <cell r="D5964" t="str">
            <v>V-2216A</v>
          </cell>
          <cell r="E5964" t="str">
            <v>C RED</v>
          </cell>
          <cell r="F5964">
            <v>2</v>
          </cell>
          <cell r="G5964" t="str">
            <v>CB300504040403</v>
          </cell>
          <cell r="H5964">
            <v>3</v>
          </cell>
          <cell r="I5964" t="str">
            <v>-</v>
          </cell>
          <cell r="J5964">
            <v>1</v>
          </cell>
          <cell r="K5964">
            <v>2</v>
          </cell>
        </row>
        <row r="5965">
          <cell r="A5965" t="str">
            <v>M1</v>
          </cell>
          <cell r="B5965" t="str">
            <v>A5C</v>
          </cell>
          <cell r="C5965" t="str">
            <v>TRIM</v>
          </cell>
          <cell r="D5965" t="str">
            <v>V-2216B</v>
          </cell>
          <cell r="E5965" t="str">
            <v>C RED</v>
          </cell>
          <cell r="F5965">
            <v>2</v>
          </cell>
          <cell r="G5965" t="str">
            <v>CB300504040403</v>
          </cell>
          <cell r="H5965">
            <v>3</v>
          </cell>
          <cell r="I5965" t="str">
            <v>-</v>
          </cell>
          <cell r="J5965">
            <v>1</v>
          </cell>
          <cell r="K5965">
            <v>2</v>
          </cell>
        </row>
        <row r="5966">
          <cell r="A5966" t="str">
            <v>M1</v>
          </cell>
          <cell r="B5966" t="str">
            <v>A6C</v>
          </cell>
          <cell r="C5966" t="str">
            <v>HOR</v>
          </cell>
          <cell r="D5966" t="str">
            <v>65619</v>
          </cell>
          <cell r="E5966" t="str">
            <v>E RED</v>
          </cell>
          <cell r="F5966">
            <v>2</v>
          </cell>
          <cell r="G5966" t="str">
            <v>CB300604040403</v>
          </cell>
          <cell r="H5966">
            <v>3</v>
          </cell>
          <cell r="I5966" t="str">
            <v>-</v>
          </cell>
          <cell r="J5966">
            <v>1</v>
          </cell>
          <cell r="K5966">
            <v>2</v>
          </cell>
        </row>
        <row r="5967">
          <cell r="A5967" t="str">
            <v>M1</v>
          </cell>
          <cell r="B5967" t="str">
            <v>A6C</v>
          </cell>
          <cell r="C5967" t="str">
            <v>HOS</v>
          </cell>
          <cell r="D5967" t="str">
            <v>65634</v>
          </cell>
          <cell r="E5967" t="str">
            <v>SOL</v>
          </cell>
          <cell r="F5967">
            <v>2</v>
          </cell>
          <cell r="G5967" t="str">
            <v>CB39020000040T</v>
          </cell>
          <cell r="H5967">
            <v>0.75</v>
          </cell>
          <cell r="I5967" t="str">
            <v>-</v>
          </cell>
          <cell r="J5967">
            <v>1</v>
          </cell>
          <cell r="K5967">
            <v>2</v>
          </cell>
        </row>
        <row r="5968">
          <cell r="A5968" t="str">
            <v>M1</v>
          </cell>
          <cell r="B5968" t="str">
            <v>A4C</v>
          </cell>
          <cell r="C5968" t="str">
            <v>P</v>
          </cell>
          <cell r="D5968" t="str">
            <v>22009</v>
          </cell>
          <cell r="E5968" t="str">
            <v>SOL</v>
          </cell>
          <cell r="F5968">
            <v>2</v>
          </cell>
          <cell r="G5968" t="str">
            <v>CB39020000040T</v>
          </cell>
          <cell r="H5968">
            <v>0.75</v>
          </cell>
          <cell r="I5968" t="str">
            <v>-</v>
          </cell>
          <cell r="J5968">
            <v>2</v>
          </cell>
          <cell r="K5968">
            <v>3</v>
          </cell>
        </row>
        <row r="5969">
          <cell r="A5969" t="str">
            <v>M1</v>
          </cell>
          <cell r="B5969" t="str">
            <v>A5C</v>
          </cell>
          <cell r="C5969" t="str">
            <v>P</v>
          </cell>
          <cell r="D5969" t="str">
            <v>22098</v>
          </cell>
          <cell r="E5969" t="str">
            <v>SOL</v>
          </cell>
          <cell r="F5969">
            <v>2</v>
          </cell>
          <cell r="G5969" t="str">
            <v>CB39020000040T</v>
          </cell>
          <cell r="H5969">
            <v>0.75</v>
          </cell>
          <cell r="I5969" t="str">
            <v>-</v>
          </cell>
          <cell r="J5969">
            <v>1</v>
          </cell>
          <cell r="K5969">
            <v>2</v>
          </cell>
        </row>
        <row r="5970">
          <cell r="A5970" t="str">
            <v>M1</v>
          </cell>
          <cell r="B5970" t="str">
            <v>A6C</v>
          </cell>
          <cell r="C5970" t="str">
            <v>HOR</v>
          </cell>
          <cell r="D5970" t="str">
            <v>65813</v>
          </cell>
          <cell r="E5970" t="str">
            <v>SOL</v>
          </cell>
          <cell r="F5970">
            <v>2</v>
          </cell>
          <cell r="G5970" t="str">
            <v>CB39020000040T</v>
          </cell>
          <cell r="H5970">
            <v>0.75</v>
          </cell>
          <cell r="I5970" t="str">
            <v>-</v>
          </cell>
          <cell r="J5970">
            <v>1</v>
          </cell>
          <cell r="K5970">
            <v>2</v>
          </cell>
        </row>
        <row r="5971">
          <cell r="A5971" t="str">
            <v>M1</v>
          </cell>
          <cell r="B5971" t="str">
            <v>A6C</v>
          </cell>
          <cell r="C5971" t="str">
            <v>HOS</v>
          </cell>
          <cell r="D5971" t="str">
            <v>65628</v>
          </cell>
          <cell r="E5971" t="str">
            <v>SOL</v>
          </cell>
          <cell r="F5971">
            <v>2</v>
          </cell>
          <cell r="G5971" t="str">
            <v>CB39020000040T</v>
          </cell>
          <cell r="H5971">
            <v>0.75</v>
          </cell>
          <cell r="I5971" t="str">
            <v>-</v>
          </cell>
          <cell r="J5971">
            <v>1</v>
          </cell>
          <cell r="K5971">
            <v>2</v>
          </cell>
        </row>
        <row r="5972">
          <cell r="A5972" t="str">
            <v>M1</v>
          </cell>
          <cell r="B5972" t="str">
            <v>B1C</v>
          </cell>
          <cell r="C5972" t="str">
            <v>P</v>
          </cell>
          <cell r="D5972" t="str">
            <v>22029</v>
          </cell>
          <cell r="E5972" t="str">
            <v>SOL</v>
          </cell>
          <cell r="F5972">
            <v>2</v>
          </cell>
          <cell r="G5972" t="str">
            <v>CB39020000040T</v>
          </cell>
          <cell r="H5972">
            <v>0.75</v>
          </cell>
          <cell r="I5972" t="str">
            <v>-</v>
          </cell>
          <cell r="J5972">
            <v>5</v>
          </cell>
          <cell r="K5972">
            <v>6</v>
          </cell>
        </row>
        <row r="5973">
          <cell r="A5973" t="str">
            <v>M1</v>
          </cell>
          <cell r="B5973" t="str">
            <v>A5C</v>
          </cell>
          <cell r="C5973" t="str">
            <v>P</v>
          </cell>
          <cell r="D5973" t="str">
            <v>22065</v>
          </cell>
          <cell r="E5973" t="str">
            <v>E RED</v>
          </cell>
          <cell r="F5973">
            <v>2</v>
          </cell>
          <cell r="G5973" t="str">
            <v>CB300604040604</v>
          </cell>
          <cell r="H5973">
            <v>4</v>
          </cell>
          <cell r="I5973" t="str">
            <v>-</v>
          </cell>
          <cell r="J5973">
            <v>2</v>
          </cell>
          <cell r="K5973">
            <v>3</v>
          </cell>
        </row>
        <row r="5974">
          <cell r="A5974" t="str">
            <v>M1</v>
          </cell>
          <cell r="B5974" t="str">
            <v>A5C</v>
          </cell>
          <cell r="C5974" t="str">
            <v>P</v>
          </cell>
          <cell r="D5974" t="str">
            <v>22066</v>
          </cell>
          <cell r="E5974" t="str">
            <v>E RED</v>
          </cell>
          <cell r="F5974">
            <v>2</v>
          </cell>
          <cell r="G5974" t="str">
            <v>CB300604040603</v>
          </cell>
          <cell r="H5974">
            <v>3</v>
          </cell>
          <cell r="I5974" t="str">
            <v>-</v>
          </cell>
          <cell r="J5974">
            <v>1</v>
          </cell>
          <cell r="K5974">
            <v>2</v>
          </cell>
        </row>
        <row r="5975">
          <cell r="A5975" t="str">
            <v>M1</v>
          </cell>
          <cell r="B5975" t="str">
            <v>A5C</v>
          </cell>
          <cell r="C5975" t="str">
            <v>P</v>
          </cell>
          <cell r="D5975" t="str">
            <v>22028</v>
          </cell>
          <cell r="E5975" t="str">
            <v>SOL</v>
          </cell>
          <cell r="F5975">
            <v>2</v>
          </cell>
          <cell r="G5975" t="str">
            <v>CB39020000060T</v>
          </cell>
          <cell r="H5975">
            <v>0.75</v>
          </cell>
          <cell r="I5975" t="str">
            <v>-</v>
          </cell>
          <cell r="J5975">
            <v>1</v>
          </cell>
          <cell r="K5975">
            <v>2</v>
          </cell>
        </row>
        <row r="5976">
          <cell r="A5976" t="str">
            <v>M1</v>
          </cell>
          <cell r="B5976" t="str">
            <v>A5C</v>
          </cell>
          <cell r="C5976" t="str">
            <v>P</v>
          </cell>
          <cell r="D5976" t="str">
            <v>22022</v>
          </cell>
          <cell r="E5976" t="str">
            <v>SOL</v>
          </cell>
          <cell r="F5976">
            <v>2</v>
          </cell>
          <cell r="G5976" t="str">
            <v>CB39020000060H</v>
          </cell>
          <cell r="H5976">
            <v>0.5</v>
          </cell>
          <cell r="I5976" t="str">
            <v>-</v>
          </cell>
          <cell r="J5976">
            <v>1</v>
          </cell>
          <cell r="K5976">
            <v>2</v>
          </cell>
        </row>
        <row r="5977">
          <cell r="A5977" t="str">
            <v>M1</v>
          </cell>
          <cell r="B5977" t="str">
            <v>A5C</v>
          </cell>
          <cell r="C5977" t="str">
            <v>P</v>
          </cell>
          <cell r="D5977" t="str">
            <v>22065</v>
          </cell>
          <cell r="E5977" t="str">
            <v>SOL</v>
          </cell>
          <cell r="F5977">
            <v>2</v>
          </cell>
          <cell r="G5977" t="str">
            <v>CB39020000060T</v>
          </cell>
          <cell r="H5977">
            <v>0.75</v>
          </cell>
          <cell r="I5977" t="str">
            <v>-</v>
          </cell>
          <cell r="J5977">
            <v>1</v>
          </cell>
          <cell r="K5977">
            <v>2</v>
          </cell>
        </row>
        <row r="5978">
          <cell r="A5978" t="str">
            <v>M1</v>
          </cell>
          <cell r="B5978" t="str">
            <v>A5C</v>
          </cell>
          <cell r="C5978" t="str">
            <v>TRIM</v>
          </cell>
          <cell r="D5978" t="str">
            <v>V-2214</v>
          </cell>
          <cell r="E5978" t="str">
            <v>CPLG</v>
          </cell>
          <cell r="F5978">
            <v>2</v>
          </cell>
          <cell r="G5978" t="str">
            <v>CB400500000100</v>
          </cell>
          <cell r="H5978">
            <v>1</v>
          </cell>
          <cell r="I5978" t="str">
            <v>--</v>
          </cell>
          <cell r="J5978">
            <v>1</v>
          </cell>
          <cell r="K5978">
            <v>1</v>
          </cell>
        </row>
        <row r="5979">
          <cell r="A5979" t="str">
            <v>M1</v>
          </cell>
          <cell r="B5979" t="str">
            <v>A5C</v>
          </cell>
          <cell r="C5979" t="str">
            <v>WW</v>
          </cell>
          <cell r="D5979" t="str">
            <v>22601</v>
          </cell>
          <cell r="E5979" t="str">
            <v>E RED</v>
          </cell>
          <cell r="F5979">
            <v>2</v>
          </cell>
          <cell r="G5979" t="str">
            <v>CB300604040604</v>
          </cell>
          <cell r="H5979">
            <v>4</v>
          </cell>
          <cell r="I5979" t="str">
            <v>-</v>
          </cell>
          <cell r="J5979">
            <v>2</v>
          </cell>
          <cell r="K5979">
            <v>3</v>
          </cell>
        </row>
        <row r="5980">
          <cell r="A5980" t="str">
            <v>M1</v>
          </cell>
          <cell r="B5980" t="str">
            <v>A6C</v>
          </cell>
          <cell r="C5980" t="str">
            <v>HOS</v>
          </cell>
          <cell r="D5980" t="str">
            <v>65624</v>
          </cell>
          <cell r="E5980" t="str">
            <v>SOL</v>
          </cell>
          <cell r="F5980">
            <v>2</v>
          </cell>
          <cell r="G5980" t="str">
            <v>CB39020000060T</v>
          </cell>
          <cell r="H5980">
            <v>0.75</v>
          </cell>
          <cell r="I5980" t="str">
            <v>-</v>
          </cell>
          <cell r="J5980">
            <v>1</v>
          </cell>
          <cell r="K5980">
            <v>2</v>
          </cell>
        </row>
        <row r="5981">
          <cell r="A5981" t="str">
            <v>M1</v>
          </cell>
          <cell r="B5981" t="str">
            <v>A6C</v>
          </cell>
          <cell r="C5981" t="str">
            <v>HOS</v>
          </cell>
          <cell r="D5981" t="str">
            <v>65624</v>
          </cell>
          <cell r="E5981" t="str">
            <v>SOL</v>
          </cell>
          <cell r="F5981">
            <v>2</v>
          </cell>
          <cell r="G5981" t="str">
            <v>CB39020000060T</v>
          </cell>
          <cell r="H5981">
            <v>0.75</v>
          </cell>
          <cell r="I5981" t="str">
            <v>-</v>
          </cell>
          <cell r="J5981">
            <v>1</v>
          </cell>
          <cell r="K5981">
            <v>2</v>
          </cell>
        </row>
        <row r="5982">
          <cell r="A5982" t="str">
            <v>M1</v>
          </cell>
          <cell r="B5982" t="str">
            <v>A6C</v>
          </cell>
          <cell r="C5982" t="str">
            <v>HOR</v>
          </cell>
          <cell r="D5982" t="str">
            <v>65611</v>
          </cell>
          <cell r="E5982" t="str">
            <v>SOL</v>
          </cell>
          <cell r="F5982">
            <v>2</v>
          </cell>
          <cell r="G5982" t="str">
            <v>CB39020000060T</v>
          </cell>
          <cell r="H5982">
            <v>0.75</v>
          </cell>
          <cell r="I5982" t="str">
            <v>-</v>
          </cell>
          <cell r="J5982">
            <v>1</v>
          </cell>
          <cell r="K5982">
            <v>2</v>
          </cell>
        </row>
        <row r="5983">
          <cell r="A5983" t="str">
            <v>M1</v>
          </cell>
          <cell r="B5983" t="str">
            <v>A6C</v>
          </cell>
          <cell r="C5983" t="str">
            <v>HOR</v>
          </cell>
          <cell r="D5983" t="str">
            <v>65611</v>
          </cell>
          <cell r="E5983" t="str">
            <v>SOL</v>
          </cell>
          <cell r="F5983">
            <v>2</v>
          </cell>
          <cell r="G5983" t="str">
            <v>CB39020000060T</v>
          </cell>
          <cell r="H5983">
            <v>0.75</v>
          </cell>
          <cell r="I5983" t="str">
            <v>-</v>
          </cell>
          <cell r="J5983">
            <v>1</v>
          </cell>
          <cell r="K5983">
            <v>2</v>
          </cell>
        </row>
        <row r="5984">
          <cell r="A5984" t="str">
            <v>M1</v>
          </cell>
          <cell r="B5984" t="str">
            <v>A5C</v>
          </cell>
          <cell r="C5984" t="str">
            <v>P</v>
          </cell>
          <cell r="D5984" t="str">
            <v>22118</v>
          </cell>
          <cell r="E5984" t="str">
            <v>C RED</v>
          </cell>
          <cell r="F5984">
            <v>2</v>
          </cell>
          <cell r="G5984" t="str">
            <v>CB300504040804</v>
          </cell>
          <cell r="H5984">
            <v>4</v>
          </cell>
          <cell r="I5984" t="str">
            <v>-</v>
          </cell>
          <cell r="J5984">
            <v>1</v>
          </cell>
          <cell r="K5984">
            <v>2</v>
          </cell>
        </row>
        <row r="5985">
          <cell r="A5985" t="str">
            <v>M1</v>
          </cell>
          <cell r="B5985" t="str">
            <v>A5C</v>
          </cell>
          <cell r="C5985" t="str">
            <v>P</v>
          </cell>
          <cell r="D5985" t="str">
            <v>22011</v>
          </cell>
          <cell r="E5985" t="str">
            <v>SOL</v>
          </cell>
          <cell r="F5985">
            <v>2</v>
          </cell>
          <cell r="G5985" t="str">
            <v>CB39020000080T</v>
          </cell>
          <cell r="H5985">
            <v>0.75</v>
          </cell>
          <cell r="I5985" t="str">
            <v>-</v>
          </cell>
          <cell r="J5985">
            <v>1</v>
          </cell>
          <cell r="K5985">
            <v>2</v>
          </cell>
        </row>
        <row r="5986">
          <cell r="A5986" t="str">
            <v>M1</v>
          </cell>
          <cell r="B5986" t="str">
            <v>A5C</v>
          </cell>
          <cell r="C5986" t="str">
            <v>P</v>
          </cell>
          <cell r="D5986" t="str">
            <v>22074</v>
          </cell>
          <cell r="E5986" t="str">
            <v>SOL</v>
          </cell>
          <cell r="F5986">
            <v>2</v>
          </cell>
          <cell r="G5986" t="str">
            <v>CB39020000080T</v>
          </cell>
          <cell r="H5986">
            <v>0.75</v>
          </cell>
          <cell r="I5986" t="str">
            <v>-</v>
          </cell>
          <cell r="J5986">
            <v>3</v>
          </cell>
          <cell r="K5986">
            <v>4</v>
          </cell>
        </row>
        <row r="5987">
          <cell r="A5987" t="str">
            <v>M1</v>
          </cell>
          <cell r="B5987" t="str">
            <v>A6C</v>
          </cell>
          <cell r="C5987" t="str">
            <v>HOS</v>
          </cell>
          <cell r="D5987" t="str">
            <v>65613</v>
          </cell>
          <cell r="E5987" t="str">
            <v>C RED</v>
          </cell>
          <cell r="F5987">
            <v>2</v>
          </cell>
          <cell r="G5987" t="str">
            <v>CB300504040806</v>
          </cell>
          <cell r="H5987">
            <v>6</v>
          </cell>
          <cell r="I5987" t="str">
            <v>-</v>
          </cell>
          <cell r="J5987">
            <v>2</v>
          </cell>
          <cell r="K5987">
            <v>3</v>
          </cell>
        </row>
        <row r="5988">
          <cell r="A5988" t="str">
            <v>M1</v>
          </cell>
          <cell r="B5988" t="str">
            <v>A6C</v>
          </cell>
          <cell r="C5988" t="str">
            <v>HOS</v>
          </cell>
          <cell r="D5988" t="str">
            <v>65624</v>
          </cell>
          <cell r="E5988" t="str">
            <v>C RED</v>
          </cell>
          <cell r="F5988">
            <v>2</v>
          </cell>
          <cell r="G5988" t="str">
            <v>CB300504040804</v>
          </cell>
          <cell r="H5988">
            <v>4</v>
          </cell>
          <cell r="I5988" t="str">
            <v>-</v>
          </cell>
          <cell r="J5988">
            <v>1</v>
          </cell>
          <cell r="K5988">
            <v>2</v>
          </cell>
        </row>
        <row r="5989">
          <cell r="A5989" t="str">
            <v>M1</v>
          </cell>
          <cell r="B5989" t="str">
            <v>A6C</v>
          </cell>
          <cell r="C5989" t="str">
            <v>HOS</v>
          </cell>
          <cell r="D5989" t="str">
            <v>65624</v>
          </cell>
          <cell r="E5989" t="str">
            <v>C RED</v>
          </cell>
          <cell r="F5989">
            <v>2</v>
          </cell>
          <cell r="G5989" t="str">
            <v>CB300504040806</v>
          </cell>
          <cell r="H5989">
            <v>6</v>
          </cell>
          <cell r="I5989" t="str">
            <v>-</v>
          </cell>
          <cell r="J5989">
            <v>1</v>
          </cell>
          <cell r="K5989">
            <v>2</v>
          </cell>
        </row>
        <row r="5990">
          <cell r="A5990" t="str">
            <v>M1</v>
          </cell>
          <cell r="B5990" t="str">
            <v>A6C</v>
          </cell>
          <cell r="C5990" t="str">
            <v>HOS</v>
          </cell>
          <cell r="D5990" t="str">
            <v>65624</v>
          </cell>
          <cell r="E5990" t="str">
            <v>C RED</v>
          </cell>
          <cell r="F5990">
            <v>2</v>
          </cell>
          <cell r="G5990" t="str">
            <v>CB300504040806</v>
          </cell>
          <cell r="H5990">
            <v>6</v>
          </cell>
          <cell r="I5990" t="str">
            <v>-</v>
          </cell>
          <cell r="J5990">
            <v>1</v>
          </cell>
          <cell r="K5990">
            <v>2</v>
          </cell>
        </row>
        <row r="5991">
          <cell r="A5991" t="str">
            <v>M1</v>
          </cell>
          <cell r="B5991" t="str">
            <v>A6C</v>
          </cell>
          <cell r="C5991" t="str">
            <v>HOR</v>
          </cell>
          <cell r="D5991" t="str">
            <v>65611</v>
          </cell>
          <cell r="E5991" t="str">
            <v>C RED</v>
          </cell>
          <cell r="F5991">
            <v>2</v>
          </cell>
          <cell r="G5991" t="str">
            <v>CB300504040806</v>
          </cell>
          <cell r="H5991">
            <v>6</v>
          </cell>
          <cell r="I5991" t="str">
            <v>-</v>
          </cell>
          <cell r="J5991">
            <v>1</v>
          </cell>
          <cell r="K5991">
            <v>2</v>
          </cell>
        </row>
        <row r="5992">
          <cell r="A5992" t="str">
            <v>M1</v>
          </cell>
          <cell r="B5992" t="str">
            <v>A6C</v>
          </cell>
          <cell r="C5992" t="str">
            <v>HOR</v>
          </cell>
          <cell r="D5992" t="str">
            <v>65611</v>
          </cell>
          <cell r="E5992" t="str">
            <v>C RED</v>
          </cell>
          <cell r="F5992">
            <v>2</v>
          </cell>
          <cell r="G5992" t="str">
            <v>CB300504040806</v>
          </cell>
          <cell r="H5992">
            <v>6</v>
          </cell>
          <cell r="I5992" t="str">
            <v>-</v>
          </cell>
          <cell r="J5992">
            <v>1</v>
          </cell>
          <cell r="K5992">
            <v>2</v>
          </cell>
        </row>
        <row r="5993">
          <cell r="A5993" t="str">
            <v>M1</v>
          </cell>
          <cell r="B5993" t="str">
            <v>A6C</v>
          </cell>
          <cell r="C5993" t="str">
            <v>HOR</v>
          </cell>
          <cell r="D5993" t="str">
            <v>65619</v>
          </cell>
          <cell r="E5993" t="str">
            <v>E RED</v>
          </cell>
          <cell r="F5993">
            <v>2</v>
          </cell>
          <cell r="G5993" t="str">
            <v>CB300604040806</v>
          </cell>
          <cell r="H5993">
            <v>6</v>
          </cell>
          <cell r="I5993" t="str">
            <v>-</v>
          </cell>
          <cell r="J5993">
            <v>2</v>
          </cell>
          <cell r="K5993">
            <v>3</v>
          </cell>
        </row>
        <row r="5994">
          <cell r="A5994" t="str">
            <v>M1</v>
          </cell>
          <cell r="B5994" t="str">
            <v>A6C</v>
          </cell>
          <cell r="C5994" t="str">
            <v>HOR</v>
          </cell>
          <cell r="D5994" t="str">
            <v>65619</v>
          </cell>
          <cell r="E5994" t="str">
            <v>E RED</v>
          </cell>
          <cell r="F5994">
            <v>2</v>
          </cell>
          <cell r="G5994" t="str">
            <v>CB300604040804</v>
          </cell>
          <cell r="H5994">
            <v>4</v>
          </cell>
          <cell r="I5994" t="str">
            <v>-</v>
          </cell>
          <cell r="J5994">
            <v>1</v>
          </cell>
          <cell r="K5994">
            <v>2</v>
          </cell>
        </row>
        <row r="5995">
          <cell r="A5995" t="str">
            <v>M1</v>
          </cell>
          <cell r="B5995" t="str">
            <v>A6C</v>
          </cell>
          <cell r="C5995" t="str">
            <v>HOS</v>
          </cell>
          <cell r="D5995" t="str">
            <v>65613</v>
          </cell>
          <cell r="E5995" t="str">
            <v>SOL</v>
          </cell>
          <cell r="F5995">
            <v>2</v>
          </cell>
          <cell r="G5995" t="str">
            <v>CB39020000080T</v>
          </cell>
          <cell r="H5995">
            <v>0.75</v>
          </cell>
          <cell r="I5995" t="str">
            <v>-</v>
          </cell>
          <cell r="J5995">
            <v>3</v>
          </cell>
          <cell r="K5995">
            <v>4</v>
          </cell>
        </row>
        <row r="5996">
          <cell r="A5996" t="str">
            <v>M1</v>
          </cell>
          <cell r="B5996" t="str">
            <v>A6C</v>
          </cell>
          <cell r="C5996" t="str">
            <v>HOS</v>
          </cell>
          <cell r="D5996" t="str">
            <v>65613</v>
          </cell>
          <cell r="E5996" t="str">
            <v>SOL</v>
          </cell>
          <cell r="F5996">
            <v>2</v>
          </cell>
          <cell r="G5996" t="str">
            <v>CB3902000008IH</v>
          </cell>
          <cell r="H5996">
            <v>1.5</v>
          </cell>
          <cell r="I5996" t="str">
            <v>-</v>
          </cell>
          <cell r="J5996">
            <v>1</v>
          </cell>
          <cell r="K5996">
            <v>2</v>
          </cell>
        </row>
        <row r="5997">
          <cell r="A5997" t="str">
            <v>M1</v>
          </cell>
          <cell r="B5997" t="str">
            <v>A6C</v>
          </cell>
          <cell r="C5997" t="str">
            <v>HOS</v>
          </cell>
          <cell r="D5997" t="str">
            <v>65619</v>
          </cell>
          <cell r="E5997" t="str">
            <v>SOL</v>
          </cell>
          <cell r="F5997">
            <v>2</v>
          </cell>
          <cell r="G5997" t="str">
            <v>CB39020000080T</v>
          </cell>
          <cell r="H5997">
            <v>0.75</v>
          </cell>
          <cell r="I5997" t="str">
            <v>-</v>
          </cell>
          <cell r="J5997">
            <v>1</v>
          </cell>
          <cell r="K5997">
            <v>2</v>
          </cell>
        </row>
        <row r="5998">
          <cell r="A5998" t="str">
            <v>M1</v>
          </cell>
          <cell r="B5998" t="str">
            <v>A6C</v>
          </cell>
          <cell r="C5998" t="str">
            <v>HOS</v>
          </cell>
          <cell r="D5998" t="str">
            <v>65627</v>
          </cell>
          <cell r="E5998" t="str">
            <v>SOL</v>
          </cell>
          <cell r="F5998">
            <v>2</v>
          </cell>
          <cell r="G5998" t="str">
            <v>CB39020000080T</v>
          </cell>
          <cell r="H5998">
            <v>0.75</v>
          </cell>
          <cell r="I5998" t="str">
            <v>-</v>
          </cell>
          <cell r="J5998">
            <v>1</v>
          </cell>
          <cell r="K5998">
            <v>2</v>
          </cell>
        </row>
        <row r="5999">
          <cell r="A5999" t="str">
            <v>M1</v>
          </cell>
          <cell r="B5999" t="str">
            <v>A5C</v>
          </cell>
          <cell r="C5999" t="str">
            <v>TRIM</v>
          </cell>
          <cell r="D5999" t="str">
            <v>V-2209</v>
          </cell>
          <cell r="E5999" t="str">
            <v>CPLG</v>
          </cell>
          <cell r="F5999">
            <v>2</v>
          </cell>
          <cell r="G5999" t="str">
            <v>CB400500000100</v>
          </cell>
          <cell r="H5999">
            <v>1</v>
          </cell>
          <cell r="I5999" t="str">
            <v>--</v>
          </cell>
          <cell r="J5999">
            <v>1</v>
          </cell>
          <cell r="K5999">
            <v>1</v>
          </cell>
        </row>
        <row r="6000">
          <cell r="A6000" t="str">
            <v>M1</v>
          </cell>
          <cell r="B6000" t="str">
            <v>A6C</v>
          </cell>
          <cell r="C6000" t="str">
            <v>HOS</v>
          </cell>
          <cell r="D6000" t="str">
            <v>65624</v>
          </cell>
          <cell r="E6000" t="str">
            <v>SOL</v>
          </cell>
          <cell r="F6000">
            <v>2</v>
          </cell>
          <cell r="G6000" t="str">
            <v>CB39020000080T</v>
          </cell>
          <cell r="H6000">
            <v>0.75</v>
          </cell>
          <cell r="I6000" t="str">
            <v>-</v>
          </cell>
          <cell r="J6000">
            <v>4</v>
          </cell>
          <cell r="K6000">
            <v>5</v>
          </cell>
        </row>
        <row r="6001">
          <cell r="A6001" t="str">
            <v>M1</v>
          </cell>
          <cell r="B6001" t="str">
            <v>A5C</v>
          </cell>
          <cell r="C6001" t="str">
            <v>P</v>
          </cell>
          <cell r="D6001" t="str">
            <v>22106</v>
          </cell>
          <cell r="E6001" t="str">
            <v>TEE</v>
          </cell>
          <cell r="F6001">
            <v>2</v>
          </cell>
          <cell r="G6001" t="str">
            <v>CB400300000100</v>
          </cell>
          <cell r="H6001">
            <v>1</v>
          </cell>
          <cell r="I6001" t="str">
            <v>--</v>
          </cell>
          <cell r="J6001">
            <v>1</v>
          </cell>
          <cell r="K6001">
            <v>1</v>
          </cell>
        </row>
        <row r="6002">
          <cell r="A6002" t="str">
            <v>M1</v>
          </cell>
          <cell r="B6002" t="str">
            <v>A6C</v>
          </cell>
          <cell r="C6002" t="str">
            <v>HOR</v>
          </cell>
          <cell r="D6002" t="str">
            <v>65611</v>
          </cell>
          <cell r="E6002" t="str">
            <v>SOL</v>
          </cell>
          <cell r="F6002">
            <v>2</v>
          </cell>
          <cell r="G6002" t="str">
            <v>CB39020000080T</v>
          </cell>
          <cell r="H6002">
            <v>0.75</v>
          </cell>
          <cell r="I6002" t="str">
            <v>-</v>
          </cell>
          <cell r="J6002">
            <v>1</v>
          </cell>
          <cell r="K6002">
            <v>2</v>
          </cell>
        </row>
        <row r="6003">
          <cell r="A6003" t="str">
            <v>M1</v>
          </cell>
          <cell r="B6003" t="str">
            <v>A5C</v>
          </cell>
          <cell r="C6003" t="str">
            <v>N</v>
          </cell>
          <cell r="D6003" t="str">
            <v>22630</v>
          </cell>
          <cell r="E6003" t="str">
            <v>90 ELL</v>
          </cell>
          <cell r="F6003">
            <v>2</v>
          </cell>
          <cell r="G6003" t="str">
            <v>CB400100000100</v>
          </cell>
          <cell r="H6003">
            <v>1</v>
          </cell>
          <cell r="I6003" t="str">
            <v>--</v>
          </cell>
          <cell r="J6003">
            <v>1</v>
          </cell>
          <cell r="K6003">
            <v>1</v>
          </cell>
        </row>
        <row r="6004">
          <cell r="A6004" t="str">
            <v>M1</v>
          </cell>
          <cell r="B6004" t="str">
            <v>A6C</v>
          </cell>
          <cell r="C6004" t="str">
            <v>HOS</v>
          </cell>
          <cell r="D6004" t="str">
            <v>65613</v>
          </cell>
          <cell r="E6004" t="str">
            <v>SOL</v>
          </cell>
          <cell r="F6004">
            <v>2</v>
          </cell>
          <cell r="G6004" t="str">
            <v>CB3902000008IH</v>
          </cell>
          <cell r="H6004">
            <v>1.5</v>
          </cell>
          <cell r="I6004" t="str">
            <v>-</v>
          </cell>
          <cell r="J6004">
            <v>1</v>
          </cell>
          <cell r="K6004">
            <v>2</v>
          </cell>
        </row>
        <row r="6005">
          <cell r="A6005" t="str">
            <v>M1</v>
          </cell>
          <cell r="B6005" t="str">
            <v>A5C</v>
          </cell>
          <cell r="C6005" t="str">
            <v>P</v>
          </cell>
          <cell r="D6005" t="str">
            <v>22041</v>
          </cell>
          <cell r="E6005" t="str">
            <v>90 ELL</v>
          </cell>
          <cell r="F6005">
            <v>2</v>
          </cell>
          <cell r="G6005" t="str">
            <v>CB400100001000</v>
          </cell>
          <cell r="H6005">
            <v>1</v>
          </cell>
          <cell r="I6005" t="str">
            <v>--</v>
          </cell>
          <cell r="J6005">
            <v>1</v>
          </cell>
          <cell r="K6005">
            <v>1</v>
          </cell>
        </row>
        <row r="6006">
          <cell r="A6006" t="str">
            <v>M1</v>
          </cell>
          <cell r="B6006" t="str">
            <v>A6C</v>
          </cell>
          <cell r="C6006" t="str">
            <v>HOR</v>
          </cell>
          <cell r="D6006" t="str">
            <v>65619</v>
          </cell>
          <cell r="E6006" t="str">
            <v>SOL</v>
          </cell>
          <cell r="F6006">
            <v>2</v>
          </cell>
          <cell r="G6006" t="str">
            <v>CB39020000080T</v>
          </cell>
          <cell r="H6006">
            <v>0.75</v>
          </cell>
          <cell r="I6006" t="str">
            <v>-</v>
          </cell>
          <cell r="J6006">
            <v>1</v>
          </cell>
          <cell r="K6006">
            <v>2</v>
          </cell>
        </row>
        <row r="6007">
          <cell r="A6007" t="str">
            <v>M1</v>
          </cell>
          <cell r="B6007" t="str">
            <v>A6C</v>
          </cell>
          <cell r="C6007" t="str">
            <v>HOR</v>
          </cell>
          <cell r="D6007" t="str">
            <v>65619</v>
          </cell>
          <cell r="E6007" t="str">
            <v>SOL</v>
          </cell>
          <cell r="F6007">
            <v>2</v>
          </cell>
          <cell r="G6007" t="str">
            <v>CB39020000080T</v>
          </cell>
          <cell r="H6007">
            <v>0.75</v>
          </cell>
          <cell r="I6007" t="str">
            <v>-</v>
          </cell>
          <cell r="J6007">
            <v>2</v>
          </cell>
          <cell r="K6007">
            <v>3</v>
          </cell>
        </row>
        <row r="6008">
          <cell r="A6008" t="str">
            <v>M1</v>
          </cell>
          <cell r="B6008" t="str">
            <v>A5C</v>
          </cell>
          <cell r="C6008" t="str">
            <v>P</v>
          </cell>
          <cell r="D6008" t="str">
            <v>22040</v>
          </cell>
          <cell r="E6008" t="str">
            <v>CPLG</v>
          </cell>
          <cell r="F6008">
            <v>2</v>
          </cell>
          <cell r="G6008" t="str">
            <v>CB400500000100</v>
          </cell>
          <cell r="H6008">
            <v>1</v>
          </cell>
          <cell r="I6008" t="str">
            <v>--</v>
          </cell>
          <cell r="J6008">
            <v>1</v>
          </cell>
          <cell r="K6008">
            <v>1</v>
          </cell>
        </row>
        <row r="6009">
          <cell r="A6009" t="str">
            <v>M1</v>
          </cell>
          <cell r="B6009" t="str">
            <v>A5C</v>
          </cell>
          <cell r="C6009" t="str">
            <v>P</v>
          </cell>
          <cell r="D6009" t="str">
            <v>22078</v>
          </cell>
          <cell r="E6009" t="str">
            <v>SOL</v>
          </cell>
          <cell r="F6009">
            <v>2</v>
          </cell>
          <cell r="G6009" t="str">
            <v>CB3902000010IH</v>
          </cell>
          <cell r="H6009">
            <v>1.5</v>
          </cell>
          <cell r="I6009" t="str">
            <v>-</v>
          </cell>
          <cell r="J6009">
            <v>1</v>
          </cell>
          <cell r="K6009">
            <v>2</v>
          </cell>
        </row>
        <row r="6010">
          <cell r="A6010" t="str">
            <v>M1</v>
          </cell>
          <cell r="B6010" t="str">
            <v>A5C</v>
          </cell>
          <cell r="C6010" t="str">
            <v>P</v>
          </cell>
          <cell r="D6010" t="str">
            <v>22062</v>
          </cell>
          <cell r="E6010" t="str">
            <v>C RED</v>
          </cell>
          <cell r="F6010">
            <v>2</v>
          </cell>
          <cell r="G6010" t="str">
            <v>CB300504041004</v>
          </cell>
          <cell r="H6010">
            <v>4</v>
          </cell>
          <cell r="I6010" t="str">
            <v>-</v>
          </cell>
          <cell r="J6010">
            <v>1</v>
          </cell>
          <cell r="K6010">
            <v>2</v>
          </cell>
        </row>
        <row r="6011">
          <cell r="A6011" t="str">
            <v>M1</v>
          </cell>
          <cell r="B6011" t="str">
            <v>A5C</v>
          </cell>
          <cell r="C6011" t="str">
            <v>P</v>
          </cell>
          <cell r="D6011" t="str">
            <v>22077</v>
          </cell>
          <cell r="E6011" t="str">
            <v>E RED</v>
          </cell>
          <cell r="F6011">
            <v>2</v>
          </cell>
          <cell r="G6011" t="str">
            <v>CB300604041008</v>
          </cell>
          <cell r="H6011">
            <v>8</v>
          </cell>
          <cell r="I6011" t="str">
            <v>-</v>
          </cell>
          <cell r="J6011">
            <v>2</v>
          </cell>
          <cell r="K6011">
            <v>3</v>
          </cell>
        </row>
        <row r="6012">
          <cell r="A6012" t="str">
            <v>M1</v>
          </cell>
          <cell r="B6012" t="str">
            <v>A5C</v>
          </cell>
          <cell r="C6012" t="str">
            <v>P</v>
          </cell>
          <cell r="D6012" t="str">
            <v>22060</v>
          </cell>
          <cell r="E6012" t="str">
            <v>SOL</v>
          </cell>
          <cell r="F6012">
            <v>2</v>
          </cell>
          <cell r="G6012" t="str">
            <v>CB39020000100T</v>
          </cell>
          <cell r="H6012">
            <v>0.75</v>
          </cell>
          <cell r="I6012" t="str">
            <v>-</v>
          </cell>
          <cell r="J6012">
            <v>1</v>
          </cell>
          <cell r="K6012">
            <v>2</v>
          </cell>
        </row>
        <row r="6013">
          <cell r="A6013" t="str">
            <v>M1</v>
          </cell>
          <cell r="B6013" t="str">
            <v>A5C</v>
          </cell>
          <cell r="C6013" t="str">
            <v>P</v>
          </cell>
          <cell r="D6013" t="str">
            <v>22062</v>
          </cell>
          <cell r="E6013" t="str">
            <v>SOL</v>
          </cell>
          <cell r="F6013">
            <v>2</v>
          </cell>
          <cell r="G6013" t="str">
            <v>CB39020000100T</v>
          </cell>
          <cell r="H6013">
            <v>0.75</v>
          </cell>
          <cell r="I6013" t="str">
            <v>-</v>
          </cell>
          <cell r="J6013">
            <v>2</v>
          </cell>
          <cell r="K6013">
            <v>3</v>
          </cell>
        </row>
        <row r="6014">
          <cell r="A6014" t="str">
            <v>M1</v>
          </cell>
          <cell r="B6014" t="str">
            <v>A5C</v>
          </cell>
          <cell r="C6014" t="str">
            <v>P</v>
          </cell>
          <cell r="D6014" t="str">
            <v>22071</v>
          </cell>
          <cell r="E6014" t="str">
            <v>R TEE</v>
          </cell>
          <cell r="F6014">
            <v>2</v>
          </cell>
          <cell r="G6014" t="str">
            <v>CB400400001H01</v>
          </cell>
          <cell r="H6014">
            <v>1</v>
          </cell>
          <cell r="I6014" t="str">
            <v>-</v>
          </cell>
          <cell r="J6014">
            <v>1</v>
          </cell>
          <cell r="K6014">
            <v>1</v>
          </cell>
        </row>
        <row r="6015">
          <cell r="A6015" t="str">
            <v>M1</v>
          </cell>
          <cell r="B6015" t="str">
            <v>A5C</v>
          </cell>
          <cell r="C6015" t="str">
            <v>P</v>
          </cell>
          <cell r="D6015" t="str">
            <v>22062</v>
          </cell>
          <cell r="E6015" t="str">
            <v>SOL</v>
          </cell>
          <cell r="F6015">
            <v>2</v>
          </cell>
          <cell r="G6015" t="str">
            <v>CB39020000100T</v>
          </cell>
          <cell r="H6015">
            <v>0.75</v>
          </cell>
          <cell r="I6015" t="str">
            <v>-</v>
          </cell>
          <cell r="J6015">
            <v>1</v>
          </cell>
          <cell r="K6015">
            <v>2</v>
          </cell>
        </row>
        <row r="6016">
          <cell r="A6016" t="str">
            <v>M1</v>
          </cell>
          <cell r="B6016" t="str">
            <v>A5C</v>
          </cell>
          <cell r="C6016" t="str">
            <v>P</v>
          </cell>
          <cell r="D6016" t="str">
            <v>22077</v>
          </cell>
          <cell r="E6016" t="str">
            <v>SOL</v>
          </cell>
          <cell r="F6016">
            <v>2</v>
          </cell>
          <cell r="G6016" t="str">
            <v>CB39020000100T</v>
          </cell>
          <cell r="H6016">
            <v>0.75</v>
          </cell>
          <cell r="I6016" t="str">
            <v>-</v>
          </cell>
          <cell r="J6016">
            <v>1</v>
          </cell>
          <cell r="K6016">
            <v>2</v>
          </cell>
        </row>
        <row r="6017">
          <cell r="A6017" t="str">
            <v>M1</v>
          </cell>
          <cell r="B6017" t="str">
            <v>A5C</v>
          </cell>
          <cell r="C6017" t="str">
            <v>P</v>
          </cell>
          <cell r="D6017" t="str">
            <v>22109</v>
          </cell>
          <cell r="E6017" t="str">
            <v>CAP</v>
          </cell>
          <cell r="F6017">
            <v>2</v>
          </cell>
          <cell r="G6017" t="str">
            <v>CB520700000100</v>
          </cell>
          <cell r="H6017">
            <v>1</v>
          </cell>
          <cell r="I6017" t="str">
            <v>--</v>
          </cell>
          <cell r="J6017">
            <v>1</v>
          </cell>
          <cell r="K6017">
            <v>1</v>
          </cell>
        </row>
        <row r="6018">
          <cell r="A6018" t="str">
            <v>M1</v>
          </cell>
          <cell r="B6018" t="str">
            <v>A5C</v>
          </cell>
          <cell r="C6018" t="str">
            <v>P</v>
          </cell>
          <cell r="D6018" t="str">
            <v>22077</v>
          </cell>
          <cell r="E6018" t="str">
            <v>SOL</v>
          </cell>
          <cell r="F6018">
            <v>2</v>
          </cell>
          <cell r="G6018" t="str">
            <v>CB39020000100T</v>
          </cell>
          <cell r="H6018">
            <v>0.75</v>
          </cell>
          <cell r="I6018" t="str">
            <v>-</v>
          </cell>
          <cell r="J6018">
            <v>1</v>
          </cell>
          <cell r="K6018">
            <v>2</v>
          </cell>
        </row>
        <row r="6019">
          <cell r="A6019" t="str">
            <v>M1</v>
          </cell>
          <cell r="B6019" t="str">
            <v>A5C</v>
          </cell>
          <cell r="C6019" t="str">
            <v>P</v>
          </cell>
          <cell r="D6019" t="str">
            <v>22077</v>
          </cell>
          <cell r="E6019" t="str">
            <v>SOL</v>
          </cell>
          <cell r="F6019">
            <v>2</v>
          </cell>
          <cell r="G6019" t="str">
            <v>CB3902000010IH</v>
          </cell>
          <cell r="H6019">
            <v>1.5</v>
          </cell>
          <cell r="I6019" t="str">
            <v>-</v>
          </cell>
          <cell r="J6019">
            <v>1</v>
          </cell>
          <cell r="K6019">
            <v>2</v>
          </cell>
        </row>
        <row r="6020">
          <cell r="A6020" t="str">
            <v>M1</v>
          </cell>
          <cell r="B6020" t="str">
            <v>A5C</v>
          </cell>
          <cell r="C6020" t="str">
            <v>P</v>
          </cell>
          <cell r="D6020" t="str">
            <v>22073</v>
          </cell>
          <cell r="E6020" t="str">
            <v>SOL</v>
          </cell>
          <cell r="F6020">
            <v>2</v>
          </cell>
          <cell r="G6020" t="str">
            <v>CB39020000100T</v>
          </cell>
          <cell r="H6020">
            <v>0.75</v>
          </cell>
          <cell r="I6020" t="str">
            <v>-</v>
          </cell>
          <cell r="J6020">
            <v>2</v>
          </cell>
          <cell r="K6020">
            <v>3</v>
          </cell>
        </row>
        <row r="6021">
          <cell r="A6021" t="str">
            <v>M1</v>
          </cell>
          <cell r="B6021" t="str">
            <v>A4C</v>
          </cell>
          <cell r="C6021" t="str">
            <v>P</v>
          </cell>
          <cell r="D6021" t="str">
            <v>22008</v>
          </cell>
          <cell r="E6021" t="str">
            <v>SOL</v>
          </cell>
          <cell r="F6021">
            <v>2</v>
          </cell>
          <cell r="G6021" t="str">
            <v>CB39020000100T</v>
          </cell>
          <cell r="H6021">
            <v>0.75</v>
          </cell>
          <cell r="I6021" t="str">
            <v>-</v>
          </cell>
          <cell r="J6021">
            <v>1</v>
          </cell>
          <cell r="K6021">
            <v>2</v>
          </cell>
        </row>
        <row r="6022">
          <cell r="A6022" t="str">
            <v>M1</v>
          </cell>
          <cell r="B6022" t="str">
            <v>A5C</v>
          </cell>
          <cell r="C6022" t="str">
            <v>P</v>
          </cell>
          <cell r="D6022" t="str">
            <v>22102</v>
          </cell>
          <cell r="E6022" t="str">
            <v>R TEE</v>
          </cell>
          <cell r="F6022">
            <v>2</v>
          </cell>
          <cell r="G6022" t="str">
            <v>CB400400001H01</v>
          </cell>
          <cell r="H6022">
            <v>1</v>
          </cell>
          <cell r="I6022" t="str">
            <v>-</v>
          </cell>
          <cell r="J6022">
            <v>1</v>
          </cell>
          <cell r="K6022">
            <v>1</v>
          </cell>
        </row>
        <row r="6023">
          <cell r="A6023" t="str">
            <v>M1</v>
          </cell>
          <cell r="B6023" t="str">
            <v>A4C</v>
          </cell>
          <cell r="C6023" t="str">
            <v>P</v>
          </cell>
          <cell r="D6023" t="str">
            <v>22008</v>
          </cell>
          <cell r="E6023" t="str">
            <v>SOL</v>
          </cell>
          <cell r="F6023">
            <v>2</v>
          </cell>
          <cell r="G6023" t="str">
            <v>CB39020000100T</v>
          </cell>
          <cell r="H6023">
            <v>0.75</v>
          </cell>
          <cell r="I6023" t="str">
            <v>-</v>
          </cell>
          <cell r="J6023">
            <v>1</v>
          </cell>
          <cell r="K6023">
            <v>2</v>
          </cell>
        </row>
        <row r="6024">
          <cell r="A6024" t="str">
            <v>M1</v>
          </cell>
          <cell r="B6024" t="str">
            <v>A4C</v>
          </cell>
          <cell r="C6024" t="str">
            <v>P</v>
          </cell>
          <cell r="D6024" t="str">
            <v>22008</v>
          </cell>
          <cell r="E6024" t="str">
            <v>SOL</v>
          </cell>
          <cell r="F6024">
            <v>2</v>
          </cell>
          <cell r="G6024" t="str">
            <v>CB3902000010IH</v>
          </cell>
          <cell r="H6024">
            <v>1.5</v>
          </cell>
          <cell r="I6024" t="str">
            <v>-</v>
          </cell>
          <cell r="J6024">
            <v>2</v>
          </cell>
          <cell r="K6024">
            <v>3</v>
          </cell>
        </row>
        <row r="6025">
          <cell r="A6025" t="str">
            <v>M1</v>
          </cell>
          <cell r="B6025" t="str">
            <v>A4C</v>
          </cell>
          <cell r="C6025" t="str">
            <v>P</v>
          </cell>
          <cell r="D6025" t="str">
            <v>22008</v>
          </cell>
          <cell r="E6025" t="str">
            <v>SOL</v>
          </cell>
          <cell r="F6025">
            <v>2</v>
          </cell>
          <cell r="G6025" t="str">
            <v>CB39020000100T</v>
          </cell>
          <cell r="H6025">
            <v>0.75</v>
          </cell>
          <cell r="I6025" t="str">
            <v>-</v>
          </cell>
          <cell r="J6025">
            <v>2</v>
          </cell>
          <cell r="K6025">
            <v>3</v>
          </cell>
        </row>
        <row r="6026">
          <cell r="A6026" t="str">
            <v>M1</v>
          </cell>
          <cell r="B6026" t="str">
            <v>A5C</v>
          </cell>
          <cell r="C6026" t="str">
            <v>P</v>
          </cell>
          <cell r="D6026" t="str">
            <v>22111</v>
          </cell>
          <cell r="E6026" t="str">
            <v>C SWG</v>
          </cell>
          <cell r="F6026">
            <v>2</v>
          </cell>
          <cell r="G6026" t="str">
            <v>CB161108081H01</v>
          </cell>
          <cell r="H6026">
            <v>1</v>
          </cell>
          <cell r="I6026" t="str">
            <v>-</v>
          </cell>
          <cell r="J6026">
            <v>1</v>
          </cell>
          <cell r="K6026">
            <v>1</v>
          </cell>
        </row>
        <row r="6027">
          <cell r="A6027" t="str">
            <v>M1</v>
          </cell>
          <cell r="B6027" t="str">
            <v>B1X</v>
          </cell>
          <cell r="C6027" t="str">
            <v>P</v>
          </cell>
          <cell r="D6027" t="str">
            <v>22042</v>
          </cell>
          <cell r="E6027" t="str">
            <v>SOL</v>
          </cell>
          <cell r="F6027">
            <v>2</v>
          </cell>
          <cell r="G6027" t="str">
            <v>CB39020000120T</v>
          </cell>
          <cell r="H6027">
            <v>0.75</v>
          </cell>
          <cell r="I6027" t="str">
            <v>-</v>
          </cell>
          <cell r="J6027">
            <v>2</v>
          </cell>
          <cell r="K6027">
            <v>3</v>
          </cell>
        </row>
        <row r="6028">
          <cell r="A6028" t="str">
            <v>M1</v>
          </cell>
          <cell r="B6028" t="str">
            <v>A5C</v>
          </cell>
          <cell r="C6028" t="str">
            <v>P</v>
          </cell>
          <cell r="D6028" t="str">
            <v>22058</v>
          </cell>
          <cell r="E6028" t="str">
            <v>SOL</v>
          </cell>
          <cell r="F6028">
            <v>2</v>
          </cell>
          <cell r="G6028" t="str">
            <v>CB39020000140T</v>
          </cell>
          <cell r="H6028">
            <v>0.75</v>
          </cell>
          <cell r="I6028" t="str">
            <v>-</v>
          </cell>
          <cell r="J6028">
            <v>1</v>
          </cell>
          <cell r="K6028">
            <v>1</v>
          </cell>
        </row>
        <row r="6029">
          <cell r="A6029" t="str">
            <v>M1</v>
          </cell>
          <cell r="B6029" t="str">
            <v>B1C</v>
          </cell>
          <cell r="C6029" t="str">
            <v>P</v>
          </cell>
          <cell r="D6029" t="str">
            <v>22027</v>
          </cell>
          <cell r="E6029" t="str">
            <v>SOL</v>
          </cell>
          <cell r="F6029">
            <v>2</v>
          </cell>
          <cell r="G6029" t="str">
            <v>CB39020000140T</v>
          </cell>
          <cell r="H6029">
            <v>0.75</v>
          </cell>
          <cell r="I6029" t="str">
            <v>-</v>
          </cell>
          <cell r="J6029">
            <v>1</v>
          </cell>
          <cell r="K6029">
            <v>1</v>
          </cell>
        </row>
        <row r="6030">
          <cell r="A6030" t="str">
            <v>M2</v>
          </cell>
          <cell r="B6030" t="str">
            <v>A5C</v>
          </cell>
          <cell r="C6030" t="str">
            <v>P</v>
          </cell>
          <cell r="D6030" t="str">
            <v>23063</v>
          </cell>
          <cell r="E6030" t="str">
            <v>E SWG</v>
          </cell>
          <cell r="F6030">
            <v>2</v>
          </cell>
          <cell r="G6030" t="str">
            <v>CB162108080T0H</v>
          </cell>
          <cell r="H6030">
            <v>0.5</v>
          </cell>
          <cell r="I6030" t="str">
            <v>-</v>
          </cell>
          <cell r="J6030">
            <v>2</v>
          </cell>
          <cell r="K6030">
            <v>2</v>
          </cell>
        </row>
        <row r="6031">
          <cell r="A6031" t="str">
            <v>M2</v>
          </cell>
          <cell r="B6031" t="str">
            <v>A5C</v>
          </cell>
          <cell r="C6031" t="str">
            <v>P</v>
          </cell>
          <cell r="D6031" t="str">
            <v>23078</v>
          </cell>
          <cell r="E6031" t="str">
            <v>E SWG</v>
          </cell>
          <cell r="F6031">
            <v>2</v>
          </cell>
          <cell r="G6031" t="str">
            <v>CB162108080T0H</v>
          </cell>
          <cell r="H6031">
            <v>0.5</v>
          </cell>
          <cell r="I6031" t="str">
            <v>-</v>
          </cell>
          <cell r="J6031">
            <v>2</v>
          </cell>
          <cell r="K6031">
            <v>2</v>
          </cell>
        </row>
        <row r="6032">
          <cell r="A6032" t="str">
            <v>M2</v>
          </cell>
          <cell r="B6032" t="str">
            <v>A5C</v>
          </cell>
          <cell r="C6032" t="str">
            <v>P</v>
          </cell>
          <cell r="D6032" t="str">
            <v>23094</v>
          </cell>
          <cell r="E6032" t="str">
            <v>E SWG</v>
          </cell>
          <cell r="F6032">
            <v>2</v>
          </cell>
          <cell r="G6032" t="str">
            <v>CB162108080T0H</v>
          </cell>
          <cell r="H6032">
            <v>0.5</v>
          </cell>
          <cell r="I6032" t="str">
            <v>-</v>
          </cell>
          <cell r="J6032">
            <v>2</v>
          </cell>
          <cell r="K6032">
            <v>2</v>
          </cell>
        </row>
        <row r="6033">
          <cell r="A6033" t="str">
            <v>M2</v>
          </cell>
          <cell r="B6033" t="str">
            <v>A5C</v>
          </cell>
          <cell r="C6033" t="str">
            <v>P</v>
          </cell>
          <cell r="D6033" t="str">
            <v>23113</v>
          </cell>
          <cell r="E6033" t="str">
            <v>E SWG</v>
          </cell>
          <cell r="F6033">
            <v>2</v>
          </cell>
          <cell r="G6033" t="str">
            <v>CB162108080T0H</v>
          </cell>
          <cell r="H6033">
            <v>0.5</v>
          </cell>
          <cell r="I6033" t="str">
            <v>-</v>
          </cell>
          <cell r="J6033">
            <v>2</v>
          </cell>
          <cell r="K6033">
            <v>2</v>
          </cell>
        </row>
        <row r="6034">
          <cell r="A6034" t="str">
            <v>M2</v>
          </cell>
          <cell r="B6034" t="str">
            <v>A5C</v>
          </cell>
          <cell r="C6034" t="str">
            <v>P</v>
          </cell>
          <cell r="D6034" t="str">
            <v>23188</v>
          </cell>
          <cell r="E6034" t="str">
            <v>E SWG</v>
          </cell>
          <cell r="F6034">
            <v>2</v>
          </cell>
          <cell r="G6034" t="str">
            <v>CB162108080T0H</v>
          </cell>
          <cell r="H6034">
            <v>0.5</v>
          </cell>
          <cell r="I6034" t="str">
            <v>-</v>
          </cell>
          <cell r="J6034">
            <v>1</v>
          </cell>
          <cell r="K6034">
            <v>1</v>
          </cell>
        </row>
        <row r="6035">
          <cell r="A6035" t="str">
            <v>M2</v>
          </cell>
          <cell r="B6035" t="str">
            <v>A5C</v>
          </cell>
          <cell r="C6035" t="str">
            <v>P</v>
          </cell>
          <cell r="D6035" t="str">
            <v>23094</v>
          </cell>
          <cell r="E6035" t="str">
            <v>R TEE</v>
          </cell>
          <cell r="F6035">
            <v>2</v>
          </cell>
          <cell r="G6035" t="str">
            <v>CB400400000T0H</v>
          </cell>
          <cell r="H6035">
            <v>0.5</v>
          </cell>
          <cell r="I6035" t="str">
            <v>-</v>
          </cell>
          <cell r="J6035">
            <v>2</v>
          </cell>
          <cell r="K6035">
            <v>2</v>
          </cell>
        </row>
        <row r="6036">
          <cell r="A6036" t="str">
            <v>M2</v>
          </cell>
          <cell r="B6036" t="str">
            <v>A5C</v>
          </cell>
          <cell r="C6036" t="str">
            <v>P</v>
          </cell>
          <cell r="D6036" t="str">
            <v>23113</v>
          </cell>
          <cell r="E6036" t="str">
            <v>R TEE</v>
          </cell>
          <cell r="F6036">
            <v>2</v>
          </cell>
          <cell r="G6036" t="str">
            <v>CB400400000T0H</v>
          </cell>
          <cell r="H6036">
            <v>0.5</v>
          </cell>
          <cell r="I6036" t="str">
            <v>-</v>
          </cell>
          <cell r="J6036">
            <v>2</v>
          </cell>
          <cell r="K6036">
            <v>2</v>
          </cell>
        </row>
        <row r="6037">
          <cell r="A6037" t="str">
            <v>M2</v>
          </cell>
          <cell r="B6037" t="str">
            <v>B2C</v>
          </cell>
          <cell r="C6037" t="str">
            <v>SH</v>
          </cell>
          <cell r="D6037" t="str">
            <v>24612</v>
          </cell>
          <cell r="E6037" t="str">
            <v>C SWG</v>
          </cell>
          <cell r="F6037">
            <v>2</v>
          </cell>
          <cell r="G6037" t="str">
            <v>CB16110808010T</v>
          </cell>
          <cell r="H6037">
            <v>0.75</v>
          </cell>
          <cell r="I6037" t="str">
            <v>-</v>
          </cell>
          <cell r="J6037">
            <v>1</v>
          </cell>
          <cell r="K6037">
            <v>1</v>
          </cell>
        </row>
        <row r="6038">
          <cell r="A6038" t="str">
            <v>M2</v>
          </cell>
          <cell r="B6038" t="str">
            <v>A5C</v>
          </cell>
          <cell r="C6038" t="str">
            <v>P</v>
          </cell>
          <cell r="D6038" t="str">
            <v>23081</v>
          </cell>
          <cell r="E6038" t="str">
            <v>C SWG</v>
          </cell>
          <cell r="F6038">
            <v>2</v>
          </cell>
          <cell r="G6038" t="str">
            <v>CB16110808010T</v>
          </cell>
          <cell r="H6038">
            <v>0.75</v>
          </cell>
          <cell r="I6038" t="str">
            <v>-</v>
          </cell>
          <cell r="J6038">
            <v>1</v>
          </cell>
          <cell r="K6038">
            <v>1</v>
          </cell>
        </row>
        <row r="6039">
          <cell r="A6039" t="str">
            <v>M2</v>
          </cell>
          <cell r="B6039" t="str">
            <v>A5C</v>
          </cell>
          <cell r="C6039" t="str">
            <v>P</v>
          </cell>
          <cell r="D6039" t="str">
            <v>23101</v>
          </cell>
          <cell r="E6039" t="str">
            <v>C SWG</v>
          </cell>
          <cell r="F6039">
            <v>2</v>
          </cell>
          <cell r="G6039" t="str">
            <v>CB16110808010T</v>
          </cell>
          <cell r="H6039">
            <v>0.75</v>
          </cell>
          <cell r="I6039" t="str">
            <v>-</v>
          </cell>
          <cell r="J6039">
            <v>1</v>
          </cell>
          <cell r="K6039">
            <v>1</v>
          </cell>
        </row>
        <row r="6040">
          <cell r="A6040" t="str">
            <v>M2</v>
          </cell>
          <cell r="B6040" t="str">
            <v>A5C</v>
          </cell>
          <cell r="C6040" t="str">
            <v>P</v>
          </cell>
          <cell r="D6040" t="str">
            <v>23104</v>
          </cell>
          <cell r="E6040" t="str">
            <v>C SWG</v>
          </cell>
          <cell r="F6040">
            <v>2</v>
          </cell>
          <cell r="G6040" t="str">
            <v>CB16110808010T</v>
          </cell>
          <cell r="H6040">
            <v>0.75</v>
          </cell>
          <cell r="I6040" t="str">
            <v>-</v>
          </cell>
          <cell r="J6040">
            <v>3</v>
          </cell>
          <cell r="K6040">
            <v>3</v>
          </cell>
        </row>
        <row r="6041">
          <cell r="A6041" t="str">
            <v>M2</v>
          </cell>
          <cell r="B6041" t="str">
            <v>A5C</v>
          </cell>
          <cell r="C6041" t="str">
            <v>P</v>
          </cell>
          <cell r="D6041" t="str">
            <v>23104</v>
          </cell>
          <cell r="E6041" t="str">
            <v>C SWG</v>
          </cell>
          <cell r="F6041">
            <v>2</v>
          </cell>
          <cell r="G6041" t="str">
            <v>CB16110808010T</v>
          </cell>
          <cell r="H6041">
            <v>0.75</v>
          </cell>
          <cell r="I6041" t="str">
            <v>-</v>
          </cell>
          <cell r="J6041">
            <v>3</v>
          </cell>
          <cell r="K6041">
            <v>3</v>
          </cell>
        </row>
        <row r="6042">
          <cell r="A6042" t="str">
            <v>M2</v>
          </cell>
          <cell r="B6042" t="str">
            <v>A5C</v>
          </cell>
          <cell r="C6042" t="str">
            <v>P</v>
          </cell>
          <cell r="D6042" t="str">
            <v>23105</v>
          </cell>
          <cell r="E6042" t="str">
            <v>C SWG</v>
          </cell>
          <cell r="F6042">
            <v>2</v>
          </cell>
          <cell r="G6042" t="str">
            <v>CB16110808010T</v>
          </cell>
          <cell r="H6042">
            <v>0.75</v>
          </cell>
          <cell r="I6042" t="str">
            <v>-</v>
          </cell>
          <cell r="J6042">
            <v>1</v>
          </cell>
          <cell r="K6042">
            <v>1</v>
          </cell>
        </row>
        <row r="6043">
          <cell r="A6043" t="str">
            <v>M2</v>
          </cell>
          <cell r="B6043" t="str">
            <v>A5C</v>
          </cell>
          <cell r="C6043" t="str">
            <v>P</v>
          </cell>
          <cell r="D6043" t="str">
            <v>23112</v>
          </cell>
          <cell r="E6043" t="str">
            <v>C SWG</v>
          </cell>
          <cell r="F6043">
            <v>2</v>
          </cell>
          <cell r="G6043" t="str">
            <v>CB16110808010T</v>
          </cell>
          <cell r="H6043">
            <v>0.75</v>
          </cell>
          <cell r="I6043" t="str">
            <v>-</v>
          </cell>
          <cell r="J6043">
            <v>3</v>
          </cell>
          <cell r="K6043">
            <v>3</v>
          </cell>
        </row>
        <row r="6044">
          <cell r="A6044" t="str">
            <v>M2</v>
          </cell>
          <cell r="B6044" t="str">
            <v>A5C</v>
          </cell>
          <cell r="C6044" t="str">
            <v>P</v>
          </cell>
          <cell r="D6044" t="str">
            <v>23113</v>
          </cell>
          <cell r="E6044" t="str">
            <v>C SWG</v>
          </cell>
          <cell r="F6044">
            <v>2</v>
          </cell>
          <cell r="G6044" t="str">
            <v>CB16110808010T</v>
          </cell>
          <cell r="H6044">
            <v>0.75</v>
          </cell>
          <cell r="I6044" t="str">
            <v>-</v>
          </cell>
          <cell r="J6044">
            <v>1</v>
          </cell>
          <cell r="K6044">
            <v>1</v>
          </cell>
        </row>
        <row r="6045">
          <cell r="A6045" t="str">
            <v>M2</v>
          </cell>
          <cell r="B6045" t="str">
            <v>A5C</v>
          </cell>
          <cell r="C6045" t="str">
            <v>P</v>
          </cell>
          <cell r="D6045" t="str">
            <v>23144</v>
          </cell>
          <cell r="E6045" t="str">
            <v>C SWG</v>
          </cell>
          <cell r="F6045">
            <v>2</v>
          </cell>
          <cell r="G6045" t="str">
            <v>CB16110808010T</v>
          </cell>
          <cell r="H6045">
            <v>0.75</v>
          </cell>
          <cell r="I6045" t="str">
            <v>-</v>
          </cell>
          <cell r="J6045">
            <v>2</v>
          </cell>
          <cell r="K6045">
            <v>2</v>
          </cell>
        </row>
        <row r="6046">
          <cell r="A6046" t="str">
            <v>M2</v>
          </cell>
          <cell r="B6046" t="str">
            <v>A5C</v>
          </cell>
          <cell r="C6046" t="str">
            <v>P</v>
          </cell>
          <cell r="D6046" t="str">
            <v>23145</v>
          </cell>
          <cell r="E6046" t="str">
            <v>C SWG</v>
          </cell>
          <cell r="F6046">
            <v>2</v>
          </cell>
          <cell r="G6046" t="str">
            <v>CB16110808010T</v>
          </cell>
          <cell r="H6046">
            <v>0.75</v>
          </cell>
          <cell r="I6046" t="str">
            <v>-</v>
          </cell>
          <cell r="J6046">
            <v>1</v>
          </cell>
          <cell r="K6046">
            <v>1</v>
          </cell>
        </row>
        <row r="6047">
          <cell r="A6047" t="str">
            <v>M2</v>
          </cell>
          <cell r="B6047" t="str">
            <v>A5C</v>
          </cell>
          <cell r="C6047" t="str">
            <v>P</v>
          </cell>
          <cell r="D6047" t="str">
            <v>23164</v>
          </cell>
          <cell r="E6047" t="str">
            <v>C SWG</v>
          </cell>
          <cell r="F6047">
            <v>2</v>
          </cell>
          <cell r="G6047" t="str">
            <v>CB16110808010T</v>
          </cell>
          <cell r="H6047">
            <v>0.75</v>
          </cell>
          <cell r="I6047" t="str">
            <v>-</v>
          </cell>
          <cell r="J6047">
            <v>2</v>
          </cell>
          <cell r="K6047">
            <v>2</v>
          </cell>
        </row>
        <row r="6048">
          <cell r="A6048" t="str">
            <v>M2</v>
          </cell>
          <cell r="B6048" t="str">
            <v>A5C</v>
          </cell>
          <cell r="C6048" t="str">
            <v>P</v>
          </cell>
          <cell r="D6048" t="str">
            <v>23225</v>
          </cell>
          <cell r="E6048" t="str">
            <v>C SWG</v>
          </cell>
          <cell r="F6048">
            <v>2</v>
          </cell>
          <cell r="G6048" t="str">
            <v>CB16110808010T</v>
          </cell>
          <cell r="H6048">
            <v>0.75</v>
          </cell>
          <cell r="I6048" t="str">
            <v>-</v>
          </cell>
          <cell r="J6048">
            <v>1</v>
          </cell>
          <cell r="K6048">
            <v>1</v>
          </cell>
        </row>
        <row r="6049">
          <cell r="A6049" t="str">
            <v>M2</v>
          </cell>
          <cell r="B6049" t="str">
            <v>A5C</v>
          </cell>
          <cell r="C6049" t="str">
            <v>P</v>
          </cell>
          <cell r="D6049" t="str">
            <v>23234</v>
          </cell>
          <cell r="E6049" t="str">
            <v>C SWG</v>
          </cell>
          <cell r="F6049">
            <v>2</v>
          </cell>
          <cell r="G6049" t="str">
            <v>CB16110808010T</v>
          </cell>
          <cell r="H6049">
            <v>0.75</v>
          </cell>
          <cell r="I6049" t="str">
            <v>-</v>
          </cell>
          <cell r="J6049">
            <v>1</v>
          </cell>
          <cell r="K6049">
            <v>1</v>
          </cell>
        </row>
        <row r="6050">
          <cell r="A6050" t="str">
            <v>M2</v>
          </cell>
          <cell r="B6050" t="str">
            <v>A5C</v>
          </cell>
          <cell r="C6050" t="str">
            <v>P</v>
          </cell>
          <cell r="D6050" t="str">
            <v>23238</v>
          </cell>
          <cell r="E6050" t="str">
            <v>C SWG</v>
          </cell>
          <cell r="F6050">
            <v>2</v>
          </cell>
          <cell r="G6050" t="str">
            <v>CB16110808010T</v>
          </cell>
          <cell r="H6050">
            <v>0.75</v>
          </cell>
          <cell r="I6050" t="str">
            <v>-</v>
          </cell>
          <cell r="J6050">
            <v>1</v>
          </cell>
          <cell r="K6050">
            <v>1</v>
          </cell>
        </row>
        <row r="6051">
          <cell r="A6051" t="str">
            <v>M2</v>
          </cell>
          <cell r="B6051" t="str">
            <v>A5C</v>
          </cell>
          <cell r="C6051" t="str">
            <v>P</v>
          </cell>
          <cell r="D6051" t="str">
            <v>23247</v>
          </cell>
          <cell r="E6051" t="str">
            <v>C SWG</v>
          </cell>
          <cell r="F6051">
            <v>2</v>
          </cell>
          <cell r="G6051" t="str">
            <v>CB16110808010T</v>
          </cell>
          <cell r="H6051">
            <v>0.75</v>
          </cell>
          <cell r="I6051" t="str">
            <v>-</v>
          </cell>
          <cell r="J6051">
            <v>1</v>
          </cell>
          <cell r="K6051">
            <v>1</v>
          </cell>
        </row>
        <row r="6052">
          <cell r="A6052" t="str">
            <v>M2</v>
          </cell>
          <cell r="B6052" t="str">
            <v>A5C</v>
          </cell>
          <cell r="C6052" t="str">
            <v>P</v>
          </cell>
          <cell r="D6052" t="str">
            <v>24024</v>
          </cell>
          <cell r="E6052" t="str">
            <v>C SWG</v>
          </cell>
          <cell r="F6052">
            <v>2</v>
          </cell>
          <cell r="G6052" t="str">
            <v>CB16110808010T</v>
          </cell>
          <cell r="H6052">
            <v>0.75</v>
          </cell>
          <cell r="I6052" t="str">
            <v>-</v>
          </cell>
          <cell r="J6052">
            <v>1</v>
          </cell>
          <cell r="K6052">
            <v>1</v>
          </cell>
        </row>
        <row r="6053">
          <cell r="A6053" t="str">
            <v>M2</v>
          </cell>
          <cell r="B6053" t="str">
            <v>A5C</v>
          </cell>
          <cell r="C6053" t="str">
            <v>TRIM</v>
          </cell>
          <cell r="D6053" t="str">
            <v>V-2316</v>
          </cell>
          <cell r="E6053" t="str">
            <v>C SWG</v>
          </cell>
          <cell r="F6053">
            <v>2</v>
          </cell>
          <cell r="G6053" t="str">
            <v>CB16110808010T</v>
          </cell>
          <cell r="H6053">
            <v>0.75</v>
          </cell>
          <cell r="I6053" t="str">
            <v>-</v>
          </cell>
          <cell r="J6053">
            <v>1</v>
          </cell>
          <cell r="K6053">
            <v>1</v>
          </cell>
        </row>
        <row r="6054">
          <cell r="A6054" t="str">
            <v>M2</v>
          </cell>
          <cell r="B6054" t="str">
            <v>A5C</v>
          </cell>
          <cell r="C6054" t="str">
            <v>P</v>
          </cell>
          <cell r="D6054" t="str">
            <v>23094</v>
          </cell>
          <cell r="E6054" t="str">
            <v>C SWG</v>
          </cell>
          <cell r="F6054">
            <v>2</v>
          </cell>
          <cell r="G6054" t="str">
            <v>CB16110808010T</v>
          </cell>
          <cell r="H6054">
            <v>0.75</v>
          </cell>
          <cell r="I6054" t="str">
            <v>-</v>
          </cell>
          <cell r="J6054">
            <v>1</v>
          </cell>
          <cell r="K6054">
            <v>1</v>
          </cell>
        </row>
        <row r="6055">
          <cell r="A6055" t="str">
            <v>M2</v>
          </cell>
          <cell r="B6055" t="str">
            <v>A5C</v>
          </cell>
          <cell r="C6055" t="str">
            <v>P</v>
          </cell>
          <cell r="D6055" t="str">
            <v>23108</v>
          </cell>
          <cell r="E6055" t="str">
            <v>C SWG</v>
          </cell>
          <cell r="F6055">
            <v>2</v>
          </cell>
          <cell r="G6055" t="str">
            <v>CB16110808010T</v>
          </cell>
          <cell r="H6055">
            <v>0.75</v>
          </cell>
          <cell r="I6055" t="str">
            <v>-</v>
          </cell>
          <cell r="J6055">
            <v>3</v>
          </cell>
          <cell r="K6055">
            <v>3</v>
          </cell>
        </row>
        <row r="6056">
          <cell r="A6056" t="str">
            <v>M2</v>
          </cell>
          <cell r="B6056" t="str">
            <v>A5C</v>
          </cell>
          <cell r="C6056" t="str">
            <v>P</v>
          </cell>
          <cell r="D6056" t="str">
            <v>23108</v>
          </cell>
          <cell r="E6056" t="str">
            <v>C SWG</v>
          </cell>
          <cell r="F6056">
            <v>2</v>
          </cell>
          <cell r="G6056" t="str">
            <v>CB16110808010T</v>
          </cell>
          <cell r="H6056">
            <v>0.75</v>
          </cell>
          <cell r="I6056" t="str">
            <v>-</v>
          </cell>
          <cell r="J6056">
            <v>3</v>
          </cell>
          <cell r="K6056">
            <v>3</v>
          </cell>
        </row>
        <row r="6057">
          <cell r="A6057" t="str">
            <v>M2</v>
          </cell>
          <cell r="B6057" t="str">
            <v>A5C</v>
          </cell>
          <cell r="C6057" t="str">
            <v>P</v>
          </cell>
          <cell r="D6057" t="str">
            <v>23109</v>
          </cell>
          <cell r="E6057" t="str">
            <v>C SWG</v>
          </cell>
          <cell r="F6057">
            <v>2</v>
          </cell>
          <cell r="G6057" t="str">
            <v>CB16110808010T</v>
          </cell>
          <cell r="H6057">
            <v>0.75</v>
          </cell>
          <cell r="I6057" t="str">
            <v>-</v>
          </cell>
          <cell r="J6057">
            <v>1</v>
          </cell>
          <cell r="K6057">
            <v>1</v>
          </cell>
        </row>
        <row r="6058">
          <cell r="A6058" t="str">
            <v>M2</v>
          </cell>
          <cell r="B6058" t="str">
            <v>A5C</v>
          </cell>
          <cell r="C6058" t="str">
            <v>P</v>
          </cell>
          <cell r="D6058" t="str">
            <v>23112</v>
          </cell>
          <cell r="E6058" t="str">
            <v>C SWG</v>
          </cell>
          <cell r="F6058">
            <v>2</v>
          </cell>
          <cell r="G6058" t="str">
            <v>CB16110808010T</v>
          </cell>
          <cell r="H6058">
            <v>0.75</v>
          </cell>
          <cell r="I6058" t="str">
            <v>-</v>
          </cell>
          <cell r="J6058">
            <v>3</v>
          </cell>
          <cell r="K6058">
            <v>3</v>
          </cell>
        </row>
        <row r="6059">
          <cell r="A6059" t="str">
            <v>M2</v>
          </cell>
          <cell r="B6059" t="str">
            <v>A5C</v>
          </cell>
          <cell r="C6059" t="str">
            <v>P</v>
          </cell>
          <cell r="D6059" t="str">
            <v>23133</v>
          </cell>
          <cell r="E6059" t="str">
            <v>C SWG</v>
          </cell>
          <cell r="F6059">
            <v>2</v>
          </cell>
          <cell r="G6059" t="str">
            <v>CB16110808010T</v>
          </cell>
          <cell r="H6059">
            <v>0.75</v>
          </cell>
          <cell r="I6059" t="str">
            <v>-</v>
          </cell>
          <cell r="J6059">
            <v>1</v>
          </cell>
          <cell r="K6059">
            <v>1</v>
          </cell>
        </row>
        <row r="6060">
          <cell r="A6060" t="str">
            <v>M2</v>
          </cell>
          <cell r="B6060" t="str">
            <v>A5C</v>
          </cell>
          <cell r="C6060" t="str">
            <v>P</v>
          </cell>
          <cell r="D6060" t="str">
            <v>23141</v>
          </cell>
          <cell r="E6060" t="str">
            <v>C SWG</v>
          </cell>
          <cell r="F6060">
            <v>2</v>
          </cell>
          <cell r="G6060" t="str">
            <v>CB16110808010T</v>
          </cell>
          <cell r="H6060">
            <v>0.75</v>
          </cell>
          <cell r="I6060" t="str">
            <v>-</v>
          </cell>
          <cell r="J6060">
            <v>1</v>
          </cell>
          <cell r="K6060">
            <v>1</v>
          </cell>
        </row>
        <row r="6061">
          <cell r="A6061" t="str">
            <v>M2</v>
          </cell>
          <cell r="B6061" t="str">
            <v>A5C</v>
          </cell>
          <cell r="C6061" t="str">
            <v>P</v>
          </cell>
          <cell r="D6061" t="str">
            <v>23148</v>
          </cell>
          <cell r="E6061" t="str">
            <v>C SWG</v>
          </cell>
          <cell r="F6061">
            <v>2</v>
          </cell>
          <cell r="G6061" t="str">
            <v>CB16110808010T</v>
          </cell>
          <cell r="H6061">
            <v>0.75</v>
          </cell>
          <cell r="I6061" t="str">
            <v>-</v>
          </cell>
          <cell r="J6061">
            <v>2</v>
          </cell>
          <cell r="K6061">
            <v>2</v>
          </cell>
        </row>
        <row r="6062">
          <cell r="A6062" t="str">
            <v>M2</v>
          </cell>
          <cell r="B6062" t="str">
            <v>A5C</v>
          </cell>
          <cell r="C6062" t="str">
            <v>N</v>
          </cell>
          <cell r="D6062" t="str">
            <v>23613</v>
          </cell>
          <cell r="E6062" t="str">
            <v>E SWG</v>
          </cell>
          <cell r="F6062">
            <v>2</v>
          </cell>
          <cell r="G6062" t="str">
            <v>CB16210808010T</v>
          </cell>
          <cell r="H6062">
            <v>0.75</v>
          </cell>
          <cell r="I6062" t="str">
            <v>-</v>
          </cell>
          <cell r="J6062">
            <v>1</v>
          </cell>
          <cell r="K6062">
            <v>1</v>
          </cell>
        </row>
        <row r="6063">
          <cell r="A6063" t="str">
            <v>M2</v>
          </cell>
          <cell r="B6063" t="str">
            <v>A5C</v>
          </cell>
          <cell r="C6063" t="str">
            <v>P</v>
          </cell>
          <cell r="D6063" t="str">
            <v>23052</v>
          </cell>
          <cell r="E6063" t="str">
            <v>E SWG</v>
          </cell>
          <cell r="F6063">
            <v>2</v>
          </cell>
          <cell r="G6063" t="str">
            <v>CB16210808010T</v>
          </cell>
          <cell r="H6063">
            <v>0.75</v>
          </cell>
          <cell r="I6063" t="str">
            <v>-</v>
          </cell>
          <cell r="J6063">
            <v>2</v>
          </cell>
          <cell r="K6063">
            <v>2</v>
          </cell>
        </row>
        <row r="6064">
          <cell r="A6064" t="str">
            <v>M2</v>
          </cell>
          <cell r="B6064" t="str">
            <v>A5C</v>
          </cell>
          <cell r="C6064" t="str">
            <v>P</v>
          </cell>
          <cell r="D6064" t="str">
            <v>23037</v>
          </cell>
          <cell r="E6064" t="str">
            <v>E SWG</v>
          </cell>
          <cell r="F6064">
            <v>2</v>
          </cell>
          <cell r="G6064" t="str">
            <v>CB16210808010T</v>
          </cell>
          <cell r="H6064">
            <v>0.75</v>
          </cell>
          <cell r="I6064" t="str">
            <v>-</v>
          </cell>
          <cell r="J6064">
            <v>2</v>
          </cell>
          <cell r="K6064">
            <v>2</v>
          </cell>
        </row>
        <row r="6065">
          <cell r="A6065" t="str">
            <v>M2</v>
          </cell>
          <cell r="B6065" t="str">
            <v>A5C</v>
          </cell>
          <cell r="C6065" t="str">
            <v>P</v>
          </cell>
          <cell r="D6065" t="str">
            <v>23149</v>
          </cell>
          <cell r="E6065" t="str">
            <v>E SWG</v>
          </cell>
          <cell r="F6065">
            <v>2</v>
          </cell>
          <cell r="G6065" t="str">
            <v>CB16210808010T</v>
          </cell>
          <cell r="H6065">
            <v>0.75</v>
          </cell>
          <cell r="I6065" t="str">
            <v>-</v>
          </cell>
          <cell r="J6065">
            <v>2</v>
          </cell>
          <cell r="K6065">
            <v>2</v>
          </cell>
        </row>
        <row r="6066">
          <cell r="A6066" t="str">
            <v>M2</v>
          </cell>
          <cell r="B6066" t="str">
            <v>A5C</v>
          </cell>
          <cell r="C6066" t="str">
            <v>N</v>
          </cell>
          <cell r="D6066" t="str">
            <v>23632</v>
          </cell>
          <cell r="E6066" t="str">
            <v>R TEE</v>
          </cell>
          <cell r="F6066">
            <v>2</v>
          </cell>
          <cell r="G6066" t="str">
            <v>CB40040000010T</v>
          </cell>
          <cell r="H6066">
            <v>0.75</v>
          </cell>
          <cell r="I6066" t="str">
            <v>-</v>
          </cell>
          <cell r="J6066">
            <v>1</v>
          </cell>
          <cell r="K6066">
            <v>1</v>
          </cell>
        </row>
        <row r="6067">
          <cell r="A6067" t="str">
            <v>M2</v>
          </cell>
          <cell r="B6067" t="str">
            <v>A5C</v>
          </cell>
          <cell r="C6067" t="str">
            <v>N</v>
          </cell>
          <cell r="D6067" t="str">
            <v>23634</v>
          </cell>
          <cell r="E6067" t="str">
            <v>R TEE</v>
          </cell>
          <cell r="F6067">
            <v>2</v>
          </cell>
          <cell r="G6067" t="str">
            <v>CB40040000010T</v>
          </cell>
          <cell r="H6067">
            <v>0.75</v>
          </cell>
          <cell r="I6067" t="str">
            <v>-</v>
          </cell>
          <cell r="J6067">
            <v>1</v>
          </cell>
          <cell r="K6067">
            <v>1</v>
          </cell>
        </row>
        <row r="6068">
          <cell r="A6068" t="str">
            <v>M2</v>
          </cell>
          <cell r="B6068" t="str">
            <v>A5C</v>
          </cell>
          <cell r="C6068" t="str">
            <v>N</v>
          </cell>
          <cell r="D6068" t="str">
            <v>23638</v>
          </cell>
          <cell r="E6068" t="str">
            <v>R TEE</v>
          </cell>
          <cell r="F6068">
            <v>2</v>
          </cell>
          <cell r="G6068" t="str">
            <v>CB40040000010T</v>
          </cell>
          <cell r="H6068">
            <v>0.75</v>
          </cell>
          <cell r="I6068" t="str">
            <v>-</v>
          </cell>
          <cell r="J6068">
            <v>1</v>
          </cell>
          <cell r="K6068">
            <v>1</v>
          </cell>
        </row>
        <row r="6069">
          <cell r="A6069" t="str">
            <v>M2</v>
          </cell>
          <cell r="B6069" t="str">
            <v>A5C</v>
          </cell>
          <cell r="C6069" t="str">
            <v>N</v>
          </cell>
          <cell r="D6069" t="str">
            <v>23640</v>
          </cell>
          <cell r="E6069" t="str">
            <v>R TEE</v>
          </cell>
          <cell r="F6069">
            <v>2</v>
          </cell>
          <cell r="G6069" t="str">
            <v>CB40040000010T</v>
          </cell>
          <cell r="H6069">
            <v>0.75</v>
          </cell>
          <cell r="I6069" t="str">
            <v>-</v>
          </cell>
          <cell r="J6069">
            <v>1</v>
          </cell>
          <cell r="K6069">
            <v>1</v>
          </cell>
        </row>
        <row r="6070">
          <cell r="A6070" t="str">
            <v>M2</v>
          </cell>
          <cell r="B6070" t="str">
            <v>A5C</v>
          </cell>
          <cell r="C6070" t="str">
            <v>P</v>
          </cell>
          <cell r="D6070" t="str">
            <v>23052</v>
          </cell>
          <cell r="E6070" t="str">
            <v>R TEE</v>
          </cell>
          <cell r="F6070">
            <v>2</v>
          </cell>
          <cell r="G6070" t="str">
            <v>CB40040000010T</v>
          </cell>
          <cell r="H6070">
            <v>0.75</v>
          </cell>
          <cell r="I6070" t="str">
            <v>-</v>
          </cell>
          <cell r="J6070">
            <v>4</v>
          </cell>
          <cell r="K6070">
            <v>4</v>
          </cell>
        </row>
        <row r="6071">
          <cell r="A6071" t="str">
            <v>M2</v>
          </cell>
          <cell r="B6071" t="str">
            <v>A5C</v>
          </cell>
          <cell r="C6071" t="str">
            <v>P</v>
          </cell>
          <cell r="D6071" t="str">
            <v>23063</v>
          </cell>
          <cell r="E6071" t="str">
            <v>R TEE</v>
          </cell>
          <cell r="F6071">
            <v>2</v>
          </cell>
          <cell r="G6071" t="str">
            <v>CB40040000010T</v>
          </cell>
          <cell r="H6071">
            <v>0.75</v>
          </cell>
          <cell r="I6071" t="str">
            <v>-</v>
          </cell>
          <cell r="J6071">
            <v>2</v>
          </cell>
          <cell r="K6071">
            <v>2</v>
          </cell>
        </row>
        <row r="6072">
          <cell r="A6072" t="str">
            <v>M2</v>
          </cell>
          <cell r="B6072" t="str">
            <v>A5C</v>
          </cell>
          <cell r="C6072" t="str">
            <v>P</v>
          </cell>
          <cell r="D6072" t="str">
            <v>23078</v>
          </cell>
          <cell r="E6072" t="str">
            <v>R TEE</v>
          </cell>
          <cell r="F6072">
            <v>2</v>
          </cell>
          <cell r="G6072" t="str">
            <v>CB40040000010T</v>
          </cell>
          <cell r="H6072">
            <v>0.75</v>
          </cell>
          <cell r="I6072" t="str">
            <v>-</v>
          </cell>
          <cell r="J6072">
            <v>2</v>
          </cell>
          <cell r="K6072">
            <v>2</v>
          </cell>
        </row>
        <row r="6073">
          <cell r="A6073" t="str">
            <v>M2</v>
          </cell>
          <cell r="B6073" t="str">
            <v>A5C</v>
          </cell>
          <cell r="C6073" t="str">
            <v>P</v>
          </cell>
          <cell r="D6073" t="str">
            <v>23083</v>
          </cell>
          <cell r="E6073" t="str">
            <v>R TEE</v>
          </cell>
          <cell r="F6073">
            <v>2</v>
          </cell>
          <cell r="G6073" t="str">
            <v>CB40040000010T</v>
          </cell>
          <cell r="H6073">
            <v>0.75</v>
          </cell>
          <cell r="I6073" t="str">
            <v>-</v>
          </cell>
          <cell r="J6073">
            <v>2</v>
          </cell>
          <cell r="K6073">
            <v>2</v>
          </cell>
        </row>
        <row r="6074">
          <cell r="A6074" t="str">
            <v>M2</v>
          </cell>
          <cell r="B6074" t="str">
            <v>A5C</v>
          </cell>
          <cell r="C6074" t="str">
            <v>P</v>
          </cell>
          <cell r="D6074" t="str">
            <v>23122</v>
          </cell>
          <cell r="E6074" t="str">
            <v>R TEE</v>
          </cell>
          <cell r="F6074">
            <v>2</v>
          </cell>
          <cell r="G6074" t="str">
            <v>CB40040000010T</v>
          </cell>
          <cell r="H6074">
            <v>0.75</v>
          </cell>
          <cell r="I6074" t="str">
            <v>-</v>
          </cell>
          <cell r="J6074">
            <v>2</v>
          </cell>
          <cell r="K6074">
            <v>2</v>
          </cell>
        </row>
        <row r="6075">
          <cell r="A6075" t="str">
            <v>M2</v>
          </cell>
          <cell r="B6075" t="str">
            <v>A5C</v>
          </cell>
          <cell r="C6075" t="str">
            <v>P</v>
          </cell>
          <cell r="D6075" t="str">
            <v>23144</v>
          </cell>
          <cell r="E6075" t="str">
            <v>R TEE</v>
          </cell>
          <cell r="F6075">
            <v>2</v>
          </cell>
          <cell r="G6075" t="str">
            <v>CB40040000010T</v>
          </cell>
          <cell r="H6075">
            <v>0.75</v>
          </cell>
          <cell r="I6075" t="str">
            <v>-</v>
          </cell>
          <cell r="J6075">
            <v>4</v>
          </cell>
          <cell r="K6075">
            <v>4</v>
          </cell>
        </row>
        <row r="6076">
          <cell r="A6076" t="str">
            <v>M2</v>
          </cell>
          <cell r="B6076" t="str">
            <v>A5C</v>
          </cell>
          <cell r="C6076" t="str">
            <v>P</v>
          </cell>
          <cell r="D6076" t="str">
            <v>23148</v>
          </cell>
          <cell r="E6076" t="str">
            <v>R TEE</v>
          </cell>
          <cell r="F6076">
            <v>2</v>
          </cell>
          <cell r="G6076" t="str">
            <v>CB40040000010T</v>
          </cell>
          <cell r="H6076">
            <v>0.75</v>
          </cell>
          <cell r="I6076" t="str">
            <v>-</v>
          </cell>
          <cell r="J6076">
            <v>4</v>
          </cell>
          <cell r="K6076">
            <v>4</v>
          </cell>
        </row>
        <row r="6077">
          <cell r="A6077" t="str">
            <v>M2</v>
          </cell>
          <cell r="B6077" t="str">
            <v>A5C</v>
          </cell>
          <cell r="C6077" t="str">
            <v>P</v>
          </cell>
          <cell r="D6077" t="str">
            <v>23149</v>
          </cell>
          <cell r="E6077" t="str">
            <v>R TEE</v>
          </cell>
          <cell r="F6077">
            <v>2</v>
          </cell>
          <cell r="G6077" t="str">
            <v>CB40040000010T</v>
          </cell>
          <cell r="H6077">
            <v>0.75</v>
          </cell>
          <cell r="I6077" t="str">
            <v>-</v>
          </cell>
          <cell r="J6077">
            <v>5</v>
          </cell>
          <cell r="K6077">
            <v>5</v>
          </cell>
        </row>
        <row r="6078">
          <cell r="A6078" t="str">
            <v>M2</v>
          </cell>
          <cell r="B6078" t="str">
            <v>A5C</v>
          </cell>
          <cell r="C6078" t="str">
            <v>P</v>
          </cell>
          <cell r="D6078" t="str">
            <v>23164</v>
          </cell>
          <cell r="E6078" t="str">
            <v>R TEE</v>
          </cell>
          <cell r="F6078">
            <v>2</v>
          </cell>
          <cell r="G6078" t="str">
            <v>CB40040000010T</v>
          </cell>
          <cell r="H6078">
            <v>0.75</v>
          </cell>
          <cell r="I6078" t="str">
            <v>-</v>
          </cell>
          <cell r="J6078">
            <v>2</v>
          </cell>
          <cell r="K6078">
            <v>2</v>
          </cell>
        </row>
        <row r="6079">
          <cell r="A6079" t="str">
            <v>M2</v>
          </cell>
          <cell r="B6079" t="str">
            <v>A5C</v>
          </cell>
          <cell r="C6079" t="str">
            <v>P</v>
          </cell>
          <cell r="D6079" t="str">
            <v>23205</v>
          </cell>
          <cell r="E6079" t="str">
            <v>R TEE</v>
          </cell>
          <cell r="F6079">
            <v>2</v>
          </cell>
          <cell r="G6079" t="str">
            <v>CB40040000010T</v>
          </cell>
          <cell r="H6079">
            <v>0.75</v>
          </cell>
          <cell r="I6079" t="str">
            <v>-</v>
          </cell>
          <cell r="J6079">
            <v>2</v>
          </cell>
          <cell r="K6079">
            <v>2</v>
          </cell>
        </row>
        <row r="6080">
          <cell r="A6080" t="str">
            <v>M2</v>
          </cell>
          <cell r="B6080" t="str">
            <v>A5C</v>
          </cell>
          <cell r="C6080" t="str">
            <v>P</v>
          </cell>
          <cell r="D6080" t="str">
            <v>23214</v>
          </cell>
          <cell r="E6080" t="str">
            <v>R TEE</v>
          </cell>
          <cell r="F6080">
            <v>2</v>
          </cell>
          <cell r="G6080" t="str">
            <v>CB40040000010T</v>
          </cell>
          <cell r="H6080">
            <v>0.75</v>
          </cell>
          <cell r="I6080" t="str">
            <v>-</v>
          </cell>
          <cell r="J6080">
            <v>3</v>
          </cell>
          <cell r="K6080">
            <v>3</v>
          </cell>
        </row>
        <row r="6081">
          <cell r="A6081" t="str">
            <v>M2</v>
          </cell>
          <cell r="B6081" t="str">
            <v>A5C</v>
          </cell>
          <cell r="C6081" t="str">
            <v>P</v>
          </cell>
          <cell r="D6081" t="str">
            <v>23207</v>
          </cell>
          <cell r="E6081" t="str">
            <v>R TEE</v>
          </cell>
          <cell r="F6081">
            <v>2</v>
          </cell>
          <cell r="G6081" t="str">
            <v>CB40040000010T</v>
          </cell>
          <cell r="H6081">
            <v>0.75</v>
          </cell>
          <cell r="I6081" t="str">
            <v>-</v>
          </cell>
          <cell r="J6081">
            <v>2</v>
          </cell>
          <cell r="K6081">
            <v>2</v>
          </cell>
        </row>
        <row r="6082">
          <cell r="A6082" t="str">
            <v>M2</v>
          </cell>
          <cell r="B6082" t="str">
            <v>A5C</v>
          </cell>
          <cell r="C6082" t="str">
            <v>P</v>
          </cell>
          <cell r="D6082" t="str">
            <v>23208</v>
          </cell>
          <cell r="E6082" t="str">
            <v>R TEE</v>
          </cell>
          <cell r="F6082">
            <v>2</v>
          </cell>
          <cell r="G6082" t="str">
            <v>CB40040000010T</v>
          </cell>
          <cell r="H6082">
            <v>0.75</v>
          </cell>
          <cell r="I6082" t="str">
            <v>-</v>
          </cell>
          <cell r="J6082">
            <v>2</v>
          </cell>
          <cell r="K6082">
            <v>2</v>
          </cell>
        </row>
        <row r="6083">
          <cell r="A6083" t="str">
            <v>M2</v>
          </cell>
          <cell r="B6083" t="str">
            <v>A5C</v>
          </cell>
          <cell r="C6083" t="str">
            <v>P</v>
          </cell>
          <cell r="D6083" t="str">
            <v>23212</v>
          </cell>
          <cell r="E6083" t="str">
            <v>R TEE</v>
          </cell>
          <cell r="F6083">
            <v>2</v>
          </cell>
          <cell r="G6083" t="str">
            <v>CB40040000010T</v>
          </cell>
          <cell r="H6083">
            <v>0.75</v>
          </cell>
          <cell r="I6083" t="str">
            <v>-</v>
          </cell>
          <cell r="J6083">
            <v>3</v>
          </cell>
          <cell r="K6083">
            <v>3</v>
          </cell>
        </row>
        <row r="6084">
          <cell r="A6084" t="str">
            <v>M2</v>
          </cell>
          <cell r="B6084" t="str">
            <v>A5C</v>
          </cell>
          <cell r="C6084" t="str">
            <v>P</v>
          </cell>
          <cell r="D6084" t="str">
            <v>23213</v>
          </cell>
          <cell r="E6084" t="str">
            <v>R TEE</v>
          </cell>
          <cell r="F6084">
            <v>2</v>
          </cell>
          <cell r="G6084" t="str">
            <v>CB40040000010T</v>
          </cell>
          <cell r="H6084">
            <v>0.75</v>
          </cell>
          <cell r="I6084" t="str">
            <v>-</v>
          </cell>
          <cell r="J6084">
            <v>3</v>
          </cell>
          <cell r="K6084">
            <v>3</v>
          </cell>
        </row>
        <row r="6085">
          <cell r="A6085" t="str">
            <v>M2</v>
          </cell>
          <cell r="B6085" t="str">
            <v>A5C</v>
          </cell>
          <cell r="C6085" t="str">
            <v>P</v>
          </cell>
          <cell r="D6085" t="str">
            <v>23230</v>
          </cell>
          <cell r="E6085" t="str">
            <v>R TEE</v>
          </cell>
          <cell r="F6085">
            <v>2</v>
          </cell>
          <cell r="G6085" t="str">
            <v>CB40040000010T</v>
          </cell>
          <cell r="H6085">
            <v>0.75</v>
          </cell>
          <cell r="I6085" t="str">
            <v>-</v>
          </cell>
          <cell r="J6085">
            <v>3</v>
          </cell>
          <cell r="K6085">
            <v>3</v>
          </cell>
        </row>
        <row r="6086">
          <cell r="A6086" t="str">
            <v>M2</v>
          </cell>
          <cell r="B6086" t="str">
            <v>A5C</v>
          </cell>
          <cell r="C6086" t="str">
            <v>P</v>
          </cell>
          <cell r="D6086" t="str">
            <v>23239</v>
          </cell>
          <cell r="E6086" t="str">
            <v>R TEE</v>
          </cell>
          <cell r="F6086">
            <v>2</v>
          </cell>
          <cell r="G6086" t="str">
            <v>CB40040000010T</v>
          </cell>
          <cell r="H6086">
            <v>0.75</v>
          </cell>
          <cell r="I6086" t="str">
            <v>-</v>
          </cell>
          <cell r="J6086">
            <v>2</v>
          </cell>
          <cell r="K6086">
            <v>2</v>
          </cell>
        </row>
        <row r="6087">
          <cell r="A6087" t="str">
            <v>M2</v>
          </cell>
          <cell r="B6087" t="str">
            <v>A5C</v>
          </cell>
          <cell r="C6087" t="str">
            <v>P</v>
          </cell>
          <cell r="D6087" t="str">
            <v>23252</v>
          </cell>
          <cell r="E6087" t="str">
            <v>R TEE</v>
          </cell>
          <cell r="F6087">
            <v>2</v>
          </cell>
          <cell r="G6087" t="str">
            <v>CB40040000010T</v>
          </cell>
          <cell r="H6087">
            <v>0.75</v>
          </cell>
          <cell r="I6087" t="str">
            <v>-</v>
          </cell>
          <cell r="J6087">
            <v>3</v>
          </cell>
          <cell r="K6087">
            <v>3</v>
          </cell>
        </row>
        <row r="6088">
          <cell r="A6088" t="str">
            <v>M2</v>
          </cell>
          <cell r="B6088" t="str">
            <v>A5C</v>
          </cell>
          <cell r="C6088" t="str">
            <v>P</v>
          </cell>
          <cell r="D6088" t="str">
            <v>24007</v>
          </cell>
          <cell r="E6088" t="str">
            <v>R TEE</v>
          </cell>
          <cell r="F6088">
            <v>2</v>
          </cell>
          <cell r="G6088" t="str">
            <v>CB40040000010T</v>
          </cell>
          <cell r="H6088">
            <v>0.75</v>
          </cell>
          <cell r="I6088" t="str">
            <v>-</v>
          </cell>
          <cell r="J6088">
            <v>1</v>
          </cell>
          <cell r="K6088">
            <v>1</v>
          </cell>
        </row>
        <row r="6089">
          <cell r="A6089" t="str">
            <v>M2</v>
          </cell>
          <cell r="B6089" t="str">
            <v>A5C</v>
          </cell>
          <cell r="C6089" t="str">
            <v>P</v>
          </cell>
          <cell r="D6089" t="str">
            <v>24008</v>
          </cell>
          <cell r="E6089" t="str">
            <v>R TEE</v>
          </cell>
          <cell r="F6089">
            <v>2</v>
          </cell>
          <cell r="G6089" t="str">
            <v>CB40040000010T</v>
          </cell>
          <cell r="H6089">
            <v>0.75</v>
          </cell>
          <cell r="I6089" t="str">
            <v>-</v>
          </cell>
          <cell r="J6089">
            <v>3</v>
          </cell>
          <cell r="K6089">
            <v>3</v>
          </cell>
        </row>
        <row r="6090">
          <cell r="A6090" t="str">
            <v>M2</v>
          </cell>
          <cell r="B6090" t="str">
            <v>A5C</v>
          </cell>
          <cell r="C6090" t="str">
            <v>P</v>
          </cell>
          <cell r="D6090" t="str">
            <v>24020</v>
          </cell>
          <cell r="E6090" t="str">
            <v>R TEE</v>
          </cell>
          <cell r="F6090">
            <v>2</v>
          </cell>
          <cell r="G6090" t="str">
            <v>CB40040000010T</v>
          </cell>
          <cell r="H6090">
            <v>0.75</v>
          </cell>
          <cell r="I6090" t="str">
            <v>-</v>
          </cell>
          <cell r="J6090">
            <v>2</v>
          </cell>
          <cell r="K6090">
            <v>2</v>
          </cell>
        </row>
        <row r="6091">
          <cell r="A6091" t="str">
            <v>M2</v>
          </cell>
          <cell r="B6091" t="str">
            <v>A5C</v>
          </cell>
          <cell r="C6091" t="str">
            <v>N</v>
          </cell>
          <cell r="D6091" t="str">
            <v>23636</v>
          </cell>
          <cell r="E6091" t="str">
            <v>R TEE</v>
          </cell>
          <cell r="F6091">
            <v>2</v>
          </cell>
          <cell r="G6091" t="str">
            <v>CB40040000010T</v>
          </cell>
          <cell r="H6091">
            <v>0.75</v>
          </cell>
          <cell r="I6091" t="str">
            <v>-</v>
          </cell>
          <cell r="J6091">
            <v>1</v>
          </cell>
          <cell r="K6091">
            <v>1</v>
          </cell>
        </row>
        <row r="6092">
          <cell r="A6092" t="str">
            <v>M2</v>
          </cell>
          <cell r="B6092" t="str">
            <v>A5C</v>
          </cell>
          <cell r="C6092" t="str">
            <v>N</v>
          </cell>
          <cell r="D6092" t="str">
            <v>23637</v>
          </cell>
          <cell r="E6092" t="str">
            <v>R TEE</v>
          </cell>
          <cell r="F6092">
            <v>2</v>
          </cell>
          <cell r="G6092" t="str">
            <v>CB40040000010T</v>
          </cell>
          <cell r="H6092">
            <v>0.75</v>
          </cell>
          <cell r="I6092" t="str">
            <v>-</v>
          </cell>
          <cell r="J6092">
            <v>1</v>
          </cell>
          <cell r="K6092">
            <v>1</v>
          </cell>
        </row>
        <row r="6093">
          <cell r="A6093" t="str">
            <v>M2</v>
          </cell>
          <cell r="B6093" t="str">
            <v>A5C</v>
          </cell>
          <cell r="C6093" t="str">
            <v>N</v>
          </cell>
          <cell r="D6093" t="str">
            <v>23639</v>
          </cell>
          <cell r="E6093" t="str">
            <v>R TEE</v>
          </cell>
          <cell r="F6093">
            <v>2</v>
          </cell>
          <cell r="G6093" t="str">
            <v>CB40040000010T</v>
          </cell>
          <cell r="H6093">
            <v>0.75</v>
          </cell>
          <cell r="I6093" t="str">
            <v>-</v>
          </cell>
          <cell r="J6093">
            <v>1</v>
          </cell>
          <cell r="K6093">
            <v>1</v>
          </cell>
        </row>
        <row r="6094">
          <cell r="A6094" t="str">
            <v>M2</v>
          </cell>
          <cell r="B6094" t="str">
            <v>A5C</v>
          </cell>
          <cell r="C6094" t="str">
            <v>P</v>
          </cell>
          <cell r="D6094" t="str">
            <v>23037</v>
          </cell>
          <cell r="E6094" t="str">
            <v>R TEE</v>
          </cell>
          <cell r="F6094">
            <v>2</v>
          </cell>
          <cell r="G6094" t="str">
            <v>CB40040000010T</v>
          </cell>
          <cell r="H6094">
            <v>0.75</v>
          </cell>
          <cell r="I6094" t="str">
            <v>-</v>
          </cell>
          <cell r="J6094">
            <v>5</v>
          </cell>
          <cell r="K6094">
            <v>5</v>
          </cell>
        </row>
        <row r="6095">
          <cell r="A6095" t="str">
            <v>M2</v>
          </cell>
          <cell r="B6095" t="str">
            <v>A5C</v>
          </cell>
          <cell r="C6095" t="str">
            <v>P</v>
          </cell>
          <cell r="D6095" t="str">
            <v>23204</v>
          </cell>
          <cell r="E6095" t="str">
            <v>R TEE</v>
          </cell>
          <cell r="F6095">
            <v>2</v>
          </cell>
          <cell r="G6095" t="str">
            <v>CB40040000010T</v>
          </cell>
          <cell r="H6095">
            <v>0.75</v>
          </cell>
          <cell r="I6095" t="str">
            <v>-</v>
          </cell>
          <cell r="J6095">
            <v>2</v>
          </cell>
          <cell r="K6095">
            <v>2</v>
          </cell>
        </row>
        <row r="6096">
          <cell r="A6096" t="str">
            <v>M2</v>
          </cell>
          <cell r="B6096" t="str">
            <v>A5C</v>
          </cell>
          <cell r="C6096" t="str">
            <v>P</v>
          </cell>
          <cell r="D6096" t="str">
            <v>23206</v>
          </cell>
          <cell r="E6096" t="str">
            <v>R TEE</v>
          </cell>
          <cell r="F6096">
            <v>2</v>
          </cell>
          <cell r="G6096" t="str">
            <v>CB40040000010T</v>
          </cell>
          <cell r="H6096">
            <v>0.75</v>
          </cell>
          <cell r="I6096" t="str">
            <v>-</v>
          </cell>
          <cell r="J6096">
            <v>2</v>
          </cell>
          <cell r="K6096">
            <v>2</v>
          </cell>
        </row>
        <row r="6097">
          <cell r="A6097" t="str">
            <v>M2</v>
          </cell>
          <cell r="B6097" t="str">
            <v>A5C</v>
          </cell>
          <cell r="C6097" t="str">
            <v>P</v>
          </cell>
          <cell r="D6097" t="str">
            <v>23235</v>
          </cell>
          <cell r="E6097" t="str">
            <v>R TEE</v>
          </cell>
          <cell r="F6097">
            <v>2</v>
          </cell>
          <cell r="G6097" t="str">
            <v>CB40040000010T</v>
          </cell>
          <cell r="H6097">
            <v>0.75</v>
          </cell>
          <cell r="I6097" t="str">
            <v>-</v>
          </cell>
          <cell r="J6097">
            <v>2</v>
          </cell>
          <cell r="K6097">
            <v>2</v>
          </cell>
        </row>
        <row r="6098">
          <cell r="A6098" t="str">
            <v>M2</v>
          </cell>
          <cell r="B6098" t="str">
            <v>A5C</v>
          </cell>
          <cell r="C6098" t="str">
            <v>P</v>
          </cell>
          <cell r="D6098" t="str">
            <v>23245</v>
          </cell>
          <cell r="E6098" t="str">
            <v>R TEE</v>
          </cell>
          <cell r="F6098">
            <v>2</v>
          </cell>
          <cell r="G6098" t="str">
            <v>CB40040000010T</v>
          </cell>
          <cell r="H6098">
            <v>0.75</v>
          </cell>
          <cell r="I6098" t="str">
            <v>-</v>
          </cell>
          <cell r="J6098">
            <v>3</v>
          </cell>
          <cell r="K6098">
            <v>3</v>
          </cell>
        </row>
        <row r="6099">
          <cell r="A6099" t="str">
            <v>M2</v>
          </cell>
          <cell r="B6099" t="str">
            <v>A5C</v>
          </cell>
          <cell r="C6099" t="str">
            <v>P</v>
          </cell>
          <cell r="D6099" t="str">
            <v>24013</v>
          </cell>
          <cell r="E6099" t="str">
            <v>R TEE</v>
          </cell>
          <cell r="F6099">
            <v>2</v>
          </cell>
          <cell r="G6099" t="str">
            <v>CB40040000010T</v>
          </cell>
          <cell r="H6099">
            <v>0.75</v>
          </cell>
          <cell r="I6099" t="str">
            <v>-</v>
          </cell>
          <cell r="J6099">
            <v>3</v>
          </cell>
          <cell r="K6099">
            <v>3</v>
          </cell>
        </row>
        <row r="6100">
          <cell r="A6100" t="str">
            <v>M2</v>
          </cell>
          <cell r="B6100" t="str">
            <v>A5C</v>
          </cell>
          <cell r="C6100" t="str">
            <v>P</v>
          </cell>
          <cell r="D6100" t="str">
            <v>23059</v>
          </cell>
          <cell r="E6100" t="str">
            <v>C SWG</v>
          </cell>
          <cell r="F6100">
            <v>2</v>
          </cell>
          <cell r="G6100" t="str">
            <v>CB16110808010T</v>
          </cell>
          <cell r="H6100">
            <v>0.75</v>
          </cell>
          <cell r="I6100" t="str">
            <v>-</v>
          </cell>
          <cell r="J6100">
            <v>2</v>
          </cell>
          <cell r="K6100">
            <v>2</v>
          </cell>
        </row>
        <row r="6101">
          <cell r="A6101" t="str">
            <v>M2</v>
          </cell>
          <cell r="B6101" t="str">
            <v>A5C</v>
          </cell>
          <cell r="C6101" t="str">
            <v>P</v>
          </cell>
          <cell r="D6101" t="str">
            <v>23059</v>
          </cell>
          <cell r="E6101" t="str">
            <v>C SWG</v>
          </cell>
          <cell r="F6101">
            <v>2</v>
          </cell>
          <cell r="G6101" t="str">
            <v>CB16110808010T</v>
          </cell>
          <cell r="H6101">
            <v>0.75</v>
          </cell>
          <cell r="I6101" t="str">
            <v>-</v>
          </cell>
          <cell r="J6101">
            <v>1</v>
          </cell>
          <cell r="K6101">
            <v>1</v>
          </cell>
        </row>
        <row r="6102">
          <cell r="A6102" t="str">
            <v>M2</v>
          </cell>
          <cell r="B6102" t="str">
            <v>A5C</v>
          </cell>
          <cell r="C6102" t="str">
            <v>P</v>
          </cell>
          <cell r="D6102" t="str">
            <v>23183</v>
          </cell>
          <cell r="E6102" t="str">
            <v>C SWG</v>
          </cell>
          <cell r="F6102">
            <v>2</v>
          </cell>
          <cell r="G6102" t="str">
            <v>CB16110808010T</v>
          </cell>
          <cell r="H6102">
            <v>0.75</v>
          </cell>
          <cell r="I6102" t="str">
            <v>-</v>
          </cell>
          <cell r="J6102">
            <v>1</v>
          </cell>
          <cell r="K6102">
            <v>1</v>
          </cell>
        </row>
        <row r="6103">
          <cell r="A6103" t="str">
            <v>M2</v>
          </cell>
          <cell r="B6103" t="str">
            <v>A5C</v>
          </cell>
          <cell r="C6103" t="str">
            <v>TRIM</v>
          </cell>
          <cell r="D6103" t="str">
            <v>V-2352</v>
          </cell>
          <cell r="E6103" t="str">
            <v>C SWG</v>
          </cell>
          <cell r="F6103">
            <v>2</v>
          </cell>
          <cell r="G6103" t="str">
            <v>CB16110808010T</v>
          </cell>
          <cell r="H6103">
            <v>0.75</v>
          </cell>
          <cell r="I6103" t="str">
            <v>-</v>
          </cell>
          <cell r="J6103">
            <v>1</v>
          </cell>
          <cell r="K6103">
            <v>1</v>
          </cell>
        </row>
        <row r="6104">
          <cell r="A6104" t="str">
            <v>M2</v>
          </cell>
          <cell r="B6104" t="str">
            <v>A5C</v>
          </cell>
          <cell r="C6104" t="str">
            <v>P</v>
          </cell>
          <cell r="D6104" t="str">
            <v>23059</v>
          </cell>
          <cell r="E6104" t="str">
            <v>R TEE</v>
          </cell>
          <cell r="F6104">
            <v>2</v>
          </cell>
          <cell r="G6104" t="str">
            <v>CB40040000010T</v>
          </cell>
          <cell r="H6104">
            <v>0.75</v>
          </cell>
          <cell r="I6104" t="str">
            <v>-</v>
          </cell>
          <cell r="J6104">
            <v>3</v>
          </cell>
          <cell r="K6104">
            <v>3</v>
          </cell>
        </row>
        <row r="6105">
          <cell r="A6105" t="str">
            <v>M2</v>
          </cell>
          <cell r="B6105" t="str">
            <v>A5C</v>
          </cell>
          <cell r="C6105" t="str">
            <v>P</v>
          </cell>
          <cell r="D6105" t="str">
            <v>23048</v>
          </cell>
          <cell r="E6105" t="str">
            <v>C SWG</v>
          </cell>
          <cell r="F6105">
            <v>2</v>
          </cell>
          <cell r="G6105" t="str">
            <v>CB16110808010T</v>
          </cell>
          <cell r="H6105">
            <v>0.75</v>
          </cell>
          <cell r="I6105" t="str">
            <v>-</v>
          </cell>
          <cell r="J6105">
            <v>2</v>
          </cell>
          <cell r="K6105">
            <v>2</v>
          </cell>
        </row>
        <row r="6106">
          <cell r="A6106" t="str">
            <v>M2</v>
          </cell>
          <cell r="B6106" t="str">
            <v>A5C</v>
          </cell>
          <cell r="C6106" t="str">
            <v>P</v>
          </cell>
          <cell r="D6106" t="str">
            <v>23074</v>
          </cell>
          <cell r="E6106" t="str">
            <v>C SWG</v>
          </cell>
          <cell r="F6106">
            <v>2</v>
          </cell>
          <cell r="G6106" t="str">
            <v>CB16110808010T</v>
          </cell>
          <cell r="H6106">
            <v>0.75</v>
          </cell>
          <cell r="I6106" t="str">
            <v>-</v>
          </cell>
          <cell r="J6106">
            <v>2</v>
          </cell>
          <cell r="K6106">
            <v>2</v>
          </cell>
        </row>
        <row r="6107">
          <cell r="A6107" t="str">
            <v>M2</v>
          </cell>
          <cell r="B6107" t="str">
            <v>A5C</v>
          </cell>
          <cell r="C6107" t="str">
            <v>P</v>
          </cell>
          <cell r="D6107" t="str">
            <v>23079</v>
          </cell>
          <cell r="E6107" t="str">
            <v>C SWG</v>
          </cell>
          <cell r="F6107">
            <v>2</v>
          </cell>
          <cell r="G6107" t="str">
            <v>CB16110808010T</v>
          </cell>
          <cell r="H6107">
            <v>0.75</v>
          </cell>
          <cell r="I6107" t="str">
            <v>-</v>
          </cell>
          <cell r="J6107">
            <v>2</v>
          </cell>
          <cell r="K6107">
            <v>2</v>
          </cell>
        </row>
        <row r="6108">
          <cell r="A6108" t="str">
            <v>M2</v>
          </cell>
          <cell r="B6108" t="str">
            <v>A5C</v>
          </cell>
          <cell r="C6108" t="str">
            <v>P</v>
          </cell>
          <cell r="D6108" t="str">
            <v>23219</v>
          </cell>
          <cell r="E6108" t="str">
            <v>C SWG</v>
          </cell>
          <cell r="F6108">
            <v>2</v>
          </cell>
          <cell r="G6108" t="str">
            <v>CB16110808010T</v>
          </cell>
          <cell r="H6108">
            <v>0.75</v>
          </cell>
          <cell r="I6108" t="str">
            <v>-</v>
          </cell>
          <cell r="J6108">
            <v>1</v>
          </cell>
          <cell r="K6108">
            <v>1</v>
          </cell>
        </row>
        <row r="6109">
          <cell r="A6109" t="str">
            <v>M2</v>
          </cell>
          <cell r="B6109" t="str">
            <v>A5C</v>
          </cell>
          <cell r="C6109" t="str">
            <v>P</v>
          </cell>
          <cell r="D6109" t="str">
            <v>24016</v>
          </cell>
          <cell r="E6109" t="str">
            <v>C SWG</v>
          </cell>
          <cell r="F6109">
            <v>2</v>
          </cell>
          <cell r="G6109" t="str">
            <v>CB16110808010T</v>
          </cell>
          <cell r="H6109">
            <v>0.75</v>
          </cell>
          <cell r="I6109" t="str">
            <v>-</v>
          </cell>
          <cell r="J6109">
            <v>2</v>
          </cell>
          <cell r="K6109">
            <v>2</v>
          </cell>
        </row>
        <row r="6110">
          <cell r="A6110" t="str">
            <v>M2</v>
          </cell>
          <cell r="B6110" t="str">
            <v>A5C</v>
          </cell>
          <cell r="C6110" t="str">
            <v>P</v>
          </cell>
          <cell r="D6110" t="str">
            <v>24017</v>
          </cell>
          <cell r="E6110" t="str">
            <v>C SWG</v>
          </cell>
          <cell r="F6110">
            <v>2</v>
          </cell>
          <cell r="G6110" t="str">
            <v>CB16110808010T</v>
          </cell>
          <cell r="H6110">
            <v>0.75</v>
          </cell>
          <cell r="I6110" t="str">
            <v>-</v>
          </cell>
          <cell r="J6110">
            <v>1</v>
          </cell>
          <cell r="K6110">
            <v>1</v>
          </cell>
        </row>
        <row r="6111">
          <cell r="A6111" t="str">
            <v>M2</v>
          </cell>
          <cell r="B6111" t="str">
            <v>A5C</v>
          </cell>
          <cell r="C6111" t="str">
            <v>P</v>
          </cell>
          <cell r="D6111" t="str">
            <v>24018</v>
          </cell>
          <cell r="E6111" t="str">
            <v>C SWG</v>
          </cell>
          <cell r="F6111">
            <v>2</v>
          </cell>
          <cell r="G6111" t="str">
            <v>CB16110808010T</v>
          </cell>
          <cell r="H6111">
            <v>0.75</v>
          </cell>
          <cell r="I6111" t="str">
            <v>-</v>
          </cell>
          <cell r="J6111">
            <v>1</v>
          </cell>
          <cell r="K6111">
            <v>1</v>
          </cell>
        </row>
        <row r="6112">
          <cell r="A6112" t="str">
            <v>M2</v>
          </cell>
          <cell r="B6112" t="str">
            <v>A5C</v>
          </cell>
          <cell r="C6112" t="str">
            <v>TRIM</v>
          </cell>
          <cell r="D6112" t="str">
            <v>C-2302</v>
          </cell>
          <cell r="E6112" t="str">
            <v>C SWG</v>
          </cell>
          <cell r="F6112">
            <v>2</v>
          </cell>
          <cell r="G6112" t="str">
            <v>CB16110808010T</v>
          </cell>
          <cell r="H6112">
            <v>0.75</v>
          </cell>
          <cell r="I6112" t="str">
            <v>-</v>
          </cell>
          <cell r="J6112">
            <v>1</v>
          </cell>
          <cell r="K6112">
            <v>1</v>
          </cell>
        </row>
        <row r="6113">
          <cell r="A6113" t="str">
            <v>M2</v>
          </cell>
          <cell r="B6113" t="str">
            <v>A5C</v>
          </cell>
          <cell r="C6113" t="str">
            <v>TRIM</v>
          </cell>
          <cell r="D6113" t="str">
            <v>C-2303</v>
          </cell>
          <cell r="E6113" t="str">
            <v>C SWG</v>
          </cell>
          <cell r="F6113">
            <v>2</v>
          </cell>
          <cell r="G6113" t="str">
            <v>CB16110808010T</v>
          </cell>
          <cell r="H6113">
            <v>0.75</v>
          </cell>
          <cell r="I6113" t="str">
            <v>-</v>
          </cell>
          <cell r="J6113">
            <v>1</v>
          </cell>
          <cell r="K6113">
            <v>1</v>
          </cell>
        </row>
        <row r="6114">
          <cell r="A6114" t="str">
            <v>M2</v>
          </cell>
          <cell r="B6114" t="str">
            <v>A5C</v>
          </cell>
          <cell r="C6114" t="str">
            <v>TRIM</v>
          </cell>
          <cell r="D6114" t="str">
            <v>C-2304</v>
          </cell>
          <cell r="E6114" t="str">
            <v>C SWG</v>
          </cell>
          <cell r="F6114">
            <v>2</v>
          </cell>
          <cell r="G6114" t="str">
            <v>CB16110808010T</v>
          </cell>
          <cell r="H6114">
            <v>0.75</v>
          </cell>
          <cell r="I6114" t="str">
            <v>-</v>
          </cell>
          <cell r="J6114">
            <v>1</v>
          </cell>
          <cell r="K6114">
            <v>1</v>
          </cell>
        </row>
        <row r="6115">
          <cell r="A6115" t="str">
            <v>M2</v>
          </cell>
          <cell r="B6115" t="str">
            <v>A5C</v>
          </cell>
          <cell r="C6115" t="str">
            <v>TRIM</v>
          </cell>
          <cell r="D6115" t="str">
            <v>C-2305</v>
          </cell>
          <cell r="E6115" t="str">
            <v>C SWG</v>
          </cell>
          <cell r="F6115">
            <v>2</v>
          </cell>
          <cell r="G6115" t="str">
            <v>CB16110808010T</v>
          </cell>
          <cell r="H6115">
            <v>0.75</v>
          </cell>
          <cell r="I6115" t="str">
            <v>-</v>
          </cell>
          <cell r="J6115">
            <v>1</v>
          </cell>
          <cell r="K6115">
            <v>1</v>
          </cell>
        </row>
        <row r="6116">
          <cell r="A6116" t="str">
            <v>M2</v>
          </cell>
          <cell r="B6116" t="str">
            <v>A5C</v>
          </cell>
          <cell r="C6116" t="str">
            <v>TRIM</v>
          </cell>
          <cell r="D6116" t="str">
            <v>C-2306</v>
          </cell>
          <cell r="E6116" t="str">
            <v>C SWG</v>
          </cell>
          <cell r="F6116">
            <v>2</v>
          </cell>
          <cell r="G6116" t="str">
            <v>CB16110808010T</v>
          </cell>
          <cell r="H6116">
            <v>0.75</v>
          </cell>
          <cell r="I6116" t="str">
            <v>-</v>
          </cell>
          <cell r="J6116">
            <v>1</v>
          </cell>
          <cell r="K6116">
            <v>1</v>
          </cell>
        </row>
        <row r="6117">
          <cell r="A6117" t="str">
            <v>M2</v>
          </cell>
          <cell r="B6117" t="str">
            <v>A5C</v>
          </cell>
          <cell r="C6117" t="str">
            <v>TRIM</v>
          </cell>
          <cell r="D6117" t="str">
            <v>V-2325</v>
          </cell>
          <cell r="E6117" t="str">
            <v>C SWG</v>
          </cell>
          <cell r="F6117">
            <v>2</v>
          </cell>
          <cell r="G6117" t="str">
            <v>CB16110808010T</v>
          </cell>
          <cell r="H6117">
            <v>0.75</v>
          </cell>
          <cell r="I6117" t="str">
            <v>-</v>
          </cell>
          <cell r="J6117">
            <v>1</v>
          </cell>
          <cell r="K6117">
            <v>1</v>
          </cell>
        </row>
        <row r="6118">
          <cell r="A6118" t="str">
            <v>M2</v>
          </cell>
          <cell r="B6118" t="str">
            <v>A5C</v>
          </cell>
          <cell r="C6118" t="str">
            <v>P</v>
          </cell>
          <cell r="D6118" t="str">
            <v>23079</v>
          </cell>
          <cell r="E6118" t="str">
            <v>C SWG</v>
          </cell>
          <cell r="F6118">
            <v>2</v>
          </cell>
          <cell r="G6118" t="str">
            <v>CB16110808010T</v>
          </cell>
          <cell r="H6118">
            <v>0.75</v>
          </cell>
          <cell r="I6118" t="str">
            <v>-</v>
          </cell>
          <cell r="J6118">
            <v>1</v>
          </cell>
          <cell r="K6118">
            <v>1</v>
          </cell>
        </row>
        <row r="6119">
          <cell r="A6119" t="str">
            <v>M2</v>
          </cell>
          <cell r="B6119" t="str">
            <v>A5C</v>
          </cell>
          <cell r="C6119" t="str">
            <v>P</v>
          </cell>
          <cell r="D6119" t="str">
            <v>23018</v>
          </cell>
          <cell r="E6119" t="str">
            <v>E SWG</v>
          </cell>
          <cell r="F6119">
            <v>2</v>
          </cell>
          <cell r="G6119" t="str">
            <v>CB16210808010T</v>
          </cell>
          <cell r="H6119">
            <v>0.75</v>
          </cell>
          <cell r="I6119" t="str">
            <v>-</v>
          </cell>
          <cell r="J6119">
            <v>2</v>
          </cell>
          <cell r="K6119">
            <v>2</v>
          </cell>
        </row>
        <row r="6120">
          <cell r="A6120" t="str">
            <v>M2</v>
          </cell>
          <cell r="B6120" t="str">
            <v>A5C</v>
          </cell>
          <cell r="C6120" t="str">
            <v>P</v>
          </cell>
          <cell r="D6120" t="str">
            <v>23027</v>
          </cell>
          <cell r="E6120" t="str">
            <v>E SWG</v>
          </cell>
          <cell r="F6120">
            <v>2</v>
          </cell>
          <cell r="G6120" t="str">
            <v>CB16210808010T</v>
          </cell>
          <cell r="H6120">
            <v>0.75</v>
          </cell>
          <cell r="I6120" t="str">
            <v>-</v>
          </cell>
          <cell r="J6120">
            <v>2</v>
          </cell>
          <cell r="K6120">
            <v>2</v>
          </cell>
        </row>
        <row r="6121">
          <cell r="A6121" t="str">
            <v>M2</v>
          </cell>
          <cell r="B6121" t="str">
            <v>A5C</v>
          </cell>
          <cell r="C6121" t="str">
            <v>P</v>
          </cell>
          <cell r="D6121" t="str">
            <v>23018</v>
          </cell>
          <cell r="E6121" t="str">
            <v>R TEE</v>
          </cell>
          <cell r="F6121">
            <v>2</v>
          </cell>
          <cell r="G6121" t="str">
            <v>CB40040000010T</v>
          </cell>
          <cell r="H6121">
            <v>0.75</v>
          </cell>
          <cell r="I6121" t="str">
            <v>-</v>
          </cell>
          <cell r="J6121">
            <v>2</v>
          </cell>
          <cell r="K6121">
            <v>2</v>
          </cell>
        </row>
        <row r="6122">
          <cell r="A6122" t="str">
            <v>M2</v>
          </cell>
          <cell r="B6122" t="str">
            <v>A5C</v>
          </cell>
          <cell r="C6122" t="str">
            <v>P</v>
          </cell>
          <cell r="D6122" t="str">
            <v>23018</v>
          </cell>
          <cell r="E6122" t="str">
            <v>R TEE</v>
          </cell>
          <cell r="F6122">
            <v>2</v>
          </cell>
          <cell r="G6122" t="str">
            <v>CB40040000010T</v>
          </cell>
          <cell r="H6122">
            <v>0.75</v>
          </cell>
          <cell r="I6122" t="str">
            <v>-</v>
          </cell>
          <cell r="J6122">
            <v>3</v>
          </cell>
          <cell r="K6122">
            <v>3</v>
          </cell>
        </row>
        <row r="6123">
          <cell r="A6123" t="str">
            <v>M2</v>
          </cell>
          <cell r="B6123" t="str">
            <v>A5C</v>
          </cell>
          <cell r="C6123" t="str">
            <v>P</v>
          </cell>
          <cell r="D6123" t="str">
            <v>23027</v>
          </cell>
          <cell r="E6123" t="str">
            <v>R TEE</v>
          </cell>
          <cell r="F6123">
            <v>2</v>
          </cell>
          <cell r="G6123" t="str">
            <v>CB40040000010T</v>
          </cell>
          <cell r="H6123">
            <v>0.75</v>
          </cell>
          <cell r="I6123" t="str">
            <v>-</v>
          </cell>
          <cell r="J6123">
            <v>2</v>
          </cell>
          <cell r="K6123">
            <v>2</v>
          </cell>
        </row>
        <row r="6124">
          <cell r="A6124" t="str">
            <v>M2</v>
          </cell>
          <cell r="B6124" t="str">
            <v>A5C</v>
          </cell>
          <cell r="C6124" t="str">
            <v>P</v>
          </cell>
          <cell r="D6124" t="str">
            <v>23048</v>
          </cell>
          <cell r="E6124" t="str">
            <v>R TEE</v>
          </cell>
          <cell r="F6124">
            <v>2</v>
          </cell>
          <cell r="G6124" t="str">
            <v>CB40040000010T</v>
          </cell>
          <cell r="H6124">
            <v>0.75</v>
          </cell>
          <cell r="I6124" t="str">
            <v>-</v>
          </cell>
          <cell r="J6124">
            <v>6</v>
          </cell>
          <cell r="K6124">
            <v>6</v>
          </cell>
        </row>
        <row r="6125">
          <cell r="A6125" t="str">
            <v>M2</v>
          </cell>
          <cell r="B6125" t="str">
            <v>A5C</v>
          </cell>
          <cell r="C6125" t="str">
            <v>P</v>
          </cell>
          <cell r="D6125" t="str">
            <v>23074</v>
          </cell>
          <cell r="E6125" t="str">
            <v>R TEE</v>
          </cell>
          <cell r="F6125">
            <v>2</v>
          </cell>
          <cell r="G6125" t="str">
            <v>CB40040000010T</v>
          </cell>
          <cell r="H6125">
            <v>0.75</v>
          </cell>
          <cell r="I6125" t="str">
            <v>-</v>
          </cell>
          <cell r="J6125">
            <v>2</v>
          </cell>
          <cell r="K6125">
            <v>2</v>
          </cell>
        </row>
        <row r="6126">
          <cell r="A6126" t="str">
            <v>M2</v>
          </cell>
          <cell r="B6126" t="str">
            <v>A5C</v>
          </cell>
          <cell r="C6126" t="str">
            <v>P</v>
          </cell>
          <cell r="D6126" t="str">
            <v>23223</v>
          </cell>
          <cell r="E6126" t="str">
            <v>R TEE</v>
          </cell>
          <cell r="F6126">
            <v>2</v>
          </cell>
          <cell r="G6126" t="str">
            <v>CB40040000010T</v>
          </cell>
          <cell r="H6126">
            <v>0.75</v>
          </cell>
          <cell r="I6126" t="str">
            <v>-</v>
          </cell>
          <cell r="J6126">
            <v>3</v>
          </cell>
          <cell r="K6126">
            <v>3</v>
          </cell>
        </row>
        <row r="6127">
          <cell r="A6127" t="str">
            <v>M2</v>
          </cell>
          <cell r="B6127" t="str">
            <v>A5C</v>
          </cell>
          <cell r="C6127" t="str">
            <v>P</v>
          </cell>
          <cell r="D6127" t="str">
            <v>23079</v>
          </cell>
          <cell r="E6127" t="str">
            <v>R TEE</v>
          </cell>
          <cell r="F6127">
            <v>2</v>
          </cell>
          <cell r="G6127" t="str">
            <v>CB40040000010T</v>
          </cell>
          <cell r="H6127">
            <v>0.75</v>
          </cell>
          <cell r="I6127" t="str">
            <v>-</v>
          </cell>
          <cell r="J6127">
            <v>2</v>
          </cell>
          <cell r="K6127">
            <v>2</v>
          </cell>
        </row>
        <row r="6128">
          <cell r="A6128" t="str">
            <v>M2</v>
          </cell>
          <cell r="B6128" t="str">
            <v>A5C</v>
          </cell>
          <cell r="C6128" t="str">
            <v>P</v>
          </cell>
          <cell r="D6128" t="str">
            <v>23013</v>
          </cell>
          <cell r="E6128" t="str">
            <v>C SWG</v>
          </cell>
          <cell r="F6128">
            <v>2</v>
          </cell>
          <cell r="G6128" t="str">
            <v>CB16110808010T</v>
          </cell>
          <cell r="H6128">
            <v>0.75</v>
          </cell>
          <cell r="I6128" t="str">
            <v>-</v>
          </cell>
          <cell r="J6128">
            <v>3</v>
          </cell>
          <cell r="K6128">
            <v>3</v>
          </cell>
        </row>
        <row r="6129">
          <cell r="A6129" t="str">
            <v>M2</v>
          </cell>
          <cell r="B6129" t="str">
            <v>A5C</v>
          </cell>
          <cell r="C6129" t="str">
            <v>P</v>
          </cell>
          <cell r="D6129" t="str">
            <v>23156</v>
          </cell>
          <cell r="E6129" t="str">
            <v>C SWG</v>
          </cell>
          <cell r="F6129">
            <v>2</v>
          </cell>
          <cell r="G6129" t="str">
            <v>CB16110808010T</v>
          </cell>
          <cell r="H6129">
            <v>0.75</v>
          </cell>
          <cell r="I6129" t="str">
            <v>-</v>
          </cell>
          <cell r="J6129">
            <v>1</v>
          </cell>
          <cell r="K6129">
            <v>1</v>
          </cell>
        </row>
        <row r="6130">
          <cell r="A6130" t="str">
            <v>M2</v>
          </cell>
          <cell r="B6130" t="str">
            <v>A5C</v>
          </cell>
          <cell r="C6130" t="str">
            <v>P</v>
          </cell>
          <cell r="D6130" t="str">
            <v>24004</v>
          </cell>
          <cell r="E6130" t="str">
            <v>C SWG</v>
          </cell>
          <cell r="F6130">
            <v>2</v>
          </cell>
          <cell r="G6130" t="str">
            <v>CB16110808010T</v>
          </cell>
          <cell r="H6130">
            <v>0.75</v>
          </cell>
          <cell r="I6130" t="str">
            <v>-</v>
          </cell>
          <cell r="J6130">
            <v>2</v>
          </cell>
          <cell r="K6130">
            <v>2</v>
          </cell>
        </row>
        <row r="6131">
          <cell r="A6131" t="str">
            <v>M2</v>
          </cell>
          <cell r="B6131" t="str">
            <v>A5C</v>
          </cell>
          <cell r="C6131" t="str">
            <v>P</v>
          </cell>
          <cell r="D6131" t="str">
            <v>24029</v>
          </cell>
          <cell r="E6131" t="str">
            <v>C SWG</v>
          </cell>
          <cell r="F6131">
            <v>2</v>
          </cell>
          <cell r="G6131" t="str">
            <v>CB16110808010T</v>
          </cell>
          <cell r="H6131">
            <v>0.75</v>
          </cell>
          <cell r="I6131" t="str">
            <v>-</v>
          </cell>
          <cell r="J6131">
            <v>1</v>
          </cell>
          <cell r="K6131">
            <v>1</v>
          </cell>
        </row>
        <row r="6132">
          <cell r="A6132" t="str">
            <v>M2</v>
          </cell>
          <cell r="B6132" t="str">
            <v>A5C</v>
          </cell>
          <cell r="C6132" t="str">
            <v>P</v>
          </cell>
          <cell r="D6132" t="str">
            <v>24031</v>
          </cell>
          <cell r="E6132" t="str">
            <v>C SWG</v>
          </cell>
          <cell r="F6132">
            <v>2</v>
          </cell>
          <cell r="G6132" t="str">
            <v>CB16110808010T</v>
          </cell>
          <cell r="H6132">
            <v>0.75</v>
          </cell>
          <cell r="I6132" t="str">
            <v>-</v>
          </cell>
          <cell r="J6132">
            <v>1</v>
          </cell>
          <cell r="K6132">
            <v>1</v>
          </cell>
        </row>
        <row r="6133">
          <cell r="A6133" t="str">
            <v>M2</v>
          </cell>
          <cell r="B6133" t="str">
            <v>A5C</v>
          </cell>
          <cell r="C6133" t="str">
            <v>P</v>
          </cell>
          <cell r="D6133" t="str">
            <v>24033</v>
          </cell>
          <cell r="E6133" t="str">
            <v>C SWG</v>
          </cell>
          <cell r="F6133">
            <v>2</v>
          </cell>
          <cell r="G6133" t="str">
            <v>CB16110808010T</v>
          </cell>
          <cell r="H6133">
            <v>0.75</v>
          </cell>
          <cell r="I6133" t="str">
            <v>-</v>
          </cell>
          <cell r="J6133">
            <v>1</v>
          </cell>
          <cell r="K6133">
            <v>1</v>
          </cell>
        </row>
        <row r="6134">
          <cell r="A6134" t="str">
            <v>M2</v>
          </cell>
          <cell r="B6134" t="str">
            <v>A5C</v>
          </cell>
          <cell r="C6134" t="str">
            <v>TRIM</v>
          </cell>
          <cell r="D6134" t="str">
            <v>C-2301</v>
          </cell>
          <cell r="E6134" t="str">
            <v>C SWG</v>
          </cell>
          <cell r="F6134">
            <v>2</v>
          </cell>
          <cell r="G6134" t="str">
            <v>CB16110808010T</v>
          </cell>
          <cell r="H6134">
            <v>0.75</v>
          </cell>
          <cell r="I6134" t="str">
            <v>-</v>
          </cell>
          <cell r="J6134">
            <v>1</v>
          </cell>
          <cell r="K6134">
            <v>1</v>
          </cell>
        </row>
        <row r="6135">
          <cell r="A6135" t="str">
            <v>M2</v>
          </cell>
          <cell r="B6135" t="str">
            <v>A5C</v>
          </cell>
          <cell r="C6135" t="str">
            <v>TRIM</v>
          </cell>
          <cell r="D6135" t="str">
            <v>R-2401</v>
          </cell>
          <cell r="E6135" t="str">
            <v>C SWG</v>
          </cell>
          <cell r="F6135">
            <v>2</v>
          </cell>
          <cell r="G6135" t="str">
            <v>CB16110808010T</v>
          </cell>
          <cell r="H6135">
            <v>0.75</v>
          </cell>
          <cell r="I6135" t="str">
            <v>-</v>
          </cell>
          <cell r="J6135">
            <v>1</v>
          </cell>
          <cell r="K6135">
            <v>1</v>
          </cell>
        </row>
        <row r="6136">
          <cell r="A6136" t="str">
            <v>M2</v>
          </cell>
          <cell r="B6136" t="str">
            <v>A5C</v>
          </cell>
          <cell r="C6136" t="str">
            <v>P</v>
          </cell>
          <cell r="D6136" t="str">
            <v>99004</v>
          </cell>
          <cell r="E6136" t="str">
            <v>E SWG</v>
          </cell>
          <cell r="F6136">
            <v>2</v>
          </cell>
          <cell r="G6136" t="str">
            <v>CB16210808010T</v>
          </cell>
          <cell r="H6136">
            <v>0.75</v>
          </cell>
          <cell r="I6136" t="str">
            <v>-</v>
          </cell>
          <cell r="J6136">
            <v>1</v>
          </cell>
          <cell r="K6136">
            <v>1</v>
          </cell>
        </row>
        <row r="6137">
          <cell r="A6137" t="str">
            <v>M2</v>
          </cell>
          <cell r="B6137" t="str">
            <v>A5C</v>
          </cell>
          <cell r="C6137" t="str">
            <v>P</v>
          </cell>
          <cell r="D6137" t="str">
            <v>23013</v>
          </cell>
          <cell r="E6137" t="str">
            <v>R TEE</v>
          </cell>
          <cell r="F6137">
            <v>2</v>
          </cell>
          <cell r="G6137" t="str">
            <v>CB40040000010T</v>
          </cell>
          <cell r="H6137">
            <v>0.75</v>
          </cell>
          <cell r="I6137" t="str">
            <v>-</v>
          </cell>
          <cell r="J6137">
            <v>4</v>
          </cell>
          <cell r="K6137">
            <v>4</v>
          </cell>
        </row>
        <row r="6138">
          <cell r="A6138" t="str">
            <v>M2</v>
          </cell>
          <cell r="B6138" t="str">
            <v>A5C</v>
          </cell>
          <cell r="C6138" t="str">
            <v>P</v>
          </cell>
          <cell r="D6138" t="str">
            <v>24004</v>
          </cell>
          <cell r="E6138" t="str">
            <v>R TEE</v>
          </cell>
          <cell r="F6138">
            <v>2</v>
          </cell>
          <cell r="G6138" t="str">
            <v>CB40040000010T</v>
          </cell>
          <cell r="H6138">
            <v>0.75</v>
          </cell>
          <cell r="I6138" t="str">
            <v>-</v>
          </cell>
          <cell r="J6138">
            <v>5</v>
          </cell>
          <cell r="K6138">
            <v>5</v>
          </cell>
        </row>
        <row r="6139">
          <cell r="A6139" t="str">
            <v>M2</v>
          </cell>
          <cell r="B6139" t="str">
            <v>A5C</v>
          </cell>
          <cell r="C6139" t="str">
            <v>P</v>
          </cell>
          <cell r="D6139" t="str">
            <v>24025</v>
          </cell>
          <cell r="E6139" t="str">
            <v>R TEE</v>
          </cell>
          <cell r="F6139">
            <v>2</v>
          </cell>
          <cell r="G6139" t="str">
            <v>CB40040000010T</v>
          </cell>
          <cell r="H6139">
            <v>0.75</v>
          </cell>
          <cell r="I6139" t="str">
            <v>-</v>
          </cell>
          <cell r="J6139">
            <v>2</v>
          </cell>
          <cell r="K6139">
            <v>2</v>
          </cell>
        </row>
        <row r="6140">
          <cell r="A6140" t="str">
            <v>M2</v>
          </cell>
          <cell r="B6140" t="str">
            <v>A5C</v>
          </cell>
          <cell r="C6140" t="str">
            <v>P</v>
          </cell>
          <cell r="D6140" t="str">
            <v>24026</v>
          </cell>
          <cell r="E6140" t="str">
            <v>R TEE</v>
          </cell>
          <cell r="F6140">
            <v>2</v>
          </cell>
          <cell r="G6140" t="str">
            <v>CB40040000010T</v>
          </cell>
          <cell r="H6140">
            <v>0.75</v>
          </cell>
          <cell r="I6140" t="str">
            <v>-</v>
          </cell>
          <cell r="J6140">
            <v>2</v>
          </cell>
          <cell r="K6140">
            <v>2</v>
          </cell>
        </row>
        <row r="6141">
          <cell r="A6141" t="str">
            <v>M2</v>
          </cell>
          <cell r="B6141" t="str">
            <v>A5C</v>
          </cell>
          <cell r="C6141" t="str">
            <v>P</v>
          </cell>
          <cell r="D6141" t="str">
            <v>24002</v>
          </cell>
          <cell r="E6141" t="str">
            <v>R TEE</v>
          </cell>
          <cell r="F6141">
            <v>2</v>
          </cell>
          <cell r="G6141" t="str">
            <v>CB40040000010T</v>
          </cell>
          <cell r="H6141">
            <v>0.75</v>
          </cell>
          <cell r="I6141" t="str">
            <v>-</v>
          </cell>
          <cell r="J6141">
            <v>2</v>
          </cell>
          <cell r="K6141">
            <v>2</v>
          </cell>
        </row>
        <row r="6142">
          <cell r="A6142" t="str">
            <v>M2</v>
          </cell>
          <cell r="B6142" t="str">
            <v>A5C</v>
          </cell>
          <cell r="C6142" t="str">
            <v>P</v>
          </cell>
          <cell r="D6142" t="str">
            <v>23006</v>
          </cell>
          <cell r="E6142" t="str">
            <v>C SWG</v>
          </cell>
          <cell r="F6142">
            <v>2</v>
          </cell>
          <cell r="G6142" t="str">
            <v>CB161108081H01</v>
          </cell>
          <cell r="H6142">
            <v>1</v>
          </cell>
          <cell r="I6142" t="str">
            <v>-</v>
          </cell>
          <cell r="J6142">
            <v>2</v>
          </cell>
          <cell r="K6142">
            <v>2</v>
          </cell>
        </row>
        <row r="6143">
          <cell r="A6143" t="str">
            <v>M2</v>
          </cell>
          <cell r="B6143" t="str">
            <v>A5C</v>
          </cell>
          <cell r="C6143" t="str">
            <v>P</v>
          </cell>
          <cell r="D6143" t="str">
            <v>23038</v>
          </cell>
          <cell r="E6143" t="str">
            <v>C SWG</v>
          </cell>
          <cell r="F6143">
            <v>2</v>
          </cell>
          <cell r="G6143" t="str">
            <v>CB161108081H01</v>
          </cell>
          <cell r="H6143">
            <v>1</v>
          </cell>
          <cell r="I6143" t="str">
            <v>-</v>
          </cell>
          <cell r="J6143">
            <v>2</v>
          </cell>
          <cell r="K6143">
            <v>2</v>
          </cell>
        </row>
        <row r="6144">
          <cell r="A6144" t="str">
            <v>M2</v>
          </cell>
          <cell r="B6144" t="str">
            <v>A5C</v>
          </cell>
          <cell r="C6144" t="str">
            <v>P</v>
          </cell>
          <cell r="D6144" t="str">
            <v>23116</v>
          </cell>
          <cell r="E6144" t="str">
            <v>C SWG</v>
          </cell>
          <cell r="F6144">
            <v>2</v>
          </cell>
          <cell r="G6144" t="str">
            <v>CB161108081H01</v>
          </cell>
          <cell r="H6144">
            <v>1</v>
          </cell>
          <cell r="I6144" t="str">
            <v>-</v>
          </cell>
          <cell r="J6144">
            <v>2</v>
          </cell>
          <cell r="K6144">
            <v>2</v>
          </cell>
        </row>
        <row r="6145">
          <cell r="A6145" t="str">
            <v>M2</v>
          </cell>
          <cell r="B6145" t="str">
            <v>A5C</v>
          </cell>
          <cell r="C6145" t="str">
            <v>P</v>
          </cell>
          <cell r="D6145" t="str">
            <v>23116</v>
          </cell>
          <cell r="E6145" t="str">
            <v>C SWG</v>
          </cell>
          <cell r="F6145">
            <v>2</v>
          </cell>
          <cell r="G6145" t="str">
            <v>CB161108081H0T</v>
          </cell>
          <cell r="H6145">
            <v>0.75</v>
          </cell>
          <cell r="I6145" t="str">
            <v>-</v>
          </cell>
          <cell r="J6145">
            <v>4</v>
          </cell>
          <cell r="K6145">
            <v>4</v>
          </cell>
        </row>
        <row r="6146">
          <cell r="A6146" t="str">
            <v>M2</v>
          </cell>
          <cell r="B6146" t="str">
            <v>A5C</v>
          </cell>
          <cell r="C6146" t="str">
            <v>P</v>
          </cell>
          <cell r="D6146" t="str">
            <v>23117</v>
          </cell>
          <cell r="E6146" t="str">
            <v>C SWG</v>
          </cell>
          <cell r="F6146">
            <v>2</v>
          </cell>
          <cell r="G6146" t="str">
            <v>CB161108081H01</v>
          </cell>
          <cell r="H6146">
            <v>1</v>
          </cell>
          <cell r="I6146" t="str">
            <v>-</v>
          </cell>
          <cell r="J6146">
            <v>2</v>
          </cell>
          <cell r="K6146">
            <v>2</v>
          </cell>
        </row>
        <row r="6147">
          <cell r="A6147" t="str">
            <v>M2</v>
          </cell>
          <cell r="B6147" t="str">
            <v>A5C</v>
          </cell>
          <cell r="C6147" t="str">
            <v>P</v>
          </cell>
          <cell r="D6147" t="str">
            <v>23185</v>
          </cell>
          <cell r="E6147" t="str">
            <v>C SWG</v>
          </cell>
          <cell r="F6147">
            <v>2</v>
          </cell>
          <cell r="G6147" t="str">
            <v>CB161108081H01</v>
          </cell>
          <cell r="H6147">
            <v>1</v>
          </cell>
          <cell r="I6147" t="str">
            <v>-</v>
          </cell>
          <cell r="J6147">
            <v>2</v>
          </cell>
          <cell r="K6147">
            <v>2</v>
          </cell>
        </row>
        <row r="6148">
          <cell r="A6148" t="str">
            <v>M2</v>
          </cell>
          <cell r="B6148" t="str">
            <v>A5C</v>
          </cell>
          <cell r="C6148" t="str">
            <v>P</v>
          </cell>
          <cell r="D6148" t="str">
            <v>23196</v>
          </cell>
          <cell r="E6148" t="str">
            <v>C SWG</v>
          </cell>
          <cell r="F6148">
            <v>2</v>
          </cell>
          <cell r="G6148" t="str">
            <v>CB161108081H01</v>
          </cell>
          <cell r="H6148">
            <v>1</v>
          </cell>
          <cell r="I6148" t="str">
            <v>-</v>
          </cell>
          <cell r="J6148">
            <v>2</v>
          </cell>
          <cell r="K6148">
            <v>2</v>
          </cell>
        </row>
        <row r="6149">
          <cell r="A6149" t="str">
            <v>M2</v>
          </cell>
          <cell r="B6149" t="str">
            <v>A5C</v>
          </cell>
          <cell r="C6149" t="str">
            <v>P</v>
          </cell>
          <cell r="D6149" t="str">
            <v>23157</v>
          </cell>
          <cell r="E6149" t="str">
            <v>C SWG</v>
          </cell>
          <cell r="F6149">
            <v>2</v>
          </cell>
          <cell r="G6149" t="str">
            <v>CB161108081H01</v>
          </cell>
          <cell r="H6149">
            <v>1</v>
          </cell>
          <cell r="I6149" t="str">
            <v>-</v>
          </cell>
          <cell r="J6149">
            <v>2</v>
          </cell>
          <cell r="K6149">
            <v>2</v>
          </cell>
        </row>
        <row r="6150">
          <cell r="A6150" t="str">
            <v>M2</v>
          </cell>
          <cell r="B6150" t="str">
            <v>A5C</v>
          </cell>
          <cell r="C6150" t="str">
            <v>P</v>
          </cell>
          <cell r="D6150" t="str">
            <v>23006</v>
          </cell>
          <cell r="E6150" t="str">
            <v>E SWG</v>
          </cell>
          <cell r="F6150">
            <v>2</v>
          </cell>
          <cell r="G6150" t="str">
            <v>CB162108081H01</v>
          </cell>
          <cell r="H6150">
            <v>1</v>
          </cell>
          <cell r="I6150" t="str">
            <v>-</v>
          </cell>
          <cell r="J6150">
            <v>2</v>
          </cell>
          <cell r="K6150">
            <v>2</v>
          </cell>
        </row>
        <row r="6151">
          <cell r="A6151" t="str">
            <v>M2</v>
          </cell>
          <cell r="B6151" t="str">
            <v>A5C</v>
          </cell>
          <cell r="C6151" t="str">
            <v>P</v>
          </cell>
          <cell r="D6151" t="str">
            <v>23052</v>
          </cell>
          <cell r="E6151" t="str">
            <v>E SWG</v>
          </cell>
          <cell r="F6151">
            <v>2</v>
          </cell>
          <cell r="G6151" t="str">
            <v>CB162108081H01</v>
          </cell>
          <cell r="H6151">
            <v>1</v>
          </cell>
          <cell r="I6151" t="str">
            <v>-</v>
          </cell>
          <cell r="J6151">
            <v>1</v>
          </cell>
          <cell r="K6151">
            <v>1</v>
          </cell>
        </row>
        <row r="6152">
          <cell r="A6152" t="str">
            <v>M2</v>
          </cell>
          <cell r="B6152" t="str">
            <v>A5C</v>
          </cell>
          <cell r="C6152" t="str">
            <v>P</v>
          </cell>
          <cell r="D6152" t="str">
            <v>23063</v>
          </cell>
          <cell r="E6152" t="str">
            <v>E SWG</v>
          </cell>
          <cell r="F6152">
            <v>2</v>
          </cell>
          <cell r="G6152" t="str">
            <v>CB162108081H01</v>
          </cell>
          <cell r="H6152">
            <v>1</v>
          </cell>
          <cell r="I6152" t="str">
            <v>-</v>
          </cell>
          <cell r="J6152">
            <v>1</v>
          </cell>
          <cell r="K6152">
            <v>1</v>
          </cell>
        </row>
        <row r="6153">
          <cell r="A6153" t="str">
            <v>M2</v>
          </cell>
          <cell r="B6153" t="str">
            <v>A5C</v>
          </cell>
          <cell r="C6153" t="str">
            <v>P</v>
          </cell>
          <cell r="D6153" t="str">
            <v>23070</v>
          </cell>
          <cell r="E6153" t="str">
            <v>E SWG</v>
          </cell>
          <cell r="F6153">
            <v>2</v>
          </cell>
          <cell r="G6153" t="str">
            <v>CB162108081H01</v>
          </cell>
          <cell r="H6153">
            <v>1</v>
          </cell>
          <cell r="I6153" t="str">
            <v>-</v>
          </cell>
          <cell r="J6153">
            <v>2</v>
          </cell>
          <cell r="K6153">
            <v>2</v>
          </cell>
        </row>
        <row r="6154">
          <cell r="A6154" t="str">
            <v>M2</v>
          </cell>
          <cell r="B6154" t="str">
            <v>A5C</v>
          </cell>
          <cell r="C6154" t="str">
            <v>P</v>
          </cell>
          <cell r="D6154" t="str">
            <v>23078</v>
          </cell>
          <cell r="E6154" t="str">
            <v>E SWG</v>
          </cell>
          <cell r="F6154">
            <v>2</v>
          </cell>
          <cell r="G6154" t="str">
            <v>CB162108081H01</v>
          </cell>
          <cell r="H6154">
            <v>1</v>
          </cell>
          <cell r="I6154" t="str">
            <v>-</v>
          </cell>
          <cell r="J6154">
            <v>1</v>
          </cell>
          <cell r="K6154">
            <v>1</v>
          </cell>
        </row>
        <row r="6155">
          <cell r="A6155" t="str">
            <v>M2</v>
          </cell>
          <cell r="B6155" t="str">
            <v>A5C</v>
          </cell>
          <cell r="C6155" t="str">
            <v>P</v>
          </cell>
          <cell r="D6155" t="str">
            <v>23103</v>
          </cell>
          <cell r="E6155" t="str">
            <v>E SWG</v>
          </cell>
          <cell r="F6155">
            <v>2</v>
          </cell>
          <cell r="G6155" t="str">
            <v>CB162108081H01</v>
          </cell>
          <cell r="H6155">
            <v>1</v>
          </cell>
          <cell r="I6155" t="str">
            <v>-</v>
          </cell>
          <cell r="J6155">
            <v>2</v>
          </cell>
          <cell r="K6155">
            <v>2</v>
          </cell>
        </row>
        <row r="6156">
          <cell r="A6156" t="str">
            <v>M2</v>
          </cell>
          <cell r="B6156" t="str">
            <v>A5C</v>
          </cell>
          <cell r="C6156" t="str">
            <v>P</v>
          </cell>
          <cell r="D6156" t="str">
            <v>23111</v>
          </cell>
          <cell r="E6156" t="str">
            <v>E SWG</v>
          </cell>
          <cell r="F6156">
            <v>2</v>
          </cell>
          <cell r="G6156" t="str">
            <v>CB162108081H01</v>
          </cell>
          <cell r="H6156">
            <v>1</v>
          </cell>
          <cell r="I6156" t="str">
            <v>-</v>
          </cell>
          <cell r="J6156">
            <v>2</v>
          </cell>
          <cell r="K6156">
            <v>2</v>
          </cell>
        </row>
        <row r="6157">
          <cell r="A6157" t="str">
            <v>M2</v>
          </cell>
          <cell r="B6157" t="str">
            <v>A5C</v>
          </cell>
          <cell r="C6157" t="str">
            <v>P</v>
          </cell>
          <cell r="D6157" t="str">
            <v>23143</v>
          </cell>
          <cell r="E6157" t="str">
            <v>E SWG</v>
          </cell>
          <cell r="F6157">
            <v>2</v>
          </cell>
          <cell r="G6157" t="str">
            <v>CB162108081H01</v>
          </cell>
          <cell r="H6157">
            <v>1</v>
          </cell>
          <cell r="I6157" t="str">
            <v>-</v>
          </cell>
          <cell r="J6157">
            <v>2</v>
          </cell>
          <cell r="K6157">
            <v>2</v>
          </cell>
        </row>
        <row r="6158">
          <cell r="A6158" t="str">
            <v>M2</v>
          </cell>
          <cell r="B6158" t="str">
            <v>A5C</v>
          </cell>
          <cell r="C6158" t="str">
            <v>P</v>
          </cell>
          <cell r="D6158" t="str">
            <v>23147</v>
          </cell>
          <cell r="E6158" t="str">
            <v>E SWG</v>
          </cell>
          <cell r="F6158">
            <v>2</v>
          </cell>
          <cell r="G6158" t="str">
            <v>CB162108081H01</v>
          </cell>
          <cell r="H6158">
            <v>1</v>
          </cell>
          <cell r="I6158" t="str">
            <v>-</v>
          </cell>
          <cell r="J6158">
            <v>2</v>
          </cell>
          <cell r="K6158">
            <v>2</v>
          </cell>
        </row>
        <row r="6159">
          <cell r="A6159" t="str">
            <v>M2</v>
          </cell>
          <cell r="B6159" t="str">
            <v>A5C</v>
          </cell>
          <cell r="C6159" t="str">
            <v>P</v>
          </cell>
          <cell r="D6159" t="str">
            <v>23164</v>
          </cell>
          <cell r="E6159" t="str">
            <v>E SWG</v>
          </cell>
          <cell r="F6159">
            <v>2</v>
          </cell>
          <cell r="G6159" t="str">
            <v>CB162108081H01</v>
          </cell>
          <cell r="H6159">
            <v>1</v>
          </cell>
          <cell r="I6159" t="str">
            <v>-</v>
          </cell>
          <cell r="J6159">
            <v>2</v>
          </cell>
          <cell r="K6159">
            <v>2</v>
          </cell>
        </row>
        <row r="6160">
          <cell r="A6160" t="str">
            <v>M2</v>
          </cell>
          <cell r="B6160" t="str">
            <v>A5C</v>
          </cell>
          <cell r="C6160" t="str">
            <v>P</v>
          </cell>
          <cell r="D6160" t="str">
            <v>99003</v>
          </cell>
          <cell r="E6160" t="str">
            <v>E SWG</v>
          </cell>
          <cell r="F6160">
            <v>2</v>
          </cell>
          <cell r="G6160" t="str">
            <v>CB162108081H01</v>
          </cell>
          <cell r="H6160">
            <v>1</v>
          </cell>
          <cell r="I6160" t="str">
            <v>-</v>
          </cell>
          <cell r="J6160">
            <v>2</v>
          </cell>
          <cell r="K6160">
            <v>2</v>
          </cell>
        </row>
        <row r="6161">
          <cell r="A6161" t="str">
            <v>M2</v>
          </cell>
          <cell r="B6161" t="str">
            <v>A5C</v>
          </cell>
          <cell r="C6161" t="str">
            <v>P</v>
          </cell>
          <cell r="D6161" t="str">
            <v>23035</v>
          </cell>
          <cell r="E6161" t="str">
            <v>E SWG</v>
          </cell>
          <cell r="F6161">
            <v>2</v>
          </cell>
          <cell r="G6161" t="str">
            <v>CB162108081H01</v>
          </cell>
          <cell r="H6161">
            <v>1</v>
          </cell>
          <cell r="I6161" t="str">
            <v>-</v>
          </cell>
          <cell r="J6161">
            <v>2</v>
          </cell>
          <cell r="K6161">
            <v>2</v>
          </cell>
        </row>
        <row r="6162">
          <cell r="A6162" t="str">
            <v>M2</v>
          </cell>
          <cell r="B6162" t="str">
            <v>A5C</v>
          </cell>
          <cell r="C6162" t="str">
            <v>P</v>
          </cell>
          <cell r="D6162" t="str">
            <v>23037</v>
          </cell>
          <cell r="E6162" t="str">
            <v>E SWG</v>
          </cell>
          <cell r="F6162">
            <v>2</v>
          </cell>
          <cell r="G6162" t="str">
            <v>CB162108081H01</v>
          </cell>
          <cell r="H6162">
            <v>1</v>
          </cell>
          <cell r="I6162" t="str">
            <v>-</v>
          </cell>
          <cell r="J6162">
            <v>1</v>
          </cell>
          <cell r="K6162">
            <v>1</v>
          </cell>
        </row>
        <row r="6163">
          <cell r="A6163" t="str">
            <v>M2</v>
          </cell>
          <cell r="B6163" t="str">
            <v>A5C</v>
          </cell>
          <cell r="C6163" t="str">
            <v>P</v>
          </cell>
          <cell r="D6163" t="str">
            <v>23107</v>
          </cell>
          <cell r="E6163" t="str">
            <v>E SWG</v>
          </cell>
          <cell r="F6163">
            <v>2</v>
          </cell>
          <cell r="G6163" t="str">
            <v>CB162108081H01</v>
          </cell>
          <cell r="H6163">
            <v>1</v>
          </cell>
          <cell r="I6163" t="str">
            <v>-</v>
          </cell>
          <cell r="J6163">
            <v>2</v>
          </cell>
          <cell r="K6163">
            <v>2</v>
          </cell>
        </row>
        <row r="6164">
          <cell r="A6164" t="str">
            <v>M2</v>
          </cell>
          <cell r="B6164" t="str">
            <v>A5C</v>
          </cell>
          <cell r="C6164" t="str">
            <v>P</v>
          </cell>
          <cell r="D6164" t="str">
            <v>23006</v>
          </cell>
          <cell r="E6164" t="str">
            <v>R TEE</v>
          </cell>
          <cell r="F6164">
            <v>2</v>
          </cell>
          <cell r="G6164" t="str">
            <v>CB400400001H0T</v>
          </cell>
          <cell r="H6164">
            <v>0.75</v>
          </cell>
          <cell r="I6164" t="str">
            <v>-</v>
          </cell>
          <cell r="J6164">
            <v>4</v>
          </cell>
          <cell r="K6164">
            <v>4</v>
          </cell>
        </row>
        <row r="6165">
          <cell r="A6165" t="str">
            <v>M2</v>
          </cell>
          <cell r="B6165" t="str">
            <v>A5C</v>
          </cell>
          <cell r="C6165" t="str">
            <v>P</v>
          </cell>
          <cell r="D6165" t="str">
            <v>23006</v>
          </cell>
          <cell r="E6165" t="str">
            <v>R TEE</v>
          </cell>
          <cell r="F6165">
            <v>2</v>
          </cell>
          <cell r="G6165" t="str">
            <v>CB400400001H01</v>
          </cell>
          <cell r="H6165">
            <v>1</v>
          </cell>
          <cell r="I6165" t="str">
            <v>-</v>
          </cell>
          <cell r="J6165">
            <v>2</v>
          </cell>
          <cell r="K6165">
            <v>2</v>
          </cell>
        </row>
        <row r="6166">
          <cell r="A6166" t="str">
            <v>M2</v>
          </cell>
          <cell r="B6166" t="str">
            <v>A5C</v>
          </cell>
          <cell r="C6166" t="str">
            <v>P</v>
          </cell>
          <cell r="D6166" t="str">
            <v>23006</v>
          </cell>
          <cell r="E6166" t="str">
            <v>R TEE</v>
          </cell>
          <cell r="F6166">
            <v>2</v>
          </cell>
          <cell r="G6166" t="str">
            <v>CB400400001H0T</v>
          </cell>
          <cell r="H6166">
            <v>0.75</v>
          </cell>
          <cell r="I6166" t="str">
            <v>-</v>
          </cell>
          <cell r="J6166">
            <v>2</v>
          </cell>
          <cell r="K6166">
            <v>2</v>
          </cell>
        </row>
        <row r="6167">
          <cell r="A6167" t="str">
            <v>M2</v>
          </cell>
          <cell r="B6167" t="str">
            <v>A5C</v>
          </cell>
          <cell r="C6167" t="str">
            <v>P</v>
          </cell>
          <cell r="D6167" t="str">
            <v>23035</v>
          </cell>
          <cell r="E6167" t="str">
            <v>R TEE</v>
          </cell>
          <cell r="F6167">
            <v>2</v>
          </cell>
          <cell r="G6167" t="str">
            <v>CB400400001H0T</v>
          </cell>
          <cell r="H6167">
            <v>0.75</v>
          </cell>
          <cell r="I6167" t="str">
            <v>-</v>
          </cell>
          <cell r="J6167">
            <v>3</v>
          </cell>
          <cell r="K6167">
            <v>3</v>
          </cell>
        </row>
        <row r="6168">
          <cell r="A6168" t="str">
            <v>M2</v>
          </cell>
          <cell r="B6168" t="str">
            <v>A5C</v>
          </cell>
          <cell r="C6168" t="str">
            <v>P</v>
          </cell>
          <cell r="D6168" t="str">
            <v>23035</v>
          </cell>
          <cell r="E6168" t="str">
            <v>R TEE</v>
          </cell>
          <cell r="F6168">
            <v>2</v>
          </cell>
          <cell r="G6168" t="str">
            <v>CB400400001H01</v>
          </cell>
          <cell r="H6168">
            <v>1</v>
          </cell>
          <cell r="I6168" t="str">
            <v>-</v>
          </cell>
          <cell r="J6168">
            <v>2</v>
          </cell>
          <cell r="K6168">
            <v>2</v>
          </cell>
        </row>
        <row r="6169">
          <cell r="A6169" t="str">
            <v>M2</v>
          </cell>
          <cell r="B6169" t="str">
            <v>A5C</v>
          </cell>
          <cell r="C6169" t="str">
            <v>P</v>
          </cell>
          <cell r="D6169" t="str">
            <v>23035</v>
          </cell>
          <cell r="E6169" t="str">
            <v>R TEE</v>
          </cell>
          <cell r="F6169">
            <v>2</v>
          </cell>
          <cell r="G6169" t="str">
            <v>CB400400001H0T</v>
          </cell>
          <cell r="H6169">
            <v>0.75</v>
          </cell>
          <cell r="I6169" t="str">
            <v>-</v>
          </cell>
          <cell r="J6169">
            <v>1</v>
          </cell>
          <cell r="K6169">
            <v>1</v>
          </cell>
        </row>
        <row r="6170">
          <cell r="A6170" t="str">
            <v>M2</v>
          </cell>
          <cell r="B6170" t="str">
            <v>A5C</v>
          </cell>
          <cell r="C6170" t="str">
            <v>P</v>
          </cell>
          <cell r="D6170" t="str">
            <v>23038</v>
          </cell>
          <cell r="E6170" t="str">
            <v>R TEE</v>
          </cell>
          <cell r="F6170">
            <v>2</v>
          </cell>
          <cell r="G6170" t="str">
            <v>CB400400001H0T</v>
          </cell>
          <cell r="H6170">
            <v>0.75</v>
          </cell>
          <cell r="I6170" t="str">
            <v>-</v>
          </cell>
          <cell r="J6170">
            <v>2</v>
          </cell>
          <cell r="K6170">
            <v>2</v>
          </cell>
        </row>
        <row r="6171">
          <cell r="A6171" t="str">
            <v>M2</v>
          </cell>
          <cell r="B6171" t="str">
            <v>A5C</v>
          </cell>
          <cell r="C6171" t="str">
            <v>P</v>
          </cell>
          <cell r="D6171" t="str">
            <v>23052</v>
          </cell>
          <cell r="E6171" t="str">
            <v>R TEE</v>
          </cell>
          <cell r="F6171">
            <v>2</v>
          </cell>
          <cell r="G6171" t="str">
            <v>CB400400001H01</v>
          </cell>
          <cell r="H6171">
            <v>1</v>
          </cell>
          <cell r="I6171" t="str">
            <v>-</v>
          </cell>
          <cell r="J6171">
            <v>1</v>
          </cell>
          <cell r="K6171">
            <v>1</v>
          </cell>
        </row>
        <row r="6172">
          <cell r="A6172" t="str">
            <v>M2</v>
          </cell>
          <cell r="B6172" t="str">
            <v>A5C</v>
          </cell>
          <cell r="C6172" t="str">
            <v>P</v>
          </cell>
          <cell r="D6172" t="str">
            <v>23052</v>
          </cell>
          <cell r="E6172" t="str">
            <v>R TEE</v>
          </cell>
          <cell r="F6172">
            <v>2</v>
          </cell>
          <cell r="G6172" t="str">
            <v>CB400400001H0T</v>
          </cell>
          <cell r="H6172">
            <v>0.75</v>
          </cell>
          <cell r="I6172" t="str">
            <v>-</v>
          </cell>
          <cell r="J6172">
            <v>1</v>
          </cell>
          <cell r="K6172">
            <v>1</v>
          </cell>
        </row>
        <row r="6173">
          <cell r="A6173" t="str">
            <v>M2</v>
          </cell>
          <cell r="B6173" t="str">
            <v>A5C</v>
          </cell>
          <cell r="C6173" t="str">
            <v>P</v>
          </cell>
          <cell r="D6173" t="str">
            <v>23063</v>
          </cell>
          <cell r="E6173" t="str">
            <v>R TEE</v>
          </cell>
          <cell r="F6173">
            <v>2</v>
          </cell>
          <cell r="G6173" t="str">
            <v>CB400400001H0T</v>
          </cell>
          <cell r="H6173">
            <v>0.75</v>
          </cell>
          <cell r="I6173" t="str">
            <v>-</v>
          </cell>
          <cell r="J6173">
            <v>1</v>
          </cell>
          <cell r="K6173">
            <v>1</v>
          </cell>
        </row>
        <row r="6174">
          <cell r="A6174" t="str">
            <v>M2</v>
          </cell>
          <cell r="B6174" t="str">
            <v>A5C</v>
          </cell>
          <cell r="C6174" t="str">
            <v>P</v>
          </cell>
          <cell r="D6174" t="str">
            <v>23063</v>
          </cell>
          <cell r="E6174" t="str">
            <v>R TEE</v>
          </cell>
          <cell r="F6174">
            <v>2</v>
          </cell>
          <cell r="G6174" t="str">
            <v>CB400400001H01</v>
          </cell>
          <cell r="H6174">
            <v>1</v>
          </cell>
          <cell r="I6174" t="str">
            <v>-</v>
          </cell>
          <cell r="J6174">
            <v>1</v>
          </cell>
          <cell r="K6174">
            <v>1</v>
          </cell>
        </row>
        <row r="6175">
          <cell r="A6175" t="str">
            <v>M2</v>
          </cell>
          <cell r="B6175" t="str">
            <v>A5C</v>
          </cell>
          <cell r="C6175" t="str">
            <v>P</v>
          </cell>
          <cell r="D6175" t="str">
            <v>23078</v>
          </cell>
          <cell r="E6175" t="str">
            <v>R TEE</v>
          </cell>
          <cell r="F6175">
            <v>2</v>
          </cell>
          <cell r="G6175" t="str">
            <v>CB400400001H0T</v>
          </cell>
          <cell r="H6175">
            <v>0.75</v>
          </cell>
          <cell r="I6175" t="str">
            <v>-</v>
          </cell>
          <cell r="J6175">
            <v>1</v>
          </cell>
          <cell r="K6175">
            <v>1</v>
          </cell>
        </row>
        <row r="6176">
          <cell r="A6176" t="str">
            <v>M2</v>
          </cell>
          <cell r="B6176" t="str">
            <v>A5C</v>
          </cell>
          <cell r="C6176" t="str">
            <v>P</v>
          </cell>
          <cell r="D6176" t="str">
            <v>23078</v>
          </cell>
          <cell r="E6176" t="str">
            <v>R TEE</v>
          </cell>
          <cell r="F6176">
            <v>2</v>
          </cell>
          <cell r="G6176" t="str">
            <v>CB400400001H01</v>
          </cell>
          <cell r="H6176">
            <v>1</v>
          </cell>
          <cell r="I6176" t="str">
            <v>-</v>
          </cell>
          <cell r="J6176">
            <v>1</v>
          </cell>
          <cell r="K6176">
            <v>1</v>
          </cell>
        </row>
        <row r="6177">
          <cell r="A6177" t="str">
            <v>M2</v>
          </cell>
          <cell r="B6177" t="str">
            <v>A5C</v>
          </cell>
          <cell r="C6177" t="str">
            <v>P</v>
          </cell>
          <cell r="D6177" t="str">
            <v>23107</v>
          </cell>
          <cell r="E6177" t="str">
            <v>R TEE</v>
          </cell>
          <cell r="F6177">
            <v>2</v>
          </cell>
          <cell r="G6177" t="str">
            <v>CB400400001H0T</v>
          </cell>
          <cell r="H6177">
            <v>0.75</v>
          </cell>
          <cell r="I6177" t="str">
            <v>-</v>
          </cell>
          <cell r="J6177">
            <v>2</v>
          </cell>
          <cell r="K6177">
            <v>2</v>
          </cell>
        </row>
        <row r="6178">
          <cell r="A6178" t="str">
            <v>M2</v>
          </cell>
          <cell r="B6178" t="str">
            <v>A5C</v>
          </cell>
          <cell r="C6178" t="str">
            <v>P</v>
          </cell>
          <cell r="D6178" t="str">
            <v>23111</v>
          </cell>
          <cell r="E6178" t="str">
            <v>R TEE</v>
          </cell>
          <cell r="F6178">
            <v>2</v>
          </cell>
          <cell r="G6178" t="str">
            <v>CB400400001H0T</v>
          </cell>
          <cell r="H6178">
            <v>0.75</v>
          </cell>
          <cell r="I6178" t="str">
            <v>-</v>
          </cell>
          <cell r="J6178">
            <v>2</v>
          </cell>
          <cell r="K6178">
            <v>2</v>
          </cell>
        </row>
        <row r="6179">
          <cell r="A6179" t="str">
            <v>M2</v>
          </cell>
          <cell r="B6179" t="str">
            <v>A5C</v>
          </cell>
          <cell r="C6179" t="str">
            <v>P</v>
          </cell>
          <cell r="D6179" t="str">
            <v>23117</v>
          </cell>
          <cell r="E6179" t="str">
            <v>R TEE</v>
          </cell>
          <cell r="F6179">
            <v>2</v>
          </cell>
          <cell r="G6179" t="str">
            <v>CB400400001H0T</v>
          </cell>
          <cell r="H6179">
            <v>0.75</v>
          </cell>
          <cell r="I6179" t="str">
            <v>-</v>
          </cell>
          <cell r="J6179">
            <v>2</v>
          </cell>
          <cell r="K6179">
            <v>2</v>
          </cell>
        </row>
        <row r="6180">
          <cell r="A6180" t="str">
            <v>M2</v>
          </cell>
          <cell r="B6180" t="str">
            <v>A5C</v>
          </cell>
          <cell r="C6180" t="str">
            <v>P</v>
          </cell>
          <cell r="D6180" t="str">
            <v>23143</v>
          </cell>
          <cell r="E6180" t="str">
            <v>R TEE</v>
          </cell>
          <cell r="F6180">
            <v>2</v>
          </cell>
          <cell r="G6180" t="str">
            <v>CB400400001H0T</v>
          </cell>
          <cell r="H6180">
            <v>0.75</v>
          </cell>
          <cell r="I6180" t="str">
            <v>-</v>
          </cell>
          <cell r="J6180">
            <v>2</v>
          </cell>
          <cell r="K6180">
            <v>2</v>
          </cell>
        </row>
        <row r="6181">
          <cell r="A6181" t="str">
            <v>M2</v>
          </cell>
          <cell r="B6181" t="str">
            <v>A5C</v>
          </cell>
          <cell r="C6181" t="str">
            <v>P</v>
          </cell>
          <cell r="D6181" t="str">
            <v>23147</v>
          </cell>
          <cell r="E6181" t="str">
            <v>R TEE</v>
          </cell>
          <cell r="F6181">
            <v>2</v>
          </cell>
          <cell r="G6181" t="str">
            <v>CB400400001H0T</v>
          </cell>
          <cell r="H6181">
            <v>0.75</v>
          </cell>
          <cell r="I6181" t="str">
            <v>-</v>
          </cell>
          <cell r="J6181">
            <v>2</v>
          </cell>
          <cell r="K6181">
            <v>2</v>
          </cell>
        </row>
        <row r="6182">
          <cell r="A6182" t="str">
            <v>M2</v>
          </cell>
          <cell r="B6182" t="str">
            <v>A5C</v>
          </cell>
          <cell r="C6182" t="str">
            <v>P</v>
          </cell>
          <cell r="D6182" t="str">
            <v>23157</v>
          </cell>
          <cell r="E6182" t="str">
            <v>R TEE</v>
          </cell>
          <cell r="F6182">
            <v>2</v>
          </cell>
          <cell r="G6182" t="str">
            <v>CB400400001H0T</v>
          </cell>
          <cell r="H6182">
            <v>0.75</v>
          </cell>
          <cell r="I6182" t="str">
            <v>-</v>
          </cell>
          <cell r="J6182">
            <v>2</v>
          </cell>
          <cell r="K6182">
            <v>2</v>
          </cell>
        </row>
        <row r="6183">
          <cell r="A6183" t="str">
            <v>M2</v>
          </cell>
          <cell r="B6183" t="str">
            <v>A5C</v>
          </cell>
          <cell r="C6183" t="str">
            <v>P</v>
          </cell>
          <cell r="D6183" t="str">
            <v>23196</v>
          </cell>
          <cell r="E6183" t="str">
            <v>R TEE</v>
          </cell>
          <cell r="F6183">
            <v>2</v>
          </cell>
          <cell r="G6183" t="str">
            <v>CB400400001H0T</v>
          </cell>
          <cell r="H6183">
            <v>0.75</v>
          </cell>
          <cell r="I6183" t="str">
            <v>-</v>
          </cell>
          <cell r="J6183">
            <v>2</v>
          </cell>
          <cell r="K6183">
            <v>2</v>
          </cell>
        </row>
        <row r="6184">
          <cell r="A6184" t="str">
            <v>M2</v>
          </cell>
          <cell r="B6184" t="str">
            <v>A5C</v>
          </cell>
          <cell r="C6184" t="str">
            <v>P</v>
          </cell>
          <cell r="D6184" t="str">
            <v>23231</v>
          </cell>
          <cell r="E6184" t="str">
            <v>R TEE</v>
          </cell>
          <cell r="F6184">
            <v>2</v>
          </cell>
          <cell r="G6184" t="str">
            <v>CB400400001H0T</v>
          </cell>
          <cell r="H6184">
            <v>0.75</v>
          </cell>
          <cell r="I6184" t="str">
            <v>-</v>
          </cell>
          <cell r="J6184">
            <v>1</v>
          </cell>
          <cell r="K6184">
            <v>1</v>
          </cell>
        </row>
        <row r="6185">
          <cell r="A6185" t="str">
            <v>M2</v>
          </cell>
          <cell r="B6185" t="str">
            <v>A5C</v>
          </cell>
          <cell r="C6185" t="str">
            <v>P</v>
          </cell>
          <cell r="D6185" t="str">
            <v>23226</v>
          </cell>
          <cell r="E6185" t="str">
            <v>R TEE</v>
          </cell>
          <cell r="F6185">
            <v>2</v>
          </cell>
          <cell r="G6185" t="str">
            <v>CB400400001H0T</v>
          </cell>
          <cell r="H6185">
            <v>0.75</v>
          </cell>
          <cell r="I6185" t="str">
            <v>-</v>
          </cell>
          <cell r="J6185">
            <v>1</v>
          </cell>
          <cell r="K6185">
            <v>1</v>
          </cell>
        </row>
        <row r="6186">
          <cell r="A6186" t="str">
            <v>M2</v>
          </cell>
          <cell r="B6186" t="str">
            <v>A5C</v>
          </cell>
          <cell r="C6186" t="str">
            <v>P</v>
          </cell>
          <cell r="D6186" t="str">
            <v>23248</v>
          </cell>
          <cell r="E6186" t="str">
            <v>R TEE</v>
          </cell>
          <cell r="F6186">
            <v>2</v>
          </cell>
          <cell r="G6186" t="str">
            <v>CB400400001H0T</v>
          </cell>
          <cell r="H6186">
            <v>0.75</v>
          </cell>
          <cell r="I6186" t="str">
            <v>-</v>
          </cell>
          <cell r="J6186">
            <v>1</v>
          </cell>
          <cell r="K6186">
            <v>1</v>
          </cell>
        </row>
        <row r="6187">
          <cell r="A6187" t="str">
            <v>M2</v>
          </cell>
          <cell r="B6187" t="str">
            <v>A5C</v>
          </cell>
          <cell r="C6187" t="str">
            <v>P</v>
          </cell>
          <cell r="D6187" t="str">
            <v>23259</v>
          </cell>
          <cell r="E6187" t="str">
            <v>R TEE</v>
          </cell>
          <cell r="F6187">
            <v>2</v>
          </cell>
          <cell r="G6187" t="str">
            <v>CB400400001H0T</v>
          </cell>
          <cell r="H6187">
            <v>0.75</v>
          </cell>
          <cell r="I6187" t="str">
            <v>-</v>
          </cell>
          <cell r="J6187">
            <v>2</v>
          </cell>
          <cell r="K6187">
            <v>2</v>
          </cell>
        </row>
        <row r="6188">
          <cell r="A6188" t="str">
            <v>M2</v>
          </cell>
          <cell r="B6188" t="str">
            <v>A5C</v>
          </cell>
          <cell r="C6188" t="str">
            <v>P</v>
          </cell>
          <cell r="D6188" t="str">
            <v>99003</v>
          </cell>
          <cell r="E6188" t="str">
            <v>R TEE</v>
          </cell>
          <cell r="F6188">
            <v>2</v>
          </cell>
          <cell r="G6188" t="str">
            <v>CB400400001H0T</v>
          </cell>
          <cell r="H6188">
            <v>0.75</v>
          </cell>
          <cell r="I6188" t="str">
            <v>-</v>
          </cell>
          <cell r="J6188">
            <v>2</v>
          </cell>
          <cell r="K6188">
            <v>2</v>
          </cell>
        </row>
        <row r="6189">
          <cell r="A6189" t="str">
            <v>M2</v>
          </cell>
          <cell r="B6189" t="str">
            <v>A5C</v>
          </cell>
          <cell r="C6189" t="str">
            <v>P</v>
          </cell>
          <cell r="D6189" t="str">
            <v>99003</v>
          </cell>
          <cell r="E6189" t="str">
            <v>R TEE</v>
          </cell>
          <cell r="F6189">
            <v>2</v>
          </cell>
          <cell r="G6189" t="str">
            <v>CB400400001H0T</v>
          </cell>
          <cell r="H6189">
            <v>0.75</v>
          </cell>
          <cell r="I6189" t="str">
            <v>-</v>
          </cell>
          <cell r="J6189">
            <v>1</v>
          </cell>
          <cell r="K6189">
            <v>1</v>
          </cell>
        </row>
        <row r="6190">
          <cell r="A6190" t="str">
            <v>M2</v>
          </cell>
          <cell r="B6190" t="str">
            <v>A5C</v>
          </cell>
          <cell r="C6190" t="str">
            <v>P</v>
          </cell>
          <cell r="D6190" t="str">
            <v>99003</v>
          </cell>
          <cell r="E6190" t="str">
            <v>R TEE</v>
          </cell>
          <cell r="F6190">
            <v>2</v>
          </cell>
          <cell r="G6190" t="str">
            <v>CB400400001H01</v>
          </cell>
          <cell r="H6190">
            <v>1</v>
          </cell>
          <cell r="I6190" t="str">
            <v>-</v>
          </cell>
          <cell r="J6190">
            <v>2</v>
          </cell>
          <cell r="K6190">
            <v>2</v>
          </cell>
        </row>
        <row r="6191">
          <cell r="A6191" t="str">
            <v>M2</v>
          </cell>
          <cell r="B6191" t="str">
            <v>A5C</v>
          </cell>
          <cell r="C6191" t="str">
            <v>P</v>
          </cell>
          <cell r="D6191" t="str">
            <v>23103</v>
          </cell>
          <cell r="E6191" t="str">
            <v>R TEE</v>
          </cell>
          <cell r="F6191">
            <v>2</v>
          </cell>
          <cell r="G6191" t="str">
            <v>CB400400001H0T</v>
          </cell>
          <cell r="H6191">
            <v>0.75</v>
          </cell>
          <cell r="I6191" t="str">
            <v>-</v>
          </cell>
          <cell r="J6191">
            <v>2</v>
          </cell>
          <cell r="K6191">
            <v>2</v>
          </cell>
        </row>
        <row r="6192">
          <cell r="A6192" t="str">
            <v>M2</v>
          </cell>
          <cell r="B6192" t="str">
            <v>A5C</v>
          </cell>
          <cell r="C6192" t="str">
            <v>P</v>
          </cell>
          <cell r="D6192" t="str">
            <v>23185</v>
          </cell>
          <cell r="E6192" t="str">
            <v>R TEE</v>
          </cell>
          <cell r="F6192">
            <v>2</v>
          </cell>
          <cell r="G6192" t="str">
            <v>CB400400001H0T</v>
          </cell>
          <cell r="H6192">
            <v>0.75</v>
          </cell>
          <cell r="I6192" t="str">
            <v>-</v>
          </cell>
          <cell r="J6192">
            <v>2</v>
          </cell>
          <cell r="K6192">
            <v>2</v>
          </cell>
        </row>
        <row r="6193">
          <cell r="A6193" t="str">
            <v>M2</v>
          </cell>
          <cell r="B6193" t="str">
            <v>A5C</v>
          </cell>
          <cell r="C6193" t="str">
            <v>P</v>
          </cell>
          <cell r="D6193" t="str">
            <v>23253</v>
          </cell>
          <cell r="E6193" t="str">
            <v>R TEE</v>
          </cell>
          <cell r="F6193">
            <v>2</v>
          </cell>
          <cell r="G6193" t="str">
            <v>CB400400001H0T</v>
          </cell>
          <cell r="H6193">
            <v>0.75</v>
          </cell>
          <cell r="I6193" t="str">
            <v>-</v>
          </cell>
          <cell r="J6193">
            <v>1</v>
          </cell>
          <cell r="K6193">
            <v>1</v>
          </cell>
        </row>
        <row r="6194">
          <cell r="A6194" t="str">
            <v>M2</v>
          </cell>
          <cell r="B6194" t="str">
            <v>A5C</v>
          </cell>
          <cell r="C6194" t="str">
            <v>P</v>
          </cell>
          <cell r="D6194" t="str">
            <v>23055</v>
          </cell>
          <cell r="E6194" t="str">
            <v>E SWG</v>
          </cell>
          <cell r="F6194">
            <v>2</v>
          </cell>
          <cell r="G6194" t="str">
            <v>CB162108081H01</v>
          </cell>
          <cell r="H6194">
            <v>1</v>
          </cell>
          <cell r="I6194" t="str">
            <v>-</v>
          </cell>
          <cell r="J6194">
            <v>2</v>
          </cell>
          <cell r="K6194">
            <v>2</v>
          </cell>
        </row>
        <row r="6195">
          <cell r="A6195" t="str">
            <v>M2</v>
          </cell>
          <cell r="B6195" t="str">
            <v>A5C</v>
          </cell>
          <cell r="C6195" t="str">
            <v>P</v>
          </cell>
          <cell r="D6195" t="str">
            <v>23019</v>
          </cell>
          <cell r="E6195" t="str">
            <v>C SWG</v>
          </cell>
          <cell r="F6195">
            <v>2</v>
          </cell>
          <cell r="G6195" t="str">
            <v>CB161108081H01</v>
          </cell>
          <cell r="H6195">
            <v>1</v>
          </cell>
          <cell r="I6195" t="str">
            <v>-</v>
          </cell>
          <cell r="J6195">
            <v>1</v>
          </cell>
          <cell r="K6195">
            <v>1</v>
          </cell>
        </row>
        <row r="6196">
          <cell r="A6196" t="str">
            <v>M2</v>
          </cell>
          <cell r="B6196" t="str">
            <v>A5C</v>
          </cell>
          <cell r="C6196" t="str">
            <v>P</v>
          </cell>
          <cell r="D6196" t="str">
            <v>23039</v>
          </cell>
          <cell r="E6196" t="str">
            <v>C SWG</v>
          </cell>
          <cell r="F6196">
            <v>2</v>
          </cell>
          <cell r="G6196" t="str">
            <v>CB161108081H01</v>
          </cell>
          <cell r="H6196">
            <v>1</v>
          </cell>
          <cell r="I6196" t="str">
            <v>-</v>
          </cell>
          <cell r="J6196">
            <v>2</v>
          </cell>
          <cell r="K6196">
            <v>2</v>
          </cell>
        </row>
        <row r="6197">
          <cell r="A6197" t="str">
            <v>M2</v>
          </cell>
          <cell r="B6197" t="str">
            <v>A5C</v>
          </cell>
          <cell r="C6197" t="str">
            <v>P</v>
          </cell>
          <cell r="D6197" t="str">
            <v>23044</v>
          </cell>
          <cell r="E6197" t="str">
            <v>C SWG</v>
          </cell>
          <cell r="F6197">
            <v>2</v>
          </cell>
          <cell r="G6197" t="str">
            <v>CB161108081H01</v>
          </cell>
          <cell r="H6197">
            <v>1</v>
          </cell>
          <cell r="I6197" t="str">
            <v>-</v>
          </cell>
          <cell r="J6197">
            <v>2</v>
          </cell>
          <cell r="K6197">
            <v>2</v>
          </cell>
        </row>
        <row r="6198">
          <cell r="A6198" t="str">
            <v>M2</v>
          </cell>
          <cell r="B6198" t="str">
            <v>A5C</v>
          </cell>
          <cell r="C6198" t="str">
            <v>P</v>
          </cell>
          <cell r="D6198" t="str">
            <v>23033</v>
          </cell>
          <cell r="E6198" t="str">
            <v>C SWG</v>
          </cell>
          <cell r="F6198">
            <v>2</v>
          </cell>
          <cell r="G6198" t="str">
            <v>CB161108081H01</v>
          </cell>
          <cell r="H6198">
            <v>1</v>
          </cell>
          <cell r="I6198" t="str">
            <v>-</v>
          </cell>
          <cell r="J6198">
            <v>2</v>
          </cell>
          <cell r="K6198">
            <v>2</v>
          </cell>
        </row>
        <row r="6199">
          <cell r="A6199" t="str">
            <v>M2</v>
          </cell>
          <cell r="B6199" t="str">
            <v>A5C</v>
          </cell>
          <cell r="C6199" t="str">
            <v>P</v>
          </cell>
          <cell r="D6199" t="str">
            <v>23019</v>
          </cell>
          <cell r="E6199" t="str">
            <v>E SWG</v>
          </cell>
          <cell r="F6199">
            <v>2</v>
          </cell>
          <cell r="G6199" t="str">
            <v>CB162108081H01</v>
          </cell>
          <cell r="H6199">
            <v>1</v>
          </cell>
          <cell r="I6199" t="str">
            <v>-</v>
          </cell>
          <cell r="J6199">
            <v>2</v>
          </cell>
          <cell r="K6199">
            <v>2</v>
          </cell>
        </row>
        <row r="6200">
          <cell r="A6200" t="str">
            <v>M2</v>
          </cell>
          <cell r="B6200" t="str">
            <v>A5C</v>
          </cell>
          <cell r="C6200" t="str">
            <v>P</v>
          </cell>
          <cell r="D6200" t="str">
            <v>23039</v>
          </cell>
          <cell r="E6200" t="str">
            <v>E SWG</v>
          </cell>
          <cell r="F6200">
            <v>2</v>
          </cell>
          <cell r="G6200" t="str">
            <v>CB162108081H01</v>
          </cell>
          <cell r="H6200">
            <v>1</v>
          </cell>
          <cell r="I6200" t="str">
            <v>-</v>
          </cell>
          <cell r="J6200">
            <v>2</v>
          </cell>
          <cell r="K6200">
            <v>2</v>
          </cell>
        </row>
        <row r="6201">
          <cell r="A6201" t="str">
            <v>M2</v>
          </cell>
          <cell r="B6201" t="str">
            <v>A5C</v>
          </cell>
          <cell r="C6201" t="str">
            <v>P</v>
          </cell>
          <cell r="D6201" t="str">
            <v>23027</v>
          </cell>
          <cell r="E6201" t="str">
            <v>E SWG</v>
          </cell>
          <cell r="F6201">
            <v>2</v>
          </cell>
          <cell r="G6201" t="str">
            <v>CB162108081H01</v>
          </cell>
          <cell r="H6201">
            <v>1</v>
          </cell>
          <cell r="I6201" t="str">
            <v>-</v>
          </cell>
          <cell r="J6201">
            <v>1</v>
          </cell>
          <cell r="K6201">
            <v>1</v>
          </cell>
        </row>
        <row r="6202">
          <cell r="A6202" t="str">
            <v>M2</v>
          </cell>
          <cell r="B6202" t="str">
            <v>A5C</v>
          </cell>
          <cell r="C6202" t="str">
            <v>P</v>
          </cell>
          <cell r="D6202" t="str">
            <v>23077</v>
          </cell>
          <cell r="E6202" t="str">
            <v>E SWG</v>
          </cell>
          <cell r="F6202">
            <v>2</v>
          </cell>
          <cell r="G6202" t="str">
            <v>CB162108081H01</v>
          </cell>
          <cell r="H6202">
            <v>1</v>
          </cell>
          <cell r="I6202" t="str">
            <v>-</v>
          </cell>
          <cell r="J6202">
            <v>2</v>
          </cell>
          <cell r="K6202">
            <v>2</v>
          </cell>
        </row>
        <row r="6203">
          <cell r="A6203" t="str">
            <v>M2</v>
          </cell>
          <cell r="B6203" t="str">
            <v>A5C</v>
          </cell>
          <cell r="C6203" t="str">
            <v>P</v>
          </cell>
          <cell r="D6203" t="str">
            <v>23019</v>
          </cell>
          <cell r="E6203" t="str">
            <v>R TEE</v>
          </cell>
          <cell r="F6203">
            <v>2</v>
          </cell>
          <cell r="G6203" t="str">
            <v>CB400400001H01</v>
          </cell>
          <cell r="H6203">
            <v>1</v>
          </cell>
          <cell r="I6203" t="str">
            <v>-</v>
          </cell>
          <cell r="J6203">
            <v>1</v>
          </cell>
          <cell r="K6203">
            <v>1</v>
          </cell>
        </row>
        <row r="6204">
          <cell r="A6204" t="str">
            <v>M2</v>
          </cell>
          <cell r="B6204" t="str">
            <v>A5C</v>
          </cell>
          <cell r="C6204" t="str">
            <v>P</v>
          </cell>
          <cell r="D6204" t="str">
            <v>23019</v>
          </cell>
          <cell r="E6204" t="str">
            <v>R TEE</v>
          </cell>
          <cell r="F6204">
            <v>2</v>
          </cell>
          <cell r="G6204" t="str">
            <v>CB400400001H0T</v>
          </cell>
          <cell r="H6204">
            <v>0.75</v>
          </cell>
          <cell r="I6204" t="str">
            <v>-</v>
          </cell>
          <cell r="J6204">
            <v>1</v>
          </cell>
          <cell r="K6204">
            <v>1</v>
          </cell>
        </row>
        <row r="6205">
          <cell r="A6205" t="str">
            <v>M2</v>
          </cell>
          <cell r="B6205" t="str">
            <v>A5C</v>
          </cell>
          <cell r="C6205" t="str">
            <v>P</v>
          </cell>
          <cell r="D6205" t="str">
            <v>23027</v>
          </cell>
          <cell r="E6205" t="str">
            <v>R TEE</v>
          </cell>
          <cell r="F6205">
            <v>2</v>
          </cell>
          <cell r="G6205" t="str">
            <v>CB400400001H01</v>
          </cell>
          <cell r="H6205">
            <v>1</v>
          </cell>
          <cell r="I6205" t="str">
            <v>-</v>
          </cell>
          <cell r="J6205">
            <v>1</v>
          </cell>
          <cell r="K6205">
            <v>1</v>
          </cell>
        </row>
        <row r="6206">
          <cell r="A6206" t="str">
            <v>M2</v>
          </cell>
          <cell r="B6206" t="str">
            <v>A5C</v>
          </cell>
          <cell r="C6206" t="str">
            <v>P</v>
          </cell>
          <cell r="D6206" t="str">
            <v>23027</v>
          </cell>
          <cell r="E6206" t="str">
            <v>R TEE</v>
          </cell>
          <cell r="F6206">
            <v>2</v>
          </cell>
          <cell r="G6206" t="str">
            <v>CB400400001H0T</v>
          </cell>
          <cell r="H6206">
            <v>0.75</v>
          </cell>
          <cell r="I6206" t="str">
            <v>-</v>
          </cell>
          <cell r="J6206">
            <v>1</v>
          </cell>
          <cell r="K6206">
            <v>1</v>
          </cell>
        </row>
        <row r="6207">
          <cell r="A6207" t="str">
            <v>M2</v>
          </cell>
          <cell r="B6207" t="str">
            <v>A5C</v>
          </cell>
          <cell r="C6207" t="str">
            <v>P</v>
          </cell>
          <cell r="D6207" t="str">
            <v>23033</v>
          </cell>
          <cell r="E6207" t="str">
            <v>R TEE</v>
          </cell>
          <cell r="F6207">
            <v>2</v>
          </cell>
          <cell r="G6207" t="str">
            <v>CB400400001H0T</v>
          </cell>
          <cell r="H6207">
            <v>0.75</v>
          </cell>
          <cell r="I6207" t="str">
            <v>-</v>
          </cell>
          <cell r="J6207">
            <v>4</v>
          </cell>
          <cell r="K6207">
            <v>4</v>
          </cell>
        </row>
        <row r="6208">
          <cell r="A6208" t="str">
            <v>M2</v>
          </cell>
          <cell r="B6208" t="str">
            <v>A5C</v>
          </cell>
          <cell r="C6208" t="str">
            <v>P</v>
          </cell>
          <cell r="D6208" t="str">
            <v>23039</v>
          </cell>
          <cell r="E6208" t="str">
            <v>R TEE</v>
          </cell>
          <cell r="F6208">
            <v>2</v>
          </cell>
          <cell r="G6208" t="str">
            <v>CB400400001H0T</v>
          </cell>
          <cell r="H6208">
            <v>0.75</v>
          </cell>
          <cell r="I6208" t="str">
            <v>-</v>
          </cell>
          <cell r="J6208">
            <v>4</v>
          </cell>
          <cell r="K6208">
            <v>4</v>
          </cell>
        </row>
        <row r="6209">
          <cell r="A6209" t="str">
            <v>M2</v>
          </cell>
          <cell r="B6209" t="str">
            <v>A5C</v>
          </cell>
          <cell r="C6209" t="str">
            <v>P</v>
          </cell>
          <cell r="D6209" t="str">
            <v>23039</v>
          </cell>
          <cell r="E6209" t="str">
            <v>R TEE</v>
          </cell>
          <cell r="F6209">
            <v>2</v>
          </cell>
          <cell r="G6209" t="str">
            <v>CB400400001H0T</v>
          </cell>
          <cell r="H6209">
            <v>0.75</v>
          </cell>
          <cell r="I6209" t="str">
            <v>-</v>
          </cell>
          <cell r="J6209">
            <v>1</v>
          </cell>
          <cell r="K6209">
            <v>1</v>
          </cell>
        </row>
        <row r="6210">
          <cell r="A6210" t="str">
            <v>M2</v>
          </cell>
          <cell r="B6210" t="str">
            <v>A5C</v>
          </cell>
          <cell r="C6210" t="str">
            <v>P</v>
          </cell>
          <cell r="D6210" t="str">
            <v>23039</v>
          </cell>
          <cell r="E6210" t="str">
            <v>R TEE</v>
          </cell>
          <cell r="F6210">
            <v>2</v>
          </cell>
          <cell r="G6210" t="str">
            <v>CB400400001H01</v>
          </cell>
          <cell r="H6210">
            <v>1</v>
          </cell>
          <cell r="I6210" t="str">
            <v>-</v>
          </cell>
          <cell r="J6210">
            <v>2</v>
          </cell>
          <cell r="K6210">
            <v>2</v>
          </cell>
        </row>
        <row r="6211">
          <cell r="A6211" t="str">
            <v>M2</v>
          </cell>
          <cell r="B6211" t="str">
            <v>A5C</v>
          </cell>
          <cell r="C6211" t="str">
            <v>P</v>
          </cell>
          <cell r="D6211" t="str">
            <v>24001</v>
          </cell>
          <cell r="E6211" t="str">
            <v>C SWG</v>
          </cell>
          <cell r="F6211">
            <v>2</v>
          </cell>
          <cell r="G6211" t="str">
            <v>CB161108081H01</v>
          </cell>
          <cell r="H6211">
            <v>1</v>
          </cell>
          <cell r="I6211" t="str">
            <v>-</v>
          </cell>
          <cell r="J6211">
            <v>2</v>
          </cell>
          <cell r="K6211">
            <v>2</v>
          </cell>
        </row>
        <row r="6212">
          <cell r="A6212" t="str">
            <v>M2</v>
          </cell>
          <cell r="B6212" t="str">
            <v>A5C</v>
          </cell>
          <cell r="C6212" t="str">
            <v>P</v>
          </cell>
          <cell r="D6212" t="str">
            <v>23009</v>
          </cell>
          <cell r="E6212" t="str">
            <v>E SWG</v>
          </cell>
          <cell r="F6212">
            <v>2</v>
          </cell>
          <cell r="G6212" t="str">
            <v>CB162108081H01</v>
          </cell>
          <cell r="H6212">
            <v>1</v>
          </cell>
          <cell r="I6212" t="str">
            <v>-</v>
          </cell>
          <cell r="J6212">
            <v>2</v>
          </cell>
          <cell r="K6212">
            <v>2</v>
          </cell>
        </row>
        <row r="6213">
          <cell r="A6213" t="str">
            <v>M2</v>
          </cell>
          <cell r="B6213" t="str">
            <v>A5C</v>
          </cell>
          <cell r="C6213" t="str">
            <v>P</v>
          </cell>
          <cell r="D6213" t="str">
            <v>24001</v>
          </cell>
          <cell r="E6213" t="str">
            <v>R TEE</v>
          </cell>
          <cell r="F6213">
            <v>2</v>
          </cell>
          <cell r="G6213" t="str">
            <v>CB400400001H0T</v>
          </cell>
          <cell r="H6213">
            <v>0.75</v>
          </cell>
          <cell r="I6213" t="str">
            <v>-</v>
          </cell>
          <cell r="J6213">
            <v>2</v>
          </cell>
          <cell r="K6213">
            <v>2</v>
          </cell>
        </row>
        <row r="6214">
          <cell r="A6214" t="str">
            <v>M2</v>
          </cell>
          <cell r="B6214" t="str">
            <v>A5C</v>
          </cell>
          <cell r="C6214" t="str">
            <v>P</v>
          </cell>
          <cell r="D6214" t="str">
            <v>23073</v>
          </cell>
          <cell r="E6214" t="str">
            <v>C SWG</v>
          </cell>
          <cell r="F6214">
            <v>2</v>
          </cell>
          <cell r="G6214" t="str">
            <v>CB1614080802IH</v>
          </cell>
          <cell r="H6214">
            <v>1.5</v>
          </cell>
          <cell r="I6214" t="str">
            <v>-</v>
          </cell>
          <cell r="J6214">
            <v>2</v>
          </cell>
          <cell r="K6214">
            <v>3</v>
          </cell>
        </row>
        <row r="6215">
          <cell r="A6215" t="str">
            <v>M2</v>
          </cell>
          <cell r="B6215" t="str">
            <v>A5C</v>
          </cell>
          <cell r="C6215" t="str">
            <v>P</v>
          </cell>
          <cell r="D6215" t="str">
            <v>23085</v>
          </cell>
          <cell r="E6215" t="str">
            <v>C SWG</v>
          </cell>
          <cell r="F6215">
            <v>2</v>
          </cell>
          <cell r="G6215" t="str">
            <v>CB1614080802IH</v>
          </cell>
          <cell r="H6215">
            <v>1.5</v>
          </cell>
          <cell r="I6215" t="str">
            <v>-</v>
          </cell>
          <cell r="J6215">
            <v>2</v>
          </cell>
          <cell r="K6215">
            <v>3</v>
          </cell>
        </row>
        <row r="6216">
          <cell r="A6216" t="str">
            <v>M2</v>
          </cell>
          <cell r="B6216" t="str">
            <v>A5C</v>
          </cell>
          <cell r="C6216" t="str">
            <v>P</v>
          </cell>
          <cell r="D6216" t="str">
            <v>23096</v>
          </cell>
          <cell r="E6216" t="str">
            <v>C SWG</v>
          </cell>
          <cell r="F6216">
            <v>2</v>
          </cell>
          <cell r="G6216" t="str">
            <v>CB1614080802IH</v>
          </cell>
          <cell r="H6216">
            <v>1.5</v>
          </cell>
          <cell r="I6216" t="str">
            <v>-</v>
          </cell>
          <cell r="J6216">
            <v>2</v>
          </cell>
          <cell r="K6216">
            <v>3</v>
          </cell>
        </row>
        <row r="6217">
          <cell r="A6217" t="str">
            <v>M2</v>
          </cell>
          <cell r="B6217" t="str">
            <v>A5C</v>
          </cell>
          <cell r="C6217" t="str">
            <v>P</v>
          </cell>
          <cell r="D6217" t="str">
            <v>23135</v>
          </cell>
          <cell r="E6217" t="str">
            <v>C SWG</v>
          </cell>
          <cell r="F6217">
            <v>2</v>
          </cell>
          <cell r="G6217" t="str">
            <v>CB1614080802IH</v>
          </cell>
          <cell r="H6217">
            <v>1.5</v>
          </cell>
          <cell r="I6217" t="str">
            <v>-</v>
          </cell>
          <cell r="J6217">
            <v>2</v>
          </cell>
          <cell r="K6217">
            <v>3</v>
          </cell>
        </row>
        <row r="6218">
          <cell r="A6218" t="str">
            <v>M2</v>
          </cell>
          <cell r="B6218" t="str">
            <v>A5C</v>
          </cell>
          <cell r="C6218" t="str">
            <v>P</v>
          </cell>
          <cell r="D6218" t="str">
            <v>23230</v>
          </cell>
          <cell r="E6218" t="str">
            <v>C SWG</v>
          </cell>
          <cell r="F6218">
            <v>2</v>
          </cell>
          <cell r="G6218" t="str">
            <v>CB161408080201</v>
          </cell>
          <cell r="H6218">
            <v>1</v>
          </cell>
          <cell r="I6218" t="str">
            <v>-</v>
          </cell>
          <cell r="J6218">
            <v>2</v>
          </cell>
          <cell r="K6218">
            <v>3</v>
          </cell>
        </row>
        <row r="6219">
          <cell r="A6219" t="str">
            <v>M2</v>
          </cell>
          <cell r="B6219" t="str">
            <v>A5C</v>
          </cell>
          <cell r="C6219" t="str">
            <v>P</v>
          </cell>
          <cell r="D6219" t="str">
            <v>23252</v>
          </cell>
          <cell r="E6219" t="str">
            <v>C SWG</v>
          </cell>
          <cell r="F6219">
            <v>2</v>
          </cell>
          <cell r="G6219" t="str">
            <v>CB161408080201</v>
          </cell>
          <cell r="H6219">
            <v>1</v>
          </cell>
          <cell r="I6219" t="str">
            <v>-</v>
          </cell>
          <cell r="J6219">
            <v>2</v>
          </cell>
          <cell r="K6219">
            <v>3</v>
          </cell>
        </row>
        <row r="6220">
          <cell r="A6220" t="str">
            <v>M2</v>
          </cell>
          <cell r="B6220" t="str">
            <v>A5C</v>
          </cell>
          <cell r="C6220" t="str">
            <v>P</v>
          </cell>
          <cell r="D6220" t="str">
            <v>23261</v>
          </cell>
          <cell r="E6220" t="str">
            <v>C SWG</v>
          </cell>
          <cell r="F6220">
            <v>2</v>
          </cell>
          <cell r="G6220" t="str">
            <v>CB161408080201</v>
          </cell>
          <cell r="H6220">
            <v>1</v>
          </cell>
          <cell r="I6220" t="str">
            <v>-</v>
          </cell>
          <cell r="J6220">
            <v>1</v>
          </cell>
          <cell r="K6220">
            <v>2</v>
          </cell>
        </row>
        <row r="6221">
          <cell r="A6221" t="str">
            <v>M2</v>
          </cell>
          <cell r="B6221" t="str">
            <v>A5C</v>
          </cell>
          <cell r="C6221" t="str">
            <v>P</v>
          </cell>
          <cell r="D6221" t="str">
            <v>24021</v>
          </cell>
          <cell r="E6221" t="str">
            <v>C SWG</v>
          </cell>
          <cell r="F6221">
            <v>2</v>
          </cell>
          <cell r="G6221" t="str">
            <v>CB1614080802IH</v>
          </cell>
          <cell r="H6221">
            <v>1.5</v>
          </cell>
          <cell r="I6221" t="str">
            <v>-</v>
          </cell>
          <cell r="J6221">
            <v>2</v>
          </cell>
          <cell r="K6221">
            <v>3</v>
          </cell>
        </row>
        <row r="6222">
          <cell r="A6222" t="str">
            <v>M2</v>
          </cell>
          <cell r="B6222" t="str">
            <v>A5C</v>
          </cell>
          <cell r="C6222" t="str">
            <v>P</v>
          </cell>
          <cell r="D6222" t="str">
            <v>23102</v>
          </cell>
          <cell r="E6222" t="str">
            <v>C SWG</v>
          </cell>
          <cell r="F6222">
            <v>2</v>
          </cell>
          <cell r="G6222" t="str">
            <v>CB1614080802IH</v>
          </cell>
          <cell r="H6222">
            <v>1.5</v>
          </cell>
          <cell r="I6222" t="str">
            <v>-</v>
          </cell>
          <cell r="J6222">
            <v>2</v>
          </cell>
          <cell r="K6222">
            <v>3</v>
          </cell>
        </row>
        <row r="6223">
          <cell r="A6223" t="str">
            <v>M2</v>
          </cell>
          <cell r="B6223" t="str">
            <v>A5C</v>
          </cell>
          <cell r="C6223" t="str">
            <v>P</v>
          </cell>
          <cell r="D6223" t="str">
            <v>24007</v>
          </cell>
          <cell r="E6223" t="str">
            <v>C SWG</v>
          </cell>
          <cell r="F6223">
            <v>2</v>
          </cell>
          <cell r="G6223" t="str">
            <v>CB161408080201</v>
          </cell>
          <cell r="H6223">
            <v>1</v>
          </cell>
          <cell r="I6223" t="str">
            <v>-</v>
          </cell>
          <cell r="J6223">
            <v>1</v>
          </cell>
          <cell r="K6223">
            <v>2</v>
          </cell>
        </row>
        <row r="6224">
          <cell r="A6224" t="str">
            <v>M2</v>
          </cell>
          <cell r="B6224" t="str">
            <v>A5C</v>
          </cell>
          <cell r="C6224" t="str">
            <v>P</v>
          </cell>
          <cell r="D6224" t="str">
            <v>24013</v>
          </cell>
          <cell r="E6224" t="str">
            <v>C SWG</v>
          </cell>
          <cell r="F6224">
            <v>2</v>
          </cell>
          <cell r="G6224" t="str">
            <v>CB161408080201</v>
          </cell>
          <cell r="H6224">
            <v>1</v>
          </cell>
          <cell r="I6224" t="str">
            <v>-</v>
          </cell>
          <cell r="J6224">
            <v>2</v>
          </cell>
          <cell r="K6224">
            <v>3</v>
          </cell>
        </row>
        <row r="6225">
          <cell r="A6225" t="str">
            <v>M2</v>
          </cell>
          <cell r="B6225" t="str">
            <v>A5C</v>
          </cell>
          <cell r="C6225" t="str">
            <v>P</v>
          </cell>
          <cell r="D6225" t="str">
            <v>23115</v>
          </cell>
          <cell r="E6225" t="str">
            <v>E SWG</v>
          </cell>
          <cell r="F6225">
            <v>2</v>
          </cell>
          <cell r="G6225" t="str">
            <v>CB1624080802IH</v>
          </cell>
          <cell r="H6225">
            <v>1.5</v>
          </cell>
          <cell r="I6225" t="str">
            <v>-</v>
          </cell>
          <cell r="J6225">
            <v>2</v>
          </cell>
          <cell r="K6225">
            <v>3</v>
          </cell>
        </row>
        <row r="6226">
          <cell r="A6226" t="str">
            <v>M2</v>
          </cell>
          <cell r="B6226" t="str">
            <v>A5C</v>
          </cell>
          <cell r="C6226" t="str">
            <v>P</v>
          </cell>
          <cell r="D6226" t="str">
            <v>23188</v>
          </cell>
          <cell r="E6226" t="str">
            <v>E SWG</v>
          </cell>
          <cell r="F6226">
            <v>2</v>
          </cell>
          <cell r="G6226" t="str">
            <v>CB16240808020T</v>
          </cell>
          <cell r="H6226">
            <v>0.75</v>
          </cell>
          <cell r="I6226" t="str">
            <v>-</v>
          </cell>
          <cell r="J6226">
            <v>2</v>
          </cell>
          <cell r="K6226">
            <v>3</v>
          </cell>
        </row>
        <row r="6227">
          <cell r="A6227" t="str">
            <v>M2</v>
          </cell>
          <cell r="B6227" t="str">
            <v>A5C</v>
          </cell>
          <cell r="C6227" t="str">
            <v>P</v>
          </cell>
          <cell r="D6227" t="str">
            <v>23192</v>
          </cell>
          <cell r="E6227" t="str">
            <v>E SWG</v>
          </cell>
          <cell r="F6227">
            <v>2</v>
          </cell>
          <cell r="G6227" t="str">
            <v>CB1624080802IH</v>
          </cell>
          <cell r="H6227">
            <v>1.5</v>
          </cell>
          <cell r="I6227" t="str">
            <v>-</v>
          </cell>
          <cell r="J6227">
            <v>2</v>
          </cell>
          <cell r="K6227">
            <v>3</v>
          </cell>
        </row>
        <row r="6228">
          <cell r="A6228" t="str">
            <v>M2</v>
          </cell>
          <cell r="B6228" t="str">
            <v>A5C</v>
          </cell>
          <cell r="C6228" t="str">
            <v>P</v>
          </cell>
          <cell r="D6228" t="str">
            <v>23001</v>
          </cell>
          <cell r="E6228" t="str">
            <v>E SWG</v>
          </cell>
          <cell r="F6228">
            <v>2</v>
          </cell>
          <cell r="G6228" t="str">
            <v>CB1624080802IH</v>
          </cell>
          <cell r="H6228">
            <v>1.5</v>
          </cell>
          <cell r="I6228" t="str">
            <v>-</v>
          </cell>
          <cell r="J6228">
            <v>2</v>
          </cell>
          <cell r="K6228">
            <v>3</v>
          </cell>
        </row>
        <row r="6229">
          <cell r="A6229" t="str">
            <v>M2</v>
          </cell>
          <cell r="B6229" t="str">
            <v>A5C</v>
          </cell>
          <cell r="C6229" t="str">
            <v>P</v>
          </cell>
          <cell r="D6229" t="str">
            <v>23035</v>
          </cell>
          <cell r="E6229" t="str">
            <v>E SWG</v>
          </cell>
          <cell r="F6229">
            <v>2</v>
          </cell>
          <cell r="G6229" t="str">
            <v>CB1624080802IH</v>
          </cell>
          <cell r="H6229">
            <v>1.5</v>
          </cell>
          <cell r="I6229" t="str">
            <v>-</v>
          </cell>
          <cell r="J6229">
            <v>2</v>
          </cell>
          <cell r="K6229">
            <v>3</v>
          </cell>
        </row>
        <row r="6230">
          <cell r="A6230" t="str">
            <v>M2</v>
          </cell>
          <cell r="B6230" t="str">
            <v>A5C</v>
          </cell>
          <cell r="C6230" t="str">
            <v>P</v>
          </cell>
          <cell r="D6230" t="str">
            <v>23073</v>
          </cell>
          <cell r="E6230" t="str">
            <v>SOL</v>
          </cell>
          <cell r="F6230">
            <v>2</v>
          </cell>
          <cell r="G6230" t="str">
            <v>CB39020000020T</v>
          </cell>
          <cell r="H6230">
            <v>0.75</v>
          </cell>
          <cell r="I6230" t="str">
            <v>-</v>
          </cell>
          <cell r="J6230">
            <v>2</v>
          </cell>
          <cell r="K6230">
            <v>3</v>
          </cell>
        </row>
        <row r="6231">
          <cell r="A6231" t="str">
            <v>M2</v>
          </cell>
          <cell r="B6231" t="str">
            <v>A5C</v>
          </cell>
          <cell r="C6231" t="str">
            <v>P</v>
          </cell>
          <cell r="D6231" t="str">
            <v>23085</v>
          </cell>
          <cell r="E6231" t="str">
            <v>SOL</v>
          </cell>
          <cell r="F6231">
            <v>2</v>
          </cell>
          <cell r="G6231" t="str">
            <v>CB39020000020T</v>
          </cell>
          <cell r="H6231">
            <v>0.75</v>
          </cell>
          <cell r="I6231" t="str">
            <v>-</v>
          </cell>
          <cell r="J6231">
            <v>3</v>
          </cell>
          <cell r="K6231">
            <v>4</v>
          </cell>
        </row>
        <row r="6232">
          <cell r="A6232" t="str">
            <v>M2</v>
          </cell>
          <cell r="B6232" t="str">
            <v>A5C</v>
          </cell>
          <cell r="C6232" t="str">
            <v>P</v>
          </cell>
          <cell r="D6232" t="str">
            <v>23102</v>
          </cell>
          <cell r="E6232" t="str">
            <v>SOL</v>
          </cell>
          <cell r="F6232">
            <v>2</v>
          </cell>
          <cell r="G6232" t="str">
            <v>CB390200000201</v>
          </cell>
          <cell r="H6232">
            <v>1</v>
          </cell>
          <cell r="I6232" t="str">
            <v>-</v>
          </cell>
          <cell r="J6232">
            <v>1</v>
          </cell>
          <cell r="K6232">
            <v>2</v>
          </cell>
        </row>
        <row r="6233">
          <cell r="A6233" t="str">
            <v>M2</v>
          </cell>
          <cell r="B6233" t="str">
            <v>A5C</v>
          </cell>
          <cell r="C6233" t="str">
            <v>P</v>
          </cell>
          <cell r="D6233" t="str">
            <v>23192</v>
          </cell>
          <cell r="E6233" t="str">
            <v>SOL</v>
          </cell>
          <cell r="F6233">
            <v>2</v>
          </cell>
          <cell r="G6233" t="str">
            <v>CB39020000020T</v>
          </cell>
          <cell r="H6233">
            <v>0.75</v>
          </cell>
          <cell r="I6233" t="str">
            <v>-</v>
          </cell>
          <cell r="J6233">
            <v>3</v>
          </cell>
          <cell r="K6233">
            <v>4</v>
          </cell>
        </row>
        <row r="6234">
          <cell r="A6234" t="str">
            <v>M2</v>
          </cell>
          <cell r="B6234" t="str">
            <v>A5C</v>
          </cell>
          <cell r="C6234" t="str">
            <v>P</v>
          </cell>
          <cell r="D6234" t="str">
            <v>23192</v>
          </cell>
          <cell r="E6234" t="str">
            <v>SOL</v>
          </cell>
          <cell r="F6234">
            <v>2</v>
          </cell>
          <cell r="G6234" t="str">
            <v>CB3902000002IH</v>
          </cell>
          <cell r="H6234">
            <v>1.5</v>
          </cell>
          <cell r="I6234" t="str">
            <v>-</v>
          </cell>
          <cell r="J6234">
            <v>2</v>
          </cell>
          <cell r="K6234">
            <v>3</v>
          </cell>
        </row>
        <row r="6235">
          <cell r="A6235" t="str">
            <v>M2</v>
          </cell>
          <cell r="B6235" t="str">
            <v>A5C</v>
          </cell>
          <cell r="C6235" t="str">
            <v>P</v>
          </cell>
          <cell r="D6235" t="str">
            <v>23229</v>
          </cell>
          <cell r="E6235" t="str">
            <v>SOL</v>
          </cell>
          <cell r="F6235">
            <v>2</v>
          </cell>
          <cell r="G6235" t="str">
            <v>CB39020000020T</v>
          </cell>
          <cell r="H6235">
            <v>0.75</v>
          </cell>
          <cell r="I6235" t="str">
            <v>-</v>
          </cell>
          <cell r="J6235">
            <v>1</v>
          </cell>
          <cell r="K6235">
            <v>2</v>
          </cell>
        </row>
        <row r="6236">
          <cell r="A6236" t="str">
            <v>M2</v>
          </cell>
          <cell r="B6236" t="str">
            <v>A5C</v>
          </cell>
          <cell r="C6236" t="str">
            <v>P</v>
          </cell>
          <cell r="D6236" t="str">
            <v>23251</v>
          </cell>
          <cell r="E6236" t="str">
            <v>SOL</v>
          </cell>
          <cell r="F6236">
            <v>2</v>
          </cell>
          <cell r="G6236" t="str">
            <v>CB39020000020T</v>
          </cell>
          <cell r="H6236">
            <v>0.75</v>
          </cell>
          <cell r="I6236" t="str">
            <v>-</v>
          </cell>
          <cell r="J6236">
            <v>1</v>
          </cell>
          <cell r="K6236">
            <v>2</v>
          </cell>
        </row>
        <row r="6237">
          <cell r="A6237" t="str">
            <v>M2</v>
          </cell>
          <cell r="B6237" t="str">
            <v>A5C</v>
          </cell>
          <cell r="C6237" t="str">
            <v>P</v>
          </cell>
          <cell r="D6237" t="str">
            <v>23253</v>
          </cell>
          <cell r="E6237" t="str">
            <v>SOL</v>
          </cell>
          <cell r="F6237">
            <v>2</v>
          </cell>
          <cell r="G6237" t="str">
            <v>CB3902000002IH</v>
          </cell>
          <cell r="H6237">
            <v>1.5</v>
          </cell>
          <cell r="I6237" t="str">
            <v>-</v>
          </cell>
          <cell r="J6237">
            <v>1</v>
          </cell>
          <cell r="K6237">
            <v>2</v>
          </cell>
        </row>
        <row r="6238">
          <cell r="A6238" t="str">
            <v>M2</v>
          </cell>
          <cell r="B6238" t="str">
            <v>A5C</v>
          </cell>
          <cell r="C6238" t="str">
            <v>P</v>
          </cell>
          <cell r="D6238" t="str">
            <v>23261</v>
          </cell>
          <cell r="E6238" t="str">
            <v>SOL</v>
          </cell>
          <cell r="F6238">
            <v>2</v>
          </cell>
          <cell r="G6238" t="str">
            <v>CB390200000201</v>
          </cell>
          <cell r="H6238">
            <v>1</v>
          </cell>
          <cell r="I6238" t="str">
            <v>-</v>
          </cell>
          <cell r="J6238">
            <v>1</v>
          </cell>
          <cell r="K6238">
            <v>2</v>
          </cell>
        </row>
        <row r="6239">
          <cell r="A6239" t="str">
            <v>M2</v>
          </cell>
          <cell r="B6239" t="str">
            <v>A5C</v>
          </cell>
          <cell r="C6239" t="str">
            <v>P</v>
          </cell>
          <cell r="D6239" t="str">
            <v>24006</v>
          </cell>
          <cell r="E6239" t="str">
            <v>SOL</v>
          </cell>
          <cell r="F6239">
            <v>2</v>
          </cell>
          <cell r="G6239" t="str">
            <v>CB39020000020T</v>
          </cell>
          <cell r="H6239">
            <v>0.75</v>
          </cell>
          <cell r="I6239" t="str">
            <v>-</v>
          </cell>
          <cell r="J6239">
            <v>1</v>
          </cell>
          <cell r="K6239">
            <v>2</v>
          </cell>
        </row>
        <row r="6240">
          <cell r="A6240" t="str">
            <v>M2</v>
          </cell>
          <cell r="B6240" t="str">
            <v>A5C</v>
          </cell>
          <cell r="C6240" t="str">
            <v>P</v>
          </cell>
          <cell r="D6240" t="str">
            <v>24021</v>
          </cell>
          <cell r="E6240" t="str">
            <v>SOL</v>
          </cell>
          <cell r="F6240">
            <v>2</v>
          </cell>
          <cell r="G6240" t="str">
            <v>CB39020000020T</v>
          </cell>
          <cell r="H6240">
            <v>0.75</v>
          </cell>
          <cell r="I6240" t="str">
            <v>-</v>
          </cell>
          <cell r="J6240">
            <v>2</v>
          </cell>
          <cell r="K6240">
            <v>3</v>
          </cell>
        </row>
        <row r="6241">
          <cell r="A6241" t="str">
            <v>M2</v>
          </cell>
          <cell r="B6241" t="str">
            <v>A5C</v>
          </cell>
          <cell r="C6241" t="str">
            <v>P</v>
          </cell>
          <cell r="D6241" t="str">
            <v>24020</v>
          </cell>
          <cell r="E6241" t="str">
            <v>SOL</v>
          </cell>
          <cell r="F6241">
            <v>2</v>
          </cell>
          <cell r="G6241" t="str">
            <v>CB390200000201</v>
          </cell>
          <cell r="H6241">
            <v>1</v>
          </cell>
          <cell r="I6241" t="str">
            <v>-</v>
          </cell>
          <cell r="J6241">
            <v>1</v>
          </cell>
          <cell r="K6241">
            <v>2</v>
          </cell>
        </row>
        <row r="6242">
          <cell r="A6242" t="str">
            <v>M2</v>
          </cell>
          <cell r="B6242" t="str">
            <v>A5C</v>
          </cell>
          <cell r="C6242" t="str">
            <v>P</v>
          </cell>
          <cell r="D6242" t="str">
            <v>23096</v>
          </cell>
          <cell r="E6242" t="str">
            <v>SOL</v>
          </cell>
          <cell r="F6242">
            <v>2</v>
          </cell>
          <cell r="G6242" t="str">
            <v>CB39020000020T</v>
          </cell>
          <cell r="H6242">
            <v>0.75</v>
          </cell>
          <cell r="I6242" t="str">
            <v>-</v>
          </cell>
          <cell r="J6242">
            <v>4</v>
          </cell>
          <cell r="K6242">
            <v>5</v>
          </cell>
        </row>
        <row r="6243">
          <cell r="A6243" t="str">
            <v>M2</v>
          </cell>
          <cell r="B6243" t="str">
            <v>A5C</v>
          </cell>
          <cell r="C6243" t="str">
            <v>P</v>
          </cell>
          <cell r="D6243" t="str">
            <v>23102</v>
          </cell>
          <cell r="E6243" t="str">
            <v>SOL</v>
          </cell>
          <cell r="F6243">
            <v>2</v>
          </cell>
          <cell r="G6243" t="str">
            <v>CB39020000020T</v>
          </cell>
          <cell r="H6243">
            <v>0.75</v>
          </cell>
          <cell r="I6243" t="str">
            <v>-</v>
          </cell>
          <cell r="J6243">
            <v>2</v>
          </cell>
          <cell r="K6243">
            <v>3</v>
          </cell>
        </row>
        <row r="6244">
          <cell r="A6244" t="str">
            <v>M2</v>
          </cell>
          <cell r="B6244" t="str">
            <v>A5C</v>
          </cell>
          <cell r="C6244" t="str">
            <v>P</v>
          </cell>
          <cell r="D6244" t="str">
            <v>23135</v>
          </cell>
          <cell r="E6244" t="str">
            <v>SOL</v>
          </cell>
          <cell r="F6244">
            <v>2</v>
          </cell>
          <cell r="G6244" t="str">
            <v>CB39020000020T</v>
          </cell>
          <cell r="H6244">
            <v>0.75</v>
          </cell>
          <cell r="I6244" t="str">
            <v>-</v>
          </cell>
          <cell r="J6244">
            <v>4</v>
          </cell>
          <cell r="K6244">
            <v>5</v>
          </cell>
        </row>
        <row r="6245">
          <cell r="A6245" t="str">
            <v>M2</v>
          </cell>
          <cell r="B6245" t="str">
            <v>A5C</v>
          </cell>
          <cell r="C6245" t="str">
            <v>P</v>
          </cell>
          <cell r="D6245" t="str">
            <v>23192</v>
          </cell>
          <cell r="E6245" t="str">
            <v>SOL</v>
          </cell>
          <cell r="F6245">
            <v>2</v>
          </cell>
          <cell r="G6245" t="str">
            <v>CB39020000020T</v>
          </cell>
          <cell r="H6245">
            <v>0.75</v>
          </cell>
          <cell r="I6245" t="str">
            <v>-</v>
          </cell>
          <cell r="J6245">
            <v>1</v>
          </cell>
          <cell r="K6245">
            <v>2</v>
          </cell>
        </row>
        <row r="6246">
          <cell r="A6246" t="str">
            <v>M2</v>
          </cell>
          <cell r="B6246" t="str">
            <v>A5C</v>
          </cell>
          <cell r="C6246" t="str">
            <v>P</v>
          </cell>
          <cell r="D6246" t="str">
            <v>23231</v>
          </cell>
          <cell r="E6246" t="str">
            <v>SOL</v>
          </cell>
          <cell r="F6246">
            <v>2</v>
          </cell>
          <cell r="G6246" t="str">
            <v>CB3902000002IH</v>
          </cell>
          <cell r="H6246">
            <v>1.5</v>
          </cell>
          <cell r="I6246" t="str">
            <v>-</v>
          </cell>
          <cell r="J6246">
            <v>1</v>
          </cell>
          <cell r="K6246">
            <v>2</v>
          </cell>
        </row>
        <row r="6247">
          <cell r="A6247" t="str">
            <v>M2</v>
          </cell>
          <cell r="B6247" t="str">
            <v>A5C</v>
          </cell>
          <cell r="C6247" t="str">
            <v>P</v>
          </cell>
          <cell r="D6247" t="str">
            <v>23264</v>
          </cell>
          <cell r="E6247" t="str">
            <v>SOL</v>
          </cell>
          <cell r="F6247">
            <v>2</v>
          </cell>
          <cell r="G6247" t="str">
            <v>CB39020000020T</v>
          </cell>
          <cell r="H6247">
            <v>0.75</v>
          </cell>
          <cell r="I6247" t="str">
            <v>-</v>
          </cell>
          <cell r="J6247">
            <v>2</v>
          </cell>
          <cell r="K6247">
            <v>3</v>
          </cell>
        </row>
        <row r="6248">
          <cell r="A6248" t="str">
            <v>M2</v>
          </cell>
          <cell r="B6248" t="str">
            <v>A5C</v>
          </cell>
          <cell r="C6248" t="str">
            <v>TRIM</v>
          </cell>
          <cell r="D6248" t="str">
            <v>V-2352</v>
          </cell>
          <cell r="E6248" t="str">
            <v>SOL</v>
          </cell>
          <cell r="F6248">
            <v>2</v>
          </cell>
          <cell r="G6248" t="str">
            <v>CB39020000020T</v>
          </cell>
          <cell r="H6248">
            <v>0.75</v>
          </cell>
          <cell r="I6248" t="str">
            <v>-</v>
          </cell>
          <cell r="J6248">
            <v>5</v>
          </cell>
          <cell r="K6248">
            <v>6</v>
          </cell>
        </row>
        <row r="6249">
          <cell r="A6249" t="str">
            <v>M2</v>
          </cell>
          <cell r="B6249" t="str">
            <v>A5C</v>
          </cell>
          <cell r="C6249" t="str">
            <v>P</v>
          </cell>
          <cell r="D6249" t="str">
            <v>23019</v>
          </cell>
          <cell r="E6249" t="str">
            <v>C SWG</v>
          </cell>
          <cell r="F6249">
            <v>2</v>
          </cell>
          <cell r="G6249" t="str">
            <v>CB1614080802IH</v>
          </cell>
          <cell r="H6249">
            <v>1.5</v>
          </cell>
          <cell r="I6249" t="str">
            <v>-</v>
          </cell>
          <cell r="J6249">
            <v>2</v>
          </cell>
          <cell r="K6249">
            <v>3</v>
          </cell>
        </row>
        <row r="6250">
          <cell r="A6250" t="str">
            <v>M2</v>
          </cell>
          <cell r="B6250" t="str">
            <v>A5C</v>
          </cell>
          <cell r="C6250" t="str">
            <v>P</v>
          </cell>
          <cell r="D6250" t="str">
            <v>23053</v>
          </cell>
          <cell r="E6250" t="str">
            <v>C SWG</v>
          </cell>
          <cell r="F6250">
            <v>2</v>
          </cell>
          <cell r="G6250" t="str">
            <v>CB1614080802IH</v>
          </cell>
          <cell r="H6250">
            <v>1.5</v>
          </cell>
          <cell r="I6250" t="str">
            <v>-</v>
          </cell>
          <cell r="J6250">
            <v>2</v>
          </cell>
          <cell r="K6250">
            <v>3</v>
          </cell>
        </row>
        <row r="6251">
          <cell r="A6251" t="str">
            <v>M2</v>
          </cell>
          <cell r="B6251" t="str">
            <v>A5C</v>
          </cell>
          <cell r="C6251" t="str">
            <v>P</v>
          </cell>
          <cell r="D6251" t="str">
            <v>23224</v>
          </cell>
          <cell r="E6251" t="str">
            <v>C SWG</v>
          </cell>
          <cell r="F6251">
            <v>2</v>
          </cell>
          <cell r="G6251" t="str">
            <v>CB1614080802IH</v>
          </cell>
          <cell r="H6251">
            <v>1.5</v>
          </cell>
          <cell r="I6251" t="str">
            <v>-</v>
          </cell>
          <cell r="J6251">
            <v>2</v>
          </cell>
          <cell r="K6251">
            <v>3</v>
          </cell>
        </row>
        <row r="6252">
          <cell r="A6252" t="str">
            <v>M2</v>
          </cell>
          <cell r="B6252" t="str">
            <v>A5C</v>
          </cell>
          <cell r="C6252" t="str">
            <v>P</v>
          </cell>
          <cell r="D6252" t="str">
            <v>24016</v>
          </cell>
          <cell r="E6252" t="str">
            <v>C SWG</v>
          </cell>
          <cell r="F6252">
            <v>2</v>
          </cell>
          <cell r="G6252" t="str">
            <v>CB16140808020T</v>
          </cell>
          <cell r="H6252">
            <v>0.75</v>
          </cell>
          <cell r="I6252" t="str">
            <v>-</v>
          </cell>
          <cell r="J6252">
            <v>2</v>
          </cell>
          <cell r="K6252">
            <v>3</v>
          </cell>
        </row>
        <row r="6253">
          <cell r="A6253" t="str">
            <v>M2</v>
          </cell>
          <cell r="B6253" t="str">
            <v>A5C</v>
          </cell>
          <cell r="C6253" t="str">
            <v>P</v>
          </cell>
          <cell r="D6253" t="str">
            <v>23020</v>
          </cell>
          <cell r="E6253" t="str">
            <v>E SWG</v>
          </cell>
          <cell r="F6253">
            <v>2</v>
          </cell>
          <cell r="G6253" t="str">
            <v>CB1624080802IH</v>
          </cell>
          <cell r="H6253">
            <v>1.5</v>
          </cell>
          <cell r="I6253" t="str">
            <v>-</v>
          </cell>
          <cell r="J6253">
            <v>2</v>
          </cell>
          <cell r="K6253">
            <v>3</v>
          </cell>
        </row>
        <row r="6254">
          <cell r="A6254" t="str">
            <v>M2</v>
          </cell>
          <cell r="B6254" t="str">
            <v>A5C</v>
          </cell>
          <cell r="C6254" t="str">
            <v>P</v>
          </cell>
          <cell r="D6254" t="str">
            <v>23030</v>
          </cell>
          <cell r="E6254" t="str">
            <v>E SWG</v>
          </cell>
          <cell r="F6254">
            <v>2</v>
          </cell>
          <cell r="G6254" t="str">
            <v>CB1624080802IH</v>
          </cell>
          <cell r="H6254">
            <v>1.5</v>
          </cell>
          <cell r="I6254" t="str">
            <v>-</v>
          </cell>
          <cell r="J6254">
            <v>2</v>
          </cell>
          <cell r="K6254">
            <v>3</v>
          </cell>
        </row>
        <row r="6255">
          <cell r="A6255" t="str">
            <v>M2</v>
          </cell>
          <cell r="B6255" t="str">
            <v>A5C</v>
          </cell>
          <cell r="C6255" t="str">
            <v>P</v>
          </cell>
          <cell r="D6255" t="str">
            <v>23054</v>
          </cell>
          <cell r="E6255" t="str">
            <v>E SWG</v>
          </cell>
          <cell r="F6255">
            <v>2</v>
          </cell>
          <cell r="G6255" t="str">
            <v>CB1624080802IH</v>
          </cell>
          <cell r="H6255">
            <v>1.5</v>
          </cell>
          <cell r="I6255" t="str">
            <v>-</v>
          </cell>
          <cell r="J6255">
            <v>2</v>
          </cell>
          <cell r="K6255">
            <v>3</v>
          </cell>
        </row>
        <row r="6256">
          <cell r="A6256" t="str">
            <v>M2</v>
          </cell>
          <cell r="B6256" t="str">
            <v>A5C</v>
          </cell>
          <cell r="C6256" t="str">
            <v>P</v>
          </cell>
          <cell r="D6256" t="str">
            <v>24018</v>
          </cell>
          <cell r="E6256" t="str">
            <v>E SWG</v>
          </cell>
          <cell r="F6256">
            <v>2</v>
          </cell>
          <cell r="G6256" t="str">
            <v>CB16240808020T</v>
          </cell>
          <cell r="H6256">
            <v>0.75</v>
          </cell>
          <cell r="I6256" t="str">
            <v>-</v>
          </cell>
          <cell r="J6256">
            <v>2</v>
          </cell>
          <cell r="K6256">
            <v>3</v>
          </cell>
        </row>
        <row r="6257">
          <cell r="A6257" t="str">
            <v>M2</v>
          </cell>
          <cell r="B6257" t="str">
            <v>A5C</v>
          </cell>
          <cell r="C6257" t="str">
            <v>P</v>
          </cell>
          <cell r="D6257" t="str">
            <v>23036</v>
          </cell>
          <cell r="E6257" t="str">
            <v>E SWG</v>
          </cell>
          <cell r="F6257">
            <v>2</v>
          </cell>
          <cell r="G6257" t="str">
            <v>CB1624080802IH</v>
          </cell>
          <cell r="H6257">
            <v>1.5</v>
          </cell>
          <cell r="I6257" t="str">
            <v>-</v>
          </cell>
          <cell r="J6257">
            <v>2</v>
          </cell>
          <cell r="K6257">
            <v>3</v>
          </cell>
        </row>
        <row r="6258">
          <cell r="A6258" t="str">
            <v>M2</v>
          </cell>
          <cell r="B6258" t="str">
            <v>A5C</v>
          </cell>
          <cell r="C6258" t="str">
            <v>P</v>
          </cell>
          <cell r="D6258" t="str">
            <v>23020</v>
          </cell>
          <cell r="E6258" t="str">
            <v>SOL</v>
          </cell>
          <cell r="F6258">
            <v>2</v>
          </cell>
          <cell r="G6258" t="str">
            <v>CB39020000020T</v>
          </cell>
          <cell r="H6258">
            <v>0.75</v>
          </cell>
          <cell r="I6258" t="str">
            <v>-</v>
          </cell>
          <cell r="J6258">
            <v>1</v>
          </cell>
          <cell r="K6258">
            <v>2</v>
          </cell>
        </row>
        <row r="6259">
          <cell r="A6259" t="str">
            <v>M2</v>
          </cell>
          <cell r="B6259" t="str">
            <v>A5C</v>
          </cell>
          <cell r="C6259" t="str">
            <v>P</v>
          </cell>
          <cell r="D6259" t="str">
            <v>23020</v>
          </cell>
          <cell r="E6259" t="str">
            <v>SOL</v>
          </cell>
          <cell r="F6259">
            <v>2</v>
          </cell>
          <cell r="G6259" t="str">
            <v>CB3902000002IH</v>
          </cell>
          <cell r="H6259">
            <v>1.5</v>
          </cell>
          <cell r="I6259" t="str">
            <v>-</v>
          </cell>
          <cell r="J6259">
            <v>2</v>
          </cell>
          <cell r="K6259">
            <v>3</v>
          </cell>
        </row>
        <row r="6260">
          <cell r="A6260" t="str">
            <v>M2</v>
          </cell>
          <cell r="B6260" t="str">
            <v>A5C</v>
          </cell>
          <cell r="C6260" t="str">
            <v>P</v>
          </cell>
          <cell r="D6260" t="str">
            <v>23054</v>
          </cell>
          <cell r="E6260" t="str">
            <v>SOL</v>
          </cell>
          <cell r="F6260">
            <v>2</v>
          </cell>
          <cell r="G6260" t="str">
            <v>CB39020000020T</v>
          </cell>
          <cell r="H6260">
            <v>0.75</v>
          </cell>
          <cell r="I6260" t="str">
            <v>-</v>
          </cell>
          <cell r="J6260">
            <v>1</v>
          </cell>
          <cell r="K6260">
            <v>2</v>
          </cell>
        </row>
        <row r="6261">
          <cell r="A6261" t="str">
            <v>M2</v>
          </cell>
          <cell r="B6261" t="str">
            <v>A5C</v>
          </cell>
          <cell r="C6261" t="str">
            <v>P</v>
          </cell>
          <cell r="D6261" t="str">
            <v>23054</v>
          </cell>
          <cell r="E6261" t="str">
            <v>SOL</v>
          </cell>
          <cell r="F6261">
            <v>2</v>
          </cell>
          <cell r="G6261" t="str">
            <v>CB3902000002IH</v>
          </cell>
          <cell r="H6261">
            <v>1.5</v>
          </cell>
          <cell r="I6261" t="str">
            <v>-</v>
          </cell>
          <cell r="J6261">
            <v>2</v>
          </cell>
          <cell r="K6261">
            <v>3</v>
          </cell>
        </row>
        <row r="6262">
          <cell r="A6262" t="str">
            <v>M2</v>
          </cell>
          <cell r="B6262" t="str">
            <v>A5C</v>
          </cell>
          <cell r="C6262" t="str">
            <v>P</v>
          </cell>
          <cell r="D6262" t="str">
            <v>23053</v>
          </cell>
          <cell r="E6262" t="str">
            <v>SOL</v>
          </cell>
          <cell r="F6262">
            <v>2</v>
          </cell>
          <cell r="G6262" t="str">
            <v>CB39020000020T</v>
          </cell>
          <cell r="H6262">
            <v>0.75</v>
          </cell>
          <cell r="I6262" t="str">
            <v>-</v>
          </cell>
          <cell r="J6262">
            <v>5</v>
          </cell>
          <cell r="K6262">
            <v>6</v>
          </cell>
        </row>
        <row r="6263">
          <cell r="A6263" t="str">
            <v>M2</v>
          </cell>
          <cell r="B6263" t="str">
            <v>A5C</v>
          </cell>
          <cell r="C6263" t="str">
            <v>P</v>
          </cell>
          <cell r="D6263" t="str">
            <v>23019</v>
          </cell>
          <cell r="E6263" t="str">
            <v>SOL</v>
          </cell>
          <cell r="F6263">
            <v>2</v>
          </cell>
          <cell r="G6263" t="str">
            <v>CB3902000002IH</v>
          </cell>
          <cell r="H6263">
            <v>1.5</v>
          </cell>
          <cell r="I6263" t="str">
            <v>-</v>
          </cell>
          <cell r="J6263">
            <v>1</v>
          </cell>
          <cell r="K6263">
            <v>2</v>
          </cell>
        </row>
        <row r="6264">
          <cell r="A6264" t="str">
            <v>M2</v>
          </cell>
          <cell r="B6264" t="str">
            <v>A5C</v>
          </cell>
          <cell r="C6264" t="str">
            <v>P</v>
          </cell>
          <cell r="D6264" t="str">
            <v>23019</v>
          </cell>
          <cell r="E6264" t="str">
            <v>SOL</v>
          </cell>
          <cell r="F6264">
            <v>2</v>
          </cell>
          <cell r="G6264" t="str">
            <v>CB39020000020T</v>
          </cell>
          <cell r="H6264">
            <v>0.75</v>
          </cell>
          <cell r="I6264" t="str">
            <v>-</v>
          </cell>
          <cell r="J6264">
            <v>4</v>
          </cell>
          <cell r="K6264">
            <v>5</v>
          </cell>
        </row>
        <row r="6265">
          <cell r="A6265" t="str">
            <v>M2</v>
          </cell>
          <cell r="B6265" t="str">
            <v>A5C</v>
          </cell>
          <cell r="C6265" t="str">
            <v>P</v>
          </cell>
          <cell r="D6265" t="str">
            <v>23224</v>
          </cell>
          <cell r="E6265" t="str">
            <v>SOL</v>
          </cell>
          <cell r="F6265">
            <v>2</v>
          </cell>
          <cell r="G6265" t="str">
            <v>CB39020000020T</v>
          </cell>
          <cell r="H6265">
            <v>0.75</v>
          </cell>
          <cell r="I6265" t="str">
            <v>-</v>
          </cell>
          <cell r="J6265">
            <v>2</v>
          </cell>
          <cell r="K6265">
            <v>3</v>
          </cell>
        </row>
        <row r="6266">
          <cell r="A6266" t="str">
            <v>M2</v>
          </cell>
          <cell r="B6266" t="str">
            <v>A5C</v>
          </cell>
          <cell r="C6266" t="str">
            <v>P</v>
          </cell>
          <cell r="D6266" t="str">
            <v>23224</v>
          </cell>
          <cell r="E6266" t="str">
            <v>SOL</v>
          </cell>
          <cell r="F6266">
            <v>2</v>
          </cell>
          <cell r="G6266" t="str">
            <v>CB390200000201</v>
          </cell>
          <cell r="H6266">
            <v>1</v>
          </cell>
          <cell r="I6266" t="str">
            <v>-</v>
          </cell>
          <cell r="J6266">
            <v>1</v>
          </cell>
          <cell r="K6266">
            <v>2</v>
          </cell>
        </row>
        <row r="6267">
          <cell r="A6267" t="str">
            <v>M2</v>
          </cell>
          <cell r="B6267" t="str">
            <v>B2C</v>
          </cell>
          <cell r="C6267" t="str">
            <v>SH</v>
          </cell>
          <cell r="D6267" t="str">
            <v>23612</v>
          </cell>
          <cell r="E6267" t="str">
            <v>E RED</v>
          </cell>
          <cell r="F6267">
            <v>2</v>
          </cell>
          <cell r="G6267" t="str">
            <v>CB300604080302</v>
          </cell>
          <cell r="H6267">
            <v>2</v>
          </cell>
          <cell r="I6267" t="str">
            <v>-</v>
          </cell>
          <cell r="J6267">
            <v>2</v>
          </cell>
          <cell r="K6267">
            <v>3</v>
          </cell>
        </row>
        <row r="6268">
          <cell r="A6268" t="str">
            <v>M2</v>
          </cell>
          <cell r="B6268" t="str">
            <v>B2C</v>
          </cell>
          <cell r="C6268" t="str">
            <v>SH</v>
          </cell>
          <cell r="D6268" t="str">
            <v>23601</v>
          </cell>
          <cell r="E6268" t="str">
            <v>SOL</v>
          </cell>
          <cell r="F6268">
            <v>2</v>
          </cell>
          <cell r="G6268" t="str">
            <v>CB390200000301</v>
          </cell>
          <cell r="H6268">
            <v>1</v>
          </cell>
          <cell r="I6268" t="str">
            <v>-</v>
          </cell>
          <cell r="J6268">
            <v>1</v>
          </cell>
          <cell r="K6268">
            <v>2</v>
          </cell>
        </row>
        <row r="6269">
          <cell r="A6269" t="str">
            <v>M2</v>
          </cell>
          <cell r="B6269" t="str">
            <v>B2C</v>
          </cell>
          <cell r="C6269" t="str">
            <v>SH</v>
          </cell>
          <cell r="D6269" t="str">
            <v>23601</v>
          </cell>
          <cell r="E6269" t="str">
            <v>SOL</v>
          </cell>
          <cell r="F6269">
            <v>2</v>
          </cell>
          <cell r="G6269" t="str">
            <v>CB39020000030T</v>
          </cell>
          <cell r="H6269">
            <v>0.75</v>
          </cell>
          <cell r="I6269" t="str">
            <v>-</v>
          </cell>
          <cell r="J6269">
            <v>5</v>
          </cell>
          <cell r="K6269">
            <v>6</v>
          </cell>
        </row>
        <row r="6270">
          <cell r="A6270" t="str">
            <v>M2</v>
          </cell>
          <cell r="B6270" t="str">
            <v>B2C</v>
          </cell>
          <cell r="C6270" t="str">
            <v>SH</v>
          </cell>
          <cell r="D6270" t="str">
            <v>23612</v>
          </cell>
          <cell r="E6270" t="str">
            <v>SOL</v>
          </cell>
          <cell r="F6270">
            <v>2</v>
          </cell>
          <cell r="G6270" t="str">
            <v>CB390200000301</v>
          </cell>
          <cell r="H6270">
            <v>1</v>
          </cell>
          <cell r="I6270" t="str">
            <v>-</v>
          </cell>
          <cell r="J6270">
            <v>1</v>
          </cell>
          <cell r="K6270">
            <v>2</v>
          </cell>
        </row>
        <row r="6271">
          <cell r="A6271" t="str">
            <v>M2</v>
          </cell>
          <cell r="B6271" t="str">
            <v>B2C</v>
          </cell>
          <cell r="C6271" t="str">
            <v>SH</v>
          </cell>
          <cell r="D6271" t="str">
            <v>23612</v>
          </cell>
          <cell r="E6271" t="str">
            <v>SOL</v>
          </cell>
          <cell r="F6271">
            <v>2</v>
          </cell>
          <cell r="G6271" t="str">
            <v>CB39020000030T</v>
          </cell>
          <cell r="H6271">
            <v>0.75</v>
          </cell>
          <cell r="I6271" t="str">
            <v>-</v>
          </cell>
          <cell r="J6271">
            <v>2</v>
          </cell>
          <cell r="K6271">
            <v>3</v>
          </cell>
        </row>
        <row r="6272">
          <cell r="A6272" t="str">
            <v>M2</v>
          </cell>
          <cell r="B6272" t="str">
            <v>A5C</v>
          </cell>
          <cell r="C6272" t="str">
            <v>P</v>
          </cell>
          <cell r="D6272" t="str">
            <v>23047</v>
          </cell>
          <cell r="E6272" t="str">
            <v>C RED</v>
          </cell>
          <cell r="F6272">
            <v>2</v>
          </cell>
          <cell r="G6272" t="str">
            <v>CB300504080302</v>
          </cell>
          <cell r="H6272">
            <v>2</v>
          </cell>
          <cell r="I6272" t="str">
            <v>-</v>
          </cell>
          <cell r="J6272">
            <v>2</v>
          </cell>
          <cell r="K6272">
            <v>3</v>
          </cell>
        </row>
        <row r="6273">
          <cell r="A6273" t="str">
            <v>M2</v>
          </cell>
          <cell r="B6273" t="str">
            <v>A5C</v>
          </cell>
          <cell r="C6273" t="str">
            <v>P</v>
          </cell>
          <cell r="D6273" t="str">
            <v>23142</v>
          </cell>
          <cell r="E6273" t="str">
            <v>C RED</v>
          </cell>
          <cell r="F6273">
            <v>2</v>
          </cell>
          <cell r="G6273" t="str">
            <v>CB300504080302</v>
          </cell>
          <cell r="H6273">
            <v>2</v>
          </cell>
          <cell r="I6273" t="str">
            <v>-</v>
          </cell>
          <cell r="J6273">
            <v>2</v>
          </cell>
          <cell r="K6273">
            <v>3</v>
          </cell>
        </row>
        <row r="6274">
          <cell r="A6274" t="str">
            <v>M2</v>
          </cell>
          <cell r="B6274" t="str">
            <v>A5C</v>
          </cell>
          <cell r="C6274" t="str">
            <v>P</v>
          </cell>
          <cell r="D6274" t="str">
            <v>23236</v>
          </cell>
          <cell r="E6274" t="str">
            <v>C RED</v>
          </cell>
          <cell r="F6274">
            <v>2</v>
          </cell>
          <cell r="G6274" t="str">
            <v>CB300504080302</v>
          </cell>
          <cell r="H6274">
            <v>2</v>
          </cell>
          <cell r="I6274" t="str">
            <v>-</v>
          </cell>
          <cell r="J6274">
            <v>2</v>
          </cell>
          <cell r="K6274">
            <v>3</v>
          </cell>
        </row>
        <row r="6275">
          <cell r="A6275" t="str">
            <v>M2</v>
          </cell>
          <cell r="B6275" t="str">
            <v>A5C</v>
          </cell>
          <cell r="C6275" t="str">
            <v>P</v>
          </cell>
          <cell r="D6275" t="str">
            <v>23240</v>
          </cell>
          <cell r="E6275" t="str">
            <v>C RED</v>
          </cell>
          <cell r="F6275">
            <v>2</v>
          </cell>
          <cell r="G6275" t="str">
            <v>CB300504080302</v>
          </cell>
          <cell r="H6275">
            <v>2</v>
          </cell>
          <cell r="I6275" t="str">
            <v>-</v>
          </cell>
          <cell r="J6275">
            <v>2</v>
          </cell>
          <cell r="K6275">
            <v>3</v>
          </cell>
        </row>
        <row r="6276">
          <cell r="A6276" t="str">
            <v>M2</v>
          </cell>
          <cell r="B6276" t="str">
            <v>A5C</v>
          </cell>
          <cell r="C6276" t="str">
            <v>P</v>
          </cell>
          <cell r="D6276" t="str">
            <v>23124</v>
          </cell>
          <cell r="E6276" t="str">
            <v>C RED</v>
          </cell>
          <cell r="F6276">
            <v>2</v>
          </cell>
          <cell r="G6276" t="str">
            <v>CB300504080302</v>
          </cell>
          <cell r="H6276">
            <v>2</v>
          </cell>
          <cell r="I6276" t="str">
            <v>-</v>
          </cell>
          <cell r="J6276">
            <v>2</v>
          </cell>
          <cell r="K6276">
            <v>3</v>
          </cell>
        </row>
        <row r="6277">
          <cell r="A6277" t="str">
            <v>M2</v>
          </cell>
          <cell r="B6277" t="str">
            <v>A5C</v>
          </cell>
          <cell r="C6277" t="str">
            <v>P</v>
          </cell>
          <cell r="D6277" t="str">
            <v>23106</v>
          </cell>
          <cell r="E6277" t="str">
            <v>C SWG</v>
          </cell>
          <cell r="F6277">
            <v>2</v>
          </cell>
          <cell r="G6277" t="str">
            <v>CB1614040803IH</v>
          </cell>
          <cell r="H6277">
            <v>1.5</v>
          </cell>
          <cell r="I6277" t="str">
            <v>-</v>
          </cell>
          <cell r="J6277">
            <v>2</v>
          </cell>
          <cell r="K6277">
            <v>3</v>
          </cell>
        </row>
        <row r="6278">
          <cell r="A6278" t="str">
            <v>M2</v>
          </cell>
          <cell r="B6278" t="str">
            <v>A5C</v>
          </cell>
          <cell r="C6278" t="str">
            <v>P</v>
          </cell>
          <cell r="D6278" t="str">
            <v>23005</v>
          </cell>
          <cell r="E6278" t="str">
            <v>C SWG</v>
          </cell>
          <cell r="F6278">
            <v>2</v>
          </cell>
          <cell r="G6278" t="str">
            <v>CB1614040803IH</v>
          </cell>
          <cell r="H6278">
            <v>1.5</v>
          </cell>
          <cell r="I6278" t="str">
            <v>-</v>
          </cell>
          <cell r="J6278">
            <v>2</v>
          </cell>
          <cell r="K6278">
            <v>3</v>
          </cell>
        </row>
        <row r="6279">
          <cell r="A6279" t="str">
            <v>M2</v>
          </cell>
          <cell r="B6279" t="str">
            <v>A5C</v>
          </cell>
          <cell r="C6279" t="str">
            <v>P</v>
          </cell>
          <cell r="D6279" t="str">
            <v>23246</v>
          </cell>
          <cell r="E6279" t="str">
            <v>C SWG</v>
          </cell>
          <cell r="F6279">
            <v>2</v>
          </cell>
          <cell r="G6279" t="str">
            <v>CB1614040803IH</v>
          </cell>
          <cell r="H6279">
            <v>1.5</v>
          </cell>
          <cell r="I6279" t="str">
            <v>-</v>
          </cell>
          <cell r="J6279">
            <v>2</v>
          </cell>
          <cell r="K6279">
            <v>3</v>
          </cell>
        </row>
        <row r="6280">
          <cell r="A6280" t="str">
            <v>M2</v>
          </cell>
          <cell r="B6280" t="str">
            <v>A5C</v>
          </cell>
          <cell r="C6280" t="str">
            <v>P</v>
          </cell>
          <cell r="D6280" t="str">
            <v>23082</v>
          </cell>
          <cell r="E6280" t="str">
            <v>E RED</v>
          </cell>
          <cell r="F6280">
            <v>2</v>
          </cell>
          <cell r="G6280" t="str">
            <v>CB300604080302</v>
          </cell>
          <cell r="H6280">
            <v>2</v>
          </cell>
          <cell r="I6280" t="str">
            <v>-</v>
          </cell>
          <cell r="J6280">
            <v>2</v>
          </cell>
          <cell r="K6280">
            <v>3</v>
          </cell>
        </row>
        <row r="6281">
          <cell r="A6281" t="str">
            <v>M2</v>
          </cell>
          <cell r="B6281" t="str">
            <v>A5C</v>
          </cell>
          <cell r="C6281" t="str">
            <v>P</v>
          </cell>
          <cell r="D6281" t="str">
            <v>23232</v>
          </cell>
          <cell r="E6281" t="str">
            <v>E RED</v>
          </cell>
          <cell r="F6281">
            <v>2</v>
          </cell>
          <cell r="G6281" t="str">
            <v>CB300604080302</v>
          </cell>
          <cell r="H6281">
            <v>2</v>
          </cell>
          <cell r="I6281" t="str">
            <v>-</v>
          </cell>
          <cell r="J6281">
            <v>2</v>
          </cell>
          <cell r="K6281">
            <v>3</v>
          </cell>
        </row>
        <row r="6282">
          <cell r="A6282" t="str">
            <v>M2</v>
          </cell>
          <cell r="B6282" t="str">
            <v>A5C</v>
          </cell>
          <cell r="C6282" t="str">
            <v>P</v>
          </cell>
          <cell r="D6282" t="str">
            <v>23254</v>
          </cell>
          <cell r="E6282" t="str">
            <v>E RED</v>
          </cell>
          <cell r="F6282">
            <v>2</v>
          </cell>
          <cell r="G6282" t="str">
            <v>CB300604080302</v>
          </cell>
          <cell r="H6282">
            <v>2</v>
          </cell>
          <cell r="I6282" t="str">
            <v>-</v>
          </cell>
          <cell r="J6282">
            <v>2</v>
          </cell>
          <cell r="K6282">
            <v>3</v>
          </cell>
        </row>
        <row r="6283">
          <cell r="A6283" t="str">
            <v>M2</v>
          </cell>
          <cell r="B6283" t="str">
            <v>A5C</v>
          </cell>
          <cell r="C6283" t="str">
            <v>P</v>
          </cell>
          <cell r="D6283" t="str">
            <v>23005</v>
          </cell>
          <cell r="E6283" t="str">
            <v>SOL</v>
          </cell>
          <cell r="F6283">
            <v>2</v>
          </cell>
          <cell r="G6283" t="str">
            <v>CB39020000030H</v>
          </cell>
          <cell r="H6283">
            <v>0.5</v>
          </cell>
          <cell r="I6283" t="str">
            <v>-</v>
          </cell>
          <cell r="J6283">
            <v>2</v>
          </cell>
          <cell r="K6283">
            <v>3</v>
          </cell>
        </row>
        <row r="6284">
          <cell r="A6284" t="str">
            <v>M2</v>
          </cell>
          <cell r="B6284" t="str">
            <v>A5C</v>
          </cell>
          <cell r="C6284" t="str">
            <v>P</v>
          </cell>
          <cell r="D6284" t="str">
            <v>23005</v>
          </cell>
          <cell r="E6284" t="str">
            <v>SOL</v>
          </cell>
          <cell r="F6284">
            <v>2</v>
          </cell>
          <cell r="G6284" t="str">
            <v>CB390200000301</v>
          </cell>
          <cell r="H6284">
            <v>1</v>
          </cell>
          <cell r="I6284" t="str">
            <v>-</v>
          </cell>
          <cell r="J6284">
            <v>1</v>
          </cell>
          <cell r="K6284">
            <v>2</v>
          </cell>
        </row>
        <row r="6285">
          <cell r="A6285" t="str">
            <v>M2</v>
          </cell>
          <cell r="B6285" t="str">
            <v>A5C</v>
          </cell>
          <cell r="C6285" t="str">
            <v>P</v>
          </cell>
          <cell r="D6285" t="str">
            <v>23047</v>
          </cell>
          <cell r="E6285" t="str">
            <v>SOL</v>
          </cell>
          <cell r="F6285">
            <v>2</v>
          </cell>
          <cell r="G6285" t="str">
            <v>CB39020000030T</v>
          </cell>
          <cell r="H6285">
            <v>0.75</v>
          </cell>
          <cell r="I6285" t="str">
            <v>-</v>
          </cell>
          <cell r="J6285">
            <v>2</v>
          </cell>
          <cell r="K6285">
            <v>3</v>
          </cell>
        </row>
        <row r="6286">
          <cell r="A6286" t="str">
            <v>M2</v>
          </cell>
          <cell r="B6286" t="str">
            <v>A5C</v>
          </cell>
          <cell r="C6286" t="str">
            <v>P</v>
          </cell>
          <cell r="D6286" t="str">
            <v>23083</v>
          </cell>
          <cell r="E6286" t="str">
            <v>SOL</v>
          </cell>
          <cell r="F6286">
            <v>2</v>
          </cell>
          <cell r="G6286" t="str">
            <v>CB390200000301</v>
          </cell>
          <cell r="H6286">
            <v>1</v>
          </cell>
          <cell r="I6286" t="str">
            <v>-</v>
          </cell>
          <cell r="J6286">
            <v>1</v>
          </cell>
          <cell r="K6286">
            <v>2</v>
          </cell>
        </row>
        <row r="6287">
          <cell r="A6287" t="str">
            <v>M2</v>
          </cell>
          <cell r="B6287" t="str">
            <v>A5C</v>
          </cell>
          <cell r="C6287" t="str">
            <v>P</v>
          </cell>
          <cell r="D6287" t="str">
            <v>23094</v>
          </cell>
          <cell r="E6287" t="str">
            <v>SOL</v>
          </cell>
          <cell r="F6287">
            <v>2</v>
          </cell>
          <cell r="G6287" t="str">
            <v>CB39020000030T</v>
          </cell>
          <cell r="H6287">
            <v>0.75</v>
          </cell>
          <cell r="I6287" t="str">
            <v>-</v>
          </cell>
          <cell r="J6287">
            <v>4</v>
          </cell>
          <cell r="K6287">
            <v>5</v>
          </cell>
        </row>
        <row r="6288">
          <cell r="A6288" t="str">
            <v>M2</v>
          </cell>
          <cell r="B6288" t="str">
            <v>A5C</v>
          </cell>
          <cell r="C6288" t="str">
            <v>P</v>
          </cell>
          <cell r="D6288" t="str">
            <v>23101</v>
          </cell>
          <cell r="E6288" t="str">
            <v>SOL</v>
          </cell>
          <cell r="F6288">
            <v>2</v>
          </cell>
          <cell r="G6288" t="str">
            <v>CB39020000030T</v>
          </cell>
          <cell r="H6288">
            <v>0.75</v>
          </cell>
          <cell r="I6288" t="str">
            <v>-</v>
          </cell>
          <cell r="J6288">
            <v>4</v>
          </cell>
          <cell r="K6288">
            <v>5</v>
          </cell>
        </row>
        <row r="6289">
          <cell r="A6289" t="str">
            <v>M2</v>
          </cell>
          <cell r="B6289" t="str">
            <v>A5C</v>
          </cell>
          <cell r="C6289" t="str">
            <v>P</v>
          </cell>
          <cell r="D6289" t="str">
            <v>23106</v>
          </cell>
          <cell r="E6289" t="str">
            <v>SOL</v>
          </cell>
          <cell r="F6289">
            <v>2</v>
          </cell>
          <cell r="G6289" t="str">
            <v>CB390200000301</v>
          </cell>
          <cell r="H6289">
            <v>1</v>
          </cell>
          <cell r="I6289" t="str">
            <v>-</v>
          </cell>
          <cell r="J6289">
            <v>1</v>
          </cell>
          <cell r="K6289">
            <v>2</v>
          </cell>
        </row>
        <row r="6290">
          <cell r="A6290" t="str">
            <v>M2</v>
          </cell>
          <cell r="B6290" t="str">
            <v>A5C</v>
          </cell>
          <cell r="C6290" t="str">
            <v>P</v>
          </cell>
          <cell r="D6290" t="str">
            <v>23106</v>
          </cell>
          <cell r="E6290" t="str">
            <v>SOL</v>
          </cell>
          <cell r="F6290">
            <v>2</v>
          </cell>
          <cell r="G6290" t="str">
            <v>CB39020000030T</v>
          </cell>
          <cell r="H6290">
            <v>0.75</v>
          </cell>
          <cell r="I6290" t="str">
            <v>-</v>
          </cell>
          <cell r="J6290">
            <v>2</v>
          </cell>
          <cell r="K6290">
            <v>3</v>
          </cell>
        </row>
        <row r="6291">
          <cell r="A6291" t="str">
            <v>M2</v>
          </cell>
          <cell r="B6291" t="str">
            <v>A5C</v>
          </cell>
          <cell r="C6291" t="str">
            <v>P</v>
          </cell>
          <cell r="D6291" t="str">
            <v>23109</v>
          </cell>
          <cell r="E6291" t="str">
            <v>SOL</v>
          </cell>
          <cell r="F6291">
            <v>2</v>
          </cell>
          <cell r="G6291" t="str">
            <v>CB39020000030T</v>
          </cell>
          <cell r="H6291">
            <v>0.75</v>
          </cell>
          <cell r="I6291" t="str">
            <v>-</v>
          </cell>
          <cell r="J6291">
            <v>4</v>
          </cell>
          <cell r="K6291">
            <v>5</v>
          </cell>
        </row>
        <row r="6292">
          <cell r="A6292" t="str">
            <v>M2</v>
          </cell>
          <cell r="B6292" t="str">
            <v>A5C</v>
          </cell>
          <cell r="C6292" t="str">
            <v>P</v>
          </cell>
          <cell r="D6292" t="str">
            <v>23142</v>
          </cell>
          <cell r="E6292" t="str">
            <v>SOL</v>
          </cell>
          <cell r="F6292">
            <v>2</v>
          </cell>
          <cell r="G6292" t="str">
            <v>CB390200000301</v>
          </cell>
          <cell r="H6292">
            <v>1</v>
          </cell>
          <cell r="I6292" t="str">
            <v>-</v>
          </cell>
          <cell r="J6292">
            <v>1</v>
          </cell>
          <cell r="K6292">
            <v>2</v>
          </cell>
        </row>
        <row r="6293">
          <cell r="A6293" t="str">
            <v>M2</v>
          </cell>
          <cell r="B6293" t="str">
            <v>A5C</v>
          </cell>
          <cell r="C6293" t="str">
            <v>P</v>
          </cell>
          <cell r="D6293" t="str">
            <v>23142</v>
          </cell>
          <cell r="E6293" t="str">
            <v>SOL</v>
          </cell>
          <cell r="F6293">
            <v>2</v>
          </cell>
          <cell r="G6293" t="str">
            <v>CB39020000030T</v>
          </cell>
          <cell r="H6293">
            <v>0.75</v>
          </cell>
          <cell r="I6293" t="str">
            <v>-</v>
          </cell>
          <cell r="J6293">
            <v>2</v>
          </cell>
          <cell r="K6293">
            <v>3</v>
          </cell>
        </row>
        <row r="6294">
          <cell r="A6294" t="str">
            <v>M2</v>
          </cell>
          <cell r="B6294" t="str">
            <v>A5C</v>
          </cell>
          <cell r="C6294" t="str">
            <v>P</v>
          </cell>
          <cell r="D6294" t="str">
            <v>23230</v>
          </cell>
          <cell r="E6294" t="str">
            <v>SOL</v>
          </cell>
          <cell r="F6294">
            <v>2</v>
          </cell>
          <cell r="G6294" t="str">
            <v>CB390200000301</v>
          </cell>
          <cell r="H6294">
            <v>1</v>
          </cell>
          <cell r="I6294" t="str">
            <v>-</v>
          </cell>
          <cell r="J6294">
            <v>1</v>
          </cell>
          <cell r="K6294">
            <v>2</v>
          </cell>
        </row>
        <row r="6295">
          <cell r="A6295" t="str">
            <v>M2</v>
          </cell>
          <cell r="B6295" t="str">
            <v>A5C</v>
          </cell>
          <cell r="C6295" t="str">
            <v>P</v>
          </cell>
          <cell r="D6295" t="str">
            <v>23236</v>
          </cell>
          <cell r="E6295" t="str">
            <v>SOL</v>
          </cell>
          <cell r="F6295">
            <v>2</v>
          </cell>
          <cell r="G6295" t="str">
            <v>CB39020000030T</v>
          </cell>
          <cell r="H6295">
            <v>0.75</v>
          </cell>
          <cell r="I6295" t="str">
            <v>-</v>
          </cell>
          <cell r="J6295">
            <v>2</v>
          </cell>
          <cell r="K6295">
            <v>3</v>
          </cell>
        </row>
      </sheetData>
      <sheetData sheetId="1">
        <row r="1">
          <cell r="A1" t="str">
            <v>AREA</v>
          </cell>
        </row>
      </sheetData>
      <sheetData sheetId="2">
        <row r="1">
          <cell r="A1" t="str">
            <v>AREA</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정부노임단가"/>
      <sheetName val="h-013211-2"/>
      <sheetName val="산근"/>
      <sheetName val="공사비 내역 (가)"/>
      <sheetName val="Sheet1"/>
      <sheetName val="INPUT DATA"/>
      <sheetName val="BOJUNGGM"/>
      <sheetName val="손익차9월2"/>
      <sheetName val="영업2"/>
      <sheetName val="영업3"/>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8"/>
      <sheetName val="10"/>
      <sheetName val="12"/>
      <sheetName val="9"/>
      <sheetName val="11"/>
      <sheetName val="2"/>
      <sheetName val="출금실적"/>
      <sheetName val="할증 "/>
      <sheetName val="VST재료산출"/>
      <sheetName val="Civil"/>
      <sheetName val="DB@Acess"/>
      <sheetName val="Cover"/>
      <sheetName val="eq_data"/>
      <sheetName val="수입"/>
      <sheetName val="HVAC"/>
      <sheetName val="95삼성급(본사)"/>
      <sheetName val="주관사업"/>
      <sheetName val="소화실적"/>
      <sheetName val="정산표2"/>
      <sheetName val="영업소실적"/>
      <sheetName val="97 사업추정(WEKI)"/>
      <sheetName val="사업부배부A"/>
      <sheetName val="Compressors"/>
      <sheetName val="원단위자료2xls"/>
      <sheetName val="원가계산서"/>
      <sheetName val="갑지"/>
      <sheetName val="Sheet2"/>
      <sheetName val="CondPol"/>
      <sheetName val="5"/>
      <sheetName val="INSTR"/>
      <sheetName val="9-1차이내역"/>
      <sheetName val="CAT_5"/>
      <sheetName val="#REF"/>
      <sheetName val="w't table"/>
      <sheetName val="PipWT"/>
      <sheetName val="설계명세서"/>
      <sheetName val="품셈표"/>
      <sheetName val="footing"/>
      <sheetName val="간접비 총괄표"/>
      <sheetName val="설계산출기초"/>
      <sheetName val="도급예산내역서봉투"/>
      <sheetName val="공사원가계산서"/>
      <sheetName val="설계산출표지"/>
      <sheetName val="도급예산내역서총괄표"/>
      <sheetName val="을부담운반비"/>
      <sheetName val="운반비산출"/>
      <sheetName val="Cover Sheet"/>
      <sheetName val="ANALYSER"/>
      <sheetName val="BID"/>
      <sheetName val="L V Separator"/>
      <sheetName val="Sheet5"/>
      <sheetName val="CIVIL WORK"/>
      <sheetName val="공정회의자료(월요일 10시까지)"/>
      <sheetName val="base"/>
      <sheetName val="예산"/>
      <sheetName val="Sheet4"/>
      <sheetName val="수주추정"/>
      <sheetName val="강재"/>
      <sheetName val="가도공"/>
      <sheetName val="2.2 띠장의 설계"/>
      <sheetName val="노임"/>
      <sheetName val="본실행경비"/>
      <sheetName val="Sheet3"/>
      <sheetName val="PRO_DCI"/>
      <sheetName val="MH rate"/>
      <sheetName val="기준"/>
      <sheetName val="head loss calc"/>
      <sheetName val="내역서"/>
      <sheetName val="ASCEandUBC"/>
      <sheetName val="costing_CV"/>
      <sheetName val="costing_ESDV"/>
      <sheetName val="costing_FE"/>
      <sheetName val="costing_Misc"/>
      <sheetName val="costing_MOV"/>
      <sheetName val="costing_Press"/>
      <sheetName val="국내"/>
      <sheetName val="영흥TL(UP,DOWN) "/>
      <sheetName val="Panel제작명세서"/>
      <sheetName val="Segment"/>
      <sheetName val="실행대비"/>
      <sheetName val="A(Rev.3)"/>
      <sheetName val="Summary"/>
      <sheetName val="DI-ESTI"/>
      <sheetName val="SS2"/>
      <sheetName val="본지점중"/>
      <sheetName val="원가근거"/>
      <sheetName val="해평견적"/>
      <sheetName val="건축공정"/>
      <sheetName val="방진공정"/>
      <sheetName val="조경공정"/>
      <sheetName val="1련,2련"/>
      <sheetName val="변품8-37"/>
      <sheetName val="내역(원안-대안)"/>
      <sheetName val="직재"/>
      <sheetName val="철콘-부대"/>
      <sheetName val="intake"/>
      <sheetName val="일위대가표"/>
      <sheetName val="실행"/>
      <sheetName val="SubCon"/>
      <sheetName val="W_steel"/>
      <sheetName val="Chi tiet"/>
      <sheetName val="M-EQPT-Z"/>
      <sheetName val="VC2 8.98"/>
      <sheetName val="간접비내역-1"/>
      <sheetName val="견적서을"/>
      <sheetName val="동아합의"/>
      <sheetName val="2.대외공문"/>
      <sheetName val="Bat Room"/>
      <sheetName val="Marsh. FGS (Hours)"/>
      <sheetName val="Marsh. ESD (Materials)"/>
      <sheetName val="Marsh. FGS (Materials)"/>
      <sheetName val="Project Price Summary"/>
      <sheetName val="Currencies"/>
      <sheetName val="T RFA"/>
      <sheetName val="DATE"/>
      <sheetName val="대총괄"/>
      <sheetName val="전기"/>
      <sheetName val="명세서"/>
      <sheetName val="조견표"/>
      <sheetName val="원단위자료2xls.xls"/>
      <sheetName val="%EC%9B%90%EB%8B%A8%EC%9C%84%EC%"/>
      <sheetName val="eqptlineup"/>
      <sheetName val="Macro"/>
      <sheetName val="Taux"/>
      <sheetName val="CTEMCOST"/>
      <sheetName val="안전장치"/>
      <sheetName val="삭제금지단가"/>
      <sheetName val="예산M5A"/>
      <sheetName val="INPUT_DATA"/>
      <sheetName val="공사비_내역_(가)"/>
      <sheetName val="할증_"/>
      <sheetName val="97_사업추정(WEKI)"/>
      <sheetName val="w't_table"/>
      <sheetName val="간접비_총괄표"/>
      <sheetName val="Cover_Sheet"/>
      <sheetName val="공정회의자료(월요일_10시까지)"/>
      <sheetName val="L_V_Separator"/>
      <sheetName val="CIVIL_WORK"/>
      <sheetName val="2_2_띠장의_설계"/>
      <sheetName val="MH_rate"/>
      <sheetName val="영흥TL(UP,DOWN)_"/>
      <sheetName val="head_loss_calc"/>
      <sheetName val="A(Rev_3)"/>
      <sheetName val="Chi_tiet"/>
      <sheetName val="2_대외공문"/>
      <sheetName val="Bat_Room"/>
      <sheetName val="VC2_8_98"/>
      <sheetName val="ISBL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 xml:space="preserve"> 예산편성용 세금계산 자료 </v>
          </cell>
        </row>
        <row r="6">
          <cell r="A6" t="str">
            <v>구  분</v>
          </cell>
          <cell r="B6" t="str">
            <v>원 단 위</v>
          </cell>
          <cell r="C6" t="str">
            <v>계      산      근      거</v>
          </cell>
          <cell r="D6" t="str">
            <v>비       고</v>
          </cell>
        </row>
        <row r="7">
          <cell r="C7" t="str">
            <v xml:space="preserve"> ※ 98년도 추정세액 </v>
          </cell>
        </row>
        <row r="8">
          <cell r="A8" t="str">
            <v>건물분</v>
          </cell>
          <cell r="B8" t="str">
            <v>1,636원/㎡</v>
          </cell>
          <cell r="C8" t="str">
            <v xml:space="preserve">    ÷ 과세면적(㎡)</v>
          </cell>
          <cell r="D8" t="str">
            <v xml:space="preserve"> -.97년 자료</v>
          </cell>
        </row>
        <row r="9">
          <cell r="A9" t="str">
            <v>재산세</v>
          </cell>
          <cell r="C9" t="str">
            <v xml:space="preserve"> ＝ (97년도 납부세액 X 105%) </v>
          </cell>
          <cell r="D9" t="str">
            <v xml:space="preserve">   기타 예산편성이</v>
          </cell>
        </row>
        <row r="10">
          <cell r="C10" t="str">
            <v xml:space="preserve">    ÷ 과세면적(㎡)</v>
          </cell>
          <cell r="D10" t="str">
            <v xml:space="preserve">   필요한 세금관련</v>
          </cell>
        </row>
        <row r="11">
          <cell r="C11" t="str">
            <v xml:space="preserve"> ＝ (556,438,700 X 105%) </v>
          </cell>
          <cell r="D11" t="str">
            <v xml:space="preserve">   사항은 추가요망</v>
          </cell>
        </row>
        <row r="12">
          <cell r="C12" t="str">
            <v xml:space="preserve">    ÷ 357,142 </v>
          </cell>
        </row>
        <row r="13">
          <cell r="C13" t="str">
            <v xml:space="preserve"> ＝ 1,636</v>
          </cell>
        </row>
        <row r="14">
          <cell r="A14" t="str">
            <v>재산할</v>
          </cell>
          <cell r="B14" t="str">
            <v>250원/㎡</v>
          </cell>
          <cell r="C14" t="str">
            <v xml:space="preserve"> ※ 지방세법 제248조</v>
          </cell>
        </row>
        <row r="15">
          <cell r="A15" t="str">
            <v>사업소세</v>
          </cell>
        </row>
        <row r="17">
          <cell r="A17" t="str">
            <v>자동차세</v>
          </cell>
          <cell r="C17" t="str">
            <v xml:space="preserve"> ※ 차량별 연세액</v>
          </cell>
        </row>
        <row r="19">
          <cell r="C19" t="str">
            <v xml:space="preserve"> ①승용자동차 연세액</v>
          </cell>
        </row>
        <row r="20">
          <cell r="C20" t="str">
            <v xml:space="preserve">   ＝배기량 X 씨씨당 세액</v>
          </cell>
        </row>
        <row r="21">
          <cell r="C21" t="str">
            <v xml:space="preserve">       800   씨씨이하: 100원</v>
          </cell>
        </row>
        <row r="22">
          <cell r="C22" t="str">
            <v xml:space="preserve">       1,000 씨씨이하: 120원</v>
          </cell>
        </row>
        <row r="23">
          <cell r="C23" t="str">
            <v xml:space="preserve">       1,500 씨씨이하: 160원</v>
          </cell>
        </row>
        <row r="24">
          <cell r="C24" t="str">
            <v xml:space="preserve">       2,000 씨씨이하: 220원</v>
          </cell>
        </row>
        <row r="25">
          <cell r="C25" t="str">
            <v xml:space="preserve">       2,500 씨씨이하: 250원</v>
          </cell>
        </row>
        <row r="26">
          <cell r="C26" t="str">
            <v xml:space="preserve">       3,000 씨씨이하: 410원</v>
          </cell>
        </row>
        <row r="27">
          <cell r="C27" t="str">
            <v xml:space="preserve">       3,000 씨씨초과: 630원</v>
          </cell>
        </row>
        <row r="29">
          <cell r="C29" t="str">
            <v xml:space="preserve"> ②승합자동차 연세액</v>
          </cell>
        </row>
        <row r="30">
          <cell r="C30" t="str">
            <v xml:space="preserve">    대형일반버스: 115,000원</v>
          </cell>
        </row>
        <row r="31">
          <cell r="C31" t="str">
            <v xml:space="preserve">    소형일반버스:  65,000원</v>
          </cell>
        </row>
        <row r="33">
          <cell r="C33" t="str">
            <v xml:space="preserve"> ③화물자동차 연세액</v>
          </cell>
        </row>
        <row r="34">
          <cell r="C34" t="str">
            <v xml:space="preserve">   (적재정량 X 가격)</v>
          </cell>
        </row>
        <row r="35">
          <cell r="C35" t="str">
            <v xml:space="preserve">    1,000킬로그램 이하: 28,500원</v>
          </cell>
        </row>
        <row r="36">
          <cell r="C36" t="str">
            <v xml:space="preserve">    2,000킬로그램 이하: 34,500원</v>
          </cell>
        </row>
        <row r="37">
          <cell r="C37" t="str">
            <v xml:space="preserve">    3,000킬로그램 이하: 48,000원</v>
          </cell>
        </row>
        <row r="38">
          <cell r="C38" t="str">
            <v xml:space="preserve">    4,000킬로그램 이하: 63,000원</v>
          </cell>
        </row>
        <row r="39">
          <cell r="C39" t="str">
            <v xml:space="preserve">    5,000킬로그램 이하: 79,500원</v>
          </cell>
        </row>
        <row r="40">
          <cell r="C40" t="str">
            <v xml:space="preserve">    8,000킬로그램 이하:130,500원</v>
          </cell>
        </row>
        <row r="41">
          <cell r="C41" t="str">
            <v xml:space="preserve">   10,000킬로그램 이하:157,500원</v>
          </cell>
        </row>
        <row r="44">
          <cell r="A44" t="str">
            <v>감가상각비</v>
          </cell>
          <cell r="B44" t="str">
            <v>11,648원/㎡</v>
          </cell>
          <cell r="C44" t="str">
            <v xml:space="preserve">  1.건물</v>
          </cell>
        </row>
        <row r="45">
          <cell r="C45" t="str">
            <v xml:space="preserve">  연간 추정상각비(98년말 추정액)</v>
          </cell>
        </row>
        <row r="46">
          <cell r="C46" t="str">
            <v xml:space="preserve">  ÷건물 연면적</v>
          </cell>
        </row>
        <row r="47">
          <cell r="C47" t="str">
            <v xml:space="preserve">      ＝ 4,008,936,823 ÷ 344,155 </v>
          </cell>
        </row>
        <row r="48">
          <cell r="C48" t="str">
            <v xml:space="preserve">      ≒ 11,648</v>
          </cell>
        </row>
        <row r="49">
          <cell r="D49" t="str">
            <v xml:space="preserve"> 차량/비품/기계</v>
          </cell>
        </row>
        <row r="50">
          <cell r="C50" t="str">
            <v xml:space="preserve">  2.차량/기계장치/비품</v>
          </cell>
          <cell r="D50" t="str">
            <v xml:space="preserve"> 장치 등의 내용</v>
          </cell>
        </row>
        <row r="51">
          <cell r="C51" t="str">
            <v xml:space="preserve">  →  취득가 ÷ 내용연수</v>
          </cell>
          <cell r="D51" t="str">
            <v xml:space="preserve"> 연수는 5년임</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수입"/>
      <sheetName val="산근"/>
      <sheetName val="기준"/>
      <sheetName val="주관사업"/>
      <sheetName val="INPUT DATA"/>
      <sheetName val="MH rate"/>
      <sheetName val="h-013211-2"/>
      <sheetName val="SubCon"/>
      <sheetName val="인원계획"/>
      <sheetName val="공사비_NDE"/>
      <sheetName val="POL6차-PIPING"/>
      <sheetName val="정부노임단가"/>
      <sheetName val="공사비 내역 (가)"/>
      <sheetName val="Sheet1"/>
      <sheetName val="BOJUNGGM"/>
      <sheetName val="손익차9월2"/>
      <sheetName val="출금실적"/>
      <sheetName val="영업2"/>
      <sheetName val="영업3"/>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eq_data"/>
      <sheetName val="8"/>
      <sheetName val="10"/>
      <sheetName val="12"/>
      <sheetName val="9"/>
      <sheetName val="11"/>
      <sheetName val="2"/>
      <sheetName val="할증 "/>
      <sheetName val="VST재료산출"/>
      <sheetName val="Civil"/>
      <sheetName val="DB@Acess"/>
      <sheetName val="Cover"/>
      <sheetName val="HVAC"/>
      <sheetName val="95삼성급(본사)"/>
      <sheetName val="소화실적"/>
      <sheetName val="정산표2"/>
      <sheetName val="영업소실적"/>
      <sheetName val="97 사업추정(WEKI)"/>
      <sheetName val="원단위자료2xls"/>
      <sheetName val="원가계산서"/>
      <sheetName val="갑지"/>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예산편성용 세금계산 자료</v>
          </cell>
        </row>
        <row r="6">
          <cell r="A6" t="str">
            <v>구  분</v>
          </cell>
          <cell r="B6" t="str">
            <v>원 단 위</v>
          </cell>
          <cell r="C6" t="str">
            <v>계      산      근      거</v>
          </cell>
          <cell r="D6" t="str">
            <v>비       고</v>
          </cell>
        </row>
        <row r="7">
          <cell r="C7" t="str">
            <v>※ 98년도 추정세액</v>
          </cell>
        </row>
        <row r="8">
          <cell r="A8" t="str">
            <v>건물분</v>
          </cell>
          <cell r="B8" t="str">
            <v>1,636원/㎡</v>
          </cell>
          <cell r="C8" t="str">
            <v>÷ 과세면적(㎡)</v>
          </cell>
          <cell r="D8" t="str">
            <v>-.97년 자료</v>
          </cell>
        </row>
        <row r="9">
          <cell r="A9" t="str">
            <v>재산세</v>
          </cell>
          <cell r="C9" t="str">
            <v>＝ (97년도 납부세액 X 105%)</v>
          </cell>
          <cell r="D9" t="str">
            <v>기타 예산편성이</v>
          </cell>
        </row>
        <row r="10">
          <cell r="C10" t="str">
            <v>÷ 과세면적(㎡)</v>
          </cell>
          <cell r="D10" t="str">
            <v>필요한 세금관련</v>
          </cell>
        </row>
        <row r="11">
          <cell r="C11" t="str">
            <v>＝ (556,438,700 X 105%)</v>
          </cell>
          <cell r="D11" t="str">
            <v>사항은 추가요망</v>
          </cell>
        </row>
        <row r="12">
          <cell r="C12" t="str">
            <v>÷ 357,142</v>
          </cell>
        </row>
        <row r="13">
          <cell r="C13" t="str">
            <v>＝ 1,636</v>
          </cell>
        </row>
        <row r="14">
          <cell r="A14" t="str">
            <v>재산할</v>
          </cell>
          <cell r="B14" t="str">
            <v>250원/㎡</v>
          </cell>
          <cell r="C14" t="str">
            <v>※ 지방세법 제248조</v>
          </cell>
        </row>
        <row r="15">
          <cell r="A15" t="str">
            <v>사업소세</v>
          </cell>
        </row>
        <row r="17">
          <cell r="A17" t="str">
            <v>자동차세</v>
          </cell>
          <cell r="C17" t="str">
            <v>※ 차량별 연세액</v>
          </cell>
        </row>
        <row r="19">
          <cell r="C19" t="str">
            <v>①승용자동차 연세액</v>
          </cell>
        </row>
        <row r="20">
          <cell r="C20" t="str">
            <v>＝배기량 X 씨씨당 세액</v>
          </cell>
        </row>
        <row r="21">
          <cell r="C21" t="str">
            <v>800   씨씨이하: 100원</v>
          </cell>
        </row>
        <row r="22">
          <cell r="C22" t="str">
            <v>1,000 씨씨이하: 120원</v>
          </cell>
        </row>
        <row r="23">
          <cell r="C23" t="str">
            <v>1,500 씨씨이하: 160원</v>
          </cell>
        </row>
        <row r="24">
          <cell r="C24" t="str">
            <v>2,000 씨씨이하: 220원</v>
          </cell>
        </row>
        <row r="25">
          <cell r="C25" t="str">
            <v>2,500 씨씨이하: 250원</v>
          </cell>
        </row>
        <row r="26">
          <cell r="C26" t="str">
            <v>3,000 씨씨이하: 410원</v>
          </cell>
        </row>
        <row r="27">
          <cell r="C27" t="str">
            <v>3,000 씨씨초과: 630원</v>
          </cell>
        </row>
        <row r="29">
          <cell r="C29" t="str">
            <v>②승합자동차 연세액</v>
          </cell>
        </row>
        <row r="30">
          <cell r="C30" t="str">
            <v>대형일반버스: 115,000원</v>
          </cell>
        </row>
        <row r="31">
          <cell r="C31" t="str">
            <v>소형일반버스:  65,000원</v>
          </cell>
        </row>
        <row r="33">
          <cell r="C33" t="str">
            <v>③화물자동차 연세액</v>
          </cell>
        </row>
        <row r="34">
          <cell r="C34" t="str">
            <v>(적재정량 X 가격)</v>
          </cell>
        </row>
        <row r="35">
          <cell r="C35" t="str">
            <v>1,000킬로그램 이하: 28,500원</v>
          </cell>
        </row>
        <row r="36">
          <cell r="C36" t="str">
            <v>2,000킬로그램 이하: 34,500원</v>
          </cell>
        </row>
        <row r="37">
          <cell r="C37" t="str">
            <v>3,000킬로그램 이하: 48,000원</v>
          </cell>
        </row>
        <row r="38">
          <cell r="C38" t="str">
            <v>4,000킬로그램 이하: 63,000원</v>
          </cell>
        </row>
        <row r="39">
          <cell r="C39" t="str">
            <v>5,000킬로그램 이하: 79,500원</v>
          </cell>
        </row>
        <row r="40">
          <cell r="C40" t="str">
            <v>8,000킬로그램 이하:130,500원</v>
          </cell>
        </row>
        <row r="41">
          <cell r="C41" t="str">
            <v>10,000킬로그램 이하:157,500원</v>
          </cell>
        </row>
        <row r="44">
          <cell r="A44" t="str">
            <v>감가상각비</v>
          </cell>
          <cell r="B44" t="str">
            <v>11,648원/㎡</v>
          </cell>
          <cell r="C44" t="str">
            <v>1.건물</v>
          </cell>
        </row>
        <row r="45">
          <cell r="C45" t="str">
            <v>연간 추정상각비(98년말 추정액)</v>
          </cell>
        </row>
        <row r="46">
          <cell r="C46" t="str">
            <v>÷건물 연면적</v>
          </cell>
        </row>
        <row r="47">
          <cell r="C47" t="str">
            <v>＝ 4,008,936,823 ÷ 344,155</v>
          </cell>
        </row>
        <row r="48">
          <cell r="C48" t="str">
            <v>≒ 11,648</v>
          </cell>
        </row>
        <row r="49">
          <cell r="D49" t="str">
            <v>차량/비품/기계</v>
          </cell>
        </row>
        <row r="50">
          <cell r="C50" t="str">
            <v>2.차량/기계장치/비품</v>
          </cell>
          <cell r="D50" t="str">
            <v>장치 등의 내용</v>
          </cell>
        </row>
        <row r="51">
          <cell r="C51" t="str">
            <v>→  취득가 ÷ 내용연수</v>
          </cell>
          <cell r="D51" t="str">
            <v>연수는 5년임</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aster"/>
      <sheetName val="표지"/>
      <sheetName val="Summary"/>
      <sheetName val="요약"/>
      <sheetName val="품의서"/>
      <sheetName val="목차"/>
      <sheetName val="1."/>
      <sheetName val="1.1"/>
      <sheetName val="1.2"/>
      <sheetName val="2."/>
      <sheetName val="2.0"/>
      <sheetName val="2.1"/>
      <sheetName val="2.2"/>
      <sheetName val="MH rate"/>
      <sheetName val="2.3"/>
      <sheetName val="3-1"/>
      <sheetName val="CBE"/>
      <sheetName val="3-2"/>
      <sheetName val="4."/>
      <sheetName val="시공CBE"/>
      <sheetName val="5."/>
      <sheetName val="5.1"/>
      <sheetName val="5.2"/>
      <sheetName val="5.2.1"/>
      <sheetName val="5.2.2"/>
      <sheetName val="5.2.3"/>
      <sheetName val="6"/>
      <sheetName val="7"/>
      <sheetName val="첨1.1"/>
      <sheetName val="첨1.2"/>
      <sheetName val="첨2.1"/>
      <sheetName val="첨2.2"/>
      <sheetName val="첨2.3"/>
      <sheetName val="첨3"/>
      <sheetName val="첨4.1"/>
      <sheetName val="첨4.2"/>
      <sheetName val="첨5"/>
      <sheetName val="첨5.1"/>
      <sheetName val="첨6"/>
      <sheetName val="운용계획"/>
      <sheetName val="MH비교"/>
      <sheetName val="월별"/>
      <sheetName val="T&amp;C"/>
      <sheetName val="P_monthly"/>
      <sheetName val="E"/>
      <sheetName val="P"/>
      <sheetName val="C"/>
      <sheetName val="Comm"/>
      <sheetName val="Total"/>
      <sheetName val="간접비"/>
      <sheetName val="항공"/>
      <sheetName val="파견규칙"/>
      <sheetName val="5.2.4"/>
      <sheetName val="2"/>
      <sheetName val="세금자료"/>
      <sheetName val="SubCon"/>
      <sheetName val="Cover"/>
      <sheetName val="Variation Work"/>
      <sheetName val="Provisional 용 인력계획"/>
      <sheetName val="환율 적용기준"/>
      <sheetName val="Euro Summary"/>
      <sheetName val="Summary (마덴)"/>
      <sheetName val="입찰내역서"/>
      <sheetName val="2 용역비"/>
      <sheetName val="2.1.1MH 단가"/>
      <sheetName val="3 자재비"/>
      <sheetName val="Novated LLI Price"/>
      <sheetName val="운송비"/>
      <sheetName val="4 시공비"/>
      <sheetName val="시공Lv3"/>
      <sheetName val="5 경비"/>
      <sheetName val="5.3"/>
      <sheetName val="5.3.1"/>
      <sheetName val="5.3.2"/>
      <sheetName val="5.4"/>
      <sheetName val="5.4.1"/>
      <sheetName val="첨1 인력동원"/>
      <sheetName val="첨5 "/>
      <sheetName val="이후 출력금지"/>
      <sheetName val="Sheet1"/>
      <sheetName val="해외수당"/>
      <sheetName val="Payment Milestone Schedule"/>
      <sheetName val="Overall"/>
      <sheetName val="Engineering"/>
      <sheetName val="Procurement"/>
      <sheetName val="Construction"/>
      <sheetName val="Commissioning &amp; Start-up"/>
      <sheetName val="TOTAL (2)"/>
      <sheetName val="PM"/>
      <sheetName val="ENG"/>
      <sheetName val="PRO"/>
      <sheetName val="CON"/>
      <sheetName val="SubCon-Rev"/>
      <sheetName val="#REF"/>
    </sheetNames>
    <sheetDataSet>
      <sheetData sheetId="0" refreshError="1"/>
      <sheetData sheetId="1" refreshError="1"/>
      <sheetData sheetId="2" refreshError="1"/>
      <sheetData sheetId="3" refreshError="1"/>
      <sheetData sheetId="4" refreshError="1">
        <row r="10">
          <cell r="Q10">
            <v>1100</v>
          </cell>
        </row>
        <row r="49">
          <cell r="K49">
            <v>77224.899101565432</v>
          </cell>
        </row>
      </sheetData>
      <sheetData sheetId="5" refreshError="1"/>
      <sheetData sheetId="6" refreshError="1"/>
      <sheetData sheetId="7">
        <row r="7">
          <cell r="C7" t="str">
            <v>IRPC Propylene Plant Project, Thailand</v>
          </cell>
        </row>
      </sheetData>
      <sheetData sheetId="8" refreshError="1"/>
      <sheetData sheetId="9" refreshError="1"/>
      <sheetData sheetId="10">
        <row r="3">
          <cell r="K3">
            <v>178.5</v>
          </cell>
        </row>
      </sheetData>
      <sheetData sheetId="11" refreshError="1"/>
      <sheetData sheetId="12" refreshError="1"/>
      <sheetData sheetId="13" refreshError="1"/>
      <sheetData sheetId="14" refreshError="1"/>
      <sheetData sheetId="15" refreshError="1"/>
      <sheetData sheetId="16" refreshError="1"/>
      <sheetData sheetId="17">
        <row r="13">
          <cell r="Q13">
            <v>85645435.050033465</v>
          </cell>
        </row>
      </sheetData>
      <sheetData sheetId="18" refreshError="1"/>
      <sheetData sheetId="19">
        <row r="6">
          <cell r="B6" t="str">
            <v>가설건축물공사 (Temporary Facility)</v>
          </cell>
        </row>
      </sheetData>
      <sheetData sheetId="20">
        <row r="13">
          <cell r="Q13">
            <v>85645435.050033465</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9">
          <cell r="B9">
            <v>0.27557122027908998</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 val="현장경비"/>
      <sheetName val="갑지1"/>
      <sheetName val="설계산출기초"/>
      <sheetName val="도급예산내역서봉투"/>
      <sheetName val="공사원가계산서"/>
      <sheetName val="설계산출표지"/>
      <sheetName val="도급예산내역서총괄표"/>
      <sheetName val="을부담운반비"/>
      <sheetName val="운반비산출"/>
      <sheetName val="견적의뢰"/>
      <sheetName val="원가"/>
      <sheetName val="현장경상비"/>
      <sheetName val="갑지(추정)"/>
      <sheetName val="샤워실위생"/>
      <sheetName val="일위대가표"/>
      <sheetName val="데이타"/>
      <sheetName val="식재인부"/>
      <sheetName val="노임이"/>
      <sheetName val="시멘트"/>
      <sheetName val="협력업체"/>
      <sheetName val="노임단가"/>
      <sheetName val="동원인원"/>
      <sheetName val="계DATA"/>
      <sheetName val="실DATA "/>
      <sheetName val="건축직영"/>
      <sheetName val="DATE"/>
      <sheetName val="중기사용료"/>
      <sheetName val="현장관리비"/>
      <sheetName val="집계표"/>
      <sheetName val="Total"/>
      <sheetName val="판매시설"/>
      <sheetName val="실행예산-변경분"/>
      <sheetName val="작성"/>
      <sheetName val="일위대가"/>
      <sheetName val="입찰견적보고서"/>
      <sheetName val="평가데이터"/>
      <sheetName val="음료실행"/>
      <sheetName val="산업"/>
      <sheetName val="수량집계"/>
      <sheetName val="#REF"/>
      <sheetName val="금액"/>
      <sheetName val="요율"/>
      <sheetName val="프랜트면허"/>
      <sheetName val="토목주소"/>
      <sheetName val="설계서(7)"/>
      <sheetName val="내역서(1)"/>
      <sheetName val="예가표"/>
      <sheetName val="내역표지"/>
      <sheetName val="지수980731이후"/>
      <sheetName val="소비자가"/>
      <sheetName val=" 갑  지 "/>
      <sheetName val="공구"/>
      <sheetName val="총괄내역서"/>
      <sheetName val="코스모공장 (어음)"/>
      <sheetName val="개요"/>
      <sheetName val="현장관리"/>
      <sheetName val="조직도"/>
      <sheetName val="공정표"/>
      <sheetName val="조건"/>
      <sheetName val="CTEMCOST"/>
      <sheetName val="설계명세서"/>
      <sheetName val="인제내역"/>
      <sheetName val="건축내역서"/>
      <sheetName val="조내역"/>
      <sheetName val="실DATA_"/>
      <sheetName val="실행"/>
      <sheetName val="을"/>
      <sheetName val="총괄"/>
      <sheetName val="GAEYO"/>
      <sheetName val="주식"/>
      <sheetName val="공문"/>
      <sheetName val="갑지"/>
      <sheetName val="기안"/>
      <sheetName val="원가계산서(거목)"/>
      <sheetName val="원가계산서(다숲)"/>
      <sheetName val="원가계산서(법정외주)"/>
      <sheetName val="실행(ALT1)"/>
      <sheetName val="내역서"/>
      <sheetName val="A 견적"/>
      <sheetName val="경산"/>
      <sheetName val="참조"/>
      <sheetName val="수량산출"/>
      <sheetName val="공사개요"/>
      <sheetName val="내역서2안"/>
      <sheetName val="_갑__지_"/>
      <sheetName val="환경기계공정표 (3)"/>
      <sheetName val="FAB별"/>
      <sheetName val="내역"/>
      <sheetName val="값"/>
      <sheetName val="건축공사실행"/>
      <sheetName val="아파트"/>
      <sheetName val="변수값"/>
      <sheetName val="중기상차"/>
      <sheetName val="재료"/>
      <sheetName val="AS복구"/>
      <sheetName val="중기터파기"/>
      <sheetName val="목차"/>
      <sheetName val="계약내역(2)"/>
      <sheetName val="일위대가목록"/>
      <sheetName val="관접합및부설"/>
      <sheetName val="단가"/>
      <sheetName val="시설물일위"/>
      <sheetName val="가설공사"/>
      <sheetName val="단가결정"/>
      <sheetName val="내역아"/>
      <sheetName val="울타리"/>
      <sheetName val="조명시설"/>
      <sheetName val="Sheet1"/>
      <sheetName val="전등설비"/>
      <sheetName val="카펫타일"/>
      <sheetName val="납부서"/>
      <sheetName val="사급자재"/>
      <sheetName val="COVER"/>
      <sheetName val="SPEC"/>
      <sheetName val="원가계산서"/>
      <sheetName val="인사자료총집계"/>
      <sheetName val="기초단가"/>
      <sheetName val="총 원가계산"/>
      <sheetName val="Sheet5"/>
      <sheetName val="견적"/>
      <sheetName val="수량-양식"/>
      <sheetName val="원가계산"/>
      <sheetName val="본실행경비"/>
      <sheetName val="금액내역서"/>
      <sheetName val="투찰내역서"/>
      <sheetName val="SAM"/>
      <sheetName val="원가data"/>
      <sheetName val="입찰안"/>
      <sheetName val="일위산출"/>
      <sheetName val="단가 (2)"/>
      <sheetName val="Y-WORK"/>
      <sheetName val="기계경비(시간당)"/>
      <sheetName val="램머"/>
      <sheetName val="01"/>
      <sheetName val="건축"/>
      <sheetName val="Sheet1 (2)"/>
      <sheetName val="개산공사비"/>
      <sheetName val="실행대비"/>
      <sheetName val="증감내역서"/>
      <sheetName val="연돌일위집계"/>
      <sheetName val="노무비"/>
      <sheetName val="총괄갑 "/>
      <sheetName val="일위"/>
      <sheetName val="제경비율"/>
      <sheetName val="5사남"/>
      <sheetName val="원가계산하도"/>
      <sheetName val="실행철강하도"/>
      <sheetName val="입력데이타"/>
      <sheetName val="물가대비표"/>
      <sheetName val="단중표"/>
      <sheetName val="6호기"/>
      <sheetName val="날개벽수량표"/>
      <sheetName val="정보"/>
      <sheetName val="BID"/>
      <sheetName val="용역비내역-진짜"/>
      <sheetName val="시중노임단가"/>
      <sheetName val="6PILE  (돌출)"/>
      <sheetName val="구성비"/>
      <sheetName val="화전내"/>
      <sheetName val="F4-F7"/>
      <sheetName val="벽체물량산출서"/>
      <sheetName val="지수"/>
      <sheetName val="---FAB#1업무일지---"/>
      <sheetName val="EQT-ESTN"/>
      <sheetName val="표지"/>
      <sheetName val="변경내역서"/>
      <sheetName val="11-2.아파트내역"/>
      <sheetName val="내역서1999.8최종"/>
      <sheetName val="자재가격조사표"/>
      <sheetName val="SG"/>
      <sheetName val="1차 내역서"/>
      <sheetName val="식재수량표"/>
      <sheetName val="일위목록"/>
      <sheetName val="진주방향"/>
      <sheetName val="산근"/>
      <sheetName val="전기"/>
      <sheetName val="Option"/>
      <sheetName val="설계서"/>
      <sheetName val="당정동경상이수"/>
      <sheetName val="당정동공통이수"/>
      <sheetName val="factor(건축)"/>
      <sheetName val="세금자료"/>
      <sheetName val="자단"/>
      <sheetName val="해평견적"/>
      <sheetName val="합천내역"/>
      <sheetName val="출입자명단"/>
      <sheetName val="골재집계"/>
      <sheetName val="-레미콘집계"/>
      <sheetName val="-몰탈콘크리트"/>
      <sheetName val="자갈,시멘트,모래산출"/>
      <sheetName val="-철근집계"/>
      <sheetName val="포장재료(1)"/>
      <sheetName val="-흄관집계"/>
      <sheetName val="노무"/>
      <sheetName val="총투입계"/>
      <sheetName val="추정_최근현장"/>
      <sheetName val="리스트_최근현장"/>
      <sheetName val="팩스리스트"/>
      <sheetName val="DATA1"/>
      <sheetName val="노임"/>
      <sheetName val="TYPE-A"/>
      <sheetName val=" 견적서"/>
      <sheetName val="물량표"/>
      <sheetName val="참고사항"/>
      <sheetName val="근로자자료입력"/>
      <sheetName val="견적조건"/>
      <sheetName val="국내조달(통합-1)"/>
      <sheetName val="수배전반"/>
      <sheetName val="차액보증"/>
      <sheetName val="공통가설"/>
      <sheetName val="inter"/>
      <sheetName val="TEST1"/>
      <sheetName val="Sheet2"/>
      <sheetName val="설명서 "/>
      <sheetName val="토목"/>
      <sheetName val="역T형교대(말뚝기초)"/>
      <sheetName val="수리결과"/>
      <sheetName val="사진대지"/>
      <sheetName val="내역서01"/>
      <sheetName val="2-1. 경관조명 내역총괄표"/>
      <sheetName val="아파트기별"/>
      <sheetName val="공리일"/>
      <sheetName val="일위대가 "/>
      <sheetName val="8.설치품셈"/>
      <sheetName val="설계명세서-2"/>
      <sheetName val="건축집계표"/>
      <sheetName val="계산서(곡선부)"/>
      <sheetName val="포장재료집계표"/>
      <sheetName val="7.기-검-보.100"/>
      <sheetName val="총괄집계표"/>
      <sheetName val="001"/>
      <sheetName val="배명(단가)"/>
      <sheetName val="기초입력 DATA"/>
      <sheetName val="파일의이용"/>
      <sheetName val="공종목록표"/>
      <sheetName val="CON'C"/>
      <sheetName val="플랜트 설치"/>
      <sheetName val="ilch"/>
      <sheetName val="직재"/>
      <sheetName val="교통대책내역"/>
      <sheetName val="을지"/>
      <sheetName val="견적갑지"/>
      <sheetName val="물량내역"/>
      <sheetName val="상호참고자료"/>
      <sheetName val="발주처자료입력"/>
      <sheetName val="회사기본자료"/>
      <sheetName val="하자보증자료"/>
      <sheetName val="기술자관련자료"/>
      <sheetName val="날개벽(시점좌측)"/>
      <sheetName val="직접경비"/>
      <sheetName val="직접인건비"/>
      <sheetName val="중기조종사 단위단가"/>
      <sheetName val="설계서(본관)"/>
      <sheetName val="기초일위"/>
      <sheetName val="시설일위"/>
      <sheetName val="조명일위"/>
      <sheetName val="정부노임단가"/>
      <sheetName val="적격심사표"/>
      <sheetName val="노임단가 (2)"/>
      <sheetName val="실행내역"/>
      <sheetName val="CONCRETE"/>
      <sheetName val="배수내역"/>
      <sheetName val="자재단가"/>
      <sheetName val="장비경비"/>
      <sheetName val="업무분장"/>
      <sheetName val="건축공사집계"/>
      <sheetName val="0"/>
      <sheetName val="수목단가"/>
      <sheetName val="시설수량표"/>
      <sheetName val="C3"/>
      <sheetName val="예산서"/>
      <sheetName val="BSD (2)"/>
      <sheetName val="건축내역"/>
      <sheetName val="청천내"/>
      <sheetName val="수량계산서 집계표(가설 신설 및 철거-을지로3가 3호선)"/>
      <sheetName val="수량계산서 집계표(신설-을지로3가 3호선)"/>
      <sheetName val="수량계산서 집계표(철거-을지로3가 3호선)"/>
      <sheetName val="유림골조"/>
      <sheetName val="골조시행"/>
      <sheetName val="PAINT"/>
      <sheetName val="FORM-0"/>
      <sheetName val="결재판"/>
      <sheetName val="실행_ALT1_"/>
      <sheetName val="2000년1차"/>
      <sheetName val="배관배선내역"/>
      <sheetName val="토목공사"/>
      <sheetName val="차수"/>
      <sheetName val="건축실행"/>
      <sheetName val="COST"/>
      <sheetName val="인건비 "/>
      <sheetName val="INPUT"/>
      <sheetName val="산출"/>
      <sheetName val="예정공정표"/>
      <sheetName val="초기화면"/>
      <sheetName val="관급자재"/>
      <sheetName val="pier(각형)"/>
      <sheetName val="경비"/>
      <sheetName val="토공연장"/>
      <sheetName val="자재"/>
      <sheetName val="05-원가계산"/>
      <sheetName val="공사_산출"/>
      <sheetName val="철거산출근거"/>
      <sheetName val="FOB발"/>
      <sheetName val="1"/>
      <sheetName val="2"/>
      <sheetName val="3"/>
      <sheetName val="4"/>
      <sheetName val="5"/>
      <sheetName val="6"/>
      <sheetName val="부하(성남)"/>
      <sheetName val="집계"/>
      <sheetName val="장비집계"/>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설비공사"/>
      <sheetName val="말뚝지지력산정"/>
      <sheetName val="토공집계"/>
      <sheetName val="계목분류"/>
      <sheetName val="용수량(생활용수)"/>
      <sheetName val="동별집계(비디오폰흑백-&gt;칼라)"/>
      <sheetName val="동별집계"/>
      <sheetName val="세부내역서"/>
      <sheetName val="가설공사내역"/>
      <sheetName val="기성"/>
      <sheetName val="토목내역"/>
      <sheetName val="전선 및 전선관-자유로"/>
      <sheetName val="관로터파기-자유로"/>
      <sheetName val="새공통"/>
      <sheetName val="입력"/>
      <sheetName val="현장별"/>
      <sheetName val="공사통보서"/>
      <sheetName val="2공구산출내역"/>
      <sheetName val="설계내역"/>
      <sheetName val="철콘"/>
      <sheetName val="신.분"/>
      <sheetName val="설비내역서"/>
      <sheetName val="전기내역서"/>
      <sheetName val="참조M"/>
      <sheetName val="단기차입금"/>
      <sheetName val="Sheet3"/>
      <sheetName val="입력시트"/>
      <sheetName val="구분자"/>
      <sheetName val="단가및재료비"/>
      <sheetName val="소요자재"/>
      <sheetName val="견적율"/>
      <sheetName val="퍼스트"/>
      <sheetName val="Sheet4"/>
      <sheetName val="wall"/>
      <sheetName val="주공 갑지"/>
      <sheetName val="C1.공사개요"/>
      <sheetName val="실행(1)"/>
      <sheetName val="A1.스케쥴"/>
      <sheetName val="계획금액"/>
      <sheetName val="중기사용료산출근거"/>
      <sheetName val="단가 및 재료비"/>
      <sheetName val="단가(자재)"/>
      <sheetName val="단가(노임)"/>
      <sheetName val="기초목록"/>
      <sheetName val="980731"/>
      <sheetName val="우수받이재료집계표"/>
      <sheetName val="단가조사"/>
      <sheetName val="계정"/>
      <sheetName val="간지"/>
      <sheetName val="공사요율"/>
      <sheetName val="간접"/>
      <sheetName val="단가대비표"/>
      <sheetName val="연도별노무비(신)"/>
      <sheetName val="산출서"/>
      <sheetName val="3월팀계 "/>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수량명세서"/>
      <sheetName val="입력자료"/>
      <sheetName val="삭제금지단가"/>
      <sheetName val="한강운반비"/>
      <sheetName val="Customer Databas"/>
      <sheetName val="코드"/>
      <sheetName val="장비사양"/>
      <sheetName val="가공비"/>
      <sheetName val="예산"/>
      <sheetName val="단위가격"/>
      <sheetName val="1SGATE97"/>
      <sheetName val="단가보완"/>
      <sheetName val="공사비총괄표"/>
      <sheetName val="하수실행"/>
      <sheetName val="SR97-1"/>
      <sheetName val="청하배수"/>
      <sheetName val="99노임기준"/>
      <sheetName val="토사(PE)"/>
      <sheetName val="터널조도"/>
      <sheetName val="측량요율"/>
      <sheetName val="자재대"/>
      <sheetName val="원본"/>
      <sheetName val="울산시산표"/>
      <sheetName val="APT"/>
      <sheetName val="출력"/>
      <sheetName val="4동급수"/>
      <sheetName val="도급"/>
      <sheetName val="경쟁실분"/>
      <sheetName val="MAT_N048"/>
      <sheetName val="포장복구집계"/>
      <sheetName val="부표총괄"/>
      <sheetName val="AS포장복구 "/>
      <sheetName val="G.R300경비"/>
      <sheetName val="표준건축비"/>
      <sheetName val="고유코드_설계"/>
      <sheetName val="월별수입"/>
      <sheetName val="백암비스타내역"/>
      <sheetName val="토공사"/>
      <sheetName val="1-최종안"/>
      <sheetName val="사업분석-분양가결정"/>
      <sheetName val="[내역서(ͭ_x0000_ͭ_x0000__x001c__x0000__x001c__x0000_가표"/>
      <sheetName val="工완성공사율"/>
      <sheetName val="투입비분석표"/>
      <sheetName val="ateCodes_x0000_TimeCodes_x0000_OverrideShor"/>
      <sheetName val="공사내역서"/>
      <sheetName val="21301동"/>
      <sheetName val="설계조건"/>
      <sheetName val="27.건설이자"/>
      <sheetName val="9-2.단지투자"/>
      <sheetName val="9-4.단지분양수납"/>
      <sheetName val="28.차입금상환계획"/>
      <sheetName val="10-4.운하물류분양수납"/>
      <sheetName val="10-2.운하물류투자"/>
      <sheetName val="※.2010예산총괄표"/>
      <sheetName val="Apt내역"/>
      <sheetName val="수정시산표"/>
      <sheetName val="매출현황"/>
      <sheetName val="등록자료"/>
      <sheetName val="입력정보"/>
      <sheetName val="금융비용"/>
      <sheetName val="설계예산서"/>
      <sheetName val="예산내역서"/>
      <sheetName val="FD"/>
      <sheetName val="LD"/>
      <sheetName val="BLOCK(1)"/>
      <sheetName val="자판실행"/>
      <sheetName val="DATA 입력란"/>
      <sheetName val="수목표준대가"/>
      <sheetName val="횡배수관"/>
      <sheetName val="최적단면"/>
      <sheetName val="품셈 "/>
      <sheetName val="방화도료"/>
      <sheetName val="Raw Data"/>
      <sheetName val="1안98Billing"/>
      <sheetName val="신_분"/>
      <sheetName val="00000"/>
      <sheetName val="대비"/>
      <sheetName val="찍기"/>
      <sheetName val="수선비MATRIX"/>
      <sheetName val="차량소요량-년간주행거리"/>
      <sheetName val="2003상반기노임기준"/>
      <sheetName val="목표세부명세"/>
      <sheetName val="빙장비사양"/>
      <sheetName val="노무비단가"/>
      <sheetName val="9811"/>
      <sheetName val="보증종류"/>
      <sheetName val="수지표"/>
      <sheetName val="셀명"/>
      <sheetName val="부속동"/>
      <sheetName val="본선토량운반계산서(1)0"/>
      <sheetName val="회사정보"/>
      <sheetName val="친환경주택"/>
      <sheetName val="제경비"/>
      <sheetName val="실적공사비"/>
      <sheetName val="입력(K0)"/>
      <sheetName val="장비기준"/>
      <sheetName val="재료비"/>
      <sheetName val="환율"/>
      <sheetName val="공사내역"/>
      <sheetName val="경율산정.XLS"/>
      <sheetName val="매입세율"/>
      <sheetName val="우배수"/>
      <sheetName val="계산식"/>
      <sheetName val="내역서 제출"/>
      <sheetName val="연부97-1"/>
      <sheetName val="#3_일위대가목록"/>
      <sheetName val="BTL시설예산 기준표"/>
      <sheetName val="5.학교신설예산 집행(01~08)"/>
      <sheetName val="점검결과(08년 100교 지원)"/>
      <sheetName val="D"/>
      <sheetName val="-치수표(곡선부)"/>
      <sheetName val="[내역서(ͭ?ͭ?_x001c_?_x001c_?가표"/>
      <sheetName val="현금및현금등가물"/>
      <sheetName val="용역비내역_진짜"/>
      <sheetName val="b_balju_cho"/>
      <sheetName val="총계"/>
      <sheetName val="2.고용보험료산출근거"/>
      <sheetName val="노임단가표"/>
      <sheetName val="손익집계(공장별)"/>
      <sheetName val="전차선로 물량표"/>
      <sheetName val="문학간접"/>
      <sheetName val="1안"/>
      <sheetName val="내역1"/>
      <sheetName val="노임(1차)"/>
      <sheetName val="각형맨홀"/>
      <sheetName val="VST재료산출"/>
      <sheetName val="조도계산서 (도서)"/>
      <sheetName val="금회지출"/>
      <sheetName val="BATCH"/>
      <sheetName val="분석대장"/>
      <sheetName val="base"/>
      <sheetName val="9-1차이내역"/>
      <sheetName val="계정code"/>
      <sheetName val="아파트 "/>
      <sheetName val="견적1"/>
      <sheetName val="일위_파일"/>
      <sheetName val="COVER-P"/>
      <sheetName val="99년신청"/>
      <sheetName val="관련부서"/>
      <sheetName val="산출근거-배전"/>
      <sheetName val="EQUIP LIST"/>
      <sheetName val="소업1교"/>
      <sheetName val="전익자재"/>
      <sheetName val="DATA"/>
      <sheetName val="부하계산서"/>
      <sheetName val="안정계산"/>
      <sheetName val="단면검토"/>
      <sheetName val="당초"/>
      <sheetName val="품셈표"/>
      <sheetName val="6동"/>
      <sheetName val="경영상태"/>
      <sheetName val="1.동력공사"/>
      <sheetName val="신축(단위)"/>
      <sheetName val="사통"/>
      <sheetName val="5-1신설물량"/>
      <sheetName val="기초입력_DATA"/>
      <sheetName val="_견적서"/>
      <sheetName val="노임단가_(2)"/>
      <sheetName val="플랜트_설치"/>
      <sheetName val="1차_내역서"/>
      <sheetName val="2-1__경관조명_내역총괄표"/>
      <sheetName val="중기조종사_단위단가"/>
      <sheetName val="설명서_"/>
      <sheetName val="BSD_(2)"/>
      <sheetName val="수량계산서_집계표(가설_신설_및_철거-을지로3가_3호선)"/>
      <sheetName val="수량계산서_집계표(신설-을지로3가_3호선)"/>
      <sheetName val="수량계산서_집계표(철거-을지로3가_3호선)"/>
      <sheetName val="아파트_내역"/>
      <sheetName val="인건비_"/>
      <sheetName val="실행내역서 "/>
      <sheetName val="6-1. 관개량조서"/>
      <sheetName val="물가시세"/>
      <sheetName val="설계가"/>
      <sheetName val="사업총괄"/>
      <sheetName val="수량3"/>
      <sheetName val="XL4Poppy"/>
      <sheetName val="5.직원투입현황"/>
      <sheetName val="판가반영"/>
      <sheetName val="방배동내역(리라)"/>
      <sheetName val="부대공사총괄"/>
      <sheetName val="건축공사집계표"/>
      <sheetName val="제안서입력"/>
      <sheetName val="거래처등록"/>
      <sheetName val="참고자료"/>
      <sheetName val="은행코드"/>
      <sheetName val="참고"/>
      <sheetName val="BQ(실행)"/>
      <sheetName val="견적단가"/>
      <sheetName val="회선별대책안(한전)"/>
      <sheetName val="ateCodes"/>
      <sheetName val="CC16-내역서"/>
      <sheetName val="기계경비"/>
      <sheetName val="수안보-MBR1"/>
      <sheetName val="일일작업현황"/>
      <sheetName val="관람석제출"/>
      <sheetName val="양식3"/>
      <sheetName val="영동(D)"/>
      <sheetName val="교각1"/>
      <sheetName val="손익분석"/>
      <sheetName val="ateCodes?TimeCodes?OverrideShor"/>
      <sheetName val="시행후면적"/>
      <sheetName val="수지예산"/>
      <sheetName val="업무량"/>
      <sheetName val="200"/>
      <sheetName val="데리네이타현황"/>
      <sheetName val="수로BOX"/>
      <sheetName val="소상 &quot;1&quot;"/>
      <sheetName val="PIPE"/>
      <sheetName val="FB25JN"/>
      <sheetName val="database"/>
      <sheetName val="자재단가비교표"/>
      <sheetName val="Macro(전선)"/>
      <sheetName val="패널"/>
      <sheetName val="[내역서(ͭ"/>
      <sheetName val="골조(1)"/>
      <sheetName val="골조(3)"/>
      <sheetName val="마감(1)"/>
      <sheetName val="장문교(대전)"/>
      <sheetName val="낙찰표"/>
      <sheetName val="간선계산"/>
      <sheetName val="수량산출(음암)"/>
      <sheetName val="1.설계조건"/>
      <sheetName val="산출내역서집계표"/>
      <sheetName val="본부소개"/>
      <sheetName val="계좌분리(계약)"/>
      <sheetName val="계좌분리(기성)"/>
      <sheetName val="총괄(데이소)"/>
      <sheetName val="총괄(데이전)"/>
      <sheetName val="총괄(데이터)"/>
      <sheetName val="단가조정"/>
      <sheetName val="소총괄"/>
      <sheetName val="소총괄(집계)"/>
      <sheetName val="물류최종8월7"/>
      <sheetName val="인수공"/>
      <sheetName val="단가산출2"/>
      <sheetName val="단가산출1"/>
      <sheetName val="HISTORICAL"/>
      <sheetName val="FORECASTING"/>
      <sheetName val="신표지1"/>
      <sheetName val="인부노임"/>
      <sheetName val="3희질산"/>
      <sheetName val="금전출납"/>
      <sheetName val="직영명부"/>
      <sheetName val="증감대비"/>
      <sheetName val="페이지"/>
      <sheetName val="XREF"/>
      <sheetName val="_갑__지_2"/>
      <sheetName val="실DATA_2"/>
      <sheetName val="코스모공장_(어음)1"/>
      <sheetName val="A_견적1"/>
      <sheetName val="환경기계공정표_(3)1"/>
      <sheetName val="단가_(2)1"/>
      <sheetName val="총_원가계산1"/>
      <sheetName val="6PILE__(돌출)1"/>
      <sheetName val="Sheet1_(2)1"/>
      <sheetName val="총괄갑_1"/>
      <sheetName val="11-2_아파트내역1"/>
      <sheetName val="내역서1999_8최종1"/>
      <sheetName val="전선_및_전선관-자유로"/>
      <sheetName val="C1_공사개요"/>
      <sheetName val="A1_스케쥴"/>
      <sheetName val="일위대가_"/>
      <sheetName val="단가_및_재료비"/>
      <sheetName val="주공_갑지"/>
      <sheetName val="AS포장복구_"/>
      <sheetName val="G_R300경비"/>
      <sheetName val="3월팀계_"/>
      <sheetName val="Customer_Databas"/>
      <sheetName val="[내역서(ͭͭ가표"/>
      <sheetName val="DATA_입력란"/>
      <sheetName val="한일양산"/>
      <sheetName val="&quot;"/>
      <sheetName val="신천교(음성)"/>
      <sheetName val="EP0618"/>
      <sheetName val="부대내역"/>
      <sheetName val="전체내역 (2)"/>
      <sheetName val="내역- CCTV"/>
      <sheetName val="양촌면도평리"/>
      <sheetName val="예정공정표 "/>
      <sheetName val="우각부보강"/>
      <sheetName val="2.대외공문"/>
      <sheetName val="S0"/>
      <sheetName val="96.12"/>
      <sheetName val="토목검측서"/>
      <sheetName val="수목데이타"/>
      <sheetName val="총괄표"/>
      <sheetName val="관급자재대"/>
      <sheetName val="교각계산"/>
      <sheetName val="기본항목 입력"/>
      <sheetName val="야장종합"/>
      <sheetName val="설비(제출)"/>
      <sheetName val="중동공구"/>
      <sheetName val="일위대가(계측기설치)"/>
      <sheetName val="기본단가표"/>
      <sheetName val="절감계산"/>
      <sheetName val="ABUT수량-A1"/>
      <sheetName val="연결임시"/>
      <sheetName val="고정자산"/>
      <sheetName val="매출원가추정"/>
      <sheetName val="매출추정"/>
      <sheetName val="설계기준"/>
      <sheetName val="옹벽수량집계표"/>
      <sheetName val="하수급견적대비"/>
      <sheetName val="98수문일위"/>
      <sheetName val="_내역서(ͭ"/>
      <sheetName val="nys"/>
      <sheetName val="연령별자료"/>
      <sheetName val="설계예시"/>
      <sheetName val="현장청취복명서"/>
      <sheetName val="매출"/>
      <sheetName val="인건비"/>
      <sheetName val="단가산출서(기계)"/>
      <sheetName val="부대경비산출서"/>
      <sheetName val="계정과목"/>
      <sheetName val="2000전체분"/>
      <sheetName val="견적내역서"/>
      <sheetName val="정비손익"/>
      <sheetName val="공사비대비"/>
      <sheetName val="8.PILE  (돌출)"/>
      <sheetName val="45,46"/>
      <sheetName val="투자비"/>
      <sheetName val="조성원가DATA"/>
      <sheetName val="사업비"/>
      <sheetName val="기초자료입력"/>
      <sheetName val="원"/>
      <sheetName val="AHU집계"/>
      <sheetName val="공조기휀"/>
      <sheetName val="공조기"/>
      <sheetName val="가도공"/>
      <sheetName val="공종단가"/>
      <sheetName val="산출근거"/>
      <sheetName val="소방"/>
      <sheetName val="용수지선토적"/>
      <sheetName val="도로토적"/>
      <sheetName val="예산대비"/>
      <sheetName val="식재"/>
      <sheetName val="시설물"/>
      <sheetName val="식재출력용"/>
      <sheetName val="유지관리"/>
      <sheetName val="공사원가계산서 "/>
      <sheetName val="단가산출서"/>
      <sheetName val="입찰보고"/>
      <sheetName val="총괄BOQ"/>
      <sheetName val="참고)BTL시설예산 기준표"/>
      <sheetName val="경기"/>
      <sheetName val="고가수조"/>
      <sheetName val="산출집계"/>
      <sheetName val="1. 조명내역서(조명설치)"/>
      <sheetName val="2. 조명내역서(조명자재)"/>
      <sheetName val="일위대가집계표"/>
      <sheetName val="_내역서(ͭ_ͭ__x001c___x001c__가표"/>
      <sheetName val="공사요율산출표"/>
      <sheetName val="울산자동제어"/>
      <sheetName val="예총"/>
      <sheetName val="03전반노무비"/>
      <sheetName val="INDEX"/>
      <sheetName val="물량내역서"/>
      <sheetName val="신_분1"/>
      <sheetName val="[내역서(ͭ?ͭ???가표"/>
      <sheetName val="경율산정_XLS"/>
      <sheetName val="BTL시설예산_기준표"/>
      <sheetName val="5_학교신설예산_집행(01~08)"/>
      <sheetName val="점검결과(08년_100교_지원)"/>
      <sheetName val="8_설치품셈"/>
      <sheetName val="내역서_제출"/>
      <sheetName val="아파트_"/>
      <sheetName val="2_고용보험료산출근거"/>
      <sheetName val="27_건설이자"/>
      <sheetName val="9-2_단지투자"/>
      <sheetName val="9-4_단지분양수납"/>
      <sheetName val="28_차입금상환계획"/>
      <sheetName val="10-4_운하물류분양수납"/>
      <sheetName val="10-2_운하물류투자"/>
      <sheetName val="※_2010예산총괄표"/>
      <sheetName val="전차선로_물량표"/>
      <sheetName val="1차물량(ABOUT)"/>
      <sheetName val="비탈면보호공수량산출"/>
      <sheetName val="Macro1"/>
      <sheetName val="안전장치"/>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성명순"/>
      <sheetName val="총괄변경내역서"/>
      <sheetName val="철골,판넬"/>
      <sheetName val="VXXXXX"/>
      <sheetName val="설계변경총괄표(계산식)"/>
      <sheetName val="건축설비"/>
      <sheetName val="검토"/>
      <sheetName val="도장면"/>
      <sheetName val="MOTOR"/>
      <sheetName val="공통부대"/>
      <sheetName val="COPING"/>
      <sheetName val="일위대가목차"/>
      <sheetName val="설비원가"/>
      <sheetName val="산출1"/>
      <sheetName val="수량산출서"/>
      <sheetName val="99노임단가"/>
      <sheetName val="공사비"/>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일위대가1"/>
      <sheetName val="산출 근거1"/>
      <sheetName val="원가계산서(군)"/>
      <sheetName val="공종별집계표"/>
      <sheetName val="관급자재정산서"/>
      <sheetName val="작업공정표"/>
      <sheetName val="각사별공사비분개 "/>
      <sheetName val="GT 1050x650"/>
      <sheetName val="연동내역"/>
      <sheetName val="세부내역"/>
      <sheetName val="4.고용보험"/>
      <sheetName val="3.고용보험료산출근거"/>
      <sheetName val="CHECKLIST"/>
      <sheetName val="개별직종노임단가(2005.1)"/>
      <sheetName val="BOJUNGGM"/>
      <sheetName val="마스터"/>
      <sheetName val="본사인상전"/>
      <sheetName val="결재갑지"/>
      <sheetName val="입력단가"/>
      <sheetName val="일위-1"/>
      <sheetName val="일위-2"/>
      <sheetName val="일위-3"/>
      <sheetName val="일위-4"/>
      <sheetName val="일위-5"/>
      <sheetName val="드롭다운목록"/>
      <sheetName val="사  업  비  수  지  예  산  서"/>
      <sheetName val="장비"/>
      <sheetName val="2.토목공사"/>
      <sheetName val="단가(1)"/>
      <sheetName val="총괄 내역서"/>
      <sheetName val="골막이(야매)"/>
      <sheetName val="BM"/>
      <sheetName val="PMC"/>
      <sheetName val="FACTOR"/>
      <sheetName val="DD_raw"/>
      <sheetName val="NW_raw"/>
      <sheetName val="AILC004"/>
      <sheetName val="2.원가및인원현황집계"/>
      <sheetName val="자료입력"/>
      <sheetName val="SCHEDULE"/>
      <sheetName val="식재일위대가"/>
      <sheetName val="고시단가"/>
      <sheetName val="TOTAL_BOQ"/>
      <sheetName val="자재코드"/>
      <sheetName val="Table"/>
      <sheetName val="기초입력"/>
      <sheetName val="동해title"/>
      <sheetName val="전체공내역서"/>
      <sheetName val="98지급계획"/>
      <sheetName val="연습장소"/>
      <sheetName val="내역(영일)"/>
      <sheetName val="계수시트"/>
      <sheetName val="당월 인력"/>
      <sheetName val="손익"/>
      <sheetName val="개인별조서"/>
      <sheetName val="단가일람 (2)"/>
      <sheetName val="단면가정"/>
      <sheetName val="Customer_Databa袸"/>
      <sheetName val="노임,재료비"/>
      <sheetName val="원형1호맨홀토공수량"/>
      <sheetName val="관부설공집계표"/>
      <sheetName val="A2"/>
      <sheetName val="우수"/>
      <sheetName val="집계표_정리_"/>
      <sheetName val="단가적용"/>
      <sheetName val="공사비산출내역"/>
      <sheetName val="[내역서(ͭ_x005f_x0000_ͭ_x005f_x0000__x005f_x001c__x0"/>
      <sheetName val="ateCodes_x005f_x0000_TimeCodes_x005f_x0000_"/>
      <sheetName val="[내역서(ͭ?ͭ?_x005f_x001c_?_x005f_x001c_?가표"/>
      <sheetName val="G_R300경푀"/>
      <sheetName val="신청서"/>
      <sheetName val="재집"/>
      <sheetName val="기술자자료입력"/>
      <sheetName val="재료비집계표"/>
      <sheetName val="INSTR"/>
      <sheetName val="1차배부(JB포함)"/>
      <sheetName val="Tool"/>
      <sheetName val="그림"/>
      <sheetName val="Man Hole"/>
      <sheetName val="125x125"/>
      <sheetName val="Quantity"/>
      <sheetName val="De bai"/>
      <sheetName val="도실집(내역)-전기외주"/>
      <sheetName val="건축원가"/>
      <sheetName val="직노"/>
      <sheetName val="Baby일위대가"/>
      <sheetName val="기계내역"/>
      <sheetName val="저"/>
      <sheetName val="사당"/>
      <sheetName val="구조대가"/>
      <sheetName val="포설대가1"/>
      <sheetName val="부대대가"/>
      <sheetName val="견적서"/>
      <sheetName val="단가표"/>
      <sheetName val="0.0ControlSheet"/>
      <sheetName val="설산1.나"/>
      <sheetName val="본사S"/>
      <sheetName val="기자재비"/>
      <sheetName val="04년부품"/>
      <sheetName val="스케즐"/>
      <sheetName val="PI"/>
      <sheetName val="건축개요"/>
      <sheetName val="1단지구내"/>
      <sheetName val="1단지주차장전등"/>
      <sheetName val="물량표S"/>
      <sheetName val="J형측구단위수량"/>
      <sheetName val="본사공가현황"/>
      <sheetName val="6.1.일위대가"/>
      <sheetName val="효성CB 1P기초"/>
      <sheetName val="건축내역(동해조인)"/>
      <sheetName val="양수장(기계)"/>
      <sheetName val="대로근거"/>
      <sheetName val="중로근거"/>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L형옹벽"/>
      <sheetName val="220 (2)"/>
      <sheetName val="단가비교표(전기)"/>
      <sheetName val="품셈"/>
      <sheetName val="ateCodes_TimeCodes_OverrideShor"/>
      <sheetName val="은행"/>
      <sheetName val="기초자료"/>
      <sheetName val="영동(D젅"/>
      <sheetName val="[내역서(ͭ_x0000_ͭ_x0000__x001c__x0"/>
      <sheetName val="ateCodes_x0000_TimeCodes_x0000_"/>
      <sheetName val="약품공급2"/>
      <sheetName val="07기준"/>
      <sheetName val="동문건설"/>
      <sheetName val="대전-교대(A1-A2)"/>
      <sheetName val="입력란"/>
      <sheetName val="97노임단가"/>
      <sheetName val="사업성분석"/>
      <sheetName val="DHEQSUPT"/>
      <sheetName val="건축집계합계"/>
      <sheetName val="건축집계표이수"/>
      <sheetName val="기본사양입력"/>
      <sheetName val="건축공사"/>
      <sheetName val="실DATA_3"/>
      <sheetName val="_갑__지_3"/>
      <sheetName val="코스모공장_(어음)2"/>
      <sheetName val="A_견적2"/>
      <sheetName val="단가_(2)2"/>
      <sheetName val="환경기계공정표_(3)2"/>
      <sheetName val="Sheet1_(2)2"/>
      <sheetName val="총_원가계산2"/>
      <sheetName val="총괄갑_2"/>
      <sheetName val="내역서1999_8최종2"/>
      <sheetName val="6PILE__(돌출)2"/>
      <sheetName val="11-2_아파트내역2"/>
      <sheetName val="플랜트_설치1"/>
      <sheetName val="기초입력_DATA1"/>
      <sheetName val="_견적서1"/>
      <sheetName val="1차_내역서1"/>
      <sheetName val="노임단가_(2)1"/>
      <sheetName val="설명서_1"/>
      <sheetName val="2-1__경관조명_내역총괄표1"/>
      <sheetName val="중기조종사_단위단가1"/>
      <sheetName val="BSD_(2)1"/>
      <sheetName val="인건비_1"/>
      <sheetName val="수량계산서_집계표(가설_신설_및_철거-을지로3가_3호선1"/>
      <sheetName val="수량계산서_집계표(신설-을지로3가_3호선)1"/>
      <sheetName val="수량계산서_집계표(철거-을지로3가_3호선)1"/>
      <sheetName val="전선_및_전선관-자유로1"/>
      <sheetName val="아파트_내역1"/>
      <sheetName val="일위대가_1"/>
      <sheetName val="3월팀계_1"/>
      <sheetName val="C1_공사개요1"/>
      <sheetName val="A1_스케쥴1"/>
      <sheetName val="단가_및_재료비1"/>
      <sheetName val="AS포장복구_1"/>
      <sheetName val="G_R300경비1"/>
      <sheetName val="Customer_Databas1"/>
      <sheetName val="주공_갑지1"/>
      <sheetName val="DATA_입력란1"/>
      <sheetName val="조도계산서_(도서)"/>
      <sheetName val="내역-_CCTV"/>
      <sheetName val="전력구구조물산근"/>
      <sheetName val="단가산출"/>
      <sheetName val="사업ﾈƩ"/>
      <sheetName val="수Å_x0000_"/>
      <sheetName val="수뢹_xdd4d_"/>
      <sheetName val="HX"/>
      <sheetName val="토목내역서"/>
      <sheetName val="기계내역서"/>
      <sheetName val="본공사"/>
      <sheetName val="JUCKEYK"/>
      <sheetName val="회계코드"/>
      <sheetName val="공사코드"/>
      <sheetName val="관리부"/>
      <sheetName val="정산"/>
      <sheetName val="청구분"/>
      <sheetName val="총무부"/>
      <sheetName val="원가계산서 "/>
      <sheetName val="HARGA MATERIAL"/>
      <sheetName val="손익차9월2"/>
      <sheetName val="소화실적"/>
      <sheetName val="사업부배부A"/>
      <sheetName val="상반기손익차2총괄"/>
      <sheetName val="97 사업추정(WEKI)"/>
      <sheetName val="공사금액 내역 (1)"/>
      <sheetName val="設計条件"/>
      <sheetName val="관련자료입력"/>
      <sheetName val="7_기-검-보_100"/>
      <sheetName val="품셈_"/>
      <sheetName val="Raw_Data"/>
      <sheetName val="예산서 "/>
      <sheetName val="노임단가(2010.상)"/>
      <sheetName val="DG"/>
      <sheetName val="EL"/>
      <sheetName val="Isolasi Luar Dalam"/>
      <sheetName val="Isolasi Luar"/>
      <sheetName val="VL,NC,MTC"/>
      <sheetName val="breakdown Price-Chuong"/>
      <sheetName val="cable, lighting, switch"/>
      <sheetName val="DONGIA"/>
      <sheetName val="Dulieu"/>
      <sheetName val="BG"/>
      <sheetName val="DonGia VatTuLK"/>
      <sheetName val="DLdauvao"/>
      <sheetName val="DGXDCB"/>
      <sheetName val="ANX3A11"/>
      <sheetName val="Bang chiet tinh TBA"/>
      <sheetName val="_내역서(ͭ_x005f_x0000_ͭ_x005f_x0000__x005f_x001c__x0"/>
      <sheetName val="_내역서(ͭ_ͭ__x005f_x001c___x005f_x001c__가표"/>
      <sheetName val="Tcd"/>
      <sheetName val="DTCT"/>
      <sheetName val="gvl"/>
      <sheetName val="Cash2"/>
      <sheetName val="Z"/>
      <sheetName val="화순 대리-다지리실행내역"/>
      <sheetName val="(A)내역서"/>
      <sheetName val="JUCK"/>
      <sheetName val="물가자료"/>
      <sheetName val="수로교총재료집계"/>
      <sheetName val="선급금有(현금지출)"/>
      <sheetName val="2000노임기준"/>
      <sheetName val="공사"/>
      <sheetName val="토목내역서 (도급단가)"/>
      <sheetName val="덤프트럭계수"/>
      <sheetName val="원보"/>
      <sheetName val="단가_및_렀侫ԯ"/>
      <sheetName val="단가_및_밀⪙Ѐ"/>
      <sheetName val="단가_및_렀풫ԯ"/>
      <sheetName val="단가_및_가ᦘ"/>
      <sheetName val="단가_및_䰀ẗ鐀"/>
      <sheetName val="단가_및_렀纫ԯ"/>
      <sheetName val="의왕실행"/>
      <sheetName val="업무처리전"/>
      <sheetName val="토적계산서"/>
      <sheetName val="1_동력공사"/>
      <sheetName val="실행내역서_"/>
      <sheetName val="6-1__관개량조서"/>
      <sheetName val="5_직원투입현황"/>
      <sheetName val="사렀趫ԯ"/>
      <sheetName val="사렀㾫ԯ"/>
      <sheetName val="사렀஫԰"/>
      <sheetName val="사업총렀"/>
      <sheetName val="단가_및_렀랫ԯ"/>
      <sheetName val="케이블트레이"/>
      <sheetName val="30집계표"/>
      <sheetName val="수_x0000_"/>
      <sheetName val="기계경비일람"/>
      <sheetName val="Sch9"/>
      <sheetName val="99선급비용"/>
      <sheetName val="정의"/>
      <sheetName val="현장관리비 산출내역"/>
      <sheetName val="일산실행내역"/>
      <sheetName val="상세"/>
      <sheetName val="공내역"/>
      <sheetName val="5.학교신설예산 쎸⬅/_x0000_瀀þ_x0000__x0000_밀"/>
      <sheetName val="골조"/>
      <sheetName val="조경내역"/>
      <sheetName val="문10"/>
      <sheetName val="주요항목별"/>
      <sheetName val="공통가설내역서  (당사)"/>
      <sheetName val="뚝토공"/>
      <sheetName val="공사명입력"/>
      <sheetName val="_내역서(ͭ_x0000_ͭ_x0000__x001c__x0"/>
      <sheetName val="임시정보시트"/>
      <sheetName val="1,2공구원가계산서"/>
      <sheetName val="1공구산출내역서"/>
      <sheetName val="노임자재단가"/>
      <sheetName val="사가⺘"/>
      <sheetName val="사䀀啣1"/>
      <sheetName val="5.학교신설예산 Ⴘ_x0000_퀀诋쌆蠅/_x0000_᠀"/>
      <sheetName val="시행결의을"/>
      <sheetName val="심사공종"/>
      <sheetName val="견蒸8蓼"/>
      <sheetName val="Macro(전기)"/>
      <sheetName val="A__x0010__x0000_"/>
      <sheetName val="_내역서(ͭ_x005f_x005f_x005f_x0000_ͭ_x005f_x005f_x000"/>
      <sheetName val="ateCodes_x005f_x005f_x005f_x0000_TimeCodes_"/>
      <sheetName val="_내역서(ͭ_ͭ__x005f_x005f_x005f_x001c___x005f_x005f_x"/>
      <sheetName val="단가_및_재료_xdab0_"/>
      <sheetName val="단가_및_재료讀"/>
      <sheetName val="갑"/>
      <sheetName val="경영"/>
      <sheetName val="98년"/>
      <sheetName val="실적"/>
      <sheetName val="2_대외공문"/>
      <sheetName val="EQUIP_LIST"/>
      <sheetName val="전체내역_(2)"/>
      <sheetName val="예정공정표_"/>
      <sheetName val="문2공10일위대가"/>
      <sheetName val="계정과목분류"/>
      <sheetName val="기초"/>
      <sheetName val="경제지표"/>
      <sheetName val="영업소실적"/>
      <sheetName val="공사비 내역 (가)"/>
      <sheetName val="Formula"/>
      <sheetName val="DIV2"/>
      <sheetName val="노무비 근거"/>
      <sheetName val="설명서硅"/>
      <sheetName val="설명서E"/>
      <sheetName val="방배동내역 (총괄)"/>
      <sheetName val="마감사양"/>
      <sheetName val="간접비"/>
      <sheetName val="경비2내역"/>
      <sheetName val="2.1 受電設備棟"/>
      <sheetName val="2.2 受・防火水槽"/>
      <sheetName val="2.3 排水処理設備棟"/>
      <sheetName val="2.4 倉庫棟"/>
      <sheetName val="2.5 守衛棟"/>
      <sheetName val="Div26 - Elect"/>
      <sheetName val="Prelims"/>
      <sheetName val="Rate"/>
      <sheetName val="電気設備表"/>
      <sheetName val="一発シート"/>
      <sheetName val="Item-DATA"/>
      <sheetName val="NSA fr Revit"/>
      <sheetName val="MTO REV.0"/>
      <sheetName val="HS"/>
      <sheetName val="Area Cal"/>
      <sheetName val="분수장비시설수량"/>
      <sheetName val="PL단가산정"/>
      <sheetName val="그림2"/>
      <sheetName val="고객사 관리 코드"/>
      <sheetName val="우수받이"/>
      <sheetName val="BUR"/>
      <sheetName val="Finishes code"/>
      <sheetName val="ironmongery"/>
      <sheetName val="CC-Breakdown"/>
      <sheetName val="직접경비산출근거"/>
      <sheetName val="특수선일위대가"/>
      <sheetName val="T13(P68~72,78)"/>
      <sheetName val="[내역서(1).xls]5.학교신설예산 쎸⬅/_x0000_瀀þ_x0000__x0000_밀"/>
      <sheetName val="충주"/>
      <sheetName val="신축(_x0000__x0000__x0005_"/>
      <sheetName val="예가대비"/>
      <sheetName val="요약"/>
      <sheetName val="노면표시1"/>
      <sheetName val="일위대가(가설)"/>
      <sheetName val="계측-Tray"/>
      <sheetName val="CCTV 수량(배관-송수가압장)"/>
      <sheetName val=""/>
      <sheetName val="인건비(10)"/>
      <sheetName val="화성태안9공구내역(실행)"/>
      <sheetName val="EXPENSE"/>
      <sheetName val="11-2_아파_x0000__x0000_Ԁ_x0000_"/>
      <sheetName val="환경기계공정표_(3)"/>
      <sheetName val="품셈총괄표"/>
      <sheetName val="환경기계공정표_(3)´"/>
      <sheetName val="실DATA_4"/>
      <sheetName val="총괄갑_3"/>
      <sheetName val="_갑__지_4"/>
      <sheetName val="코스모공장_(어음)3"/>
      <sheetName val="A_견적3"/>
      <sheetName val="환경기계공정표_(3)3"/>
      <sheetName val="Sheet1_(2)3"/>
      <sheetName val="총_원가계산3"/>
      <sheetName val="단가_(2)3"/>
      <sheetName val="내역서1999_8최종3"/>
      <sheetName val="6PILE__(돌출)3"/>
      <sheetName val="11-2_아파트내역3"/>
      <sheetName val="_견적서2"/>
      <sheetName val="1차_내역서2"/>
      <sheetName val="기초입력_DATA2"/>
      <sheetName val="노임단가_(2)2"/>
      <sheetName val="인건비_2"/>
      <sheetName val="플랜트_설치2"/>
      <sheetName val="BSD_(2)2"/>
      <sheetName val="2-1__경관조명_내역총괄표2"/>
      <sheetName val="신_분2"/>
      <sheetName val="일위대가_2"/>
      <sheetName val="중기조종사_단위단가2"/>
      <sheetName val="설명서_2"/>
      <sheetName val="수량계산서_집계표(가설_신설_및_철거-을지로3가_3호선2"/>
      <sheetName val="수량계산서_집계표(신설-을지로3가_3호선)2"/>
      <sheetName val="수량계산서_집계표(철거-을지로3가_3호선)2"/>
      <sheetName val="전선_및_전선관-자유로2"/>
      <sheetName val="3월팀계_2"/>
      <sheetName val="단가_및_재료비2"/>
      <sheetName val="C1_공사개요2"/>
      <sheetName val="A1_스케쥴2"/>
      <sheetName val="AS포장복구_2"/>
      <sheetName val="G_R300경비2"/>
      <sheetName val="주공_갑지2"/>
      <sheetName val="아파트_내역2"/>
      <sheetName val="Customer_Databas2"/>
      <sheetName val="2_고용보험료산출근거1"/>
      <sheetName val="경율산정_XLS1"/>
      <sheetName val="DATA_입력란2"/>
      <sheetName val="27_건설이자1"/>
      <sheetName val="9-2_단지투자1"/>
      <sheetName val="9-4_단지분양수납1"/>
      <sheetName val="28_차입금상환계획1"/>
      <sheetName val="10-4_운하물류분양수납1"/>
      <sheetName val="10-2_운하물류투자1"/>
      <sheetName val="※_2010예산총괄표1"/>
      <sheetName val="8_설치품셈1"/>
      <sheetName val="내역서_제출1"/>
      <sheetName val="BTL시설예산_기준표1"/>
      <sheetName val="5_학교신설예산_집행(01~08)1"/>
      <sheetName val="점검결과(08년_100교_지원)1"/>
      <sheetName val="전차선로_물량표1"/>
      <sheetName val="아파트_1"/>
      <sheetName val="조도계산서_(도서)1"/>
      <sheetName val="내역-_CCTV1"/>
      <sheetName val="1_설계조건"/>
      <sheetName val="기본항목_입력"/>
      <sheetName val="8_PILE__(돌출)"/>
      <sheetName val="공사원가계산서_"/>
      <sheetName val="표지_(3)"/>
      <sheetName val="원가계산서_(2)"/>
      <sheetName val="산출_근거1"/>
      <sheetName val="총괄_내역서"/>
      <sheetName val="1__조명내역서(조명설치)"/>
      <sheetName val="2__조명내역서(조명자재)"/>
      <sheetName val="_내역서(ͭ_ͭ___가표"/>
      <sheetName val="GT_1050x650"/>
      <sheetName val="참고)BTL시설예산_기준표"/>
      <sheetName val="개별직종노임단가(2005_1)"/>
      <sheetName val="2_토목공사"/>
      <sheetName val="각사별공사비분개_"/>
      <sheetName val="4_고용보험"/>
      <sheetName val="3_고용보험료산출근거"/>
      <sheetName val="PIPERACK_집계표"/>
      <sheetName val="EQUIPEMENT_집계표"/>
      <sheetName val="BUILDING_&amp;SHELTER_집계표"/>
      <sheetName val="OTHERS_집계표"/>
      <sheetName val="CONTROL_BD"/>
      <sheetName val="LIFTING_DEVICE"/>
      <sheetName val="단가일람_(2)"/>
      <sheetName val="사__업__비__수__지__예__산__서"/>
      <sheetName val="Man_Hole"/>
      <sheetName val="220_(2)"/>
      <sheetName val="96_12"/>
      <sheetName val="당월_인력"/>
      <sheetName val="소상_&quot;1&quot;"/>
      <sheetName val="설산1_나"/>
      <sheetName val="표지_"/>
      <sheetName val="지번별_묘묙소요내역"/>
      <sheetName val="총괄_설계내역서"/>
      <sheetName val="0_0ControlSheet"/>
      <sheetName val="[내역서(ͭͭ_x0"/>
      <sheetName val="De_bai"/>
      <sheetName val="2_원가및인원현황집계"/>
      <sheetName val="수뢹"/>
      <sheetName val="예산서_"/>
      <sheetName val="노임단가(2010_상)"/>
      <sheetName val="Isolasi_Luar_Dalam"/>
      <sheetName val="Isolasi_Luar"/>
      <sheetName val="breakdown_Price-Chuong"/>
      <sheetName val="cable,_lighting,_switch"/>
      <sheetName val="DonGia_VatTuLK"/>
      <sheetName val="Bang_chiet_tinh_TBA"/>
      <sheetName val="화순_대리-다지리실행내역"/>
      <sheetName val="6_1_일위대가"/>
      <sheetName val="효성CB_1P기초"/>
      <sheetName val="토목내역서_(도급단가)"/>
      <sheetName val="5_학교신설예산_쎸⬅/瀀þ밀"/>
      <sheetName val="공통가설내역서__(당사)"/>
      <sheetName val="원가계산서_"/>
      <sheetName val="제경비산출서"/>
      <sheetName val="부가세별도"/>
      <sheetName val="HD 1-4 세부공종별,업체별 내역(L4)"/>
      <sheetName val="2F 회의실견적(5_14 일대)"/>
      <sheetName val="ateCodes_x005f_x0000_TimeCodes_"/>
      <sheetName val="_내역서(ͭ_x005f_x0000_ͭ_x000"/>
      <sheetName val="_내역서(ͭ_ͭ__x005f_x001c___x"/>
      <sheetName val="cable-data"/>
      <sheetName val="목록"/>
      <sheetName val="Setup"/>
      <sheetName val="일정계획"/>
      <sheetName val="96보완계획7.12"/>
      <sheetName val="6공구(당초)"/>
      <sheetName val="업체자료"/>
      <sheetName val="1승인신청서"/>
      <sheetName val="Front"/>
      <sheetName val="암센터"/>
      <sheetName val="역T형교대(PILE기초)"/>
      <sheetName val="달력"/>
      <sheetName val="손익현황"/>
      <sheetName val="ประมาณการประตูหน้าต่าง "/>
      <sheetName val="schedule "/>
      <sheetName val="SITE OFFICE"/>
      <sheetName val="5.학교신설예산 쎸⬅/"/>
      <sheetName val="A__x0010_"/>
      <sheetName val="5.학교신설예산 Ⴘ"/>
      <sheetName val="Вспом_лист"/>
      <sheetName val="맨홀기준"/>
      <sheetName val="c &amp; g rhs"/>
      <sheetName val="사_x0000__x0000_Ԁ"/>
      <sheetName val="costing_CV"/>
      <sheetName val="Spec1"/>
      <sheetName val="w't table"/>
      <sheetName val="VS배관내역서"/>
      <sheetName val="③知识"/>
      <sheetName val="은행코ᇇ"/>
      <sheetName val="교량공"/>
      <sheetName val="중동볨ᇭ"/>
      <sheetName val="LEGEND"/>
      <sheetName val="VIN_Index"/>
      <sheetName val="Khoi luong"/>
      <sheetName val="VCV-BE-TONG"/>
      <sheetName val="chiettinh"/>
      <sheetName val="_내역서(ͭ?ͭ?_x001c__x0"/>
      <sheetName val="ateCodes?TimeCodes?"/>
      <sheetName val="_내역서(ͭͭ가표"/>
      <sheetName val="Section"/>
      <sheetName val="Sum"/>
      <sheetName val="Gia vat tu"/>
      <sheetName val="KL"/>
      <sheetName val="TTDZ22"/>
      <sheetName val="KH-Q1,Q2,01"/>
      <sheetName val="Sheet㙸˯㦀ȼ_xda1b_!"/>
      <sheetName val="단가_(2\_x0000_"/>
      <sheetName val="단가_(2\栀"/>
      <sheetName val="신축(단위_x0000_"/>
      <sheetName val="범례표"/>
      <sheetName val="고객사_관리_코드"/>
      <sheetName val="_내역서(ͭͭ_x0"/>
      <sheetName val="ateCodes_TimeCodes_OverrideSh_2"/>
      <sheetName val="ateCodes_TimeCodes_OverrideSh_3"/>
      <sheetName val="대비표(토공1안)"/>
      <sheetName val="사_x0000__x0000__x0000_"/>
      <sheetName val="전선_및_전선관-_x0000__x0000__x0005_"/>
      <sheetName val="설계_x0000_"/>
      <sheetName val="총급여"/>
      <sheetName val="삼영지급"/>
      <sheetName val="수당"/>
      <sheetName val="노무비대장기본"/>
      <sheetName val="laroux"/>
      <sheetName val="7.경제성결과"/>
      <sheetName val="BOQ-VN"/>
      <sheetName val="ESTI."/>
      <sheetName val="DI-ESTI"/>
      <sheetName val="D_MUC"/>
      <sheetName val="Scheme B Estimate "/>
      <sheetName val="Breakdown (B)"/>
      <sheetName val="환경기계공정표_(3_x0000__x0000_"/>
      <sheetName val="신규일위"/>
      <sheetName val="경비계획(전체)"/>
      <sheetName val="97(US,EP,PCT,KR)"/>
      <sheetName val="수정하지마세요"/>
      <sheetName val="전기일위대가"/>
      <sheetName val="실DATA_5"/>
      <sheetName val="_갑__지_5"/>
      <sheetName val="코스모공장_(어음)4"/>
      <sheetName val="A_견적4"/>
      <sheetName val="환경기계공정표_(3)4"/>
      <sheetName val="총_원가계산4"/>
      <sheetName val="Sheet1_(2)4"/>
      <sheetName val="내역서1999_8최종4"/>
      <sheetName val="단가_(2)4"/>
      <sheetName val="총괄갑_4"/>
      <sheetName val="6PILE__(돌출)4"/>
      <sheetName val="11-2_아파트내역4"/>
      <sheetName val="기초입력_DATA3"/>
      <sheetName val="_견적서3"/>
      <sheetName val="노임단가_(2)3"/>
      <sheetName val="1차_내역서3"/>
      <sheetName val="BSD_(2)3"/>
      <sheetName val="플랜트_설치3"/>
      <sheetName val="설명서_3"/>
      <sheetName val="2-1__경관조명_내역총괄표3"/>
      <sheetName val="일위대가_3"/>
      <sheetName val="중기조종사_단위단가3"/>
      <sheetName val="인건비_3"/>
      <sheetName val="전선_및_전선관-자유로3"/>
      <sheetName val="수량계산서_집계표(가설_신설_및_철거-을지로3가_3호선3"/>
      <sheetName val="수량계산서_집계표(신설-을지로3가_3호선)3"/>
      <sheetName val="수량계산서_집계표(철거-을지로3가_3호선)3"/>
      <sheetName val="신_분3"/>
      <sheetName val="C1_공사개요3"/>
      <sheetName val="A1_스케쥴3"/>
      <sheetName val="3월팀계_3"/>
      <sheetName val="Customer_Databas3"/>
      <sheetName val="단가_및_재료비3"/>
      <sheetName val="아파트_내역3"/>
      <sheetName val="AS포장복구_3"/>
      <sheetName val="전차선로_물량표2"/>
      <sheetName val="G_R300경비3"/>
      <sheetName val="27_건설이자2"/>
      <sheetName val="9-2_단지투자2"/>
      <sheetName val="9-4_단지분양수납2"/>
      <sheetName val="28_차입금상환계획2"/>
      <sheetName val="10-4_운하물류분양수납2"/>
      <sheetName val="10-2_운하물류투자2"/>
      <sheetName val="※_2010예산총괄표2"/>
      <sheetName val="주공_갑지3"/>
      <sheetName val="내역서_제출2"/>
      <sheetName val="1_동력공사1"/>
      <sheetName val="DATA_입력란3"/>
      <sheetName val="경율산정_XLS2"/>
      <sheetName val="조도계산서_(도서)2"/>
      <sheetName val="2_고용보험료산출근거2"/>
      <sheetName val="8_설치품셈2"/>
      <sheetName val="아파트_2"/>
      <sheetName val="품셈_1"/>
      <sheetName val="1_설계조건1"/>
      <sheetName val="BTL시설예산_기준표2"/>
      <sheetName val="5_학교신설예산_집행(01~08)2"/>
      <sheetName val="점검결과(08년_100교_지원)2"/>
      <sheetName val="5_직원투입현황1"/>
      <sheetName val="EQUIP_LIST1"/>
      <sheetName val="6-1__관개량조서1"/>
      <sheetName val="실행내역서_1"/>
      <sheetName val="전체내역_(2)1"/>
      <sheetName val="예정공정표_1"/>
      <sheetName val="Raw_Data1"/>
      <sheetName val="내역-_CCTV2"/>
      <sheetName val="2_대외공문1"/>
      <sheetName val="7_기-검-보_1001"/>
      <sheetName val="기본항목_입력1"/>
      <sheetName val="8_PILE__(돌출)1"/>
      <sheetName val="1__조명내역서(조명설치)1"/>
      <sheetName val="2__조명내역서(조명자재)1"/>
      <sheetName val="참고)BTL시설예산_기준표1"/>
      <sheetName val="표지_(3)1"/>
      <sheetName val="원가계산서_(2)1"/>
      <sheetName val="산출_근거11"/>
      <sheetName val="공사원가계산서_1"/>
      <sheetName val="총괄_내역서1"/>
      <sheetName val="2_토목공사1"/>
      <sheetName val="GT_1050x6501"/>
      <sheetName val="개별직종노임단가(2005_1)1"/>
      <sheetName val="당월_인력1"/>
      <sheetName val="2_원가및인원현황집계1"/>
      <sheetName val="96_121"/>
      <sheetName val="각사별공사비분개_1"/>
      <sheetName val="4_고용보험1"/>
      <sheetName val="3_고용보험료산출근거1"/>
      <sheetName val="단가일람_(2)1"/>
      <sheetName val="사__업__비__수__지__예__산__서1"/>
      <sheetName val="PIPERACK_집계표1"/>
      <sheetName val="EQUIPEMENT_집계표1"/>
      <sheetName val="BUILDING_&amp;SHELTER_집계표1"/>
      <sheetName val="OTHERS_집계표1"/>
      <sheetName val="CONTROL_BD1"/>
      <sheetName val="LIFTING_DEVICE1"/>
      <sheetName val="Man_Hole1"/>
      <sheetName val="소상_&quot;1&quot;1"/>
      <sheetName val="6_1_일위대가1"/>
      <sheetName val="효성CB_1P기초1"/>
      <sheetName val="De_bai1"/>
      <sheetName val="토목내역서_(도급단가)1"/>
      <sheetName val="설산1_나1"/>
      <sheetName val="220_(2)1"/>
      <sheetName val="0_0ControlSheet1"/>
      <sheetName val="노임단가(2010_상)1"/>
      <sheetName val="표지_1"/>
      <sheetName val="지번별_묘묙소요내역1"/>
      <sheetName val="총괄_설계내역서1"/>
      <sheetName val="예산서_1"/>
      <sheetName val="A_"/>
      <sheetName val="5_학교신설예산_Ⴘ퀀诋쌆蠅/᠀"/>
      <sheetName val="Isolasi_Luar_Dalam1"/>
      <sheetName val="Isolasi_Luar1"/>
      <sheetName val="breakdown_Price-Chuong1"/>
      <sheetName val="cable,_lighting,_switch1"/>
      <sheetName val="DonGia_VatTuLK1"/>
      <sheetName val="Bang_chiet_tinh_TBA1"/>
      <sheetName val="현장관리비_산출내역"/>
      <sheetName val="공통가설내역서__(당사)1"/>
      <sheetName val="화순_대리-다지리실행내역1"/>
      <sheetName val="2_1_受電設備棟"/>
      <sheetName val="2_2_受・防火水槽"/>
      <sheetName val="2_3_排水処理設備棟"/>
      <sheetName val="2_4_倉庫棟"/>
      <sheetName val="2_5_守衛棟"/>
      <sheetName val="Div26_-_Elect"/>
      <sheetName val="NSA_fr_Revit"/>
      <sheetName val="MTO_REV_0"/>
      <sheetName val="Area_Cal"/>
      <sheetName val="방배동내역_(총괄)"/>
      <sheetName val="Finishes_code"/>
      <sheetName val="96보완계획7_12"/>
      <sheetName val="HD_1-4_세부공종별,업체별_내역(L4)"/>
      <sheetName val="2F_회의실견적(5_14_일대)"/>
      <sheetName val="포장물량집계"/>
      <sheetName val="인건비예산(정규직)"/>
      <sheetName val="인건비예산(용역)"/>
      <sheetName val="환경기계공정표_(3)E"/>
      <sheetName val="실DATA_6"/>
      <sheetName val="_갑__지_6"/>
      <sheetName val="코스모공장_(어음)5"/>
      <sheetName val="A_견적5"/>
      <sheetName val="환경기계공정표_(3)5"/>
      <sheetName val="총_원가계산5"/>
      <sheetName val="단가_(2)5"/>
      <sheetName val="Sheet1_(2)5"/>
      <sheetName val="총괄갑_5"/>
      <sheetName val="내역서1999_8최종5"/>
      <sheetName val="6PILE__(돌출)5"/>
      <sheetName val="11-2_아파트내역5"/>
      <sheetName val="_견적서4"/>
      <sheetName val="1차_내역서4"/>
      <sheetName val="기초입력_DATA4"/>
      <sheetName val="노임단가_(2)4"/>
      <sheetName val="BSD_(2)4"/>
      <sheetName val="플랜트_설치4"/>
      <sheetName val="중기조종사_단위단가4"/>
      <sheetName val="설명서_4"/>
      <sheetName val="인건비_4"/>
      <sheetName val="2-1__경관조명_내역총괄표4"/>
      <sheetName val="수량계산서_집계표(가설_신설_및_철거-을지로3가_3호선4"/>
      <sheetName val="수량계산서_집계표(신설-을지로3가_3호선)4"/>
      <sheetName val="수량계산서_집계표(철거-을지로3가_3호선)4"/>
      <sheetName val="신_분4"/>
      <sheetName val="일위대가_4"/>
      <sheetName val="3월팀계_4"/>
      <sheetName val="전선_및_전선관-자유로4"/>
      <sheetName val="Customer_Databas4"/>
      <sheetName val="주공_갑지4"/>
      <sheetName val="C1_공사개요4"/>
      <sheetName val="A1_스케쥴4"/>
      <sheetName val="단가_및_재료비4"/>
      <sheetName val="아파트_내역4"/>
      <sheetName val="AS포장복구_4"/>
      <sheetName val="2_고용보험료산출근거3"/>
      <sheetName val="DATA_입력란4"/>
      <sheetName val="EQUIP_LIST2"/>
      <sheetName val="G_R300경비4"/>
      <sheetName val="조도계산서_(도서)3"/>
      <sheetName val="8_설치품셈3"/>
      <sheetName val="27_건설이자3"/>
      <sheetName val="9-2_단지투자3"/>
      <sheetName val="9-4_단지분양수납3"/>
      <sheetName val="28_차입금상환계획3"/>
      <sheetName val="10-4_운하물류분양수납3"/>
      <sheetName val="10-2_운하물류투자3"/>
      <sheetName val="※_2010예산총괄표3"/>
      <sheetName val="전차선로_물량표3"/>
      <sheetName val="경율산정_XLS3"/>
      <sheetName val="내역서_제출3"/>
      <sheetName val="아파트_3"/>
      <sheetName val="6-1__관개량조서2"/>
      <sheetName val="BTL시설예산_기준표3"/>
      <sheetName val="5_학교신설예산_집행(01~08)3"/>
      <sheetName val="점검결과(08년_100교_지원)3"/>
      <sheetName val="품셈_2"/>
      <sheetName val="1_동력공사2"/>
      <sheetName val="전체내역_(2)2"/>
      <sheetName val="7_기-검-보_1002"/>
      <sheetName val="5_직원투입현황2"/>
      <sheetName val="예정공정표_2"/>
      <sheetName val="실행내역서_2"/>
      <sheetName val="2_대외공문2"/>
      <sheetName val="Raw_Data2"/>
      <sheetName val="내역-_CCTV3"/>
      <sheetName val="표지_(3)2"/>
      <sheetName val="원가계산서_(2)2"/>
      <sheetName val="산출_근거12"/>
      <sheetName val="1_설계조건2"/>
      <sheetName val="96_122"/>
      <sheetName val="1__조명내역서(조명설치)2"/>
      <sheetName val="2__조명내역서(조명자재)2"/>
      <sheetName val="8_PILE__(돌출)2"/>
      <sheetName val="기본항목_입력2"/>
      <sheetName val="참고)BTL시설예산_기준표2"/>
      <sheetName val="공사원가계산서_2"/>
      <sheetName val="2_원가및인원현황집계2"/>
      <sheetName val="GT_1050x6502"/>
      <sheetName val="각사별공사비분개_2"/>
      <sheetName val="개별직종노임단가(2005_1)2"/>
      <sheetName val="총괄_내역서2"/>
      <sheetName val="4_고용보험2"/>
      <sheetName val="3_고용보험료산출근거2"/>
      <sheetName val="소상_&quot;1&quot;2"/>
      <sheetName val="사__업__비__수__지__예__산__서2"/>
      <sheetName val="PIPERACK_집계표2"/>
      <sheetName val="EQUIPEMENT_집계표2"/>
      <sheetName val="BUILDING_&amp;SHELTER_집계표2"/>
      <sheetName val="OTHERS_집계표2"/>
      <sheetName val="CONTROL_BD2"/>
      <sheetName val="LIFTING_DEVICE2"/>
      <sheetName val="2_토목공사2"/>
      <sheetName val="당월_인력2"/>
      <sheetName val="설산1_나2"/>
      <sheetName val="0_0ControlSheet2"/>
      <sheetName val="노임단가(2010_상)2"/>
      <sheetName val="단가일람_(2)2"/>
      <sheetName val="220_(2)2"/>
      <sheetName val="Man_Hole2"/>
      <sheetName val="6_1_일위대가2"/>
      <sheetName val="효성CB_1P기초2"/>
      <sheetName val="De_bai2"/>
      <sheetName val="토목내역서_(도급단가)2"/>
      <sheetName val="표지_2"/>
      <sheetName val="지번별_묘묙소요내역2"/>
      <sheetName val="총괄_설계내역서2"/>
      <sheetName val="예산서_2"/>
      <sheetName val="Isolasi_Luar_Dalam2"/>
      <sheetName val="Isolasi_Luar2"/>
      <sheetName val="breakdown_Price-Chuong2"/>
      <sheetName val="cable,_lighting,_switch2"/>
      <sheetName val="DonGia_VatTuLK2"/>
      <sheetName val="Bang_chiet_tinh_TBA2"/>
      <sheetName val="HD_1-4_세부공종별,업체별_내역(L4)1"/>
      <sheetName val="2F_회의실견적(5_14_일대)1"/>
      <sheetName val="고객사_관리_코드1"/>
      <sheetName val="화순_대리-다지리실행내역2"/>
      <sheetName val="원가계산서_1"/>
      <sheetName val="현장관리비_산출내역1"/>
      <sheetName val="공통가설내역서__(당사)2"/>
      <sheetName val="2_1_受電設備棟1"/>
      <sheetName val="2_2_受・防火水槽1"/>
      <sheetName val="2_3_排水処理設備棟1"/>
      <sheetName val="2_4_倉庫棟1"/>
      <sheetName val="2_5_守衛棟1"/>
      <sheetName val="Div26_-_Elect1"/>
      <sheetName val="NSA_fr_Revit1"/>
      <sheetName val="MTO_REV_01"/>
      <sheetName val="Area_Cal1"/>
      <sheetName val="방배동내역_(총괄)1"/>
      <sheetName val="Finishes_code1"/>
      <sheetName val="96보완계획7_121"/>
      <sheetName val="신축("/>
      <sheetName val="노무비_근거"/>
      <sheetName val="실DATA_8"/>
      <sheetName val="_갑__지_8"/>
      <sheetName val="코스모공장_(어음)7"/>
      <sheetName val="A_견적7"/>
      <sheetName val="환경기계공정표_(3)7"/>
      <sheetName val="총_원가계산7"/>
      <sheetName val="Sheet1_(2)7"/>
      <sheetName val="내역서1999_8최종7"/>
      <sheetName val="단가_(2)7"/>
      <sheetName val="총괄갑_7"/>
      <sheetName val="6PILE__(돌출)7"/>
      <sheetName val="11-2_아파트내역7"/>
      <sheetName val="기초입력_DATA6"/>
      <sheetName val="_견적서6"/>
      <sheetName val="노임단가_(2)6"/>
      <sheetName val="1차_내역서6"/>
      <sheetName val="BSD_(2)6"/>
      <sheetName val="플랜트_설치6"/>
      <sheetName val="설명서_6"/>
      <sheetName val="2-1__경관조명_내역총괄표6"/>
      <sheetName val="일위대가_6"/>
      <sheetName val="중기조종사_단위단가6"/>
      <sheetName val="인건비_6"/>
      <sheetName val="전선_및_전선관-자유로6"/>
      <sheetName val="수량계산서_집계표(가설_신설_및_철거-을지로3가_3호선6"/>
      <sheetName val="수량계산서_집계표(신설-을지로3가_3호선)6"/>
      <sheetName val="수량계산서_집계표(철거-을지로3가_3호선)6"/>
      <sheetName val="신_분6"/>
      <sheetName val="C1_공사개요6"/>
      <sheetName val="A1_스케쥴6"/>
      <sheetName val="3월팀계_6"/>
      <sheetName val="Customer_Databas6"/>
      <sheetName val="단가_및_재료비6"/>
      <sheetName val="아파트_내역6"/>
      <sheetName val="AS포장복구_6"/>
      <sheetName val="전차선로_물량표5"/>
      <sheetName val="G_R300경비6"/>
      <sheetName val="27_건설이자5"/>
      <sheetName val="9-2_단지투자5"/>
      <sheetName val="9-4_단지분양수납5"/>
      <sheetName val="28_차입금상환계획5"/>
      <sheetName val="10-4_운하물류분양수납5"/>
      <sheetName val="10-2_운하물류투자5"/>
      <sheetName val="※_2010예산총괄표5"/>
      <sheetName val="주공_갑지6"/>
      <sheetName val="내역서_제출5"/>
      <sheetName val="1_동력공사4"/>
      <sheetName val="DATA_입력란6"/>
      <sheetName val="경율산정_XLS5"/>
      <sheetName val="조도계산서_(도서)5"/>
      <sheetName val="2_고용보험료산출근거5"/>
      <sheetName val="8_설치품셈5"/>
      <sheetName val="아파트_5"/>
      <sheetName val="품셈_4"/>
      <sheetName val="1_설계조건4"/>
      <sheetName val="BTL시설예산_기준표5"/>
      <sheetName val="5_학교신설예산_집행(01~08)5"/>
      <sheetName val="점검결과(08년_100교_지원)5"/>
      <sheetName val="5_직원투입현황4"/>
      <sheetName val="EQUIP_LIST4"/>
      <sheetName val="6-1__관개량조서4"/>
      <sheetName val="실행내역서_4"/>
      <sheetName val="전체내역_(2)4"/>
      <sheetName val="예정공정표_4"/>
      <sheetName val="Raw_Data4"/>
      <sheetName val="내역-_CCTV5"/>
      <sheetName val="2_대외공문4"/>
      <sheetName val="7_기-검-보_1004"/>
      <sheetName val="기본항목_입력4"/>
      <sheetName val="8_PILE__(돌출)4"/>
      <sheetName val="1__조명내역서(조명설치)4"/>
      <sheetName val="2__조명내역서(조명자재)4"/>
      <sheetName val="참고)BTL시설예산_기준표4"/>
      <sheetName val="표지_(3)4"/>
      <sheetName val="원가계산서_(2)4"/>
      <sheetName val="산출_근거14"/>
      <sheetName val="공사원가계산서_4"/>
      <sheetName val="총괄_내역서4"/>
      <sheetName val="2_토목공사4"/>
      <sheetName val="GT_1050x6504"/>
      <sheetName val="개별직종노임단가(2005_1)4"/>
      <sheetName val="당월_인력4"/>
      <sheetName val="2_원가및인원현황집계4"/>
      <sheetName val="96_124"/>
      <sheetName val="각사별공사비분개_4"/>
      <sheetName val="사__업__비__수__지__예__산__서4"/>
      <sheetName val="4_고용보험4"/>
      <sheetName val="3_고용보험료산출근거4"/>
      <sheetName val="단가일람_(2)4"/>
      <sheetName val="PIPERACK_집계표4"/>
      <sheetName val="EQUIPEMENT_집계표4"/>
      <sheetName val="BUILDING_&amp;SHELTER_집계표4"/>
      <sheetName val="OTHERS_집계표4"/>
      <sheetName val="CONTROL_BD4"/>
      <sheetName val="LIFTING_DEVICE4"/>
      <sheetName val="0_0ControlSheet4"/>
      <sheetName val="토목내역서_(도급단가)4"/>
      <sheetName val="소상_&quot;1&quot;4"/>
      <sheetName val="6_1_일위대가4"/>
      <sheetName val="효성CB_1P기초4"/>
      <sheetName val="De_bai4"/>
      <sheetName val="노임단가(2010_상)4"/>
      <sheetName val="설산1_나4"/>
      <sheetName val="220_(2)4"/>
      <sheetName val="Man_Hole4"/>
      <sheetName val="표지_4"/>
      <sheetName val="지번별_묘묙소요내역4"/>
      <sheetName val="총괄_설계내역서4"/>
      <sheetName val="공통가설내역서__(당사)4"/>
      <sheetName val="예산서_4"/>
      <sheetName val="원가계산서_3"/>
      <sheetName val="현장관리비_산출내역3"/>
      <sheetName val="고객사_관리_코드3"/>
      <sheetName val="Isolasi_Luar_Dalam4"/>
      <sheetName val="Isolasi_Luar4"/>
      <sheetName val="breakdown_Price-Chuong4"/>
      <sheetName val="cable,_lighting,_switch4"/>
      <sheetName val="DonGia_VatTuLK4"/>
      <sheetName val="Bang_chiet_tinh_TBA4"/>
      <sheetName val="화순_대리-다지리실행내역4"/>
      <sheetName val="실DATA_7"/>
      <sheetName val="_갑__지_7"/>
      <sheetName val="코스모공장_(어음)6"/>
      <sheetName val="A_견적6"/>
      <sheetName val="환경기계공정표_(3)6"/>
      <sheetName val="총_원가계산6"/>
      <sheetName val="Sheet1_(2)6"/>
      <sheetName val="내역서1999_8최종6"/>
      <sheetName val="단가_(2)6"/>
      <sheetName val="총괄갑_6"/>
      <sheetName val="6PILE__(돌출)6"/>
      <sheetName val="11-2_아파트내역6"/>
      <sheetName val="기초입력_DATA5"/>
      <sheetName val="_견적서5"/>
      <sheetName val="노임단가_(2)5"/>
      <sheetName val="1차_내역서5"/>
      <sheetName val="BSD_(2)5"/>
      <sheetName val="플랜트_설치5"/>
      <sheetName val="설명서_5"/>
      <sheetName val="2-1__경관조명_내역총괄표5"/>
      <sheetName val="일위대가_5"/>
      <sheetName val="중기조종사_단위단가5"/>
      <sheetName val="인건비_5"/>
      <sheetName val="전선_및_전선관-자유로5"/>
      <sheetName val="수량계산서_집계표(가설_신설_및_철거-을지로3가_3호선5"/>
      <sheetName val="수량계산서_집계표(신설-을지로3가_3호선)5"/>
      <sheetName val="수량계산서_집계표(철거-을지로3가_3호선)5"/>
      <sheetName val="신_분5"/>
      <sheetName val="C1_공사개요5"/>
      <sheetName val="A1_스케쥴5"/>
      <sheetName val="3월팀계_5"/>
      <sheetName val="Customer_Databas5"/>
      <sheetName val="단가_및_재료비5"/>
      <sheetName val="아파트_내역5"/>
      <sheetName val="AS포장복구_5"/>
      <sheetName val="전차선로_물량표4"/>
      <sheetName val="G_R300경비5"/>
      <sheetName val="27_건설이자4"/>
      <sheetName val="9-2_단지투자4"/>
      <sheetName val="9-4_단지분양수납4"/>
      <sheetName val="28_차입금상환계획4"/>
      <sheetName val="10-4_운하물류분양수납4"/>
      <sheetName val="10-2_운하물류투자4"/>
      <sheetName val="※_2010예산총괄표4"/>
      <sheetName val="주공_갑지5"/>
      <sheetName val="내역서_제출4"/>
      <sheetName val="1_동력공사3"/>
      <sheetName val="DATA_입력란5"/>
      <sheetName val="경율산정_XLS4"/>
      <sheetName val="조도계산서_(도서)4"/>
      <sheetName val="2_고용보험료산출근거4"/>
      <sheetName val="8_설치품셈4"/>
      <sheetName val="아파트_4"/>
      <sheetName val="품셈_3"/>
      <sheetName val="1_설계조건3"/>
      <sheetName val="BTL시설예산_기준표4"/>
      <sheetName val="5_학교신설예산_집행(01~08)4"/>
      <sheetName val="점검결과(08년_100교_지원)4"/>
      <sheetName val="5_직원투입현황3"/>
      <sheetName val="EQUIP_LIST3"/>
      <sheetName val="6-1__관개량조서3"/>
      <sheetName val="실행내역서_3"/>
      <sheetName val="전체내역_(2)3"/>
      <sheetName val="예정공정표_3"/>
      <sheetName val="Raw_Data3"/>
      <sheetName val="내역-_CCTV4"/>
      <sheetName val="2_대외공문3"/>
      <sheetName val="7_기-검-보_1003"/>
      <sheetName val="기본항목_입력3"/>
      <sheetName val="8_PILE__(돌출)3"/>
      <sheetName val="1__조명내역서(조명설치)3"/>
      <sheetName val="2__조명내역서(조명자재)3"/>
      <sheetName val="참고)BTL시설예산_기준표3"/>
      <sheetName val="표지_(3)3"/>
      <sheetName val="원가계산서_(2)3"/>
      <sheetName val="산출_근거13"/>
      <sheetName val="공사원가계산서_3"/>
      <sheetName val="총괄_내역서3"/>
      <sheetName val="2_토목공사3"/>
      <sheetName val="GT_1050x6503"/>
      <sheetName val="개별직종노임단가(2005_1)3"/>
      <sheetName val="당월_인력3"/>
      <sheetName val="2_원가및인원현황집계3"/>
      <sheetName val="96_123"/>
      <sheetName val="각사별공사비분개_3"/>
      <sheetName val="사__업__비__수__지__예__산__서3"/>
      <sheetName val="4_고용보험3"/>
      <sheetName val="3_고용보험료산출근거3"/>
      <sheetName val="단가일람_(2)3"/>
      <sheetName val="PIPERACK_집계표3"/>
      <sheetName val="EQUIPEMENT_집계표3"/>
      <sheetName val="BUILDING_&amp;SHELTER_집계표3"/>
      <sheetName val="OTHERS_집계표3"/>
      <sheetName val="CONTROL_BD3"/>
      <sheetName val="LIFTING_DEVICE3"/>
      <sheetName val="0_0ControlSheet3"/>
      <sheetName val="토목내역서_(도급단가)3"/>
      <sheetName val="소상_&quot;1&quot;3"/>
      <sheetName val="6_1_일위대가3"/>
      <sheetName val="효성CB_1P기초3"/>
      <sheetName val="De_bai3"/>
      <sheetName val="노임단가(2010_상)3"/>
      <sheetName val="설산1_나3"/>
      <sheetName val="220_(2)3"/>
      <sheetName val="Man_Hole3"/>
      <sheetName val="표지_3"/>
      <sheetName val="지번별_묘묙소요내역3"/>
      <sheetName val="총괄_설계내역서3"/>
      <sheetName val="공통가설내역서__(당사)3"/>
      <sheetName val="예산서_3"/>
      <sheetName val="원가계산서_2"/>
      <sheetName val="현장관리비_산출내역2"/>
      <sheetName val="고객사_관리_코드2"/>
      <sheetName val="Isolasi_Luar_Dalam3"/>
      <sheetName val="Isolasi_Luar3"/>
      <sheetName val="breakdown_Price-Chuong3"/>
      <sheetName val="cable,_lighting,_switch3"/>
      <sheetName val="DonGia_VatTuLK3"/>
      <sheetName val="Bang_chiet_tinh_TBA3"/>
      <sheetName val="화순_대리-다지리실행내역3"/>
      <sheetName val="FRP PIPING 일위대가"/>
      <sheetName val="방배동내역(_x0000__x0000_"/>
      <sheetName val="회선별대책안_x0000__x0000__x0000__x0001_"/>
      <sheetName val="Summ"/>
      <sheetName val="breakdown"/>
      <sheetName val="Don gia chi tiet"/>
      <sheetName val="phuluc1"/>
      <sheetName val="tong du toan"/>
      <sheetName val="내역전기"/>
      <sheetName val="H-PILE수량집계"/>
      <sheetName val="관경별내역서"/>
      <sheetName val="환경기계공정표__x0005__x0000__x0000_"/>
      <sheetName val="별표총괄"/>
      <sheetName val="전선_및_전선관-罘º헾"/>
      <sheetName val="[내역서(1).xls]5.학교신설예산 Ⴘ_x0000_퀀诋쌆蠅/_x0000_᠀"/>
      <sheetName val="2013노임단가"/>
      <sheetName val="hGH정제"/>
      <sheetName val="11-2_아파"/>
      <sheetName val="[내역서(1).xls]5.학교신설예산 쎸⬅/"/>
      <sheetName val="전선_및_전선관-"/>
      <sheetName val="Analisa Harga Satuan"/>
      <sheetName val="말고개터널조명전압강하"/>
      <sheetName val="BOX(1.5X1.5)"/>
      <sheetName val="점수계산1-2"/>
      <sheetName val="구조물공"/>
      <sheetName val="철근단면적"/>
      <sheetName val="직원인원"/>
      <sheetName val="단면 (2)"/>
      <sheetName val="집 계 표"/>
      <sheetName val="선박별 배부"/>
      <sheetName val="KUNGDEVI"/>
      <sheetName val="기본정보"/>
      <sheetName val="내역(설계)"/>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내역서중"/>
      <sheetName val="1차설계변경내역"/>
      <sheetName val="2000년 공정표"/>
      <sheetName val="정렬"/>
      <sheetName val="하도정산계약분"/>
      <sheetName val="전선_및_전선관-壆⿶"/>
      <sheetName val="재무가정"/>
      <sheetName val="제목"/>
      <sheetName val="정공공사"/>
      <sheetName val="거래罈.羌"/>
      <sheetName val="[내역서(׃"/>
      <sheetName val="부대집계"/>
      <sheetName val="단위단가"/>
      <sheetName val="공사설명서"/>
      <sheetName val="기타자료"/>
      <sheetName val="일위(시설)"/>
      <sheetName val="1호인버트수량"/>
      <sheetName val="기본단가"/>
      <sheetName val="1.변경범위"/>
      <sheetName val="내역(원안-대안)"/>
      <sheetName val="기본1"/>
      <sheetName val="수정일위대가"/>
      <sheetName val="총괄(데倀辍즳"/>
      <sheetName val="총괄(데뀀连즳"/>
      <sheetName val="총괄(데뀀ﾒ犺"/>
      <sheetName val="총괄(데䀀﷥䰗"/>
      <sheetName val="XL4Po夂囿 "/>
      <sheetName val="보고서"/>
      <sheetName val="변경개요"/>
      <sheetName val="실정내역"/>
      <sheetName val="이서 빙등제"/>
      <sheetName val="내역증감-전체분"/>
      <sheetName val="원가계산서(생태쉼터) "/>
      <sheetName val="내역서(빙등제)"/>
      <sheetName val="전망데크1"/>
      <sheetName val="단가산출호표"/>
      <sheetName val="방림 토공수량"/>
      <sheetName val="방림 토공 산출근거"/>
      <sheetName val="종류별수량산출"/>
      <sheetName val="소운반단가산출"/>
      <sheetName val="이서 빙등제 수량집계표"/>
      <sheetName val="이서 빙등제 산출근거"/>
      <sheetName val="현황사진대지"/>
      <sheetName val="code"/>
      <sheetName val="운반거리"/>
      <sheetName val="자재 집계표"/>
      <sheetName val="직원관련자료"/>
      <sheetName val="공종집계"/>
      <sheetName val="교각_x0000_"/>
      <sheetName val="THU T6"/>
      <sheetName val="Thu chi T04"/>
      <sheetName val="SLTH"/>
      <sheetName val="PEDESB"/>
      <sheetName val="공사예산하조서(O.K)"/>
      <sheetName val="공사예산하조서_O_K_"/>
      <sheetName val="전선 및 전선관"/>
      <sheetName val="변경내역"/>
      <sheetName val="°ø»ç¿¹»êÇÏÁ¶¼­(O.K)"/>
      <sheetName val="4.설계예산내역서"/>
      <sheetName val="콘센트신설"/>
      <sheetName val="용산1(해보)"/>
      <sheetName val="3.내역서"/>
      <sheetName val="구리토평1전기"/>
      <sheetName val="설계명세"/>
      <sheetName val="BUD"/>
      <sheetName val="archi(본사)"/>
      <sheetName val="인건-측정"/>
      <sheetName val="도급양식"/>
      <sheetName val="49단가"/>
      <sheetName val="36단가"/>
      <sheetName val="36수량"/>
      <sheetName val="규격"/>
      <sheetName val="공리공제"/>
      <sheetName val="역간(덕_동)"/>
      <sheetName val="역간(의-덕)"/>
      <sheetName val="BEND LOSS"/>
      <sheetName val="건축공사 집계표"/>
      <sheetName val="설비2차"/>
      <sheetName val="기준FACTOR"/>
      <sheetName val="설비"/>
      <sheetName val="N賃率-職"/>
      <sheetName val="TKCK"/>
      <sheetName val="PL Vua"/>
      <sheetName val="포장집계"/>
      <sheetName val="포장연장"/>
      <sheetName val="국공유지"/>
      <sheetName val="DB_ET200(R. A)"/>
      <sheetName val="Summary"/>
      <sheetName val="NKC6"/>
      <sheetName val="Summary - Budget"/>
      <sheetName val="2016상반기노임단가"/>
      <sheetName val="1.암사대교 산출"/>
      <sheetName val="마산방향"/>
      <sheetName val="환경기계공정표_(3)_x0012_"/>
      <sheetName val="공급기자재조서 (2)"/>
      <sheetName val="산출(동해선 본선)"/>
      <sheetName val="집계(동해본선) "/>
      <sheetName val="산출(동해역통신)"/>
      <sheetName val="역집계(동해역통신)"/>
      <sheetName val="배수통관(좌)"/>
      <sheetName val="기준"/>
      <sheetName val="변동인원"/>
      <sheetName val="2000제조1"/>
      <sheetName val="집연95"/>
      <sheetName val="준공정산"/>
      <sheetName val="환경기계공정표__x0005_"/>
      <sheetName val="[내역서(1).xls]5.학교신설예산 Ⴘ"/>
      <sheetName val="회선별대책안"/>
      <sheetName val="방배동내역("/>
      <sheetName val="6PILE脂鎙堀1_x0013__x0000__x0000_"/>
      <sheetName val="POL6차-PIPING"/>
      <sheetName val="기계경¬"/>
      <sheetName val="Project Name"/>
      <sheetName val="Deliver Date"/>
      <sheetName val="Staff"/>
      <sheetName val="anti-termite"/>
      <sheetName val="BIDDING-SUM"/>
      <sheetName val="CTG"/>
      <sheetName val="Project_Name"/>
      <sheetName val="Deliver_Date"/>
      <sheetName val="THVT"/>
      <sheetName val="SITE-E"/>
      <sheetName val="KHỐI LƯỢNG THANH TOÁN"/>
      <sheetName val="SEX"/>
      <sheetName val="General2"/>
      <sheetName val="Phu cap"/>
      <sheetName val="GIAVLIEU"/>
      <sheetName val="BETON"/>
      <sheetName val="hinhhoc"/>
      <sheetName val="PTDG (T3)"/>
      <sheetName val="PTDG (T4)"/>
      <sheetName val="6PILEሀ_x0002_䀀⨊脃ﲙ"/>
      <sheetName val="[내역서(ͭ_x005f_x005f_x005f_x0000_ͭ_x005f_x005f_x000"/>
      <sheetName val="[내역서(ͭ?ͭ?_x005f_x005f_x005f_x001c_?_x005f_x005f_x"/>
      <sheetName val="_내역서(ͭ_x005f_x005f_x005f_x005f_x005f_x005f_x005f_x0000_"/>
      <sheetName val="ateCodes_x005f_x005f_x005f_x005f_x005f_x005f_x000"/>
      <sheetName val="_내역서(ͭ_ͭ__x005f_x005f_x005f_x005f_x005f_x005f_x00"/>
      <sheetName val="데이터"/>
      <sheetName val="인부노임단가"/>
      <sheetName val="[내역서(ͭ_x0000__x0000_Ԁ"/>
      <sheetName val="수뢹?"/>
      <sheetName val="_내역서(ͭ_x005f_x0000_ͭ_x005f_x005f_x000"/>
      <sheetName val="_내역서(ͭ_ͭ__x005f_x001c___x005f_x005f_x"/>
      <sheetName val="unit 4"/>
      <sheetName val="퇴직금(울산천상)"/>
      <sheetName val="전선관"/>
      <sheetName val="수입"/>
      <sheetName val="24_보증금_전신전화가입권_"/>
      <sheetName val="사업총쌈"/>
      <sheetName val="ateCodes?TimeCodes?Overrid_x0000__x0000__x0005__x0000_钀"/>
      <sheetName val="회선별대책안À_x0000_Ԁ_x0000_"/>
      <sheetName val="Sheet㙸˯㦀ȼ?"/>
      <sheetName val="[내역서(1)_xls]5_학교신설예산_쎸⬅/瀀þ밀"/>
      <sheetName val="간¾_x0000_Ԁ"/>
      <sheetName val="환경기계공정표_(3)"/>
      <sheetName val="환경기계공정표_(3)椀"/>
      <sheetName val="의뢰서"/>
      <sheetName val="일위대가_호표"/>
      <sheetName val="일위대가_산근"/>
      <sheetName val="중기사용료목록"/>
      <sheetName val="중기기초자료"/>
      <sheetName val="자재조서"/>
      <sheetName val="전역변수"/>
      <sheetName val="중기전역변수"/>
      <sheetName val="구체"/>
      <sheetName val="좌측날개벽"/>
      <sheetName val="우측날개벽"/>
      <sheetName val="간지1"/>
      <sheetName val="1.사유서"/>
      <sheetName val="간지2"/>
      <sheetName val="간지3"/>
      <sheetName val="부재별집계표"/>
      <sheetName val="도면"/>
      <sheetName val="ateCఀ_x0002_저殑"/>
      <sheetName val="Estimate"/>
      <sheetName val="AnalisaSIPIL RIIL"/>
      <sheetName val="D 5243-ARAMCO"/>
      <sheetName val="D-4801 OXY"/>
      <sheetName val="입찰내역서"/>
      <sheetName val="배수내역 (2)"/>
      <sheetName val="表三甲"/>
      <sheetName val="Har Sat"/>
      <sheetName val="손익그래프및카메라"/>
      <sheetName val="입력DATA"/>
      <sheetName val="바닥판"/>
      <sheetName val="가시설수량"/>
      <sheetName val="ITEM"/>
      <sheetName val="영창26"/>
      <sheetName val="말뚝물량"/>
      <sheetName val="COA-17"/>
      <sheetName val="POWER"/>
      <sheetName val="당진1,2호기전선관설치및접지4차공사내역서-을지"/>
      <sheetName val="인원계획"/>
      <sheetName val="IBASE"/>
      <sheetName val="Config"/>
      <sheetName val="Du toan"/>
      <sheetName val="Keothep"/>
      <sheetName val="Re-bar"/>
      <sheetName val="HVAC"/>
      <sheetName val="A_견_x0000__x0000_"/>
      <sheetName val="계장 품셈표"/>
      <sheetName val="G_R30绘ÿ헾"/>
      <sheetName val="[내역서(ͭͭ가_x0000_"/>
      <sheetName val="_갑  지 "/>
      <sheetName val="[내역서(1).xls]5_학교신설예산_쎸⬅/瀀þ밀"/>
      <sheetName val="[내역서(1).xls]5_학교신설예산_Ⴘ퀀诋쌆蠅/᠀"/>
      <sheetName val="BQ"/>
      <sheetName val="Total for Check"/>
      <sheetName val="DAFTAR_8"/>
      <sheetName val="DAFTAR 7"/>
      <sheetName val="SIZING"/>
      <sheetName val="공정진도현황(2069)"/>
      <sheetName val="공정진도현황(2단계2차)"/>
      <sheetName val="현장"/>
      <sheetName val="전체"/>
      <sheetName val="조명율표"/>
      <sheetName val="종합표"/>
      <sheetName val="차수공개요"/>
      <sheetName val="상시"/>
      <sheetName val="주beam"/>
      <sheetName val="부안일위"/>
      <sheetName val="단가조사표"/>
      <sheetName val="11.산출(전열)"/>
      <sheetName val="6.산출(동력)"/>
      <sheetName val="7.산출(TRAY)"/>
      <sheetName val="추가예산"/>
      <sheetName val="차입"/>
      <sheetName val="코드표"/>
      <sheetName val="월별예산"/>
      <sheetName val="PC%계산"/>
      <sheetName val="유가증권LS"/>
      <sheetName val="통장출금액"/>
      <sheetName val="업무연락"/>
      <sheetName val="월별매출"/>
      <sheetName val="부대tu"/>
      <sheetName val="VXXXXXXX"/>
      <sheetName val="#2_일위대가목록"/>
      <sheetName val="마산월령동골조물량변경"/>
      <sheetName val="공종별현황_공무팀자료"/>
      <sheetName val="6. 안전관리비"/>
      <sheetName val="내역서1"/>
      <sheetName val="P4-C"/>
      <sheetName val="1062-X방향 "/>
      <sheetName val="특외대"/>
      <sheetName val="수입실적"/>
      <sheetName val="A-100전제"/>
      <sheetName val="품의"/>
      <sheetName val="comps LFY+"/>
      <sheetName val="HDI implied"/>
      <sheetName val="호봉피치"/>
      <sheetName val="첨부1"/>
      <sheetName val="감독1130"/>
      <sheetName val="CAUDIT"/>
      <sheetName val="임의 매출-수정전"/>
      <sheetName val="감가상각"/>
      <sheetName val="채권 현황"/>
      <sheetName val="FRQ"/>
      <sheetName val="지급자재"/>
      <sheetName val="직접공사비"/>
      <sheetName val="자산LIST"/>
      <sheetName val="현금흐름"/>
      <sheetName val="간접1"/>
      <sheetName val="CC Down load 0716"/>
      <sheetName val="CF6"/>
      <sheetName val="9703"/>
      <sheetName val="미지급비용"/>
      <sheetName val="요일별시간대별 근무인원 그래프"/>
      <sheetName val="정식주주명부(061108)"/>
      <sheetName val="6월수불"/>
      <sheetName val="코드(대중분류)"/>
      <sheetName val="1.매출액"/>
      <sheetName val="2.원가"/>
      <sheetName val="10.인원"/>
      <sheetName val="2.호선별예상실적"/>
      <sheetName val="생산매출 (4)"/>
      <sheetName val="사업계획"/>
      <sheetName val="1월 예산"/>
      <sheetName val="DATA98"/>
      <sheetName val="건설가"/>
      <sheetName val="RE9604"/>
      <sheetName val="대차대조표 (2)"/>
      <sheetName val="손익계산서"/>
      <sheetName val="지점장"/>
      <sheetName val="admin"/>
      <sheetName val="AN-01"/>
      <sheetName val="환율 및 참고"/>
      <sheetName val=" 총괄표"/>
      <sheetName val="총괄-1"/>
      <sheetName val="MAIN_TABLE"/>
      <sheetName val="95년12월말"/>
      <sheetName val="그림모음"/>
      <sheetName val="국도접속 차도부수량"/>
      <sheetName val="간접(90)"/>
      <sheetName val="용지조사보고서"/>
      <sheetName val="3800-400 기계감가"/>
      <sheetName val="MIBK원단위"/>
      <sheetName val="품셈TABLE"/>
      <sheetName val="콘크리트타설집계표"/>
      <sheetName val="중기"/>
      <sheetName val="DANGA"/>
      <sheetName val="청학계"/>
      <sheetName val="사다리"/>
      <sheetName val="중기일위대가"/>
      <sheetName val="공사비예산서(토목분)"/>
      <sheetName val="외화채권"/>
      <sheetName val="Assumptions"/>
      <sheetName val="조명투자및환수계획"/>
      <sheetName val="제조중간결과"/>
      <sheetName val="101동"/>
      <sheetName val="변경총괄지(1)"/>
      <sheetName val="SANTOGO"/>
      <sheetName val="지수적용공사비내역서"/>
      <sheetName val="부대공Ⅱ"/>
      <sheetName val="TB-내역서"/>
      <sheetName val="총원"/>
      <sheetName val="A.일용노무비지급명세서"/>
      <sheetName val="prog-C1"/>
      <sheetName val="geo-C1"/>
      <sheetName val="geo-C2"/>
      <sheetName val="환경기계공정표_(3)¾"/>
      <sheetName val="점검결과(08년_x0000__x0000_Ԁ_x0000_䀀㸎_x0008__x0000__x0000_"/>
      <sheetName val="환경기계공정표_(3)刀"/>
      <sheetName val="전선_및_전선관-㞘}઀"/>
      <sheetName val="철골9F"/>
      <sheetName val="실행-자재"/>
      <sheetName val="유림총괄"/>
      <sheetName val="HSNV"/>
      <sheetName val="현장식당(1)"/>
      <sheetName val="견적요율_(업체명)"/>
      <sheetName val="(1) 국내 사이트 상세 주소 "/>
      <sheetName val="0. 수출,수입 건수"/>
      <sheetName val="1. 수출 해상 (LCL) "/>
      <sheetName val="2. 수출 항공 "/>
      <sheetName val="(2-3) 수출 특송"/>
      <sheetName val="3. 수출 내륙 운송료"/>
      <sheetName val="4. 수입 해상 (FCL)"/>
      <sheetName val="5. 수입 해상 (LCL) "/>
      <sheetName val="6. 수입 항공 "/>
      <sheetName val="(3-4) 수입 특송 "/>
      <sheetName val="7. 수입 내륙 운송료"/>
      <sheetName val="8. 창고료"/>
      <sheetName val="9. 내륙 운송"/>
      <sheetName val="10. 추가 제안 및 기타"/>
      <sheetName val="운송내역 "/>
      <sheetName val="3.PT개발계획"/>
      <sheetName val="24.보증금(전신전화가입권)"/>
      <sheetName val="Ⅴ-2.공종별내역"/>
      <sheetName val="16-1"/>
      <sheetName val="중기작업"/>
      <sheetName val="[내역서(1).xls][내역서(1).xls]5_____2"/>
      <sheetName val="[내역서(1).xls]단가_(2\_x0000_"/>
      <sheetName val="[내역서(1).xls]단가_(2\栀"/>
      <sheetName val="[내역서(1).xls][내역서(1).xls]5_____3"/>
      <sheetName val="[내역서(1).xls][내역서(1).xls]5_____4"/>
      <sheetName val="2000,9월 일위"/>
      <sheetName val="공통단가"/>
      <sheetName val="단가일람"/>
      <sheetName val="조경일람"/>
      <sheetName val="운반비"/>
      <sheetName val="Sheet1_Çæ_x0000_"/>
      <sheetName val="단"/>
      <sheetName val="Eq. Mobilization"/>
      <sheetName val="노단"/>
      <sheetName val="단산"/>
      <sheetName val="명세"/>
      <sheetName val="일대"/>
      <sheetName val="회선별대책안À"/>
      <sheetName val="편성절차"/>
      <sheetName val="KLDT DIEN"/>
      <sheetName val="Dinh muc CP KTCB khac"/>
      <sheetName val="TinhGiaMTC"/>
      <sheetName val="TH MTC"/>
      <sheetName val="TH N.Cong"/>
      <sheetName val="TinhGiaNC"/>
      <sheetName val="DMCP"/>
      <sheetName val="_갑___x0000__x0000_"/>
      <sheetName val="계약내역서"/>
      <sheetName val="보증_x0000_縀"/>
      <sheetName val="단가_(2)Ì"/>
      <sheetName val="보증_x0000_ༀ"/>
      <sheetName val="2공구하도급내역서"/>
      <sheetName val="손익경비"/>
      <sheetName val="5.학교신설예산 집행(01~偤°"/>
      <sheetName val="전체제잡비"/>
      <sheetName val="보증"/>
      <sheetName val="공사비예비관리공감측설산출내역"/>
      <sheetName val="asd"/>
      <sheetName val="B"/>
      <sheetName val="I一般比"/>
      <sheetName val="토공 total"/>
      <sheetName val="조경"/>
      <sheetName val="식생블럭단위수량"/>
      <sheetName val="인공산출"/>
      <sheetName val="ENE-CAL 1"/>
      <sheetName val="본사업"/>
      <sheetName val="예산M11A"/>
      <sheetName val="철콘산출"/>
      <sheetName val="DB"/>
      <sheetName val="토공내역"/>
      <sheetName val="설직재-1"/>
      <sheetName val="96정변2"/>
      <sheetName val="배수공 시멘트 및 골재량 산출"/>
      <sheetName val="부서코드표"/>
      <sheetName val="소방사항"/>
      <sheetName val="공사진행"/>
      <sheetName val="96노임기준"/>
      <sheetName val="대공종"/>
      <sheetName val="공간"/>
      <sheetName val="공종"/>
      <sheetName val="부위자재"/>
      <sheetName val="하자유형"/>
      <sheetName val="세대"/>
      <sheetName val="신축"/>
      <sheetName val="도급기성"/>
      <sheetName val="총괄(데䀀?䰗"/>
      <sheetName val="입찰내역 발주처 양식"/>
      <sheetName val="[내역서(ͭ_x0000_ͭ_x0000__x001c__x02"/>
      <sheetName val="ateCodes_x0000_TimeCodes_x0000_2"/>
      <sheetName val="[내역서(ͭ_x0000_ͭ_x0000__x001c__x03"/>
      <sheetName val="ateCodes_x0000_TimeCodes_x0000_3"/>
      <sheetName val="[내역서(ͭ_x0000_ͭ_x0000__x001c__x04"/>
      <sheetName val="ateCodes_x0000_TimeCodes_x0000_4"/>
      <sheetName val="[내역서(ͭ_x0000_ͭ_x0000__x001c__x05"/>
      <sheetName val="ateCodes_x0000_TimeCodes_x0000_5"/>
      <sheetName val="[내역서(ͭ_x0000_ͭ_x0000__x001c__x06"/>
      <sheetName val="ateCodes_x0000_TimeCodes_x0000_6"/>
      <sheetName val="[내역서(ͭ_x0000_ͭ_x0000__x001c__x07"/>
      <sheetName val="ateCodes_x0000_TimeCodes_x0000_7"/>
      <sheetName val="[내역서(ͭ_x0000_ͭ_x0000__x001c__x08"/>
      <sheetName val="ateCodes_x0000_TimeCodes_x0000_8"/>
      <sheetName val="[내역서(ͭ_x0000_ͭ_x0000__x001c__x09"/>
      <sheetName val="ateCodes_x0000_TimeCodes_x0000_9"/>
      <sheetName val="[내역서(ͭ_x0000_ͭ_x0000__x001c__x010"/>
      <sheetName val="ateCodes_x0000_TimeCodes_x0000_10"/>
      <sheetName val="[내역서(ͭ_x0000_ͭ_x0000__x001c__x011"/>
      <sheetName val="ateCodes_x0000_TimeCodes_x0000_11"/>
      <sheetName val="[내역서(ͭ_x0000_ͭ_x0000__x001c__x012"/>
      <sheetName val="ateCodes_x0000_TimeCodes_x0000_12"/>
      <sheetName val="[내역서(ͭ_x0000_ͭ_x0000__x001c__x013"/>
      <sheetName val="ateCodes_x0000_TimeCodes_x0000_13"/>
      <sheetName val="[내역서(ͭ_x0000_ͭ_x0000__x001c__x014"/>
      <sheetName val="ateCodes_x0000_TimeCodes_x0000_14"/>
      <sheetName val="Bill2-TTTM&amp;CH"/>
      <sheetName val="Bill 2-VMart&amp;VPro"/>
      <sheetName val="Cst Pkg-Eden"/>
      <sheetName val="Parem"/>
      <sheetName val="DW산출"/>
      <sheetName val="ateCodes?TimeCodes?Overrid"/>
      <sheetName val="간¾"/>
      <sheetName val="자바라1"/>
      <sheetName val="ate_x000b__x0000_蠀᏿㤂"/>
      <sheetName val="Sheet1_Çꀀ_x0000_"/>
      <sheetName val="순위"/>
      <sheetName val="단가__x0000__x0000_Ԁ_x0000_"/>
      <sheetName val="w't_table"/>
      <sheetName val="ประมาณการประตูหน้าต่าง_"/>
      <sheetName val="schedule_"/>
      <sheetName val="SITE_OFFICE"/>
      <sheetName val=" 기성청구서 양식.xlsx"/>
      <sheetName val="Bang TH"/>
      <sheetName val="Shelves"/>
      <sheetName val="잡철물"/>
      <sheetName val="단가_및邰㡗_xdc00_㡗"/>
      <sheetName val="설명서劝"/>
      <sheetName val="제잡비계산"/>
      <sheetName val="수량계산서_집계표(가설_신설_및_철거-을지로3가_3ఀ_x0002_က"/>
      <sheetName val="Concord"/>
      <sheetName val="06 일위대가목록"/>
      <sheetName val="수량산출표"/>
      <sheetName val="세월교산출기초"/>
      <sheetName val="댐구조도"/>
      <sheetName val="基础资料"/>
      <sheetName val="재고list"/>
      <sheetName val="JP_GP_UP통합"/>
      <sheetName val="터파기및재료"/>
      <sheetName val="인원"/>
      <sheetName val="정부노임"/>
      <sheetName val="방화산출"/>
      <sheetName val="총괄(데이소ꃁ"/>
      <sheetName val="총괄(데이소ࣁ"/>
      <sheetName val="ateCodes?TimeCodes?Overri_x0000__x0000__x0005__x0000_飀Ⱔ"/>
      <sheetName val="총괄(Í_x0000_Ԁ_x0000_"/>
      <sheetName val="Tiepdia"/>
      <sheetName val="ma-pt"/>
      <sheetName val="COAT&amp;WRAP-QIOT-#3"/>
      <sheetName val="원본1"/>
      <sheetName val="주공_¹"/>
      <sheetName val="적용노임(09상)"/>
      <sheetName val="보_x0000__x0000__x0005_"/>
      <sheetName val="70%"/>
      <sheetName val="건    재"/>
      <sheetName val="AS포장복_x0000__x0000_"/>
      <sheetName val="Progres"/>
      <sheetName val="H.Satuan"/>
      <sheetName val="MEXICO-C"/>
      <sheetName val="견적집계표(철콘)"/>
      <sheetName val="분문집계2"/>
      <sheetName val="배부금액"/>
      <sheetName val="입고계획"/>
      <sheetName val="계약"/>
      <sheetName val="재직자"/>
      <sheetName val="대비표"/>
      <sheetName val="노원열병합  건축공사기성내역서"/>
      <sheetName val="_내역서(ͭ_ͭ__x001c___x"/>
      <sheetName val="ateCodes_x0000_TimeCodes_"/>
      <sheetName val="_내역서(ͭ_x0000_ͭ_x000"/>
      <sheetName val="내역서-전기"/>
      <sheetName val="대장"/>
      <sheetName val="voucher"/>
      <sheetName val="Bang NS79"/>
      <sheetName val="배수관공"/>
      <sheetName val="chiet tinh"/>
      <sheetName val="96수출"/>
      <sheetName val="설명서ó"/>
      <sheetName val="SOLICITUD"/>
      <sheetName val="II. CF"/>
      <sheetName val="ateCodes?TimeCodes?OverrideSho_x0000_"/>
      <sheetName val="ateCodes?TimeCodes?OverrideSho适"/>
      <sheetName val="ateCodes?TimeCodes?OverrideSho렀"/>
      <sheetName val="ateCodes?TimeCodes?OverrideSho"/>
      <sheetName val="ateCodes?TimeCodes?OverrideSho退"/>
      <sheetName val="ateCodes?TimeCodes?OverrideSho᠀"/>
      <sheetName val="Final Staff Chart"/>
      <sheetName val="7.Á¶Á÷Ç¥"/>
      <sheetName val="Input_Data"/>
      <sheetName val="WIP"/>
      <sheetName val="집수정(600-700)"/>
      <sheetName val="경유"/>
      <sheetName val="휘발유"/>
      <sheetName val="부대공"/>
      <sheetName val="배수공"/>
      <sheetName val="토공"/>
      <sheetName val="포장공"/>
      <sheetName val="일반공사"/>
      <sheetName val="지하1층"/>
      <sheetName val="시화점실행"/>
      <sheetName val="각종양식"/>
      <sheetName val="자금운용표"/>
      <sheetName val="총(철거)"/>
      <sheetName val="검수고1-1층"/>
      <sheetName val="총물량표"/>
      <sheetName val="하수처리장"/>
      <sheetName val="BREAKDOWN(철거설치)"/>
      <sheetName val="3본사"/>
      <sheetName val="총공사내역서"/>
      <sheetName val="견적대비(1차) (2)"/>
      <sheetName val="총괄내역"/>
      <sheetName val="정산내역서"/>
      <sheetName val="대분류 ITEM별 분석(3월)"/>
      <sheetName val="기본일위"/>
      <sheetName val="카렌스센터계량기설치공사"/>
      <sheetName val="boq"/>
      <sheetName val="산출내역서"/>
      <sheetName val="평3"/>
      <sheetName val="기초데이타"/>
      <sheetName val="2.损益表"/>
      <sheetName val="4.PL"/>
      <sheetName val="6.BS"/>
      <sheetName val="9.차입,대여금"/>
      <sheetName val="1월--7월"/>
      <sheetName val="2-2.매출분석"/>
      <sheetName val="첨부_예산"/>
      <sheetName val="선박별_배부"/>
      <sheetName val="1_변경범위"/>
      <sheetName val="comps_LFY+"/>
      <sheetName val="HDI_implied"/>
      <sheetName val="임의_매출-수정전"/>
      <sheetName val="채권_현황"/>
      <sheetName val="2000년_공정표"/>
      <sheetName val="CC_Down_load_0716"/>
      <sheetName val="요일별시간대별_근무인원_그래프"/>
      <sheetName val="BOX(1_5X1_5)"/>
      <sheetName val="1_매출액"/>
      <sheetName val="2_원가"/>
      <sheetName val="10_인원"/>
      <sheetName val="1월_예산"/>
      <sheetName val="2_호선별예상실적"/>
      <sheetName val="생산매출_(4)"/>
      <sheetName val="대차대조표_(2)"/>
      <sheetName val="환율_및_참고"/>
      <sheetName val="6.PL"/>
      <sheetName val="4.成本明细表"/>
      <sheetName val="7.6大成本明细表"/>
      <sheetName val="본부평가(연말)"/>
      <sheetName val="4.추정손익"/>
      <sheetName val="2.매출원가"/>
      <sheetName val="3.일반관리,영업외"/>
      <sheetName val="AT비용"/>
      <sheetName val="JJ비용"/>
      <sheetName val="부대수입"/>
      <sheetName val="MA비용"/>
      <sheetName val="ME비용"/>
      <sheetName val="MF비용"/>
      <sheetName val="MI비용"/>
      <sheetName val="MT비용"/>
      <sheetName val="5.管理费明细表"/>
      <sheetName val="6.营业外收支明细表"/>
      <sheetName val="3.收入明细表"/>
      <sheetName val="공통"/>
      <sheetName val="cash_flow"/>
      <sheetName val="FOOTING"/>
      <sheetName val="봉방동근생"/>
      <sheetName val="교수설계"/>
      <sheetName val="특기시방"/>
      <sheetName val="선박별_배부1"/>
      <sheetName val="1_변경범위1"/>
      <sheetName val="comps_LFY+1"/>
      <sheetName val="HDI_implied1"/>
      <sheetName val="임의_매출-수정전1"/>
      <sheetName val="채권_현황1"/>
      <sheetName val="2000년_공정표1"/>
      <sheetName val="CC_Down_load_07161"/>
      <sheetName val="요일별시간대별_근무인원_그래프1"/>
      <sheetName val="BOX(1_5X1_5)1"/>
      <sheetName val="1_매출액1"/>
      <sheetName val="2_원가1"/>
      <sheetName val="10_인원1"/>
      <sheetName val="2_호선별예상실적1"/>
      <sheetName val="생산매출_(4)1"/>
      <sheetName val="1월_예산1"/>
      <sheetName val="대차대조표_(2)1"/>
      <sheetName val="환율_및_참고1"/>
      <sheetName val="_총괄표"/>
      <sheetName val="1062-X방향_"/>
      <sheetName val="2_损益表"/>
      <sheetName val="4_PL"/>
      <sheetName val="6_BS"/>
      <sheetName val="9_차입,대여금"/>
      <sheetName val="2-2_매출분석"/>
      <sheetName val="6_PL"/>
      <sheetName val="4_成本明细表"/>
      <sheetName val="7_6大成本明细表"/>
      <sheetName val="4_추정손익"/>
      <sheetName val="2_매출원가"/>
      <sheetName val="3_일반관리,영업외"/>
      <sheetName val="5_管理费明细表"/>
      <sheetName val="6_营业外收支明细表"/>
      <sheetName val="3_收入明细表"/>
      <sheetName val="3800-400_기계감가"/>
      <sheetName val="FILE1"/>
      <sheetName val="토공(우물통,기타) "/>
      <sheetName val="토지조서(원본)"/>
      <sheetName val="붙임4.앵커볼트"/>
      <sheetName val="붙임2.최대수평하중"/>
      <sheetName val="3월팀계_x0010_"/>
      <sheetName val="호프"/>
      <sheetName val="scale &amp; Income"/>
      <sheetName val="기본사항"/>
      <sheetName val="현황산출서"/>
      <sheetName val="_갑__"/>
      <sheetName val="점검결과(08년"/>
      <sheetName val="ate_x000b_"/>
      <sheetName val="제작비"/>
      <sheetName val="용융아연도금"/>
      <sheetName val="제작물량 7월"/>
      <sheetName val="집계표(건축)"/>
      <sheetName val="강관파일내역"/>
      <sheetName val="ateCodes?TimeCodes?Overri"/>
      <sheetName val="정산산출서(배수판)"/>
      <sheetName val="계좌번호"/>
      <sheetName val="12월"/>
      <sheetName val="2007년1월"/>
      <sheetName val="ateCodes?TimeCodes?OverrideSho怀"/>
      <sheetName val="ateCodes?TimeCodes?OverrideSho逃"/>
      <sheetName val="변화치수"/>
      <sheetName val="Executive Summary"/>
      <sheetName val="5201.2004"/>
      <sheetName val="GRAND REKAP"/>
      <sheetName val="맨홀수량집계"/>
      <sheetName val="Analisa"/>
      <sheetName val="REKAP"/>
      <sheetName val="경비일위계"/>
      <sheetName val="AS포_x0000__x0000__x0000__x0000_"/>
      <sheetName val="거래_x0000__x0000__x0000_"/>
      <sheetName val="거래刀_x0010__x0000_"/>
      <sheetName val="거래_x0000_⨀ﯥ"/>
      <sheetName val="아파트_Ö_x0000_"/>
      <sheetName val="아파트_⃖휬"/>
      <sheetName val="아파트_烖"/>
      <sheetName val="아파트_壖"/>
      <sheetName val="설계조縨"/>
      <sheetName val="설계조"/>
      <sheetName val="조서입력"/>
      <sheetName val="수고조사야_x0002_"/>
      <sheetName val="노임명세"/>
      <sheetName val="자재분류"/>
      <sheetName val="자재청구서"/>
      <sheetName val="PILE"/>
      <sheetName val="6PILE__(効_x0010__x0000__x0000_"/>
      <sheetName val="_갑__지_9"/>
      <sheetName val="실DATA_9"/>
      <sheetName val="코스모공장_(어음)8"/>
      <sheetName val="A_견적8"/>
      <sheetName val="환경기계공정표_(3)8"/>
      <sheetName val="단가_(2)8"/>
      <sheetName val="6PILE__(돌출)8"/>
      <sheetName val="Sheet1_(2)8"/>
      <sheetName val="총_원가계산8"/>
      <sheetName val="총괄갑_8"/>
      <sheetName val="11-2_아파트내역8"/>
      <sheetName val="내역서1999_8최종8"/>
      <sheetName val="기초입력_DATA7"/>
      <sheetName val="1차_내역서7"/>
      <sheetName val="_견적서7"/>
      <sheetName val="노임단가_(2)7"/>
      <sheetName val="2-1__경관조명_내역총괄표7"/>
      <sheetName val="인건비_7"/>
      <sheetName val="수량계산서_집계표(가설_신설_및_철거-을지로3가_3호선7"/>
      <sheetName val="수량계산서_집계표(신설-을지로3가_3호선)7"/>
      <sheetName val="수량계산서_집계표(철거-을지로3가_3호선)7"/>
      <sheetName val="플랜트_설치7"/>
      <sheetName val="BSD_(2)7"/>
      <sheetName val="중기조종사_단위단가7"/>
      <sheetName val="설명서_7"/>
      <sheetName val="신_분7"/>
      <sheetName val="C1_공사개요7"/>
      <sheetName val="A1_스케쥴7"/>
      <sheetName val="일위대가_7"/>
      <sheetName val="3월팀계_7"/>
      <sheetName val="Customer_Databas7"/>
      <sheetName val="전선_및_전선관-자유로7"/>
      <sheetName val="아파트_내역7"/>
      <sheetName val="단가_및_재료비7"/>
      <sheetName val="내역서_제출6"/>
      <sheetName val="AS포장복구_7"/>
      <sheetName val="G_R300경비7"/>
      <sheetName val="주공_갑지7"/>
      <sheetName val="2_고용보험료산출근거6"/>
      <sheetName val="DATA_입력란7"/>
      <sheetName val="경율산정_XLS6"/>
      <sheetName val="8_설치품셈6"/>
      <sheetName val="조도계산서_(도서)6"/>
      <sheetName val="전차선로_물량표6"/>
      <sheetName val="27_건설이자6"/>
      <sheetName val="9-2_단지투자6"/>
      <sheetName val="9-4_단지분양수납6"/>
      <sheetName val="28_차입금상환계획6"/>
      <sheetName val="10-4_운하물류분양수납6"/>
      <sheetName val="10-2_운하물류투자6"/>
      <sheetName val="※_2010예산총괄표6"/>
      <sheetName val="BTL시설예산_기준표6"/>
      <sheetName val="5_학교신설예산_집행(01~08)6"/>
      <sheetName val="점검결과(08년_100교_지원)6"/>
      <sheetName val="아파트_6"/>
      <sheetName val="EQUIP_LIST5"/>
      <sheetName val="품셈_5"/>
      <sheetName val="5_직원투입현황5"/>
      <sheetName val="6-1__관개량조서5"/>
      <sheetName val="내역-_CCTV6"/>
      <sheetName val="2_대외공문5"/>
      <sheetName val="1_동력공사5"/>
      <sheetName val="예정공정표_5"/>
      <sheetName val="실행내역서_5"/>
      <sheetName val="전체내역_(2)5"/>
      <sheetName val="Raw_Data5"/>
      <sheetName val="7_기-검-보_1005"/>
      <sheetName val="1_설계조건5"/>
      <sheetName val="8_PILE__(돌출)5"/>
      <sheetName val="기본항목_입력5"/>
      <sheetName val="참고)BTL시설예산_기준표5"/>
      <sheetName val="1__조명내역서(조명설치)5"/>
      <sheetName val="2__조명내역서(조명자재)5"/>
      <sheetName val="표지_(3)5"/>
      <sheetName val="원가계산서_(2)5"/>
      <sheetName val="산출_근거15"/>
      <sheetName val="당월_인력5"/>
      <sheetName val="GT_1050x6505"/>
      <sheetName val="0_0ControlSheet5"/>
      <sheetName val="공사원가계산서_5"/>
      <sheetName val="총괄_내역서5"/>
      <sheetName val="2_토목공사5"/>
      <sheetName val="예산서_5"/>
      <sheetName val="96_125"/>
      <sheetName val="사__업__비__수__지__예__산__서5"/>
      <sheetName val="각사별공사비분개_5"/>
      <sheetName val="개별직종노임단가(2005_1)5"/>
      <sheetName val="4_고용보험5"/>
      <sheetName val="3_고용보험료산출근거5"/>
      <sheetName val="단가일람_(2)5"/>
      <sheetName val="PIPERACK_집계표5"/>
      <sheetName val="EQUIPEMENT_집계표5"/>
      <sheetName val="BUILDING_&amp;SHELTER_집계표5"/>
      <sheetName val="OTHERS_집계표5"/>
      <sheetName val="CONTROL_BD5"/>
      <sheetName val="LIFTING_DEVICE5"/>
      <sheetName val="소상_&quot;1&quot;5"/>
      <sheetName val="현장관리비_산출내역4"/>
      <sheetName val="설산1_나5"/>
      <sheetName val="220_(2)5"/>
      <sheetName val="Man_Hole5"/>
      <sheetName val="6_1_일위대가5"/>
      <sheetName val="효성CB_1P기초5"/>
      <sheetName val="2_원가및인원현황집계5"/>
      <sheetName val="De_bai5"/>
      <sheetName val="표지_5"/>
      <sheetName val="지번별_묘묙소요내역5"/>
      <sheetName val="총괄_설계내역서5"/>
      <sheetName val="노임단가(2010_상)5"/>
      <sheetName val="토목내역서_(도급단가)5"/>
      <sheetName val="원가계산서_4"/>
      <sheetName val="화순_대리-다지리실행내역5"/>
      <sheetName val="Isolasi_Luar_Dalam5"/>
      <sheetName val="Isolasi_Luar5"/>
      <sheetName val="breakdown_Price-Chuong5"/>
      <sheetName val="cable,_lighting,_switch5"/>
      <sheetName val="DonGia_VatTuLK5"/>
      <sheetName val="Bang_chiet_tinh_TBA5"/>
      <sheetName val="공통가설내역서__(당사)5"/>
      <sheetName val="2_1_受電設備棟2"/>
      <sheetName val="2_2_受・防火水槽2"/>
      <sheetName val="2_3_排水処理設備棟2"/>
      <sheetName val="2_4_倉庫棟2"/>
      <sheetName val="2_5_守衛棟2"/>
      <sheetName val="Div26_-_Elect2"/>
      <sheetName val="NSA_fr_Revit2"/>
      <sheetName val="MTO_REV_02"/>
      <sheetName val="Area_Cal2"/>
      <sheetName val="[내역서(1)_xls]5_학교신설예산_Ⴘ퀀诋쌆蠅/᠀"/>
      <sheetName val="7_경제성결과"/>
      <sheetName val="5_학교신설예산_쎸⬅/"/>
      <sheetName val="5_학교신설예산_Ⴘ"/>
      <sheetName val="A_"/>
      <sheetName val="[내역서(1)_xls]5_학교신설예산_쎸⬅/"/>
      <sheetName val="[내역서(1)_xls]5_학교신설예산_Ⴘ"/>
      <sheetName val="고객사_관리_코드4"/>
      <sheetName val="96보완계획7_122"/>
      <sheetName val="공사비_내역_(가)"/>
      <sheetName val="방배동내역_(총괄)2"/>
      <sheetName val="노무비_근거1"/>
      <sheetName val="Finishes_code2"/>
      <sheetName val="HD_1-4_세부공종별,업체별_내역(L4)2"/>
      <sheetName val="2F_회의실견적(5_14_일대)2"/>
      <sheetName val="CCTV_수량(배관-송수가압장)"/>
      <sheetName val="97_사업추정(WEKI)"/>
      <sheetName val="공사금액_내역_(1)"/>
      <sheetName val="unit_4"/>
      <sheetName val="Khoi_luong"/>
      <sheetName val="_내역서(ͭ?ͭ?_x0"/>
      <sheetName val="Gia_vat_tu"/>
      <sheetName val="ESTI_"/>
      <sheetName val="Scheme_B_Estimate_"/>
      <sheetName val="Breakdown_(B)"/>
      <sheetName val="이서_빙등제"/>
      <sheetName val="원가계산서(생태쉼터)_"/>
      <sheetName val="방림_토공수량"/>
      <sheetName val="방림_토공_산출근거"/>
      <sheetName val="이서_빙등제_수량집계표"/>
      <sheetName val="이서_빙등제_산출근거"/>
      <sheetName val="자재_집계표"/>
      <sheetName val="FRP_PIPING_일위대가"/>
      <sheetName val="공사예산하조서(O_K)"/>
      <sheetName val="전선_및_전선관"/>
      <sheetName val="°ø»ç¿¹»êÇÏÁ¶¼­(O_K)"/>
      <sheetName val="4_설계예산내역서"/>
      <sheetName val="3_내역서"/>
      <sheetName val="BEND_LOSS"/>
      <sheetName val="건축공사_집계표"/>
      <sheetName val="Don_gia_chi_tiet"/>
      <sheetName val="THU_T6"/>
      <sheetName val="Thu_chi_T04"/>
      <sheetName val="tong_du_toan"/>
      <sheetName val="6PILE脂鎙堀1"/>
      <sheetName val="11_산출(전열)"/>
      <sheetName val="6_산출(동력)"/>
      <sheetName val="7_산출(TRAY)"/>
      <sheetName val="6__안전관리비"/>
      <sheetName val="국도접속_차도부수량"/>
      <sheetName val="공급기자재조서_(2)"/>
      <sheetName val="산출(동해선_본선)"/>
      <sheetName val="집계(동해본선)_"/>
      <sheetName val="거래罈_羌"/>
      <sheetName val="1_암사대교_산출"/>
      <sheetName val="단면_(2)"/>
      <sheetName val="집_계_표"/>
      <sheetName val="PL_Vua"/>
      <sheetName val="환경기계공정표_"/>
      <sheetName val="HARGA_MATERIAL"/>
      <sheetName val="c_&amp;_g_rhs"/>
      <sheetName val="ateCodes?TimeCodes?Overrid钀"/>
      <sheetName val="Summary_-_Budget"/>
      <sheetName val="A_일용노무비지급명세서"/>
      <sheetName val="[내역서(1)_xls]5_학교신설예산_쎸⬅/瀀þ밀1"/>
      <sheetName val="점검결과(08년Ԁ䀀㸎"/>
      <sheetName val="환경기계공정표_"/>
      <sheetName val="5_학교신설예산_집행(01~偤°"/>
      <sheetName val="Phu_cap"/>
      <sheetName val="CABLE SIZE-1"/>
      <sheetName val="분전반계산서(석관)"/>
      <sheetName val="[내역서(1).xls][내역서(1).xls]5____10"/>
      <sheetName val="[내역서(1).xls][내역서(1).xls]5____11"/>
      <sheetName val="[내역서(1).xls][내역서(1).xls]5____12"/>
      <sheetName val="[내역서(1).xls][내역서(1).xls]5____13"/>
      <sheetName val="[내역서(1).xls][내역서(1).xls]단가_(2\_x0000_"/>
      <sheetName val="[내역서(1).xls][내역서(1).xls]단가_(2\栀"/>
      <sheetName val="[내역서(1).xls][내역서(1).xls]5____14"/>
      <sheetName val="[내역서(1).xls][내역서(1).xls]5_____5"/>
      <sheetName val="[내역서(1).xls][내역서(1).xls]5_____6"/>
      <sheetName val="[내역서(1).xls][내역서(1).xls]5_____7"/>
      <sheetName val="[내역서(1).xls][내역서(1).xls]5_____8"/>
      <sheetName val="[내역서(1).xls][내역서(1).xls]______2"/>
      <sheetName val="[내역서(1).xls][내역서(1).xls]______3"/>
      <sheetName val="[내역서(1).xls][내역서(1).xls]5_____9"/>
      <sheetName val="[내역서(1).xls][내역서(1)_xls]5_____2"/>
      <sheetName val="기계경비시간당손료목록"/>
      <sheetName val="간공설계서"/>
      <sheetName val="BOM LIST 정리"/>
      <sheetName val="입고단가 LIST"/>
      <sheetName val="공사내_x0000_"/>
      <sheetName val="NKChungTu"/>
      <sheetName val="5.학교신설예산 쎸⬅_"/>
      <sheetName val="_내역서(1).xls_5.학교신설예산 쎸⬅_"/>
      <sheetName val="_내역서(ͭ_ͭ__x001c__x0"/>
      <sheetName val="ateCodes_TimeCodes_"/>
      <sheetName val="5_학교신설예산_쎸⬅_瀀þ밀"/>
      <sheetName val="5_학교신설예산_Ⴘ퀀诋쌆蠅_᠀"/>
      <sheetName val="단가_(2_"/>
      <sheetName val="단가_(2_栀"/>
      <sheetName val="tong hop v.tu"/>
      <sheetName val="C1_공䂏࿢ﱼ"/>
      <sheetName val="C1_공_x0000_Ԁ"/>
      <sheetName val="기성내역"/>
      <sheetName val="단가_"/>
      <sheetName val="보"/>
      <sheetName val="TEMP (9)"/>
      <sheetName val="初期値設定"/>
      <sheetName val="纏め表"/>
      <sheetName val="見積総括表"/>
      <sheetName val="총괄(Í"/>
      <sheetName val="철콘깨기단산"/>
      <sheetName val="bi-mnthly rep Villa"/>
      <sheetName val="original"/>
      <sheetName val="1999-2000 MONTHLY CASHFLOW"/>
      <sheetName val="장비종합부표"/>
      <sheetName val="집계표_식재"/>
      <sheetName val="부표"/>
      <sheetName val="bi-mnthly_rep_Villa"/>
      <sheetName val="1999-2000_MONTHLY_CASHFLOW"/>
      <sheetName val="5_학교신설예산_쎸⬅_"/>
      <sheetName val="_내역서(ͭ_ͭ__x0"/>
      <sheetName val="_내역서(1)_xls_5_학교신설예산_쎸⬅_"/>
      <sheetName val="keyword"/>
      <sheetName val="과장"/>
      <sheetName val="적용기준"/>
      <sheetName val="내역- ꍈ┊"/>
      <sheetName val="내역- _xdc48_ʉꍈ&gt;"/>
      <sheetName val="일위대가(건축)"/>
      <sheetName val="계측제어설비"/>
      <sheetName val="ateCodes?TimeCod_xd978_ꀋᙰ0_x0000_頀{_x0000__x0000_堀簊夞ĸ"/>
      <sheetName val="ateCodes?TimeCod_xd80b_齒ꀈᙰ0_x0000__xd800_Y_x0000__x0000_堀䠊夙ĸ"/>
      <sheetName val="환경기계공정표_髈㘻_x0000__x0000_"/>
      <sheetName val="환경기계공정표_艀㫐_x0000__x0000_"/>
      <sheetName val="환경기계공정표_蔀㫐_x0000__x0000_"/>
      <sheetName val="Price Database"/>
      <sheetName val="KHỐI_LƯỢNG_THANH_TOÁN"/>
      <sheetName val="DB_ET200(R__A)"/>
      <sheetName val="Bill_2-VMart&amp;VPro"/>
      <sheetName val="Cst_Pkg-Eden"/>
      <sheetName val="TOSHIBA-Structure"/>
      <sheetName val="Detail"/>
      <sheetName val="cov-estimate"/>
      <sheetName val="ประมาณการประตูหน้าต่าง_1"/>
      <sheetName val="schedule_1"/>
      <sheetName val="SITE_OFFICE1"/>
      <sheetName val="w't_table1"/>
      <sheetName val="ate蠀᏿㤂"/>
      <sheetName val="1_사유서"/>
      <sheetName val="계장_품셈표"/>
      <sheetName val="ateCఀ저殑"/>
      <sheetName val="_갑__지_10"/>
      <sheetName val="Project_Name1"/>
      <sheetName val="Deliver_Date1"/>
      <sheetName val="(1)_국내_사이트_상세_주소_"/>
      <sheetName val="0__수출,수입_건수"/>
      <sheetName val="1__수출_해상_(LCL)_"/>
      <sheetName val="2__수출_항공_"/>
      <sheetName val="(2-3)_수출_특송"/>
      <sheetName val="3__수출_내륙_운송료"/>
      <sheetName val="4__수입_해상_(FCL)"/>
      <sheetName val="5__수입_해상_(LCL)_"/>
      <sheetName val="6__수입_항공_"/>
      <sheetName val="(3-4)_수입_특송_"/>
      <sheetName val="7__수입_내륙_운송료"/>
      <sheetName val="8__창고료"/>
      <sheetName val="9__내륙_운송"/>
      <sheetName val="10__추가_제안_및_기타"/>
      <sheetName val="운송내역_"/>
      <sheetName val="3_PT개발계획"/>
      <sheetName val="24_보증금(전신전화가입권)"/>
      <sheetName val="Ⅴ-2_공종별내역"/>
      <sheetName val="PTDG_(T3)"/>
      <sheetName val="PTDG_(T4)"/>
      <sheetName val="[내역서(1)_xls][내역서(1)_xls]5_____2"/>
      <sheetName val="[내역서(1)_xls]단가_(2\"/>
      <sheetName val="[내역서(1)_xls]단가_(2\栀"/>
      <sheetName val="[내역서(1)_xls][내역서(1)_xls]5_____3"/>
      <sheetName val="[내역서(1)_xls][내역서(1)_xls]5_____4"/>
      <sheetName val="AnalisaSIPIL_RIIL"/>
      <sheetName val="D_5243-ARAMCO"/>
      <sheetName val="D-4801_OXY"/>
      <sheetName val="배수내역_(2)"/>
      <sheetName val="Har_Sat"/>
      <sheetName val="2000,9월_일위"/>
      <sheetName val="Analisa_Harga_Satuan"/>
      <sheetName val="KLDT_DIEN"/>
      <sheetName val="Dinh_muc_CP_KTCB_khac"/>
      <sheetName val="TH_MTC"/>
      <sheetName val="TH_N_Cong"/>
      <sheetName val="Eq__Mobilization"/>
      <sheetName val="Du_toan"/>
      <sheetName val="6PILEሀ䀀⨊脃ﲙ"/>
      <sheetName val="수량계산서_집계표(가설_신설_및_철거-을지로3가_3ఀက"/>
      <sheetName val="노원열병합__건축공사기성내역서"/>
      <sheetName val="_내역서(ͭ_ͭ___x"/>
      <sheetName val="토공_total"/>
      <sheetName val="ENE-CAL_1"/>
      <sheetName val="배수공_시멘트_및_골재량_산출"/>
      <sheetName val="단가_및邰㡗㡗"/>
      <sheetName val="한전일위"/>
      <sheetName val="BCulSch"/>
      <sheetName val="statement"/>
      <sheetName val="Build Up Rates"/>
      <sheetName val="토공계산서(부체도로)"/>
      <sheetName val="침하계"/>
      <sheetName val="J直材4"/>
      <sheetName val="MP01"/>
      <sheetName val="MP02"/>
      <sheetName val="공사기본내용입력"/>
      <sheetName val="ateCodes?TimeCodes?OverrideSho_x0002_"/>
      <sheetName val="계좌분리(_xdae0_䛸+"/>
      <sheetName val="시선유도표지집계표"/>
      <sheetName val="_내역서(ͭ_x005f"/>
      <sheetName val="ateCodes_x005f"/>
      <sheetName val="ee-prop"/>
      <sheetName val="계좌분리郁蒬퀤蒭"/>
      <sheetName val="계좌분리蘎ꨃ㟑"/>
      <sheetName val="발행"/>
      <sheetName val="신축넃䛀跡"/>
      <sheetName val="폐기물"/>
      <sheetName val="_______x005f_x0000___x005f_x0000__x005f_x001c___2"/>
      <sheetName val="ateCodes_x005f_x0000_TimeCodes_x000_2"/>
      <sheetName val="_______x005f_x005f_x005f_x0000___x005f_x005f_x0_2"/>
      <sheetName val="ateCodes_x005f_x005f_x005f_x0000_TimeCode_2"/>
      <sheetName val="__________x005f_x005f_x005f_x001c___x005f_x005f_2"/>
      <sheetName val="수_x005f_x0000_"/>
      <sheetName val="_______x005f_x005f_x005f_x0000___x005f_x005f_x0_3"/>
      <sheetName val="__________x005f_x005f_x005f_x001c___x005f_x005f_3"/>
      <sheetName val="수Å_x005f_x0000_"/>
      <sheetName val="수뢹_x005f_xdd4d_"/>
      <sheetName val="A__x005f_x0010__x005f_x0000_"/>
      <sheetName val="5____________x005f_x0000____x005f_x0000___2"/>
      <sheetName val="5.학교신설예산 Ⴘ_x005f_x0000_퀀诋쌆蠅/_x005f_x0000_᠀"/>
      <sheetName val="신축(_x005f_x0000__x005f_x0000__x005f_x0005_"/>
      <sheetName val="단가_및_재료_x005f_xdab0_"/>
      <sheetName val="_______x005f_x005f_x005f_x005f_x005f_x005f_x000_2"/>
      <sheetName val="ateCodes_x005f_x005f_x005f_x005f_x005f_x005f_x0_2"/>
      <sheetName val="__________x005f_x005f_x005f_x005f_x005f_x005f_x_2"/>
      <sheetName val="[내역서(1).xls]5____________x000_2"/>
      <sheetName val="11-2_아파_x005f_x0000__x005f_x0000_Ԁ_x005f_x0000_"/>
      <sheetName val="_내역서(ͭ_x005f_x005f_x005f_x0000_ͭ_x000"/>
      <sheetName val="_내역서(ͭ_ͭ__x005f_x005f_x005f_x001c___x"/>
      <sheetName val="사_x005f_x0000__x005f_x0000_Ԁ"/>
      <sheetName val="설계_x005f_x0000_"/>
      <sheetName val="전선_및_전선관-_x005f_x0000__x005f_x0000__x005f_x0005_"/>
      <sheetName val="신축(단위_x005f_x0000_"/>
      <sheetName val="Sheet㙸˯㦀ȼ_x005f_xda1b_!"/>
      <sheetName val="_내역서(ͭ?ͭ?_x005f_x001c__x0"/>
      <sheetName val="단가_(2\_x005f_x0000_"/>
      <sheetName val="A__x005f_x0010_"/>
      <sheetName val="사_x005f_x0000__x005f_x0000__x005f_x0000_"/>
      <sheetName val="방배동내역(_x005f_x0000__x005f_x0000_"/>
      <sheetName val="[내역서(1).xls]5__________x005f_x0000__2"/>
      <sheetName val="환경기계공정표_(3_x005f_x0000__x005f_x0000_"/>
      <sheetName val="환경기계공정표__x005f_x0005__x005f_x0000__x005f_x0000_"/>
      <sheetName val="_______x005f_x0000__x005f_x0000__x005f_x0000__x_2"/>
      <sheetName val="환경기계공정표_(3)_x005f_x0012_"/>
      <sheetName val="A_견_x005f_x0000__x005f_x0000_"/>
      <sheetName val="환경기계공정표__x005f_x0005_"/>
      <sheetName val="교각_x005f_x0000_"/>
      <sheetName val="ateCఀ_x005f_x0002_저殑"/>
      <sheetName val="[내역서(ͭ_x005f_x0000__x005f_x0000_Ԁ"/>
      <sheetName val="_______x005f_x005f_x005f_x0000___x005f_x005f_x0_4"/>
      <sheetName val="__________x005f_x005f_x005f_x001c___x005f_x005f_4"/>
      <sheetName val="ateCodes_TimeCodes_Overrid_x0_2"/>
      <sheetName val="_갑___x005f_x0000__x005f_x0000_"/>
      <sheetName val="6PILE脂鎙堀1_x005f_x0013__x005f_x0000__x005f_x0000_"/>
      <sheetName val="간¾_x005f_x0000_Ԁ"/>
      <sheetName val="_______x005f_x005f_x005f_x005f_x005f_x005f_x000_3"/>
      <sheetName val="__________x005f_x005f_x005f_x005f_x005f_x005f_x_3"/>
      <sheetName val="_______x005f_x005f_x005f_x005f_x005f_x005f_x005_2"/>
      <sheetName val="ateCodes_x005f_x005f_x005f_x005f_x005f_x005f_x0_3"/>
      <sheetName val="__________x005f_x005f_x005f_x005f_x005f_x005f_x_4"/>
      <sheetName val="양식_x0000_"/>
      <sheetName val="외동,공시지가"/>
      <sheetName val="ptvt"/>
      <sheetName val="1.R18 BF"/>
      <sheetName val="A"/>
      <sheetName val="G"/>
      <sheetName val="F-B"/>
      <sheetName val="H-J"/>
      <sheetName val="6.External works-R18"/>
      <sheetName val="Items"/>
      <sheetName val="Earthwork"/>
      <sheetName val="6MONTHS"/>
      <sheetName val="LE"/>
      <sheetName val="BLOCK C2"/>
      <sheetName val="WORK"/>
      <sheetName val="공사비증감"/>
      <sheetName val="모래운반"/>
      <sheetName val="수량계산서_집계표(철거-_x0000__x0000_즈ɐ:_xdef0_㄀_x0000__x0000_"/>
      <sheetName val="수량계산서_집계표(철거-_x0000__x0000_즈ɐ:⏰ヿ_x0000__x0000_"/>
      <sheetName val="수량계산서_집계표(철거-:_xdf10_‭_x0000__x0000__x0000__x0000_冘˚"/>
      <sheetName val="수량계산서_집계표(철거-:ᬐ‭_x0000__x0000__x0000__x0000_冘˚"/>
      <sheetName val="__"/>
      <sheetName val="1_변경범위2"/>
      <sheetName val="BOX(1_5X1_5)2"/>
      <sheetName val="선박별_배부2"/>
      <sheetName val="2000년_공정표2"/>
      <sheetName val="1062-X방향_1"/>
      <sheetName val="comps_LFY+2"/>
      <sheetName val="HDI_implied2"/>
      <sheetName val="임의_매출-수정전2"/>
      <sheetName val="채권_현황2"/>
      <sheetName val="CC_Down_load_07162"/>
      <sheetName val="요일별시간대별_근무인원_그래프2"/>
      <sheetName val="1_매출액2"/>
      <sheetName val="2_원가2"/>
      <sheetName val="10_인원2"/>
      <sheetName val="2_호선별예상실적2"/>
      <sheetName val="생산매출_(4)2"/>
      <sheetName val="1월_예산2"/>
      <sheetName val="대차대조표_(2)2"/>
      <sheetName val="환율_및_참고2"/>
      <sheetName val="_총괄표1"/>
      <sheetName val="3800-400_기계감가1"/>
      <sheetName val="입찰내역_발주처_양식"/>
      <sheetName val="3월팀계"/>
      <sheetName val="[내역서(ͭͭ_x02"/>
      <sheetName val="[내역서(ͭͭ_x03"/>
      <sheetName val="[내역서(ͭͭ_x04"/>
      <sheetName val="[내역서(ͭͭ_x05"/>
      <sheetName val="[내역서(ͭͭ_x06"/>
      <sheetName val="[내역서(ͭͭ_x07"/>
      <sheetName val="[내역서(ͭͭ_x08"/>
      <sheetName val="[내역서(ͭͭ_x09"/>
      <sheetName val="[내역서(ͭͭ_x010"/>
      <sheetName val="[내역서(ͭͭ_x011"/>
      <sheetName val="[내역서(ͭͭ_x012"/>
      <sheetName val="[내역서(ͭͭ_x013"/>
      <sheetName val="[내역서(ͭͭ_x014"/>
      <sheetName val="_기성청구서_양식_xlsx"/>
      <sheetName val="Bang_TH"/>
      <sheetName val="06_일위대가목록"/>
      <sheetName val="견적대비(1차)_(2)"/>
      <sheetName val="대분류_ITEM별_분석(3월)"/>
      <sheetName val="2_损益表1"/>
      <sheetName val="4_PL1"/>
      <sheetName val="6_BS1"/>
      <sheetName val="9_차입,대여금1"/>
      <sheetName val="2-2_매출분석1"/>
      <sheetName val="6_PL1"/>
      <sheetName val="4_成本明细表1"/>
      <sheetName val="7_6大成本明细表1"/>
      <sheetName val="4_추정손익1"/>
      <sheetName val="2_매출원가1"/>
      <sheetName val="3_일반관리,영업외1"/>
      <sheetName val="5_管理费明细表1"/>
      <sheetName val="6_营业外收支明细表1"/>
      <sheetName val="3_收入明细表1"/>
      <sheetName val="토공(우물통,기타)_"/>
      <sheetName val="6PILE__(効"/>
      <sheetName val="LS"/>
      <sheetName val="M1master"/>
      <sheetName val="건물"/>
      <sheetName val="1분기재고장"/>
      <sheetName val="2분기재고"/>
      <sheetName val="총괄(데이소劼"/>
      <sheetName val="조정금액결과표 (차수별)"/>
      <sheetName val="전선_및_전선관-자㢾㝎"/>
      <sheetName val="보.기둥표"/>
      <sheetName val="PROFILE"/>
      <sheetName val="마감재표"/>
      <sheetName val="창호"/>
      <sheetName val="품셈衆"/>
      <sheetName val="1.취수장"/>
      <sheetName val="발주참고#"/>
      <sheetName val="노임변동률"/>
      <sheetName val="총공사비"/>
      <sheetName val="수액원료4"/>
      <sheetName val="장비 (2)"/>
      <sheetName val="금리계산"/>
      <sheetName val="영외수지"/>
      <sheetName val="전동기"/>
      <sheetName val="단가(공통)"/>
      <sheetName val="대부예산서"/>
      <sheetName val="공정코드"/>
      <sheetName val="내역총괄"/>
      <sheetName val="내역총괄2"/>
      <sheetName val="내역총괄3"/>
      <sheetName val="선수금"/>
      <sheetName val="Total All By Trades highest 1st"/>
      <sheetName val="원가서"/>
      <sheetName val="M.o.S. Schedule"/>
      <sheetName val="기준액"/>
      <sheetName val="SCE_LOG"/>
      <sheetName val="PROJ. DATA"/>
      <sheetName val=" Beams Sched "/>
      <sheetName val="5.동별횡주관경"/>
      <sheetName val="별첨2.발주예정"/>
      <sheetName val="부하자료"/>
      <sheetName val="3BL공동구 수량"/>
      <sheetName val="공사설계서"/>
      <sheetName val="동해묵호1내역"/>
      <sheetName val="준검 내역서"/>
      <sheetName val="통계자료"/>
      <sheetName val="93D"/>
      <sheetName val="94D"/>
      <sheetName val="95D"/>
      <sheetName val="      "/>
      <sheetName val="SJB-101"/>
      <sheetName val="SLAB&quot;1&quot;"/>
      <sheetName val="선급비용"/>
      <sheetName val="골재산출"/>
      <sheetName val="기술부대조건"/>
      <sheetName val="Total_All_By_Trades_highest_1st"/>
      <sheetName val="M_o_S__Schedule"/>
      <sheetName val="1_취수장"/>
      <sheetName val="PROJ__DATA"/>
      <sheetName val="_Beams_Sched_"/>
      <sheetName val="4차원가계산서"/>
      <sheetName val="토목내역 (2)"/>
      <sheetName val="Num_Word1"/>
      <sheetName val="시산표"/>
      <sheetName val="본사재고"/>
      <sheetName val="손익계산서PL"/>
      <sheetName val="현금성자산,단기금융"/>
      <sheetName val="매출채권"/>
      <sheetName val="대여,공사,분양미수금,미수수익"/>
      <sheetName val="미수금"/>
      <sheetName val="선급금,선급법인세,선급비용"/>
      <sheetName val="재고자산,임대주택자산"/>
      <sheetName val="장기금융,장기투자,보증금"/>
      <sheetName val="유,무형자산"/>
      <sheetName val="건중,장기미수금,보증금"/>
      <sheetName val="매입채무"/>
      <sheetName val="미지급금"/>
      <sheetName val="단기,장기차입금"/>
      <sheetName val="분양,임대선수금"/>
      <sheetName val="예수금,미지급비용,예수보증금"/>
      <sheetName val="장기보증금"/>
      <sheetName val="퇴충,하자충"/>
      <sheetName val="자본금"/>
      <sheetName val="영업부문분류"/>
      <sheetName val="BOX"/>
      <sheetName val="자재단가_x0000__x0000__x0005_"/>
      <sheetName val="철거폐쇄,고재"/>
      <sheetName val="자재,부설,부대공(50)"/>
      <sheetName val="재료,부설(80)"/>
      <sheetName val="품셈Å"/>
      <sheetName val="설계_x0005_"/>
      <sheetName val="C1_공_x0000__x0000_"/>
      <sheetName val="C1_공_x0019__x0000__x0000_"/>
      <sheetName val="3-2. 산재고용보험료"/>
      <sheetName val="6-1. 관개량_x0000__x0000_"/>
      <sheetName val="환경기계공정표_腰╙_x0000__x0000_"/>
      <sheetName val="환경기계공정표_〃ᇐᖗ"/>
      <sheetName val="산출근거#2-3"/>
      <sheetName val="Sur Site"/>
      <sheetName val="Spool Index"/>
      <sheetName val="분석적검토"/>
      <sheetName val="현금흐름표"/>
      <sheetName val="12CGOU"/>
      <sheetName val="업체별공사이행등급"/>
      <sheetName val="5.직倳즪စ즬_x0005_"/>
      <sheetName val="5.직耳䀪*"/>
      <sheetName val="상용"/>
      <sheetName val="현장지지물물량"/>
      <sheetName val="CAP"/>
      <sheetName val="dV&amp;Cl"/>
      <sheetName val="Var."/>
      <sheetName val="R"/>
      <sheetName val="C1_공_x001c_"/>
      <sheetName val="ateCodeñ"/>
      <sheetName val="C1_공则_x0010__x0000_"/>
      <sheetName val="ateCode勱"/>
      <sheetName val="결재판(삭제하지말아주세요)"/>
      <sheetName val="산거각호표"/>
      <sheetName val="MIJIBI"/>
      <sheetName val="노임9월"/>
      <sheetName val="사고96"/>
      <sheetName val="자금운용계획표"/>
      <sheetName val="남양내역"/>
      <sheetName val="제품목록"/>
      <sheetName val="lee"/>
      <sheetName val="집계표소트"/>
      <sheetName val="ATM기초철가"/>
      <sheetName val="인원계획-미화"/>
      <sheetName val="환산"/>
      <sheetName val="통계연보"/>
      <sheetName val="2.1  노무비 평균단가산출"/>
      <sheetName val="인력투입산출"/>
      <sheetName val="전체실적"/>
      <sheetName val="효율계획(당월)"/>
      <sheetName val="제조부문배부"/>
      <sheetName val="SCH- % WT."/>
      <sheetName val="OVERALL CURVE"/>
      <sheetName val="흑관"/>
      <sheetName val="산출2-기기동력"/>
      <sheetName val="건축공사椂軶"/>
      <sheetName val="건축공사椂軶저"/>
      <sheetName val="건축공사椂軶 "/>
      <sheetName val="건축공사栀ᬧ,"/>
      <sheetName val="건축공사糥嬲䀂"/>
      <sheetName val="투자계획집계표"/>
      <sheetName val="ACC NW"/>
      <sheetName val="유지보수"/>
      <sheetName val="이동통신"/>
      <sheetName val="II SYS"/>
      <sheetName val="해외"/>
      <sheetName val="LOOKUP"/>
      <sheetName val="건____재"/>
      <sheetName val="ateCodes?TimeCod_xd978_ꀋᙰ0"/>
      <sheetName val="ateCodes?TimeCod_xd80b_齒ꀈᙰ0"/>
      <sheetName val="대차대조표"/>
      <sheetName val="재무비율"/>
      <sheetName val="참_x0000__x0000_Ԁ"/>
      <sheetName val="[내역서(ͭ_x0000_ͭ_x0000_ _x0000_ _x0000_가표"/>
      <sheetName val="[내역서(ͭ?ͭ? ? ?가표"/>
      <sheetName val="적용요율"/>
      <sheetName val="설계개요"/>
      <sheetName val="환경검토직접경비"/>
      <sheetName val="환경검토총괄"/>
      <sheetName val="환경검토직접인건비"/>
      <sheetName val="비열"/>
      <sheetName val="PLCAL"/>
      <sheetName val="⑤항목별2"/>
      <sheetName val="DGG"/>
      <sheetName val="MAIN GATE HOUSE"/>
      <sheetName val="조선용암면"/>
      <sheetName val="TONG NUOCGOC"/>
      <sheetName val="단가_및_재료?"/>
      <sheetName val="Doi so"/>
      <sheetName val="_내역서(1).xls_5.학교신설예산 Ⴘ"/>
      <sheetName val="Main"/>
      <sheetName val="Bar-Data"/>
      <sheetName val="13.접속슬래브"/>
      <sheetName val="3연box"/>
      <sheetName val="S-Curve"/>
      <sheetName val="부재력정리"/>
      <sheetName val="TYPE-B 평균H"/>
      <sheetName val="B1"/>
      <sheetName val="Civil"/>
      <sheetName val="CIM"/>
      <sheetName val="DD EST."/>
      <sheetName val="KP_List"/>
      <sheetName val="LIBRARY"/>
      <sheetName val="GESTION FICHE"/>
      <sheetName val="TRADUCTION LISTES"/>
      <sheetName val="Schedule S-Curve Revision#3"/>
      <sheetName val="RFP002"/>
      <sheetName val="BOQ segment3 (Part C-H)"/>
      <sheetName val="VF Full Recon"/>
      <sheetName val="BOQ segment3 (PartB)"/>
      <sheetName val="eqpmt"/>
      <sheetName val="性能取り纏め"/>
      <sheetName val="Materials"/>
      <sheetName val="見管ＧＴ"/>
      <sheetName val="EXR"/>
      <sheetName val="NDC HW Repair"/>
      <sheetName val="Derive"/>
      <sheetName val="prod-rates2"/>
      <sheetName val="CFA"/>
      <sheetName val="Main Bldg."/>
      <sheetName val="prices"/>
      <sheetName val="RATES"/>
      <sheetName val="Summary - Buildings"/>
      <sheetName val="CashFlwProjections"/>
      <sheetName val="NC"/>
      <sheetName val="取纏"/>
      <sheetName val="INPUT DATA HERE"/>
      <sheetName val="想定価格"/>
      <sheetName val="costing_ESDV"/>
      <sheetName val="costing_FE"/>
      <sheetName val="costing_Misc"/>
      <sheetName val="costing_MOV"/>
      <sheetName val="costing_Press"/>
      <sheetName val="eq_data"/>
      <sheetName val="Equipt Rental"/>
      <sheetName val="BM DATA SHEET"/>
      <sheetName val="Electrical Pricelist"/>
      <sheetName val="Other"/>
      <sheetName val="Building"/>
      <sheetName val="Dico"/>
      <sheetName val="C_E"/>
      <sheetName val="ACMV"/>
      <sheetName val="markup"/>
      <sheetName val="Resource"/>
      <sheetName val="A.1.1(e)"/>
      <sheetName val="A.1.4"/>
      <sheetName val="A.1.1(d)"/>
      <sheetName val="A.1.3"/>
      <sheetName val="A.1.2(a)"/>
      <sheetName val="A.1.1(a)"/>
      <sheetName val="적용환율"/>
      <sheetName val="corbeldatail"/>
      <sheetName val="I.설계조건"/>
      <sheetName val="Bill 2 -RETAIL"/>
      <sheetName val="tabulation (comparison)"/>
      <sheetName val="TABLO-3"/>
      <sheetName val="LOADS"/>
      <sheetName val="Code 07"/>
      <sheetName val="단면"/>
      <sheetName val="SANBAISU"/>
      <sheetName val="[내역서(ͭ_x005f_x0000_ͭ_x005f_x005f_x000"/>
      <sheetName val="[내역서(ͭ?ͭ?_x005f_x001c_?_x005f_x005f_x"/>
      <sheetName val="_내역서(ͭ_x005f_x005f_x005F?"/>
      <sheetName val="ateCodes_x005f_x005f_x000"/>
      <sheetName val="_내역서(ͭ_ͭ__x005f_x005f_x00"/>
      <sheetName val="단가_및邰㡗?㡗"/>
      <sheetName val="협가표"/>
      <sheetName val="수입2"/>
      <sheetName val="loading"/>
      <sheetName val="빌딩 안내"/>
      <sheetName val="제비용"/>
      <sheetName val="C1_공_x0019__x0000_꤀"/>
      <sheetName val="판넬"/>
      <sheetName val="철골"/>
      <sheetName val="내역서(1).xls"/>
      <sheetName val="%EB%82%B4%EC%97%AD%EC%84%9C(1)."/>
      <sheetName val="중강당 내역"/>
      <sheetName val="세금계산서 "/>
      <sheetName val="출고대장"/>
      <sheetName val="거래명세표"/>
      <sheetName val="거래⺿g"/>
      <sheetName val="빙축열"/>
      <sheetName val="환경기계공정표_¹_x0000_Ԁ_x0000_"/>
      <sheetName val="주공_갑_x0000_"/>
      <sheetName val="단가_(2_x0000__x0000_"/>
      <sheetName val="Customer_Datab뇠ᜑ"/>
      <sheetName val="Customer_Datab먠᜽"/>
      <sheetName val="영동癰၎_x0000_"/>
      <sheetName val="설치내역서"/>
      <sheetName val="실DATA_10"/>
      <sheetName val="코스모공장_(어음)9"/>
      <sheetName val="A_견적9"/>
      <sheetName val="환경기계공정표_(3)9"/>
      <sheetName val="Sheet1_(2)9"/>
      <sheetName val="총_원가계산9"/>
      <sheetName val="단가_(2)9"/>
      <sheetName val="6PILE__(돌출)9"/>
      <sheetName val="총괄갑_9"/>
      <sheetName val="11-2_아파트내역9"/>
      <sheetName val="내역서1999_8최종9"/>
      <sheetName val="기초입력_DATA8"/>
      <sheetName val="노임단가_(2)8"/>
      <sheetName val="1차_내역서8"/>
      <sheetName val="BSD_(2)8"/>
      <sheetName val="설명서_8"/>
      <sheetName val="2-1__경관조명_내역총괄표8"/>
      <sheetName val="_견적서8"/>
      <sheetName val="플랜트_설치8"/>
      <sheetName val="중기조종사_단위단가8"/>
      <sheetName val="신_분8"/>
      <sheetName val="인건비_8"/>
      <sheetName val="수량계산서_집계표(가설_신설_및_철거-을지로3가_3호선8"/>
      <sheetName val="수량계산서_집계표(신설-을지로3가_3호선)8"/>
      <sheetName val="수량계산서_집계표(철거-을지로3가_3호선)8"/>
      <sheetName val="일위대가_8"/>
      <sheetName val="전선_및_전선관-자유로8"/>
      <sheetName val="3월팀계_8"/>
      <sheetName val="Customer_Databas8"/>
      <sheetName val="C1_공사개요8"/>
      <sheetName val="A1_스케쥴8"/>
      <sheetName val="단가_및_재료비8"/>
      <sheetName val="AS포장복구_8"/>
      <sheetName val="G_R300경비8"/>
      <sheetName val="아파트_내역8"/>
      <sheetName val="DATA_입력란8"/>
      <sheetName val="주공_갑지8"/>
      <sheetName val="경율산정_XLS7"/>
      <sheetName val="전차선로_물량표7"/>
      <sheetName val="조도계산서_(도서)7"/>
      <sheetName val="1_동력공사6"/>
      <sheetName val="2_고용보험료산출근거7"/>
      <sheetName val="27_건설이자7"/>
      <sheetName val="9-2_단지투자7"/>
      <sheetName val="9-4_단지분양수납7"/>
      <sheetName val="28_차입금상환계획7"/>
      <sheetName val="10-4_운하물류분양수납7"/>
      <sheetName val="10-2_운하물류투자7"/>
      <sheetName val="※_2010예산총괄표7"/>
      <sheetName val="내역서_제출7"/>
      <sheetName val="8_설치품셈7"/>
      <sheetName val="아파트_7"/>
      <sheetName val="품셈_6"/>
      <sheetName val="1_설계조건6"/>
      <sheetName val="EQUIP_LIST6"/>
      <sheetName val="6-1__관개량조서6"/>
      <sheetName val="BTL시설예산_기준표7"/>
      <sheetName val="5_학교신설예산_집행(01~08)7"/>
      <sheetName val="점검결과(08년_100교_지원)7"/>
      <sheetName val="표지_(3)6"/>
      <sheetName val="원가계산서_(2)6"/>
      <sheetName val="산출_근거16"/>
      <sheetName val="Raw_Data6"/>
      <sheetName val="전체내역_(2)6"/>
      <sheetName val="실행내역서_6"/>
      <sheetName val="5_직원투입현황6"/>
      <sheetName val="예정공정표_6"/>
      <sheetName val="7_기-검-보_1006"/>
      <sheetName val="내역-_CCTV7"/>
      <sheetName val="2_대외공문6"/>
      <sheetName val="기본항목_입력6"/>
      <sheetName val="공사원가계산서_6"/>
      <sheetName val="1__조명내역서(조명설치)6"/>
      <sheetName val="2__조명내역서(조명자재)6"/>
      <sheetName val="8_PILE__(돌출)6"/>
      <sheetName val="참고)BTL시설예산_기준표6"/>
      <sheetName val="단가일람_(2)6"/>
      <sheetName val="96_126"/>
      <sheetName val="GT_1050x6506"/>
      <sheetName val="2_토목공사6"/>
      <sheetName val="사__업__비__수__지__예__산__서6"/>
      <sheetName val="각사별공사비분개_6"/>
      <sheetName val="개별직종노임단가(2005_1)6"/>
      <sheetName val="총괄_내역서6"/>
      <sheetName val="4_고용보험6"/>
      <sheetName val="3_고용보험료산출근거6"/>
      <sheetName val="PIPERACK_집계표6"/>
      <sheetName val="EQUIPEMENT_집계표6"/>
      <sheetName val="BUILDING_&amp;SHELTER_집계표6"/>
      <sheetName val="OTHERS_집계표6"/>
      <sheetName val="CONTROL_BD6"/>
      <sheetName val="LIFTING_DEVICE6"/>
      <sheetName val="220_(2)6"/>
      <sheetName val="Man_Hole6"/>
      <sheetName val="소상_&quot;1&quot;6"/>
      <sheetName val="당월_인력6"/>
      <sheetName val="0_0ControlSheet6"/>
      <sheetName val="설산1_나6"/>
      <sheetName val="공통가설내역서__(당사)6"/>
      <sheetName val="2_원가및인원현황집계6"/>
      <sheetName val="De_bai6"/>
      <sheetName val="표지_6"/>
      <sheetName val="지번별_묘묙소요내역6"/>
      <sheetName val="총괄_설계내역서6"/>
      <sheetName val="6_1_일위대가6"/>
      <sheetName val="효성CB_1P기초6"/>
      <sheetName val="예산서_6"/>
      <sheetName val="화순_대리-다지리실행내역6"/>
      <sheetName val="노임단가(2010_상)6"/>
      <sheetName val="원가계산서_5"/>
      <sheetName val="토목내역서_(도급단가)6"/>
      <sheetName val="Isolasi_Luar_Dalam6"/>
      <sheetName val="Isolasi_Luar6"/>
      <sheetName val="breakdown_Price-Chuong6"/>
      <sheetName val="cable,_lighting,_switch6"/>
      <sheetName val="DonGia_VatTuLK6"/>
      <sheetName val="Bang_chiet_tinh_TBA6"/>
      <sheetName val="현장관리비_산출내역5"/>
      <sheetName val="고객사_관리_코드5"/>
      <sheetName val="2_1_受電設備棟3"/>
      <sheetName val="2_2_受・防火水槽3"/>
      <sheetName val="2_3_排水処理設備棟3"/>
      <sheetName val="2_4_倉庫棟3"/>
      <sheetName val="2_5_守衛棟3"/>
      <sheetName val="Div26_-_Elect3"/>
      <sheetName val="NSA_fr_Revit3"/>
      <sheetName val="MTO_REV_03"/>
      <sheetName val="Area_Cal3"/>
      <sheetName val="96보완계획7_123"/>
      <sheetName val="공사비_내역_(가)1"/>
      <sheetName val="방배동내역_(총괄)3"/>
      <sheetName val="노무비_근거2"/>
      <sheetName val="Finishes_code3"/>
      <sheetName val="HD_1-4_세부공종별,업체별_내역(L4)3"/>
      <sheetName val="2F_회의실견적(5_14_일대)3"/>
      <sheetName val="97_사업추정(WEKI)1"/>
      <sheetName val="공사금액_내역_(1)1"/>
      <sheetName val="FRP_PIPING_일위대가1"/>
      <sheetName val="CCTV_수량(배관-송수가압장)1"/>
      <sheetName val="공사예산하조서(O_K)1"/>
      <sheetName val="전선_및_전선관1"/>
      <sheetName val="°ø»ç¿¹»êÇÏÁ¶¼­(O_K)1"/>
      <sheetName val="4_설계예산내역서1"/>
      <sheetName val="3_내역서1"/>
      <sheetName val="BEND_LOSS1"/>
      <sheetName val="건축공사_집계표1"/>
      <sheetName val="Khoi_luong1"/>
      <sheetName val="Gia_vat_tu1"/>
      <sheetName val="7_경제성결과1"/>
      <sheetName val="ESTI_1"/>
      <sheetName val="Breakdown_(B)1"/>
      <sheetName val="Don_gia_chi_tiet1"/>
      <sheetName val="Scheme_B_Estimate_1"/>
      <sheetName val="5_학교신설예산_쎸⬅/1"/>
      <sheetName val="5_학교신설예산_Ⴘ1"/>
      <sheetName val="THU_T61"/>
      <sheetName val="Thu_chi_T041"/>
      <sheetName val="tong_du_toan1"/>
      <sheetName val="공급기자재조서_(2)1"/>
      <sheetName val="산출(동해선_본선)1"/>
      <sheetName val="집계(동해본선)_1"/>
      <sheetName val="거래罈_羌1"/>
      <sheetName val="이서_빙등제1"/>
      <sheetName val="원가계산서(생태쉼터)_1"/>
      <sheetName val="방림_토공수량1"/>
      <sheetName val="방림_토공_산출근거1"/>
      <sheetName val="이서_빙등제_수량집계표1"/>
      <sheetName val="이서_빙등제_산출근거1"/>
      <sheetName val="자재_집계표1"/>
      <sheetName val="1_암사대교_산출1"/>
      <sheetName val="단면_(2)1"/>
      <sheetName val="집_계_표1"/>
      <sheetName val="PL_Vua1"/>
      <sheetName val="unit_41"/>
      <sheetName val="DB_ET200(R__A)1"/>
      <sheetName val="Summary_-_Budget1"/>
      <sheetName val="[내역서(1)_xls]5_학교신설예산_쎸⬅/1"/>
      <sheetName val="[내역서(1)_xls]5_학교신설예산_Ⴘ1"/>
      <sheetName val="HARGA_MATERIAL1"/>
      <sheetName val="c_&amp;_g_rhs1"/>
      <sheetName val="_갑__지_11"/>
      <sheetName val="KHỐI_LƯỢNG_THANH_TOÁN1"/>
      <sheetName val="Phu_cap1"/>
      <sheetName val="[내역서(1)_xls]5_학교신설예산_쎸⬅/瀀þ밀2"/>
      <sheetName val="11_산출(전열)1"/>
      <sheetName val="6_산출(동력)1"/>
      <sheetName val="7_산출(TRAY)1"/>
      <sheetName val="6__안전관리비1"/>
      <sheetName val="국도접속_차도부수량1"/>
      <sheetName val="[내역서(1)_xls]5_학교신설예산_Ⴘ퀀诋쌆蠅/᠀1"/>
      <sheetName val="A_일용노무비지급명세서1"/>
      <sheetName val="5_학교신설예산_집행(01~偤°1"/>
      <sheetName val="Bill_2-VMart&amp;VPro1"/>
      <sheetName val="ateCodes?TimeCodes?Overri飀Ⱔ"/>
      <sheetName val="Cst_Pkg-Eden1"/>
      <sheetName val="chiet_tinh"/>
      <sheetName val="tong_hop_v_tu"/>
      <sheetName val="Price_Database"/>
      <sheetName val="붙임4_앵커볼트"/>
      <sheetName val="붙임2_최대수평하중"/>
      <sheetName val="[내역서(1)_xls][내역서(1)_xls]5____10"/>
      <sheetName val="[내역서(1)_xls][내역서(1)_xls]5____11"/>
      <sheetName val="[내역서(1)_xls][내역서(1)_xls]5____12"/>
      <sheetName val="[내역서(1)_xls][내역서(1)_xls]5____13"/>
      <sheetName val="[내역서(1)_xls][내역서(1)_xls]단가_(2\"/>
      <sheetName val="[내역서(1)_xls][내역서(1)_xls]단가_(2\栀"/>
      <sheetName val="[내역서(1)_xls][내역서(1)_xls]5____14"/>
      <sheetName val="[내역서(1)_xls][내역서(1)_xls]5_____5"/>
      <sheetName val="[내역서(1)_xls][내역서(1)_xls]5_____6"/>
      <sheetName val="[내역서(1)_xls][내역서(1)_xls]5_____7"/>
      <sheetName val="[내역서(1)_xls][내역서(1)_xls]5_____8"/>
      <sheetName val="[내역서(1)_xls][내역서(1)_xls]______2"/>
      <sheetName val="[내역서(1)_xls][내역서(1)_xls]______3"/>
      <sheetName val="[내역서(1)_xls][내역서(1)_xls]5_____9"/>
      <sheetName val="[내역서(1)_xls][내역서(1)_xls]5_____1"/>
      <sheetName val="ate"/>
      <sheetName val="Total_for_Check"/>
      <sheetName val="DAFTAR_7"/>
      <sheetName val="II__CF"/>
      <sheetName val="Final_Staff_Chart"/>
      <sheetName val="7_Á¶Á÷Ç¥"/>
      <sheetName val="Executive_Summary"/>
      <sheetName val="5201_2004"/>
      <sheetName val="GRAND_REKAP"/>
      <sheetName val="scale_&amp;_Income"/>
      <sheetName val="BOM_LIST_정리"/>
      <sheetName val="입고단가_LIST"/>
      <sheetName val="거래刀"/>
      <sheetName val="CABLE_SIZE-1"/>
      <sheetName val="제작물량_7월"/>
      <sheetName val="수고조사야"/>
      <sheetName val="3.하중계산"/>
      <sheetName val="TH Kinh phi"/>
      <sheetName val="Thuc thanh"/>
      <sheetName val="총원가계산서(요율)"/>
      <sheetName val="GlassData"/>
      <sheetName val="Đơn giá theo m2"/>
      <sheetName val="포장수량단위"/>
      <sheetName val="수목일위"/>
      <sheetName val="일위대가(계측_x0000__x0000_Ԁ_x0000_"/>
      <sheetName val="Sheet㙸˯㦀ȼ?!"/>
      <sheetName val="ateCodes?TimeCod?ꀋᙰ0_x0000_頀{_x0000__x0000_堀簊夞ĸ"/>
      <sheetName val="ateCodes?TimeCod?齒ꀈᙰ0_x0000_?Y_x0000__x0000_堀䠊夙ĸ"/>
      <sheetName val="2A"/>
      <sheetName val="BGT"/>
      <sheetName val="Re1"/>
      <sheetName val="BẢNG TRA"/>
      <sheetName val="간접비 총괄표"/>
      <sheetName val="Rebar Sum"/>
      <sheetName val="Manpower costs + data"/>
      <sheetName val="rate PC item"/>
      <sheetName val="7IFS-5A"/>
      <sheetName val="ph2B cnstrction sched."/>
      <sheetName val="도기류"/>
      <sheetName val="steam table"/>
      <sheetName val="配管BQ"/>
      <sheetName val="5.BANG I"/>
      <sheetName val="Public Health systems"/>
      <sheetName val="Annual_CFs_Asset"/>
      <sheetName val="마산방향철근집계"/>
      <sheetName val="TH VL, NC, DDHT Thanhphuoc"/>
      <sheetName val="대창(함평)"/>
      <sheetName val="대창(장성)"/>
      <sheetName val="Cost increment"/>
      <sheetName val="XLR_NoRangeSheet"/>
      <sheetName val="Define finishing"/>
      <sheetName val="H_Satuan"/>
      <sheetName val="5_BANG_I"/>
      <sheetName val="Public_Health_systems"/>
      <sheetName val="TH_VL,_NC,_DDHT_Thanhphuoc"/>
      <sheetName val="Cost_increment"/>
      <sheetName val="Define_finishing"/>
      <sheetName val="99년하반기"/>
      <sheetName val="공정집계_국별"/>
      <sheetName val="내역서(교량)전체"/>
      <sheetName val="소일위대가코드표"/>
      <sheetName val="기초목"/>
      <sheetName val="수량계산서_집계표(철거-"/>
      <sheetName val="수량계산서_집계표(철거-:_xdf10_‭"/>
      <sheetName val="수량계산서_집계표(철거-:ᬐ‭"/>
      <sheetName val="전선_및_전선관-자䝼-"/>
      <sheetName val="비계공사"/>
      <sheetName val="C1_공r_x0000__x0000_"/>
      <sheetName val="C1_공_x0019__x0000_倀"/>
      <sheetName val="현황표-원래"/>
      <sheetName val="지급(진행중)"/>
      <sheetName val="자  재"/>
      <sheetName val="건축외주"/>
      <sheetName val="[내역서(1).xls]단가_(2\_x005f_x0000_"/>
      <sheetName val="[내역서(1).xls]5_학교신설예산_쎸⬅/"/>
      <sheetName val="[내역서(1).xls][내역서(1)_xls]단가_(2\"/>
      <sheetName val="[내역서(1).xls][내역서(1)_xls]단가_(2\栀"/>
      <sheetName val="기초분물량표"/>
      <sheetName val="LP-S"/>
      <sheetName val="DATA_입_x0000__x0000_"/>
      <sheetName val="HEAT_입력자료"/>
      <sheetName val="열수지"/>
      <sheetName val="산출금액내역"/>
      <sheetName val="CHAMBER"/>
      <sheetName val="접속도로1"/>
      <sheetName val="_내역서(ͭ_x005f_x005f_x005F"/>
      <sheetName val="_내역서(ͭ_x005f_x0000_"/>
      <sheetName val="Assumption"/>
      <sheetName val="고용(소방)"/>
      <sheetName val="고용(전기)"/>
      <sheetName val="소총괄(계좌)"/>
      <sheetName val="실DAT_x0000__x0000__x0000_"/>
      <sheetName val="Cash Out-Plan"/>
      <sheetName val="_내역서(ͭͭ_x001c__x001c_가표"/>
      <sheetName val="Cost Summary"/>
      <sheetName val="BOM_DCS"/>
      <sheetName val="Rekapitulasi"/>
      <sheetName val="상품입고집계"/>
      <sheetName val="참"/>
      <sheetName val="환경기계공정표_¹"/>
      <sheetName val="일위대가(계측"/>
      <sheetName val="ateCodes?TimeCod?ꀋᙰ0"/>
      <sheetName val="ateCodes?TimeCod?齒ꀈᙰ0"/>
      <sheetName val="포장공(부체도로)"/>
      <sheetName val="3-DIV3"/>
      <sheetName val="ANL SNI"/>
      <sheetName val="Bahan"/>
      <sheetName val="5.학교신설예산 쎸⬅_瀀þ밀"/>
      <sheetName val="5.학교신설예산 Ⴘ퀀诋쌆蠅_᠀"/>
      <sheetName val="_내역서(1).xls_5.학교신설예산 쎸⬅_瀀þ밀"/>
      <sheetName val="_내역서(1).xls_5.학교신설예산 Ⴘ퀀诋쌆蠅_᠀"/>
      <sheetName val="_내역서(׃"/>
      <sheetName val="_내역서(ͭԀ"/>
      <sheetName val="수뢹_"/>
      <sheetName val="Sheet㙸˯㦀ȼ_"/>
      <sheetName val="_내역서(1)_xls_5_학교신설예산_쎸⬅_瀀þ밀"/>
      <sheetName val="ateCodes_TimeCodes_Overrid_x0005_钀"/>
      <sheetName val="_내역서(ͭͭ가"/>
      <sheetName val="_내역서(ͭͭ_x001c__x02"/>
      <sheetName val="_내역서(ͭͭ_x001c__x03"/>
      <sheetName val="_내역서(ͭͭ_x001c__x04"/>
      <sheetName val="_내역서(ͭͭ_x001c__x05"/>
      <sheetName val="_내역서(ͭͭ_x001c__x06"/>
      <sheetName val="_내역서(ͭͭ_x001c__x07"/>
      <sheetName val="_내역서(ͭͭ_x001c__x08"/>
      <sheetName val="_내역서(ͭͭ_x001c__x09"/>
      <sheetName val="_내역서(ͭͭ_x001c__x010"/>
      <sheetName val="_내역서(ͭͭ_x001c__x011"/>
      <sheetName val="_내역서(ͭͭ_x001c__x012"/>
      <sheetName val="_내역서(ͭͭ_x001c__x013"/>
      <sheetName val="_내역서(ͭͭ_x001c__x014"/>
      <sheetName val="_내역서(1).xls_5_학교신설예산_쎸⬅_瀀þ밀"/>
      <sheetName val="_내역서(1).xls_5_학교신설예산_Ⴘ퀀诋쌆蠅_᠀"/>
      <sheetName val="_내역서(1).xls__내역서(1).xls_5_____2"/>
      <sheetName val="_내역서(1).xls__내역서(1).xls_5_____3"/>
      <sheetName val="ateCodes_TimeCodes_Overri_x0005_飀Ⱔ"/>
      <sheetName val="_내역서(1).xls_단가_(2_"/>
      <sheetName val="_내역서(1).xls_단가_(2_栀"/>
      <sheetName val="_내역서(1).xls__내역서(1).xls_5_____4"/>
      <sheetName val="ateCodes_TimeCodes_OverrideSho"/>
      <sheetName val="ateCodes_TimeCodes_OverrideSho适"/>
      <sheetName val="ateCodes_TimeCodes_OverrideSho렀"/>
      <sheetName val="ateCodes_TimeCodes_OverrideSho"/>
      <sheetName val="ateCodes_TimeCodes_OverrideSho退"/>
      <sheetName val="ateCodes_TimeCodes_OverrideSho᠀"/>
      <sheetName val="ateCodes_TimeCodes_OverrideSho怀"/>
      <sheetName val="ateCodes_TimeCodes_OverrideSho逃"/>
      <sheetName val="ateCodes_TimeCodes_Overrid"/>
      <sheetName val="ateCodes_TimeCodes_Overri"/>
      <sheetName val="_내역서(1)_xls_5_학교신설예산_Ⴘ퀀诋쌆蠅_᠀"/>
      <sheetName val="ateCodes_TimeCodes_Overrid钀"/>
      <sheetName val="_내역서(1)_xls_5_학교신설예산_Ⴘ"/>
      <sheetName val="총괄(데䀀_䰗"/>
      <sheetName val="_내역서(1).xls__내역서(1).xls_5____10"/>
      <sheetName val="_내역서(1).xls__내역서(1).xls_5____11"/>
      <sheetName val="_내역서(1).xls__내역서(1).xls_5____12"/>
      <sheetName val="_내역서(1).xls__내역서(1).xls_5____13"/>
      <sheetName val="_내역서(1).xls__내역서(1).xls_단가_(2_"/>
      <sheetName val="_내역서(1).xls__내역서(1).xls_단가_(2_栀"/>
      <sheetName val="_내역서(1).xls__내역서(1).xls_5____14"/>
      <sheetName val="_내역서(1).xls__내역서(1).xls_5_____5"/>
      <sheetName val="_내역서(1).xls__내역서(1).xls_5_____6"/>
      <sheetName val="_내역서(1).xls__내역서(1).xls_5_____7"/>
      <sheetName val="_내역서(1).xls__내역서(1).xls_5_____8"/>
      <sheetName val="_내역서(1).xls__내역서(1).xls_______2"/>
      <sheetName val="_내역서(1).xls__내역서(1).xls_______3"/>
      <sheetName val="_내역서(1).xls__내역서(1).xls_5_____9"/>
      <sheetName val="_내역서(1).xls__내역서(1)_xls_5_____2"/>
      <sheetName val="ateCodes_TimeCodes_OverrideSho_x0002_"/>
      <sheetName val="5.직耳䀪_"/>
      <sheetName val="ateCodes_TimeCod_xd978_ꀋᙰ0頀{堀簊夞ĸ"/>
      <sheetName val="ateCodes_TimeCod_xd80b_齒ꀈᙰ0_xd800_Y堀䠊夙ĸ"/>
      <sheetName val="_내역서(1)_xls_5_학교신설예산_쎸⬅_瀀þ밀1"/>
      <sheetName val="_내역서(1)_xls__내역서(1)_xls_5_____2"/>
      <sheetName val="_내역서(1)_xls_단가_(2_"/>
      <sheetName val="_내역서(1)_xls_단가_(2_栀"/>
      <sheetName val="_내역서(1)_xls__내역서(1)_xls_5_____3"/>
      <sheetName val="_내역서(1)_xls__내역서(1)_xls_5_____4"/>
      <sheetName val="_내역서(ͭͭ_x02"/>
      <sheetName val="_내역서(ͭͭ_x03"/>
      <sheetName val="_내역서(ͭͭ_x04"/>
      <sheetName val="_내역서(ͭͭ_x05"/>
      <sheetName val="_내역서(ͭͭ_x06"/>
      <sheetName val="_내역서(ͭͭ_x07"/>
      <sheetName val="_내역서(ͭͭ_x08"/>
      <sheetName val="_내역서(ͭͭ_x09"/>
      <sheetName val="_내역서(ͭͭ_x010"/>
      <sheetName val="_내역서(ͭͭ_x011"/>
      <sheetName val="_내역서(ͭͭ_x012"/>
      <sheetName val="_내역서(ͭͭ_x013"/>
      <sheetName val="_내역서(ͭͭ_x014"/>
      <sheetName val="5.학교신설예산 Ⴘ_x005f_x0000_퀀诋쌆蠅__x005f_x0000_᠀"/>
      <sheetName val="_내역서(1).xls_5____________x000_2"/>
      <sheetName val="_내역서(ͭ_ͭ__x005f_x001c__x0"/>
      <sheetName val="단가_(2__x005f_x0000_"/>
      <sheetName val="_내역서(1).xls_5__________x005f_x0000__2"/>
      <sheetName val="_내역서(ͭ_x005f_x0000__x005f_x0000_Ԁ"/>
      <sheetName val="5_학교신설예산_쎸⬅_1"/>
      <sheetName val="_내역서(1)_xls_5_학교신설예산_쎸⬅_1"/>
      <sheetName val="단가_및_재료_"/>
      <sheetName val="공량산출서"/>
      <sheetName val="조정금액결과표_(차수별)"/>
      <sheetName val="토공_total1"/>
      <sheetName val="ENE-CAL_11"/>
      <sheetName val="견적대비(1차)_(2)1"/>
      <sheetName val="대분류_ITEM별_분석(3월)1"/>
      <sheetName val="5_학교신설예산_Ⴘ_x005f_x0000_퀀诋쌆蠅/_x005f_x0000_᠀"/>
      <sheetName val="[내역서(1)_xls]5____________x000_2"/>
      <sheetName val="[내역서(1)_xls]5__________x005f_x0000__2"/>
      <sheetName val="1_취수장1"/>
      <sheetName val="장비_(2)"/>
      <sheetName val="Total_All_By_Trades_highest_1s1"/>
      <sheetName val="M_o_S__Schedule1"/>
      <sheetName val="PROJ__DATA1"/>
      <sheetName val="_Beams_Sched_1"/>
      <sheetName val="5_동별횡주관경"/>
      <sheetName val="별첨2_발주예정"/>
      <sheetName val="3BL공동구_수량"/>
      <sheetName val="준검_내역서"/>
      <sheetName val="______"/>
      <sheetName val="토목내역_(2)"/>
      <sheetName val="내역-_ꍈ┊"/>
      <sheetName val="내역-_ʉꍈ&gt;"/>
      <sheetName val="견적기준"/>
      <sheetName val="C.S.A"/>
      <sheetName val="Sch.6"/>
      <sheetName val="jobhist"/>
      <sheetName val="SECT12-A"/>
      <sheetName val="SECT34-A"/>
      <sheetName val="SECT6-A"/>
      <sheetName val="SECT7-Frame"/>
      <sheetName val="BILL 1"/>
      <sheetName val="Master01"/>
      <sheetName val="css_inpatient_day_surg_sub"/>
      <sheetName val="PROCURE"/>
      <sheetName val="설계내역2"/>
      <sheetName val="산출(부하간선)"/>
      <sheetName val="세골재  T2 변경 현황"/>
      <sheetName val="본부장"/>
      <sheetName val="접합 및 부설 "/>
      <sheetName val="방배동내역(리_x0000__x0000_"/>
      <sheetName val="전선_및_전선관-자유_x000a_"/>
      <sheetName val="이름교환"/>
      <sheetName val="tree"/>
      <sheetName val="산출근_x001b__x0000__x0000__x0000_"/>
      <sheetName val=" 총 괄 표"/>
      <sheetName val="조건표"/>
      <sheetName val="TDTKP"/>
      <sheetName val="DK-KH"/>
      <sheetName val="Tongke"/>
      <sheetName val="VCBo"/>
      <sheetName val="Bang KL"/>
      <sheetName val="Construction"/>
      <sheetName val="공사기본내용"/>
      <sheetName val="사전재해(개발)-소요인력"/>
      <sheetName val="사전재해(개발)-산출근거-면적"/>
      <sheetName val="일위대가(당초)"/>
      <sheetName val="ateCodes?TimeCod�齒ꀈᙰ0_x0000_�Y_x0000__x0000_堀䠊夙ĸ"/>
      <sheetName val="수량계산서_집계표(철거-을_x0000__x0000__x0000__x0000__x0000__x0000_Ā_x0000_ᅐ"/>
      <sheetName val="수량계산서_집계표(철거-을_x0000__x0000__x0000__x0000__x0000__x0000_Ā_x0000_"/>
      <sheetName val="5. 离职现况"/>
      <sheetName val="보_x0000__x0000_t"/>
      <sheetName val="gi-list"/>
      <sheetName val="지수산출"/>
      <sheetName val="보조부문비배부"/>
      <sheetName val="총_원_x0000__x0000_Ԁ_x0000_"/>
      <sheetName val="_내역서(ͭ_x005f_x005f_x005f_x0000_"/>
      <sheetName val="연체대출"/>
      <sheetName val="공구비품"/>
      <sheetName val="기계장치"/>
      <sheetName val="임차시설"/>
      <sheetName val="차량운반구"/>
      <sheetName val="계정잔액"/>
      <sheetName val="내역- �ʉꍈ&gt;"/>
      <sheetName val="돈암사업"/>
      <sheetName val="거래_x0000__x0000_Ԁ"/>
      <sheetName val="3.예산내역서"/>
      <sheetName val="마감(_x0000__x0000_"/>
      <sheetName val="①매출"/>
      <sheetName val="0226"/>
      <sheetName val="賃料等一覧"/>
      <sheetName val="투입(관수_건축)"/>
      <sheetName val="투입(APT500)"/>
      <sheetName val="작성지침서2)"/>
      <sheetName val="투입스케쥴양식"/>
      <sheetName val="투입(APT1200)"/>
      <sheetName val="투입(평촌)"/>
      <sheetName val="투입(APT1000)"/>
      <sheetName val="투입(분당)"/>
      <sheetName val="STR"/>
      <sheetName val="총집계내역"/>
      <sheetName val="주공_갑Ը"/>
      <sheetName val="수량계산서_집계표(철거-을ၒ_x0000__x0000__x0000_Ā_x0000__x0000__x0000__x0005_"/>
      <sheetName val="BAND(200)"/>
      <sheetName val="OUTER AREA(겹침없음)"/>
      <sheetName val="SUP'T 자재현황"/>
      <sheetName val="Structure Bills Qty"/>
      <sheetName val="SRC-B3U2"/>
      <sheetName val="雨棚"/>
      <sheetName val="材料"/>
      <sheetName val="#REF!"/>
      <sheetName val="eqpmad2"/>
      <sheetName val="8"/>
      <sheetName val="工程量"/>
      <sheetName val="Z- GENERAL PRICE SUMMARY"/>
      <sheetName val="cables"/>
      <sheetName val="Communs &amp; coefficients"/>
      <sheetName val="改加胶玻璃、室外栏杆"/>
      <sheetName val="Variations (2)"/>
      <sheetName val="Rate analysis"/>
      <sheetName val="Bill-2.1（1）"/>
      <sheetName val="Currency"/>
      <sheetName val="单价表"/>
      <sheetName val="General"/>
      <sheetName val="AN"/>
      <sheetName val="Account Codes"/>
      <sheetName val="2.2 STAFF Scedule"/>
      <sheetName val="1.2 Staff Schedule"/>
      <sheetName val="FitOutConfCentre"/>
      <sheetName val="장비비"/>
      <sheetName val="중기손료"/>
      <sheetName val="전선_및_전선관-_x0000_ሲƐ"/>
      <sheetName val="細目"/>
      <sheetName val="관람_x0000__x0000_Ԁ"/>
      <sheetName val="은Í_x0000__x0000_"/>
      <sheetName val="[내역서(1).xls][내역서(1).xls]5____15"/>
      <sheetName val="[내역서(1).xls][내역서(1).xls]5____16"/>
      <sheetName val="[내역서(1).xls][내역서(1).xls]5____17"/>
      <sheetName val="[내역서(1).xls][내역서(1)_xls]5_____3"/>
      <sheetName val="[내역서(1).xls][내역서(1).xls]5____18"/>
      <sheetName val="[내역서(1).xls][내역서(1).xls]5____19"/>
      <sheetName val="[내역서(1).xls][내역서(1)_xls]5_____4"/>
      <sheetName val="[내역서(1).xls][내역서(1)_xls]5_____5"/>
      <sheetName val="[내역서(1).xls][내역서(1).xls]______4"/>
      <sheetName val="[내역서(1).xls][내역서(1).xls]______5"/>
      <sheetName val="AC"/>
      <sheetName val="Data Base"/>
      <sheetName val="15100"/>
      <sheetName val="ANALISA railing"/>
      <sheetName val="villa"/>
      <sheetName val="A.H. DOOR WINDOW"/>
      <sheetName val="CEW"/>
      <sheetName val="REQDELTA"/>
      <sheetName val="rumus"/>
      <sheetName val="tifico"/>
      <sheetName val="내역금액적용"/>
      <sheetName val="EXTERNAL(BOQ)"/>
      <sheetName val="중기단가"/>
      <sheetName val="1,2,3,4,5단위수량"/>
      <sheetName val="내역서종합"/>
      <sheetName val="!!"/>
      <sheetName val="2130䢧"/>
      <sheetName val="사용자입력"/>
      <sheetName val="Base_Data"/>
      <sheetName val="GM 000"/>
      <sheetName val="mat'ls"/>
      <sheetName val="upa(Shoring)"/>
      <sheetName val="UTILITIES"/>
      <sheetName val="Arch"/>
      <sheetName val="Bdown_ISBL"/>
      <sheetName val="LLEGADA"/>
      <sheetName val="EQUIPT"/>
      <sheetName val="LABOR"/>
      <sheetName val="Bach Dang"/>
      <sheetName val="Land Dev't. Ph-1"/>
      <sheetName val="Eqpt"/>
      <sheetName val="Master 1.0"/>
      <sheetName val="inf"/>
      <sheetName val="Resume"/>
      <sheetName val="10.Linkway"/>
      <sheetName val="11.Bus Shelter-Bay"/>
      <sheetName val="Bid Evaluation"/>
      <sheetName val="subcon sched"/>
      <sheetName val="C.Earthwork"/>
      <sheetName val="project management"/>
      <sheetName val="Door &amp; Window Sched"/>
      <sheetName val="afis"/>
      <sheetName val="Elevations"/>
      <sheetName val="Room Sched"/>
      <sheetName val="Suppliers"/>
      <sheetName val="DEXEC"/>
      <sheetName val="standards"/>
      <sheetName val="計画用役根拠"/>
      <sheetName val="GAE8'97"/>
      <sheetName val="SOURCE"/>
      <sheetName val="Roon matrix"/>
      <sheetName val="(COV)"/>
      <sheetName val="Fax complet F"/>
      <sheetName val="bridge # 1"/>
      <sheetName val="Rebar Constant"/>
      <sheetName val="UC"/>
      <sheetName val="JTLOAD"/>
      <sheetName val="평균환율-USD"/>
      <sheetName val="Bin"/>
      <sheetName val="PLAN_FEB97"/>
      <sheetName val="TPK(I) Budget"/>
      <sheetName val="材料マスタ"/>
      <sheetName val="견적지침"/>
      <sheetName val="CD_LC"/>
      <sheetName val="PH 5"/>
      <sheetName val="COST-EST LTI P5C"/>
      <sheetName val="Background"/>
      <sheetName val="ELEC_DCI"/>
      <sheetName val="Take-Off"/>
      <sheetName val="Equipment"/>
      <sheetName val="INST_DCI"/>
      <sheetName val="S N"/>
      <sheetName val="MANHOLE"/>
      <sheetName val="입찰"/>
      <sheetName val="현경"/>
      <sheetName val="DPA Form"/>
      <sheetName val="자재단가조사표-수목"/>
      <sheetName val="WORKER"/>
      <sheetName val="RAB AR&amp;STR"/>
      <sheetName val="hauling"/>
      <sheetName val="종합"/>
      <sheetName val="Addendum No.1 BILL 2"/>
      <sheetName val="f-pm-04-12-03A-AWPH6-LD"/>
      <sheetName val="TIE-INS"/>
      <sheetName val="PipWT"/>
      <sheetName val="co-no.2"/>
      <sheetName val="GenReq"/>
      <sheetName val="Schedule S-Curve (new scheme)"/>
      <sheetName val="sketch tieins photos"/>
      <sheetName val="Lookups"/>
      <sheetName val="takeoff2"/>
      <sheetName val="05. VO Log (Master Data)"/>
      <sheetName val="Summary (overall)"/>
      <sheetName val="Note_Piping"/>
      <sheetName val="Material_Database"/>
      <sheetName val="UPA NLEX"/>
      <sheetName val="DNT OSBL"/>
      <sheetName val="Partition Type"/>
      <sheetName val="Floor Level"/>
      <sheetName val="DESBAST"/>
      <sheetName val="Report"/>
      <sheetName val="as boq list up"/>
      <sheetName val="Summary WG"/>
      <sheetName val="Flour WH"/>
      <sheetName val="ORIGN"/>
      <sheetName val="Agregat Halus &amp; Kasar"/>
      <sheetName val="Min_98"/>
      <sheetName val="BILL"/>
      <sheetName val="steam outlet"/>
      <sheetName val="CBE-VSL"/>
      <sheetName val="PCSum (total blended)"/>
      <sheetName val="REBAR"/>
      <sheetName val="SMEC_Macro_01csv"/>
      <sheetName val="10241EQLIST"/>
      <sheetName val="MTL"/>
      <sheetName val="BP"/>
      <sheetName val="FRONT PAGE"/>
      <sheetName val="Gen. Inf."/>
      <sheetName val="03-13 Anticipated"/>
      <sheetName val="reinforce"/>
      <sheetName val="door"/>
      <sheetName val="window"/>
      <sheetName val="struktur tdk dipakai"/>
      <sheetName val="BOQ건축"/>
      <sheetName val="중소기업"/>
      <sheetName val="해외 연수비용 계산-삭제"/>
      <sheetName val="해외 기술훈련비 (합계)"/>
      <sheetName val="Master Equipment List"/>
      <sheetName val="Branch Power"/>
      <sheetName val="Distrib"/>
      <sheetName val="Emergency"/>
      <sheetName val="Lighting"/>
      <sheetName val="pile Fabrication"/>
      <sheetName val="CUACA"/>
      <sheetName val="computation(eqpmt)"/>
      <sheetName val="extern"/>
      <sheetName val="Bored Pile"/>
      <sheetName val="Bldg Pilecap &amp; bored pile"/>
      <sheetName val="Progress Tables"/>
      <sheetName val="schbhn"/>
      <sheetName val="백분율"/>
      <sheetName val="schalt"/>
      <sheetName val="schtng"/>
      <sheetName val="escon"/>
      <sheetName val="HYDROTEST DIAGRAM"/>
      <sheetName val="main report"/>
      <sheetName val="ateCodes?TimeCod�齒ꀈᙰ0"/>
      <sheetName val="수량계산서_집계표(철거-을"/>
      <sheetName val="총_원"/>
      <sheetName val="수량계산서_집계표(철거-을ၒ"/>
      <sheetName val="관람"/>
      <sheetName val="전선_및_전선관-자유頀"/>
      <sheetName val="암거공"/>
      <sheetName val="투찰"/>
      <sheetName val="M"/>
      <sheetName val="IO"/>
      <sheetName val="계약서"/>
      <sheetName val="C1_공逜_x0010__x0000_"/>
      <sheetName val="auto-PPN"/>
      <sheetName val="_갑__지_12"/>
      <sheetName val="Analisa_Harga_Satuan1"/>
      <sheetName val="06_일위대가목록1"/>
      <sheetName val="1_사유서1"/>
      <sheetName val="Project_Name2"/>
      <sheetName val="Deliver_Date2"/>
      <sheetName val="Eq__Mobilization1"/>
      <sheetName val="계장_품셈표1"/>
      <sheetName val="[내역서(1).xls]5____________x000_3"/>
      <sheetName val="ateCodes_TimeCodes_Overrid_x0_3"/>
      <sheetName val="회선별대책안À_x005f_x0000_Ԁ_x005f_x0000_"/>
      <sheetName val="[내역서(ͭͭ가_x005f_x0000_"/>
      <sheetName val="보증_x005f_x0000_縀"/>
      <sheetName val="보증_x005f_x0000_ༀ"/>
      <sheetName val="_____08__x005f_x0000__x005f_x0000___x005f_x0000_2"/>
      <sheetName val="Sheet1_Çæ_x005f_x0000_"/>
      <sheetName val="6PILEሀ_x005f_x0002_䀀⨊脃ﲙ"/>
      <sheetName val="________________________3__3__2"/>
      <sheetName val="단가__x005f_x0000__x005f_x0000_Ԁ_x005f_x0000_"/>
      <sheetName val="단가_및邰㡗_x005f_xdc00_㡗"/>
      <sheetName val="ate_x005f_x000b__x005f_x0000_蠀᏿㤂"/>
      <sheetName val="[내역서(1).xls][내역서(1).xls]____2_2"/>
      <sheetName val="Sheet1_Çꀀ_x005f_x0000_"/>
      <sheetName val="ateCodes_TimeCodes_OverrideSh_4"/>
      <sheetName val="ate_x005f_x000b_"/>
      <sheetName val="환경기계공정표_髈㘻_x005f_x0000__x005f_x0000_"/>
      <sheetName val="환경기계공정표_艀㫐_x005f_x0000__x005f_x0000_"/>
      <sheetName val="환경기계공정표_蔀㫐_x005f_x0000__x005f_x0000_"/>
      <sheetName val="_______x005f_x0000___x005f_x0000__x005f_x001c___3"/>
      <sheetName val="ateCodes_x005f_x0000_TimeCodes_x000_3"/>
      <sheetName val="_______x005f_x0000___x005f_x0000__x005f_x001c___4"/>
      <sheetName val="ateCodes_x005f_x0000_TimeCodes_x000_4"/>
      <sheetName val="_______x005f_x0000___x005f_x0000__x005f_x001c___5"/>
      <sheetName val="ateCodes_x005f_x0000_TimeCodes_x000_5"/>
      <sheetName val="_______x005f_x0000___x005f_x0000__x005f_x001c___6"/>
      <sheetName val="ateCodes_x005f_x0000_TimeCodes_x000_6"/>
      <sheetName val="_______x005f_x0000___x005f_x0000__x005f_x001c___7"/>
      <sheetName val="ateCodes_x005f_x0000_TimeCodes_x000_7"/>
      <sheetName val="_______x005f_x0000___x005f_x0000__x005f_x001c___8"/>
      <sheetName val="ateCodes_x005f_x0000_TimeCodes_x000_8"/>
      <sheetName val="_______x005f_x0000___x005f_x0000__x005f_x001c___9"/>
      <sheetName val="ateCodes_x005f_x0000_TimeCodes_x000_9"/>
      <sheetName val="_______x005f_x0000___x005f_x0000__x005f_x001c__10"/>
      <sheetName val="ateCodes_x005f_x0000_TimeCodes_x00_10"/>
      <sheetName val="_______x005f_x0000___x005f_x0000__x005f_x001c__11"/>
      <sheetName val="ateCodes_x005f_x0000_TimeCodes_x00_11"/>
      <sheetName val="_______x005f_x0000___x005f_x0000__x005f_x001c__12"/>
      <sheetName val="ateCodes_x005f_x0000_TimeCodes_x00_12"/>
      <sheetName val="_______x005f_x0000___x005f_x0000__x005f_x001c__13"/>
      <sheetName val="ateCodes_x005f_x0000_TimeCodes_x00_13"/>
      <sheetName val="_______x005f_x0000___x005f_x0000__x005f_x001c__14"/>
      <sheetName val="ateCodes_x005f_x0000_TimeCodes_x00_14"/>
      <sheetName val="_______x005f_x0000___x005f_x0000__x005f_x001c__15"/>
      <sheetName val="ateCodes_x005f_x0000_TimeCodes_x00_15"/>
      <sheetName val="거래刀_x005f_x0010__x005f_x0000_"/>
      <sheetName val="거래_x005f_x0000_⨀ﯥ"/>
      <sheetName val="AS포_x005f_x0000__x005f_x0000__x005f_x0000__x005f_x0000_"/>
      <sheetName val="거래_x005f_x0000__x005f_x0000__x005f_x0000_"/>
      <sheetName val="ateCodes_TimeCodes_Overri_x00_2"/>
      <sheetName val="총괄(Í_x005f_x0000_Ԁ_x005f_x0000_"/>
      <sheetName val="보_x005f_x0000__x005f_x0000__x005f_x0005_"/>
      <sheetName val="공사내_x005f_x0000_"/>
      <sheetName val="AS포장복_x005f_x0000__x005f_x0000_"/>
      <sheetName val="3월팀계_x005f_x0010_"/>
      <sheetName val="ateCodes_TimeCod__x005f_xd978___0_x_2"/>
      <sheetName val="ateCodes_TimeCod_x005f_xd80b____0_x_2"/>
      <sheetName val="수고조사야_x005f_x0002_"/>
      <sheetName val="아파트_Ö_x005f_x0000_"/>
      <sheetName val="_______x005f_x005f_x005f_x0000___x005f_x005f_x0_5"/>
      <sheetName val="ateCodes_x005f_x005f_x005f_x0000_TimeCode_3"/>
      <sheetName val="_______x005f_x005f_x005f_x005f_x005f_x005f_x000_4"/>
      <sheetName val="ateCodes_x005f_x005f_x005f_x005f_x005f_x005f_x0_4"/>
      <sheetName val="__________x005f_x005f_x005f_x005f_x005f_x005f_x_5"/>
      <sheetName val="수_x005f_x005f_x005f_x0000_"/>
      <sheetName val="_______x005f_x005f_x005f_x005f_x005f_x005f_x000_5"/>
      <sheetName val="__________x005f_x005f_x005f_x005f_x005f_x005f_x_6"/>
      <sheetName val="수Å_x005f_x005f_x005f_x0000_"/>
      <sheetName val="수뢹_x005f_x005f_x005f_xdd4d_"/>
      <sheetName val="A__x005f_x005f_x005f_x0010__x005f_x005f_x005f_x0000_"/>
      <sheetName val="5____________x005f_x005f_x005f_x0000____x_2"/>
      <sheetName val="5__________x005f_x005f_x005f_x0000________2"/>
      <sheetName val="____x005f_x005f_x005f_x0000__x005f_x005f_x005f_x0000__2"/>
      <sheetName val="단가_및_재료_x005f_x005f_x005f_xdab0_"/>
      <sheetName val="_______x005f_x005f_x005f_x005f_x005f_x005f_x005_3"/>
      <sheetName val="ateCodes_x005f_x005f_x005f_x005f_x005f_x005f_x0_5"/>
      <sheetName val="__________x005f_x005f_x005f_x005f_x005f_x005f_x_7"/>
      <sheetName val="11_2____x005f_x005f_x005f_x0000__x005f_x005f_x0_2"/>
      <sheetName val="_______x005f_x005f_x005f_x005f_x005f_x005f_x000_6"/>
      <sheetName val="__________x005f_x005f_x005f_x005f_x005f_x005f_x_8"/>
      <sheetName val="사_x005f_x005f_x005f_x0000__x005f_x005f_x005f_x0000_Ԁ"/>
      <sheetName val="설계_x005f_x005f_x005f_x0000_"/>
      <sheetName val="__________x005f_x005f_x005f_x0000__x005f_x005f__2"/>
      <sheetName val="신축(단위_x005f_x005f_x005f_x0000_"/>
      <sheetName val="Sheet㙸˯㦀ȼ_x005f_x005f_x005f_xda1b_!"/>
      <sheetName val="_내역서(ͭ?ͭ?_x005f_x005f_x005f_x001c__x0"/>
      <sheetName val="단가_(2\_x005f_x005f_x005f_x0000_"/>
      <sheetName val="A__x005f_x005f_x005f_x0010_"/>
      <sheetName val="__x005f_x005f_x005f_x0000__x005f_x005f_x005f_x0000__x_2"/>
      <sheetName val="_______x005f_x005f_x005f_x0000__x005f_x005f_x00_2"/>
      <sheetName val="[내역서(1).xls]5__________x005f_x005f__2"/>
      <sheetName val="_________3_x005f_x005f_x005f_x0000__x005f_x005f_2"/>
      <sheetName val="_________x005f_x005f_x005f_x0005__x005f_x005f_x_2"/>
      <sheetName val="_______x005f_x005f_x005f_x0000__x005f_x005f_x00_3"/>
      <sheetName val="환경기계공정표_(3)_x005f_x005f_x005f_x0012_"/>
      <sheetName val="A_견_x005f_x005f_x005f_x0000__x005f_x005f_x005f_x0000_"/>
      <sheetName val="환경기계공정표__x005f_x005f_x005f_x0005_"/>
      <sheetName val="교각_x005f_x005f_x005f_x0000_"/>
      <sheetName val="ateCఀ_x005f_x005f_x005f_x0002_저殑"/>
      <sheetName val="_______x005f_x005f_x005f_x0000__x005f_x005f_x00_4"/>
      <sheetName val="_______x005f_x005f_x005f_x005f_x005f_x005f_x000_7"/>
      <sheetName val="__________x005f_x005f_x005f_x005f_x005f_x005f_x_9"/>
      <sheetName val="_갑___x005f_x005f_x005f_x0000__x005f_x005f_x005f_x0000_"/>
      <sheetName val="6PILE___1_x005f_x005f_x005f_x0013__x005f_x005f__2"/>
      <sheetName val="간¾_x005f_x005f_x005f_x0000_Ԁ"/>
      <sheetName val="_______x005f_x005f_x005f_x005f_x005f_x005f_x005_4"/>
      <sheetName val="__________x005f_x005f_x005f_x005f_x005f_x005f__10"/>
      <sheetName val="_______x005f_x005f_x005f_x005f_x005f_x005f_x005_5"/>
      <sheetName val="ateCodes_x005f_x005f_x005f_x005f_x005f_x005f_x0_6"/>
      <sheetName val="__________x005f_x005f_x005f_x005f_x005f_x005f__11"/>
      <sheetName val="6PILE__(効_x005f_x0010__x005f_x0000__x005f_x0000_"/>
      <sheetName val="내역- _x005f_xdc48_ʉꍈ&gt;"/>
      <sheetName val="ateCodes_TimeCodes_OverrideSh_5"/>
      <sheetName val="품질시험비"/>
      <sheetName val="1_ 공통가설공사"/>
      <sheetName val="XXXXXX"/>
      <sheetName val="내역서 (2)"/>
      <sheetName val="별도구매"/>
      <sheetName val="공사비목록표"/>
      <sheetName val="Customer_Databa_x0000_"/>
      <sheetName val="을 2"/>
      <sheetName val="을 1"/>
      <sheetName val="미지금(01)"/>
      <sheetName val="날개벽"/>
      <sheetName val="종배수관설치현황"/>
      <sheetName val="유림콘도"/>
      <sheetName val="인건비제경비내역"/>
      <sheetName val="자재표"/>
      <sheetName val="대기업"/>
      <sheetName val="지질조사"/>
      <sheetName val="5. 현장관리비(new) "/>
      <sheetName val="간접경상비"/>
      <sheetName val="2.펌프장(사급자재)"/>
      <sheetName val="1회"/>
      <sheetName val="전기,계장"/>
      <sheetName val="우리사주"/>
      <sheetName val="911 파트별통계-월별 건수"/>
      <sheetName val="팀목표 정리"/>
      <sheetName val="항목"/>
      <sheetName val="지사구분"/>
      <sheetName val="보정사항"/>
      <sheetName val="4. 손익계획"/>
      <sheetName val="편성안2"/>
      <sheetName val="시설이용권명세서"/>
      <sheetName val="금융"/>
      <sheetName val="FAB4생산"/>
      <sheetName val="코스모공장_(어軰#_x0000_"/>
      <sheetName val="플륨관집계"/>
      <sheetName val="U형플륨관"/>
      <sheetName val="U형플륨관토공"/>
      <sheetName val="단위토공"/>
      <sheetName val="주요측점"/>
      <sheetName val="덕전리"/>
      <sheetName val="노무비계"/>
      <sheetName val="Analis Kusen okk"/>
      <sheetName val="구의33고"/>
      <sheetName val="시노501"/>
      <sheetName val="PLT8500"/>
      <sheetName val="[내역서(ͭ_x0000__x0000_훐끺_x0001__x0000__x0000__x0000__x0000_"/>
      <sheetName val="8층 북"/>
      <sheetName val="실DATA_11"/>
      <sheetName val="코스모공장_(어음)10"/>
      <sheetName val="A_견적10"/>
      <sheetName val="환경기계공정표_(3)10"/>
      <sheetName val="총괄갑_10"/>
      <sheetName val="Sheet1_(2)10"/>
      <sheetName val="총_원가계산10"/>
      <sheetName val="단가_(2)10"/>
      <sheetName val="6PILE__(돌출)10"/>
      <sheetName val="11-2_아파트내역10"/>
      <sheetName val="내역서1999_8최종10"/>
      <sheetName val="플랜트_설치9"/>
      <sheetName val="기초입력_DATA9"/>
      <sheetName val="설명서_9"/>
      <sheetName val="BSD_(2)9"/>
      <sheetName val="1차_내역서9"/>
      <sheetName val="노임단가_(2)9"/>
      <sheetName val="_견적서9"/>
      <sheetName val="중기조종사_단위단가9"/>
      <sheetName val="2-1__경관조명_내역총괄표9"/>
      <sheetName val="3월팀계_9"/>
      <sheetName val="인건비_9"/>
      <sheetName val="C1_공사개요9"/>
      <sheetName val="A1_스케쥴9"/>
      <sheetName val="일위대가_9"/>
      <sheetName val="수량계산서_집계표(가설_신설_및_철거-을지로3가_3호선9"/>
      <sheetName val="수량계산서_집계표(신설-을지로3가_3호선)9"/>
      <sheetName val="수량계산서_집계표(철거-을지로3가_3호선)9"/>
      <sheetName val="신_분9"/>
      <sheetName val="단가_및_재료비9"/>
      <sheetName val="아파트_내역9"/>
      <sheetName val="전선_및_전선관-자유로9"/>
      <sheetName val="Customer_Databas9"/>
      <sheetName val="AS포장복구_9"/>
      <sheetName val="G_R300경비9"/>
      <sheetName val="2_고용보험료산출근거8"/>
      <sheetName val="DATA_입력란9"/>
      <sheetName val="주공_갑지9"/>
      <sheetName val="8_설치품셈8"/>
      <sheetName val="경율산정_XLS8"/>
      <sheetName val="전차선로_물량표8"/>
      <sheetName val="27_건설이자8"/>
      <sheetName val="9-2_단지투자8"/>
      <sheetName val="9-4_단지분양수납8"/>
      <sheetName val="28_차입금상환계획8"/>
      <sheetName val="10-4_운하물류분양수납8"/>
      <sheetName val="10-2_운하물류투자8"/>
      <sheetName val="※_2010예산총괄표8"/>
      <sheetName val="BTL시설예산_기준표8"/>
      <sheetName val="5_학교신설예산_집행(01~08)8"/>
      <sheetName val="점검결과(08년_100교_지원)8"/>
      <sheetName val="내역서_제출8"/>
      <sheetName val="아파트_8"/>
      <sheetName val="5_직원투입현황7"/>
      <sheetName val="조도계산서_(도서)8"/>
      <sheetName val="품셈_7"/>
      <sheetName val="ประมาณการประตูหน้าต่าง_2"/>
      <sheetName val="schedule_2"/>
      <sheetName val="SITE_OFFICE2"/>
      <sheetName val="w't_table2"/>
      <sheetName val="BOX(1_5X1_5)3"/>
      <sheetName val="선박별_배부3"/>
      <sheetName val="2000년_공정표3"/>
      <sheetName val="1_변경범위3"/>
      <sheetName val="_갑__지_13"/>
      <sheetName val="(1)_국내_사이트_상세_주소_1"/>
      <sheetName val="0__수출,수입_건수1"/>
      <sheetName val="1__수출_해상_(LCL)_1"/>
      <sheetName val="2__수출_항공_1"/>
      <sheetName val="(2-3)_수출_특송1"/>
      <sheetName val="3__수출_내륙_운송료1"/>
      <sheetName val="4__수입_해상_(FCL)1"/>
      <sheetName val="5__수입_해상_(LCL)_1"/>
      <sheetName val="6__수입_항공_1"/>
      <sheetName val="(3-4)_수입_특송_1"/>
      <sheetName val="7__수입_내륙_운송료1"/>
      <sheetName val="8__창고료1"/>
      <sheetName val="9__내륙_운송1"/>
      <sheetName val="10__추가_제안_및_기타1"/>
      <sheetName val="운송내역_1"/>
      <sheetName val="3_PT개발계획1"/>
      <sheetName val="24_보증금(전신전화가입권)1"/>
      <sheetName val="Ⅴ-2_공종별내역1"/>
      <sheetName val="PTDG_(T3)1"/>
      <sheetName val="PTDG_(T4)1"/>
      <sheetName val="[내역서(1)_xls]단가_(2\栀1"/>
      <sheetName val="AnalisaSIPIL_RIIL1"/>
      <sheetName val="D_5243-ARAMCO1"/>
      <sheetName val="D-4801_OXY1"/>
      <sheetName val="배수내역_(2)1"/>
      <sheetName val="Har_Sat1"/>
      <sheetName val="1062-X방향_2"/>
      <sheetName val="comps_LFY+3"/>
      <sheetName val="HDI_implied3"/>
      <sheetName val="임의_매출-수정전3"/>
      <sheetName val="채권_현황3"/>
      <sheetName val="CC_Down_load_07163"/>
      <sheetName val="요일별시간대별_근무인원_그래프3"/>
      <sheetName val="1_매출액3"/>
      <sheetName val="2_원가3"/>
      <sheetName val="10_인원3"/>
      <sheetName val="2_호선별예상실적3"/>
      <sheetName val="생산매출_(4)3"/>
      <sheetName val="1월_예산3"/>
      <sheetName val="대차대조표_(2)3"/>
      <sheetName val="환율_및_참고3"/>
      <sheetName val="_총괄표2"/>
      <sheetName val="3800-400_기계감가2"/>
      <sheetName val="2000,9월_일위1"/>
      <sheetName val="KLDT_DIEN1"/>
      <sheetName val="Dinh_muc_CP_KTCB_khac1"/>
      <sheetName val="TH_MTC1"/>
      <sheetName val="TH_N_Cong1"/>
      <sheetName val="Du_toan1"/>
      <sheetName val="노원열병합__건축공사기성내역서1"/>
      <sheetName val="배수공_시멘트_및_골재량_산출1"/>
      <sheetName val="_기성청구서_양식_xlsx1"/>
      <sheetName val="Bang_TH1"/>
      <sheetName val="입찰내역_발주처_양식1"/>
      <sheetName val="2_损益表2"/>
      <sheetName val="4_PL2"/>
      <sheetName val="6_BS2"/>
      <sheetName val="9_차입,대여금2"/>
      <sheetName val="2-2_매출분석2"/>
      <sheetName val="6_PL2"/>
      <sheetName val="4_成本明细表2"/>
      <sheetName val="7_6大成本明细表2"/>
      <sheetName val="4_추정손익2"/>
      <sheetName val="2_매출원가2"/>
      <sheetName val="3_일반관리,영업외2"/>
      <sheetName val="5_管理费明细表2"/>
      <sheetName val="6_营业外收支明细表2"/>
      <sheetName val="3_收入明细表2"/>
      <sheetName val="토공(우물통,기타)_1"/>
      <sheetName val="[내역서(1)_xls][내역서(1)_xls]5____15"/>
      <sheetName val="[내역서(1)_xls][내역서(1)_xls]5____16"/>
      <sheetName val="[내역서(1)_xls][내역서(1)_xls]5____17"/>
      <sheetName val="Bang_NS79"/>
      <sheetName val="bi-mnthly_rep_Villa1"/>
      <sheetName val="1999-2000_MONTHLY_CASHFLOW1"/>
      <sheetName val="ateCodes_TimeCod_xd978_ꀋᙰ0"/>
      <sheetName val="ateCodes_TimeCod_xd80b_齒ꀈᙰ0"/>
      <sheetName val="2004.06.23"/>
      <sheetName val="원가계산서 (건축)"/>
      <sheetName val="수량산출(_x0000__x0000__x0005_"/>
      <sheetName val="수량계산서_집계표(신설-_x0000__x0000_砀ì_x0000__x0000_椀勺_xdcdb_꾌"/>
      <sheetName val="수량계산서_집계표(신설-_x0000__x0000_저½_x0000__x0000_䨀_xda93_厈"/>
      <sheetName val="수량계산서_집계표(신설-쌀㴅/_x0000_ࠀµ_x0000__x0000_䨀_xda93_"/>
      <sheetName val="수량계산서_집계표(신설-쌀㴅/_x0000__x0000_°_x0000__x0000_䨀_xda93_"/>
      <sheetName val="수량계산서_집계표(신설-쌀㴅/_x0000__x0017__x0000__x0000_䨀_xda93_"/>
      <sheetName val="수량계산서_집계표(신설-쌀㴅/_x0000_耀³_x0000__x0000_䨀_xda93_"/>
      <sheetName val="수량계산서_집계표(신설-쌀㴅/_x0000_砀¬_x0000__x0000_䨀_xda93_"/>
      <sheetName val="수량계산서_집계표(신설-쌀㴅/_x0000__x0000_Ð_x0000__x0000_䨀_xda93_"/>
      <sheetName val="S"/>
      <sheetName val="거래_xdbe6_i"/>
      <sheetName val="일반"/>
      <sheetName val="VAT duoc khau tru"/>
      <sheetName val="항목코드TABLE"/>
      <sheetName val="부문코드TABLE"/>
      <sheetName val="전수항목"/>
      <sheetName val="거래처등腸"/>
      <sheetName val="안전시설"/>
      <sheetName val="95TOTREV"/>
      <sheetName val="콘크리트 타설 대장"/>
      <sheetName val="DAF-2"/>
      <sheetName val="LKVL-CK-HT-GD1"/>
      <sheetName val="TONGKE-HT"/>
      <sheetName val="__MAIN"/>
      <sheetName val="검색결과시트"/>
      <sheetName val="평내중"/>
      <sheetName val="C1_공z_x0000__x0000_"/>
      <sheetName val="40총괄"/>
      <sheetName val="40집계"/>
      <sheetName val="Sheet㙸˯㦀ȼ"/>
      <sheetName val="단가_및邰㡗"/>
      <sheetName val="내역- "/>
      <sheetName val="자재비"/>
    </sheetNames>
    <sheetDataSet>
      <sheetData sheetId="0">
        <row r="21">
          <cell r="B21" t="str">
            <v>1.토공</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ow r="21">
          <cell r="A21">
            <v>0</v>
          </cell>
        </row>
      </sheetData>
      <sheetData sheetId="1261"/>
      <sheetData sheetId="1262">
        <row r="21">
          <cell r="A21">
            <v>0</v>
          </cell>
        </row>
      </sheetData>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ow r="21">
          <cell r="A21">
            <v>0</v>
          </cell>
        </row>
      </sheetData>
      <sheetData sheetId="1454">
        <row r="21">
          <cell r="A21">
            <v>0</v>
          </cell>
        </row>
      </sheetData>
      <sheetData sheetId="1455">
        <row r="21">
          <cell r="A21">
            <v>0</v>
          </cell>
        </row>
      </sheetData>
      <sheetData sheetId="1456">
        <row r="21">
          <cell r="A21">
            <v>0</v>
          </cell>
        </row>
      </sheetData>
      <sheetData sheetId="1457">
        <row r="21">
          <cell r="A21">
            <v>0</v>
          </cell>
        </row>
      </sheetData>
      <sheetData sheetId="1458">
        <row r="21">
          <cell r="A21">
            <v>0</v>
          </cell>
        </row>
      </sheetData>
      <sheetData sheetId="1459">
        <row r="21">
          <cell r="A21">
            <v>0</v>
          </cell>
        </row>
      </sheetData>
      <sheetData sheetId="1460">
        <row r="21">
          <cell r="A21">
            <v>0</v>
          </cell>
        </row>
      </sheetData>
      <sheetData sheetId="1461">
        <row r="21">
          <cell r="A21">
            <v>0</v>
          </cell>
        </row>
      </sheetData>
      <sheetData sheetId="1462">
        <row r="21">
          <cell r="A21">
            <v>0</v>
          </cell>
        </row>
      </sheetData>
      <sheetData sheetId="1463">
        <row r="21">
          <cell r="A21">
            <v>0</v>
          </cell>
        </row>
      </sheetData>
      <sheetData sheetId="1464">
        <row r="21">
          <cell r="A21">
            <v>0</v>
          </cell>
        </row>
      </sheetData>
      <sheetData sheetId="1465">
        <row r="21">
          <cell r="A21">
            <v>0</v>
          </cell>
        </row>
      </sheetData>
      <sheetData sheetId="1466">
        <row r="21">
          <cell r="A21">
            <v>0</v>
          </cell>
        </row>
      </sheetData>
      <sheetData sheetId="1467">
        <row r="21">
          <cell r="A21">
            <v>0</v>
          </cell>
        </row>
      </sheetData>
      <sheetData sheetId="1468">
        <row r="21">
          <cell r="A21">
            <v>0</v>
          </cell>
        </row>
      </sheetData>
      <sheetData sheetId="1469">
        <row r="21">
          <cell r="A21">
            <v>0</v>
          </cell>
        </row>
      </sheetData>
      <sheetData sheetId="1470">
        <row r="21">
          <cell r="A21">
            <v>0</v>
          </cell>
        </row>
      </sheetData>
      <sheetData sheetId="1471">
        <row r="21">
          <cell r="A21">
            <v>0</v>
          </cell>
        </row>
      </sheetData>
      <sheetData sheetId="1472">
        <row r="21">
          <cell r="A21">
            <v>0</v>
          </cell>
        </row>
      </sheetData>
      <sheetData sheetId="1473">
        <row r="21">
          <cell r="A21">
            <v>0</v>
          </cell>
        </row>
      </sheetData>
      <sheetData sheetId="1474">
        <row r="21">
          <cell r="A21">
            <v>0</v>
          </cell>
        </row>
      </sheetData>
      <sheetData sheetId="1475">
        <row r="21">
          <cell r="A21">
            <v>0</v>
          </cell>
        </row>
      </sheetData>
      <sheetData sheetId="1476">
        <row r="21">
          <cell r="A21">
            <v>0</v>
          </cell>
        </row>
      </sheetData>
      <sheetData sheetId="1477">
        <row r="21">
          <cell r="A21">
            <v>0</v>
          </cell>
        </row>
      </sheetData>
      <sheetData sheetId="1478">
        <row r="21">
          <cell r="A21">
            <v>0</v>
          </cell>
        </row>
      </sheetData>
      <sheetData sheetId="1479">
        <row r="21">
          <cell r="A21">
            <v>0</v>
          </cell>
        </row>
      </sheetData>
      <sheetData sheetId="1480">
        <row r="21">
          <cell r="A21">
            <v>0</v>
          </cell>
        </row>
      </sheetData>
      <sheetData sheetId="1481">
        <row r="21">
          <cell r="A21">
            <v>0</v>
          </cell>
        </row>
      </sheetData>
      <sheetData sheetId="1482">
        <row r="21">
          <cell r="A21">
            <v>0</v>
          </cell>
        </row>
      </sheetData>
      <sheetData sheetId="1483">
        <row r="21">
          <cell r="A21">
            <v>0</v>
          </cell>
        </row>
      </sheetData>
      <sheetData sheetId="1484">
        <row r="21">
          <cell r="A21">
            <v>0</v>
          </cell>
        </row>
      </sheetData>
      <sheetData sheetId="1485">
        <row r="21">
          <cell r="A21">
            <v>0</v>
          </cell>
        </row>
      </sheetData>
      <sheetData sheetId="1486">
        <row r="21">
          <cell r="A21">
            <v>0</v>
          </cell>
        </row>
      </sheetData>
      <sheetData sheetId="1487">
        <row r="21">
          <cell r="A21">
            <v>0</v>
          </cell>
        </row>
      </sheetData>
      <sheetData sheetId="1488">
        <row r="21">
          <cell r="A21">
            <v>0</v>
          </cell>
        </row>
      </sheetData>
      <sheetData sheetId="1489">
        <row r="21">
          <cell r="A21">
            <v>0</v>
          </cell>
        </row>
      </sheetData>
      <sheetData sheetId="1490">
        <row r="21">
          <cell r="A21">
            <v>0</v>
          </cell>
        </row>
      </sheetData>
      <sheetData sheetId="1491">
        <row r="21">
          <cell r="A21">
            <v>0</v>
          </cell>
        </row>
      </sheetData>
      <sheetData sheetId="1492">
        <row r="21">
          <cell r="A21">
            <v>0</v>
          </cell>
        </row>
      </sheetData>
      <sheetData sheetId="1493">
        <row r="21">
          <cell r="A21">
            <v>0</v>
          </cell>
        </row>
      </sheetData>
      <sheetData sheetId="1494">
        <row r="21">
          <cell r="A21">
            <v>0</v>
          </cell>
        </row>
      </sheetData>
      <sheetData sheetId="1495">
        <row r="21">
          <cell r="A21">
            <v>0</v>
          </cell>
        </row>
      </sheetData>
      <sheetData sheetId="1496">
        <row r="21">
          <cell r="A21">
            <v>0</v>
          </cell>
        </row>
      </sheetData>
      <sheetData sheetId="1497">
        <row r="21">
          <cell r="A21">
            <v>0</v>
          </cell>
        </row>
      </sheetData>
      <sheetData sheetId="1498">
        <row r="21">
          <cell r="A21">
            <v>0</v>
          </cell>
        </row>
      </sheetData>
      <sheetData sheetId="1499">
        <row r="21">
          <cell r="A21">
            <v>0</v>
          </cell>
        </row>
      </sheetData>
      <sheetData sheetId="1500">
        <row r="21">
          <cell r="A21">
            <v>0</v>
          </cell>
        </row>
      </sheetData>
      <sheetData sheetId="1501">
        <row r="21">
          <cell r="A21">
            <v>0</v>
          </cell>
        </row>
      </sheetData>
      <sheetData sheetId="1502">
        <row r="21">
          <cell r="A21">
            <v>0</v>
          </cell>
        </row>
      </sheetData>
      <sheetData sheetId="1503">
        <row r="21">
          <cell r="A21">
            <v>0</v>
          </cell>
        </row>
      </sheetData>
      <sheetData sheetId="1504">
        <row r="21">
          <cell r="A21">
            <v>0</v>
          </cell>
        </row>
      </sheetData>
      <sheetData sheetId="1505">
        <row r="21">
          <cell r="A21">
            <v>0</v>
          </cell>
        </row>
      </sheetData>
      <sheetData sheetId="1506">
        <row r="21">
          <cell r="A21">
            <v>0</v>
          </cell>
        </row>
      </sheetData>
      <sheetData sheetId="1507">
        <row r="21">
          <cell r="A21">
            <v>0</v>
          </cell>
        </row>
      </sheetData>
      <sheetData sheetId="1508">
        <row r="21">
          <cell r="A21">
            <v>0</v>
          </cell>
        </row>
      </sheetData>
      <sheetData sheetId="1509">
        <row r="21">
          <cell r="A21">
            <v>0</v>
          </cell>
        </row>
      </sheetData>
      <sheetData sheetId="1510">
        <row r="21">
          <cell r="A21">
            <v>0</v>
          </cell>
        </row>
      </sheetData>
      <sheetData sheetId="1511">
        <row r="21">
          <cell r="A21">
            <v>0</v>
          </cell>
        </row>
      </sheetData>
      <sheetData sheetId="1512">
        <row r="21">
          <cell r="A21">
            <v>0</v>
          </cell>
        </row>
      </sheetData>
      <sheetData sheetId="1513">
        <row r="21">
          <cell r="A21">
            <v>0</v>
          </cell>
        </row>
      </sheetData>
      <sheetData sheetId="1514">
        <row r="21">
          <cell r="A21">
            <v>0</v>
          </cell>
        </row>
      </sheetData>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row r="21">
          <cell r="A21">
            <v>0</v>
          </cell>
        </row>
      </sheetData>
      <sheetData sheetId="1595">
        <row r="21">
          <cell r="A21">
            <v>0</v>
          </cell>
        </row>
      </sheetData>
      <sheetData sheetId="1596">
        <row r="21">
          <cell r="A21">
            <v>0</v>
          </cell>
        </row>
      </sheetData>
      <sheetData sheetId="1597">
        <row r="21">
          <cell r="A21">
            <v>0</v>
          </cell>
        </row>
      </sheetData>
      <sheetData sheetId="1598">
        <row r="21">
          <cell r="A21">
            <v>0</v>
          </cell>
        </row>
      </sheetData>
      <sheetData sheetId="1599">
        <row r="21">
          <cell r="A21">
            <v>0</v>
          </cell>
        </row>
      </sheetData>
      <sheetData sheetId="1600">
        <row r="21">
          <cell r="A21">
            <v>0</v>
          </cell>
        </row>
      </sheetData>
      <sheetData sheetId="1601">
        <row r="21">
          <cell r="A21">
            <v>0</v>
          </cell>
        </row>
      </sheetData>
      <sheetData sheetId="1602">
        <row r="21">
          <cell r="A21">
            <v>0</v>
          </cell>
        </row>
      </sheetData>
      <sheetData sheetId="1603">
        <row r="21">
          <cell r="A21">
            <v>0</v>
          </cell>
        </row>
      </sheetData>
      <sheetData sheetId="1604">
        <row r="21">
          <cell r="A21">
            <v>0</v>
          </cell>
        </row>
      </sheetData>
      <sheetData sheetId="1605">
        <row r="21">
          <cell r="A21">
            <v>0</v>
          </cell>
        </row>
      </sheetData>
      <sheetData sheetId="1606">
        <row r="21">
          <cell r="A21">
            <v>0</v>
          </cell>
        </row>
      </sheetData>
      <sheetData sheetId="1607">
        <row r="21">
          <cell r="A21">
            <v>0</v>
          </cell>
        </row>
      </sheetData>
      <sheetData sheetId="1608">
        <row r="21">
          <cell r="A21">
            <v>0</v>
          </cell>
        </row>
      </sheetData>
      <sheetData sheetId="1609">
        <row r="21">
          <cell r="A21">
            <v>0</v>
          </cell>
        </row>
      </sheetData>
      <sheetData sheetId="1610">
        <row r="21">
          <cell r="A21">
            <v>0</v>
          </cell>
        </row>
      </sheetData>
      <sheetData sheetId="1611">
        <row r="21">
          <cell r="A21">
            <v>0</v>
          </cell>
        </row>
      </sheetData>
      <sheetData sheetId="1612">
        <row r="21">
          <cell r="A21">
            <v>0</v>
          </cell>
        </row>
      </sheetData>
      <sheetData sheetId="1613">
        <row r="21">
          <cell r="A21">
            <v>0</v>
          </cell>
        </row>
      </sheetData>
      <sheetData sheetId="1614">
        <row r="21">
          <cell r="A21">
            <v>0</v>
          </cell>
        </row>
      </sheetData>
      <sheetData sheetId="1615">
        <row r="21">
          <cell r="A21">
            <v>0</v>
          </cell>
        </row>
      </sheetData>
      <sheetData sheetId="1616">
        <row r="21">
          <cell r="A21">
            <v>0</v>
          </cell>
        </row>
      </sheetData>
      <sheetData sheetId="1617">
        <row r="21">
          <cell r="A21">
            <v>0</v>
          </cell>
        </row>
      </sheetData>
      <sheetData sheetId="1618">
        <row r="21">
          <cell r="A21">
            <v>0</v>
          </cell>
        </row>
      </sheetData>
      <sheetData sheetId="1619">
        <row r="21">
          <cell r="A21">
            <v>0</v>
          </cell>
        </row>
      </sheetData>
      <sheetData sheetId="1620">
        <row r="21">
          <cell r="A21">
            <v>0</v>
          </cell>
        </row>
      </sheetData>
      <sheetData sheetId="1621">
        <row r="21">
          <cell r="A21">
            <v>0</v>
          </cell>
        </row>
      </sheetData>
      <sheetData sheetId="1622">
        <row r="21">
          <cell r="A21">
            <v>0</v>
          </cell>
        </row>
      </sheetData>
      <sheetData sheetId="1623">
        <row r="21">
          <cell r="A21">
            <v>0</v>
          </cell>
        </row>
      </sheetData>
      <sheetData sheetId="1624">
        <row r="21">
          <cell r="A21">
            <v>0</v>
          </cell>
        </row>
      </sheetData>
      <sheetData sheetId="1625">
        <row r="21">
          <cell r="A21">
            <v>0</v>
          </cell>
        </row>
      </sheetData>
      <sheetData sheetId="1626">
        <row r="21">
          <cell r="A21">
            <v>0</v>
          </cell>
        </row>
      </sheetData>
      <sheetData sheetId="1627">
        <row r="21">
          <cell r="A21">
            <v>0</v>
          </cell>
        </row>
      </sheetData>
      <sheetData sheetId="1628">
        <row r="21">
          <cell r="A21">
            <v>0</v>
          </cell>
        </row>
      </sheetData>
      <sheetData sheetId="1629">
        <row r="21">
          <cell r="A21">
            <v>0</v>
          </cell>
        </row>
      </sheetData>
      <sheetData sheetId="1630">
        <row r="21">
          <cell r="A21">
            <v>0</v>
          </cell>
        </row>
      </sheetData>
      <sheetData sheetId="1631">
        <row r="21">
          <cell r="A21">
            <v>0</v>
          </cell>
        </row>
      </sheetData>
      <sheetData sheetId="1632">
        <row r="21">
          <cell r="A21">
            <v>0</v>
          </cell>
        </row>
      </sheetData>
      <sheetData sheetId="1633">
        <row r="21">
          <cell r="A21">
            <v>0</v>
          </cell>
        </row>
      </sheetData>
      <sheetData sheetId="1634">
        <row r="21">
          <cell r="A21">
            <v>0</v>
          </cell>
        </row>
      </sheetData>
      <sheetData sheetId="1635">
        <row r="21">
          <cell r="A21">
            <v>0</v>
          </cell>
        </row>
      </sheetData>
      <sheetData sheetId="1636">
        <row r="21">
          <cell r="A21">
            <v>0</v>
          </cell>
        </row>
      </sheetData>
      <sheetData sheetId="1637">
        <row r="21">
          <cell r="A21">
            <v>0</v>
          </cell>
        </row>
      </sheetData>
      <sheetData sheetId="1638">
        <row r="21">
          <cell r="A21">
            <v>0</v>
          </cell>
        </row>
      </sheetData>
      <sheetData sheetId="1639">
        <row r="21">
          <cell r="A21">
            <v>0</v>
          </cell>
        </row>
      </sheetData>
      <sheetData sheetId="1640">
        <row r="21">
          <cell r="A21">
            <v>0</v>
          </cell>
        </row>
      </sheetData>
      <sheetData sheetId="1641">
        <row r="21">
          <cell r="A21">
            <v>0</v>
          </cell>
        </row>
      </sheetData>
      <sheetData sheetId="1642">
        <row r="21">
          <cell r="A21">
            <v>0</v>
          </cell>
        </row>
      </sheetData>
      <sheetData sheetId="1643">
        <row r="21">
          <cell r="A21">
            <v>0</v>
          </cell>
        </row>
      </sheetData>
      <sheetData sheetId="1644">
        <row r="21">
          <cell r="A21">
            <v>0</v>
          </cell>
        </row>
      </sheetData>
      <sheetData sheetId="1645">
        <row r="21">
          <cell r="A21">
            <v>0</v>
          </cell>
        </row>
      </sheetData>
      <sheetData sheetId="1646">
        <row r="21">
          <cell r="A21">
            <v>0</v>
          </cell>
        </row>
      </sheetData>
      <sheetData sheetId="1647">
        <row r="21">
          <cell r="A21">
            <v>0</v>
          </cell>
        </row>
      </sheetData>
      <sheetData sheetId="1648">
        <row r="21">
          <cell r="A21">
            <v>0</v>
          </cell>
        </row>
      </sheetData>
      <sheetData sheetId="1649">
        <row r="21">
          <cell r="A21">
            <v>0</v>
          </cell>
        </row>
      </sheetData>
      <sheetData sheetId="1650">
        <row r="21">
          <cell r="A21">
            <v>0</v>
          </cell>
        </row>
      </sheetData>
      <sheetData sheetId="1651">
        <row r="21">
          <cell r="A21">
            <v>0</v>
          </cell>
        </row>
      </sheetData>
      <sheetData sheetId="1652">
        <row r="21">
          <cell r="A21">
            <v>0</v>
          </cell>
        </row>
      </sheetData>
      <sheetData sheetId="1653">
        <row r="21">
          <cell r="A21">
            <v>0</v>
          </cell>
        </row>
      </sheetData>
      <sheetData sheetId="1654">
        <row r="21">
          <cell r="A21">
            <v>0</v>
          </cell>
        </row>
      </sheetData>
      <sheetData sheetId="1655">
        <row r="21">
          <cell r="A21">
            <v>0</v>
          </cell>
        </row>
      </sheetData>
      <sheetData sheetId="1656">
        <row r="21">
          <cell r="A21">
            <v>0</v>
          </cell>
        </row>
      </sheetData>
      <sheetData sheetId="1657">
        <row r="21">
          <cell r="A21">
            <v>0</v>
          </cell>
        </row>
      </sheetData>
      <sheetData sheetId="1658">
        <row r="21">
          <cell r="A21">
            <v>0</v>
          </cell>
        </row>
      </sheetData>
      <sheetData sheetId="1659">
        <row r="21">
          <cell r="A21">
            <v>0</v>
          </cell>
        </row>
      </sheetData>
      <sheetData sheetId="1660">
        <row r="21">
          <cell r="A21">
            <v>0</v>
          </cell>
        </row>
      </sheetData>
      <sheetData sheetId="1661">
        <row r="21">
          <cell r="A21">
            <v>0</v>
          </cell>
        </row>
      </sheetData>
      <sheetData sheetId="1662">
        <row r="21">
          <cell r="A21">
            <v>0</v>
          </cell>
        </row>
      </sheetData>
      <sheetData sheetId="1663">
        <row r="21">
          <cell r="A21">
            <v>0</v>
          </cell>
        </row>
      </sheetData>
      <sheetData sheetId="1664">
        <row r="21">
          <cell r="A21">
            <v>0</v>
          </cell>
        </row>
      </sheetData>
      <sheetData sheetId="1665">
        <row r="21">
          <cell r="A21">
            <v>0</v>
          </cell>
        </row>
      </sheetData>
      <sheetData sheetId="1666">
        <row r="21">
          <cell r="A21">
            <v>0</v>
          </cell>
        </row>
      </sheetData>
      <sheetData sheetId="1667">
        <row r="21">
          <cell r="A21">
            <v>0</v>
          </cell>
        </row>
      </sheetData>
      <sheetData sheetId="1668">
        <row r="21">
          <cell r="A21">
            <v>0</v>
          </cell>
        </row>
      </sheetData>
      <sheetData sheetId="1669">
        <row r="21">
          <cell r="A21">
            <v>0</v>
          </cell>
        </row>
      </sheetData>
      <sheetData sheetId="1670">
        <row r="21">
          <cell r="A21">
            <v>0</v>
          </cell>
        </row>
      </sheetData>
      <sheetData sheetId="1671">
        <row r="21">
          <cell r="A21">
            <v>0</v>
          </cell>
        </row>
      </sheetData>
      <sheetData sheetId="1672">
        <row r="21">
          <cell r="A21">
            <v>0</v>
          </cell>
        </row>
      </sheetData>
      <sheetData sheetId="1673">
        <row r="21">
          <cell r="A21">
            <v>0</v>
          </cell>
        </row>
      </sheetData>
      <sheetData sheetId="1674">
        <row r="21">
          <cell r="A21">
            <v>0</v>
          </cell>
        </row>
      </sheetData>
      <sheetData sheetId="1675">
        <row r="21">
          <cell r="A21">
            <v>0</v>
          </cell>
        </row>
      </sheetData>
      <sheetData sheetId="1676">
        <row r="21">
          <cell r="A21">
            <v>0</v>
          </cell>
        </row>
      </sheetData>
      <sheetData sheetId="1677">
        <row r="21">
          <cell r="A21">
            <v>0</v>
          </cell>
        </row>
      </sheetData>
      <sheetData sheetId="1678">
        <row r="21">
          <cell r="A21">
            <v>0</v>
          </cell>
        </row>
      </sheetData>
      <sheetData sheetId="1679">
        <row r="21">
          <cell r="A21">
            <v>0</v>
          </cell>
        </row>
      </sheetData>
      <sheetData sheetId="1680">
        <row r="21">
          <cell r="A21">
            <v>0</v>
          </cell>
        </row>
      </sheetData>
      <sheetData sheetId="1681">
        <row r="21">
          <cell r="A21">
            <v>0</v>
          </cell>
        </row>
      </sheetData>
      <sheetData sheetId="1682">
        <row r="21">
          <cell r="A21">
            <v>0</v>
          </cell>
        </row>
      </sheetData>
      <sheetData sheetId="1683">
        <row r="21">
          <cell r="A21">
            <v>0</v>
          </cell>
        </row>
      </sheetData>
      <sheetData sheetId="1684">
        <row r="21">
          <cell r="A21">
            <v>0</v>
          </cell>
        </row>
      </sheetData>
      <sheetData sheetId="1685">
        <row r="21">
          <cell r="A21">
            <v>0</v>
          </cell>
        </row>
      </sheetData>
      <sheetData sheetId="1686">
        <row r="21">
          <cell r="A21">
            <v>0</v>
          </cell>
        </row>
      </sheetData>
      <sheetData sheetId="1687">
        <row r="21">
          <cell r="A21">
            <v>0</v>
          </cell>
        </row>
      </sheetData>
      <sheetData sheetId="1688">
        <row r="21">
          <cell r="A21">
            <v>0</v>
          </cell>
        </row>
      </sheetData>
      <sheetData sheetId="1689">
        <row r="21">
          <cell r="A21">
            <v>0</v>
          </cell>
        </row>
      </sheetData>
      <sheetData sheetId="1690">
        <row r="21">
          <cell r="A21">
            <v>0</v>
          </cell>
        </row>
      </sheetData>
      <sheetData sheetId="1691">
        <row r="21">
          <cell r="A21">
            <v>0</v>
          </cell>
        </row>
      </sheetData>
      <sheetData sheetId="1692">
        <row r="21">
          <cell r="A21">
            <v>0</v>
          </cell>
        </row>
      </sheetData>
      <sheetData sheetId="1693">
        <row r="21">
          <cell r="A21">
            <v>0</v>
          </cell>
        </row>
      </sheetData>
      <sheetData sheetId="1694">
        <row r="21">
          <cell r="A21">
            <v>0</v>
          </cell>
        </row>
      </sheetData>
      <sheetData sheetId="1695">
        <row r="21">
          <cell r="A21">
            <v>0</v>
          </cell>
        </row>
      </sheetData>
      <sheetData sheetId="1696">
        <row r="21">
          <cell r="A21">
            <v>0</v>
          </cell>
        </row>
      </sheetData>
      <sheetData sheetId="1697">
        <row r="21">
          <cell r="A21">
            <v>0</v>
          </cell>
        </row>
      </sheetData>
      <sheetData sheetId="1698">
        <row r="21">
          <cell r="A21">
            <v>0</v>
          </cell>
        </row>
      </sheetData>
      <sheetData sheetId="1699">
        <row r="21">
          <cell r="A21">
            <v>0</v>
          </cell>
        </row>
      </sheetData>
      <sheetData sheetId="1700">
        <row r="21">
          <cell r="A21">
            <v>0</v>
          </cell>
        </row>
      </sheetData>
      <sheetData sheetId="1701">
        <row r="21">
          <cell r="A21">
            <v>0</v>
          </cell>
        </row>
      </sheetData>
      <sheetData sheetId="1702">
        <row r="21">
          <cell r="A21">
            <v>0</v>
          </cell>
        </row>
      </sheetData>
      <sheetData sheetId="1703">
        <row r="21">
          <cell r="A21">
            <v>0</v>
          </cell>
        </row>
      </sheetData>
      <sheetData sheetId="1704">
        <row r="21">
          <cell r="A21">
            <v>0</v>
          </cell>
        </row>
      </sheetData>
      <sheetData sheetId="1705">
        <row r="21">
          <cell r="A21">
            <v>0</v>
          </cell>
        </row>
      </sheetData>
      <sheetData sheetId="1706">
        <row r="21">
          <cell r="A21">
            <v>0</v>
          </cell>
        </row>
      </sheetData>
      <sheetData sheetId="1707">
        <row r="21">
          <cell r="A21">
            <v>0</v>
          </cell>
        </row>
      </sheetData>
      <sheetData sheetId="1708">
        <row r="21">
          <cell r="A21">
            <v>0</v>
          </cell>
        </row>
      </sheetData>
      <sheetData sheetId="1709">
        <row r="21">
          <cell r="A21">
            <v>0</v>
          </cell>
        </row>
      </sheetData>
      <sheetData sheetId="1710">
        <row r="21">
          <cell r="A21">
            <v>0</v>
          </cell>
        </row>
      </sheetData>
      <sheetData sheetId="1711">
        <row r="21">
          <cell r="A21">
            <v>0</v>
          </cell>
        </row>
      </sheetData>
      <sheetData sheetId="1712">
        <row r="21">
          <cell r="A21">
            <v>0</v>
          </cell>
        </row>
      </sheetData>
      <sheetData sheetId="1713">
        <row r="21">
          <cell r="A21">
            <v>0</v>
          </cell>
        </row>
      </sheetData>
      <sheetData sheetId="1714">
        <row r="21">
          <cell r="A21">
            <v>0</v>
          </cell>
        </row>
      </sheetData>
      <sheetData sheetId="1715">
        <row r="21">
          <cell r="A21">
            <v>0</v>
          </cell>
        </row>
      </sheetData>
      <sheetData sheetId="1716">
        <row r="21">
          <cell r="A21">
            <v>0</v>
          </cell>
        </row>
      </sheetData>
      <sheetData sheetId="1717">
        <row r="21">
          <cell r="A21">
            <v>0</v>
          </cell>
        </row>
      </sheetData>
      <sheetData sheetId="1718">
        <row r="21">
          <cell r="A21">
            <v>0</v>
          </cell>
        </row>
      </sheetData>
      <sheetData sheetId="1719">
        <row r="21">
          <cell r="A21">
            <v>0</v>
          </cell>
        </row>
      </sheetData>
      <sheetData sheetId="1720">
        <row r="21">
          <cell r="A21">
            <v>0</v>
          </cell>
        </row>
      </sheetData>
      <sheetData sheetId="1721">
        <row r="21">
          <cell r="A21">
            <v>0</v>
          </cell>
        </row>
      </sheetData>
      <sheetData sheetId="1722">
        <row r="21">
          <cell r="A21">
            <v>0</v>
          </cell>
        </row>
      </sheetData>
      <sheetData sheetId="1723">
        <row r="21">
          <cell r="A21">
            <v>0</v>
          </cell>
        </row>
      </sheetData>
      <sheetData sheetId="1724">
        <row r="21">
          <cell r="A21">
            <v>0</v>
          </cell>
        </row>
      </sheetData>
      <sheetData sheetId="1725">
        <row r="21">
          <cell r="A21">
            <v>0</v>
          </cell>
        </row>
      </sheetData>
      <sheetData sheetId="1726">
        <row r="21">
          <cell r="A21">
            <v>0</v>
          </cell>
        </row>
      </sheetData>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ow r="21">
          <cell r="A21">
            <v>0</v>
          </cell>
        </row>
      </sheetData>
      <sheetData sheetId="2070">
        <row r="21">
          <cell r="A21">
            <v>0</v>
          </cell>
        </row>
      </sheetData>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ow r="21">
          <cell r="A21">
            <v>0</v>
          </cell>
        </row>
      </sheetData>
      <sheetData sheetId="2135">
        <row r="21">
          <cell r="A21">
            <v>0</v>
          </cell>
        </row>
      </sheetData>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ow r="21">
          <cell r="A21">
            <v>0</v>
          </cell>
        </row>
      </sheetData>
      <sheetData sheetId="2157">
        <row r="21">
          <cell r="A21">
            <v>0</v>
          </cell>
        </row>
      </sheetData>
      <sheetData sheetId="2158">
        <row r="21">
          <cell r="A21">
            <v>0</v>
          </cell>
        </row>
      </sheetData>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ow r="21">
          <cell r="A21">
            <v>0</v>
          </cell>
        </row>
      </sheetData>
      <sheetData sheetId="2168">
        <row r="21">
          <cell r="A21">
            <v>0</v>
          </cell>
        </row>
      </sheetData>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ow r="21">
          <cell r="A21">
            <v>0</v>
          </cell>
        </row>
      </sheetData>
      <sheetData sheetId="2184">
        <row r="21">
          <cell r="A21">
            <v>0</v>
          </cell>
        </row>
      </sheetData>
      <sheetData sheetId="2185">
        <row r="21">
          <cell r="A21">
            <v>0</v>
          </cell>
        </row>
      </sheetData>
      <sheetData sheetId="2186">
        <row r="21">
          <cell r="A21">
            <v>0</v>
          </cell>
        </row>
      </sheetData>
      <sheetData sheetId="2187">
        <row r="21">
          <cell r="A21">
            <v>0</v>
          </cell>
        </row>
      </sheetData>
      <sheetData sheetId="2188">
        <row r="21">
          <cell r="A21">
            <v>0</v>
          </cell>
        </row>
      </sheetData>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sheetData sheetId="2203" refreshError="1"/>
      <sheetData sheetId="2204" refreshError="1"/>
      <sheetData sheetId="2205"/>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sheetData sheetId="2341" refreshError="1"/>
      <sheetData sheetId="2342" refreshError="1"/>
      <sheetData sheetId="2343" refreshError="1"/>
      <sheetData sheetId="2344">
        <row r="21">
          <cell r="A21">
            <v>0</v>
          </cell>
        </row>
      </sheetData>
      <sheetData sheetId="2345">
        <row r="21">
          <cell r="A21">
            <v>0</v>
          </cell>
        </row>
      </sheetData>
      <sheetData sheetId="2346">
        <row r="21">
          <cell r="A21">
            <v>0</v>
          </cell>
        </row>
      </sheetData>
      <sheetData sheetId="2347">
        <row r="21">
          <cell r="A21">
            <v>0</v>
          </cell>
        </row>
      </sheetData>
      <sheetData sheetId="2348">
        <row r="21">
          <cell r="A21">
            <v>0</v>
          </cell>
        </row>
      </sheetData>
      <sheetData sheetId="2349">
        <row r="21">
          <cell r="A21">
            <v>0</v>
          </cell>
        </row>
      </sheetData>
      <sheetData sheetId="2350">
        <row r="21">
          <cell r="A21">
            <v>0</v>
          </cell>
        </row>
      </sheetData>
      <sheetData sheetId="2351">
        <row r="21">
          <cell r="A21">
            <v>0</v>
          </cell>
        </row>
      </sheetData>
      <sheetData sheetId="2352">
        <row r="21">
          <cell r="A21">
            <v>0</v>
          </cell>
        </row>
      </sheetData>
      <sheetData sheetId="2353">
        <row r="21">
          <cell r="A21">
            <v>0</v>
          </cell>
        </row>
      </sheetData>
      <sheetData sheetId="2354">
        <row r="21">
          <cell r="A21">
            <v>0</v>
          </cell>
        </row>
      </sheetData>
      <sheetData sheetId="2355">
        <row r="21">
          <cell r="A21">
            <v>0</v>
          </cell>
        </row>
      </sheetData>
      <sheetData sheetId="2356">
        <row r="21">
          <cell r="A21">
            <v>0</v>
          </cell>
        </row>
      </sheetData>
      <sheetData sheetId="2357">
        <row r="21">
          <cell r="A21">
            <v>0</v>
          </cell>
        </row>
      </sheetData>
      <sheetData sheetId="2358">
        <row r="21">
          <cell r="A21">
            <v>0</v>
          </cell>
        </row>
      </sheetData>
      <sheetData sheetId="2359">
        <row r="21">
          <cell r="A21">
            <v>0</v>
          </cell>
        </row>
      </sheetData>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ow r="21">
          <cell r="A21">
            <v>0</v>
          </cell>
        </row>
      </sheetData>
      <sheetData sheetId="2431" refreshError="1"/>
      <sheetData sheetId="2432">
        <row r="21">
          <cell r="A21">
            <v>0</v>
          </cell>
        </row>
      </sheetData>
      <sheetData sheetId="2433">
        <row r="21">
          <cell r="A21">
            <v>0</v>
          </cell>
        </row>
      </sheetData>
      <sheetData sheetId="2434">
        <row r="21">
          <cell r="A21">
            <v>0</v>
          </cell>
        </row>
      </sheetData>
      <sheetData sheetId="2435">
        <row r="21">
          <cell r="A21">
            <v>0</v>
          </cell>
        </row>
      </sheetData>
      <sheetData sheetId="2436">
        <row r="21">
          <cell r="A21">
            <v>0</v>
          </cell>
        </row>
      </sheetData>
      <sheetData sheetId="2437">
        <row r="21">
          <cell r="A21">
            <v>0</v>
          </cell>
        </row>
      </sheetData>
      <sheetData sheetId="2438">
        <row r="21">
          <cell r="A21">
            <v>0</v>
          </cell>
        </row>
      </sheetData>
      <sheetData sheetId="2439">
        <row r="21">
          <cell r="A21">
            <v>0</v>
          </cell>
        </row>
      </sheetData>
      <sheetData sheetId="2440">
        <row r="21">
          <cell r="A21">
            <v>0</v>
          </cell>
        </row>
      </sheetData>
      <sheetData sheetId="2441">
        <row r="21">
          <cell r="A21">
            <v>0</v>
          </cell>
        </row>
      </sheetData>
      <sheetData sheetId="2442">
        <row r="21">
          <cell r="A21">
            <v>0</v>
          </cell>
        </row>
      </sheetData>
      <sheetData sheetId="2443">
        <row r="21">
          <cell r="A21">
            <v>0</v>
          </cell>
        </row>
      </sheetData>
      <sheetData sheetId="2444">
        <row r="21">
          <cell r="A21">
            <v>0</v>
          </cell>
        </row>
      </sheetData>
      <sheetData sheetId="2445">
        <row r="21">
          <cell r="A21">
            <v>0</v>
          </cell>
        </row>
      </sheetData>
      <sheetData sheetId="2446">
        <row r="21">
          <cell r="A21">
            <v>0</v>
          </cell>
        </row>
      </sheetData>
      <sheetData sheetId="2447">
        <row r="21">
          <cell r="A21">
            <v>0</v>
          </cell>
        </row>
      </sheetData>
      <sheetData sheetId="2448">
        <row r="21">
          <cell r="A21">
            <v>0</v>
          </cell>
        </row>
      </sheetData>
      <sheetData sheetId="2449">
        <row r="21">
          <cell r="A21">
            <v>0</v>
          </cell>
        </row>
      </sheetData>
      <sheetData sheetId="2450">
        <row r="21">
          <cell r="A21">
            <v>0</v>
          </cell>
        </row>
      </sheetData>
      <sheetData sheetId="2451">
        <row r="21">
          <cell r="A21">
            <v>0</v>
          </cell>
        </row>
      </sheetData>
      <sheetData sheetId="2452">
        <row r="21">
          <cell r="A21">
            <v>0</v>
          </cell>
        </row>
      </sheetData>
      <sheetData sheetId="2453">
        <row r="21">
          <cell r="A21">
            <v>0</v>
          </cell>
        </row>
      </sheetData>
      <sheetData sheetId="2454">
        <row r="21">
          <cell r="A21">
            <v>0</v>
          </cell>
        </row>
      </sheetData>
      <sheetData sheetId="2455">
        <row r="21">
          <cell r="A21">
            <v>0</v>
          </cell>
        </row>
      </sheetData>
      <sheetData sheetId="2456">
        <row r="21">
          <cell r="A21">
            <v>0</v>
          </cell>
        </row>
      </sheetData>
      <sheetData sheetId="2457">
        <row r="21">
          <cell r="A21">
            <v>0</v>
          </cell>
        </row>
      </sheetData>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ow r="21">
          <cell r="A21">
            <v>0</v>
          </cell>
        </row>
      </sheetData>
      <sheetData sheetId="2471">
        <row r="21">
          <cell r="A21">
            <v>0</v>
          </cell>
        </row>
      </sheetData>
      <sheetData sheetId="2472">
        <row r="21">
          <cell r="A21">
            <v>0</v>
          </cell>
        </row>
      </sheetData>
      <sheetData sheetId="2473">
        <row r="21">
          <cell r="A21">
            <v>0</v>
          </cell>
        </row>
      </sheetData>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ow r="21">
          <cell r="A21">
            <v>0</v>
          </cell>
        </row>
      </sheetData>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ow r="21">
          <cell r="A21">
            <v>0</v>
          </cell>
        </row>
      </sheetData>
      <sheetData sheetId="2505" refreshError="1"/>
      <sheetData sheetId="2506" refreshError="1"/>
      <sheetData sheetId="2507">
        <row r="21">
          <cell r="A21">
            <v>0</v>
          </cell>
        </row>
      </sheetData>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ow r="21">
          <cell r="A21">
            <v>0</v>
          </cell>
        </row>
      </sheetData>
      <sheetData sheetId="2669">
        <row r="21">
          <cell r="A21">
            <v>0</v>
          </cell>
        </row>
      </sheetData>
      <sheetData sheetId="2670">
        <row r="21">
          <cell r="A21">
            <v>0</v>
          </cell>
        </row>
      </sheetData>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ow r="21">
          <cell r="A21">
            <v>0</v>
          </cell>
        </row>
      </sheetData>
      <sheetData sheetId="2699" refreshError="1"/>
      <sheetData sheetId="2700" refreshError="1"/>
      <sheetData sheetId="2701" refreshError="1"/>
      <sheetData sheetId="2702" refreshError="1"/>
      <sheetData sheetId="2703" refreshError="1"/>
      <sheetData sheetId="2704" refreshError="1"/>
      <sheetData sheetId="2705">
        <row r="21">
          <cell r="A21">
            <v>0</v>
          </cell>
        </row>
      </sheetData>
      <sheetData sheetId="2706">
        <row r="21">
          <cell r="A21">
            <v>0</v>
          </cell>
        </row>
      </sheetData>
      <sheetData sheetId="2707">
        <row r="21">
          <cell r="A21">
            <v>0</v>
          </cell>
        </row>
      </sheetData>
      <sheetData sheetId="2708">
        <row r="21">
          <cell r="A21">
            <v>0</v>
          </cell>
        </row>
      </sheetData>
      <sheetData sheetId="2709">
        <row r="21">
          <cell r="A21">
            <v>0</v>
          </cell>
        </row>
      </sheetData>
      <sheetData sheetId="2710">
        <row r="21">
          <cell r="A21">
            <v>0</v>
          </cell>
        </row>
      </sheetData>
      <sheetData sheetId="2711">
        <row r="21">
          <cell r="A21">
            <v>0</v>
          </cell>
        </row>
      </sheetData>
      <sheetData sheetId="2712">
        <row r="21">
          <cell r="A21">
            <v>0</v>
          </cell>
        </row>
      </sheetData>
      <sheetData sheetId="2713">
        <row r="21">
          <cell r="A21">
            <v>0</v>
          </cell>
        </row>
      </sheetData>
      <sheetData sheetId="2714">
        <row r="21">
          <cell r="A21">
            <v>0</v>
          </cell>
        </row>
      </sheetData>
      <sheetData sheetId="2715">
        <row r="21">
          <cell r="A21">
            <v>0</v>
          </cell>
        </row>
      </sheetData>
      <sheetData sheetId="2716">
        <row r="21">
          <cell r="A21">
            <v>0</v>
          </cell>
        </row>
      </sheetData>
      <sheetData sheetId="2717">
        <row r="21">
          <cell r="A21">
            <v>0</v>
          </cell>
        </row>
      </sheetData>
      <sheetData sheetId="2718">
        <row r="21">
          <cell r="A21">
            <v>0</v>
          </cell>
        </row>
      </sheetData>
      <sheetData sheetId="2719">
        <row r="21">
          <cell r="A21">
            <v>0</v>
          </cell>
        </row>
      </sheetData>
      <sheetData sheetId="2720">
        <row r="21">
          <cell r="A21">
            <v>0</v>
          </cell>
        </row>
      </sheetData>
      <sheetData sheetId="2721">
        <row r="21">
          <cell r="A21">
            <v>0</v>
          </cell>
        </row>
      </sheetData>
      <sheetData sheetId="2722">
        <row r="21">
          <cell r="A21">
            <v>0</v>
          </cell>
        </row>
      </sheetData>
      <sheetData sheetId="2723">
        <row r="21">
          <cell r="A21">
            <v>0</v>
          </cell>
        </row>
      </sheetData>
      <sheetData sheetId="2724">
        <row r="21">
          <cell r="A21">
            <v>0</v>
          </cell>
        </row>
      </sheetData>
      <sheetData sheetId="2725">
        <row r="21">
          <cell r="A21">
            <v>0</v>
          </cell>
        </row>
      </sheetData>
      <sheetData sheetId="2726">
        <row r="21">
          <cell r="A21">
            <v>0</v>
          </cell>
        </row>
      </sheetData>
      <sheetData sheetId="2727">
        <row r="21">
          <cell r="A21">
            <v>0</v>
          </cell>
        </row>
      </sheetData>
      <sheetData sheetId="2728">
        <row r="21">
          <cell r="A21">
            <v>0</v>
          </cell>
        </row>
      </sheetData>
      <sheetData sheetId="2729">
        <row r="21">
          <cell r="A21">
            <v>0</v>
          </cell>
        </row>
      </sheetData>
      <sheetData sheetId="2730">
        <row r="21">
          <cell r="A21">
            <v>0</v>
          </cell>
        </row>
      </sheetData>
      <sheetData sheetId="2731">
        <row r="21">
          <cell r="A21">
            <v>0</v>
          </cell>
        </row>
      </sheetData>
      <sheetData sheetId="2732">
        <row r="21">
          <cell r="A21">
            <v>0</v>
          </cell>
        </row>
      </sheetData>
      <sheetData sheetId="2733">
        <row r="21">
          <cell r="A21">
            <v>0</v>
          </cell>
        </row>
      </sheetData>
      <sheetData sheetId="2734">
        <row r="21">
          <cell r="A21">
            <v>0</v>
          </cell>
        </row>
      </sheetData>
      <sheetData sheetId="2735">
        <row r="21">
          <cell r="A21">
            <v>0</v>
          </cell>
        </row>
      </sheetData>
      <sheetData sheetId="2736">
        <row r="21">
          <cell r="A21">
            <v>0</v>
          </cell>
        </row>
      </sheetData>
      <sheetData sheetId="2737">
        <row r="21">
          <cell r="A21">
            <v>0</v>
          </cell>
        </row>
      </sheetData>
      <sheetData sheetId="2738">
        <row r="21">
          <cell r="A21">
            <v>0</v>
          </cell>
        </row>
      </sheetData>
      <sheetData sheetId="2739">
        <row r="21">
          <cell r="A21">
            <v>0</v>
          </cell>
        </row>
      </sheetData>
      <sheetData sheetId="2740">
        <row r="21">
          <cell r="A21">
            <v>0</v>
          </cell>
        </row>
      </sheetData>
      <sheetData sheetId="2741">
        <row r="21">
          <cell r="A21">
            <v>0</v>
          </cell>
        </row>
      </sheetData>
      <sheetData sheetId="2742">
        <row r="21">
          <cell r="A21">
            <v>0</v>
          </cell>
        </row>
      </sheetData>
      <sheetData sheetId="2743">
        <row r="21">
          <cell r="A21">
            <v>0</v>
          </cell>
        </row>
      </sheetData>
      <sheetData sheetId="2744">
        <row r="21">
          <cell r="A21">
            <v>0</v>
          </cell>
        </row>
      </sheetData>
      <sheetData sheetId="2745">
        <row r="21">
          <cell r="A21">
            <v>0</v>
          </cell>
        </row>
      </sheetData>
      <sheetData sheetId="2746">
        <row r="21">
          <cell r="A21">
            <v>0</v>
          </cell>
        </row>
      </sheetData>
      <sheetData sheetId="2747">
        <row r="21">
          <cell r="A21">
            <v>0</v>
          </cell>
        </row>
      </sheetData>
      <sheetData sheetId="2748">
        <row r="21">
          <cell r="A21">
            <v>0</v>
          </cell>
        </row>
      </sheetData>
      <sheetData sheetId="2749">
        <row r="21">
          <cell r="A21">
            <v>0</v>
          </cell>
        </row>
      </sheetData>
      <sheetData sheetId="2750">
        <row r="21">
          <cell r="A21">
            <v>0</v>
          </cell>
        </row>
      </sheetData>
      <sheetData sheetId="2751">
        <row r="21">
          <cell r="A21">
            <v>0</v>
          </cell>
        </row>
      </sheetData>
      <sheetData sheetId="2752">
        <row r="21">
          <cell r="A21">
            <v>0</v>
          </cell>
        </row>
      </sheetData>
      <sheetData sheetId="2753">
        <row r="21">
          <cell r="A21">
            <v>0</v>
          </cell>
        </row>
      </sheetData>
      <sheetData sheetId="2754">
        <row r="21">
          <cell r="A21">
            <v>0</v>
          </cell>
        </row>
      </sheetData>
      <sheetData sheetId="2755">
        <row r="21">
          <cell r="A21">
            <v>0</v>
          </cell>
        </row>
      </sheetData>
      <sheetData sheetId="2756">
        <row r="21">
          <cell r="A21">
            <v>0</v>
          </cell>
        </row>
      </sheetData>
      <sheetData sheetId="2757">
        <row r="21">
          <cell r="A21">
            <v>0</v>
          </cell>
        </row>
      </sheetData>
      <sheetData sheetId="2758">
        <row r="21">
          <cell r="A21">
            <v>0</v>
          </cell>
        </row>
      </sheetData>
      <sheetData sheetId="2759">
        <row r="21">
          <cell r="A21">
            <v>0</v>
          </cell>
        </row>
      </sheetData>
      <sheetData sheetId="2760">
        <row r="21">
          <cell r="A21">
            <v>0</v>
          </cell>
        </row>
      </sheetData>
      <sheetData sheetId="2761">
        <row r="21">
          <cell r="A21">
            <v>0</v>
          </cell>
        </row>
      </sheetData>
      <sheetData sheetId="2762">
        <row r="21">
          <cell r="A21">
            <v>0</v>
          </cell>
        </row>
      </sheetData>
      <sheetData sheetId="2763">
        <row r="21">
          <cell r="A21">
            <v>0</v>
          </cell>
        </row>
      </sheetData>
      <sheetData sheetId="2764">
        <row r="21">
          <cell r="A21">
            <v>0</v>
          </cell>
        </row>
      </sheetData>
      <sheetData sheetId="2765">
        <row r="21">
          <cell r="A21">
            <v>0</v>
          </cell>
        </row>
      </sheetData>
      <sheetData sheetId="2766">
        <row r="21">
          <cell r="A21">
            <v>0</v>
          </cell>
        </row>
      </sheetData>
      <sheetData sheetId="2767">
        <row r="21">
          <cell r="A21">
            <v>0</v>
          </cell>
        </row>
      </sheetData>
      <sheetData sheetId="2768">
        <row r="21">
          <cell r="A21">
            <v>0</v>
          </cell>
        </row>
      </sheetData>
      <sheetData sheetId="2769">
        <row r="21">
          <cell r="A21">
            <v>0</v>
          </cell>
        </row>
      </sheetData>
      <sheetData sheetId="2770">
        <row r="21">
          <cell r="A21">
            <v>0</v>
          </cell>
        </row>
      </sheetData>
      <sheetData sheetId="2771">
        <row r="21">
          <cell r="A21">
            <v>0</v>
          </cell>
        </row>
      </sheetData>
      <sheetData sheetId="2772">
        <row r="21">
          <cell r="A21">
            <v>0</v>
          </cell>
        </row>
      </sheetData>
      <sheetData sheetId="2773">
        <row r="21">
          <cell r="A21">
            <v>0</v>
          </cell>
        </row>
      </sheetData>
      <sheetData sheetId="2774">
        <row r="21">
          <cell r="A21">
            <v>0</v>
          </cell>
        </row>
      </sheetData>
      <sheetData sheetId="2775">
        <row r="21">
          <cell r="A21">
            <v>0</v>
          </cell>
        </row>
      </sheetData>
      <sheetData sheetId="2776">
        <row r="21">
          <cell r="A21">
            <v>0</v>
          </cell>
        </row>
      </sheetData>
      <sheetData sheetId="2777">
        <row r="21">
          <cell r="A21">
            <v>0</v>
          </cell>
        </row>
      </sheetData>
      <sheetData sheetId="2778">
        <row r="21">
          <cell r="A21">
            <v>0</v>
          </cell>
        </row>
      </sheetData>
      <sheetData sheetId="2779">
        <row r="21">
          <cell r="A21">
            <v>0</v>
          </cell>
        </row>
      </sheetData>
      <sheetData sheetId="2780">
        <row r="21">
          <cell r="A21">
            <v>0</v>
          </cell>
        </row>
      </sheetData>
      <sheetData sheetId="2781">
        <row r="21">
          <cell r="A21">
            <v>0</v>
          </cell>
        </row>
      </sheetData>
      <sheetData sheetId="2782">
        <row r="21">
          <cell r="A21">
            <v>0</v>
          </cell>
        </row>
      </sheetData>
      <sheetData sheetId="2783">
        <row r="21">
          <cell r="A21">
            <v>0</v>
          </cell>
        </row>
      </sheetData>
      <sheetData sheetId="2784">
        <row r="21">
          <cell r="A21">
            <v>0</v>
          </cell>
        </row>
      </sheetData>
      <sheetData sheetId="2785">
        <row r="21">
          <cell r="A21">
            <v>0</v>
          </cell>
        </row>
      </sheetData>
      <sheetData sheetId="2786">
        <row r="21">
          <cell r="A21">
            <v>0</v>
          </cell>
        </row>
      </sheetData>
      <sheetData sheetId="2787">
        <row r="21">
          <cell r="A21">
            <v>0</v>
          </cell>
        </row>
      </sheetData>
      <sheetData sheetId="2788">
        <row r="21">
          <cell r="A21">
            <v>0</v>
          </cell>
        </row>
      </sheetData>
      <sheetData sheetId="2789">
        <row r="21">
          <cell r="A21">
            <v>0</v>
          </cell>
        </row>
      </sheetData>
      <sheetData sheetId="2790">
        <row r="21">
          <cell r="A21">
            <v>0</v>
          </cell>
        </row>
      </sheetData>
      <sheetData sheetId="2791">
        <row r="21">
          <cell r="A21">
            <v>0</v>
          </cell>
        </row>
      </sheetData>
      <sheetData sheetId="2792">
        <row r="21">
          <cell r="A21">
            <v>0</v>
          </cell>
        </row>
      </sheetData>
      <sheetData sheetId="2793">
        <row r="21">
          <cell r="A21">
            <v>0</v>
          </cell>
        </row>
      </sheetData>
      <sheetData sheetId="2794">
        <row r="21">
          <cell r="A21">
            <v>0</v>
          </cell>
        </row>
      </sheetData>
      <sheetData sheetId="2795">
        <row r="21">
          <cell r="A21">
            <v>0</v>
          </cell>
        </row>
      </sheetData>
      <sheetData sheetId="2796">
        <row r="21">
          <cell r="A21">
            <v>0</v>
          </cell>
        </row>
      </sheetData>
      <sheetData sheetId="2797">
        <row r="21">
          <cell r="A21">
            <v>0</v>
          </cell>
        </row>
      </sheetData>
      <sheetData sheetId="2798">
        <row r="21">
          <cell r="A21">
            <v>0</v>
          </cell>
        </row>
      </sheetData>
      <sheetData sheetId="2799">
        <row r="21">
          <cell r="A21">
            <v>0</v>
          </cell>
        </row>
      </sheetData>
      <sheetData sheetId="2800">
        <row r="21">
          <cell r="A21">
            <v>0</v>
          </cell>
        </row>
      </sheetData>
      <sheetData sheetId="2801">
        <row r="21">
          <cell r="A21">
            <v>0</v>
          </cell>
        </row>
      </sheetData>
      <sheetData sheetId="2802">
        <row r="21">
          <cell r="A21">
            <v>0</v>
          </cell>
        </row>
      </sheetData>
      <sheetData sheetId="2803">
        <row r="21">
          <cell r="A21">
            <v>0</v>
          </cell>
        </row>
      </sheetData>
      <sheetData sheetId="2804">
        <row r="21">
          <cell r="A21">
            <v>0</v>
          </cell>
        </row>
      </sheetData>
      <sheetData sheetId="2805">
        <row r="21">
          <cell r="A21">
            <v>0</v>
          </cell>
        </row>
      </sheetData>
      <sheetData sheetId="2806">
        <row r="21">
          <cell r="A21">
            <v>0</v>
          </cell>
        </row>
      </sheetData>
      <sheetData sheetId="2807">
        <row r="21">
          <cell r="A21">
            <v>0</v>
          </cell>
        </row>
      </sheetData>
      <sheetData sheetId="2808">
        <row r="21">
          <cell r="A21">
            <v>0</v>
          </cell>
        </row>
      </sheetData>
      <sheetData sheetId="2809">
        <row r="21">
          <cell r="A21">
            <v>0</v>
          </cell>
        </row>
      </sheetData>
      <sheetData sheetId="2810">
        <row r="21">
          <cell r="A21">
            <v>0</v>
          </cell>
        </row>
      </sheetData>
      <sheetData sheetId="2811">
        <row r="21">
          <cell r="A21">
            <v>0</v>
          </cell>
        </row>
      </sheetData>
      <sheetData sheetId="2812">
        <row r="21">
          <cell r="A21">
            <v>0</v>
          </cell>
        </row>
      </sheetData>
      <sheetData sheetId="2813">
        <row r="21">
          <cell r="A21">
            <v>0</v>
          </cell>
        </row>
      </sheetData>
      <sheetData sheetId="2814">
        <row r="21">
          <cell r="A21">
            <v>0</v>
          </cell>
        </row>
      </sheetData>
      <sheetData sheetId="2815">
        <row r="21">
          <cell r="A21">
            <v>0</v>
          </cell>
        </row>
      </sheetData>
      <sheetData sheetId="2816">
        <row r="21">
          <cell r="A21">
            <v>0</v>
          </cell>
        </row>
      </sheetData>
      <sheetData sheetId="2817">
        <row r="21">
          <cell r="A21">
            <v>0</v>
          </cell>
        </row>
      </sheetData>
      <sheetData sheetId="2818">
        <row r="21">
          <cell r="A21">
            <v>0</v>
          </cell>
        </row>
      </sheetData>
      <sheetData sheetId="2819">
        <row r="21">
          <cell r="A21">
            <v>0</v>
          </cell>
        </row>
      </sheetData>
      <sheetData sheetId="2820">
        <row r="21">
          <cell r="A21">
            <v>0</v>
          </cell>
        </row>
      </sheetData>
      <sheetData sheetId="2821">
        <row r="21">
          <cell r="A21">
            <v>0</v>
          </cell>
        </row>
      </sheetData>
      <sheetData sheetId="2822">
        <row r="21">
          <cell r="A21">
            <v>0</v>
          </cell>
        </row>
      </sheetData>
      <sheetData sheetId="2823">
        <row r="21">
          <cell r="A21">
            <v>0</v>
          </cell>
        </row>
      </sheetData>
      <sheetData sheetId="2824">
        <row r="21">
          <cell r="A21">
            <v>0</v>
          </cell>
        </row>
      </sheetData>
      <sheetData sheetId="2825">
        <row r="21">
          <cell r="A21">
            <v>0</v>
          </cell>
        </row>
      </sheetData>
      <sheetData sheetId="2826">
        <row r="21">
          <cell r="A21">
            <v>0</v>
          </cell>
        </row>
      </sheetData>
      <sheetData sheetId="2827">
        <row r="21">
          <cell r="A21">
            <v>0</v>
          </cell>
        </row>
      </sheetData>
      <sheetData sheetId="2828">
        <row r="21">
          <cell r="A21">
            <v>0</v>
          </cell>
        </row>
      </sheetData>
      <sheetData sheetId="2829">
        <row r="21">
          <cell r="A21">
            <v>0</v>
          </cell>
        </row>
      </sheetData>
      <sheetData sheetId="2830">
        <row r="21">
          <cell r="A21">
            <v>0</v>
          </cell>
        </row>
      </sheetData>
      <sheetData sheetId="2831">
        <row r="21">
          <cell r="A21">
            <v>0</v>
          </cell>
        </row>
      </sheetData>
      <sheetData sheetId="2832">
        <row r="21">
          <cell r="A21">
            <v>0</v>
          </cell>
        </row>
      </sheetData>
      <sheetData sheetId="2833">
        <row r="21">
          <cell r="A21">
            <v>0</v>
          </cell>
        </row>
      </sheetData>
      <sheetData sheetId="2834">
        <row r="21">
          <cell r="A21">
            <v>0</v>
          </cell>
        </row>
      </sheetData>
      <sheetData sheetId="2835">
        <row r="21">
          <cell r="A21">
            <v>0</v>
          </cell>
        </row>
      </sheetData>
      <sheetData sheetId="2836">
        <row r="21">
          <cell r="A21">
            <v>0</v>
          </cell>
        </row>
      </sheetData>
      <sheetData sheetId="2837">
        <row r="21">
          <cell r="A21">
            <v>0</v>
          </cell>
        </row>
      </sheetData>
      <sheetData sheetId="2838">
        <row r="21">
          <cell r="A21">
            <v>0</v>
          </cell>
        </row>
      </sheetData>
      <sheetData sheetId="2839">
        <row r="21">
          <cell r="A21">
            <v>0</v>
          </cell>
        </row>
      </sheetData>
      <sheetData sheetId="2840">
        <row r="21">
          <cell r="A21">
            <v>0</v>
          </cell>
        </row>
      </sheetData>
      <sheetData sheetId="2841">
        <row r="21">
          <cell r="A21">
            <v>0</v>
          </cell>
        </row>
      </sheetData>
      <sheetData sheetId="2842">
        <row r="21">
          <cell r="A21">
            <v>0</v>
          </cell>
        </row>
      </sheetData>
      <sheetData sheetId="2843">
        <row r="21">
          <cell r="A21">
            <v>0</v>
          </cell>
        </row>
      </sheetData>
      <sheetData sheetId="2844">
        <row r="21">
          <cell r="A21">
            <v>0</v>
          </cell>
        </row>
      </sheetData>
      <sheetData sheetId="2845">
        <row r="21">
          <cell r="A21">
            <v>0</v>
          </cell>
        </row>
      </sheetData>
      <sheetData sheetId="2846">
        <row r="21">
          <cell r="A21">
            <v>0</v>
          </cell>
        </row>
      </sheetData>
      <sheetData sheetId="2847">
        <row r="21">
          <cell r="A21">
            <v>0</v>
          </cell>
        </row>
      </sheetData>
      <sheetData sheetId="2848">
        <row r="21">
          <cell r="A21">
            <v>0</v>
          </cell>
        </row>
      </sheetData>
      <sheetData sheetId="2849">
        <row r="21">
          <cell r="A21">
            <v>0</v>
          </cell>
        </row>
      </sheetData>
      <sheetData sheetId="2850">
        <row r="21">
          <cell r="A21">
            <v>0</v>
          </cell>
        </row>
      </sheetData>
      <sheetData sheetId="2851">
        <row r="21">
          <cell r="A21">
            <v>0</v>
          </cell>
        </row>
      </sheetData>
      <sheetData sheetId="2852">
        <row r="21">
          <cell r="A21">
            <v>0</v>
          </cell>
        </row>
      </sheetData>
      <sheetData sheetId="2853">
        <row r="21">
          <cell r="A21">
            <v>0</v>
          </cell>
        </row>
      </sheetData>
      <sheetData sheetId="2854">
        <row r="21">
          <cell r="A21">
            <v>0</v>
          </cell>
        </row>
      </sheetData>
      <sheetData sheetId="2855">
        <row r="21">
          <cell r="A21">
            <v>0</v>
          </cell>
        </row>
      </sheetData>
      <sheetData sheetId="2856">
        <row r="21">
          <cell r="A21">
            <v>0</v>
          </cell>
        </row>
      </sheetData>
      <sheetData sheetId="2857">
        <row r="21">
          <cell r="A21">
            <v>0</v>
          </cell>
        </row>
      </sheetData>
      <sheetData sheetId="2858">
        <row r="21">
          <cell r="A21">
            <v>0</v>
          </cell>
        </row>
      </sheetData>
      <sheetData sheetId="2859">
        <row r="21">
          <cell r="A21">
            <v>0</v>
          </cell>
        </row>
      </sheetData>
      <sheetData sheetId="2860">
        <row r="21">
          <cell r="A21">
            <v>0</v>
          </cell>
        </row>
      </sheetData>
      <sheetData sheetId="2861">
        <row r="21">
          <cell r="A21">
            <v>0</v>
          </cell>
        </row>
      </sheetData>
      <sheetData sheetId="2862">
        <row r="21">
          <cell r="A21">
            <v>0</v>
          </cell>
        </row>
      </sheetData>
      <sheetData sheetId="2863">
        <row r="21">
          <cell r="A21">
            <v>0</v>
          </cell>
        </row>
      </sheetData>
      <sheetData sheetId="2864">
        <row r="21">
          <cell r="A21">
            <v>0</v>
          </cell>
        </row>
      </sheetData>
      <sheetData sheetId="2865">
        <row r="21">
          <cell r="A21">
            <v>0</v>
          </cell>
        </row>
      </sheetData>
      <sheetData sheetId="2866">
        <row r="21">
          <cell r="A21">
            <v>0</v>
          </cell>
        </row>
      </sheetData>
      <sheetData sheetId="2867">
        <row r="21">
          <cell r="A21">
            <v>0</v>
          </cell>
        </row>
      </sheetData>
      <sheetData sheetId="2868">
        <row r="21">
          <cell r="A21">
            <v>0</v>
          </cell>
        </row>
      </sheetData>
      <sheetData sheetId="2869">
        <row r="21">
          <cell r="A21">
            <v>0</v>
          </cell>
        </row>
      </sheetData>
      <sheetData sheetId="2870">
        <row r="21">
          <cell r="A21">
            <v>0</v>
          </cell>
        </row>
      </sheetData>
      <sheetData sheetId="2871">
        <row r="21">
          <cell r="A21">
            <v>0</v>
          </cell>
        </row>
      </sheetData>
      <sheetData sheetId="2872">
        <row r="21">
          <cell r="A21">
            <v>0</v>
          </cell>
        </row>
      </sheetData>
      <sheetData sheetId="2873">
        <row r="21">
          <cell r="A21">
            <v>0</v>
          </cell>
        </row>
      </sheetData>
      <sheetData sheetId="2874">
        <row r="21">
          <cell r="A21">
            <v>0</v>
          </cell>
        </row>
      </sheetData>
      <sheetData sheetId="2875">
        <row r="21">
          <cell r="A21">
            <v>0</v>
          </cell>
        </row>
      </sheetData>
      <sheetData sheetId="2876">
        <row r="21">
          <cell r="A21">
            <v>0</v>
          </cell>
        </row>
      </sheetData>
      <sheetData sheetId="2877">
        <row r="21">
          <cell r="A21">
            <v>0</v>
          </cell>
        </row>
      </sheetData>
      <sheetData sheetId="2878"/>
      <sheetData sheetId="2879"/>
      <sheetData sheetId="2880"/>
      <sheetData sheetId="2881">
        <row r="21">
          <cell r="A21">
            <v>0</v>
          </cell>
        </row>
      </sheetData>
      <sheetData sheetId="2882">
        <row r="21">
          <cell r="A21">
            <v>0</v>
          </cell>
        </row>
      </sheetData>
      <sheetData sheetId="2883">
        <row r="21">
          <cell r="A21">
            <v>0</v>
          </cell>
        </row>
      </sheetData>
      <sheetData sheetId="2884">
        <row r="21">
          <cell r="A21">
            <v>0</v>
          </cell>
        </row>
      </sheetData>
      <sheetData sheetId="2885">
        <row r="21">
          <cell r="A21">
            <v>0</v>
          </cell>
        </row>
      </sheetData>
      <sheetData sheetId="2886">
        <row r="21">
          <cell r="A21">
            <v>0</v>
          </cell>
        </row>
      </sheetData>
      <sheetData sheetId="2887">
        <row r="21">
          <cell r="A21">
            <v>0</v>
          </cell>
        </row>
      </sheetData>
      <sheetData sheetId="2888">
        <row r="21">
          <cell r="A21">
            <v>0</v>
          </cell>
        </row>
      </sheetData>
      <sheetData sheetId="2889">
        <row r="21">
          <cell r="A21">
            <v>0</v>
          </cell>
        </row>
      </sheetData>
      <sheetData sheetId="2890">
        <row r="21">
          <cell r="A21">
            <v>0</v>
          </cell>
        </row>
      </sheetData>
      <sheetData sheetId="2891">
        <row r="21">
          <cell r="A21">
            <v>0</v>
          </cell>
        </row>
      </sheetData>
      <sheetData sheetId="2892">
        <row r="21">
          <cell r="A21">
            <v>0</v>
          </cell>
        </row>
      </sheetData>
      <sheetData sheetId="2893">
        <row r="21">
          <cell r="A21">
            <v>0</v>
          </cell>
        </row>
      </sheetData>
      <sheetData sheetId="2894">
        <row r="21">
          <cell r="A21">
            <v>0</v>
          </cell>
        </row>
      </sheetData>
      <sheetData sheetId="2895">
        <row r="21">
          <cell r="A21">
            <v>0</v>
          </cell>
        </row>
      </sheetData>
      <sheetData sheetId="2896">
        <row r="21">
          <cell r="A21">
            <v>0</v>
          </cell>
        </row>
      </sheetData>
      <sheetData sheetId="2897">
        <row r="21">
          <cell r="A21">
            <v>0</v>
          </cell>
        </row>
      </sheetData>
      <sheetData sheetId="2898">
        <row r="21">
          <cell r="A21">
            <v>0</v>
          </cell>
        </row>
      </sheetData>
      <sheetData sheetId="2899">
        <row r="21">
          <cell r="A21">
            <v>0</v>
          </cell>
        </row>
      </sheetData>
      <sheetData sheetId="2900">
        <row r="21">
          <cell r="A21">
            <v>0</v>
          </cell>
        </row>
      </sheetData>
      <sheetData sheetId="2901">
        <row r="21">
          <cell r="A21">
            <v>0</v>
          </cell>
        </row>
      </sheetData>
      <sheetData sheetId="2902" refreshError="1"/>
      <sheetData sheetId="2903" refreshError="1"/>
      <sheetData sheetId="2904" refreshError="1"/>
      <sheetData sheetId="2905" refreshError="1"/>
      <sheetData sheetId="2906" refreshError="1"/>
      <sheetData sheetId="2907"/>
      <sheetData sheetId="2908" refreshError="1"/>
      <sheetData sheetId="2909" refreshError="1"/>
      <sheetData sheetId="2910" refreshError="1"/>
      <sheetData sheetId="2911" refreshError="1"/>
      <sheetData sheetId="2912" refreshError="1"/>
      <sheetData sheetId="2913" refreshError="1"/>
      <sheetData sheetId="2914"/>
      <sheetData sheetId="2915" refreshError="1"/>
      <sheetData sheetId="2916" refreshError="1"/>
      <sheetData sheetId="2917" refreshError="1"/>
      <sheetData sheetId="2918">
        <row r="21">
          <cell r="A21">
            <v>0</v>
          </cell>
        </row>
      </sheetData>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ow r="21">
          <cell r="A21">
            <v>0</v>
          </cell>
        </row>
      </sheetData>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ow r="21">
          <cell r="A21">
            <v>0</v>
          </cell>
        </row>
      </sheetData>
      <sheetData sheetId="2970">
        <row r="21">
          <cell r="A21">
            <v>0</v>
          </cell>
        </row>
      </sheetData>
      <sheetData sheetId="2971">
        <row r="21">
          <cell r="A21">
            <v>0</v>
          </cell>
        </row>
      </sheetData>
      <sheetData sheetId="2972">
        <row r="21">
          <cell r="A21">
            <v>0</v>
          </cell>
        </row>
      </sheetData>
      <sheetData sheetId="2973" refreshError="1"/>
      <sheetData sheetId="2974" refreshError="1"/>
      <sheetData sheetId="2975" refreshError="1"/>
      <sheetData sheetId="2976">
        <row r="21">
          <cell r="A21">
            <v>0</v>
          </cell>
        </row>
      </sheetData>
      <sheetData sheetId="2977">
        <row r="21">
          <cell r="A21">
            <v>0</v>
          </cell>
        </row>
      </sheetData>
      <sheetData sheetId="2978">
        <row r="21">
          <cell r="A21">
            <v>0</v>
          </cell>
        </row>
      </sheetData>
      <sheetData sheetId="2979">
        <row r="21">
          <cell r="A21">
            <v>0</v>
          </cell>
        </row>
      </sheetData>
      <sheetData sheetId="2980">
        <row r="21">
          <cell r="A21">
            <v>0</v>
          </cell>
        </row>
      </sheetData>
      <sheetData sheetId="2981">
        <row r="21">
          <cell r="A21">
            <v>0</v>
          </cell>
        </row>
      </sheetData>
      <sheetData sheetId="2982">
        <row r="21">
          <cell r="A21">
            <v>0</v>
          </cell>
        </row>
      </sheetData>
      <sheetData sheetId="2983">
        <row r="21">
          <cell r="A21">
            <v>0</v>
          </cell>
        </row>
      </sheetData>
      <sheetData sheetId="2984">
        <row r="21">
          <cell r="A21">
            <v>0</v>
          </cell>
        </row>
      </sheetData>
      <sheetData sheetId="2985">
        <row r="21">
          <cell r="A21">
            <v>0</v>
          </cell>
        </row>
      </sheetData>
      <sheetData sheetId="2986">
        <row r="21">
          <cell r="A21">
            <v>0</v>
          </cell>
        </row>
      </sheetData>
      <sheetData sheetId="2987">
        <row r="21">
          <cell r="A21">
            <v>0</v>
          </cell>
        </row>
      </sheetData>
      <sheetData sheetId="2988">
        <row r="21">
          <cell r="A21">
            <v>0</v>
          </cell>
        </row>
      </sheetData>
      <sheetData sheetId="2989">
        <row r="21">
          <cell r="A21">
            <v>0</v>
          </cell>
        </row>
      </sheetData>
      <sheetData sheetId="2990">
        <row r="21">
          <cell r="A21">
            <v>0</v>
          </cell>
        </row>
      </sheetData>
      <sheetData sheetId="2991">
        <row r="21">
          <cell r="A21">
            <v>0</v>
          </cell>
        </row>
      </sheetData>
      <sheetData sheetId="2992">
        <row r="21">
          <cell r="A21">
            <v>0</v>
          </cell>
        </row>
      </sheetData>
      <sheetData sheetId="2993">
        <row r="21">
          <cell r="A21">
            <v>0</v>
          </cell>
        </row>
      </sheetData>
      <sheetData sheetId="2994">
        <row r="21">
          <cell r="A21">
            <v>0</v>
          </cell>
        </row>
      </sheetData>
      <sheetData sheetId="2995">
        <row r="21">
          <cell r="A21">
            <v>0</v>
          </cell>
        </row>
      </sheetData>
      <sheetData sheetId="2996">
        <row r="21">
          <cell r="A21">
            <v>0</v>
          </cell>
        </row>
      </sheetData>
      <sheetData sheetId="2997">
        <row r="21">
          <cell r="A21">
            <v>0</v>
          </cell>
        </row>
      </sheetData>
      <sheetData sheetId="2998">
        <row r="21">
          <cell r="A21">
            <v>0</v>
          </cell>
        </row>
      </sheetData>
      <sheetData sheetId="2999">
        <row r="21">
          <cell r="A21">
            <v>0</v>
          </cell>
        </row>
      </sheetData>
      <sheetData sheetId="3000">
        <row r="21">
          <cell r="A21">
            <v>0</v>
          </cell>
        </row>
      </sheetData>
      <sheetData sheetId="3001">
        <row r="21">
          <cell r="A21">
            <v>0</v>
          </cell>
        </row>
      </sheetData>
      <sheetData sheetId="3002">
        <row r="21">
          <cell r="A21">
            <v>0</v>
          </cell>
        </row>
      </sheetData>
      <sheetData sheetId="3003">
        <row r="21">
          <cell r="A21">
            <v>0</v>
          </cell>
        </row>
      </sheetData>
      <sheetData sheetId="3004">
        <row r="21">
          <cell r="A21">
            <v>0</v>
          </cell>
        </row>
      </sheetData>
      <sheetData sheetId="3005">
        <row r="21">
          <cell r="A21">
            <v>0</v>
          </cell>
        </row>
      </sheetData>
      <sheetData sheetId="3006">
        <row r="21">
          <cell r="A21">
            <v>0</v>
          </cell>
        </row>
      </sheetData>
      <sheetData sheetId="3007">
        <row r="21">
          <cell r="A21">
            <v>0</v>
          </cell>
        </row>
      </sheetData>
      <sheetData sheetId="3008">
        <row r="21">
          <cell r="A21">
            <v>0</v>
          </cell>
        </row>
      </sheetData>
      <sheetData sheetId="3009">
        <row r="21">
          <cell r="A21">
            <v>0</v>
          </cell>
        </row>
      </sheetData>
      <sheetData sheetId="3010">
        <row r="21">
          <cell r="A21">
            <v>0</v>
          </cell>
        </row>
      </sheetData>
      <sheetData sheetId="3011">
        <row r="21">
          <cell r="A21">
            <v>0</v>
          </cell>
        </row>
      </sheetData>
      <sheetData sheetId="3012">
        <row r="21">
          <cell r="A21">
            <v>0</v>
          </cell>
        </row>
      </sheetData>
      <sheetData sheetId="3013">
        <row r="21">
          <cell r="A21">
            <v>0</v>
          </cell>
        </row>
      </sheetData>
      <sheetData sheetId="3014">
        <row r="21">
          <cell r="A21">
            <v>0</v>
          </cell>
        </row>
      </sheetData>
      <sheetData sheetId="3015">
        <row r="21">
          <cell r="A21">
            <v>0</v>
          </cell>
        </row>
      </sheetData>
      <sheetData sheetId="3016">
        <row r="21">
          <cell r="A21">
            <v>0</v>
          </cell>
        </row>
      </sheetData>
      <sheetData sheetId="3017">
        <row r="21">
          <cell r="A21">
            <v>0</v>
          </cell>
        </row>
      </sheetData>
      <sheetData sheetId="3018">
        <row r="21">
          <cell r="A21">
            <v>0</v>
          </cell>
        </row>
      </sheetData>
      <sheetData sheetId="3019">
        <row r="21">
          <cell r="A21">
            <v>0</v>
          </cell>
        </row>
      </sheetData>
      <sheetData sheetId="3020">
        <row r="21">
          <cell r="A21">
            <v>0</v>
          </cell>
        </row>
      </sheetData>
      <sheetData sheetId="3021">
        <row r="21">
          <cell r="A21">
            <v>0</v>
          </cell>
        </row>
      </sheetData>
      <sheetData sheetId="3022">
        <row r="21">
          <cell r="A21">
            <v>0</v>
          </cell>
        </row>
      </sheetData>
      <sheetData sheetId="3023">
        <row r="21">
          <cell r="A21">
            <v>0</v>
          </cell>
        </row>
      </sheetData>
      <sheetData sheetId="3024">
        <row r="21">
          <cell r="A21">
            <v>0</v>
          </cell>
        </row>
      </sheetData>
      <sheetData sheetId="3025">
        <row r="21">
          <cell r="A21">
            <v>0</v>
          </cell>
        </row>
      </sheetData>
      <sheetData sheetId="3026">
        <row r="21">
          <cell r="A21">
            <v>0</v>
          </cell>
        </row>
      </sheetData>
      <sheetData sheetId="3027">
        <row r="21">
          <cell r="A21">
            <v>0</v>
          </cell>
        </row>
      </sheetData>
      <sheetData sheetId="3028">
        <row r="21">
          <cell r="A21">
            <v>0</v>
          </cell>
        </row>
      </sheetData>
      <sheetData sheetId="3029">
        <row r="21">
          <cell r="A21">
            <v>0</v>
          </cell>
        </row>
      </sheetData>
      <sheetData sheetId="3030">
        <row r="21">
          <cell r="A21">
            <v>0</v>
          </cell>
        </row>
      </sheetData>
      <sheetData sheetId="3031">
        <row r="21">
          <cell r="A21">
            <v>0</v>
          </cell>
        </row>
      </sheetData>
      <sheetData sheetId="3032">
        <row r="21">
          <cell r="A21">
            <v>0</v>
          </cell>
        </row>
      </sheetData>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ow r="21">
          <cell r="A21">
            <v>0</v>
          </cell>
        </row>
      </sheetData>
      <sheetData sheetId="3047">
        <row r="21">
          <cell r="A21">
            <v>0</v>
          </cell>
        </row>
      </sheetData>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ow r="21">
          <cell r="A21">
            <v>0</v>
          </cell>
        </row>
      </sheetData>
      <sheetData sheetId="3130">
        <row r="21">
          <cell r="A21">
            <v>0</v>
          </cell>
        </row>
      </sheetData>
      <sheetData sheetId="3131">
        <row r="21">
          <cell r="A21">
            <v>0</v>
          </cell>
        </row>
      </sheetData>
      <sheetData sheetId="3132">
        <row r="21">
          <cell r="A21">
            <v>0</v>
          </cell>
        </row>
      </sheetData>
      <sheetData sheetId="3133">
        <row r="21">
          <cell r="A21">
            <v>0</v>
          </cell>
        </row>
      </sheetData>
      <sheetData sheetId="3134">
        <row r="21">
          <cell r="A21">
            <v>0</v>
          </cell>
        </row>
      </sheetData>
      <sheetData sheetId="3135">
        <row r="21">
          <cell r="A21">
            <v>0</v>
          </cell>
        </row>
      </sheetData>
      <sheetData sheetId="3136">
        <row r="21">
          <cell r="A21">
            <v>0</v>
          </cell>
        </row>
      </sheetData>
      <sheetData sheetId="3137">
        <row r="21">
          <cell r="A21">
            <v>0</v>
          </cell>
        </row>
      </sheetData>
      <sheetData sheetId="3138">
        <row r="21">
          <cell r="A21">
            <v>0</v>
          </cell>
        </row>
      </sheetData>
      <sheetData sheetId="3139">
        <row r="21">
          <cell r="A21">
            <v>0</v>
          </cell>
        </row>
      </sheetData>
      <sheetData sheetId="3140">
        <row r="21">
          <cell r="A21">
            <v>0</v>
          </cell>
        </row>
      </sheetData>
      <sheetData sheetId="3141">
        <row r="21">
          <cell r="A21">
            <v>0</v>
          </cell>
        </row>
      </sheetData>
      <sheetData sheetId="3142">
        <row r="21">
          <cell r="A21">
            <v>0</v>
          </cell>
        </row>
      </sheetData>
      <sheetData sheetId="3143">
        <row r="21">
          <cell r="A21">
            <v>0</v>
          </cell>
        </row>
      </sheetData>
      <sheetData sheetId="3144">
        <row r="21">
          <cell r="A21">
            <v>0</v>
          </cell>
        </row>
      </sheetData>
      <sheetData sheetId="3145">
        <row r="21">
          <cell r="A21">
            <v>0</v>
          </cell>
        </row>
      </sheetData>
      <sheetData sheetId="3146">
        <row r="21">
          <cell r="A21">
            <v>0</v>
          </cell>
        </row>
      </sheetData>
      <sheetData sheetId="3147">
        <row r="21">
          <cell r="A21">
            <v>0</v>
          </cell>
        </row>
      </sheetData>
      <sheetData sheetId="3148">
        <row r="21">
          <cell r="A21">
            <v>0</v>
          </cell>
        </row>
      </sheetData>
      <sheetData sheetId="3149">
        <row r="21">
          <cell r="A21">
            <v>0</v>
          </cell>
        </row>
      </sheetData>
      <sheetData sheetId="3150">
        <row r="21">
          <cell r="A21">
            <v>0</v>
          </cell>
        </row>
      </sheetData>
      <sheetData sheetId="3151">
        <row r="21">
          <cell r="A21">
            <v>0</v>
          </cell>
        </row>
      </sheetData>
      <sheetData sheetId="3152">
        <row r="21">
          <cell r="A21">
            <v>0</v>
          </cell>
        </row>
      </sheetData>
      <sheetData sheetId="3153">
        <row r="21">
          <cell r="A21">
            <v>0</v>
          </cell>
        </row>
      </sheetData>
      <sheetData sheetId="3154">
        <row r="21">
          <cell r="A21">
            <v>0</v>
          </cell>
        </row>
      </sheetData>
      <sheetData sheetId="3155">
        <row r="21">
          <cell r="A21">
            <v>0</v>
          </cell>
        </row>
      </sheetData>
      <sheetData sheetId="3156">
        <row r="21">
          <cell r="A21">
            <v>0</v>
          </cell>
        </row>
      </sheetData>
      <sheetData sheetId="3157">
        <row r="21">
          <cell r="A21">
            <v>0</v>
          </cell>
        </row>
      </sheetData>
      <sheetData sheetId="3158">
        <row r="21">
          <cell r="A21">
            <v>0</v>
          </cell>
        </row>
      </sheetData>
      <sheetData sheetId="3159">
        <row r="21">
          <cell r="A21">
            <v>0</v>
          </cell>
        </row>
      </sheetData>
      <sheetData sheetId="3160">
        <row r="21">
          <cell r="A21">
            <v>0</v>
          </cell>
        </row>
      </sheetData>
      <sheetData sheetId="3161">
        <row r="21">
          <cell r="A21">
            <v>0</v>
          </cell>
        </row>
      </sheetData>
      <sheetData sheetId="3162">
        <row r="21">
          <cell r="A21">
            <v>0</v>
          </cell>
        </row>
      </sheetData>
      <sheetData sheetId="3163">
        <row r="21">
          <cell r="A21">
            <v>0</v>
          </cell>
        </row>
      </sheetData>
      <sheetData sheetId="3164">
        <row r="21">
          <cell r="A21">
            <v>0</v>
          </cell>
        </row>
      </sheetData>
      <sheetData sheetId="3165">
        <row r="21">
          <cell r="A21">
            <v>0</v>
          </cell>
        </row>
      </sheetData>
      <sheetData sheetId="3166">
        <row r="21">
          <cell r="A21">
            <v>0</v>
          </cell>
        </row>
      </sheetData>
      <sheetData sheetId="3167">
        <row r="21">
          <cell r="A21">
            <v>0</v>
          </cell>
        </row>
      </sheetData>
      <sheetData sheetId="3168">
        <row r="21">
          <cell r="A21">
            <v>0</v>
          </cell>
        </row>
      </sheetData>
      <sheetData sheetId="3169">
        <row r="21">
          <cell r="A21">
            <v>0</v>
          </cell>
        </row>
      </sheetData>
      <sheetData sheetId="3170">
        <row r="21">
          <cell r="A21">
            <v>0</v>
          </cell>
        </row>
      </sheetData>
      <sheetData sheetId="3171">
        <row r="21">
          <cell r="A21">
            <v>0</v>
          </cell>
        </row>
      </sheetData>
      <sheetData sheetId="3172">
        <row r="21">
          <cell r="A21">
            <v>0</v>
          </cell>
        </row>
      </sheetData>
      <sheetData sheetId="3173">
        <row r="21">
          <cell r="A21">
            <v>0</v>
          </cell>
        </row>
      </sheetData>
      <sheetData sheetId="3174">
        <row r="21">
          <cell r="A21">
            <v>0</v>
          </cell>
        </row>
      </sheetData>
      <sheetData sheetId="3175">
        <row r="21">
          <cell r="A21">
            <v>0</v>
          </cell>
        </row>
      </sheetData>
      <sheetData sheetId="3176">
        <row r="21">
          <cell r="A21">
            <v>0</v>
          </cell>
        </row>
      </sheetData>
      <sheetData sheetId="3177">
        <row r="21">
          <cell r="A21">
            <v>0</v>
          </cell>
        </row>
      </sheetData>
      <sheetData sheetId="3178">
        <row r="21">
          <cell r="A21">
            <v>0</v>
          </cell>
        </row>
      </sheetData>
      <sheetData sheetId="3179">
        <row r="21">
          <cell r="A21">
            <v>0</v>
          </cell>
        </row>
      </sheetData>
      <sheetData sheetId="3180">
        <row r="21">
          <cell r="A21">
            <v>0</v>
          </cell>
        </row>
      </sheetData>
      <sheetData sheetId="3181">
        <row r="21">
          <cell r="A21">
            <v>0</v>
          </cell>
        </row>
      </sheetData>
      <sheetData sheetId="3182">
        <row r="21">
          <cell r="A21">
            <v>0</v>
          </cell>
        </row>
      </sheetData>
      <sheetData sheetId="3183">
        <row r="21">
          <cell r="A21">
            <v>0</v>
          </cell>
        </row>
      </sheetData>
      <sheetData sheetId="3184">
        <row r="21">
          <cell r="A21">
            <v>0</v>
          </cell>
        </row>
      </sheetData>
      <sheetData sheetId="3185">
        <row r="21">
          <cell r="A21">
            <v>0</v>
          </cell>
        </row>
      </sheetData>
      <sheetData sheetId="3186" refreshError="1"/>
      <sheetData sheetId="3187" refreshError="1"/>
      <sheetData sheetId="3188"/>
      <sheetData sheetId="3189" refreshError="1"/>
      <sheetData sheetId="3190" refreshError="1"/>
      <sheetData sheetId="3191" refreshError="1"/>
      <sheetData sheetId="3192" refreshError="1"/>
      <sheetData sheetId="3193" refreshError="1"/>
      <sheetData sheetId="3194"/>
      <sheetData sheetId="3195"/>
      <sheetData sheetId="3196"/>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ow r="21">
          <cell r="A21">
            <v>0</v>
          </cell>
        </row>
      </sheetData>
      <sheetData sheetId="3236" refreshError="1"/>
      <sheetData sheetId="3237" refreshError="1"/>
      <sheetData sheetId="3238" refreshError="1"/>
      <sheetData sheetId="3239" refreshError="1"/>
      <sheetData sheetId="3240" refreshError="1"/>
      <sheetData sheetId="3241" refreshError="1"/>
      <sheetData sheetId="3242">
        <row r="21">
          <cell r="A21">
            <v>0</v>
          </cell>
        </row>
      </sheetData>
      <sheetData sheetId="3243">
        <row r="21">
          <cell r="A21">
            <v>0</v>
          </cell>
        </row>
      </sheetData>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ow r="21">
          <cell r="A21">
            <v>0</v>
          </cell>
        </row>
      </sheetData>
      <sheetData sheetId="3289">
        <row r="21">
          <cell r="A21">
            <v>0</v>
          </cell>
        </row>
      </sheetData>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sheetData sheetId="3342"/>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sheetData sheetId="3429"/>
      <sheetData sheetId="3430"/>
      <sheetData sheetId="3431"/>
      <sheetData sheetId="3432"/>
      <sheetData sheetId="3433"/>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sheetData sheetId="3453" refreshError="1"/>
      <sheetData sheetId="3454" refreshError="1"/>
      <sheetData sheetId="3455" refreshError="1"/>
      <sheetData sheetId="3456" refreshError="1"/>
      <sheetData sheetId="3457">
        <row r="21">
          <cell r="A21">
            <v>0</v>
          </cell>
        </row>
      </sheetData>
      <sheetData sheetId="3458">
        <row r="21">
          <cell r="A21">
            <v>0</v>
          </cell>
        </row>
      </sheetData>
      <sheetData sheetId="3459">
        <row r="21">
          <cell r="A21">
            <v>0</v>
          </cell>
        </row>
      </sheetData>
      <sheetData sheetId="3460">
        <row r="21">
          <cell r="A21">
            <v>0</v>
          </cell>
        </row>
      </sheetData>
      <sheetData sheetId="3461">
        <row r="21">
          <cell r="A21">
            <v>0</v>
          </cell>
        </row>
      </sheetData>
      <sheetData sheetId="3462">
        <row r="21">
          <cell r="A21">
            <v>0</v>
          </cell>
        </row>
      </sheetData>
      <sheetData sheetId="3463">
        <row r="21">
          <cell r="A21">
            <v>0</v>
          </cell>
        </row>
      </sheetData>
      <sheetData sheetId="3464"/>
      <sheetData sheetId="3465">
        <row r="21">
          <cell r="A21">
            <v>0</v>
          </cell>
        </row>
      </sheetData>
      <sheetData sheetId="3466">
        <row r="21">
          <cell r="A21">
            <v>0</v>
          </cell>
        </row>
      </sheetData>
      <sheetData sheetId="3467"/>
      <sheetData sheetId="3468"/>
      <sheetData sheetId="3469"/>
      <sheetData sheetId="3470"/>
      <sheetData sheetId="3471"/>
      <sheetData sheetId="3472">
        <row r="21">
          <cell r="A21">
            <v>0</v>
          </cell>
        </row>
      </sheetData>
      <sheetData sheetId="3473">
        <row r="21">
          <cell r="A21">
            <v>0</v>
          </cell>
        </row>
      </sheetData>
      <sheetData sheetId="3474">
        <row r="21">
          <cell r="A21">
            <v>0</v>
          </cell>
        </row>
      </sheetData>
      <sheetData sheetId="3475">
        <row r="21">
          <cell r="C21">
            <v>22.680000000000003</v>
          </cell>
        </row>
      </sheetData>
      <sheetData sheetId="3476">
        <row r="21">
          <cell r="A21">
            <v>0</v>
          </cell>
        </row>
      </sheetData>
      <sheetData sheetId="3477"/>
      <sheetData sheetId="3478">
        <row r="21">
          <cell r="A21">
            <v>0</v>
          </cell>
        </row>
      </sheetData>
      <sheetData sheetId="3479"/>
      <sheetData sheetId="3480">
        <row r="21">
          <cell r="A21">
            <v>0</v>
          </cell>
        </row>
      </sheetData>
      <sheetData sheetId="3481">
        <row r="21">
          <cell r="A21">
            <v>0</v>
          </cell>
        </row>
      </sheetData>
      <sheetData sheetId="3482"/>
      <sheetData sheetId="3483">
        <row r="21">
          <cell r="A21">
            <v>0</v>
          </cell>
        </row>
      </sheetData>
      <sheetData sheetId="3484">
        <row r="21">
          <cell r="A21">
            <v>0</v>
          </cell>
        </row>
      </sheetData>
      <sheetData sheetId="3485"/>
      <sheetData sheetId="3486"/>
      <sheetData sheetId="3487"/>
      <sheetData sheetId="3488"/>
      <sheetData sheetId="3489"/>
      <sheetData sheetId="3490"/>
      <sheetData sheetId="3491">
        <row r="21">
          <cell r="A21">
            <v>0</v>
          </cell>
        </row>
      </sheetData>
      <sheetData sheetId="3492">
        <row r="21">
          <cell r="A21">
            <v>0</v>
          </cell>
        </row>
      </sheetData>
      <sheetData sheetId="3493">
        <row r="21">
          <cell r="A21">
            <v>0</v>
          </cell>
        </row>
      </sheetData>
      <sheetData sheetId="3494">
        <row r="21">
          <cell r="A21">
            <v>0</v>
          </cell>
        </row>
      </sheetData>
      <sheetData sheetId="3495">
        <row r="21">
          <cell r="A21">
            <v>0</v>
          </cell>
        </row>
      </sheetData>
      <sheetData sheetId="3496"/>
      <sheetData sheetId="3497">
        <row r="21">
          <cell r="A21">
            <v>0</v>
          </cell>
        </row>
      </sheetData>
      <sheetData sheetId="3498"/>
      <sheetData sheetId="3499"/>
      <sheetData sheetId="3500">
        <row r="21">
          <cell r="A21">
            <v>0</v>
          </cell>
        </row>
      </sheetData>
      <sheetData sheetId="3501">
        <row r="21">
          <cell r="A21">
            <v>0</v>
          </cell>
        </row>
      </sheetData>
      <sheetData sheetId="3502">
        <row r="21">
          <cell r="A21">
            <v>0</v>
          </cell>
        </row>
      </sheetData>
      <sheetData sheetId="3503"/>
      <sheetData sheetId="3504"/>
      <sheetData sheetId="3505">
        <row r="21">
          <cell r="A21">
            <v>0</v>
          </cell>
        </row>
      </sheetData>
      <sheetData sheetId="3506"/>
      <sheetData sheetId="3507">
        <row r="21">
          <cell r="A21">
            <v>0</v>
          </cell>
        </row>
      </sheetData>
      <sheetData sheetId="3508">
        <row r="21">
          <cell r="A21">
            <v>0</v>
          </cell>
        </row>
      </sheetData>
      <sheetData sheetId="3509"/>
      <sheetData sheetId="3510">
        <row r="21">
          <cell r="A21">
            <v>0</v>
          </cell>
        </row>
      </sheetData>
      <sheetData sheetId="3511"/>
      <sheetData sheetId="3512">
        <row r="21">
          <cell r="A21">
            <v>0</v>
          </cell>
        </row>
      </sheetData>
      <sheetData sheetId="3513">
        <row r="21">
          <cell r="A21">
            <v>0</v>
          </cell>
        </row>
      </sheetData>
      <sheetData sheetId="3514"/>
      <sheetData sheetId="3515">
        <row r="21">
          <cell r="A21">
            <v>0</v>
          </cell>
        </row>
      </sheetData>
      <sheetData sheetId="3516"/>
      <sheetData sheetId="3517"/>
      <sheetData sheetId="3518">
        <row r="21">
          <cell r="A21">
            <v>0</v>
          </cell>
        </row>
      </sheetData>
      <sheetData sheetId="3519">
        <row r="21">
          <cell r="A21">
            <v>0</v>
          </cell>
        </row>
      </sheetData>
      <sheetData sheetId="3520"/>
      <sheetData sheetId="3521">
        <row r="21">
          <cell r="A21">
            <v>0</v>
          </cell>
        </row>
      </sheetData>
      <sheetData sheetId="3522"/>
      <sheetData sheetId="3523">
        <row r="21">
          <cell r="A21">
            <v>0</v>
          </cell>
        </row>
      </sheetData>
      <sheetData sheetId="3524"/>
      <sheetData sheetId="3525">
        <row r="21">
          <cell r="A21">
            <v>0</v>
          </cell>
        </row>
      </sheetData>
      <sheetData sheetId="3526">
        <row r="21">
          <cell r="A21">
            <v>0</v>
          </cell>
        </row>
      </sheetData>
      <sheetData sheetId="3527"/>
      <sheetData sheetId="3528"/>
      <sheetData sheetId="3529"/>
      <sheetData sheetId="3530"/>
      <sheetData sheetId="3531"/>
      <sheetData sheetId="3532"/>
      <sheetData sheetId="3533">
        <row r="21">
          <cell r="A21">
            <v>0</v>
          </cell>
        </row>
      </sheetData>
      <sheetData sheetId="3534">
        <row r="21">
          <cell r="A21">
            <v>0</v>
          </cell>
        </row>
      </sheetData>
      <sheetData sheetId="3535"/>
      <sheetData sheetId="3536"/>
      <sheetData sheetId="3537"/>
      <sheetData sheetId="3538">
        <row r="21">
          <cell r="A21">
            <v>0</v>
          </cell>
        </row>
      </sheetData>
      <sheetData sheetId="3539">
        <row r="21">
          <cell r="A21">
            <v>0</v>
          </cell>
        </row>
      </sheetData>
      <sheetData sheetId="3540">
        <row r="21">
          <cell r="A21">
            <v>0</v>
          </cell>
        </row>
      </sheetData>
      <sheetData sheetId="3541"/>
      <sheetData sheetId="3542">
        <row r="21">
          <cell r="A21">
            <v>0</v>
          </cell>
        </row>
      </sheetData>
      <sheetData sheetId="3543"/>
      <sheetData sheetId="3544"/>
      <sheetData sheetId="3545"/>
      <sheetData sheetId="3546">
        <row r="21">
          <cell r="A21">
            <v>0</v>
          </cell>
        </row>
      </sheetData>
      <sheetData sheetId="3547">
        <row r="21">
          <cell r="A21">
            <v>0</v>
          </cell>
        </row>
      </sheetData>
      <sheetData sheetId="3548">
        <row r="21">
          <cell r="A21">
            <v>0</v>
          </cell>
        </row>
      </sheetData>
      <sheetData sheetId="3549">
        <row r="21">
          <cell r="A21">
            <v>0</v>
          </cell>
        </row>
      </sheetData>
      <sheetData sheetId="3550"/>
      <sheetData sheetId="3551">
        <row r="21">
          <cell r="A21">
            <v>0</v>
          </cell>
        </row>
      </sheetData>
      <sheetData sheetId="3552">
        <row r="21">
          <cell r="A21">
            <v>0</v>
          </cell>
        </row>
      </sheetData>
      <sheetData sheetId="3553">
        <row r="21">
          <cell r="A21">
            <v>0</v>
          </cell>
        </row>
      </sheetData>
      <sheetData sheetId="3554"/>
      <sheetData sheetId="3555">
        <row r="21">
          <cell r="A21">
            <v>0</v>
          </cell>
        </row>
      </sheetData>
      <sheetData sheetId="3556">
        <row r="21">
          <cell r="A21">
            <v>0</v>
          </cell>
        </row>
      </sheetData>
      <sheetData sheetId="3557"/>
      <sheetData sheetId="3558"/>
      <sheetData sheetId="3559">
        <row r="21">
          <cell r="A21">
            <v>0</v>
          </cell>
        </row>
      </sheetData>
      <sheetData sheetId="3560">
        <row r="21">
          <cell r="A21">
            <v>0</v>
          </cell>
        </row>
      </sheetData>
      <sheetData sheetId="3561"/>
      <sheetData sheetId="3562"/>
      <sheetData sheetId="3563"/>
      <sheetData sheetId="3564"/>
      <sheetData sheetId="3565">
        <row r="21">
          <cell r="A21">
            <v>0</v>
          </cell>
        </row>
      </sheetData>
      <sheetData sheetId="3566"/>
      <sheetData sheetId="3567">
        <row r="21">
          <cell r="A21">
            <v>0</v>
          </cell>
        </row>
      </sheetData>
      <sheetData sheetId="3568">
        <row r="21">
          <cell r="A21">
            <v>0</v>
          </cell>
        </row>
      </sheetData>
      <sheetData sheetId="3569"/>
      <sheetData sheetId="3570">
        <row r="21">
          <cell r="A21">
            <v>0</v>
          </cell>
        </row>
      </sheetData>
      <sheetData sheetId="3571"/>
      <sheetData sheetId="3572"/>
      <sheetData sheetId="3573">
        <row r="21">
          <cell r="A21">
            <v>0</v>
          </cell>
        </row>
      </sheetData>
      <sheetData sheetId="3574"/>
      <sheetData sheetId="3575"/>
      <sheetData sheetId="3576"/>
      <sheetData sheetId="3577"/>
      <sheetData sheetId="3578"/>
      <sheetData sheetId="3579"/>
      <sheetData sheetId="3580">
        <row r="21">
          <cell r="A21">
            <v>0</v>
          </cell>
        </row>
      </sheetData>
      <sheetData sheetId="3581">
        <row r="21">
          <cell r="A21">
            <v>0</v>
          </cell>
        </row>
      </sheetData>
      <sheetData sheetId="3582">
        <row r="21">
          <cell r="A21">
            <v>0</v>
          </cell>
        </row>
      </sheetData>
      <sheetData sheetId="3583">
        <row r="21">
          <cell r="A21">
            <v>0</v>
          </cell>
        </row>
      </sheetData>
      <sheetData sheetId="3584"/>
      <sheetData sheetId="3585">
        <row r="21">
          <cell r="A21">
            <v>0</v>
          </cell>
        </row>
      </sheetData>
      <sheetData sheetId="3586">
        <row r="21">
          <cell r="A21">
            <v>0</v>
          </cell>
        </row>
      </sheetData>
      <sheetData sheetId="3587"/>
      <sheetData sheetId="3588">
        <row r="21">
          <cell r="A21">
            <v>0</v>
          </cell>
        </row>
      </sheetData>
      <sheetData sheetId="3589">
        <row r="21">
          <cell r="A21">
            <v>0</v>
          </cell>
        </row>
      </sheetData>
      <sheetData sheetId="3590">
        <row r="21">
          <cell r="A21">
            <v>0</v>
          </cell>
        </row>
      </sheetData>
      <sheetData sheetId="3591">
        <row r="21">
          <cell r="A21">
            <v>0</v>
          </cell>
        </row>
      </sheetData>
      <sheetData sheetId="3592">
        <row r="21">
          <cell r="A21">
            <v>0</v>
          </cell>
        </row>
      </sheetData>
      <sheetData sheetId="3593">
        <row r="21">
          <cell r="A21">
            <v>0</v>
          </cell>
        </row>
      </sheetData>
      <sheetData sheetId="3594"/>
      <sheetData sheetId="3595">
        <row r="21">
          <cell r="A21">
            <v>0</v>
          </cell>
        </row>
      </sheetData>
      <sheetData sheetId="3596">
        <row r="21">
          <cell r="A21">
            <v>0</v>
          </cell>
        </row>
      </sheetData>
      <sheetData sheetId="3597">
        <row r="21">
          <cell r="A21">
            <v>0</v>
          </cell>
        </row>
      </sheetData>
      <sheetData sheetId="3598">
        <row r="21">
          <cell r="A21">
            <v>0</v>
          </cell>
        </row>
      </sheetData>
      <sheetData sheetId="3599"/>
      <sheetData sheetId="3600"/>
      <sheetData sheetId="3601">
        <row r="21">
          <cell r="A21">
            <v>0</v>
          </cell>
        </row>
      </sheetData>
      <sheetData sheetId="3602"/>
      <sheetData sheetId="3603">
        <row r="21">
          <cell r="A21">
            <v>0</v>
          </cell>
        </row>
      </sheetData>
      <sheetData sheetId="3604">
        <row r="21">
          <cell r="A21">
            <v>0</v>
          </cell>
        </row>
      </sheetData>
      <sheetData sheetId="3605"/>
      <sheetData sheetId="3606">
        <row r="21">
          <cell r="A21">
            <v>0</v>
          </cell>
        </row>
      </sheetData>
      <sheetData sheetId="3607">
        <row r="21">
          <cell r="A21">
            <v>0</v>
          </cell>
        </row>
      </sheetData>
      <sheetData sheetId="3608">
        <row r="21">
          <cell r="A21">
            <v>0</v>
          </cell>
        </row>
      </sheetData>
      <sheetData sheetId="3609"/>
      <sheetData sheetId="3610"/>
      <sheetData sheetId="3611">
        <row r="21">
          <cell r="A21">
            <v>0</v>
          </cell>
        </row>
      </sheetData>
      <sheetData sheetId="3612"/>
      <sheetData sheetId="3613">
        <row r="21">
          <cell r="A21">
            <v>0</v>
          </cell>
        </row>
      </sheetData>
      <sheetData sheetId="3614">
        <row r="21">
          <cell r="A21">
            <v>0</v>
          </cell>
        </row>
      </sheetData>
      <sheetData sheetId="3615">
        <row r="21">
          <cell r="A21">
            <v>0</v>
          </cell>
        </row>
      </sheetData>
      <sheetData sheetId="3616">
        <row r="21">
          <cell r="A21">
            <v>0</v>
          </cell>
        </row>
      </sheetData>
      <sheetData sheetId="3617">
        <row r="21">
          <cell r="A21">
            <v>0</v>
          </cell>
        </row>
      </sheetData>
      <sheetData sheetId="3618">
        <row r="21">
          <cell r="A21">
            <v>0</v>
          </cell>
        </row>
      </sheetData>
      <sheetData sheetId="3619">
        <row r="21">
          <cell r="A21">
            <v>0</v>
          </cell>
        </row>
      </sheetData>
      <sheetData sheetId="3620">
        <row r="21">
          <cell r="A21">
            <v>0</v>
          </cell>
        </row>
      </sheetData>
      <sheetData sheetId="3621"/>
      <sheetData sheetId="3622"/>
      <sheetData sheetId="3623">
        <row r="21">
          <cell r="A21">
            <v>0</v>
          </cell>
        </row>
      </sheetData>
      <sheetData sheetId="3624">
        <row r="21">
          <cell r="A21">
            <v>0</v>
          </cell>
        </row>
      </sheetData>
      <sheetData sheetId="3625"/>
      <sheetData sheetId="3626">
        <row r="21">
          <cell r="A21">
            <v>0</v>
          </cell>
        </row>
      </sheetData>
      <sheetData sheetId="3627">
        <row r="21">
          <cell r="A21">
            <v>0</v>
          </cell>
        </row>
      </sheetData>
      <sheetData sheetId="3628"/>
      <sheetData sheetId="3629">
        <row r="21">
          <cell r="A21">
            <v>0</v>
          </cell>
        </row>
      </sheetData>
      <sheetData sheetId="3630"/>
      <sheetData sheetId="3631"/>
      <sheetData sheetId="3632"/>
      <sheetData sheetId="3633">
        <row r="21">
          <cell r="A21">
            <v>0</v>
          </cell>
        </row>
      </sheetData>
      <sheetData sheetId="3634">
        <row r="21">
          <cell r="A21">
            <v>0</v>
          </cell>
        </row>
      </sheetData>
      <sheetData sheetId="3635">
        <row r="21">
          <cell r="A21">
            <v>0</v>
          </cell>
        </row>
      </sheetData>
      <sheetData sheetId="3636"/>
      <sheetData sheetId="3637"/>
      <sheetData sheetId="3638"/>
      <sheetData sheetId="3639">
        <row r="21">
          <cell r="A21">
            <v>0</v>
          </cell>
        </row>
      </sheetData>
      <sheetData sheetId="3640"/>
      <sheetData sheetId="3641">
        <row r="21">
          <cell r="C21">
            <v>22.680000000000003</v>
          </cell>
        </row>
      </sheetData>
      <sheetData sheetId="3642">
        <row r="21">
          <cell r="A21">
            <v>0</v>
          </cell>
        </row>
      </sheetData>
      <sheetData sheetId="3643"/>
      <sheetData sheetId="3644"/>
      <sheetData sheetId="3645"/>
      <sheetData sheetId="3646"/>
      <sheetData sheetId="3647"/>
      <sheetData sheetId="3648"/>
      <sheetData sheetId="3649">
        <row r="21">
          <cell r="A21">
            <v>0</v>
          </cell>
        </row>
      </sheetData>
      <sheetData sheetId="3650">
        <row r="21">
          <cell r="A21">
            <v>0</v>
          </cell>
        </row>
      </sheetData>
      <sheetData sheetId="3651"/>
      <sheetData sheetId="3652"/>
      <sheetData sheetId="3653"/>
      <sheetData sheetId="3654"/>
      <sheetData sheetId="3655"/>
      <sheetData sheetId="3656"/>
      <sheetData sheetId="3657"/>
      <sheetData sheetId="3658"/>
      <sheetData sheetId="3659"/>
      <sheetData sheetId="3660">
        <row r="21">
          <cell r="A21">
            <v>0</v>
          </cell>
        </row>
      </sheetData>
      <sheetData sheetId="3661"/>
      <sheetData sheetId="3662"/>
      <sheetData sheetId="3663"/>
      <sheetData sheetId="3664"/>
      <sheetData sheetId="3665">
        <row r="21">
          <cell r="A21">
            <v>0</v>
          </cell>
        </row>
      </sheetData>
      <sheetData sheetId="3666"/>
      <sheetData sheetId="3667">
        <row r="21">
          <cell r="A21">
            <v>0</v>
          </cell>
        </row>
      </sheetData>
      <sheetData sheetId="3668"/>
      <sheetData sheetId="3669">
        <row r="21">
          <cell r="C21">
            <v>22.680000000000003</v>
          </cell>
        </row>
      </sheetData>
      <sheetData sheetId="3670"/>
      <sheetData sheetId="3671"/>
      <sheetData sheetId="3672"/>
      <sheetData sheetId="3673"/>
      <sheetData sheetId="3674"/>
      <sheetData sheetId="3675"/>
      <sheetData sheetId="3676"/>
      <sheetData sheetId="3677"/>
      <sheetData sheetId="3678"/>
      <sheetData sheetId="3679"/>
      <sheetData sheetId="3680"/>
      <sheetData sheetId="3681">
        <row r="21">
          <cell r="A21">
            <v>0</v>
          </cell>
        </row>
      </sheetData>
      <sheetData sheetId="3682"/>
      <sheetData sheetId="3683"/>
      <sheetData sheetId="3684"/>
      <sheetData sheetId="3685"/>
      <sheetData sheetId="3686"/>
      <sheetData sheetId="3687"/>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sheetData sheetId="3724"/>
      <sheetData sheetId="3725"/>
      <sheetData sheetId="3726"/>
      <sheetData sheetId="3727">
        <row r="21">
          <cell r="A21">
            <v>0</v>
          </cell>
        </row>
      </sheetData>
      <sheetData sheetId="3728">
        <row r="21">
          <cell r="A21">
            <v>0</v>
          </cell>
        </row>
      </sheetData>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sheetData sheetId="3747"/>
      <sheetData sheetId="3748"/>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sheetData sheetId="3758"/>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sheetData sheetId="3998" refreshError="1"/>
      <sheetData sheetId="3999" refreshError="1"/>
      <sheetData sheetId="4000"/>
      <sheetData sheetId="4001" refreshError="1"/>
      <sheetData sheetId="4002" refreshError="1"/>
      <sheetData sheetId="4003"/>
      <sheetData sheetId="4004"/>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sheetData sheetId="4167"/>
      <sheetData sheetId="4168"/>
      <sheetData sheetId="4169"/>
      <sheetData sheetId="4170"/>
      <sheetData sheetId="4171"/>
      <sheetData sheetId="4172"/>
      <sheetData sheetId="4173"/>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sheetData sheetId="4292"/>
      <sheetData sheetId="4293"/>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sheetData sheetId="4323"/>
      <sheetData sheetId="4324"/>
      <sheetData sheetId="4325"/>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sheetData sheetId="4509"/>
      <sheetData sheetId="4510"/>
      <sheetData sheetId="451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SUMMARY_A"/>
      <sheetName val="SUMMARY_B"/>
      <sheetName val="SUMMARY_B (2)"/>
      <sheetName val="BREAKDOWN"/>
      <sheetName val="COST BREAKDOWN"/>
      <sheetName val="IRAQIZATION"/>
      <sheetName val="KUWAITIZATION 참고용"/>
      <sheetName val="ORG"/>
      <sheetName val="MANPOWER MOBILIZATION"/>
      <sheetName val="STAFF MOBILIZATION SUMMARY"/>
      <sheetName val="STAFF MOBILIZATION PLAN_HDEC"/>
      <sheetName val="INDIRECT MOBILIZATION PLAN"/>
      <sheetName val="EUR, TCN &amp; LOC STAFF SALARY"/>
      <sheetName val="INDIRECT SALARY"/>
      <sheetName val="HEC SEL"/>
      <sheetName val="HEC FE"/>
      <sheetName val="OVERSEAS TRAVELING EXPENSE"/>
      <sheetName val="EXCHANGE RATE"/>
      <sheetName val="LIST OF AIR FARE"/>
      <sheetName val="AIR FARE"/>
      <sheetName val="BUSINESS TRIP_FROM SEOUL"/>
      <sheetName val="BUSINESS TRIP_FROM MILAN"/>
      <sheetName val="BUSINESS TRIP_FROM SITE"/>
      <sheetName val="OFFICE EQUIPMENT_LIST"/>
      <sheetName val="OFFICE EQUIPMENT_유지보수"/>
      <sheetName val="OFFICE EQUIPMENT_소모품구입"/>
      <sheetName val="OA복합기 BRG3"/>
      <sheetName val="FURNITURE 표준단가표"/>
      <sheetName val="FURNITURE FROM AL HANA"/>
      <sheetName val="PERIODIC MEDICAL TEST"/>
      <sheetName val="VEHICLE_MOBILIZATION PLAN"/>
      <sheetName val="VEHICLE_MOBILIZATION PLAN&amp;COST"/>
      <sheetName val="COST FOR VEHICLE_SITE"/>
      <sheetName val="KOR STAFF ALLOWANCE_현지불수당"/>
      <sheetName val="KOR STAFF ALLOWANCE_연장수당"/>
      <sheetName val="KOR STAFF ALLOWANCE_직책수당"/>
      <sheetName val="KOR STAFF SALARY_단신부임수당"/>
      <sheetName val="WELFARE COST_SITE"/>
      <sheetName val="CLOTHES PAYMENT CONDITION"/>
      <sheetName val="CAMP OPERATION COST"/>
      <sheetName val="VISA &amp; PERMIT"/>
      <sheetName val="WATER SUPPLY"/>
      <sheetName val="용전비"/>
      <sheetName val="KOR STAFF SALARY_HDEC ONLY"/>
      <sheetName val="HDEC STAFF SALARY_HOME"/>
      <sheetName val="HDEC STAFF SALARY_SITE"/>
      <sheetName val="HDEC STAFF SALARY_BRANCH"/>
      <sheetName val="KOR STAFF ALLOWANCE"/>
      <sheetName val="INSURANCE_KOR_STAFF"/>
      <sheetName val="INSURANCE_KOR_INDIRECT"/>
      <sheetName val="단가(현장)"/>
      <sheetName val="단가 (서울)"/>
      <sheetName val="LC수수료 &amp; TR 이자율-NA"/>
      <sheetName val="stage payment bond fee"/>
      <sheetName val="Bond Fee"/>
      <sheetName val="여기까지"/>
      <sheetName val="HEC COST BREAKDOWN"/>
      <sheetName val="STAFF MOBILIZATION PLAN_JGC"/>
      <sheetName val="COST FOR VEHICLE_YOC"/>
      <sheetName val="Generator Fuel Consumption"/>
      <sheetName val="용전_DETAIL"/>
      <sheetName val="소비전력"/>
      <sheetName val="공사비_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세금관련집계표"/>
      <sheetName val="환율"/>
      <sheetName val="간접비총괄"/>
      <sheetName val="간접비내역서"/>
      <sheetName val="간접비-화폐단위별"/>
      <sheetName val="가설인원"/>
      <sheetName val="가설건물-당사"/>
      <sheetName val="용전"/>
      <sheetName val="용수"/>
      <sheetName val="직원급료(본사)"/>
      <sheetName val="직원급료(현장)"/>
      <sheetName val="임금인상"/>
      <sheetName val="비품"/>
      <sheetName val="차량동원계획"/>
      <sheetName val="차량동원계획(2)"/>
      <sheetName val="버스임대계획"/>
      <sheetName val="차량가격"/>
      <sheetName val="Bond"/>
      <sheetName val="Local Tax"/>
      <sheetName val="가설관세"/>
      <sheetName val="개인소득세"/>
      <sheetName val="사회보장세"/>
      <sheetName val="종합소득세"/>
      <sheetName val="Stamp Duty"/>
    </sheetNames>
    <sheetDataSet>
      <sheetData sheetId="0" refreshError="1"/>
      <sheetData sheetId="1" refreshError="1"/>
      <sheetData sheetId="2" refreshError="1">
        <row r="14">
          <cell r="B14" t="str">
            <v>Tripoli West 350 MW x 4 / Libya (CP-004 - M &amp; E Package)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  지"/>
      <sheetName val="목  차"/>
      <sheetName val="1 관리기준"/>
      <sheetName val="2 년도별 생산성 분석 "/>
      <sheetName val=" 3 공사기간별 생산성 추이"/>
      <sheetName val=" 별2  현장단위"/>
      <sheetName val="별 3 착공연도별"/>
      <sheetName val="별 4 아파트 생산성 분석"/>
      <sheetName val="별 5 공통비 승인 (2000년 공사)"/>
      <sheetName val="별 6 직원배치 승인 현황"/>
      <sheetName val=" 3 공사기간별 생산성 추이 (2)"/>
      <sheetName val="Sheet4"/>
      <sheetName val="복사 DATA 현장단위 (2)"/>
      <sheetName val="년도별 생산성 분석"/>
      <sheetName val="DATA 2000"/>
      <sheetName val=" 6 공기 28월"/>
      <sheetName val="그래프 DATA"/>
      <sheetName val="Sheet1"/>
      <sheetName val="DATA"/>
      <sheetName val="Sheet2"/>
      <sheetName val="Sheet2 (2)"/>
      <sheetName val="년도별 생산성 분석 (3)"/>
      <sheetName val="공통비 승인 (300세대 이하)"/>
      <sheetName val="공통비 승인 (500세대 이하)"/>
      <sheetName val="공통비 승인 (1000세대 이하)"/>
      <sheetName val="공통비 승인 (1500세대 이하)"/>
      <sheetName val="공통비 승인 (2000세대 이하)"/>
      <sheetName val="공통비 승인 (2000세대 초과)"/>
      <sheetName val="공통비 승인 (주상복합)"/>
      <sheetName val="Sheet3"/>
      <sheetName val="Sheet1 (3)"/>
      <sheetName val="Sheet1 (2)"/>
      <sheetName val="특 1 년도별 생산성 분석 "/>
      <sheetName val="특 2 아파트 생산성 분석 (2)"/>
      <sheetName val="특 년도별 사업부 인원"/>
      <sheetName val="#REF"/>
      <sheetName val="토목공사"/>
      <sheetName val="유림총괄"/>
      <sheetName val="단가표"/>
      <sheetName val="P.M 별"/>
      <sheetName val="구의33고"/>
      <sheetName val="1차 내역서"/>
      <sheetName val="개요"/>
      <sheetName val="ESC (공정표기준)"/>
      <sheetName val="COST"/>
      <sheetName val="과년도 현장별 생산성 finish"/>
      <sheetName val="구천"/>
      <sheetName val="pier(각형)"/>
      <sheetName val="VXXXXXXX"/>
      <sheetName val="경산"/>
      <sheetName val="유림골조"/>
      <sheetName val="원가계산서 "/>
      <sheetName val="기계경비(시간당)"/>
      <sheetName val="램머"/>
      <sheetName val="공통비총괄표"/>
      <sheetName val="공통비(전체)"/>
      <sheetName val="하나"/>
      <sheetName val="제일"/>
      <sheetName val="설계명세서"/>
      <sheetName val="예산명세서"/>
      <sheetName val="자료입력"/>
      <sheetName val="설계내역서"/>
      <sheetName val="새공통(96임금인상기준)"/>
      <sheetName val="비교1"/>
      <sheetName val="월별수입"/>
      <sheetName val="평가데이터"/>
      <sheetName val="세금자료"/>
      <sheetName val="TOWER 12TON"/>
      <sheetName val="TOWER 10TON"/>
      <sheetName val="JIB CRANE,HOIST"/>
      <sheetName val="설계"/>
      <sheetName val="삭제금지단가"/>
      <sheetName val="프랜트면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6">
          <cell r="A6" t="str">
            <v>부산 문현동 현대아파트 신축공사</v>
          </cell>
          <cell r="B6" t="str">
            <v>95-A-01</v>
          </cell>
        </row>
        <row r="7">
          <cell r="A7" t="str">
            <v>남원동충동 아파트 신축공사</v>
          </cell>
          <cell r="B7" t="str">
            <v>95-A-02</v>
          </cell>
        </row>
        <row r="8">
          <cell r="A8" t="str">
            <v>대천동대동 아파트 신축공사</v>
          </cell>
          <cell r="B8" t="str">
            <v>95-A-03</v>
          </cell>
        </row>
        <row r="9">
          <cell r="A9" t="str">
            <v>이천 모전리 현대 아파트 신축공사</v>
          </cell>
          <cell r="B9" t="str">
            <v>95-A-04</v>
          </cell>
        </row>
        <row r="10">
          <cell r="A10" t="str">
            <v>원주 행구동 아파트 신축 공사</v>
          </cell>
          <cell r="B10" t="str">
            <v>95-A-05</v>
          </cell>
        </row>
        <row r="11">
          <cell r="A11" t="str">
            <v>남수원 현대아파트 신축공사</v>
          </cell>
          <cell r="B11" t="str">
            <v>95-A-06</v>
          </cell>
        </row>
        <row r="12">
          <cell r="A12" t="str">
            <v>현대 올림픽 그린타운 신축공사</v>
          </cell>
          <cell r="B12" t="str">
            <v>95-A-07</v>
          </cell>
        </row>
        <row r="13">
          <cell r="A13" t="str">
            <v>부산 양정 현대 아파트</v>
          </cell>
          <cell r="B13" t="str">
            <v>95-A-08</v>
          </cell>
        </row>
        <row r="14">
          <cell r="A14" t="str">
            <v>홍제 4구역 재개발아파트</v>
          </cell>
          <cell r="B14" t="str">
            <v>95-A-09</v>
          </cell>
        </row>
        <row r="15">
          <cell r="A15" t="str">
            <v>홍제 3구역 재개발 아파트</v>
          </cell>
          <cell r="B15" t="str">
            <v>95-A-10</v>
          </cell>
        </row>
        <row r="16">
          <cell r="A16" t="str">
            <v>소양 아파트 재건축 신축공사</v>
          </cell>
          <cell r="B16" t="str">
            <v>95-A-11</v>
          </cell>
        </row>
        <row r="17">
          <cell r="A17" t="str">
            <v>독산동 재건축 아파트 신축공사</v>
          </cell>
          <cell r="B17" t="str">
            <v>95-A-12</v>
          </cell>
        </row>
        <row r="18">
          <cell r="A18" t="str">
            <v>부산 대연동 재건축 아파트 신축공사</v>
          </cell>
          <cell r="B18" t="str">
            <v>95-A-13</v>
          </cell>
        </row>
        <row r="19">
          <cell r="A19" t="str">
            <v>청학 연립 재건축 아파트 신축공사</v>
          </cell>
          <cell r="B19" t="str">
            <v>95-A-14</v>
          </cell>
        </row>
        <row r="20">
          <cell r="A20" t="str">
            <v>광명광복 재건축아파트</v>
          </cell>
          <cell r="B20" t="str">
            <v>95-A-15</v>
          </cell>
        </row>
        <row r="21">
          <cell r="A21" t="str">
            <v>목동 성도 연립 재건축 아파트</v>
          </cell>
          <cell r="B21" t="str">
            <v>95-A-16</v>
          </cell>
        </row>
        <row r="23">
          <cell r="A23" t="str">
            <v>일산 프리젠트 빌딩</v>
          </cell>
          <cell r="B23" t="str">
            <v>95-C-01</v>
          </cell>
        </row>
        <row r="24">
          <cell r="A24" t="str">
            <v>강촌 썬워드 콘도</v>
          </cell>
          <cell r="B24" t="str">
            <v>95-C-02</v>
          </cell>
        </row>
        <row r="25">
          <cell r="A25" t="str">
            <v>하남 베스코아</v>
          </cell>
          <cell r="B25" t="str">
            <v>95-C-03</v>
          </cell>
        </row>
        <row r="26">
          <cell r="A26" t="str">
            <v>초림 파크타워</v>
          </cell>
          <cell r="B26" t="str">
            <v>95-C-04</v>
          </cell>
        </row>
        <row r="27">
          <cell r="A27" t="str">
            <v>수원 탑동 주상복합</v>
          </cell>
          <cell r="B27" t="str">
            <v>95-C-05</v>
          </cell>
        </row>
        <row r="28">
          <cell r="A28" t="str">
            <v>현대 중공업 사옥</v>
          </cell>
          <cell r="B28" t="str">
            <v>95-C-06</v>
          </cell>
        </row>
        <row r="29">
          <cell r="A29" t="str">
            <v>분당 현대 코아</v>
          </cell>
          <cell r="B29" t="str">
            <v>95-C-07</v>
          </cell>
        </row>
        <row r="30">
          <cell r="A30" t="str">
            <v>목동 오피스텔</v>
          </cell>
          <cell r="B30" t="str">
            <v>95-C-08</v>
          </cell>
        </row>
        <row r="31">
          <cell r="A31" t="str">
            <v>구의 테크노마트 21</v>
          </cell>
          <cell r="B31" t="str">
            <v>95-C-09</v>
          </cell>
        </row>
        <row r="32">
          <cell r="A32" t="str">
            <v>나산 수서 트루빌</v>
          </cell>
          <cell r="B32" t="str">
            <v>95-C-10</v>
          </cell>
        </row>
        <row r="33">
          <cell r="A33" t="str">
            <v>현대해상 대구 사옥</v>
          </cell>
          <cell r="B33" t="str">
            <v>95-C-11</v>
          </cell>
        </row>
        <row r="35">
          <cell r="A35" t="str">
            <v>속초 교동 3차 아파트 신축공사</v>
          </cell>
          <cell r="B35" t="str">
            <v>96-A-01</v>
          </cell>
        </row>
        <row r="36">
          <cell r="A36" t="str">
            <v>광장동 9차 아파트 신축공사</v>
          </cell>
          <cell r="B36" t="str">
            <v>96-A-02</v>
          </cell>
        </row>
        <row r="37">
          <cell r="A37" t="str">
            <v>포철 신단지 주택공사(사원아파트)</v>
          </cell>
          <cell r="B37" t="str">
            <v>96-A-03</v>
          </cell>
        </row>
        <row r="38">
          <cell r="A38" t="str">
            <v>도곡동 빌라트 E동 신축공사</v>
          </cell>
          <cell r="B38" t="str">
            <v>96-A-04</v>
          </cell>
        </row>
        <row r="39">
          <cell r="A39" t="str">
            <v>죽전 현대, 우진, 신한빌라트 공사</v>
          </cell>
          <cell r="B39" t="str">
            <v>96-A-05</v>
          </cell>
        </row>
        <row r="40">
          <cell r="A40" t="str">
            <v>구기동 빌라 신축공사</v>
          </cell>
          <cell r="B40" t="str">
            <v>96-A-06</v>
          </cell>
        </row>
        <row r="41">
          <cell r="A41" t="str">
            <v>울산 삼산 2지구 아파트</v>
          </cell>
          <cell r="B41" t="str">
            <v>96-A-07</v>
          </cell>
        </row>
        <row r="42">
          <cell r="A42" t="str">
            <v>전주 송천 아파트 건설공사 1공구</v>
          </cell>
          <cell r="B42" t="str">
            <v>96-A-08</v>
          </cell>
        </row>
        <row r="43">
          <cell r="A43" t="str">
            <v>강릉 내곡동 아파트 신축공사</v>
          </cell>
          <cell r="B43" t="str">
            <v>96-A-09</v>
          </cell>
        </row>
        <row r="44">
          <cell r="A44" t="str">
            <v>전주 송천동 2차 아파트</v>
          </cell>
          <cell r="B44" t="str">
            <v>96-A-10</v>
          </cell>
        </row>
        <row r="45">
          <cell r="A45" t="str">
            <v>전주 중화산동 현대 아파트 현장</v>
          </cell>
          <cell r="B45" t="str">
            <v>96-A-11</v>
          </cell>
        </row>
        <row r="46">
          <cell r="A46" t="str">
            <v>아산 방축동 아파트 신축공사</v>
          </cell>
          <cell r="B46" t="str">
            <v>96-A-12</v>
          </cell>
        </row>
        <row r="47">
          <cell r="A47" t="str">
            <v>영주 휴천동 아파트</v>
          </cell>
          <cell r="B47" t="str">
            <v>96-A-13</v>
          </cell>
        </row>
        <row r="48">
          <cell r="A48" t="str">
            <v>공주 금홍동 아파트</v>
          </cell>
          <cell r="B48" t="str">
            <v>96-A-14</v>
          </cell>
        </row>
        <row r="49">
          <cell r="A49" t="str">
            <v>강릉 노암동 남산 아파트 신축공사</v>
          </cell>
          <cell r="B49" t="str">
            <v>96-A-15</v>
          </cell>
        </row>
        <row r="50">
          <cell r="A50" t="str">
            <v>성수동 한양 연립 재건축 아파트</v>
          </cell>
          <cell r="B50" t="str">
            <v>96-A-16</v>
          </cell>
        </row>
        <row r="51">
          <cell r="A51" t="str">
            <v>인천 가좌동 재건축 아파트 신축공사</v>
          </cell>
          <cell r="B51" t="str">
            <v>96-A-17</v>
          </cell>
        </row>
        <row r="52">
          <cell r="A52" t="str">
            <v>암사 율산 재건축 아파트 신축공사</v>
          </cell>
          <cell r="B52" t="str">
            <v>96-A-18</v>
          </cell>
        </row>
        <row r="53">
          <cell r="A53" t="str">
            <v>신해청 재건축아파트 신축공사</v>
          </cell>
          <cell r="B53" t="str">
            <v>96-A-19</v>
          </cell>
        </row>
        <row r="54">
          <cell r="A54" t="str">
            <v>갈현아파트 재건축 공사</v>
          </cell>
          <cell r="B54" t="str">
            <v>96-A-20</v>
          </cell>
        </row>
        <row r="55">
          <cell r="A55" t="str">
            <v>범우 연립 재건축 공사</v>
          </cell>
          <cell r="B55" t="str">
            <v>96-A-21</v>
          </cell>
        </row>
        <row r="56">
          <cell r="A56" t="str">
            <v>춘천 소양로 재건축</v>
          </cell>
          <cell r="B56" t="str">
            <v>96-A-22</v>
          </cell>
        </row>
        <row r="57">
          <cell r="A57" t="str">
            <v>북가좌동 재건축 아파트 현장</v>
          </cell>
          <cell r="B57" t="str">
            <v>96-A-23</v>
          </cell>
        </row>
        <row r="58">
          <cell r="A58" t="str">
            <v>자양 1지구 재건축 조합 아파트</v>
          </cell>
          <cell r="B58" t="str">
            <v>96-A-24</v>
          </cell>
        </row>
        <row r="59">
          <cell r="A59" t="str">
            <v>경남 빌라 재건축 현장</v>
          </cell>
          <cell r="B59" t="str">
            <v>96-A-25</v>
          </cell>
        </row>
        <row r="60">
          <cell r="A60" t="str">
            <v xml:space="preserve">풍납 신우 재건축 조합 아파트 </v>
          </cell>
          <cell r="B60" t="str">
            <v>96-A-26</v>
          </cell>
        </row>
        <row r="61">
          <cell r="A61" t="str">
            <v>청담동 목련 재건축 아파트 신축공사</v>
          </cell>
          <cell r="B61" t="str">
            <v>96-A-27</v>
          </cell>
        </row>
        <row r="62">
          <cell r="A62" t="str">
            <v>울산 그랜드 1차</v>
          </cell>
          <cell r="B62" t="str">
            <v>96-A-28</v>
          </cell>
        </row>
        <row r="63">
          <cell r="A63" t="str">
            <v>청운 제2구역 재개발 공사</v>
          </cell>
          <cell r="B63" t="str">
            <v>96-A-29</v>
          </cell>
        </row>
        <row r="65">
          <cell r="A65" t="str">
            <v>시네시티</v>
          </cell>
          <cell r="B65" t="str">
            <v>96-C-01</v>
          </cell>
        </row>
        <row r="66">
          <cell r="A66" t="str">
            <v>성북동 P씨댁 신축현장</v>
          </cell>
          <cell r="B66" t="str">
            <v>96-C-02</v>
          </cell>
        </row>
        <row r="67">
          <cell r="A67" t="str">
            <v>목동 나산 스위트</v>
          </cell>
          <cell r="B67" t="str">
            <v>96-C-03</v>
          </cell>
        </row>
        <row r="68">
          <cell r="A68" t="str">
            <v>현대자동차 고양 영업소</v>
          </cell>
          <cell r="B68" t="str">
            <v>96-C-04</v>
          </cell>
        </row>
        <row r="69">
          <cell r="A69" t="str">
            <v>목동 그랜드 21</v>
          </cell>
          <cell r="B69" t="str">
            <v>96-C-05</v>
          </cell>
        </row>
        <row r="70">
          <cell r="A70" t="str">
            <v>안양 현대 코아</v>
          </cell>
          <cell r="B70" t="str">
            <v>96-C-06</v>
          </cell>
        </row>
        <row r="71">
          <cell r="A71" t="str">
            <v>방이동 오피스텔</v>
          </cell>
          <cell r="B71" t="str">
            <v>96-C-07</v>
          </cell>
        </row>
        <row r="72">
          <cell r="A72" t="str">
            <v>장안동 월드타워</v>
          </cell>
          <cell r="B72" t="str">
            <v>96-C-08</v>
          </cell>
        </row>
        <row r="74">
          <cell r="A74" t="str">
            <v>넥서스 빌라트 B동 신축공사</v>
          </cell>
          <cell r="B74" t="str">
            <v>97-A-01</v>
          </cell>
        </row>
        <row r="75">
          <cell r="A75" t="str">
            <v>잠원동 빌라트 신축공사</v>
          </cell>
          <cell r="B75" t="str">
            <v>97-A-02</v>
          </cell>
        </row>
        <row r="76">
          <cell r="A76" t="str">
            <v>현대 동광 빌라트 신축공사</v>
          </cell>
          <cell r="B76" t="str">
            <v>97-A-03</v>
          </cell>
        </row>
        <row r="77">
          <cell r="A77" t="str">
            <v>서산 예천동 아파트 공사</v>
          </cell>
          <cell r="B77" t="str">
            <v>97-A-04</v>
          </cell>
        </row>
        <row r="78">
          <cell r="A78" t="str">
            <v>창동 연합 주택 조합 아파트 신축공사</v>
          </cell>
          <cell r="B78" t="str">
            <v>97-A-05</v>
          </cell>
        </row>
        <row r="79">
          <cell r="A79" t="str">
            <v>신봉 현대빌라트 신축공사</v>
          </cell>
          <cell r="B79" t="str">
            <v>97-A-06</v>
          </cell>
        </row>
        <row r="80">
          <cell r="A80" t="str">
            <v>죽전 명인 현대빌라트 신축공사</v>
          </cell>
          <cell r="B80" t="str">
            <v>97-A-07</v>
          </cell>
        </row>
        <row r="81">
          <cell r="A81" t="str">
            <v>도곡동 빌라트(F동) 신축공사</v>
          </cell>
          <cell r="B81" t="str">
            <v>97-A-08</v>
          </cell>
        </row>
        <row r="82">
          <cell r="A82" t="str">
            <v>용인 수지 파인 빌리지 신축공사</v>
          </cell>
          <cell r="B82" t="str">
            <v>97-A-09</v>
          </cell>
        </row>
        <row r="83">
          <cell r="A83" t="str">
            <v>수원 정자지구 1BL 현대 아파트 현장</v>
          </cell>
          <cell r="B83" t="str">
            <v>97-A-10</v>
          </cell>
        </row>
        <row r="84">
          <cell r="A84" t="str">
            <v>진해 녹산 아파트</v>
          </cell>
          <cell r="B84" t="str">
            <v>97-A-11</v>
          </cell>
        </row>
        <row r="85">
          <cell r="A85" t="str">
            <v>춘천 퇴계 3지구 현대아파트 공사</v>
          </cell>
          <cell r="B85" t="str">
            <v>97-A-12</v>
          </cell>
        </row>
        <row r="86">
          <cell r="A86" t="str">
            <v>순천 왕지 현대 아파트 신축 현장</v>
          </cell>
          <cell r="B86" t="str">
            <v>97-A-13</v>
          </cell>
        </row>
        <row r="87">
          <cell r="A87" t="str">
            <v>강릉 교동 하이빌 아파트 신축공사</v>
          </cell>
          <cell r="B87" t="str">
            <v>97-A-14</v>
          </cell>
        </row>
        <row r="88">
          <cell r="A88" t="str">
            <v>암사 시영 재건축</v>
          </cell>
          <cell r="B88" t="str">
            <v>97-A-15</v>
          </cell>
        </row>
        <row r="89">
          <cell r="A89" t="str">
            <v>방배 2-1지구 재건축</v>
          </cell>
          <cell r="B89" t="str">
            <v>97-A-16</v>
          </cell>
        </row>
        <row r="90">
          <cell r="A90" t="str">
            <v>풍납 1지구 재건축 아파트</v>
          </cell>
          <cell r="B90" t="str">
            <v>97-A-17</v>
          </cell>
        </row>
        <row r="91">
          <cell r="A91" t="str">
            <v>마포 중동 시영연립 재건축공사</v>
          </cell>
          <cell r="B91" t="str">
            <v>97-A-18</v>
          </cell>
        </row>
        <row r="92">
          <cell r="A92" t="str">
            <v>안양 관악아파트 재건축</v>
          </cell>
          <cell r="B92" t="str">
            <v>97-A-19</v>
          </cell>
        </row>
        <row r="93">
          <cell r="A93" t="str">
            <v>대방동 재건축 아파트 신축공사</v>
          </cell>
          <cell r="B93" t="str">
            <v>97-A-20</v>
          </cell>
        </row>
        <row r="94">
          <cell r="A94" t="str">
            <v>휘경동 광성아파트 재건축 공사</v>
          </cell>
          <cell r="B94" t="str">
            <v>97-A-21</v>
          </cell>
        </row>
        <row r="95">
          <cell r="A95" t="str">
            <v>신당 3구역 재개발</v>
          </cell>
          <cell r="B95" t="str">
            <v>97-A-22</v>
          </cell>
        </row>
        <row r="97">
          <cell r="A97" t="str">
            <v>성남 주상 복합</v>
          </cell>
          <cell r="B97" t="str">
            <v>97-C-01</v>
          </cell>
        </row>
        <row r="98">
          <cell r="A98" t="str">
            <v>목동 스포츠조선 사옥</v>
          </cell>
          <cell r="B98" t="str">
            <v>97-C-02</v>
          </cell>
        </row>
        <row r="100">
          <cell r="A100" t="str">
            <v>광장동 10차</v>
          </cell>
          <cell r="B100" t="str">
            <v>98-A-01</v>
          </cell>
        </row>
        <row r="101">
          <cell r="A101" t="str">
            <v>포항 이동 현대아파트</v>
          </cell>
          <cell r="B101" t="str">
            <v>98-A-02</v>
          </cell>
        </row>
        <row r="102">
          <cell r="A102" t="str">
            <v>일산 현대 1차 조합아파트 신축공사</v>
          </cell>
          <cell r="B102" t="str">
            <v>98-A-03</v>
          </cell>
        </row>
        <row r="103">
          <cell r="A103" t="str">
            <v>김포 청송마을 아파트</v>
          </cell>
          <cell r="B103" t="str">
            <v>98-A-05</v>
          </cell>
        </row>
        <row r="104">
          <cell r="A104" t="str">
            <v>용인 국방 충성 조합 아파트 신축공사</v>
          </cell>
          <cell r="B104" t="str">
            <v>98-A-05</v>
          </cell>
        </row>
        <row r="105">
          <cell r="A105" t="str">
            <v>부산 거제 1차 아파트</v>
          </cell>
          <cell r="B105" t="str">
            <v>98-A-06</v>
          </cell>
        </row>
        <row r="106">
          <cell r="A106" t="str">
            <v>수지 권선 3지구 현대 아파트 신축공사</v>
          </cell>
          <cell r="B106" t="str">
            <v>98-A-07</v>
          </cell>
        </row>
        <row r="107">
          <cell r="A107" t="str">
            <v>개봉 훼미리 2단지</v>
          </cell>
          <cell r="B107" t="str">
            <v>98-A-08</v>
          </cell>
        </row>
        <row r="108">
          <cell r="A108" t="str">
            <v>성산 아파트 재건축 공사</v>
          </cell>
          <cell r="B108" t="str">
            <v>98-A-09</v>
          </cell>
        </row>
        <row r="109">
          <cell r="A109" t="str">
            <v>개봉 훼미리 1단지 재건축</v>
          </cell>
          <cell r="B109" t="str">
            <v>98-A-10</v>
          </cell>
        </row>
        <row r="110">
          <cell r="A110" t="str">
            <v>자양 5지구 재건축 아파트</v>
          </cell>
          <cell r="B110" t="str">
            <v>98-A-11</v>
          </cell>
        </row>
        <row r="112">
          <cell r="A112" t="str">
            <v>죽전 현대 2차 아파트 신축공사</v>
          </cell>
          <cell r="B112" t="str">
            <v>99-A-01</v>
          </cell>
        </row>
        <row r="113">
          <cell r="A113" t="str">
            <v>안양 수리산 조합아파트</v>
          </cell>
          <cell r="B113" t="str">
            <v>99-A-02</v>
          </cell>
        </row>
        <row r="114">
          <cell r="A114" t="str">
            <v>평촌 귀인 현대조합아파트</v>
          </cell>
          <cell r="B114" t="str">
            <v>99-A-03</v>
          </cell>
        </row>
        <row r="115">
          <cell r="A115" t="str">
            <v>남양주 덕소 강변 현대 아파트 신축공사</v>
          </cell>
          <cell r="B115" t="str">
            <v>99-A-04</v>
          </cell>
        </row>
        <row r="116">
          <cell r="A116" t="str">
            <v>역삼동 까르띠에 아파트 신축공사</v>
          </cell>
          <cell r="B116" t="str">
            <v>99-A-05</v>
          </cell>
        </row>
        <row r="117">
          <cell r="A117" t="str">
            <v>번동 오동 공원 현대 아파트 신축공사</v>
          </cell>
          <cell r="B117" t="str">
            <v>99-A-06</v>
          </cell>
        </row>
        <row r="118">
          <cell r="A118" t="str">
            <v>부산 거제 2차 아파트</v>
          </cell>
          <cell r="B118" t="str">
            <v>99-A-07</v>
          </cell>
        </row>
        <row r="119">
          <cell r="A119" t="str">
            <v>기흥 구갈 2지구 아파트</v>
          </cell>
          <cell r="B119" t="str">
            <v>99-A-08</v>
          </cell>
        </row>
        <row r="120">
          <cell r="A120" t="str">
            <v>방배 2-2지구 재건축 아파트 공사</v>
          </cell>
          <cell r="B120" t="str">
            <v>99-A-09</v>
          </cell>
        </row>
        <row r="121">
          <cell r="A121" t="str">
            <v>자양 2지구 재건축 아파트 신축공사</v>
          </cell>
          <cell r="B121" t="str">
            <v>99-A-10</v>
          </cell>
        </row>
        <row r="122">
          <cell r="A122" t="str">
            <v>울산 전하동 재건축 아파트 신축공사</v>
          </cell>
          <cell r="B122" t="str">
            <v>99-A-11</v>
          </cell>
        </row>
        <row r="123">
          <cell r="A123" t="str">
            <v>낙성대 3차 아파트 신축공사</v>
          </cell>
          <cell r="B123" t="str">
            <v>99-A-12</v>
          </cell>
        </row>
        <row r="125">
          <cell r="A125" t="str">
            <v>일산 현대2차아파트</v>
          </cell>
          <cell r="B125" t="str">
            <v>00-A-01</v>
          </cell>
        </row>
        <row r="126">
          <cell r="A126" t="str">
            <v xml:space="preserve">수지 현대 1차 조합 아파트 </v>
          </cell>
          <cell r="B126" t="str">
            <v>00-A-02</v>
          </cell>
        </row>
        <row r="127">
          <cell r="A127" t="str">
            <v>용인 보정리 현대 홈타운</v>
          </cell>
          <cell r="B127" t="str">
            <v>00-A-03</v>
          </cell>
        </row>
        <row r="128">
          <cell r="A128" t="str">
            <v>능곡 1차 조합아파트</v>
          </cell>
          <cell r="B128" t="str">
            <v>00-A-04</v>
          </cell>
        </row>
        <row r="129">
          <cell r="A129" t="str">
            <v>수지 현대2차 조합아파트 신축공사</v>
          </cell>
          <cell r="B129" t="str">
            <v>00-A-05</v>
          </cell>
        </row>
        <row r="130">
          <cell r="A130" t="str">
            <v>일산 현대3차 아파트 신축공사</v>
          </cell>
          <cell r="B130" t="str">
            <v>00-A-06</v>
          </cell>
        </row>
        <row r="131">
          <cell r="A131" t="str">
            <v>구리 인창 조합</v>
          </cell>
          <cell r="B131" t="str">
            <v>00-A-07</v>
          </cell>
        </row>
        <row r="132">
          <cell r="A132" t="str">
            <v>평택 안중 조합 아파트</v>
          </cell>
          <cell r="B132" t="str">
            <v>00-A-08</v>
          </cell>
        </row>
        <row r="133">
          <cell r="A133" t="str">
            <v>능곡 2차 조합 아파트</v>
          </cell>
          <cell r="B133" t="str">
            <v>00-A-09</v>
          </cell>
        </row>
        <row r="134">
          <cell r="A134" t="str">
            <v>한남동 하이페리온 신축공사</v>
          </cell>
          <cell r="B134" t="str">
            <v>00-A-10</v>
          </cell>
        </row>
        <row r="135">
          <cell r="A135" t="str">
            <v>죽전 4차 1단지</v>
          </cell>
          <cell r="B135" t="str">
            <v>00-A-11</v>
          </cell>
        </row>
        <row r="136">
          <cell r="A136" t="str">
            <v>인천 양지 아파트 재건축 공사</v>
          </cell>
          <cell r="B136" t="str">
            <v>00-A-12</v>
          </cell>
        </row>
        <row r="137">
          <cell r="A137" t="str">
            <v>인천 간석동 송림 재건축 공사</v>
          </cell>
          <cell r="B137" t="str">
            <v>00-A-13</v>
          </cell>
        </row>
        <row r="138">
          <cell r="A138" t="str">
            <v>자양 7지구 재건축 아파트</v>
          </cell>
          <cell r="B138" t="str">
            <v>00-A-14</v>
          </cell>
        </row>
        <row r="139">
          <cell r="A139" t="str">
            <v>안양 호계 현대아파트 재건축공사</v>
          </cell>
          <cell r="B139" t="str">
            <v>00-A-15</v>
          </cell>
        </row>
        <row r="140">
          <cell r="A140" t="str">
            <v>장안 시영 재건축 (미승인)</v>
          </cell>
          <cell r="B140" t="str">
            <v>00-A-16</v>
          </cell>
        </row>
        <row r="141">
          <cell r="A141" t="str">
            <v>안양 호계 경향</v>
          </cell>
          <cell r="B141" t="str">
            <v>00-A-17</v>
          </cell>
        </row>
        <row r="142">
          <cell r="A142" t="str">
            <v>문래동 홈타운</v>
          </cell>
          <cell r="B142" t="str">
            <v>00-A-18</v>
          </cell>
        </row>
        <row r="144">
          <cell r="A144" t="str">
            <v>현대 수서 벤처빌</v>
          </cell>
          <cell r="B144" t="str">
            <v>00-C-01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통가설비 상세내역"/>
      <sheetName val="Sheet1"/>
      <sheetName val="TIPO 가설예산_상세 내역_20140710"/>
    </sheetNames>
    <definedNames>
      <definedName name="공종보기" refersTo="#REF!"/>
      <definedName name="내역1" refersTo="#REF!"/>
      <definedName name="도급내역" refersTo="#REF!"/>
    </definedNames>
    <sheetDataSet>
      <sheetData sheetId="0">
        <row r="12">
          <cell r="H12">
            <v>2393</v>
          </cell>
        </row>
      </sheetData>
      <sheetData sheetId="1"/>
      <sheetData sheetId="2"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CC"/>
      <sheetName val="Sheet2"/>
      <sheetName val="이라크"/>
      <sheetName val="싱가폴"/>
      <sheetName val="쿠웨이트 (2)"/>
      <sheetName val="쿠웨이트"/>
      <sheetName val="네덜란드"/>
      <sheetName val="인도 (2)"/>
      <sheetName val="인도"/>
      <sheetName val="방글라데시"/>
      <sheetName val="레바논"/>
      <sheetName val="레바논 (2)"/>
      <sheetName val="인도네시아"/>
      <sheetName val="트리니다드 토바고"/>
      <sheetName val="베네수엘라"/>
      <sheetName val="중국"/>
      <sheetName val="사우디"/>
    </sheetNames>
    <sheetDataSet>
      <sheetData sheetId="0">
        <row r="5">
          <cell r="C5">
            <v>4</v>
          </cell>
        </row>
      </sheetData>
      <sheetData sheetId="1">
        <row r="2">
          <cell r="A2" t="str">
            <v>QATAR(280hrs/month)</v>
          </cell>
          <cell r="B2" t="str">
            <v>10hrs/day, 28days/month</v>
          </cell>
          <cell r="C2">
            <v>208</v>
          </cell>
          <cell r="D2">
            <v>32</v>
          </cell>
          <cell r="E2">
            <v>65</v>
          </cell>
          <cell r="F2">
            <v>30</v>
          </cell>
          <cell r="G2">
            <v>335</v>
          </cell>
          <cell r="H2" t="str">
            <v>Basic(26dx8h)+(4dx8h)+Overtime(26dx2hx1.25)+(2dx10hx1.5)</v>
          </cell>
        </row>
        <row r="3">
          <cell r="A3" t="str">
            <v>QATAR(336hrs/month)</v>
          </cell>
          <cell r="B3" t="str">
            <v>12hrs/day, 28days/month</v>
          </cell>
          <cell r="C3">
            <v>208</v>
          </cell>
          <cell r="D3">
            <v>32</v>
          </cell>
          <cell r="E3">
            <v>130</v>
          </cell>
          <cell r="F3">
            <v>36</v>
          </cell>
          <cell r="G3">
            <v>406</v>
          </cell>
          <cell r="H3" t="str">
            <v>Basic(26dx8h)+(4dx8h)+Overtime(26dx4hx1.25)+(2dx12hx1.5)</v>
          </cell>
        </row>
        <row r="4">
          <cell r="A4" t="str">
            <v>S/A(280hrs/month)</v>
          </cell>
          <cell r="B4" t="str">
            <v>10hrs/day, 28days/month</v>
          </cell>
          <cell r="C4">
            <v>208</v>
          </cell>
          <cell r="D4">
            <v>32</v>
          </cell>
          <cell r="E4">
            <v>78</v>
          </cell>
          <cell r="F4">
            <v>30</v>
          </cell>
          <cell r="G4">
            <v>348</v>
          </cell>
          <cell r="H4" t="str">
            <v>Basic(26dx8h)+(4dx8h)+Overtime(26dx2hx1.5)+(2dx10hx1.5)</v>
          </cell>
        </row>
        <row r="5">
          <cell r="A5" t="str">
            <v>S/A(336hrs/month)</v>
          </cell>
          <cell r="B5" t="str">
            <v>12hrs/day, 28days/month</v>
          </cell>
          <cell r="C5">
            <v>208</v>
          </cell>
          <cell r="D5">
            <v>32</v>
          </cell>
          <cell r="E5">
            <v>156</v>
          </cell>
          <cell r="F5">
            <v>36</v>
          </cell>
          <cell r="G5">
            <v>432</v>
          </cell>
          <cell r="H5" t="str">
            <v>Basic(26dx8h)+(4dx8h)+Overtime(26dx4hx1.5)+(2dx12hx1.5)</v>
          </cell>
        </row>
        <row r="6">
          <cell r="A6" t="str">
            <v>LIBYA(280hrs/month)</v>
          </cell>
          <cell r="B6" t="str">
            <v>10hrs/day, 28days/month</v>
          </cell>
          <cell r="C6">
            <v>208</v>
          </cell>
          <cell r="D6">
            <v>32</v>
          </cell>
          <cell r="E6">
            <v>78</v>
          </cell>
          <cell r="F6">
            <v>40</v>
          </cell>
          <cell r="G6">
            <v>358</v>
          </cell>
          <cell r="H6" t="str">
            <v>Basic(26dx8h)+(4dx8h)+Overtime(26dx2hx1.5)+(2dx10hx2.0)</v>
          </cell>
        </row>
        <row r="7">
          <cell r="A7" t="str">
            <v>LIBYA(336hrs/month)</v>
          </cell>
          <cell r="B7" t="str">
            <v>12hrs/day, 28days/month</v>
          </cell>
          <cell r="C7">
            <v>208</v>
          </cell>
          <cell r="D7">
            <v>32</v>
          </cell>
          <cell r="E7">
            <v>156</v>
          </cell>
          <cell r="F7">
            <v>48</v>
          </cell>
          <cell r="G7">
            <v>444</v>
          </cell>
          <cell r="H7" t="str">
            <v>Basic(26dx8h)+(4dx8h)+Overtime(26dx4hx1.5)+(2dx12hx2.0)</v>
          </cell>
        </row>
        <row r="8">
          <cell r="A8" t="str">
            <v>UAE(280hrs/month)</v>
          </cell>
          <cell r="B8" t="str">
            <v>10hrs/day, 28days/month</v>
          </cell>
          <cell r="C8">
            <v>208</v>
          </cell>
          <cell r="E8">
            <v>65</v>
          </cell>
          <cell r="F8">
            <v>30</v>
          </cell>
          <cell r="G8">
            <v>303</v>
          </cell>
          <cell r="H8" t="str">
            <v>Basic(26dx8h)+Overtime(26dx2hx1.25)+(2dx10hx1.5)</v>
          </cell>
        </row>
        <row r="9">
          <cell r="A9" t="str">
            <v>UAE(336hrs/month)</v>
          </cell>
          <cell r="B9" t="str">
            <v>12hrs/day, 28days/month</v>
          </cell>
          <cell r="C9">
            <v>208</v>
          </cell>
          <cell r="E9">
            <v>130</v>
          </cell>
          <cell r="F9">
            <v>36</v>
          </cell>
          <cell r="G9">
            <v>374</v>
          </cell>
          <cell r="H9" t="str">
            <v>Basic(26dx8h)+Overtime(26dx4hx1.25)+(2dx12hx1.5)</v>
          </cell>
        </row>
        <row r="10">
          <cell r="A10" t="str">
            <v>KUWAIT(280hrs/month)</v>
          </cell>
          <cell r="B10" t="str">
            <v>10hrs/day, 28days/month</v>
          </cell>
          <cell r="C10">
            <v>208</v>
          </cell>
          <cell r="E10">
            <v>65</v>
          </cell>
          <cell r="F10">
            <v>30</v>
          </cell>
          <cell r="G10">
            <v>303</v>
          </cell>
          <cell r="H10" t="str">
            <v>Basic(26dx8h)+Overtime(26dx2hx1.25)+(2dx10hx1.5)</v>
          </cell>
        </row>
        <row r="11">
          <cell r="A11" t="str">
            <v>KUWAIT(336hrs/month)</v>
          </cell>
          <cell r="B11" t="str">
            <v>12hrs/day, 28days/month</v>
          </cell>
          <cell r="C11">
            <v>208</v>
          </cell>
          <cell r="E11">
            <v>130</v>
          </cell>
          <cell r="F11">
            <v>36</v>
          </cell>
          <cell r="G11">
            <v>374</v>
          </cell>
          <cell r="H11" t="str">
            <v>Basic(26dx8h)+Overtime(26dx4hx1.25)+(2dx12hx1.5)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CC"/>
      <sheetName val="Sheet2"/>
      <sheetName val="이라크"/>
      <sheetName val="싱가폴"/>
      <sheetName val="쿠웨이트 (2)"/>
      <sheetName val="쿠웨이트"/>
      <sheetName val="네덜란드"/>
      <sheetName val="인도 (2)"/>
      <sheetName val="인도"/>
      <sheetName val="방글라데시"/>
      <sheetName val="레바논"/>
      <sheetName val="레바논 (2)"/>
      <sheetName val="인도네시아"/>
      <sheetName val="트리니다드 토바고"/>
      <sheetName val="베네수엘라"/>
      <sheetName val="중국"/>
      <sheetName val="사우디"/>
    </sheetNames>
    <sheetDataSet>
      <sheetData sheetId="0">
        <row r="5">
          <cell r="C5">
            <v>4</v>
          </cell>
        </row>
      </sheetData>
      <sheetData sheetId="1">
        <row r="2">
          <cell r="A2" t="str">
            <v>QATAR(280hrs/month)</v>
          </cell>
          <cell r="B2" t="str">
            <v>10hrs/day, 28days/month</v>
          </cell>
          <cell r="C2">
            <v>208</v>
          </cell>
          <cell r="D2">
            <v>32</v>
          </cell>
          <cell r="E2">
            <v>65</v>
          </cell>
          <cell r="F2">
            <v>30</v>
          </cell>
          <cell r="G2">
            <v>335</v>
          </cell>
          <cell r="H2" t="str">
            <v>Basic(26dx8h)+(4dx8h)+Overtime(26dx2hx1.25)+(2dx10hx1.5)</v>
          </cell>
        </row>
        <row r="3">
          <cell r="A3" t="str">
            <v>QATAR(336hrs/month)</v>
          </cell>
          <cell r="B3" t="str">
            <v>12hrs/day, 28days/month</v>
          </cell>
          <cell r="C3">
            <v>208</v>
          </cell>
          <cell r="D3">
            <v>32</v>
          </cell>
          <cell r="E3">
            <v>130</v>
          </cell>
          <cell r="F3">
            <v>36</v>
          </cell>
          <cell r="G3">
            <v>406</v>
          </cell>
          <cell r="H3" t="str">
            <v>Basic(26dx8h)+(4dx8h)+Overtime(26dx4hx1.25)+(2dx12hx1.5)</v>
          </cell>
        </row>
        <row r="4">
          <cell r="A4" t="str">
            <v>S/A(280hrs/month)</v>
          </cell>
          <cell r="B4" t="str">
            <v>10hrs/day, 28days/month</v>
          </cell>
          <cell r="C4">
            <v>208</v>
          </cell>
          <cell r="D4">
            <v>32</v>
          </cell>
          <cell r="E4">
            <v>78</v>
          </cell>
          <cell r="F4">
            <v>30</v>
          </cell>
          <cell r="G4">
            <v>348</v>
          </cell>
          <cell r="H4" t="str">
            <v>Basic(26dx8h)+(4dx8h)+Overtime(26dx2hx1.5)+(2dx10hx1.5)</v>
          </cell>
        </row>
        <row r="5">
          <cell r="A5" t="str">
            <v>S/A(336hrs/month)</v>
          </cell>
          <cell r="B5" t="str">
            <v>12hrs/day, 28days/month</v>
          </cell>
          <cell r="C5">
            <v>208</v>
          </cell>
          <cell r="D5">
            <v>32</v>
          </cell>
          <cell r="E5">
            <v>156</v>
          </cell>
          <cell r="F5">
            <v>36</v>
          </cell>
          <cell r="G5">
            <v>432</v>
          </cell>
          <cell r="H5" t="str">
            <v>Basic(26dx8h)+(4dx8h)+Overtime(26dx4hx1.5)+(2dx12hx1.5)</v>
          </cell>
        </row>
        <row r="6">
          <cell r="A6" t="str">
            <v>LIBYA(280hrs/month)</v>
          </cell>
          <cell r="B6" t="str">
            <v>10hrs/day, 28days/month</v>
          </cell>
          <cell r="C6">
            <v>208</v>
          </cell>
          <cell r="D6">
            <v>32</v>
          </cell>
          <cell r="E6">
            <v>78</v>
          </cell>
          <cell r="F6">
            <v>40</v>
          </cell>
          <cell r="G6">
            <v>358</v>
          </cell>
          <cell r="H6" t="str">
            <v>Basic(26dx8h)+(4dx8h)+Overtime(26dx2hx1.5)+(2dx10hx2.0)</v>
          </cell>
        </row>
        <row r="7">
          <cell r="A7" t="str">
            <v>LIBYA(336hrs/month)</v>
          </cell>
          <cell r="B7" t="str">
            <v>12hrs/day, 28days/month</v>
          </cell>
          <cell r="C7">
            <v>208</v>
          </cell>
          <cell r="D7">
            <v>32</v>
          </cell>
          <cell r="E7">
            <v>156</v>
          </cell>
          <cell r="F7">
            <v>48</v>
          </cell>
          <cell r="G7">
            <v>444</v>
          </cell>
          <cell r="H7" t="str">
            <v>Basic(26dx8h)+(4dx8h)+Overtime(26dx4hx1.5)+(2dx12hx2.0)</v>
          </cell>
        </row>
        <row r="8">
          <cell r="A8" t="str">
            <v>UAE(280hrs/month)</v>
          </cell>
          <cell r="B8" t="str">
            <v>10hrs/day, 28days/month</v>
          </cell>
          <cell r="C8">
            <v>208</v>
          </cell>
          <cell r="E8">
            <v>65</v>
          </cell>
          <cell r="F8">
            <v>30</v>
          </cell>
          <cell r="G8">
            <v>303</v>
          </cell>
          <cell r="H8" t="str">
            <v>Basic(26dx8h)+Overtime(26dx2hx1.25)+(2dx10hx1.5)</v>
          </cell>
        </row>
        <row r="9">
          <cell r="A9" t="str">
            <v>UAE(336hrs/month)</v>
          </cell>
          <cell r="B9" t="str">
            <v>12hrs/day, 28days/month</v>
          </cell>
          <cell r="C9">
            <v>208</v>
          </cell>
          <cell r="E9">
            <v>130</v>
          </cell>
          <cell r="F9">
            <v>36</v>
          </cell>
          <cell r="G9">
            <v>374</v>
          </cell>
          <cell r="H9" t="str">
            <v>Basic(26dx8h)+Overtime(26dx4hx1.25)+(2dx12hx1.5)</v>
          </cell>
        </row>
        <row r="10">
          <cell r="A10" t="str">
            <v>KUWAIT(280hrs/month)</v>
          </cell>
          <cell r="B10" t="str">
            <v>10hrs/day, 28days/month</v>
          </cell>
          <cell r="C10">
            <v>208</v>
          </cell>
          <cell r="E10">
            <v>65</v>
          </cell>
          <cell r="F10">
            <v>30</v>
          </cell>
          <cell r="G10">
            <v>303</v>
          </cell>
          <cell r="H10" t="str">
            <v>Basic(26dx8h)+Overtime(26dx2hx1.25)+(2dx10hx1.5)</v>
          </cell>
        </row>
        <row r="11">
          <cell r="A11" t="str">
            <v>KUWAIT(336hrs/month)</v>
          </cell>
          <cell r="B11" t="str">
            <v>12hrs/day, 28days/month</v>
          </cell>
          <cell r="C11">
            <v>208</v>
          </cell>
          <cell r="E11">
            <v>130</v>
          </cell>
          <cell r="F11">
            <v>36</v>
          </cell>
          <cell r="G11">
            <v>374</v>
          </cell>
          <cell r="H11" t="str">
            <v>Basic(26dx8h)+Overtime(26dx4hx1.25)+(2dx12hx1.5)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공통가설"/>
      <sheetName val="첨부1"/>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A4288"/>
      <sheetName val="C-A(취합)파리"/>
      <sheetName val="SG"/>
      <sheetName val="COL"/>
      <sheetName val="수정시산표"/>
      <sheetName val="주택"/>
      <sheetName val="주택(백만원)"/>
      <sheetName val="설계내역서"/>
      <sheetName val="손익기01"/>
      <sheetName val="Sheet1"/>
      <sheetName val="동선(을)"/>
      <sheetName val="인사자료총집계"/>
      <sheetName val="내역"/>
      <sheetName val="신공항A-9(원가수정)"/>
      <sheetName val="공사개요"/>
      <sheetName val="금액내역서"/>
      <sheetName val="원가계산서"/>
      <sheetName val="KUNGDEVI"/>
      <sheetName val="전계가"/>
      <sheetName val="그래프"/>
      <sheetName val="GDP"/>
      <sheetName val="5Traffic1"/>
      <sheetName val="부문인원3"/>
      <sheetName val="실행내역"/>
      <sheetName val="예가표"/>
      <sheetName val="공통비총괄표"/>
      <sheetName val="현장관리비"/>
      <sheetName val="시멘트"/>
      <sheetName val="금융비용"/>
      <sheetName val="감독1130"/>
      <sheetName val="금융"/>
      <sheetName val="결재인"/>
      <sheetName val="01"/>
      <sheetName val="방배동내역(리라)"/>
      <sheetName val="TR제작사양"/>
      <sheetName val="#REF"/>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단가"/>
      <sheetName val="호프"/>
      <sheetName val="산근"/>
      <sheetName val="여흥"/>
      <sheetName val="APT"/>
      <sheetName val="b_balju (2)"/>
      <sheetName val="b_gunmul"/>
      <sheetName val="  한국 AMP ASP-23 판매가격  "/>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SCHEDULE"/>
      <sheetName val="JUCKEYK"/>
      <sheetName val="공사비집계"/>
      <sheetName val="기성청구 공문"/>
      <sheetName val="IW-LIST"/>
      <sheetName val="6PILE  (돌출)"/>
      <sheetName val="DATA"/>
      <sheetName val="실적공사"/>
      <sheetName val="업무처리전"/>
      <sheetName val="노임단가"/>
      <sheetName val="유림골조"/>
      <sheetName val="감가상각"/>
      <sheetName val="Variables"/>
      <sheetName val="제조원가 원단위 분석"/>
      <sheetName val="종합표양식(품의 &amp; 입고)_2"/>
      <sheetName val="상각스케쥴(조정)"/>
      <sheetName val="982월원안"/>
      <sheetName val="요약"/>
      <sheetName val="총괄내역서"/>
      <sheetName val="원가관리 (동월대비)"/>
      <sheetName val="45,46"/>
      <sheetName val="Sheet13"/>
      <sheetName val="Sheet14"/>
      <sheetName val="단가표"/>
      <sheetName val="slipsumpR"/>
      <sheetName val="노무비"/>
      <sheetName val="내역서"/>
      <sheetName val="익월수주전망"/>
      <sheetName val="입찰내역서"/>
      <sheetName val="MIJIBI"/>
      <sheetName val="점수계산1-2"/>
      <sheetName val="SIL98"/>
      <sheetName val="일위대가"/>
      <sheetName val="woo(mac)"/>
      <sheetName val="개발비자산성검토"/>
      <sheetName val="2연암거"/>
      <sheetName val="경사수로집계표"/>
      <sheetName val="경사수로"/>
      <sheetName val="진입교량"/>
      <sheetName val="ABUT수량-A1"/>
      <sheetName val="갑지(추정)"/>
      <sheetName val="견적의뢰"/>
      <sheetName val="중기조종사 단위단가"/>
      <sheetName val="기계경비(시간당)"/>
      <sheetName val="램머"/>
      <sheetName val="화의-현금흐름"/>
      <sheetName val="장기대여금1"/>
      <sheetName val="일위대가표"/>
      <sheetName val="물량표"/>
      <sheetName val="Calen"/>
      <sheetName val="A-4"/>
      <sheetName val="CAUDIT"/>
      <sheetName val="추가예산"/>
      <sheetName val="물량표(신)"/>
      <sheetName val="대공종"/>
      <sheetName val="실행철강하도"/>
      <sheetName val="980731"/>
      <sheetName val="광곡세부내역"/>
      <sheetName val="S&amp;R"/>
      <sheetName val="시산표(매출조정전)"/>
      <sheetName val="93"/>
      <sheetName val="예정(3)"/>
      <sheetName val="동원(3)"/>
      <sheetName val="토목검측서"/>
      <sheetName val="2-2.매출분석"/>
      <sheetName val="RECIMAKE"/>
      <sheetName val="A-100전제"/>
      <sheetName val="몰드시스템 리스트"/>
      <sheetName val="정비손익"/>
      <sheetName val="200"/>
      <sheetName val="Proposal"/>
      <sheetName val="MIBK원단위"/>
      <sheetName val="7 (2)"/>
      <sheetName val="SM1-09"/>
      <sheetName val="SM2-09"/>
      <sheetName val="BD-09"/>
      <sheetName val="37개월"/>
      <sheetName val="미드수량"/>
      <sheetName val="참조"/>
      <sheetName val="DATE"/>
      <sheetName val="공통부대관리"/>
      <sheetName val="총내역서"/>
      <sheetName val="수주현황2월"/>
      <sheetName val="기본DATA"/>
      <sheetName val="재료"/>
      <sheetName val="주형"/>
      <sheetName val="sum1 (2)"/>
      <sheetName val="적격"/>
      <sheetName val="3.바닥판설계"/>
      <sheetName val="산출근거"/>
      <sheetName val="일위(토목)"/>
      <sheetName val="원가(통신)"/>
      <sheetName val="Total"/>
      <sheetName val="조명시설"/>
      <sheetName val="대비표"/>
      <sheetName val="표지"/>
      <sheetName val="설비원가"/>
      <sheetName val="집행내역"/>
      <sheetName val="품셈표"/>
      <sheetName val="cp-e1"/>
      <sheetName val="세부내역서"/>
      <sheetName val="XZLC004_PART2"/>
      <sheetName val="XZLC003_PART1"/>
      <sheetName val="역T형"/>
      <sheetName val="SO416"/>
      <sheetName val="가공MH"/>
      <sheetName val="08년(Form1)"/>
      <sheetName val="LinerWt"/>
      <sheetName val="D-623D"/>
      <sheetName val="BQMPALOC"/>
      <sheetName val="현장지지물물량"/>
      <sheetName val="손익현황"/>
      <sheetName val="현황CODE"/>
      <sheetName val="Borrower"/>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영동(D)"/>
      <sheetName val="골조시행"/>
      <sheetName val="12년 CF(9월)"/>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조경"/>
      <sheetName val="입찰보고"/>
      <sheetName val="지점장"/>
      <sheetName val="부서코드표"/>
      <sheetName val="RE9604"/>
      <sheetName val="평가제외"/>
      <sheetName val="97년추정손익계산서"/>
      <sheetName val="업무연락"/>
      <sheetName val="Ethylene"/>
      <sheetName val="월별매출"/>
      <sheetName val="ChlorAlkali"/>
      <sheetName val="VXXXXXXX"/>
      <sheetName val="13월별BS"/>
      <sheetName val="하수급견적대비"/>
      <sheetName val="참조시트"/>
      <sheetName val="ADR"/>
      <sheetName val="품셈TABLE"/>
      <sheetName val="슬래브"/>
      <sheetName val="원가계산하도"/>
      <sheetName val="2.총괄표"/>
      <sheetName val="월별수입"/>
      <sheetName val="차수"/>
      <sheetName val="담보"/>
      <sheetName val="1유리"/>
      <sheetName val="예적금"/>
      <sheetName val="월별손익"/>
      <sheetName val="매출"/>
      <sheetName val="비가동-20"/>
      <sheetName val="완제품3"/>
      <sheetName val="설계명세서"/>
      <sheetName val="전신환매도율"/>
      <sheetName val="경비"/>
      <sheetName val="주현(해보)"/>
      <sheetName val="주현(영광)"/>
      <sheetName val="_x0018__x0000_"/>
      <sheetName val=""/>
      <sheetName val="갑근세납세필증명원"/>
      <sheetName val="입출재고현황 (2)"/>
      <sheetName val="입찰내역 발주처 양식"/>
      <sheetName val="실행간접비용"/>
      <sheetName val="적용건축"/>
      <sheetName val="表21 净利润调节表"/>
      <sheetName val="건축내역"/>
      <sheetName val="단가(반정3교-원주)"/>
      <sheetName val="504전기실 동부하-L"/>
      <sheetName val="Sheet15"/>
      <sheetName val="Sheet9"/>
      <sheetName val="DUT-BAT1"/>
      <sheetName val="자금추ȕ"/>
      <sheetName val="찍기"/>
      <sheetName val="단가일람"/>
      <sheetName val="단위량당중기"/>
      <sheetName val="수량집계표(舊)"/>
      <sheetName val="자재단가"/>
      <sheetName val="BOX-1510"/>
      <sheetName val="인원계획-미화"/>
      <sheetName val="Prices"/>
      <sheetName val="A"/>
      <sheetName val="Training"/>
      <sheetName val="Facility Information"/>
      <sheetName val="General"/>
      <sheetName val="Instructions"/>
      <sheetName val="People"/>
      <sheetName val="Quality"/>
      <sheetName val="Risk"/>
      <sheetName val="주차"/>
      <sheetName val="부대공"/>
      <sheetName val="신공"/>
      <sheetName val="부하계산서"/>
      <sheetName val="재고현황"/>
      <sheetName val="CC_Down_load_0716"/>
      <sheetName val="변경실행(2차)_"/>
      <sheetName val="나_출고"/>
      <sheetName val="나_입고"/>
      <sheetName val="09년_인건비(속리산)"/>
      <sheetName val="합산목표(감가+57_5)"/>
      <sheetName val="기성청구_공문"/>
      <sheetName val="발행제기"/>
      <sheetName val="2.대외공문"/>
      <sheetName val="2.주요계수총괄"/>
      <sheetName val="현금"/>
      <sheetName val="연돌일위집계"/>
      <sheetName val="BEST"/>
      <sheetName val="통장출금액"/>
      <sheetName val="실적"/>
      <sheetName val="카메라"/>
      <sheetName val="경비2내역"/>
      <sheetName val="0001new"/>
      <sheetName val="P.M 별"/>
      <sheetName val="CC16-내역서"/>
      <sheetName val="감가상각비"/>
      <sheetName val="교각계산"/>
      <sheetName val="Y-WORK"/>
      <sheetName val="05년말(건재)"/>
      <sheetName val="물량표S"/>
      <sheetName val="INPUT"/>
      <sheetName val="국내총괄"/>
      <sheetName val="특판제외"/>
      <sheetName val="건축공사실행"/>
      <sheetName val="건축원가"/>
      <sheetName val="5사남"/>
      <sheetName val="020114"/>
      <sheetName val="0111월"/>
      <sheetName val="양식3"/>
      <sheetName val="요약PL"/>
      <sheetName val="FAB"/>
      <sheetName val="퇴충"/>
      <sheetName val="수지"/>
      <sheetName val="양식(직판용)"/>
      <sheetName val="TRE TABLE"/>
      <sheetName val="C3"/>
      <sheetName val="원가서"/>
      <sheetName val="Sheet4"/>
      <sheetName val="BAND(200)"/>
      <sheetName val="OUTER AREA(겹침없음)"/>
      <sheetName val="EG-09"/>
      <sheetName val="M3산출"/>
      <sheetName val="EL 표면적"/>
      <sheetName val="部署名"/>
      <sheetName val="車両別燃費及び油類単価"/>
      <sheetName val="시산표"/>
      <sheetName val="월별예산"/>
      <sheetName val="목록"/>
      <sheetName val="중기"/>
      <sheetName val="1_종합손익(도급)1"/>
      <sheetName val="推移グラフ"/>
      <sheetName val="YES-T"/>
      <sheetName val="공사내역"/>
      <sheetName val="소총괄표"/>
      <sheetName val="아파트연면적비율(참고1)"/>
      <sheetName val="Project Brief"/>
      <sheetName val="회사정보"/>
      <sheetName val="한강운반비"/>
      <sheetName val="동절기투입(자재)"/>
      <sheetName val="부속동"/>
      <sheetName val="조정내역"/>
      <sheetName val="Year"/>
      <sheetName val="CF6"/>
      <sheetName val="FRQ"/>
      <sheetName val="기준"/>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주행"/>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설계명세서(선로)"/>
      <sheetName val="직재"/>
      <sheetName val="PAD TR보호대기초"/>
      <sheetName val="HANDHOLE(2)"/>
      <sheetName val="가로등기초"/>
      <sheetName val="GAEYO"/>
      <sheetName val="내역표지"/>
      <sheetName val="단면 (2)"/>
      <sheetName val="공통비(전체)"/>
      <sheetName val="토목공사"/>
      <sheetName val="새공통(96임금인상기준)"/>
      <sheetName val="비교1"/>
      <sheetName val="유림총괄"/>
      <sheetName val="구성비"/>
      <sheetName val="철골공사"/>
      <sheetName val="시화점실행"/>
      <sheetName val="자금운용계획표"/>
      <sheetName val="PIPE"/>
      <sheetName val="FLANGE"/>
      <sheetName val="VALVE"/>
      <sheetName val="근거 및 가정"/>
      <sheetName val="09~10년 매출계획"/>
      <sheetName val="2 카드채권(대출포함)"/>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原価センタ"/>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위탁매매_1103"/>
      <sheetName val="자기매매_1103"/>
      <sheetName val="위탁매매_1109"/>
      <sheetName val="자기매매_1109"/>
      <sheetName val="_x005f_x0018_"/>
      <sheetName val="1.차입금"/>
      <sheetName val="choose"/>
      <sheetName val="_x005f_x0018__x005f_x0000_"/>
      <sheetName val="Data Validation"/>
      <sheetName val="기초"/>
      <sheetName val="재무상태표"/>
      <sheetName val="본문"/>
      <sheetName val="전체철근집계"/>
      <sheetName val="MEMORY"/>
      <sheetName val="공사비증감"/>
      <sheetName val="내역(한신APT)"/>
      <sheetName val="1. 시공측량"/>
      <sheetName val="전도품의"/>
      <sheetName val="건축2"/>
      <sheetName val="118.세금과공과"/>
      <sheetName val="수선비"/>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음료실행"/>
      <sheetName val="자재목록"/>
      <sheetName val="일위(PN)"/>
      <sheetName val="1.본사계정별"/>
      <sheetName val="FILE1"/>
      <sheetName val="FILE2"/>
      <sheetName val="6-5공구원본"/>
      <sheetName val="부대시행1"/>
      <sheetName val="부대시행1 (2)"/>
      <sheetName val="부대시행2"/>
      <sheetName val="부대토공"/>
      <sheetName val="부대철콘"/>
      <sheetName val="부대토공실"/>
      <sheetName val="부대철콘실"/>
      <sheetName val="Sheet5"/>
      <sheetName val="Sheet8"/>
      <sheetName val="95하U$가격"/>
      <sheetName val="3.6.2남양주택배"/>
      <sheetName val="ETC"/>
      <sheetName val="Back Data 1"/>
      <sheetName val="Manual"/>
      <sheetName val="__"/>
      <sheetName val="슬래԰"/>
      <sheetName val="슬래"/>
      <sheetName val="슬래렀"/>
      <sheetName val="슬래㰀"/>
      <sheetName val="총괄표"/>
      <sheetName val="정부노임단가"/>
      <sheetName val="슬래밀"/>
      <sheetName val="선급비용"/>
      <sheetName val="접대비"/>
      <sheetName val="해외 기술훈련비 (합계)"/>
      <sheetName val="최소가치(간편)-회계"/>
      <sheetName val="회사제시"/>
      <sheetName val="품목"/>
      <sheetName val="FB25JN"/>
      <sheetName val="22철거수량"/>
      <sheetName val="분전함신설"/>
      <sheetName val="접지1종"/>
      <sheetName val="설치원가"/>
      <sheetName val="터파기및재료"/>
      <sheetName val="3본사"/>
      <sheetName val="98지급계획"/>
      <sheetName val="125PIECE"/>
      <sheetName val="1월 예산"/>
      <sheetName val="슬래　"/>
      <sheetName val="슬래尀"/>
      <sheetName val="슬래⠀"/>
      <sheetName val="슬래"/>
      <sheetName val="슬래堌"/>
      <sheetName val="수종별수량 (2)"/>
      <sheetName val="구간별수량"/>
      <sheetName val="전선 및 전선관"/>
      <sheetName val="도"/>
      <sheetName val="의정부문예회관변경내역"/>
      <sheetName val="연습"/>
      <sheetName val="슬래䰀"/>
      <sheetName val="슬래簀"/>
      <sheetName val="슬래퀀"/>
      <sheetName val="슬래뀀"/>
      <sheetName val="슬래瀀"/>
      <sheetName val="슬래鰀"/>
      <sheetName val="BD%_70s"/>
      <sheetName val="11월"/>
      <sheetName val="특외대"/>
      <sheetName val=" 견적서"/>
      <sheetName val="노동부"/>
      <sheetName val="합천내역"/>
      <sheetName val="전기단가조사서"/>
      <sheetName val="상가지급현황"/>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기초정보"/>
      <sheetName val="#1) 투자 구분"/>
      <sheetName val="P-산#1-1(WOWA1)"/>
      <sheetName val="명단원자료(이전)"/>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입찰내역_발주처_양식"/>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Facility_Information"/>
      <sheetName val="부하(성남)"/>
      <sheetName val="_x0018_?"/>
      <sheetName val="설산1.나"/>
      <sheetName val="본사S"/>
      <sheetName val="공사비예산서(토목분)"/>
      <sheetName val="Weekly Progress(계장)"/>
      <sheetName val="수량산출"/>
      <sheetName val="판가반영"/>
      <sheetName val="9GNG운반"/>
      <sheetName val="납부내역총괄표 (수정)"/>
      <sheetName val="배수공"/>
      <sheetName val="기둥(원형)"/>
      <sheetName val="화전내"/>
      <sheetName val="수량산출내역1115"/>
      <sheetName val="개산공사비"/>
      <sheetName val="감액총괄표"/>
      <sheetName val="일위대가(계측기설치)"/>
      <sheetName val="선평원내역"/>
      <sheetName val="Master"/>
      <sheetName val="Macro1"/>
      <sheetName val="설문 평가"/>
      <sheetName val="BID"/>
      <sheetName val="식재품셈"/>
      <sheetName val="Data_Validation"/>
      <sheetName val="품목코드표"/>
      <sheetName val="부서별집계표"/>
      <sheetName val="금년실적"/>
      <sheetName val="Utility Usage YTN TOWER"/>
      <sheetName val="B-1.기본정보"/>
      <sheetName val="RAW"/>
      <sheetName val="Bond"/>
      <sheetName val="원본"/>
      <sheetName val="要員用master"/>
      <sheetName val="TB"/>
      <sheetName val="PL"/>
      <sheetName val="CS"/>
      <sheetName val="공정"/>
      <sheetName val="예산계정INDEX"/>
      <sheetName val="환율change"/>
      <sheetName val="일반관리비"/>
      <sheetName val="보고서"/>
      <sheetName val="인수기간별S"/>
      <sheetName val="본부유지율"/>
      <sheetName val="4-2물건누계"/>
      <sheetName val="자동차추정자료"/>
      <sheetName val="손해감소유형"/>
      <sheetName val="7"/>
      <sheetName val="항목"/>
      <sheetName val="대투_보관자료 변경"/>
      <sheetName val="내수자재"/>
      <sheetName val="表21_净利润夐#奜#"/>
      <sheetName val="sheet6"/>
      <sheetName val="MAT"/>
      <sheetName val="원가1"/>
      <sheetName val="원가2"/>
      <sheetName val="약품공급2"/>
      <sheetName val="소야공정계획표"/>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견적"/>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배수내역"/>
      <sheetName val="U_TYPE_1_"/>
      <sheetName val="최적단면"/>
      <sheetName val="종단계산"/>
      <sheetName val="산출근거(S4)"/>
      <sheetName val="2013.2월 연결대상"/>
      <sheetName val="BS_Package_내부거래"/>
      <sheetName val="PL_Package_내부거래"/>
      <sheetName val="손익실적"/>
      <sheetName val="손익실적(매출원가)"/>
      <sheetName val="당년사별실적"/>
      <sheetName val="VXXXX"/>
      <sheetName val="탄산"/>
      <sheetName val="IS"/>
      <sheetName val="Rev. Recon 1"/>
      <sheetName val="1.고객불만건수"/>
      <sheetName val="1.변경범위"/>
      <sheetName val="CF表示組替表"/>
      <sheetName val="선택창"/>
      <sheetName val="외주현황.wq1"/>
      <sheetName val="RE"/>
      <sheetName val="FP"/>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실행기성 갑지"/>
      <sheetName val="Eq. Mobilization"/>
      <sheetName val="TYPE-1"/>
      <sheetName val="기계경비"/>
      <sheetName val="설치자재"/>
      <sheetName val="KEY CODE"/>
      <sheetName val="2-1.강사료,교통비 지급명세"/>
      <sheetName val="予算実績管理現況"/>
      <sheetName val="추정pl"/>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gr_val"/>
      <sheetName val="gr_sum"/>
      <sheetName val="설계조건"/>
      <sheetName val="수목단가"/>
      <sheetName val="시설수량표"/>
      <sheetName val="식재수량표"/>
      <sheetName val="준검 내역서"/>
      <sheetName val="98수문일위"/>
      <sheetName val="대전-교대(A1-A2)"/>
      <sheetName val="C1.3.1"/>
      <sheetName val="부대공Ⅱ"/>
      <sheetName val="입찰내역 Ĉ_x0000__x0000_ᇆ"/>
      <sheetName val="입찰내역 Ĉ_x0000__x0000_ᇆ"/>
      <sheetName val="정보화기기매출"/>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compare2"/>
      <sheetName val="Krw"/>
      <sheetName val="BS"/>
      <sheetName val="2-2.투자"/>
      <sheetName val="기본연봉"/>
      <sheetName val="사원"/>
      <sheetName val="9-1차이내역"/>
      <sheetName val="Proj. Fin."/>
      <sheetName val="ITS Assumptions"/>
      <sheetName val="Proj__Fin_"/>
      <sheetName val="2-2_투자"/>
      <sheetName val="Master Data"/>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기본"/>
      <sheetName val="10월_vs_12월_채권잔액"/>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Index"/>
      <sheetName val="제-노임"/>
      <sheetName val="N賃率-職"/>
      <sheetName val="조도계산서 (도서)"/>
      <sheetName val="터널전기"/>
      <sheetName val="토목주소"/>
      <sheetName val="프랜트면허"/>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기계"/>
      <sheetName val="정화조"/>
      <sheetName val="토목"/>
      <sheetName val="을-ATYPE"/>
      <sheetName val="배열수식"/>
      <sheetName val="날개수량1.5"/>
      <sheetName val="1"/>
      <sheetName val="EP0618"/>
      <sheetName val="CAT_5"/>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입찰내역_발주처_양식1"/>
      <sheetName val="근거_및_가정"/>
      <sheetName val="09~10년_매출계획1"/>
      <sheetName val="2_카드채권(대출포함)"/>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1_차입금"/>
      <sheetName val="2_주요계수총괄1"/>
      <sheetName val="Data_Validation1"/>
      <sheetName val="1_본사계정별1"/>
      <sheetName val="부대시행1_(2)"/>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PAD_TR보호대기초"/>
      <sheetName val="1월_예산"/>
      <sheetName val="_견적서"/>
      <sheetName val="해외_기술훈련비_(합계)1"/>
      <sheetName val="#1)_투자_구분"/>
      <sheetName val="1__시공측량"/>
      <sheetName val="수종별수량_(2)"/>
      <sheetName val="Utility_Usage_YTN_TOWER"/>
      <sheetName val="B-1_기본정보"/>
      <sheetName val="설산1_나"/>
      <sheetName val="?"/>
      <sheetName val="설문_평가"/>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FitOutConfCentre"/>
      <sheetName val="MTP"/>
      <sheetName val="F 월별기성수금현황 "/>
      <sheetName val="표시트"/>
      <sheetName val="カテゴリ表"/>
      <sheetName val="카드채권(대출포함)"/>
      <sheetName val="공통"/>
      <sheetName val="T6-6(7)"/>
      <sheetName val="sum_x0008__x0000__x000d__x0000__x0006__x0000_"/>
      <sheetName val="Ѐ܀ऀ܀؀਀؀Ԁ̀Ѐ̀Ѐࠀ܀ఀ؀܀"/>
      <sheetName val="숨김"/>
      <sheetName val="1월~9월"/>
      <sheetName val="갑지"/>
      <sheetName val="6월 공嚺㓶가"/>
      <sheetName val="기초정보 코드"/>
      <sheetName val="1. 작성방식"/>
      <sheetName val="계좌정보"/>
      <sheetName val="부산제일극장"/>
      <sheetName val="협가표"/>
      <sheetName val="분석가정"/>
      <sheetName val="BQ"/>
      <sheetName val="Basic"/>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TOWER 12TON"/>
      <sheetName val="TOWER 10TON"/>
      <sheetName val="JIB CRANE,HOIST"/>
      <sheetName val="4.1 월별 에너지 사용량"/>
      <sheetName val="코드"/>
      <sheetName val="오류항목"/>
      <sheetName val="数据有效性"/>
      <sheetName val="Worker List"/>
      <sheetName val="GB-IC Villingen GG"/>
      <sheetName val="MC&amp;다변화"/>
      <sheetName val="Library"/>
      <sheetName val="BM_NEW2"/>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견적을지"/>
      <sheetName val="중기일위대가"/>
      <sheetName val="호남본"/>
      <sheetName val="기성"/>
      <sheetName val="지장물C"/>
      <sheetName val="안산기계장치"/>
      <sheetName val="그룹자료"/>
      <sheetName val="임율자료"/>
      <sheetName val="기성현황집계표"/>
      <sheetName val="특수선일위대가"/>
      <sheetName val="입찰내역 Ĉ"/>
      <sheetName val="sum_x0008_"/>
      <sheetName val="PH 5"/>
      <sheetName val="bar chart-rev"/>
      <sheetName val="A(Rev.3)"/>
      <sheetName val="pg15"/>
      <sheetName val="표)CFT장 조직별 배분"/>
      <sheetName val="기술분류체계"/>
      <sheetName val="Remark"/>
      <sheetName val="20180214 P&amp;T"/>
      <sheetName val="Ref. 중점 추진 과제별 상세"/>
      <sheetName val="작성요령"/>
      <sheetName val="2.6 三无 (2)"/>
      <sheetName val="_x0018__"/>
      <sheetName val="공시용CF"/>
      <sheetName val="support"/>
      <sheetName val="목록!"/>
      <sheetName val="마스터0919"/>
      <sheetName val="노임단가(공사)"/>
      <sheetName val="000000"/>
      <sheetName val="RES"/>
      <sheetName val="M&amp;Q Lead"/>
      <sheetName val="견적내역서"/>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일위대가(목록)"/>
      <sheetName val="재료비"/>
      <sheetName val="갑지1"/>
      <sheetName val="일위대가목차"/>
      <sheetName val="시험장S자로가로등공사"/>
      <sheetName val="Sheet17"/>
      <sheetName val="설비등록׃⼫"/>
      <sheetName val="설비등록_x0010__x0000_"/>
      <sheetName val="전기자료"/>
      <sheetName val="Sheet10"/>
      <sheetName val="月度設定"/>
      <sheetName val="STRAT PLAN WKSHT"/>
      <sheetName val="Sales Plan &amp; other"/>
      <sheetName val="ConsolidateUSD"/>
      <sheetName val="STRAT_PLAN_WKSHT"/>
      <sheetName val="Sales_Plan_&amp;_other"/>
      <sheetName val="ref"/>
      <sheetName val="drop downs"/>
      <sheetName val="선택지"/>
      <sheetName val="Congfig"/>
      <sheetName val="Bank code"/>
      <sheetName val="총수율"/>
      <sheetName val="11"/>
      <sheetName val="Drop-down RAW"/>
      <sheetName val="산자사 운전용품"/>
      <sheetName val="CODE生成机"/>
      <sheetName val="조직필터"/>
      <sheetName val="有型区分分类"/>
      <sheetName val="업무 분류(Category)"/>
      <sheetName val="6호기"/>
      <sheetName val="10매출"/>
      <sheetName val="첨부#2.Cash Flow(현장작성)"/>
      <sheetName val="기초단가"/>
      <sheetName val="파일의이용"/>
      <sheetName val="교량하부공"/>
      <sheetName val="부대내역"/>
      <sheetName val="BATCH"/>
      <sheetName val="드롭다운"/>
      <sheetName val="Desal-E&amp;I"/>
      <sheetName val="Month-Report"/>
      <sheetName val="_x005f_x005f_x005f_x0018__x005f_x005f_x005f_x0000_"/>
      <sheetName val="_x005f_x0018_?"/>
      <sheetName val="집계"/>
      <sheetName val="1.수인터널"/>
      <sheetName val="1-1"/>
      <sheetName val="Exchange rate"/>
      <sheetName val="필요면적"/>
      <sheetName val="단기차입금(200006)"/>
      <sheetName val="작성양식"/>
      <sheetName val="wall"/>
      <sheetName val="CERTIFICATE"/>
      <sheetName val="가설공사내역"/>
      <sheetName val="401"/>
      <sheetName val="수정양식"/>
      <sheetName val="#1 Basic"/>
      <sheetName val="만기"/>
      <sheetName val="월별비교(물리)"/>
      <sheetName val="1~9 하중계산"/>
      <sheetName val="정공공사"/>
      <sheetName val="아산추가1220"/>
      <sheetName val="7_공사비집_x0000__x0000_Ā_x0000__x0005__x0000_翸_x0000_"/>
      <sheetName val="FAB별"/>
      <sheetName val="hiddenSheet"/>
      <sheetName val="3.일반사상"/>
      <sheetName val="슬래_xd800_"/>
      <sheetName val="640ꠌ᜹렀㣃씃"/>
      <sheetName val="640ꠏ᜹쀀씃"/>
      <sheetName val="Basic Information"/>
      <sheetName val="STANDARD"/>
      <sheetName val="유효성검사"/>
      <sheetName val="7상품수"/>
      <sheetName val="미계약2"/>
      <sheetName val="생산성(2차)"/>
      <sheetName val="요약(1차)"/>
      <sheetName val="Sheet475"/>
      <sheetName val="한계원가"/>
      <sheetName val="euc"/>
      <sheetName val="외부자료"/>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진행 DATA (2)"/>
      <sheetName val="_x005f_x005f_x005f_x0000__x005f_x005f_x005f_x0000_"/>
      <sheetName val="Cntmrs"/>
      <sheetName val="$bhp"/>
      <sheetName val="업무분장 "/>
      <sheetName val="7300-1000.11"/>
      <sheetName val="7300-1000_11"/>
      <sheetName val="기준Data"/>
      <sheetName val="PJT 현황"/>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Diesel Price "/>
      <sheetName val="노원열병합  건축공사기성내역서"/>
      <sheetName val="Mot So Thuat Ngu EN-VI"/>
      <sheetName val="구분 Table"/>
      <sheetName val="역T형옹벽(3.0)"/>
      <sheetName val="받을어음"/>
      <sheetName val="외상매출금현황-수정분 A2"/>
      <sheetName val="상불"/>
      <sheetName val="Assign"/>
      <sheetName val="합잔_역사"/>
      <sheetName val="01현금및현금성자산(ok)"/>
      <sheetName val="기준재고"/>
      <sheetName val="수액원료4"/>
      <sheetName val="관리자"/>
      <sheetName val="1월"/>
      <sheetName val="회사전체"/>
      <sheetName val="이자"/>
      <sheetName val="시스템 개요 유효값"/>
      <sheetName val="기본일위"/>
      <sheetName val="월간공정표(04월))"/>
      <sheetName val="문의내용 카테고리 분류(수정X)"/>
      <sheetName val="(참조)"/>
      <sheetName val="Investment Category"/>
      <sheetName val="견적 맵"/>
      <sheetName val="_x005f_x005f_x005f_x0000__x005f"/>
      <sheetName val="소주(苏州)"/>
      <sheetName val="XREF"/>
      <sheetName val="Asset9809CAK"/>
      <sheetName val="전기요금 산출내역"/>
      <sheetName val="1TL종점(1)"/>
      <sheetName val="JT3.0견적-구1"/>
      <sheetName val="Dropbox 목록"/>
      <sheetName val="PUR-12K"/>
      <sheetName val="TSCLFEB"/>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네고14"/>
      <sheetName val="관리1"/>
      <sheetName val="연체리스료"/>
      <sheetName val="control sheet"/>
      <sheetName val="NCR_HEC_6 Opens"/>
      <sheetName val="NCR_HEC_4 Open &amp; Vendor_2 Opens"/>
      <sheetName val="2.FM Fee_2차년도"/>
      <sheetName val="3.감가장비"/>
      <sheetName val="1711월"/>
      <sheetName val="OH _x000f__x0000__x000c__x0000__x0006__x0000__x0005__x0000__x000c__x0000_"/>
      <sheetName val="_x0000__x0004__x0000__x0002__x0000__x0002__x0000__x0005__x0000__x0008__x0000_"/>
      <sheetName val="ࠀ฀က฀Ԁ"/>
      <sheetName val="OH _x000f_"/>
      <sheetName val="대환취급"/>
      <sheetName val="001"/>
      <sheetName val="공통부대비"/>
      <sheetName val="7_공사비집"/>
      <sheetName val="산출"/>
      <sheetName val="OUTER_A՜_x0000_缀_x0000__x0000__x0000_尀빙끯"/>
      <sheetName val="증감대비"/>
      <sheetName val="공종단가"/>
      <sheetName val="1공구산출내역서"/>
      <sheetName val="01_02월_성B_x0000_"/>
      <sheetName val="날개벽(시점좌측)"/>
      <sheetName val="1.설계조건"/>
      <sheetName val="_x005f_x0018__"/>
      <sheetName val="BSD (2)"/>
      <sheetName val="유리단가"/>
      <sheetName val="2_주요계수총괄2"/>
      <sheetName val="Project_Brief2"/>
      <sheetName val="단면_(2)2"/>
      <sheetName val="Facility_Information2"/>
      <sheetName val="P_M_별3"/>
      <sheetName val="PAD_TR보호대기초1"/>
      <sheetName val="1__시공측량1"/>
      <sheetName val="1_본사계정별2"/>
      <sheetName val="납부내역총괄표_(수정)1"/>
      <sheetName val="근거_및_가정1"/>
      <sheetName val="118_세금과공과2"/>
      <sheetName val="수종별수량_(2)1"/>
      <sheetName val="1_차입금1"/>
      <sheetName val="부대시행1_(2)1"/>
      <sheetName val="3_6_2남양주택배1"/>
      <sheetName val="Back_Data_12"/>
      <sheetName val="1월_예산1"/>
      <sheetName val="_견적서1"/>
      <sheetName val="Weekly_Progress(계장)1"/>
      <sheetName val="해외_기술훈련비_(합계)2"/>
      <sheetName val="설문_평가1"/>
      <sheetName val="전선_및_전선관1"/>
      <sheetName val="설산1_나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1__작성방식"/>
      <sheetName val="조도계산서_(도서)"/>
      <sheetName val="C1_3_1"/>
      <sheetName val="입찰내역_Ĉᇆ"/>
      <sheetName val="입찰내역_Ĉᇆ"/>
      <sheetName val="6월_공嚺㓶가"/>
      <sheetName val="sum_x000a_"/>
      <sheetName val="_"/>
      <sheetName val="설비등록"/>
      <sheetName val="표)CFT장_조직별_배분"/>
      <sheetName val="20180214_P&amp;T"/>
      <sheetName val="Ref__중점_추진_과제별_상세"/>
      <sheetName val="2_6_三无_(2)"/>
      <sheetName val="Worker_List"/>
      <sheetName val="GB-IC_Villingen_GG"/>
      <sheetName val="A(Rev_3)"/>
      <sheetName val="총괄집계표"/>
      <sheetName val="합계표"/>
      <sheetName val="_x005f_x0000___x0000__x0000__x0005__x0000_㴐ኰ"/>
      <sheetName val="_x005f_x0000___x0000__x0000__x0005__x0000_움ᕕ"/>
      <sheetName val="2_실행ﶻĉ_x0000_"/>
      <sheetName val="2_실행䔭疖꜀"/>
      <sheetName val="2_실행ﶻ_x001e__x0000_"/>
      <sheetName val="공통비_x0000__x0000_ʯ"/>
      <sheetName val="공통비_x0000_í遘̩"/>
      <sheetName val="날개벽수량표"/>
      <sheetName val="수량산출서 (2)"/>
      <sheetName val="이름표"/>
      <sheetName val="____"/>
      <sheetName val="Cash2"/>
      <sheetName val="Z"/>
      <sheetName val="항목(1)"/>
      <sheetName val="BOOK4"/>
      <sheetName val="철거산출근거"/>
      <sheetName val="DB"/>
      <sheetName val="SS20"/>
      <sheetName val="SS10"/>
      <sheetName val="부대공사총괄"/>
      <sheetName val="건축공사집계표"/>
      <sheetName val="방배동내역 (총괄)"/>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工완성공사율"/>
      <sheetName val="개발계획수립"/>
      <sheetName val="건축"/>
      <sheetName val="산근(목록)"/>
      <sheetName val="심사계산"/>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PAD_TR보호대기초2"/>
      <sheetName val="1__시공측량2"/>
      <sheetName val="납부내역총괄표_(수정)2"/>
      <sheetName val="수종별수량_(2)2"/>
      <sheetName val="Weekly_Progress(계장)2"/>
      <sheetName val="근거_및_가정2"/>
      <sheetName val="1_차입금2"/>
      <sheetName val="부대시행1_(2)2"/>
      <sheetName val="3_6_2남양주택배2"/>
      <sheetName val="설산1_나2"/>
      <sheetName val="공종별집계"/>
      <sheetName val="상반기손익차2총괄"/>
      <sheetName val="물가대비표"/>
      <sheetName val="자판실행"/>
      <sheetName val="OUTER_A՜"/>
      <sheetName val="Mot_So_Thuat_Ngu_EN-VI"/>
      <sheetName val="NKC (final)"/>
      <sheetName val="자금_제_x0000__x0000_Ԁ_x0000_"/>
      <sheetName val="M&amp;Q_Lead"/>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4_1_월별_에너지_사용량"/>
      <sheetName val="첨부#2_Cash_Flow(현장작성)"/>
      <sheetName val="7_공사비집Ā翸"/>
      <sheetName val="Bank_code"/>
      <sheetName val="Drop-down_RAW"/>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건축갑지"/>
      <sheetName val="건축내역서"/>
      <sheetName val="견적보고서"/>
      <sheetName val="Macro3"/>
      <sheetName val="6F8"/>
      <sheetName val="원가관리_(동월대-_x0000_Ԁ"/>
      <sheetName val="_x005f_x0000_"/>
      <sheetName val="기타수지&amp;특별손익_ﹴÕ"/>
      <sheetName val="생산"/>
      <sheetName val="운반"/>
      <sheetName val="토공(우물통,기타) "/>
      <sheetName val="총 원가계산"/>
      <sheetName val="첨부1-2. 증감사유내역서(을)"/>
      <sheetName val="NG Item"/>
      <sheetName val="C"/>
      <sheetName val="91"/>
      <sheetName val="생산1-2"/>
      <sheetName val="생산1-1"/>
      <sheetName val="매출계획"/>
      <sheetName val="품의서개정(갑)"/>
      <sheetName val="10.예산 및 원가 계획(02년)"/>
      <sheetName val="손익계산서"/>
      <sheetName val="입찰내역 _x0000__x0000__x0000__x0001_Ԁ_x0000_"/>
      <sheetName val="국내_x0000__x0000_"/>
      <sheetName val="_Cash_Flow(자_x0000__x0000_"/>
      <sheetName val="504전기실_Ç_x0000_Ԁ_x0000_瀀"/>
      <sheetName val="504전기실_Ç_x0000_Ԁ_x0000_退"/>
      <sheetName val="504전기실_壇멿︀ⳕԯ"/>
      <sheetName val="504전기실_x0000__x0000__x0001_Ԁ_x0000_"/>
      <sheetName val="공기연장현황"/>
      <sheetName val="Project Count"/>
      <sheetName val="Index1"/>
      <sheetName val="STRAT_PLAN_WKSHT1"/>
      <sheetName val="Sales_Plan_&amp;_other1"/>
      <sheetName val="drop_downs"/>
      <sheetName val="대구은행"/>
      <sheetName val="원재료"/>
      <sheetName val="비품"/>
      <sheetName val="PF 현황(11년12월)"/>
      <sheetName val="Sensitivity and GC Value"/>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오스피셔스제사차"/>
      <sheetName val="단가조사표"/>
      <sheetName val="지급제한자"/>
      <sheetName val="__Dscljh_c_EXCEL________1_96__2"/>
      <sheetName val="3.공통공사대비"/>
      <sheetName val="2002년12월"/>
      <sheetName val="현장관리비 산출내역"/>
      <sheetName val="일일투입집계표"/>
      <sheetName val="평가데이터"/>
      <sheetName val="tifico"/>
      <sheetName val="무형자산 LS11"/>
      <sheetName val="Global"/>
      <sheetName val="master(ZH)"/>
      <sheetName val="_x005f_x005f_x005f_x005f_x005f_x005f_x005f_x0018__x005f"/>
      <sheetName val="_x005f_x005f_x005f_x0018__"/>
      <sheetName val="Ref. Spec Review 양식"/>
      <sheetName val="Ref. 시험항목 테이블"/>
      <sheetName val="Ref. Search Result 테이블"/>
      <sheetName val="Basic_Information"/>
      <sheetName val="Exchange_rate"/>
      <sheetName val="견적서"/>
      <sheetName val="증감내역서"/>
      <sheetName val="단면치수"/>
      <sheetName val="간접비"/>
      <sheetName val="집계확_x0000_"/>
      <sheetName val="신당동집계표"/>
      <sheetName val="입찰내역 _x0000_⊍_x0000__x0000_∀的"/>
      <sheetName val="체신주조서"/>
      <sheetName val="_x005f_x0000__"/>
      <sheetName val="공통비"/>
      <sheetName val="조도"/>
      <sheetName val="本月预计"/>
      <sheetName val="1)추진현황"/>
      <sheetName val="매출회전"/>
      <sheetName val="TMPA"/>
      <sheetName val="소방사항"/>
      <sheetName val="P-J"/>
      <sheetName val="자금_제"/>
      <sheetName val="504전기실"/>
      <sheetName val="유효성 목록"/>
      <sheetName val="드롭다운(수정금지)"/>
      <sheetName val="6PILE__(Y_x0000__x0000_"/>
      <sheetName val="6PILE__(剙_x0010__x0000_"/>
      <sheetName val="합산목표(감가+5_x0000__x0000_Ԁ_x0000_䀀"/>
      <sheetName val="식재총괄"/>
      <sheetName val="inter"/>
      <sheetName val="UPA(Part C,D,E,G,H)"/>
      <sheetName val="UPA(Part F)"/>
      <sheetName val="Materials"/>
      <sheetName val="일위대가 (Part C,D,E,G,H)"/>
      <sheetName val="Insulation_Utl_Off"/>
      <sheetName val="Note_Piping"/>
      <sheetName val="7_Utility_Analysis1"/>
      <sheetName val="Operational_Activities1"/>
      <sheetName val="참고3.DATA"/>
      <sheetName val="4월25일실행"/>
      <sheetName val="경계석,골재외 (2)"/>
      <sheetName val="철거공사1"/>
      <sheetName val="Menu_Link"/>
      <sheetName val="간접경상비"/>
      <sheetName val="23기-3분기결산PL"/>
      <sheetName val="경영비율 "/>
      <sheetName val="계정정보"/>
      <sheetName val="기준정보基准信息参考"/>
      <sheetName val="FORM4"/>
      <sheetName val="FORM1"/>
      <sheetName val="FORM2"/>
      <sheetName val="FORM3"/>
      <sheetName val="FORM5"/>
      <sheetName val="FORM10"/>
      <sheetName val="FORM15"/>
      <sheetName val="FORM16"/>
      <sheetName val="4월 매출"/>
      <sheetName val="2005조관부자재표준"/>
      <sheetName val="2005공정별직접노무비표준"/>
      <sheetName val="2005공정별전력비표준"/>
      <sheetName val="2005도금부자재표준"/>
      <sheetName val="2005톤당조관량표준"/>
      <sheetName val="2005인발표준"/>
      <sheetName val="Stop"/>
      <sheetName val="Accueil"/>
      <sheetName val="C61X-BOM"/>
      <sheetName val="Sheet16"/>
      <sheetName val="Planilha_relts??eos7"/>
      <sheetName val="B05"/>
      <sheetName val="B07"/>
      <sheetName val="A02"/>
      <sheetName val="A04"/>
      <sheetName val="A13"/>
      <sheetName val="B08"/>
      <sheetName val="B10"/>
      <sheetName val="공사비지급"/>
      <sheetName val="SPT vs PHI"/>
      <sheetName val="main"/>
      <sheetName val="무역한도관리"/>
      <sheetName val="STRAT_PLAN_WKSHT2"/>
      <sheetName val="Sales_Plan_&amp;_other2"/>
      <sheetName val="drop_downs1"/>
      <sheetName val="산자사_운전용품"/>
      <sheetName val="업무_분류(Category)"/>
      <sheetName val="구분_Table"/>
      <sheetName val="역T형옹벽(3_0)"/>
      <sheetName val="외상매출금현황-수정분_A2"/>
      <sheetName val="3_일반사상"/>
      <sheetName val="Project_Count"/>
      <sheetName val="control_sheet"/>
      <sheetName val="PF_현황(11년12월)"/>
      <sheetName val="Diesel_Price_"/>
      <sheetName val="진행_DATA_(2)"/>
      <sheetName val="견적_맵"/>
      <sheetName val="업무분장_"/>
      <sheetName val="7300-1000_111"/>
      <sheetName val="PJT_현황"/>
      <sheetName val="참고)_기준정보"/>
      <sheetName val="Long_Term_Prices"/>
      <sheetName val="문의내용_카테고리_분류(수정X)"/>
      <sheetName val="Sensitivity_and_GC_Value"/>
      <sheetName val="사업단위"/>
      <sheetName val="품목리스트"/>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ALK_Chi tiết công nợ"/>
      <sheetName val="Parem"/>
      <sheetName val="CHITIET VL-NC-TT1p"/>
      <sheetName val="TONGKE3p"/>
      <sheetName val="기본사항"/>
      <sheetName val="20년 동일기간 소테마"/>
      <sheetName val="연결조정사항(2019)"/>
      <sheetName val="TLoss"/>
      <sheetName val="0304"/>
      <sheetName val="예총"/>
      <sheetName val="1__작성방식1"/>
      <sheetName val="표)CFT장_조직별_배분1"/>
      <sheetName val="20180214_P&amp;T1"/>
      <sheetName val="Ref__중점_추진_과제별_상세1"/>
      <sheetName val="Bank_code1"/>
      <sheetName val="Drop-down_RAW1"/>
      <sheetName val="Basic_Information1"/>
      <sheetName val="Exchange_rate1"/>
      <sheetName val="NG_Item"/>
      <sheetName val="Ref__Spec_Review_양식"/>
      <sheetName val="Ref__시험항목_테이블"/>
      <sheetName val="Ref__Search_Result_테이블"/>
      <sheetName val="TOWER_12TON"/>
      <sheetName val="TOWER_10TON"/>
      <sheetName val="JIB_CRANE,HOIST"/>
      <sheetName val="07.01"/>
      <sheetName val="설계내역양식"/>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OH_"/>
      <sheetName val="#1_Basic"/>
      <sheetName val="경영비율_"/>
      <sheetName val="Dropbox_목록"/>
      <sheetName val="실행"/>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통က_x0000_"/>
      <sheetName val="1.설계기준"/>
      <sheetName val="1_종합손익(주택,绘ÿ헾⽊"/>
      <sheetName val="sum "/>
      <sheetName val="단가산출서"/>
      <sheetName val="경상직원"/>
      <sheetName val="원가관리_(동월대-"/>
      <sheetName val="골조"/>
      <sheetName val="견적 (2)"/>
      <sheetName val="방배2E"/>
      <sheetName val="Salary(해외)"/>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MTP1"/>
      <sheetName val="영업보증금"/>
      <sheetName val="F4-F7"/>
      <sheetName val="Supplement2"/>
      <sheetName val="운영경비 세부작성근거"/>
      <sheetName val="类别"/>
      <sheetName val="(실사조정)총괄"/>
      <sheetName val="단기대여금"/>
      <sheetName val="장기대여금"/>
      <sheetName val="⑤항목별2"/>
      <sheetName val="퇴직사유"/>
      <sheetName val="__한국_AMP_ASP-23_판매가격_롟"/>
      <sheetName val="기타코드"/>
      <sheetName val="카테고리 분류 (수정X)"/>
      <sheetName val="3.판관비명세서"/>
      <sheetName val="산출기준(파견전산실)"/>
      <sheetName val="보빈규격"/>
      <sheetName val="수량이동"/>
      <sheetName val="토지조서(원본)"/>
      <sheetName val="공사"/>
      <sheetName val="변동률산출"/>
      <sheetName val="완성차 미수금"/>
      <sheetName val="▶ 일일출역 집계_20210819143316"/>
      <sheetName val="504전기실__x0000_Ԁ_x0000_"/>
      <sheetName val="504전기실__x0000_Ԁ_x0000_က"/>
      <sheetName val="Ⅴ-2.공종별내역"/>
      <sheetName val="Process Li"/>
      <sheetName val="암거날개벽"/>
      <sheetName val="L형옹벽"/>
      <sheetName val="물가정보"/>
      <sheetName val="정부노임"/>
      <sheetName val="입찰내역"/>
      <sheetName val="ITB COST"/>
      <sheetName val="T13(P68~72,78)"/>
      <sheetName val="합산목표(감가+5"/>
      <sheetName val="DRUM"/>
      <sheetName val="EE-PROP"/>
      <sheetName val="집계표(OPTION)"/>
      <sheetName val="일위"/>
      <sheetName val="Rate Analysis"/>
      <sheetName val="제주환경순환센터"/>
      <sheetName val="SAP_Role"/>
      <sheetName val="cctr"/>
      <sheetName val="계정_H100"/>
      <sheetName val="계정_1000"/>
      <sheetName val="계정_7000"/>
      <sheetName val="계정_8000"/>
      <sheetName val="AP_H100"/>
      <sheetName val="AP_1000"/>
      <sheetName val="AP_7000"/>
      <sheetName val="AP_8000"/>
      <sheetName val="CIP"/>
      <sheetName val="손익합산"/>
      <sheetName val="HERO01"/>
      <sheetName val="인건비"/>
      <sheetName val="04_4월말_합병시_지분변동차액"/>
      <sheetName val="2007"/>
      <sheetName val=" Drop"/>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금액집계(리포트)"/>
      <sheetName val="입찰내역 "/>
      <sheetName val="GL"/>
      <sheetName val="2003FX"/>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4b Consolidated PL"/>
      <sheetName val="C200"/>
      <sheetName val="TT List"/>
      <sheetName val="직종부호"/>
      <sheetName val="A(Rev_3)1"/>
      <sheetName val="1~9_하중계산"/>
      <sheetName val="504전기실Ԁ"/>
      <sheetName val="BSD_(2)"/>
      <sheetName val="시스템_개요_유효값"/>
      <sheetName val="전기요금_산출내역"/>
      <sheetName val="_x005f_x0000__㴐ኰ"/>
      <sheetName val="_x005f_x0000__움ᕕ"/>
      <sheetName val="2_실행ﶻ"/>
      <sheetName val="단양 00 아파트-세부내역"/>
      <sheetName val="97노임단가"/>
      <sheetName val="입력란"/>
      <sheetName val="돈암사업"/>
      <sheetName val="원형1호맨홀토공수량"/>
      <sheetName val="자료입력"/>
      <sheetName val="기본값"/>
      <sheetName val="토지평가조서(발송용)"/>
      <sheetName val="종합표양식(품의좲_xdd02_쒥⠀쮎_x001d__x0000__x0000_"/>
      <sheetName val="SS215065"/>
      <sheetName val="3_ReasonCode"/>
      <sheetName val="_손익기01.XL_x005f_x0000__x005f_x005f_x0"/>
      <sheetName val="pp"/>
      <sheetName val="YTD_Summary20"/>
      <sheetName val="Month_Summary20"/>
      <sheetName val="Trial_Balance_MAY_200920"/>
      <sheetName val="TB_Pivot20"/>
      <sheetName val="total_per_LB_LB220"/>
      <sheetName val="Trial_Balance_Vlookup20"/>
      <sheetName val="Trial_Balance_APRIL_200920"/>
      <sheetName val="TO_Data_Base21"/>
      <sheetName val="Roll_Out_AQ20"/>
      <sheetName val="Evolução_mandamentos20"/>
      <sheetName val="Planilha_resultados19"/>
      <sheetName val="Historico_200319"/>
      <sheetName val="Sig_Cycles_Accts_&amp;_Processes19"/>
      <sheetName val="Fixed_ZBB13"/>
      <sheetName val="3_ISo_YTD13"/>
      <sheetName val="E_法规NC13"/>
      <sheetName val="Données_LMU13"/>
      <sheetName val="Brazil_Sovereign13"/>
      <sheetName val="Resumen_Costo13"/>
      <sheetName val="Extract_Loss13"/>
      <sheetName val="QA_跟踪记录表13"/>
      <sheetName val="5_113"/>
      <sheetName val="Como_Estamos13"/>
      <sheetName val="Base_de_Dados13"/>
      <sheetName val="RG_Depots13"/>
      <sheetName val="material_data13"/>
      <sheetName val="other_data13"/>
      <sheetName val="Database_(RUR)Mar_YTD13"/>
      <sheetName val="SKU_Mapping13"/>
      <sheetName val="Drop_Down13"/>
      <sheetName val="Raw_Data13"/>
      <sheetName val="EBM-2_GHQ13"/>
      <sheetName val="Base_PEF14"/>
      <sheetName val="Testing_Template_Guidance13"/>
      <sheetName val="Test_Programs13"/>
      <sheetName val="Controls_data15"/>
      <sheetName val="Dados_BLP13"/>
      <sheetName val="ARdistr_(2)13"/>
      <sheetName val="FJJX_Bud_IB12"/>
      <sheetName val="look-up_data12"/>
      <sheetName val="Prd_Hierarchy(产品层级)12"/>
      <sheetName val="Com_(2PK)12"/>
      <sheetName val="JOB_PROFILE_-_LAS13"/>
      <sheetName val="요일_테이블13"/>
      <sheetName val="요일_테이블_(2)12"/>
      <sheetName val="Prd_Hierarchy(产品层次)12"/>
      <sheetName val="Project_Code12"/>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업무연락_(2)13"/>
      <sheetName val="제시_손익계산서13"/>
      <sheetName val="01_02월_성과급14"/>
      <sheetName val="M_7회차_담금_계획13"/>
      <sheetName val="팀별_실적13"/>
      <sheetName val="팀별_실적_(환산)13"/>
      <sheetName val="4__Inj_투자상세내역13"/>
      <sheetName val="3__Blow_투자_상세내역13"/>
      <sheetName val="Process_List13"/>
      <sheetName val="7_(2)13"/>
      <sheetName val="_손익기01_XL12"/>
      <sheetName val="Income_Stmt12"/>
      <sheetName val="drop_down_list12"/>
      <sheetName val="Figures_Report11"/>
      <sheetName val="[손익기01_XL_x005f_x0000__x005f_x0000_DePara12"/>
      <sheetName val="Quarterly_LBO_Model12"/>
      <sheetName val="[손익기01_XL12"/>
      <sheetName val="_손익기01_XL_x005f_x0000__x005f_x0000_DePara12"/>
      <sheetName val="15년_BL_사계12"/>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Classification_分类11"/>
      <sheetName val="Set_Up12"/>
      <sheetName val="Fare_prices11"/>
      <sheetName val="Hotel_prices11"/>
      <sheetName val="tab_STATUS_DO_PROCESSO_11"/>
      <sheetName val="Perf__Plan__Diário111"/>
      <sheetName val="In_(2)11"/>
      <sheetName val="__한국_AMP_ASP-23_판매가격__11"/>
      <sheetName val="CC_Down_load_071611"/>
      <sheetName val="변경실행(2차)_11"/>
      <sheetName val="나_출고11"/>
      <sheetName val="나_입고11"/>
      <sheetName val="09년_인건비(속리산)11"/>
      <sheetName val="합산목표(감가+57_5)11"/>
      <sheetName val="제조원가_원단위_분석11"/>
      <sheetName val="종합표양식(품의_&amp;_입고)_211"/>
      <sheetName val="원가관리_(동월대비)11"/>
      <sheetName val="b_balju_(2)11"/>
      <sheetName val="2-2_매출분석11"/>
      <sheetName val="몰드시스템_리스트11"/>
      <sheetName val="11_외화채무증권(AFS,HTM)0811"/>
      <sheetName val="13_감액TEST_0811"/>
      <sheetName val="12년_CF(9월)11"/>
      <sheetName val="중기조종사_단위단가11"/>
      <sheetName val="6PILE__(돌출)11"/>
      <sheetName val="기성청구_공문11"/>
      <sheetName val="Sheet1_(2)11"/>
      <sheetName val="CLASIFICACION_DE_AI11"/>
      <sheetName val="Base_da_Datos11"/>
      <sheetName val="slide_24_cat_A11"/>
      <sheetName val="slide_82_cat_b11"/>
      <sheetName val="Dados_dos_Produtos11"/>
      <sheetName val="09~10년_매출계획11"/>
      <sheetName val="1_MDF1공장11"/>
      <sheetName val="Incident_유형구분표11"/>
      <sheetName val="3YP2016-Bottom_up10"/>
      <sheetName val="DD_list11"/>
      <sheetName val="Base_de_Datos10"/>
      <sheetName val="2_카드채권(대출포함)10"/>
      <sheetName val="表21_净利润调节表10"/>
      <sheetName val="MASTER_APP10"/>
      <sheetName val="Cond__Inseguros10"/>
      <sheetName val="Comp__Inseguros10"/>
      <sheetName val="Lista_de_datos10"/>
      <sheetName val="Supply_Cost_Centers10"/>
      <sheetName val="Clasif_10"/>
      <sheetName val="Farol_Acciones10"/>
      <sheetName val="Lista_de_Entrenamientos10"/>
      <sheetName val="Unidades_SAC-REVENDA11"/>
      <sheetName val="FornecM_Check9"/>
      <sheetName val="Lista_CI10"/>
      <sheetName val="Estratificación_AI9"/>
      <sheetName val="condicion_inseguras9"/>
      <sheetName val="Actos_Inseguros9"/>
      <sheetName val="Control_de_incidentes9"/>
      <sheetName val="Plan_de_Acción9"/>
      <sheetName val="_DD_List10"/>
      <sheetName val="Share_Price_200210"/>
      <sheetName val="BEP_加薪_KPI9"/>
      <sheetName val="F08_-_Asia_Pac_Full_Year_Q310"/>
      <sheetName val="Top_Priorities10"/>
      <sheetName val="Listco_Stock10"/>
      <sheetName val="Intl_Purchase10"/>
      <sheetName val="FY_outlook10"/>
      <sheetName val="CY_outlook10"/>
      <sheetName val="Cash_metrics10"/>
      <sheetName val="P6_710"/>
      <sheetName val="DATOS_BASE9"/>
      <sheetName val="Issues_List_Payments9"/>
      <sheetName val="Faro_de_Indicadores9"/>
      <sheetName val="TOP_KPIs_MTM9"/>
      <sheetName val="PLAN_DE_ACCION9"/>
      <sheetName val="Grafica_Actos9"/>
      <sheetName val="POC_LIST9"/>
      <sheetName val="Dashboard_Prevención_Riesgos_9"/>
      <sheetName val="APAC_S9"/>
      <sheetName val="APAC_N9"/>
      <sheetName val="Slide_output9"/>
      <sheetName val="do_not_delete9"/>
      <sheetName val="[손익기01_XL??DePara9"/>
      <sheetName val="Farol_Metas9"/>
      <sheetName val="Mod_Relac_9"/>
      <sheetName val="Condiciones_SyE9"/>
      <sheetName val="REALxMETA_-_CERVEJA11"/>
      <sheetName val="REALxMETA_-_REFRI11"/>
      <sheetName val="Directrices_de_Metas_20179"/>
      <sheetName val="DETALLE_MENSUAL9"/>
      <sheetName val="Entity_Target9"/>
      <sheetName val="VALIDACION_DE_DATOS8"/>
      <sheetName val="_손익기01_XL_x005f_x005f_x005f_x0000__x005f_x005f_x9"/>
      <sheetName val="Hazards_Analysis-隐患分析9"/>
      <sheetName val="97_사업추정(WEKI)9"/>
      <sheetName val="Tong_hop9"/>
      <sheetName val="95_1_1이후취득자산(숨기기상태)9"/>
      <sheetName val="sum1_(2)9"/>
      <sheetName val="3_바닥판설계9"/>
      <sheetName val="6월_공정외주9"/>
      <sheetName val="2_대외공문9"/>
      <sheetName val="2_총괄표9"/>
      <sheetName val="입출재고현황_(2)9"/>
      <sheetName val="504전기실_동부하-L9"/>
      <sheetName val="OUTER_AREA(겹침없음)9"/>
      <sheetName val="EL_표면적9"/>
      <sheetName val="TRE_TABLE9"/>
      <sheetName val="입찰내역_발주처_양식9"/>
      <sheetName val="Data_validation9"/>
      <sheetName val="turnover_reason퇴직사유9"/>
      <sheetName val="SKU_Basic_Data9"/>
      <sheetName val="Jul-Sep_Actual_cost_(2)8"/>
      <sheetName val="Drop-down_List8"/>
      <sheetName val="by_DD8"/>
      <sheetName val="Check_Qualidade7"/>
      <sheetName val="Check_Aderencia7"/>
      <sheetName val="De_Para8"/>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Nombre_de_SOP7"/>
      <sheetName val="Ta_7"/>
      <sheetName val="2__Indicadores7"/>
      <sheetName val="부재료_비교(11년_vs_10년)7"/>
      <sheetName val="_손익기01_XL_x005f_x0000__x07"/>
      <sheetName val="_mngt_Pillar7"/>
      <sheetName val="Sheet3_(2)7"/>
      <sheetName val="Lista_de_Entrenamientos_RSO7"/>
      <sheetName val="Tablero_SDG10"/>
      <sheetName val="Lista_Areas10"/>
      <sheetName val="One_Page10"/>
      <sheetName val="Sub-Productos_HN8"/>
      <sheetName val="Eficiencia_linea7"/>
      <sheetName val="요일_테이블_7"/>
      <sheetName val="Sheet2_(2)7"/>
      <sheetName val="Lao_&amp;_Cam7"/>
      <sheetName val="Hoegaarden_20197"/>
      <sheetName val="Lao_&amp;_Cam_20197"/>
      <sheetName val="Malaysia_20197"/>
      <sheetName val="Singapore_20197"/>
      <sheetName val="Other_Listings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Dropdown_list5"/>
      <sheetName val="__한국_AMP_ASP-23_판㧤가격__5"/>
      <sheetName val="11_䡸화채무줝ⴌ(AFS,HTM)085"/>
      <sheetName val="Drop_list5"/>
      <sheetName val="FX_Rates5"/>
      <sheetName val="Vagas_x_Candidatos5"/>
      <sheetName val="Proced_5"/>
      <sheetName val="Cut_Machine_Summary5"/>
      <sheetName val="Control_de_Fallas5"/>
      <sheetName val="Setup_for_Templates5"/>
      <sheetName val="Datos_emp5"/>
      <sheetName val="Validation_lists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Listas_y_equipos_a_evaluar5"/>
      <sheetName val="Data_Reporte5"/>
      <sheetName val="Read_me5"/>
      <sheetName val="NAZ_Strategy3"/>
      <sheetName val="Champions_List4"/>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Análise_Tempos2"/>
      <sheetName val="Validação_de_Dados2"/>
      <sheetName val="No_llenar_2"/>
      <sheetName val="PDA_BOP2"/>
      <sheetName val="Incentivo_Automóvil2"/>
      <sheetName val="PROCESS_MD2"/>
      <sheetName val="Lista_de_Motivos2"/>
      <sheetName val="Ponto_Crítico_-_Resp__Plano2"/>
      <sheetName val="Lista_Funcionários_(2)2"/>
      <sheetName val="PAINEL_RECOLHA_CRÉDITO2"/>
      <sheetName val="Gráficos_-_CDD2"/>
      <sheetName val="Dropdown_Menu1"/>
      <sheetName val="Project_List1"/>
      <sheetName val="Выпадающие_списки1"/>
      <sheetName val="SOP_Freshness"/>
      <sheetName val="Dimension_IN_Sheet1!D1912"/>
      <sheetName val="Dimension_IN_1912"/>
      <sheetName val="Admin"/>
      <sheetName val="DHEQSUPT"/>
      <sheetName val="504전기실_Ç"/>
      <sheetName val="PAD_TR보호대기초3"/>
      <sheetName val="1__시공측량3"/>
      <sheetName val="근거_및_가정3"/>
      <sheetName val="설산1_나3"/>
      <sheetName val="1_차입금3"/>
      <sheetName val="수종별수량_(2)3"/>
      <sheetName val="납부내역총괄표_(수정)3"/>
      <sheetName val="부대시행1_(2)3"/>
      <sheetName val="3_6_2남양주택배3"/>
      <sheetName val="Weekly_Progress(계장)3"/>
      <sheetName val="입찰내역_Ĉ1"/>
      <sheetName val="1_수인터널1"/>
      <sheetName val="NCR_HEC_6_Opens"/>
      <sheetName val="NCR_HEC_4_Open_&amp;_Vendor_2_Opens"/>
      <sheetName val="JT3_0견적-구1"/>
      <sheetName val="방배동내역_(총괄)"/>
      <sheetName val="2014"/>
      <sheetName val="2018"/>
      <sheetName val="유림콘도"/>
      <sheetName val="예산관리대장"/>
      <sheetName val="Xunit (단위환산)"/>
      <sheetName val="책임준비금"/>
      <sheetName val="@공통코드"/>
      <sheetName val="_x005f_x005f_x005f_x0018_"/>
      <sheetName val="입찰내역 Ĉ_x005f_x0000__x005f_x0000_ᇆ"/>
      <sheetName val="입찰내역 Ĉ_x005f_x0000__x005f_x0000_ᇆ"/>
      <sheetName val="_x005f_x005f_x005f_x005f_x005f_x005f_x005f_x0000__x005f"/>
      <sheetName val="기준정보"/>
      <sheetName val="PH_5"/>
      <sheetName val="bar_chart-rev"/>
      <sheetName val="1_설계조건"/>
      <sheetName val="수량산출서_(2)"/>
      <sheetName val="노원열병합__건축공사기성내역서"/>
      <sheetName val="Investment_Category"/>
      <sheetName val="유류대_현황1"/>
      <sheetName val="1__템플릿1"/>
      <sheetName val="2__작성_참고사항1"/>
      <sheetName val="mapping_(2)1"/>
      <sheetName val="Ref_1"/>
      <sheetName val="2_3_Projects_Status1"/>
      <sheetName val="Consolidated_Project_List1"/>
      <sheetName val="Fixed_Cost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3__Training_&amp;_travel"/>
      <sheetName val="Manage_to_Sustain"/>
      <sheetName val="Meeting_List"/>
      <sheetName val="Packages_Info"/>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2_FM_Fee_2차년도"/>
      <sheetName val="3_감가장비"/>
      <sheetName val="G2설비도급"/>
      <sheetName val="장비명"/>
      <sheetName val="Ext. Stone-P"/>
      <sheetName val="Process Li 鸴"/>
      <sheetName val="분류기준"/>
      <sheetName val="OH_Cost경비(배부呸2닑"/>
      <sheetName val="TTL"/>
      <sheetName val="제조원가_원단_x0000_ǻ_x0000_"/>
      <sheetName val="6PILE__(돌출_x0000_"/>
      <sheetName val="96보완계획7.12"/>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제조원가_원단"/>
      <sheetName val="제조원가_원단_x0010_"/>
      <sheetName val="본사공가현황"/>
      <sheetName val="통က"/>
      <sheetName val="ENE-CAL"/>
      <sheetName val="경영혁신본부"/>
      <sheetName val="콘크리트타설집계표"/>
      <sheetName val="anaysis_sheet"/>
      <sheetName val="주관사업"/>
      <sheetName val="4Q주석"/>
      <sheetName val="다목적갑"/>
      <sheetName val="Warranty"/>
      <sheetName val="실행내역서 "/>
      <sheetName val="Quantity"/>
      <sheetName val="CAL1"/>
      <sheetName val="2.Consideration sheet"/>
      <sheetName val="3. Export"/>
      <sheetName val="목록구분"/>
      <sheetName val="1-11조직표"/>
      <sheetName val="Name"/>
      <sheetName val="참고(3)고정비"/>
      <sheetName val="Requirement(Work Crew)"/>
      <sheetName val="DESBAST"/>
      <sheetName val="database"/>
      <sheetName val="sum_x0008__x0000_ _x0000__x0006__x0000_"/>
      <sheetName val="슬래?"/>
      <sheetName val="_x005f_x0000__x005f"/>
      <sheetName val="[손익기01_XL_x0000__x0000_DePara10"/>
      <sheetName val="_손익기01_XL_x0000__x0000_DePara10"/>
      <sheetName val="_손익기01_XL_x0000__x05"/>
      <sheetName val="_손익기01_XL_x0000__x4"/>
      <sheetName val="_손익기01_XL_x0000__x5"/>
      <sheetName val="_손익기01_XL_x0000__x6"/>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KPIs- TTP, PTP, People Turnover"/>
      <sheetName val="部门"/>
      <sheetName val="1월 목표"/>
      <sheetName val="FILIAL MINAS"/>
      <sheetName val="info for drop box"/>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SOP_Freshness1"/>
      <sheetName val="Dimension_IN_Sheet1!D19121"/>
      <sheetName val="Dimension_IN_19121"/>
      <sheetName val="辅助表格"/>
      <sheetName val="10 麦汁CIP清洗标准水量"/>
      <sheetName val="BU"/>
      <sheetName val="Tipo Viaje"/>
      <sheetName val="Flota y Personal"/>
      <sheetName val="_손익기01_XL_x0000__x7"/>
      <sheetName val="SAP info"/>
      <sheetName val="Target Book"/>
      <sheetName val="后台"/>
      <sheetName val="AL来源"/>
      <sheetName val="Name List"/>
      <sheetName val="Ref_New Contract Model"/>
      <sheetName val="Dec"/>
      <sheetName val="리스트용"/>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매출내역"/>
      <sheetName val="가설전기별첨"/>
      <sheetName val="Essbase"/>
      <sheetName val="투입계획서(변경)"/>
      <sheetName val="기안"/>
      <sheetName val="지하시설물작성"/>
      <sheetName val="사다리"/>
      <sheetName val="504전기실_"/>
      <sheetName val="기준표"/>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제임스짐 예상매출 for 2023B"/>
      <sheetName val="ACTIVITY CODE &amp; AREA LIST"/>
      <sheetName val="ASALTOTA"/>
      <sheetName val="국민연금"/>
      <sheetName val="Noncurrent assets"/>
      <sheetName val="2장(1사업부)ERP"/>
      <sheetName val="1) MALL"/>
      <sheetName val="계정code"/>
      <sheetName val="선택옵션"/>
      <sheetName val="옵션"/>
      <sheetName val="CriteriaUpdate"/>
      <sheetName val="주간남10대순위1"/>
      <sheetName val="주간여30대순위1"/>
      <sheetName val="건강_미결"/>
      <sheetName val="SRS_월별_BS1"/>
      <sheetName val="평가&amp;선급_미지급1"/>
      <sheetName val="EXC_IND"/>
      <sheetName val="COLOR별_인쇄"/>
      <sheetName val="Mot_So_Thuat_Ngu_EN-VI1"/>
      <sheetName val="_Cash_Flo_x0000__x0000__x0000__x0000__x0000_"/>
      <sheetName val="일위대가목록"/>
      <sheetName val="중기단가목록"/>
      <sheetName val="화기9901매출"/>
      <sheetName val="Act vs. budget"/>
      <sheetName val="연간점유"/>
      <sheetName val="업무계획1"/>
      <sheetName val="8月水电燃使用表"/>
      <sheetName val="자산LIST"/>
      <sheetName val="해외출자현황(원본틀)"/>
      <sheetName val="추정99"/>
      <sheetName val="종합"/>
      <sheetName val="DATA SHEET(절대삭제 금지)"/>
      <sheetName val="07~08 PL"/>
      <sheetName val="argl(1)"/>
      <sheetName val="CO"/>
      <sheetName val="부가가치"/>
      <sheetName val="2021 KPI_SD (대표이사)"/>
      <sheetName val="기성및원가"/>
      <sheetName val="표준공사비-조명제외x10%up"/>
      <sheetName val="D"/>
      <sheetName val="act98"/>
      <sheetName val="건설중인"/>
      <sheetName val="대지급(한미)"/>
      <sheetName val="loading"/>
      <sheetName val="a.연결정리"/>
      <sheetName val="NOZZLE제작단가"/>
      <sheetName val="Electrical Load List"/>
      <sheetName val="월별"/>
      <sheetName val="Piping Design Data"/>
      <sheetName val="表21_净利润釘×㜀࠷"/>
      <sheetName val="2담당0113"/>
      <sheetName val="1담당0113"/>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DANHPHAP"/>
      <sheetName val="CHITIET VL-NC-TT -1p"/>
      <sheetName val="CHITIET VL-NC-TT-3p"/>
      <sheetName val="TONG HOP VL-NC TT"/>
      <sheetName val="TDTKP1"/>
      <sheetName val="KPVC-BD "/>
      <sheetName val="P_M_별5"/>
      <sheetName val="2_주요계수총괄4"/>
      <sheetName val="1_본사계정별4"/>
      <sheetName val="118_세금과공과4"/>
      <sheetName val="Back_Data_14"/>
      <sheetName val="Project_Brief4"/>
      <sheetName val="Facility_Information4"/>
      <sheetName val="단면_(2)4"/>
      <sheetName val="1월_예산3"/>
      <sheetName val="_견적서3"/>
      <sheetName val="설문_평가3"/>
      <sheetName val="해외_기술훈련비_(합계)4"/>
      <sheetName val="외주현황_wq13"/>
      <sheetName val="#1)_투자_구분3"/>
      <sheetName val="B-1_기본정보3"/>
      <sheetName val="Utility_Usage_YTN_TOWER3"/>
      <sheetName val="대투_보관자료_변경3"/>
      <sheetName val="전선_및_전선관3"/>
      <sheetName val="2013_2월_연결대상3"/>
      <sheetName val="Rev__Recon_12"/>
      <sheetName val="1_고객불만건수2"/>
      <sheetName val="1_변경범위2"/>
      <sheetName val="KEY_CODE3"/>
      <sheetName val="2-1_강사료,교통비_지급명세3"/>
      <sheetName val="13_포장용역비표준3"/>
      <sheetName val="9_가공부자재표준3"/>
      <sheetName val="8_ROLL표준(TSW)3"/>
      <sheetName val="4_톤당조관량표준3"/>
      <sheetName val="5_조관부자재표준3"/>
      <sheetName val="2-2_투자3"/>
      <sheetName val="Proj__Fin_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7_Utility_Analysis2"/>
      <sheetName val="Operational_Activities2"/>
      <sheetName val="C1_3_12"/>
      <sheetName val="실행기성_갑지3"/>
      <sheetName val="Eq__Mobilization2"/>
      <sheetName val="1__작성방식3"/>
      <sheetName val="표)CFT장_조직별_배분3"/>
      <sheetName val="20180214_P&amp;T3"/>
      <sheetName val="Ref__중점_추진_과제별_상세3"/>
      <sheetName val="2_6_三无_(2)2"/>
      <sheetName val="수량산출서_갑지2"/>
      <sheetName val="G_R300경비2"/>
      <sheetName val="AS포장복구_2"/>
      <sheetName val="설_계2"/>
      <sheetName val="Worker_List2"/>
      <sheetName val="GB-IC_Villingen_GG2"/>
      <sheetName val="Bank_code3"/>
      <sheetName val="Drop-down_RAW3"/>
      <sheetName val="Basic_Information3"/>
      <sheetName val="Exchange_rate3"/>
      <sheetName val="진행_DATA_(2)2"/>
      <sheetName val="Ref__Spec_Review_양식2"/>
      <sheetName val="Ref__시험항목_테이블2"/>
      <sheetName val="Ref__Search_Result_테이블2"/>
      <sheetName val="NG_Item2"/>
      <sheetName val="F_월별기성수금현황_2"/>
      <sheetName val="준검_내역서2"/>
      <sheetName val="조도계산서_(도서)2"/>
      <sheetName val="기초정보_코드2"/>
      <sheetName val="날개수량1_52"/>
      <sheetName val="6월_공嚺㓶가2"/>
      <sheetName val="3_일반사상1"/>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산자사_운전용품1"/>
      <sheetName val="4_1_월별_에너지_사용량2"/>
      <sheetName val="업무_분류(Category)1"/>
      <sheetName val="첨부#2_Cash_Flow(현장작성)1"/>
      <sheetName val="M&amp;Q_Lead2"/>
      <sheetName val="10_예산_및_원가_계획(02년)"/>
      <sheetName val="TOWER_12TON2"/>
      <sheetName val="TOWER_10TON2"/>
      <sheetName val="JIB_CRANE,HOIST2"/>
      <sheetName val="경영비율_1"/>
      <sheetName val="Dropbox_목록1"/>
      <sheetName val="20년_동일기간_소테마"/>
      <sheetName val="07_01"/>
      <sheetName val="실행내역서_"/>
      <sheetName val="무형자산_LS11"/>
      <sheetName val="2_Consideration_sheet"/>
      <sheetName val="3__Export"/>
      <sheetName val="PC%계산"/>
      <sheetName val="_손익기01.XL__DePara"/>
      <sheetName val="_손익기01_XL__DePara"/>
      <sheetName val="TEMP2"/>
      <sheetName val="#1_Basic2"/>
      <sheetName val="STRAT_PLAN_WKSHT3"/>
      <sheetName val="Sales_Plan_&amp;_other3"/>
      <sheetName val="drop_downs2"/>
      <sheetName val="견적_맵1"/>
      <sheetName val="7300-1000_112"/>
      <sheetName val="PJT_현황1"/>
      <sheetName val="참고)_기준정보1"/>
      <sheetName val="Long_Term_Prices1"/>
      <sheetName val="업무분장_1"/>
      <sheetName val="구분_Table1"/>
      <sheetName val="문의내용_카테고리_분류(수정X)1"/>
      <sheetName val="Diesel_Price_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Project_Count1"/>
      <sheetName val="역T형옹벽(3_0)1"/>
      <sheetName val="외상매출금현황-수정분_A21"/>
      <sheetName val="control_sheet1"/>
      <sheetName val="SPT_vs_PHI"/>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NKC_(final)1"/>
      <sheetName val="PF_현황(11년12월)1"/>
      <sheetName val="입찰내역_Ԁ"/>
      <sheetName val="입찰내역_⊍∀的"/>
      <sheetName val="Sensitivity_and_GC_Value1"/>
      <sheetName val="3_공통공사대비"/>
      <sheetName val="현장관리비_산출내역"/>
      <sheetName val="운영경비_세부작성근거"/>
      <sheetName val="참고3_DATA"/>
      <sheetName val="입찰내역_"/>
      <sheetName val="토공(우물통,기타)_"/>
      <sheetName val="Insight_MTD_QTD_YTD_DATA"/>
      <sheetName val="Working_(PivotTable)"/>
      <sheetName val="Essbase_(53_Weeks)"/>
      <sheetName val="Essbase_(52_Weeks)"/>
      <sheetName val="Store_Listing"/>
      <sheetName val="COMP_Working"/>
      <sheetName val="COMP_LLY_Working"/>
      <sheetName val="ALK_Chi_tiết_công_nợ"/>
      <sheetName val="CHITIET_VL-NC-TT1p"/>
      <sheetName val="Xunit_(단위환산)"/>
      <sheetName val="4월_매출"/>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_Dro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특수,항공_부서코드표3"/>
      <sheetName val="예산조정신청서_양식3"/>
      <sheetName val="96예산신청을_위한_양식및_공문3"/>
      <sheetName val="96예산신청을%20위한%20양식및%20공문_XLS1"/>
      <sheetName val="4b_Consolidated_PL"/>
      <sheetName val="TT_List"/>
      <sheetName val="2_주요계수총괄5"/>
      <sheetName val="Facility_Information5"/>
      <sheetName val="P_M_별6"/>
      <sheetName val="근거_및_가정4"/>
      <sheetName val="118_세금과공과5"/>
      <sheetName val="Project_Brief5"/>
      <sheetName val="단면_(2)5"/>
      <sheetName val="설문_평가4"/>
      <sheetName val="PAD_TR보호대기초4"/>
      <sheetName val="해외_기술훈련비_(합계)5"/>
      <sheetName val="1_차입금4"/>
      <sheetName val="부대시행1_(2)4"/>
      <sheetName val="1__시공측량4"/>
      <sheetName val="1_본사계정별5"/>
      <sheetName val="납부내역총괄표_(수정)4"/>
      <sheetName val="3_6_2남양주택배4"/>
      <sheetName val="_견적서4"/>
      <sheetName val="Utility_Usage_YTN_TOWER4"/>
      <sheetName val="Back_Data_15"/>
      <sheetName val="Rev__Recon_13"/>
      <sheetName val="1_고객불만건수3"/>
      <sheetName val="1_변경범위3"/>
      <sheetName val="수종별수량_(2)4"/>
      <sheetName val="Weekly_Progress(계장)4"/>
      <sheetName val="2013_2월_연결대상4"/>
      <sheetName val="1월_예산4"/>
      <sheetName val="설산1_나4"/>
      <sheetName val="전선_및_전선관4"/>
      <sheetName val="#1)_투자_구분4"/>
      <sheetName val="B-1_기본정보4"/>
      <sheetName val="외주현황_wq14"/>
      <sheetName val="대투_보관자료_변경4"/>
      <sheetName val="13_포장용역비표준4"/>
      <sheetName val="9_가공부자재표준4"/>
      <sheetName val="8_ROLL표준(TSW)4"/>
      <sheetName val="4_톤당조관량표준4"/>
      <sheetName val="5_조관부자재표준4"/>
      <sheetName val="7_Utility_Analysis3"/>
      <sheetName val="Operational_Activities3"/>
      <sheetName val="2-2_투자4"/>
      <sheetName val="Proj__Fin_4"/>
      <sheetName val="ITS_Assumptions3"/>
      <sheetName val="Master_Data3"/>
      <sheetName val="실행기성_갑지4"/>
      <sheetName val="Eq__Mobilization3"/>
      <sheetName val="6월_공嚺㓶가3"/>
      <sheetName val="KEY_CODE4"/>
      <sheetName val="2-1_강사료,교통비_지급명세4"/>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C1_3_13"/>
      <sheetName val="1__작성방식4"/>
      <sheetName val="표)CFT장_조직별_배분4"/>
      <sheetName val="20180214_P&amp;T4"/>
      <sheetName val="Ref__중점_추진_과제별_상세4"/>
      <sheetName val="2_6_三无_(2)3"/>
      <sheetName val="업무_분류(Category)2"/>
      <sheetName val="수량산출서_갑지3"/>
      <sheetName val="G_R300경비3"/>
      <sheetName val="AS포장복구_3"/>
      <sheetName val="설_계3"/>
      <sheetName val="Worker_List3"/>
      <sheetName val="GB-IC_Villingen_GG3"/>
      <sheetName val="Exchange_rate4"/>
      <sheetName val="준검_내역서3"/>
      <sheetName val="날개수량1_53"/>
      <sheetName val="F_월별기성수금현황_3"/>
      <sheetName val="기초정보_코드3"/>
      <sheetName val="#1_Basic3"/>
      <sheetName val="첨부#2_Cash_Flow(현장작성)2"/>
      <sheetName val="Bank_code4"/>
      <sheetName val="Drop-down_RAW4"/>
      <sheetName val="산자사_운전용품2"/>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3_일반사상2"/>
      <sheetName val="조도계산서_(도서)3"/>
      <sheetName val="A(Rev_3)2"/>
      <sheetName val="M&amp;Q_Lead3"/>
      <sheetName val="STRAT_PLAN_WKSHT4"/>
      <sheetName val="Sales_Plan_&amp;_other4"/>
      <sheetName val="drop_downs3"/>
      <sheetName val="Basic_Information4"/>
      <sheetName val="Mot_So_Thuat_Ngu_EN-VI2"/>
      <sheetName val="노원열병합__건축공사기성내역서1"/>
      <sheetName val="진행_DATA_(2)3"/>
      <sheetName val="견적_맵2"/>
      <sheetName val="7300-1000_113"/>
      <sheetName val="PJT_현황2"/>
      <sheetName val="참고)_기준정보2"/>
      <sheetName val="Long_Term_Prices2"/>
      <sheetName val="업무분장_2"/>
      <sheetName val="구분_Table2"/>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Investment_Category1"/>
      <sheetName val="문의내용_카테고리_분류(수정X)2"/>
      <sheetName val="Diesel_Price_2"/>
      <sheetName val="TOWER_12TON3"/>
      <sheetName val="TOWER_10TON3"/>
      <sheetName val="JIB_CRANE,HOIST3"/>
      <sheetName val="시스템_개요_유효값1"/>
      <sheetName val="입찰내역_Ĉ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Project_Count2"/>
      <sheetName val="수량산출서_(2)1"/>
      <sheetName val="1_수인터널2"/>
      <sheetName val="역T형옹벽(3_0)2"/>
      <sheetName val="외상매출금현황-수정분_A22"/>
      <sheetName val="control_sheet2"/>
      <sheetName val="JT3_0견적-구11"/>
      <sheetName val="Dropbox_목록2"/>
      <sheetName val="SPT_vs_PHI1"/>
      <sheetName val="전기요금_산출내역1"/>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1~9_하중계산1"/>
      <sheetName val="BSD_(2)1"/>
      <sheetName val="방배동내역_(총괄)1"/>
      <sheetName val="NKC_(final)2"/>
      <sheetName val="NCR_HEC_6_Opens1"/>
      <sheetName val="NCR_HEC_4_Open_&amp;_Vendor_2_Open1"/>
      <sheetName val="PF_현황(11년12월)2"/>
      <sheetName val="Ref__Spec_Review_양식3"/>
      <sheetName val="Ref__시험항목_테이블3"/>
      <sheetName val="Ref__Search_Result_테이블3"/>
      <sheetName val="NG_Item3"/>
      <sheetName val="20년_동일기간_소테마1"/>
      <sheetName val="SRS_월별_BS2"/>
      <sheetName val="평가&amp;선급_미지급2"/>
      <sheetName val="EXC_IND1"/>
      <sheetName val="COLOR별_인쇄1"/>
      <sheetName val="무형자산_LS111"/>
      <sheetName val="10_예산_및_원가_계획(02년)1"/>
      <sheetName val="Sensitivity_and_GC_Value2"/>
      <sheetName val="07_011"/>
      <sheetName val="경영비율_2"/>
      <sheetName val="2_FM_Fee_2차년도1"/>
      <sheetName val="3_감가장비1"/>
      <sheetName val="3_공통공사대비1"/>
      <sheetName val="현장관리비_산출내역1"/>
      <sheetName val="운영경비_세부작성근거1"/>
      <sheetName val="참고3_DATA1"/>
      <sheetName val="입찰내역_1"/>
      <sheetName val="토공(우물통,기타)_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PH_51"/>
      <sheetName val="bar_chart-rev1"/>
      <sheetName val="Xunit_(단위환산)1"/>
      <sheetName val="4월_매출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_Drop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특수,항공_부서코드표4"/>
      <sheetName val="예산조정신청서_양식4"/>
      <sheetName val="96예산신청을_위한_양식및_공문4"/>
      <sheetName val="96예산신청을%20위한%20양식및%20공문_XLS2"/>
      <sheetName val="4b_Consolidated_PL1"/>
      <sheetName val="TT_List1"/>
      <sheetName val="건축개요_"/>
      <sheetName val="VS P-Q"/>
      <sheetName val="B"/>
      <sheetName val="MAIN_TABLE"/>
      <sheetName val="3BL공동구 수량"/>
      <sheetName val="member design"/>
      <sheetName val="design criteria"/>
      <sheetName val="working load at the btm ft."/>
      <sheetName val="plan&amp;section of foundation"/>
      <sheetName val="7_공사비집_x0000_跇˜_x0000__x0000__x0000_Ā_x0000_"/>
      <sheetName val="97 사업추정(W؀_x0001__x0000__x0000_"/>
      <sheetName val="일위목차"/>
      <sheetName val="0226"/>
      <sheetName val="2)단가비교표"/>
      <sheetName val="SHEET"/>
      <sheetName val="설비등록ၒ_x0000_"/>
      <sheetName val="첨부1-2__증감사유내역서(을)"/>
      <sheetName val="유효성_목록"/>
      <sheetName val="총_원가계산"/>
      <sheetName val="1_설계기준"/>
      <sheetName val="6PILE__(剙"/>
      <sheetName val="Ⅴ-2_공종별내역"/>
      <sheetName val="경계석,골재외_(2)"/>
      <sheetName val="카테고리_분류_(수정X)"/>
      <sheetName val="3_판관비명세서"/>
      <sheetName val="제조원가_원단༘֜"/>
      <sheetName val="▶_일일출역_집계_20210819143316"/>
      <sheetName val="sum_"/>
      <sheetName val="UPA(Part_C,D,E,G,H)"/>
      <sheetName val="UPA(Part_F)"/>
      <sheetName val="일위대가_(Part_C,D,E,G,H)"/>
      <sheetName val="완성차_미수금"/>
      <sheetName val="견적_(2)"/>
      <sheetName val="ITB_COST"/>
      <sheetName val="종합표양식(품의좲쒥⠀쮎"/>
      <sheetName val="Process_Li"/>
      <sheetName val="_㴐ኰ"/>
      <sheetName val="_움ᕕ"/>
      <sheetName val="단양_00_아파트-세부내역"/>
      <sheetName val="96보완계획7_12"/>
      <sheetName val="8호선 원가 투입내역"/>
      <sheetName val="_x005f_x0000__x00_x0000__x0000__x0000_"/>
      <sheetName val="천마갑지"/>
      <sheetName val="下拉框选项"/>
      <sheetName val="Criteria List"/>
      <sheetName val="应收帐款(외상매출금)"/>
      <sheetName val="0405比较_查询"/>
      <sheetName val="북마크"/>
      <sheetName val="방법론선택및업로드"/>
      <sheetName val="생산"/>
      <sheetName val="구매대행이행율(2)"/>
      <sheetName val="FB150’980123"/>
      <sheetName val="category대응"/>
      <sheetName val="대출 상환액 산출표"/>
      <sheetName val="사외외주 9월 현황"/>
      <sheetName val="GRACE"/>
      <sheetName val="Ⅱ.추정종합"/>
      <sheetName val="단독빌딩 총합계본"/>
      <sheetName val="COVER-P"/>
      <sheetName val="할증 "/>
      <sheetName val="다이꾸"/>
      <sheetName val="7_공사비집_x0000__x0000__x0000__x0000_⽐ʇ_x0000_"/>
      <sheetName val="NON SLIP"/>
      <sheetName val="변경내역대비표(2)"/>
      <sheetName val="총괄표_전체"/>
      <sheetName val="총괄표_기본"/>
      <sheetName val="총괄표_확장"/>
      <sheetName val="제조원가_원단_x0000_궰_x0000__x0000_"/>
      <sheetName val="제조원가_원단_x0000_聏_x0000__x0000_"/>
      <sheetName val="제조원가_원단샀_x000e__x0000__x0000_"/>
      <sheetName val="종합표양식(품의_&amp;¾_x0000__x0000__x0000__x0000_漁ן"/>
      <sheetName val="TinhGiaNC"/>
      <sheetName val="Thiet Bi"/>
      <sheetName val="Arch"/>
      <sheetName val="주식"/>
      <sheetName val="Assumption List"/>
      <sheetName val="schbhn"/>
      <sheetName val="schalt"/>
      <sheetName val="schtng"/>
      <sheetName val="PSV2701F"/>
      <sheetName val="_REF"/>
      <sheetName val="H.P견적(참조)"/>
      <sheetName val="공사예산하조서(O.K)"/>
      <sheetName val="타견적(을)"/>
      <sheetName val="플랜트 설치"/>
      <sheetName val="표건"/>
      <sheetName val="제조원가_원단뿰朮_x0000__x0000_"/>
      <sheetName val="제조원가_원단뽰_x0000__x0000_"/>
      <sheetName val="제조원가_원단뽀ᚔ_x0000__x0000_"/>
      <sheetName val="C.S.A"/>
      <sheetName val="Rate"/>
      <sheetName val="Sch.6"/>
      <sheetName val="12년_CF(9월_x0000_"/>
      <sheetName val="운반거리(0.7km)"/>
      <sheetName val="총제품수불"/>
      <sheetName val="견적내역서(산출근거)"/>
      <sheetName val="1_종합손익(주택,&quot;_x0000__x0000__x0000_"/>
      <sheetName val="Template"/>
      <sheetName val="나_출؀_x0001_"/>
      <sheetName val="공사직종별노임"/>
      <sheetName val="리드14"/>
      <sheetName val="backdata"/>
      <sheetName val="Spreadsheet Information"/>
      <sheetName val="major"/>
      <sheetName val="챤넬"/>
      <sheetName val="제작LIST"/>
      <sheetName val="표지 (3)"/>
      <sheetName val="감가상각비(2002)"/>
      <sheetName val="Sheet376"/>
      <sheetName val="품목코드"/>
      <sheetName val="12월시산표"/>
      <sheetName val="손익계산서(출력)"/>
      <sheetName val="매출원가"/>
      <sheetName val="목공사품의서"/>
      <sheetName val="온라인 계수 기준표"/>
      <sheetName val="1.현금예금"/>
      <sheetName val="利润表"/>
      <sheetName val="정산표Y_E(10년-4Q)"/>
      <sheetName val="资产负债"/>
      <sheetName val="scoreY_E(10년-4Q)"/>
      <sheetName val="利润表FY10"/>
      <sheetName val="1차)기초데이터_인건비월별추정"/>
      <sheetName val="STROPEZ"/>
      <sheetName val="1_종합손익(도급)14"/>
      <sheetName val="1_종합손익(주택,개발)14"/>
      <sheetName val="2_실행예산14"/>
      <sheetName val="2_2과부족14"/>
      <sheetName val="2_3원가절감14"/>
      <sheetName val="8_외주비집행현황14"/>
      <sheetName val="9_자재비14"/>
      <sheetName val="10_현장집행14"/>
      <sheetName val="3_추가원가14"/>
      <sheetName val="3_추가원가_(2)14"/>
      <sheetName val="4_사전공사14"/>
      <sheetName val="5_추정공사비14"/>
      <sheetName val="6_금융비용14"/>
      <sheetName val="7_공사비집행현황(총괄)14"/>
      <sheetName val="11_1생산성14"/>
      <sheetName val="11_2인원산출14"/>
      <sheetName val="CC_Down_load_071613"/>
      <sheetName val="변경실행(2차)_13"/>
      <sheetName val="__한국_AMP_ASP-23_판매가격__13"/>
      <sheetName val="나_출고13"/>
      <sheetName val="나_입고13"/>
      <sheetName val="09년_인건비(속리산)13"/>
      <sheetName val="합산목표(감가+57_5)13"/>
      <sheetName val="b_balju_(2)13"/>
      <sheetName val="제조원가_원단위_분석13"/>
      <sheetName val="종합표양식(품의_&amp;_입고)_213"/>
      <sheetName val="원가관리_(동월대비)13"/>
      <sheetName val="중기조종사_단위단가13"/>
      <sheetName val="2-2_매출분석13"/>
      <sheetName val="6PILE__(돌출)13"/>
      <sheetName val="기성청구_공문13"/>
      <sheetName val="몰드시스템_리스트13"/>
      <sheetName val="11_외화채무증권(AFS,HTM)0813"/>
      <sheetName val="13_감액TEST_0813"/>
      <sheetName val="7_(2)15"/>
      <sheetName val="12년_CF(9월)13"/>
      <sheetName val="Sheet1_(2)13"/>
      <sheetName val="2_총괄표11"/>
      <sheetName val="sum1_(2)11"/>
      <sheetName val="504전기실_동부하-L11"/>
      <sheetName val="2_대외공문11"/>
      <sheetName val="表21_净利润调节表12"/>
      <sheetName val="입출재고현황_(2)11"/>
      <sheetName val="Facility_Information6"/>
      <sheetName val="2_주요계수총괄6"/>
      <sheetName val="3_바닥판설계11"/>
      <sheetName val="입찰내역_발주처_양식11"/>
      <sheetName val="P_M_별7"/>
      <sheetName val="TRE_TABLE11"/>
      <sheetName val="OUTER_AREA(겹침없음)11"/>
      <sheetName val="EL_표면적11"/>
      <sheetName val="Project_Brief6"/>
      <sheetName val="PAD_TR보호대기초5"/>
      <sheetName val="단면_(2)6"/>
      <sheetName val="근거_및_가정5"/>
      <sheetName val="09~10년_매출계획13"/>
      <sheetName val="2_카드채권(대출포함)12"/>
      <sheetName val="전사_PL16"/>
      <sheetName val="자금_제외_PL16"/>
      <sheetName val="자금_PL16"/>
      <sheetName val="전사_BS16"/>
      <sheetName val="자금_제외_BS16"/>
      <sheetName val="자금_BS16"/>
      <sheetName val="BS_계정_설명16"/>
      <sheetName val="_Cash_Flow(전사)16"/>
      <sheetName val="_Cash_Flow(자금제외)16"/>
      <sheetName val="_Cash_Flow(자금)16"/>
      <sheetName val="ROIC_16"/>
      <sheetName val="인건비_명세16"/>
      <sheetName val="판관비_명세16"/>
      <sheetName val="OH_Cost경비(내역)16"/>
      <sheetName val="OH_Cost경비(배부기준)16"/>
      <sheetName val="기타수지&amp;특별손익_명세16"/>
      <sheetName val="Process_List15"/>
      <sheetName val="제시_손익계산서15"/>
      <sheetName val="업무연락_(2)15"/>
      <sheetName val="M_7회차_담금_계획15"/>
      <sheetName val="01_02월_성과급16"/>
      <sheetName val="97_사업추정(WEKI)11"/>
      <sheetName val="팀별_실적15"/>
      <sheetName val="팀별_실적_(환산)15"/>
      <sheetName val="6월_공정외주11"/>
      <sheetName val="1_차입금5"/>
      <sheetName val="118_세금과공과6"/>
      <sheetName val="Tong_hop11"/>
      <sheetName val="95_1_1이후취득자산(숨기기상태)11"/>
      <sheetName val="1_MDF1공장13"/>
      <sheetName val="1__시공측량5"/>
      <sheetName val="1_본사계정별6"/>
      <sheetName val="부대시행1_(2)5"/>
      <sheetName val="3_6_2남양주택배5"/>
      <sheetName val="Back_Data_16"/>
      <sheetName val="해외_기술훈련비_(합계)6"/>
      <sheetName val="수종별수량_(2)5"/>
      <sheetName val="전선_및_전선관5"/>
      <sheetName val="1월_예산5"/>
      <sheetName val="_견적서5"/>
      <sheetName val="#1)_투자_구분5"/>
      <sheetName val="Weekly_Progress(계장)5"/>
      <sheetName val="설산1_나5"/>
      <sheetName val="납부내역총괄표_(수정)5"/>
      <sheetName val="설문_평가5"/>
      <sheetName val="Utility_Usage_YTN_TOWER5"/>
      <sheetName val="B-1_기본정보5"/>
      <sheetName val="대투_보관자료_변경5"/>
      <sheetName val="G_R300경비4"/>
      <sheetName val="AS포장복구_4"/>
      <sheetName val="설_계4"/>
      <sheetName val="2013_2월_연결대상5"/>
      <sheetName val="Rev__Recon_14"/>
      <sheetName val="1_고객불만건수4"/>
      <sheetName val="1_변경범위4"/>
      <sheetName val="외주현황_wq15"/>
      <sheetName val="수량산출서_갑지4"/>
      <sheetName val="실행기성_갑지5"/>
      <sheetName val="Eq__Mobilization4"/>
      <sheetName val="KEY_CODE5"/>
      <sheetName val="2-1_강사료,교통비_지급명세5"/>
      <sheetName val="13_포장용역비표준5"/>
      <sheetName val="9_가공부자재표준5"/>
      <sheetName val="8_ROLL표준(TSW)5"/>
      <sheetName val="4_톤당조관량표준5"/>
      <sheetName val="5_조관부자재표준5"/>
      <sheetName val="4__Inj_투자상세내역15"/>
      <sheetName val="3__Blow_투자_상세내역15"/>
      <sheetName val="Jul-Sep_Actual_cost_(2)10"/>
      <sheetName val="요일_테이블15"/>
      <sheetName val="요일_테이블_(2)14"/>
      <sheetName val="TO_Data_Base23"/>
      <sheetName val="YTD_Summary22"/>
      <sheetName val="Month_Summary22"/>
      <sheetName val="Trial_Balance_MAY_200922"/>
      <sheetName val="TB_Pivot22"/>
      <sheetName val="total_per_LB_LB222"/>
      <sheetName val="Trial_Balance_Vlookup22"/>
      <sheetName val="Trial_Balance_APRIL_200922"/>
      <sheetName val="Roll_Out_AQ22"/>
      <sheetName val="Evolução_mandamentos22"/>
      <sheetName val="Planilha_resultados21"/>
      <sheetName val="Historico_200321"/>
      <sheetName val="Sig_Cycles_Accts_&amp;_Processes21"/>
      <sheetName val="3_ISo_YTD15"/>
      <sheetName val="E_法规NC15"/>
      <sheetName val="Données_LMU15"/>
      <sheetName val="Brazil_Sovereign15"/>
      <sheetName val="Resumen_Costo15"/>
      <sheetName val="Fixed_ZBB15"/>
      <sheetName val="5_115"/>
      <sheetName val="Extract_Loss15"/>
      <sheetName val="QA_跟踪记录表15"/>
      <sheetName val="RG_Depots15"/>
      <sheetName val="material_data15"/>
      <sheetName val="other_data15"/>
      <sheetName val="Como_Estamos15"/>
      <sheetName val="Database_(RUR)Mar_YTD15"/>
      <sheetName val="SKU_Mapping15"/>
      <sheetName val="Drop_Down15"/>
      <sheetName val="Raw_Data15"/>
      <sheetName val="EBM-2_GHQ15"/>
      <sheetName val="Base_PEF16"/>
      <sheetName val="Base_de_Dados15"/>
      <sheetName val="Testing_Template_Guidance15"/>
      <sheetName val="Test_Programs15"/>
      <sheetName val="Dados_BLP15"/>
      <sheetName val="Controls_data17"/>
      <sheetName val="FJJX_Bud_IB14"/>
      <sheetName val="look-up_data14"/>
      <sheetName val="JOB_PROFILE_-_LAS15"/>
      <sheetName val="ARdistr_(2)15"/>
      <sheetName val="Prd_Hierarchy(产品层级)14"/>
      <sheetName val="Com_(2PK)14"/>
      <sheetName val="Prd_Hierarchy(产品层次)14"/>
      <sheetName val="Project_Code14"/>
      <sheetName val="15년_BL_사계14"/>
      <sheetName val="_손익기01_XL14"/>
      <sheetName val="drop_down_list14"/>
      <sheetName val="[손익기01_XL_x005f_x0000__x005f_x0000_DePara14"/>
      <sheetName val="[손익기01_XL14"/>
      <sheetName val="Income_Stmt14"/>
      <sheetName val="Quarterly_LBO_Model14"/>
      <sheetName val="_손익기01_XL_x005f_x0000__x005f_x0000_DePara14"/>
      <sheetName val="Classification_分类13"/>
      <sheetName val="Figures_Report13"/>
      <sheetName val="Set_Up14"/>
      <sheetName val="Fare_prices13"/>
      <sheetName val="Hotel_prices13"/>
      <sheetName val="tab_STATUS_DO_PROCESSO_13"/>
      <sheetName val="Perf__Plan__Diário113"/>
      <sheetName val="In_(2)13"/>
      <sheetName val="slide_24_cat_A13"/>
      <sheetName val="slide_82_cat_b13"/>
      <sheetName val="Incident_유형구분표13"/>
      <sheetName val="CLASIFICACION_DE_AI13"/>
      <sheetName val="Base_da_Datos13"/>
      <sheetName val="Dados_dos_Produtos13"/>
      <sheetName val="DD_list13"/>
      <sheetName val="3YP2016-Bottom_up12"/>
      <sheetName val="MASTER_APP12"/>
      <sheetName val="Cond__Inseguros12"/>
      <sheetName val="Comp__Inseguros12"/>
      <sheetName val="Lista_de_datos12"/>
      <sheetName val="Base_de_Datos12"/>
      <sheetName val="_DD_List12"/>
      <sheetName val="Share_Price_200212"/>
      <sheetName val="Clasif_12"/>
      <sheetName val="Lista_CI12"/>
      <sheetName val="Farol_Acciones12"/>
      <sheetName val="Lista_de_Entrenamientos12"/>
      <sheetName val="Supply_Cost_Centers12"/>
      <sheetName val="BEP_加薪_KPI11"/>
      <sheetName val="2-2_투자5"/>
      <sheetName val="Proj__Fin_5"/>
      <sheetName val="ITS_Assumptions4"/>
      <sheetName val="Master_Data4"/>
      <sheetName val="HQ_급여_4"/>
      <sheetName val="OF_급여4"/>
      <sheetName val="F_Ma급여4"/>
      <sheetName val="SMT_급여4"/>
      <sheetName val="QC_급여4"/>
      <sheetName val="Sam_sung_급여4"/>
      <sheetName val="Dlock_급여4"/>
      <sheetName val="_thôi_việc_급여4"/>
      <sheetName val="Công_smt4"/>
      <sheetName val="Công_smt_(2)4"/>
      <sheetName val="Detail_smt4"/>
      <sheetName val="Công_QC4"/>
      <sheetName val="Detail_QC_4"/>
      <sheetName val="Công_SS4"/>
      <sheetName val="Detail_SS4"/>
      <sheetName val="Công_FMa4"/>
      <sheetName val="Detail_FMa4"/>
      <sheetName val="Công_OF4"/>
      <sheetName val="Detail_OF4"/>
      <sheetName val="Công_Dlock4"/>
      <sheetName val="Detail_Dlock4"/>
      <sheetName val="Công_thôi_việc4"/>
      <sheetName val="Detail_thôi4"/>
      <sheetName val="7_Utility_Analysis4"/>
      <sheetName val="Operational_Activities4"/>
      <sheetName val="기초정보_코드4"/>
      <sheetName val="1__작성방식5"/>
      <sheetName val="조도계산서_(도서)4"/>
      <sheetName val="C1_3_14"/>
      <sheetName val="준검_내역서4"/>
      <sheetName val="F_월별기성수금현황_4"/>
      <sheetName val="A(Rev_3)3"/>
      <sheetName val="날개수량1_54"/>
      <sheetName val="표)CFT장_조직별_배분5"/>
      <sheetName val="20180214_P&amp;T5"/>
      <sheetName val="Ref__중점_추진_과제별_상세5"/>
      <sheetName val="2_6_三无_(2)4"/>
      <sheetName val="Worker_List4"/>
      <sheetName val="GB-IC_Villingen_GG4"/>
      <sheetName val="입찰내역_Ĉ3"/>
      <sheetName val="6월_공嚺㓶가4"/>
      <sheetName val="보고서_표4"/>
      <sheetName val="0__가정_및_결론4"/>
      <sheetName val="1__투자비4"/>
      <sheetName val="2__Rent-roll4"/>
      <sheetName val="3__Funding4"/>
      <sheetName val="4__운영수익4"/>
      <sheetName val="5__운영비용4"/>
      <sheetName val="6_1_N+1년차_NOI_산정4"/>
      <sheetName val="6__부동산매각4"/>
      <sheetName val="7__보유세4"/>
      <sheetName val="8__교통유발부담금4"/>
      <sheetName val="9__BS부속4"/>
      <sheetName val="10__CF(M)4"/>
      <sheetName val="11__IS(M)4"/>
      <sheetName val="12__BS(M)4"/>
      <sheetName val="14__IS(FY)4"/>
      <sheetName val="13__CF(FY)4"/>
      <sheetName val="15__BS(FY)4"/>
      <sheetName val="16__RE(FY)4"/>
      <sheetName val="M&amp;Q_Lead4"/>
      <sheetName val="4_1_월별_에너지_사용량4"/>
      <sheetName val="Bank_code5"/>
      <sheetName val="Drop-down_RAW5"/>
      <sheetName val="산자사_운전용품3"/>
      <sheetName val="업무_분류(Category)3"/>
      <sheetName val="전기요금_산출내역2"/>
      <sheetName val="3_일반사상3"/>
      <sheetName val="부재료_비교(11년_vs_10년)9"/>
      <sheetName val="Dashboard_Prevención_Riesgos_11"/>
      <sheetName val="TOP_KPIs_MTM11"/>
      <sheetName val="PLAN_DE_ACCION11"/>
      <sheetName val="Faro_de_Indicadores11"/>
      <sheetName val="Unidades_SAC-REVENDA13"/>
      <sheetName val="FornecM_Check11"/>
      <sheetName val="Hazards_Analysis-隐患分析11"/>
      <sheetName val="F08_-_Asia_Pac_Full_Year_Q312"/>
      <sheetName val="Top_Priorities12"/>
      <sheetName val="Listco_Stock12"/>
      <sheetName val="Intl_Purchase12"/>
      <sheetName val="FY_outlook12"/>
      <sheetName val="CY_outlook12"/>
      <sheetName val="Cash_metrics12"/>
      <sheetName val="P6_712"/>
      <sheetName val="DATOS_BASE11"/>
      <sheetName val="Estratificación_AI11"/>
      <sheetName val="condicion_inseguras11"/>
      <sheetName val="Actos_Inseguros11"/>
      <sheetName val="Control_de_incidentes11"/>
      <sheetName val="Plan_de_Acción11"/>
      <sheetName val="_손익기01_XL_x005f_x005f_x005f_x0000__x005f_x005f_11"/>
      <sheetName val="Issues_List_Payments11"/>
      <sheetName val="turnover_reason퇴직사유11"/>
      <sheetName val="Grafica_Actos11"/>
      <sheetName val="POC_LIST11"/>
      <sheetName val="Condiciones_SyE11"/>
      <sheetName val="DETALLE_MENSUAL11"/>
      <sheetName val="do_not_delete11"/>
      <sheetName val="APAC_S11"/>
      <sheetName val="APAC_N11"/>
      <sheetName val="Slide_output11"/>
      <sheetName val="[손익기01_XL??DePara11"/>
      <sheetName val="Farol_Metas11"/>
      <sheetName val="Mod_Relac_11"/>
      <sheetName val="REALxMETA_-_CERVEJA13"/>
      <sheetName val="REALxMETA_-_REFRI13"/>
      <sheetName val="Directrices_de_Metas_201711"/>
      <sheetName val="SKU_Basic_Data11"/>
      <sheetName val="Entity_Target11"/>
      <sheetName val="VALIDACION_DE_DATOS10"/>
      <sheetName val="Drop-down_List10"/>
      <sheetName val="by_DD10"/>
      <sheetName val="Check_Qualidade9"/>
      <sheetName val="De_Para10"/>
      <sheetName val="Check_Aderencia9"/>
      <sheetName val="Exchange_rate5"/>
      <sheetName val="TOWER_12TON4"/>
      <sheetName val="TOWER_10TON4"/>
      <sheetName val="JIB_CRANE,HOIST4"/>
      <sheetName val="첨부#2_Cash_Flow(현장작성)3"/>
      <sheetName val="1~9_하중계산2"/>
      <sheetName val="1_수인터널3"/>
      <sheetName val="시스템_개요_유효값2"/>
      <sheetName val="Basic_Information5"/>
      <sheetName val="JT3_0견적-구12"/>
      <sheetName val="진행_DATA_(2)4"/>
      <sheetName val="Dropbox_목록3"/>
      <sheetName val="Investment_Category2"/>
      <sheetName val="Base_Farol9"/>
      <sheetName val="Gerencial_IL9"/>
      <sheetName val="Ventas_Campo9"/>
      <sheetName val="ACTOS_POR_RIESGO9"/>
      <sheetName val="drop_lists9"/>
      <sheetName val="MRL_NON_SUPPLY_URU9"/>
      <sheetName val="AIIM_-_Empresas_Ext_20129"/>
      <sheetName val="KPIs_Hana9"/>
      <sheetName val="Catalago_de_refacciones_9"/>
      <sheetName val="Existencias_al_07-Nov-20129"/>
      <sheetName val="Check_GG9"/>
      <sheetName val="_손익기01_XL_x005f_x0000__x09"/>
      <sheetName val="요일_테이블_9"/>
      <sheetName val="Nombre_de_SOP9"/>
      <sheetName val="_mngt_Pillar9"/>
      <sheetName val="2__Indicadores9"/>
      <sheetName val="Ta_9"/>
      <sheetName val="Sheet3_(2)9"/>
      <sheetName val="Lao_&amp;_Cam9"/>
      <sheetName val="Hoegaarden_20199"/>
      <sheetName val="Lao_&amp;_Cam_20199"/>
      <sheetName val="Malaysia_20199"/>
      <sheetName val="Singapore_20199"/>
      <sheetName val="Sheet2_(2)9"/>
      <sheetName val="Other_Listings9"/>
      <sheetName val="Lista_de_Entrenamientos_RSO9"/>
      <sheetName val="Tablero_SDG12"/>
      <sheetName val="Lista_Areas12"/>
      <sheetName val="One_Page12"/>
      <sheetName val="Sub-Productos_HN10"/>
      <sheetName val="Eficiencia_linea9"/>
      <sheetName val="Pauta_RPS_Distribuição8"/>
      <sheetName val="Estoque_(2)8"/>
      <sheetName val="DATOS_DE_VALIDACIÓN8"/>
      <sheetName val="Datos_con8"/>
      <sheetName val="_Datos_Cond_8"/>
      <sheetName val="Comp_Inseguros8"/>
      <sheetName val="BNR_2012_в_ящике8"/>
      <sheetName val="INGRESO_(2)8"/>
      <sheetName val="PG-K1610_(UEN_Areas)MNG8"/>
      <sheetName val="DATOS_GEN_8"/>
      <sheetName val="NUEVOS_CRITERIOS8"/>
      <sheetName val="Condiciones_Agua8"/>
      <sheetName val="DO_NOT_MOVE8"/>
      <sheetName val="Dropdown_list7"/>
      <sheetName val="Control_de_Fallas7"/>
      <sheetName val="Setup_for_Templates7"/>
      <sheetName val="Datos_emp7"/>
      <sheetName val="Drop_list7"/>
      <sheetName val="FX_Rates7"/>
      <sheetName val="Proced_7"/>
      <sheetName val="Cut_Machine_Summary7"/>
      <sheetName val="Validation_lists7"/>
      <sheetName val="__한국_AMP_ASP-23_판㧤가격__7"/>
      <sheetName val="11_䡸화채무줝ⴌ(AFS,HTM)087"/>
      <sheetName val="TIPO_DE_ACTO7"/>
      <sheetName val="CRITICIDAD_DE_CI7"/>
      <sheetName val="Catálogo_de_CI7"/>
      <sheetName val="%_CUMPLIMIENTO7"/>
      <sheetName val="%_cumplimiento_7"/>
      <sheetName val="CALIFICACIONES_20195"/>
      <sheetName val="Lev_4_360_deg_check_Crit_Task5"/>
      <sheetName val="Lev_4_Chk_IC_Stock_Crit_Task5"/>
      <sheetName val="Lev_4_WMS_Putaway_Crit_Task5"/>
      <sheetName val="Vagas_x_Candidatos7"/>
      <sheetName val="Listas_y_equipos_a_evaluar7"/>
      <sheetName val="Data_Reporte7"/>
      <sheetName val="Read_me7"/>
      <sheetName val="Champions_List6"/>
      <sheetName val="NAZ_Strategy5"/>
      <sheetName val="Daily_Dashboard7"/>
      <sheetName val="Mapeo_SKUs10"/>
      <sheetName val="Vol_(Ds)10"/>
      <sheetName val="Vol_(Ka)10"/>
      <sheetName val="Vol_(Oth)10"/>
      <sheetName val="Vol_(Oth)_Cortesias10"/>
      <sheetName val="INPUT-Cust_Sugg_Margin(Ds)10"/>
      <sheetName val="On_Invoice10"/>
      <sheetName val="INPUT-Cust_Sugg_Margin(Ka)10"/>
      <sheetName val="INPUT_SKUs10"/>
      <sheetName val="Brand_P&amp;L7"/>
      <sheetName val="SUPERMONT_P8"/>
      <sheetName val="Data_selection6"/>
      <sheetName val="1_6"/>
      <sheetName val="Customer_&amp;_SO5"/>
      <sheetName val="Session_Proposal5"/>
      <sheetName val="Dropdown_Menu3"/>
      <sheetName val="Análise_Tempos4"/>
      <sheetName val="Incentivo_Automóvil4"/>
      <sheetName val="PDA_BOP4"/>
      <sheetName val="Validação_de_Dados4"/>
      <sheetName val="No_llenar_4"/>
      <sheetName val="유류대_현황3"/>
      <sheetName val="1__템플릿3"/>
      <sheetName val="2__작성_참고사항3"/>
      <sheetName val="mapping_(2)3"/>
      <sheetName val="Ref_3"/>
      <sheetName val="Lista_de_Motivos4"/>
      <sheetName val="Ponto_Crítico_-_Resp__Plano4"/>
      <sheetName val="Lista_Funcionários_(2)4"/>
      <sheetName val="2_3_Projects_Status3"/>
      <sheetName val="PROCESS_MD4"/>
      <sheetName val="Consolidated_Project_List3"/>
      <sheetName val="Fixed_Cost3"/>
      <sheetName val="Project_List3"/>
      <sheetName val="Выпадающие_списки3"/>
      <sheetName val="Listas_desplegables3"/>
      <sheetName val="Resumen_General3"/>
      <sheetName val="Cátalogo_de_CI3"/>
      <sheetName val="Hoja2_(2)3"/>
      <sheetName val="Technology_check_list3"/>
      <sheetName val="Status_de_Usuario3"/>
      <sheetName val="Actos_y_Condiciones_3"/>
      <sheetName val="NO_BORRAR3"/>
      <sheetName val="Formato_checklist_Lab3"/>
      <sheetName val="SOP_Freshness2"/>
      <sheetName val="PAINEL_RECOLHA_CRÉDITO4"/>
      <sheetName val="Gráficos_-_CDD4"/>
      <sheetName val="3__Training_&amp;_travel5"/>
      <sheetName val="Dimension_IN_Sheet1!D19122"/>
      <sheetName val="Dimension_IN_19122"/>
      <sheetName val="Manage_to_Sustain2"/>
      <sheetName val="Meeting_List2"/>
      <sheetName val="Packages_Info2"/>
      <sheetName val="Preferred_Option2"/>
      <sheetName val="입문_트랜드(종합분석)2"/>
      <sheetName val="Master_CE2"/>
      <sheetName val="CE_Final_2"/>
      <sheetName val="OL_LIST2"/>
      <sheetName val="YTD_GUEST_LIST2"/>
      <sheetName val="Session_Full_list2"/>
      <sheetName val="FOOD_PAYMENT_update_JAN2"/>
      <sheetName val="Rate_card_F19_2"/>
      <sheetName val="Master_Plan__(update)2"/>
      <sheetName val="The_KPI_2"/>
      <sheetName val="Mentor_Plan_2"/>
      <sheetName val="Master_Plan_2"/>
      <sheetName val="Tier_1_GOV_PC_Networking_2"/>
      <sheetName val="Tier_1_LBO_2"/>
      <sheetName val="2020_MMR122"/>
      <sheetName val="Razão_Social2"/>
      <sheetName val="방배동내역_(총괄)2"/>
      <sheetName val="BSD_(2)2"/>
      <sheetName val="SRS_월별_BS3"/>
      <sheetName val="평가&amp;선급_미지급3"/>
      <sheetName val="EXC_IND2"/>
      <sheetName val="COLOR별_인쇄2"/>
      <sheetName val="Mot_So_Thuat_Ngu_EN-VI3"/>
      <sheetName val="노원열병합__건축공사기성내역서2"/>
      <sheetName val="3_공통공사대비2"/>
      <sheetName val="현장관리비_산출내역2"/>
      <sheetName val="무형자산_LS112"/>
      <sheetName val="NG_Item4"/>
      <sheetName val="NCR_HEC_6_Opens2"/>
      <sheetName val="NCR_HEC_4_Open_&amp;_Vendor_2_Open2"/>
      <sheetName val="수량산출서_(2)2"/>
      <sheetName val="첨부1-2__증감사유내역서(을)1"/>
      <sheetName val="경계석,골재외_(2)1"/>
      <sheetName val="Ref__Spec_Review_양식4"/>
      <sheetName val="Ref__시험항목_테이블4"/>
      <sheetName val="Ref__Search_Result_테이블4"/>
      <sheetName val="2_FM_Fee_2차년도2"/>
      <sheetName val="3_감가장비2"/>
      <sheetName val="10_예산_및_원가_계획(02년)2"/>
      <sheetName val="경영비율_3"/>
      <sheetName val="20년_동일기간_소테마2"/>
      <sheetName val="07_012"/>
      <sheetName val="3_판관비명세서1"/>
      <sheetName val="유효성_목록1"/>
      <sheetName val="총_원가계산1"/>
      <sheetName val="1_설계조건1"/>
      <sheetName val="1_설계기준1"/>
      <sheetName val="UPA(Part_C,D,E,G,H)1"/>
      <sheetName val="UPA(Part_F)1"/>
      <sheetName val="일위대가_(Part_C,D,E,G,H)1"/>
      <sheetName val="완성차_미수금1"/>
      <sheetName val="Process_Li1"/>
      <sheetName val="sum_1"/>
      <sheetName val="운영경비_세부작성근거2"/>
      <sheetName val="카테고리_분류_(수정X)1"/>
      <sheetName val="▶_일일출역_집계_202108191433161"/>
      <sheetName val="Ⅴ-2_공종별내역1"/>
      <sheetName val="ITB_COST1"/>
      <sheetName val="견적_(2)1"/>
      <sheetName val="실행내역서_1"/>
      <sheetName val="Ext__Stone-P"/>
      <sheetName val="Process_Li 鸴"/>
      <sheetName val="단양_00_아파트-세부내역1"/>
      <sheetName val="Rate_Analysis"/>
      <sheetName val="_손익기01_XL_x005f_x0000__x005f_x005f_x0"/>
      <sheetName val="KPIs-_TTP,_PTP,_People_Turnover"/>
      <sheetName val="1월_목표"/>
      <sheetName val="FILIAL_MINAS"/>
      <sheetName val="info_for_drop_box"/>
      <sheetName val="POCM_배송지"/>
      <sheetName val="데이터_유효성_목록"/>
      <sheetName val="Mapping_"/>
      <sheetName val="WS_DB"/>
      <sheetName val="Region_"/>
      <sheetName val="SKU_DB"/>
      <sheetName val="10_麦汁CIP清洗标准水量"/>
      <sheetName val="Tipo_Viaje"/>
      <sheetName val="Flota_y_Personal"/>
      <sheetName val="SAP_info"/>
      <sheetName val="Target_Book"/>
      <sheetName val="Name_List"/>
      <sheetName val="Ref_New_Contract_Model"/>
      <sheetName val="DIAGEO_VENTURE"/>
      <sheetName val="MAESTRO_CODIGOS"/>
      <sheetName val="Por_regional"/>
      <sheetName val="Por_Proveedor"/>
      <sheetName val="X_Categoria"/>
      <sheetName val="Por_Vendedor"/>
      <sheetName val="Por_Mayoristas"/>
      <sheetName val="Por_Cliente"/>
      <sheetName val="Por_producto"/>
      <sheetName val="Por_producto_cant_"/>
      <sheetName val="Por_producto_cant__(2)"/>
      <sheetName val="Por_Vendedor_X_Ciudad"/>
      <sheetName val="Act_por_cliente"/>
      <sheetName val="Act_por_Proveedor"/>
      <sheetName val="Act_por_producto"/>
      <sheetName val="입찰내역_Ĉ_x005f_x0000__x005f_x0000_ᇆ"/>
      <sheetName val="입찰내역_Ĉ_x005f_x0000__x005f_x0000_ᇆ"/>
      <sheetName val="제임스짐_예상매출_for_2023B"/>
      <sheetName val="ACTIVITY_CODE_&amp;_AREA_LIST"/>
      <sheetName val="예산표_"/>
      <sheetName val="PAINT_(2)"/>
      <sheetName val="물량표_(2)"/>
      <sheetName val="Noncurrent_assets"/>
      <sheetName val="1)_MALL"/>
      <sheetName val="2_Consideration_sheet1"/>
      <sheetName val="3__Export1"/>
      <sheetName val="표지_(3)"/>
      <sheetName val="Act_vs__budget"/>
      <sheetName val="a_연결정리"/>
      <sheetName val="2021_KPI_SD_(대표이사)"/>
      <sheetName val="07~08_PL"/>
      <sheetName val="_손익기01_XL__DePara1"/>
      <sheetName val="Ⅱ_추정종합"/>
      <sheetName val="단독빌딩_총합계본"/>
      <sheetName val="96보완계획7_121"/>
      <sheetName val="member_design"/>
      <sheetName val="design_criteria"/>
      <sheetName val="working_load_at_the_btm_ft_"/>
      <sheetName val="plan&amp;section_of_foundation"/>
      <sheetName val="97_사업추정(W؀"/>
      <sheetName val="Requirement(Work_Crew)"/>
      <sheetName val="3BL공동구_수량"/>
      <sheetName val="NON_SLIP"/>
      <sheetName val="8호선_원가_투입내역"/>
      <sheetName val="Criteria_List"/>
      <sheetName val="DATA_SHEET(절대삭제_금지)"/>
      <sheetName val="Spreadsheet_Information"/>
      <sheetName val="VS_P-Q"/>
      <sheetName val="Electrical_Load_List"/>
      <sheetName val="12년_CF౮_x0002_저殑"/>
      <sheetName val="6PILE__(_xddf4_ㆥ堀"/>
      <sheetName val="6PILE__(౮_x0002_저"/>
      <sheetName val="말뚝지지력산정"/>
      <sheetName val="_손익기01_XL_x005f_x0000__x8"/>
      <sheetName val="_x0000__x005f"/>
      <sheetName val="_x005f_x0018__x005f"/>
      <sheetName val="[손익기01_XL_x0000__x0000_DePara12"/>
      <sheetName val="_손익기01_XL_x0000__x0000_DePara12"/>
      <sheetName val="_손익기01_XL_x005f_x0000__x9"/>
      <sheetName val="_손익기01_XL_x0000__x07"/>
      <sheetName val="[손익기01_XL_x0000__x0000_DePara13"/>
      <sheetName val="_손익기01_XL_x0000__x0000_DePara13"/>
      <sheetName val="_손익기01_XL_x005f_x0000__10"/>
      <sheetName val="_손익기01_XL_x0000__x08"/>
      <sheetName val="종합표양식(품의좲?쒥⠀쮎_x001d__x0000__x0000_"/>
      <sheetName val="_x0000__x00_x0000__x0000__x0000_"/>
      <sheetName val="[손익기01_XL_x0000__x0000_DePara14"/>
      <sheetName val="_손익기01_XL_x0000__x0000_DePara14"/>
      <sheetName val="_손익기01_XL_x005f_x0000__11"/>
      <sheetName val="_손익기01_XL_x0000__x09"/>
      <sheetName val="6PILE__(?ㆥ堀"/>
      <sheetName val="Tr.C 당일자금판"/>
      <sheetName val="적용단가표 (2)"/>
      <sheetName val="Attach 4-18"/>
      <sheetName val="_손익기01_XL__DePara2"/>
      <sheetName val="_손익기01_XL__DePara3"/>
      <sheetName val="_손익기01_XL__DePara4"/>
      <sheetName val="_손익기01_XL__DePara5"/>
      <sheetName val="_손익기01_XL__DePara6"/>
      <sheetName val="_손익기01_XL__DePara7"/>
      <sheetName val="_손익기01_XL__DePara8"/>
      <sheetName val="Planilha_relts__eos7"/>
      <sheetName val="_손익기01_XL__DePara9"/>
      <sheetName val="슬래_"/>
      <sheetName val="_손익기01_XL__DePara10"/>
      <sheetName val="_x005f_x0000__x00_x0000__x0000_Ԁ"/>
      <sheetName val="Notes"/>
      <sheetName val="내역서(토목)"/>
      <sheetName val="별제권_정리담보권"/>
      <sheetName val="범한여행"/>
      <sheetName val="자본금99(수)"/>
      <sheetName val="KENworth"/>
      <sheetName val="8월현금흐름표"/>
      <sheetName val="12"/>
      <sheetName val="※유형구분분류 (2)"/>
      <sheetName val="Ref1"/>
      <sheetName val="1-8"/>
      <sheetName val="HK1.83站合力改善 "/>
      <sheetName val="제조원가"/>
      <sheetName val="원료 CODE"/>
      <sheetName val="계열사현황종합"/>
      <sheetName val="생계99ST"/>
      <sheetName val="SHAFT"/>
      <sheetName val="실토지와투자자12.6.30"/>
      <sheetName val="REQUEST"/>
      <sheetName val="VC"/>
      <sheetName val="간접비 총괄표"/>
      <sheetName val="구의33고"/>
      <sheetName val="D1300 자삽"/>
      <sheetName val="기본자료"/>
      <sheetName val="기성내역"/>
      <sheetName val="총괄집계 "/>
      <sheetName val="입찰내역서(통합)A3"/>
      <sheetName val="입찰내역서(기본)"/>
      <sheetName val="입찰내역서(확장)"/>
      <sheetName val="2.하중산정"/>
      <sheetName val="C_d"/>
      <sheetName val="tabulation (comparison)"/>
      <sheetName val="TIE-INS"/>
      <sheetName val="MAT_N048"/>
      <sheetName val="HYDROTEST DIAGRAM"/>
      <sheetName val="GAE8'97"/>
      <sheetName val="Process Piping"/>
      <sheetName val="BREAKDOWN(철거설치)"/>
      <sheetName val="SITE DEV,T"/>
      <sheetName val="Equipt Rental"/>
      <sheetName val="GRAND SUM"/>
      <sheetName val="Rates"/>
      <sheetName val="BOQ"/>
      <sheetName val="FINANCIAL (FLR)"/>
      <sheetName val="Land Dev't. Ph-1"/>
      <sheetName val="4-Lane bridge"/>
      <sheetName val="Hac.Lots"/>
      <sheetName val="Res.Lots"/>
      <sheetName val="Spine Road"/>
      <sheetName val="Personnel"/>
      <sheetName val="자재단가조사표-수목"/>
      <sheetName val="チューブ仕様"/>
      <sheetName val="石炭性状"/>
      <sheetName val="Tabulation "/>
      <sheetName val="TOSHIBA-Structure"/>
      <sheetName val="PBS"/>
      <sheetName val="8.PILE  (돌출)"/>
      <sheetName val="기계내역서"/>
      <sheetName val="BM"/>
      <sheetName val="Code 07"/>
      <sheetName val="villa"/>
      <sheetName val="project management"/>
      <sheetName val="지수적용공사비내역서"/>
      <sheetName val="ORIGN"/>
      <sheetName val="Price Summary (2)"/>
      <sheetName val="B1"/>
      <sheetName val="LBR"/>
      <sheetName val="MTL"/>
      <sheetName val="EQT"/>
      <sheetName val="Wts"/>
      <sheetName val="BTRP-230kV.wts"/>
      <sheetName val="bill 2"/>
      <sheetName val="도기류"/>
      <sheetName val="prod-rates2"/>
      <sheetName val="corbeldatail"/>
      <sheetName val="TYPE-A"/>
      <sheetName val="INDIRECT"/>
      <sheetName val="03-13 Anticipated"/>
      <sheetName val="(COV)"/>
      <sheetName val="subcon sched"/>
      <sheetName val="5-Digit"/>
      <sheetName val="eqpmt"/>
      <sheetName val="mat'ls"/>
      <sheetName val="Schedule S-Curve Revision#3"/>
      <sheetName val="Bill No. 2 July 6"/>
      <sheetName val="pile Fabrication"/>
      <sheetName val="main report"/>
      <sheetName val="Derive"/>
      <sheetName val="DESBASTE"/>
      <sheetName val="1_종합손익탬됊혁酧_x0000__x0000_ꠀⅱ"/>
      <sheetName val="1_종합손익훬酧_x0000__x0000_怀ꇨ吖ᑌ"/>
      <sheetName val="1_종합손익훬酧_x0000__x0000_㠀ᥖ吨ᑌ"/>
      <sheetName val="1_종합손익(_x0000__x0000_ᥨᗊ"/>
      <sheetName val="1_종합손익(葔ǯૐŖ"/>
      <sheetName val="1_종합손익(_x0000__x0000__x0005__x0000_"/>
      <sheetName val="변경전"/>
      <sheetName val="일위대가D"/>
      <sheetName val="청산공사"/>
      <sheetName val="을"/>
      <sheetName val="개산견적원본"/>
      <sheetName val="로우프"/>
      <sheetName val="중기사용료"/>
      <sheetName val="통합ﶻ%"/>
      <sheetName val="통합৘"/>
      <sheetName val="anti-termite"/>
      <sheetName val="Manpower costs + data"/>
      <sheetName val="10.Linkway"/>
      <sheetName val="Project Name"/>
      <sheetName val="Deliver Date"/>
      <sheetName val="Staff"/>
      <sheetName val="Prelim"/>
      <sheetName val="동력"/>
      <sheetName val="변압기"/>
      <sheetName val="단"/>
      <sheetName val="투찰가"/>
      <sheetName val="차도부연장현황"/>
      <sheetName val="____01_XL_x005f_x005f_x005f_x0000__x005f_x005f__2"/>
      <sheetName val="____01_XL_x005f_x005f_x005f_x0000__x005f_x005f__3"/>
      <sheetName val="____01_XL_x005f_x005f_x005f_x0000__x005f_x005f__4"/>
      <sheetName val="____01_XL_x005f_x005f_x005f_x0000__x005f_x005f__5"/>
      <sheetName val="____01_XL_x005f_x005f_x005f_x0000__x005f_x005f__6"/>
      <sheetName val="____01_XL_x005f_x005f_x005f_x0000__x005f_x005f__7"/>
      <sheetName val="U-TYPE(1)"/>
      <sheetName val="Data추가sheet"/>
      <sheetName val="시설이용권명세서"/>
      <sheetName val="NBCF"/>
      <sheetName val="INVDAYS"/>
      <sheetName val="개요"/>
      <sheetName val="계획대비 실적_조정후"/>
      <sheetName val="투자비 상세(180117_김인태+2F 리모델링 추가)"/>
      <sheetName val="대비"/>
      <sheetName val="Sheet⤖_x0000_崒"/>
      <sheetName val="총괄갑 "/>
      <sheetName val="가압장(토목)"/>
      <sheetName val="재고선1"/>
      <sheetName val="연차일수"/>
      <sheetName val="주요지표"/>
      <sheetName val=" PL"/>
      <sheetName val="매출액명세"/>
      <sheetName val="매출원가명세"/>
      <sheetName val="매출이익명세"/>
      <sheetName val="판관비-공통"/>
      <sheetName val="판관비-기타경비명세"/>
      <sheetName val="기타&amp;특별수지 명세"/>
      <sheetName val="매출채권산출"/>
      <sheetName val="재고자산산출"/>
      <sheetName val="수입계획"/>
      <sheetName val="매입채무산출"/>
      <sheetName val="이자비용"/>
      <sheetName val="BS계정"/>
      <sheetName val="ROIC"/>
      <sheetName val=" Cash Flow"/>
      <sheetName val="Sensible Indicator"/>
      <sheetName val="2001Org"/>
      <sheetName val="신규공종"/>
      <sheetName val="샤워실위생"/>
      <sheetName val="H_P견적(참조)"/>
      <sheetName val="공사예산하조서(O_K)"/>
      <sheetName val="일위대가1"/>
      <sheetName val="익산"/>
      <sheetName val="인제내역"/>
      <sheetName val="95년12월말"/>
      <sheetName val="수리결과"/>
      <sheetName val="design load"/>
      <sheetName val="stability check"/>
      <sheetName val="설계기준"/>
      <sheetName val="내역1"/>
      <sheetName val="이자율"/>
      <sheetName val="AN-01"/>
      <sheetName val="신규단가 #1"/>
      <sheetName val="외장판넬 내역서"/>
      <sheetName val="_손익기01_XL_x005f_x0000__x005f_x005f_x1"/>
      <sheetName val="_손익기01_XL_x005f_x0000__x005f_x005f_x2"/>
      <sheetName val="_손익기01_XL_x005f_x0000__x005f_x005f_x3"/>
      <sheetName val="Planilha_relts?eos7"/>
      <sheetName val="_손익기01_XL_x005f_x0000__x005f_x005f_x4"/>
      <sheetName val="_손익기01_XL_x005f_x0000__x005f_x005f_x5"/>
      <sheetName val="_손익기01_XL_x005f_x0000__x005f_x005f_x6"/>
      <sheetName val="_손익기01_XL_x005f_x0000__x005f_x005f_x7"/>
      <sheetName val="_손익기01_XL_x005f_x0000__x005f_x005f_x8"/>
      <sheetName val="_손익기01_XL_x005f_x0000__x005f_x005f_x9"/>
      <sheetName val="_손익기01_XL_x005f_x0000__x005f_x005f_10"/>
      <sheetName val="스테인리스 (일위대가)"/>
      <sheetName val="스테인리스 (일위대가) 요약"/>
      <sheetName val="Field"/>
      <sheetName val="TA10"/>
      <sheetName val="XL4Poppy"/>
      <sheetName val="_x0000_ "/>
      <sheetName val="_x0000__x0009_"/>
      <sheetName val="은아수_05월 주간 및 요일별 평균매출"/>
      <sheetName val="C&amp;C유형"/>
      <sheetName val="C021(SEAT ASSY) "/>
      <sheetName val="PCS"/>
      <sheetName val="업무연덽_(2)9"/>
      <sheetName val="일위_파일"/>
      <sheetName val="Ma CV"/>
      <sheetName val="공정-일반MG"/>
      <sheetName val="아파트진행률"/>
      <sheetName val="운행일지"/>
      <sheetName val="상품보조수불"/>
      <sheetName val="ARP"/>
      <sheetName val="1-1.교육 일정표(지점도약)"/>
      <sheetName val="전체"/>
      <sheetName val="DUTY%"/>
      <sheetName val="H3500"/>
      <sheetName val="전체공정표"/>
      <sheetName val="실행간萹_x0014_旄"/>
      <sheetName val="실행간萹į㿔"/>
      <sheetName val="실행간萹⼴"/>
      <sheetName val="실행간萹%ㄤ"/>
      <sheetName val="실행간萹ç⽄"/>
      <sheetName val="실행간萹Ľ≌"/>
      <sheetName val="실행간萹Ăㇴ"/>
      <sheetName val="실행간萹à⌌"/>
      <sheetName val="실행간萹Ó㋄"/>
      <sheetName val="실행간萹Ĭ㈤"/>
      <sheetName val="실행간_x0000__x0000__x0005_"/>
      <sheetName val="Report"/>
      <sheetName val="손익(11)_수출포_x0000_"/>
      <sheetName val="영업.일1"/>
      <sheetName val="제조원가계산"/>
      <sheetName val="품목별매출"/>
      <sheetName val="A-41"/>
      <sheetName val="7_공사비집记ଯ_x0000_ᤅ೟翷_x0000_"/>
      <sheetName val="OUTER_AREA(_x0000__x0000_Ԁ_x0000_ "/>
      <sheetName val="OUTER_AREA(_x0000__x0000_Ԁ_x0000_퀀"/>
      <sheetName val="OUTER_AREA(_x0000__x0000_Ԁ_x0000_ꀀ"/>
      <sheetName val="OUTER_AREA(_x0000__x0000_Ԁ_x0000_䀀"/>
      <sheetName val="기성청구°_x0000__x0000__x0000_"/>
      <sheetName val="0000"/>
      <sheetName val="장비 (2)"/>
      <sheetName val="계림(함평)"/>
      <sheetName val="계림(장성)"/>
      <sheetName val="3. GROUNDING SYSTEM"/>
      <sheetName val="단가입력창"/>
      <sheetName val="종합표양식(품의_&amp;¾"/>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sheetData sheetId="2032" refreshError="1"/>
      <sheetData sheetId="2033" refreshError="1"/>
      <sheetData sheetId="2034" refreshError="1"/>
      <sheetData sheetId="2035" refreshError="1"/>
      <sheetData sheetId="2036" refreshError="1"/>
      <sheetData sheetId="2037" refreshError="1"/>
      <sheetData sheetId="2038"/>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sheetData sheetId="2543" refreshError="1"/>
      <sheetData sheetId="2544" refreshError="1"/>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refreshError="1"/>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refreshError="1"/>
      <sheetData sheetId="2668"/>
      <sheetData sheetId="2669"/>
      <sheetData sheetId="2670"/>
      <sheetData sheetId="2671"/>
      <sheetData sheetId="2672"/>
      <sheetData sheetId="2673"/>
      <sheetData sheetId="2674"/>
      <sheetData sheetId="2675"/>
      <sheetData sheetId="2676"/>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refreshError="1"/>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refreshError="1"/>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refreshError="1"/>
      <sheetData sheetId="2829" refreshError="1"/>
      <sheetData sheetId="2830" refreshError="1"/>
      <sheetData sheetId="2831" refreshError="1"/>
      <sheetData sheetId="2832" refreshError="1"/>
      <sheetData sheetId="2833"/>
      <sheetData sheetId="2834"/>
      <sheetData sheetId="2835"/>
      <sheetData sheetId="2836"/>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refreshError="1"/>
      <sheetData sheetId="2848" refreshError="1"/>
      <sheetData sheetId="2849" refreshError="1"/>
      <sheetData sheetId="2850" refreshError="1"/>
      <sheetData sheetId="2851" refreshError="1"/>
      <sheetData sheetId="2852" refreshError="1"/>
      <sheetData sheetId="2853"/>
      <sheetData sheetId="2854" refreshError="1"/>
      <sheetData sheetId="2855" refreshError="1"/>
      <sheetData sheetId="2856" refreshError="1"/>
      <sheetData sheetId="2857" refreshError="1"/>
      <sheetData sheetId="2858"/>
      <sheetData sheetId="2859" refreshError="1"/>
      <sheetData sheetId="2860" refreshError="1"/>
      <sheetData sheetId="2861" refreshError="1"/>
      <sheetData sheetId="2862" refreshError="1"/>
      <sheetData sheetId="2863" refreshError="1"/>
      <sheetData sheetId="2864" refreshError="1"/>
      <sheetData sheetId="2865" refreshError="1"/>
      <sheetData sheetId="2866"/>
      <sheetData sheetId="2867"/>
      <sheetData sheetId="2868"/>
      <sheetData sheetId="2869"/>
      <sheetData sheetId="2870"/>
      <sheetData sheetId="2871"/>
      <sheetData sheetId="2872"/>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sheetData sheetId="2949"/>
      <sheetData sheetId="2950"/>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sheetData sheetId="2960" refreshError="1"/>
      <sheetData sheetId="2961" refreshError="1"/>
      <sheetData sheetId="2962" refreshError="1"/>
      <sheetData sheetId="2963" refreshError="1"/>
      <sheetData sheetId="2964"/>
      <sheetData sheetId="2965"/>
      <sheetData sheetId="2966" refreshError="1"/>
      <sheetData sheetId="2967" refreshError="1"/>
      <sheetData sheetId="2968" refreshError="1"/>
      <sheetData sheetId="2969" refreshError="1"/>
      <sheetData sheetId="2970"/>
      <sheetData sheetId="2971"/>
      <sheetData sheetId="2972"/>
      <sheetData sheetId="2973" refreshError="1"/>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sheetData sheetId="3084"/>
      <sheetData sheetId="3085"/>
      <sheetData sheetId="3086"/>
      <sheetData sheetId="3087" refreshError="1"/>
      <sheetData sheetId="3088" refreshError="1"/>
      <sheetData sheetId="3089"/>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refreshError="1"/>
      <sheetData sheetId="3139"/>
      <sheetData sheetId="3140"/>
      <sheetData sheetId="3141"/>
      <sheetData sheetId="3142"/>
      <sheetData sheetId="3143"/>
      <sheetData sheetId="3144"/>
      <sheetData sheetId="3145"/>
      <sheetData sheetId="3146"/>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sheetData sheetId="3159"/>
      <sheetData sheetId="3160"/>
      <sheetData sheetId="3161"/>
      <sheetData sheetId="3162"/>
      <sheetData sheetId="3163"/>
      <sheetData sheetId="3164"/>
      <sheetData sheetId="3165" refreshError="1"/>
      <sheetData sheetId="3166"/>
      <sheetData sheetId="3167"/>
      <sheetData sheetId="3168"/>
      <sheetData sheetId="3169"/>
      <sheetData sheetId="3170"/>
      <sheetData sheetId="3171"/>
      <sheetData sheetId="3172" refreshError="1"/>
      <sheetData sheetId="3173" refreshError="1"/>
      <sheetData sheetId="3174" refreshError="1"/>
      <sheetData sheetId="3175" refreshError="1"/>
      <sheetData sheetId="3176" refreshError="1"/>
      <sheetData sheetId="3177"/>
      <sheetData sheetId="3178"/>
      <sheetData sheetId="3179"/>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refreshError="1"/>
      <sheetData sheetId="3300" refreshError="1"/>
      <sheetData sheetId="3301" refreshError="1"/>
      <sheetData sheetId="3302" refreshError="1"/>
      <sheetData sheetId="3303" refreshError="1"/>
      <sheetData sheetId="3304" refreshError="1"/>
      <sheetData sheetId="3305"/>
      <sheetData sheetId="3306"/>
      <sheetData sheetId="3307"/>
      <sheetData sheetId="3308"/>
      <sheetData sheetId="3309"/>
      <sheetData sheetId="3310"/>
      <sheetData sheetId="3311"/>
      <sheetData sheetId="3312"/>
      <sheetData sheetId="3313"/>
      <sheetData sheetId="3314"/>
      <sheetData sheetId="3315"/>
      <sheetData sheetId="3316" refreshError="1"/>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refreshError="1"/>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sheetData sheetId="3453"/>
      <sheetData sheetId="3454"/>
      <sheetData sheetId="3455"/>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refreshError="1"/>
      <sheetData sheetId="3680" refreshError="1"/>
      <sheetData sheetId="3681"/>
      <sheetData sheetId="3682" refreshError="1"/>
      <sheetData sheetId="3683" refreshError="1"/>
      <sheetData sheetId="3684"/>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sheetData sheetId="4122"/>
      <sheetData sheetId="4123"/>
      <sheetData sheetId="4124"/>
      <sheetData sheetId="4125"/>
      <sheetData sheetId="4126"/>
      <sheetData sheetId="4127"/>
      <sheetData sheetId="4128"/>
      <sheetData sheetId="4129"/>
      <sheetData sheetId="4130"/>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sheetData sheetId="4143"/>
      <sheetData sheetId="4144"/>
      <sheetData sheetId="4145" refreshError="1"/>
      <sheetData sheetId="4146" refreshError="1"/>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refreshError="1"/>
      <sheetData sheetId="4345" refreshError="1"/>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sheetData sheetId="4453"/>
      <sheetData sheetId="4454"/>
      <sheetData sheetId="4455"/>
      <sheetData sheetId="4456"/>
      <sheetData sheetId="4457"/>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refreshError="1"/>
      <sheetData sheetId="4518" refreshError="1"/>
      <sheetData sheetId="4519" refreshError="1"/>
      <sheetData sheetId="4520" refreshError="1"/>
      <sheetData sheetId="4521" refreshError="1"/>
      <sheetData sheetId="4522"/>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refreshError="1"/>
      <sheetData sheetId="4861" refreshError="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sheetData sheetId="5212"/>
      <sheetData sheetId="5213" refreshError="1"/>
      <sheetData sheetId="5214" refreshError="1"/>
      <sheetData sheetId="5215" refreshError="1"/>
      <sheetData sheetId="5216" refreshError="1"/>
      <sheetData sheetId="5217" refreshError="1"/>
      <sheetData sheetId="5218"/>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sheetData sheetId="5314"/>
      <sheetData sheetId="5315" refreshError="1"/>
      <sheetData sheetId="5316" refreshError="1"/>
      <sheetData sheetId="5317" refreshError="1"/>
      <sheetData sheetId="5318" refreshError="1"/>
      <sheetData sheetId="5319" refreshError="1"/>
      <sheetData sheetId="5320"/>
      <sheetData sheetId="5321"/>
      <sheetData sheetId="5322"/>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sheetData sheetId="5394"/>
      <sheetData sheetId="5395"/>
      <sheetData sheetId="5396" refreshError="1"/>
      <sheetData sheetId="5397" refreshError="1"/>
      <sheetData sheetId="5398" refreshError="1"/>
      <sheetData sheetId="5399" refreshError="1"/>
      <sheetData sheetId="5400" refreshError="1"/>
      <sheetData sheetId="5401"/>
      <sheetData sheetId="5402" refreshError="1"/>
      <sheetData sheetId="5403" refreshError="1"/>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sheetData sheetId="5472"/>
      <sheetData sheetId="5473"/>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sheetData sheetId="5498"/>
      <sheetData sheetId="5499" refreshError="1"/>
      <sheetData sheetId="5500" refreshError="1"/>
      <sheetData sheetId="5501" refreshError="1"/>
      <sheetData sheetId="5502" refreshError="1"/>
      <sheetData sheetId="5503" refreshError="1"/>
      <sheetData sheetId="5504" refreshError="1"/>
      <sheetData sheetId="5505" refreshError="1"/>
      <sheetData sheetId="5506"/>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sheetData sheetId="5522"/>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sheetData sheetId="5556"/>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sheetData sheetId="5852"/>
      <sheetData sheetId="5853"/>
      <sheetData sheetId="5854"/>
      <sheetData sheetId="5855"/>
      <sheetData sheetId="5856"/>
      <sheetData sheetId="5857"/>
      <sheetData sheetId="5858"/>
      <sheetData sheetId="5859"/>
      <sheetData sheetId="5860"/>
      <sheetData sheetId="5861" refreshError="1"/>
      <sheetData sheetId="5862" refreshError="1"/>
      <sheetData sheetId="5863" refreshError="1"/>
      <sheetData sheetId="5864" refreshError="1"/>
      <sheetData sheetId="5865" refreshError="1"/>
      <sheetData sheetId="5866" refreshError="1"/>
      <sheetData sheetId="5867" refreshError="1"/>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refreshError="1"/>
      <sheetData sheetId="5976" refreshError="1"/>
      <sheetData sheetId="5977" refreshError="1"/>
      <sheetData sheetId="5978" refreshError="1"/>
      <sheetData sheetId="5979" refreshError="1"/>
      <sheetData sheetId="5980"/>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sheetData sheetId="6590"/>
      <sheetData sheetId="6591"/>
      <sheetData sheetId="6592"/>
      <sheetData sheetId="6593"/>
      <sheetData sheetId="6594"/>
      <sheetData sheetId="6595"/>
      <sheetData sheetId="6596"/>
      <sheetData sheetId="6597"/>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refreshError="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sheetData sheetId="6949"/>
      <sheetData sheetId="6950"/>
      <sheetData sheetId="6951"/>
      <sheetData sheetId="6952"/>
      <sheetData sheetId="6953"/>
      <sheetData sheetId="6954"/>
      <sheetData sheetId="6955"/>
      <sheetData sheetId="6956"/>
      <sheetData sheetId="6957" refreshError="1"/>
      <sheetData sheetId="6958" refreshError="1"/>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refreshError="1"/>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sheetData sheetId="7032"/>
      <sheetData sheetId="7033"/>
      <sheetData sheetId="7034"/>
      <sheetData sheetId="7035"/>
      <sheetData sheetId="7036"/>
      <sheetData sheetId="7037"/>
      <sheetData sheetId="7038" refreshError="1"/>
      <sheetData sheetId="7039" refreshError="1"/>
      <sheetData sheetId="7040" refreshError="1"/>
      <sheetData sheetId="7041" refreshError="1"/>
      <sheetData sheetId="7042"/>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sheetData sheetId="7053"/>
      <sheetData sheetId="7054"/>
      <sheetData sheetId="7055"/>
      <sheetData sheetId="7056"/>
      <sheetData sheetId="7057"/>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refreshError="1"/>
      <sheetData sheetId="7257" refreshError="1"/>
      <sheetData sheetId="7258" refreshError="1"/>
      <sheetData sheetId="7259" refreshError="1"/>
      <sheetData sheetId="7260" refreshError="1"/>
      <sheetData sheetId="7261" refreshError="1"/>
      <sheetData sheetId="7262" refreshError="1"/>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refreshError="1"/>
      <sheetData sheetId="7753" refreshError="1"/>
      <sheetData sheetId="7754" refreshError="1"/>
      <sheetData sheetId="7755" refreshError="1"/>
      <sheetData sheetId="7756" refreshError="1"/>
      <sheetData sheetId="7757" refreshError="1"/>
      <sheetData sheetId="7758" refreshError="1"/>
      <sheetData sheetId="7759"/>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sheetData sheetId="8560"/>
      <sheetData sheetId="856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sheetData sheetId="8642"/>
      <sheetData sheetId="8643"/>
      <sheetData sheetId="8644"/>
      <sheetData sheetId="8645"/>
      <sheetData sheetId="8646"/>
      <sheetData sheetId="8647"/>
      <sheetData sheetId="8648"/>
      <sheetData sheetId="8649"/>
      <sheetData sheetId="8650"/>
      <sheetData sheetId="865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sheetData sheetId="8677"/>
      <sheetData sheetId="8678"/>
      <sheetData sheetId="8679"/>
      <sheetData sheetId="8680"/>
      <sheetData sheetId="8681"/>
      <sheetData sheetId="8682"/>
      <sheetData sheetId="8683"/>
      <sheetData sheetId="8684"/>
      <sheetData sheetId="8685"/>
      <sheetData sheetId="8686"/>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A"/>
      <sheetName val="영업소실적"/>
      <sheetName val="사업부배부B"/>
      <sheetName val="사업부별실적A"/>
      <sheetName val="사업부별실적B"/>
      <sheetName val="임대원가"/>
      <sheetName val="관리비 추정"/>
      <sheetName val="예산초과내역"/>
      <sheetName val="계정별실적"/>
      <sheetName val="분기별계획"/>
      <sheetName val="해외인원추이"/>
      <sheetName val="배부비교"/>
      <sheetName val="상반기손익차2총괄"/>
      <sheetName val="BEND LOSS"/>
      <sheetName val="부표"/>
      <sheetName val="장비종합부표"/>
      <sheetName val="도급양식"/>
      <sheetName val="접대비명세서"/>
      <sheetName val="C급보 "/>
      <sheetName val="환율"/>
      <sheetName val="Sheet1"/>
      <sheetName val="N賃率-職"/>
      <sheetName val="6호기"/>
      <sheetName val="간접비 총괄표"/>
      <sheetName val="할증 "/>
      <sheetName val="배부961"/>
      <sheetName val="b_balju-단가단가단가"/>
      <sheetName val="패널"/>
      <sheetName val="주관사업"/>
      <sheetName val="노임단가"/>
      <sheetName val="수입"/>
      <sheetName val="공사내역"/>
      <sheetName val="세금자료"/>
      <sheetName val="노무비"/>
      <sheetName val="물가대비표"/>
      <sheetName val="단가산출"/>
      <sheetName val="7단가"/>
      <sheetName val="70%"/>
      <sheetName val="일위대가(건축)"/>
      <sheetName val="공사비_NDE"/>
      <sheetName val="견적서을"/>
      <sheetName val="설계명세서"/>
      <sheetName val="품셈표"/>
      <sheetName val="Cover"/>
      <sheetName val="2.1.1"/>
      <sheetName val="첨1.4"/>
      <sheetName val="첨1.5"/>
      <sheetName val="첨1.3"/>
      <sheetName val="DATE"/>
      <sheetName val="2공구산출내역"/>
      <sheetName val="내역서"/>
      <sheetName val="매각(6)"/>
      <sheetName val="실행예산SHEET도장재검토"/>
      <sheetName val="C3"/>
      <sheetName val="예산내역"/>
      <sheetName val="총괄수지표"/>
      <sheetName val="잡설비내역"/>
      <sheetName val="일위목록"/>
      <sheetName val="요율"/>
      <sheetName val="SIMULATION"/>
      <sheetName val="#REF"/>
      <sheetName val="가로등내역서"/>
      <sheetName val="도장시공집계"/>
      <sheetName val="부표총괄"/>
      <sheetName val="Sheet2"/>
      <sheetName val="NPC500"/>
      <sheetName val="경제지표"/>
      <sheetName val="PI"/>
      <sheetName val="코드목록(시스템담당용)"/>
      <sheetName val="1호인버트수량"/>
      <sheetName val="외화"/>
      <sheetName val="수주추정"/>
      <sheetName val="품셈"/>
      <sheetName val="노임단가산출근거"/>
      <sheetName val="정산표2"/>
      <sheetName val="Back up"/>
      <sheetName val="LOOKUP"/>
      <sheetName val="Bond Fee"/>
      <sheetName val="9-1차이내역"/>
      <sheetName val="eq_data"/>
      <sheetName val="산근"/>
      <sheetName val="97 사업추정(WEKI)"/>
      <sheetName val="DAN"/>
      <sheetName val="백호우계수"/>
      <sheetName val="h-013211-2"/>
      <sheetName val="RENUN"/>
      <sheetName val="PumpSpec"/>
      <sheetName val="손익차9월2"/>
      <sheetName val="입력"/>
      <sheetName val="연돌일위집계"/>
      <sheetName val="자재표"/>
      <sheetName val="당초"/>
      <sheetName val="노임9월"/>
      <sheetName val="도기류"/>
      <sheetName val="95삼성급(본사)"/>
      <sheetName val="CAT_5"/>
      <sheetName val="견적서"/>
      <sheetName val="집계표"/>
      <sheetName val="가도공"/>
      <sheetName val="INSTR"/>
      <sheetName val="Piping(Methanol)"/>
      <sheetName val="공사비 내역 (가)"/>
      <sheetName val="전선 및 전선관"/>
      <sheetName val="인건비"/>
      <sheetName val="ANALYSER"/>
      <sheetName val="3.건축(현장안)"/>
      <sheetName val="BM"/>
      <sheetName val="관리비_추정"/>
      <sheetName val="공사자료입력"/>
      <sheetName val="BEND_LOSS"/>
      <sheetName val="C급보_"/>
      <sheetName val="간접비_총괄표"/>
      <sheetName val="할증_"/>
      <sheetName val="2_1_1"/>
      <sheetName val="첨1_4"/>
      <sheetName val="첨1_5"/>
      <sheetName val="첨1_3"/>
      <sheetName val="Back_up"/>
      <sheetName val="Bond_Fee"/>
      <sheetName val="97_사업추정(WEKI)"/>
      <sheetName val="자재단가"/>
      <sheetName val="전선_및_전선관"/>
      <sheetName val="투입실적"/>
      <sheetName val="CBE-VSL"/>
      <sheetName val="member design"/>
      <sheetName val="working load at the btm ft."/>
      <sheetName val="soil bearing check"/>
      <sheetName val="육상토목 견적대비표-Rev.0(13.07.03).xlsx"/>
      <sheetName val="P.M 별"/>
      <sheetName val="골조시행"/>
      <sheetName val="옥외 전력간선공사"/>
      <sheetName val="단가조사"/>
      <sheetName val="ELEC_DCI"/>
      <sheetName val="INST_DCI"/>
      <sheetName val="인원현황"/>
      <sheetName val="수목데이타 "/>
      <sheetName val="ISBL"/>
      <sheetName val="OSBL"/>
      <sheetName val="사업계획"/>
      <sheetName val="1-11조직표"/>
      <sheetName val="세부내역"/>
      <sheetName val="차량운영비"/>
      <sheetName val="1.설계기준"/>
      <sheetName val="재료비"/>
      <sheetName val="매출vl"/>
      <sheetName val="현장업무"/>
      <sheetName val="일위대가 "/>
      <sheetName val="SS2"/>
      <sheetName val="★도급내역"/>
      <sheetName val="기타경비"/>
      <sheetName val="분개"/>
      <sheetName val="자재"/>
      <sheetName val="장산"/>
      <sheetName val="인산"/>
      <sheetName val="HDEC"/>
      <sheetName val="Mech CIF"/>
      <sheetName val="인원동원계획"/>
      <sheetName val="SE-611"/>
      <sheetName val="간접비총괄"/>
      <sheetName val="Instruction"/>
      <sheetName val="변경품셈총괄"/>
      <sheetName val="Sheet3"/>
      <sheetName val="음성방향"/>
      <sheetName val="Sheet4"/>
      <sheetName val="재집"/>
      <sheetName val="직재"/>
      <sheetName val="기준FACTOR"/>
      <sheetName val="1차 내역서"/>
      <sheetName val="유림골조"/>
      <sheetName val="공사계획서"/>
      <sheetName val="INPUT DATA"/>
      <sheetName val="일위대가표(DEEP)"/>
      <sheetName val="관리비_추정1"/>
      <sheetName val="BEND_LOSS1"/>
      <sheetName val="C급보_1"/>
      <sheetName val="간접비_총괄표1"/>
      <sheetName val="할증_1"/>
      <sheetName val="BULK_1"/>
      <sheetName val="환율CHANGE"/>
      <sheetName val="2.대외공문"/>
      <sheetName val="토목"/>
      <sheetName val="실행집계"/>
      <sheetName val="9811"/>
      <sheetName val="Sheet1 (2)"/>
      <sheetName val="variable"/>
      <sheetName val="CON'C"/>
      <sheetName val="안전장치"/>
      <sheetName val="Eq. Mobilization"/>
      <sheetName val="98수문일위"/>
      <sheetName val="단가"/>
      <sheetName val="설계내역서"/>
      <sheetName val="당진1,2호기전선관설치및접지4차공사내역서-을지"/>
      <sheetName val="member_design"/>
      <sheetName val="working_load_at_the_btm_ft_"/>
      <sheetName val="soil_bearing_check"/>
      <sheetName val="육상토목_견적대비표-Rev_0(13_07_03)_xlsx"/>
      <sheetName val="관리비_추정2"/>
      <sheetName val="BEND_LOSS2"/>
      <sheetName val="C급보_2"/>
      <sheetName val="간접비_총괄표2"/>
      <sheetName val="할증_2"/>
      <sheetName val="2_1_11"/>
      <sheetName val="첨1_41"/>
      <sheetName val="첨1_51"/>
      <sheetName val="첨1_31"/>
      <sheetName val="Back_up1"/>
      <sheetName val="Bond_Fee1"/>
      <sheetName val="97_사업추정(WEKI)1"/>
      <sheetName val="전선_및_전선관1"/>
      <sheetName val="공사비_내역_(가)"/>
      <sheetName val="3_건축(현장안)"/>
      <sheetName val="P_M_별"/>
      <sheetName val="옥외_전력간선공사"/>
      <sheetName val="수목데이타_"/>
      <sheetName val="1_설계기준"/>
      <sheetName val="일위대가_"/>
      <sheetName val="Mech_CIF"/>
      <sheetName val="1차_내역서"/>
      <sheetName val="INPUT_DATA"/>
      <sheetName val="2_대외공문"/>
      <sheetName val="Sheet1_(2)"/>
      <sheetName val="Eq__Mobilization"/>
      <sheetName val="관리비_추정3"/>
      <sheetName val="BEND_LOSS3"/>
      <sheetName val="C급보_3"/>
      <sheetName val="간접비_총괄표3"/>
      <sheetName val="할증_3"/>
      <sheetName val="2_1_12"/>
      <sheetName val="첨1_42"/>
      <sheetName val="첨1_52"/>
      <sheetName val="첨1_32"/>
      <sheetName val="Back_up2"/>
      <sheetName val="Bond_Fee2"/>
      <sheetName val="97_사업추정(WEKI)2"/>
      <sheetName val="전선_및_전선관2"/>
      <sheetName val="공사비_내역_(가)1"/>
      <sheetName val="3_건축(현장안)1"/>
      <sheetName val="member_design1"/>
      <sheetName val="working_load_at_the_btm_ft_1"/>
      <sheetName val="soil_bearing_check1"/>
      <sheetName val="육상토목_견적대비표-Rev_0(13_07_03)_xls1"/>
      <sheetName val="P_M_별1"/>
      <sheetName val="옥외_전력간선공사1"/>
      <sheetName val="수목데이타_1"/>
      <sheetName val="1_설계기준1"/>
      <sheetName val="일위대가_1"/>
      <sheetName val="Mech_CIF1"/>
      <sheetName val="1차_내역서1"/>
      <sheetName val="INPUT_DATA1"/>
      <sheetName val="2_대외공문1"/>
      <sheetName val="Sheet1_(2)1"/>
      <sheetName val="Eq__Mobilization1"/>
      <sheetName val="전기3.1 단가비교표(분전반)"/>
      <sheetName val="전기1. 단위내역목록"/>
      <sheetName val="전기4. 인건비"/>
      <sheetName val="배수내역"/>
      <sheetName val="SPARE(FOR COMM)"/>
      <sheetName val="일위대가목차"/>
      <sheetName val="MP월간계획"/>
      <sheetName val="MP주간계획"/>
      <sheetName val="MP일간계획"/>
      <sheetName val="Equipment Mobilization Plan"/>
      <sheetName val="Pipe"/>
      <sheetName val="HVAC"/>
      <sheetName val="노임이"/>
      <sheetName val="Estimate"/>
      <sheetName val="HRG BAHAN &amp; UPAH okk"/>
      <sheetName val="Data"/>
      <sheetName val="escon"/>
      <sheetName val="품의양"/>
      <sheetName val="삭제금지단가"/>
      <sheetName val="급여관련자료"/>
      <sheetName val="Sheet2 (2)"/>
      <sheetName val="5. 수량집계표"/>
      <sheetName val="dasar"/>
      <sheetName val="전기"/>
      <sheetName val="COVERSHEET PAGE"/>
      <sheetName val="6공구(당초)"/>
      <sheetName val="환경기계공정표 (3)"/>
      <sheetName val="DESCRIPTION"/>
      <sheetName val="BM DATA SHEET"/>
      <sheetName val="General Data"/>
      <sheetName val="HRG_BAHAN_&amp;_UPAH_okk"/>
      <sheetName val="General_Data"/>
      <sheetName val="기본단가"/>
      <sheetName val="인건비단가"/>
      <sheetName val="Steel"/>
      <sheetName val="현장관리비"/>
      <sheetName val="실행내역"/>
      <sheetName val="일위대가표"/>
      <sheetName val="設計温度圧力線図"/>
      <sheetName val="CTEMCOST"/>
      <sheetName val="1.설계조건"/>
      <sheetName val="1设备占用野三"/>
      <sheetName val="取费基准"/>
      <sheetName val="예산작성기준(전기)"/>
      <sheetName val="设备类型选择"/>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XLR_NoRangeSheet"/>
      <sheetName val="내역"/>
      <sheetName val="계약고별 차등단가"/>
      <sheetName val="환경기계공정표_(3)"/>
      <sheetName val="인원계획"/>
      <sheetName val="철거산출근거"/>
      <sheetName val="관리비_추정4"/>
      <sheetName val="BEND_LOSS4"/>
      <sheetName val="C급보_4"/>
      <sheetName val="간접비_총괄표4"/>
      <sheetName val="할증_4"/>
      <sheetName val="2_1_13"/>
      <sheetName val="첨1_43"/>
      <sheetName val="첨1_53"/>
      <sheetName val="첨1_33"/>
      <sheetName val="Back_up3"/>
      <sheetName val="Bond_Fee3"/>
      <sheetName val="97_사업추정(WEKI)3"/>
      <sheetName val="공사비_내역_(가)2"/>
      <sheetName val="전선_및_전선관3"/>
      <sheetName val="3_건축(현장안)2"/>
      <sheetName val="member_design2"/>
      <sheetName val="working_load_at_the_btm_ft_2"/>
      <sheetName val="soil_bearing_check2"/>
      <sheetName val="육상토목_견적대비표-Rev_0(13_07_03)_xls2"/>
      <sheetName val="P_M_별2"/>
      <sheetName val="옥외_전력간선공사2"/>
      <sheetName val="수목데이타_2"/>
      <sheetName val="1_설계기준2"/>
      <sheetName val="일위대가_2"/>
      <sheetName val="Mech_CIF2"/>
      <sheetName val="1차_내역서2"/>
      <sheetName val="INPUT_DATA2"/>
      <sheetName val="2_대외공문2"/>
      <sheetName val="Sheet1_(2)2"/>
      <sheetName val="Eq__Mobilization2"/>
      <sheetName val="전기3_1_단가비교표(분전반)"/>
      <sheetName val="전기1__단위내역목록"/>
      <sheetName val="전기4__인건비"/>
      <sheetName val="SPARE(FOR_COMM)"/>
      <sheetName val="Equipment_Mobilization_Plan"/>
      <sheetName val="5__수량집계표"/>
      <sheetName val="Sheet2_(2)"/>
      <sheetName val="COVERSHEET_PAGE"/>
      <sheetName val="단가일람"/>
      <sheetName val="조경일람"/>
    </sheetNames>
    <sheetDataSet>
      <sheetData sheetId="0"/>
      <sheetData sheetId="1" refreshError="1"/>
      <sheetData sheetId="2"/>
      <sheetData sheetId="3"/>
      <sheetData sheetId="4"/>
      <sheetData sheetId="5" refreshError="1"/>
      <sheetData sheetId="6"/>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efreshError="1"/>
      <sheetData sheetId="37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약고변"/>
      <sheetName val="선투입재고 "/>
      <sheetName val="상반기 실적추정 총괄표 (2)"/>
      <sheetName val="상반기 실적추정 총괄표"/>
      <sheetName val="손익차상반기총괄"/>
      <sheetName val="상반기손익차2총괄"/>
      <sheetName val="전기"/>
      <sheetName val="결산실적01"/>
      <sheetName val="변경품셈총괄"/>
      <sheetName val="사업추정"/>
      <sheetName val="일위대가"/>
      <sheetName val="단가대비표"/>
      <sheetName val="#REF"/>
      <sheetName val="노임단가"/>
      <sheetName val="수목데이타 "/>
      <sheetName val="견적"/>
      <sheetName val="실행내역 "/>
      <sheetName val="안전장치"/>
      <sheetName val="간접비 총괄표"/>
      <sheetName val="집계표"/>
      <sheetName val="매각(6)"/>
      <sheetName val="TT 매입율"/>
      <sheetName val="세금자료"/>
      <sheetName val="Sheet1"/>
      <sheetName val="현장배치"/>
      <sheetName val="부표총괄"/>
      <sheetName val="수량산출"/>
      <sheetName val="금액결정"/>
      <sheetName val="BOJUNGGM"/>
      <sheetName val="기성수금(단단위)"/>
      <sheetName val="원가매출(단단위)"/>
      <sheetName val="현장"/>
      <sheetName val="첨부1"/>
      <sheetName val="원가계산서(남측)"/>
      <sheetName val="1-11조직표"/>
      <sheetName val="총괄내역서"/>
      <sheetName val="남대문빌딩"/>
      <sheetName val="1_11조직표"/>
      <sheetName val="당초"/>
      <sheetName val="DATE"/>
      <sheetName val="개시전표"/>
      <sheetName val="공사집계"/>
      <sheetName val="Sheet4"/>
      <sheetName val="등급"/>
      <sheetName val="손익차9월2"/>
      <sheetName val="단가비교(TOTAL)"/>
      <sheetName val="수입"/>
      <sheetName val="실행대비"/>
      <sheetName val="공문"/>
      <sheetName val="소화실적"/>
      <sheetName val="산수배수"/>
      <sheetName val="지급자재"/>
      <sheetName val="Sheet2"/>
      <sheetName val="97 사업추정(WEKI)"/>
      <sheetName val="SIMULATION"/>
      <sheetName val="자료"/>
      <sheetName val="유림골조"/>
      <sheetName val="대비"/>
      <sheetName val="마산월령동골조물량변경"/>
      <sheetName val="진주방향"/>
      <sheetName val="마산방향"/>
      <sheetName val="마산방향철근집계"/>
      <sheetName val="공사비 내역 (가)"/>
      <sheetName val="직노"/>
      <sheetName val="비교1"/>
      <sheetName val="주소록"/>
      <sheetName val="NYS"/>
      <sheetName val="마스터"/>
      <sheetName val="코드목록"/>
      <sheetName val="품목납기"/>
      <sheetName val="M-EQPT-Z"/>
      <sheetName val="현장현황"/>
      <sheetName val="내역"/>
      <sheetName val="공사손익"/>
      <sheetName val="고자현황"/>
      <sheetName val="변수목록"/>
      <sheetName val="카메라"/>
      <sheetName val="설계예시"/>
      <sheetName val="내역서"/>
      <sheetName val="9811"/>
      <sheetName val="하수급견적대비"/>
      <sheetName val="간접비총괄 (2)"/>
      <sheetName val="토목"/>
      <sheetName val="시운전연료"/>
      <sheetName val="15 문제점"/>
      <sheetName val="기준요인별"/>
      <sheetName val="영업소실적"/>
      <sheetName val="인원계획"/>
      <sheetName val="간접비(1)"/>
      <sheetName val="FWBS7000,8000"/>
      <sheetName val="ANALYSER"/>
      <sheetName val="주관사업"/>
      <sheetName val="건축공사실행"/>
      <sheetName val="선투입재고_"/>
      <sheetName val="상반기_실적추정_총괄표_(2)"/>
      <sheetName val="상반기_실적추정_총괄표"/>
      <sheetName val="수목데이타_"/>
      <sheetName val="실행내역_"/>
      <sheetName val="간접비_총괄표"/>
      <sheetName val="현장관리비"/>
      <sheetName val="간접비총괄"/>
      <sheetName val="조직표"/>
      <sheetName val="교육종류"/>
      <sheetName val="내역서(삼호)"/>
      <sheetName val="공사설계서"/>
      <sheetName val="공통부대비"/>
      <sheetName val="ELECTRIC"/>
      <sheetName val="급여TABLE"/>
      <sheetName val="기초일위"/>
      <sheetName val="시설일위"/>
      <sheetName val="조명일위"/>
      <sheetName val="9509"/>
      <sheetName val="기준액"/>
      <sheetName val="부대tu"/>
      <sheetName val="연결임시"/>
      <sheetName val="배수내역"/>
      <sheetName val="일위대가표"/>
      <sheetName val="제경비"/>
      <sheetName val="9-1차이내역"/>
      <sheetName val="참고자료"/>
      <sheetName val="h-013211-2"/>
      <sheetName val="Unit 49_분개표"/>
      <sheetName val="Unit 76_분개표"/>
      <sheetName val="UnitList"/>
      <sheetName val="RFP007"/>
      <sheetName val="INPUT DATA"/>
      <sheetName val="CIVIL WORK"/>
      <sheetName val="기계경비(시간당)"/>
      <sheetName val="램머"/>
      <sheetName val="경산"/>
      <sheetName val="생산직"/>
      <sheetName val="현금흐름표"/>
      <sheetName val="교각1"/>
      <sheetName val="신흥교"/>
      <sheetName val="TT_매입율"/>
      <sheetName val="97_사업추정(WEKI)"/>
      <sheetName val="공사비_내역_(가)"/>
      <sheetName val="단가조사"/>
      <sheetName val="사업부배부A"/>
      <sheetName val="COMPARISON TABLE"/>
      <sheetName val="DESCRIPTION"/>
      <sheetName val="월별사업계획_조정"/>
      <sheetName val="VC2 10.99"/>
      <sheetName val="Schedule 2 and 3"/>
      <sheetName val="BRICK"/>
      <sheetName val="B31.1"/>
      <sheetName val="PSIZE"/>
      <sheetName val="지사인원사무실"/>
      <sheetName val="ironmongery"/>
      <sheetName val="남양주부대"/>
      <sheetName val="96.12"/>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 val="급여관련자료"/>
      <sheetName val="표지"/>
      <sheetName val="데이타"/>
      <sheetName val="증감내역서"/>
      <sheetName val="기성현황"/>
      <sheetName val="사업전망"/>
      <sheetName val="원가현황"/>
      <sheetName val="공사비_NDE"/>
      <sheetName val="INSTR"/>
      <sheetName val="95삼성급(본사)"/>
      <sheetName val="VC2 8.98"/>
      <sheetName val="단가표"/>
      <sheetName val="자재(원원+원대)"/>
      <sheetName val="일위대가(가설)"/>
      <sheetName val="Sheet1 (2)"/>
      <sheetName val="CTEMCOST"/>
      <sheetName val="작성지침(고정비)"/>
      <sheetName val="준검 내역서"/>
      <sheetName val="투찰내역"/>
      <sheetName val="MEED"/>
      <sheetName val="산1~6"/>
      <sheetName val="배수공"/>
      <sheetName val="측구공"/>
      <sheetName val="용소리교"/>
      <sheetName val="토공(우물통,기타) "/>
      <sheetName val="단가"/>
      <sheetName val="면접시간확인"/>
      <sheetName val="10ADIT05"/>
      <sheetName val="관로토공"/>
      <sheetName val="BOW"/>
      <sheetName val="Analisa"/>
      <sheetName val="BOQ and Estimation Sheet 100330"/>
      <sheetName val="설계예산서"/>
      <sheetName val="예산내역서"/>
      <sheetName val="예정공정표"/>
      <sheetName val="총계"/>
      <sheetName val="1차 내역서"/>
      <sheetName val="협조전"/>
      <sheetName val="Baby일위대가"/>
      <sheetName val="납부서"/>
      <sheetName val="삼보지질"/>
      <sheetName val="2000년1차"/>
      <sheetName val="내역서(토목)"/>
      <sheetName val="기초단가"/>
      <sheetName val="CAT_5"/>
      <sheetName val="연돌일위집계"/>
      <sheetName val="Avtivity Define"/>
      <sheetName val="설치공사비"/>
      <sheetName val="산1~4"/>
      <sheetName val="증감대비"/>
      <sheetName val="3.설계예산내역서(예산서)"/>
      <sheetName val="2.예정공정표"/>
      <sheetName val="터파기및재료"/>
      <sheetName val="영업,지장물,이사확인서(개인,법인,종중)"/>
      <sheetName val="회사정보"/>
      <sheetName val="지정"/>
      <sheetName val="건축개요"/>
      <sheetName val="정산표"/>
      <sheetName val="안산기계장치"/>
      <sheetName val="ABUT수량-A1"/>
      <sheetName val="변수"/>
      <sheetName val="데리네이타현황"/>
      <sheetName val="7공구-산출근거"/>
      <sheetName val="발주설계서(당초)"/>
      <sheetName val=" 냉각수펌프"/>
      <sheetName val="CB"/>
      <sheetName val="북제주-표지"/>
      <sheetName val="산근"/>
      <sheetName val="갑지"/>
      <sheetName val="설계명세서"/>
      <sheetName val="b_balju"/>
      <sheetName val="시행예산"/>
      <sheetName val="MANHOLE"/>
      <sheetName val="Basic"/>
      <sheetName val="inter"/>
      <sheetName val="기준"/>
      <sheetName val="Cover"/>
      <sheetName val="sum3"/>
      <sheetName val="PRO_DCI"/>
      <sheetName val="INST_DCI"/>
      <sheetName val="HVAC_DCI"/>
      <sheetName val="PIPE_DCI"/>
      <sheetName val="Summary Sheets"/>
      <sheetName val="금액내역서"/>
      <sheetName val="노임"/>
      <sheetName val="eq_data"/>
      <sheetName val="D2old"/>
      <sheetName val="Library"/>
      <sheetName val="VENDOR LIST"/>
      <sheetName val="공통비"/>
      <sheetName val="Ex-Rate"/>
      <sheetName val="요약배부"/>
      <sheetName val="경제지표"/>
      <sheetName val="Compare-1"/>
      <sheetName val="기계내역서"/>
      <sheetName val="현장지지물물량"/>
      <sheetName val="기기리스트"/>
      <sheetName val="가설공사 내역"/>
      <sheetName val="정산서"/>
      <sheetName val="보호"/>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슬래브(PF)(하류)"/>
      <sheetName val="공비대비"/>
      <sheetName val="내역(중앙)"/>
      <sheetName val="내역(창신)"/>
      <sheetName val="예총"/>
      <sheetName val="재료비"/>
      <sheetName val="매출vl"/>
      <sheetName val="기타경비"/>
      <sheetName val="잔토처리"/>
      <sheetName val="터파기,되메우기,램머,코아"/>
      <sheetName val="절단,포장깨기"/>
      <sheetName val="노임 단가"/>
      <sheetName val="5사남"/>
      <sheetName val="국산화"/>
      <sheetName val="기초자료"/>
      <sheetName val="본부별매출"/>
      <sheetName val="이름표"/>
      <sheetName val="토목주소"/>
      <sheetName val="BM"/>
      <sheetName val="공통비총괄표"/>
      <sheetName val="관급"/>
      <sheetName val="_REF"/>
      <sheetName val=" Sum"/>
      <sheetName val="PI"/>
      <sheetName val="일위대가목차"/>
      <sheetName val="출고집계"/>
      <sheetName val="2.대외공문"/>
      <sheetName val="BATCH"/>
      <sheetName val="기준표"/>
      <sheetName val="Control sheet"/>
      <sheetName val="기표"/>
      <sheetName val="해외"/>
      <sheetName val="기계설비"/>
      <sheetName val="YOEMAGUM"/>
      <sheetName val="최근결산기준"/>
      <sheetName val="합손"/>
      <sheetName val="Ctrl"/>
      <sheetName val="금융"/>
      <sheetName val="은행"/>
      <sheetName val="리스"/>
      <sheetName val="보험"/>
      <sheetName val="기초입력"/>
      <sheetName val="수주실적0709"/>
      <sheetName val="현장관리비데이타"/>
      <sheetName val="선투입재고_1"/>
      <sheetName val="상반기_실적추정_총괄표_(2)1"/>
      <sheetName val="상반기_실적추정_총괄표1"/>
      <sheetName val="수목데이타_1"/>
      <sheetName val="실행내역_1"/>
      <sheetName val="간접비_총괄표1"/>
      <sheetName val="간접비총괄_(2)"/>
      <sheetName val="15_문제점"/>
      <sheetName val="STAND98"/>
      <sheetName val="P.M 별"/>
      <sheetName val="DATA 입력부"/>
      <sheetName val="공조기"/>
      <sheetName val="투찰추정"/>
      <sheetName val="환율"/>
      <sheetName val="Total"/>
      <sheetName val="저"/>
      <sheetName val="노임이"/>
      <sheetName val="중기조종사 단위단가"/>
      <sheetName val="Languages"/>
      <sheetName val="파이프류"/>
      <sheetName val="Eq. Mobilization"/>
      <sheetName val="실행내역"/>
      <sheetName val="일반공사"/>
      <sheetName val="Sheet2 (2)"/>
      <sheetName val="인건비"/>
      <sheetName val="백룡교차로"/>
      <sheetName val="산정교차로"/>
      <sheetName val="신영교차로"/>
      <sheetName val="MOKDONG(1)"/>
      <sheetName val="DATA"/>
      <sheetName val="손익분석"/>
      <sheetName val="대차대조표"/>
      <sheetName val="※참고자료※"/>
      <sheetName val="내역서01"/>
      <sheetName val="NOMUBI"/>
      <sheetName val="Macro"/>
      <sheetName val=" 내역서"/>
      <sheetName val="도기류"/>
      <sheetName val="김관중"/>
      <sheetName val="Drn"/>
      <sheetName val="PLAN_FEB97"/>
      <sheetName val="notes"/>
      <sheetName val="1.01"/>
      <sheetName val="archi(본사)"/>
      <sheetName val="단가산출서"/>
      <sheetName val="LEGEND"/>
      <sheetName val="여비"/>
      <sheetName val="보고"/>
      <sheetName val="계정"/>
      <sheetName val="프랜트면허"/>
      <sheetName val="COL"/>
      <sheetName val="경영혁신본부"/>
      <sheetName val="cover page"/>
      <sheetName val="arun to"/>
      <sheetName val="Option"/>
      <sheetName val="WPL"/>
      <sheetName val="공사금액 내역 (1)"/>
      <sheetName val="조정율"/>
      <sheetName val="전선 및 전선관"/>
      <sheetName val="G29A"/>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실행철강하도"/>
      <sheetName val="Trade Debtors"/>
      <sheetName val="단가비교"/>
      <sheetName val="코드"/>
      <sheetName val="11.28"/>
      <sheetName val="10매출"/>
      <sheetName val="2공구산출내역"/>
      <sheetName val="개산공사비"/>
      <sheetName val="수주현황2월"/>
      <sheetName val="총사업비명세"/>
      <sheetName val="요약&amp;결과"/>
      <sheetName val="빈"/>
      <sheetName val="기계공사"/>
      <sheetName val="N賃率-職"/>
      <sheetName val="실행(표지,갑,을)"/>
      <sheetName val="95하U$가격"/>
      <sheetName val="플랜트 설치"/>
      <sheetName val="BCPAB"/>
      <sheetName val="노임9월"/>
      <sheetName val="PIPE"/>
      <sheetName val="member design"/>
      <sheetName val="design criteria"/>
      <sheetName val="working load at the btm ft."/>
      <sheetName val="plan&amp;section of foundation"/>
      <sheetName val="soil bearing check"/>
      <sheetName val="제출계산서"/>
      <sheetName val="Exch_rates"/>
      <sheetName val="summ"/>
      <sheetName val="1,2공구원가계산서"/>
      <sheetName val="1공구산출내역서"/>
      <sheetName val="Cashflow Analysis"/>
      <sheetName val="D-623D"/>
      <sheetName val="BSD (2)"/>
      <sheetName val=" 갑지"/>
      <sheetName val="DB@Acess"/>
      <sheetName val="Civil"/>
      <sheetName val="별표총괄"/>
      <sheetName val="TUAS"/>
      <sheetName val="Ampecity Data"/>
      <sheetName val="KUNGDEVI"/>
      <sheetName val="BQMPALOC"/>
      <sheetName val="pipeline-1"/>
      <sheetName val="SG"/>
      <sheetName val="FLANGE"/>
      <sheetName val="VALVE"/>
      <sheetName val="인원배분"/>
      <sheetName val="BREAKDOWN(철거설치)"/>
      <sheetName val="리비아견적작업"/>
      <sheetName val="뜃맟뭁돽띿맟?-BLDG"/>
      <sheetName val="BREAKDOWN(신규설치)"/>
      <sheetName val="SUMMARY_철거"/>
      <sheetName val="뜃맟뭁돽띿맟_-BLDG"/>
      <sheetName val="식재인부"/>
      <sheetName val="6공구(당초)"/>
      <sheetName val="투찰"/>
      <sheetName val="갑지(추정)"/>
      <sheetName val="수리결과"/>
      <sheetName val=""/>
      <sheetName val="인사자료총집계"/>
      <sheetName val="공동"/>
      <sheetName val="단독"/>
      <sheetName val="4.2유효폭의 계산"/>
      <sheetName val="총물량"/>
      <sheetName val="조명시설"/>
      <sheetName val="Panel제작명세서"/>
      <sheetName val="RFP Codes"/>
      <sheetName val="sus slb"/>
      <sheetName val="Site"/>
      <sheetName val="TOEC"/>
      <sheetName val="9-30-06 graduates"/>
      <sheetName val="간접비"/>
      <sheetName val="10현장조직"/>
      <sheetName val="EQT-ESTN"/>
      <sheetName val="POWER"/>
      <sheetName val="설계내역서"/>
      <sheetName val="고창터널(고창방향)"/>
      <sheetName val="선투입재고_2"/>
      <sheetName val="상반기_실적추정_총괄표_(2)2"/>
      <sheetName val="상반기_실적추정_총괄표2"/>
      <sheetName val="수목데이타_2"/>
      <sheetName val="실행내역_2"/>
      <sheetName val="간접비_총괄표2"/>
      <sheetName val="TT_매입율1"/>
      <sheetName val="97_사업추정(WEKI)1"/>
      <sheetName val="공사비_내역_(가)1"/>
      <sheetName val="간접비총괄_(2)1"/>
      <sheetName val="15_문제점1"/>
      <sheetName val="Unit_49_분개표"/>
      <sheetName val="Unit_76_분개표"/>
      <sheetName val="INPUT_DATA"/>
      <sheetName val="CIVIL_WORK"/>
      <sheetName val="COMPARISON_TABLE"/>
      <sheetName val="VC2_10_99"/>
      <sheetName val="Schedule_2_and_3"/>
      <sheetName val="B31_1"/>
      <sheetName val="96_12"/>
      <sheetName val="OFFER_RATE"/>
      <sheetName val="Mech_CIF"/>
      <sheetName val="COVERSHEET_PAGE"/>
      <sheetName val="TABLE2-2_OSBL-(SITE_PREP)"/>
      <sheetName val="OSBL-TOTAL_(OTHER_WORK)"/>
      <sheetName val="OSBL-TOTAL_(SEA_WATER)"/>
      <sheetName val="OSBL-TOTAL_(CIVIL_WORK)"/>
      <sheetName val="_OVERALL"/>
      <sheetName val="2_1"/>
      <sheetName val="2_2"/>
      <sheetName val="2_3"/>
      <sheetName val="2_4"/>
      <sheetName val="5_1"/>
      <sheetName val="5_2"/>
      <sheetName val="5_3"/>
      <sheetName val="8_1"/>
      <sheetName val="8_2"/>
      <sheetName val="ATTACHMENT_1"/>
      <sheetName val="Sheet1_(2)"/>
      <sheetName val="VC2_8_98"/>
      <sheetName val="준검_내역서"/>
      <sheetName val="토공(우물통,기타)_"/>
      <sheetName val="BOQ_and_Estimation_Sheet_100330"/>
      <sheetName val="1차_내역서"/>
      <sheetName val="Avtivity_Define"/>
      <sheetName val="3_설계예산내역서(예산서)"/>
      <sheetName val="2_예정공정표"/>
      <sheetName val="Summary_Sheets"/>
      <sheetName val="VENDOR_LIST"/>
      <sheetName val="가설공사_내역"/>
      <sheetName val="Flaer_Area"/>
      <sheetName val="_냉각수펌프"/>
      <sheetName val="노임_단가"/>
      <sheetName val="2_대외공문"/>
      <sheetName val="D8_underpass_WP-D592"/>
      <sheetName val="D10_"/>
      <sheetName val="WP-SN01-01_&amp;_02"/>
      <sheetName val="Consolidated"/>
      <sheetName val="Daywork"/>
      <sheetName val="_Sum"/>
      <sheetName val="Control_sheet"/>
      <sheetName val="P_M_별"/>
      <sheetName val="DATA_입력부"/>
      <sheetName val="선투입재고_3"/>
      <sheetName val="상반기_실적추정_총괄표_(2)3"/>
      <sheetName val="상반기_실적추정_총괄표3"/>
      <sheetName val="수목데이타_3"/>
      <sheetName val="실행내역_3"/>
      <sheetName val="간접비_총괄표3"/>
      <sheetName val="TT_매입율2"/>
      <sheetName val="97_사업추정(WEKI)2"/>
      <sheetName val="공사비_내역_(가)2"/>
      <sheetName val="간접비총괄_(2)2"/>
      <sheetName val="15_문제점2"/>
      <sheetName val="Unit_49_분개표1"/>
      <sheetName val="Unit_76_분개표1"/>
      <sheetName val="INPUT_DATA1"/>
      <sheetName val="CIVIL_WORK1"/>
      <sheetName val="COMPARISON_TABLE1"/>
      <sheetName val="VC2_10_991"/>
      <sheetName val="Schedule_2_and_31"/>
      <sheetName val="B31_11"/>
      <sheetName val="96_121"/>
      <sheetName val="OFFER_RATE1"/>
      <sheetName val="Mech_CIF1"/>
      <sheetName val="COVERSHEET_PAGE1"/>
      <sheetName val="TABLE2-2_OSBL-(SITE_PREP)1"/>
      <sheetName val="OSBL-TOTAL_(OTHER_WORK)1"/>
      <sheetName val="OSBL-TOTAL_(SEA_WATER)1"/>
      <sheetName val="OSBL-TOTAL_(CIVIL_WORK)1"/>
      <sheetName val="_OVERALL1"/>
      <sheetName val="2_11"/>
      <sheetName val="2_21"/>
      <sheetName val="2_31"/>
      <sheetName val="2_41"/>
      <sheetName val="5_11"/>
      <sheetName val="5_21"/>
      <sheetName val="5_31"/>
      <sheetName val="8_11"/>
      <sheetName val="8_21"/>
      <sheetName val="ATTACHMENT_11"/>
      <sheetName val="Sheet1_(2)1"/>
      <sheetName val="VC2_8_981"/>
      <sheetName val="준검_내역서1"/>
      <sheetName val="토공(우물통,기타)_1"/>
      <sheetName val="BOQ_and_Estimation_Sheet_100331"/>
      <sheetName val="1차_내역서1"/>
      <sheetName val="Avtivity_Define1"/>
      <sheetName val="3_설계예산내역서(예산서)1"/>
      <sheetName val="2_예정공정표1"/>
      <sheetName val="Summary_Sheets1"/>
      <sheetName val="VENDOR_LIST1"/>
      <sheetName val="가설공사_내역1"/>
      <sheetName val="Flaer_Area1"/>
      <sheetName val="_냉각수펌프1"/>
      <sheetName val="노임_단가1"/>
      <sheetName val="2_대외공문1"/>
      <sheetName val="_Sum1"/>
      <sheetName val="Control_sheet1"/>
      <sheetName val="P_M_별1"/>
      <sheetName val="DATA_입력부1"/>
      <sheetName val="COA-17"/>
      <sheetName val="PRICE COMP"/>
      <sheetName val="명부1"/>
      <sheetName val="세부내용"/>
      <sheetName val="명부"/>
      <sheetName val="총회접수대장"/>
      <sheetName val="입력"/>
      <sheetName val="대여현황"/>
      <sheetName val="SORCE1"/>
      <sheetName val="부하(성남)"/>
      <sheetName val="01"/>
      <sheetName val="Basis"/>
      <sheetName val="1_01"/>
      <sheetName val="Sheet2_(2)"/>
      <sheetName val="Trade_Debtors"/>
      <sheetName val="Map"/>
      <sheetName val="Payment"/>
      <sheetName val="AQL(0.65)"/>
      <sheetName val="중기조종사_단위단가"/>
      <sheetName val="Eq__Mobilization"/>
      <sheetName val="_내역서"/>
      <sheetName val="AQL(0_65)"/>
      <sheetName val="절대지우지말것"/>
      <sheetName val="Definitions"/>
      <sheetName val="RSB_RATIO"/>
      <sheetName val="1999-2000 MONTHLY CASHFLOW"/>
      <sheetName val="실행"/>
      <sheetName val="P_평균"/>
      <sheetName val="명부 통합"/>
      <sheetName val="단위세대 개요"/>
      <sheetName val="포장복구집계"/>
      <sheetName val="RCF CLAIMED"/>
      <sheetName val="대공종"/>
      <sheetName val="견적서"/>
      <sheetName val="도"/>
      <sheetName val="공사개요"/>
      <sheetName val="참고"/>
      <sheetName val="물가자료"/>
      <sheetName val="Param"/>
      <sheetName val="Formula"/>
      <sheetName val="hGH정제"/>
      <sheetName val="Recovery Plan "/>
      <sheetName val="UW"/>
      <sheetName val="database"/>
      <sheetName val="WORKER"/>
      <sheetName val="choose"/>
      <sheetName val="INDENTIFICATION"/>
      <sheetName val="HVAC"/>
      <sheetName val="12CGOU"/>
      <sheetName val="자재단가조사표-수목"/>
      <sheetName val="D.S. Type 2"/>
      <sheetName val="性能取り纏め"/>
      <sheetName val="날개벽수량표"/>
      <sheetName val="Bin"/>
      <sheetName val="Equip"/>
      <sheetName val="101(2)f"/>
      <sheetName val="Wts"/>
      <sheetName val="BTRP-230kV.wt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sheetData sheetId="646"/>
      <sheetData sheetId="647"/>
      <sheetData sheetId="648" refreshError="1"/>
      <sheetData sheetId="649" refreshError="1"/>
      <sheetData sheetId="650" refreshError="1"/>
      <sheetData sheetId="651"/>
      <sheetData sheetId="652"/>
      <sheetData sheetId="653"/>
      <sheetData sheetId="654"/>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매각(6)"/>
      <sheetName val="97 사업추정(WEKI)"/>
      <sheetName val="Sheet2"/>
      <sheetName val="공통비총괄표"/>
      <sheetName val="간접비 총괄표"/>
      <sheetName val="개시전표"/>
      <sheetName val="공사집계"/>
      <sheetName val="XL4Poppy"/>
      <sheetName val="매각_6_"/>
      <sheetName val="공통부대비"/>
      <sheetName val="1-11조직표"/>
      <sheetName val="공사비 내역 (가)"/>
      <sheetName val="TT 매입율"/>
      <sheetName val="STAND98"/>
      <sheetName val="97년 SEACO예산"/>
      <sheetName val="99년하반기"/>
      <sheetName val="상반기손익차2총괄"/>
      <sheetName val="기준"/>
      <sheetName val="신Table"/>
      <sheetName val="총액"/>
      <sheetName val="Eq. Mobilization"/>
      <sheetName val="본지점중"/>
      <sheetName val="매립"/>
      <sheetName val="대비"/>
      <sheetName val="공문9712"/>
      <sheetName val="총괄표"/>
      <sheetName val="BRICK"/>
      <sheetName val="산근"/>
      <sheetName val="영업소실적"/>
      <sheetName val="본부소개"/>
      <sheetName val="간접비내역-1"/>
      <sheetName val="노임이"/>
      <sheetName val="BM"/>
      <sheetName val="등급"/>
      <sheetName val="현금흐름표"/>
      <sheetName val="P.M 별"/>
      <sheetName val="공사비_NDE"/>
      <sheetName val="D2old"/>
      <sheetName val="Library"/>
      <sheetName val="상촌터널실행"/>
      <sheetName val="인원현황총괄"/>
      <sheetName val="집계표"/>
      <sheetName val="Sheet4"/>
    </sheetNames>
    <sheetDataSet>
      <sheetData sheetId="0" refreshError="1">
        <row r="1">
          <cell r="A1" t="str">
            <v>고정자산 매각 내역</v>
          </cell>
        </row>
        <row r="2">
          <cell r="A2" t="str">
            <v>(        國)</v>
          </cell>
          <cell r="I2" t="str">
            <v xml:space="preserve">     (단위 : 현지화)</v>
          </cell>
        </row>
        <row r="3">
          <cell r="G3" t="str">
            <v>회   계   처   리</v>
          </cell>
        </row>
        <row r="4">
          <cell r="A4" t="str">
            <v>현  장</v>
          </cell>
          <cell r="B4" t="str">
            <v>사번호</v>
          </cell>
          <cell r="C4" t="str">
            <v>장 비 명</v>
          </cell>
          <cell r="D4" t="str">
            <v>매각일</v>
          </cell>
          <cell r="E4" t="str">
            <v>매각가</v>
          </cell>
          <cell r="F4" t="str">
            <v>특기사항</v>
          </cell>
          <cell r="G4" t="str">
            <v>Ｄ Ｒ</v>
          </cell>
          <cell r="I4" t="str">
            <v>Ｃ Ｒ</v>
          </cell>
        </row>
        <row r="5">
          <cell r="G5" t="str">
            <v>계  정</v>
          </cell>
          <cell r="H5" t="str">
            <v>금  액</v>
          </cell>
          <cell r="I5" t="str">
            <v>계  정</v>
          </cell>
          <cell r="J5" t="str">
            <v>금  액</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분류"/>
      <sheetName val="커버"/>
      <sheetName val="교육예산"/>
      <sheetName val="양식#1"/>
      <sheetName val="첨부1"/>
      <sheetName val="첨부2"/>
      <sheetName val="견적서"/>
      <sheetName val="매각(6)"/>
      <sheetName val="원가계산서"/>
      <sheetName val=" 갑지"/>
      <sheetName val="NC8376C5"/>
      <sheetName val="기본설계기준"/>
      <sheetName val="영업소실적"/>
      <sheetName val="영흥TL(UP,DOWN) "/>
      <sheetName val="IT-BAT"/>
      <sheetName val="실행내역서 "/>
      <sheetName val="을"/>
      <sheetName val="97 사업추정(WEKI)"/>
      <sheetName val="할증 "/>
      <sheetName val="??"/>
      <sheetName val="일위대가"/>
      <sheetName val="실행내역서(DCU)"/>
      <sheetName val="FACTOR"/>
      <sheetName val="현장업무"/>
      <sheetName val="자재대"/>
      <sheetName val="측량요율"/>
      <sheetName val="sheet1"/>
      <sheetName val="__"/>
      <sheetName val="인부신상자료"/>
      <sheetName val="DATE"/>
      <sheetName val="투찰(하수)"/>
      <sheetName val="투찰내역"/>
      <sheetName val="소화실적"/>
      <sheetName val="대비2"/>
      <sheetName val="현장관리비"/>
      <sheetName val="공사개요"/>
      <sheetName val="#REF"/>
      <sheetName val="9-1차이내역"/>
      <sheetName val="견적정보"/>
      <sheetName val="산근"/>
      <sheetName val="lab"/>
      <sheetName val="cp1"/>
      <sheetName val="일위대가(1)"/>
      <sheetName val="DANGA"/>
      <sheetName val="실행철강하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교육계획"/>
      <sheetName val="전문품의"/>
      <sheetName val="2.대외공문"/>
      <sheetName val="Macro1"/>
      <sheetName val="5사남"/>
      <sheetName val="95MAKER"/>
      <sheetName val="95하U$가격"/>
      <sheetName val="대외공문"/>
      <sheetName val="진도현황"/>
      <sheetName val="생산"/>
      <sheetName val="RD제품개발투자비(매가)"/>
      <sheetName val="남양시작동자105노65기1.3화1.2"/>
      <sheetName val="유림골조"/>
      <sheetName val="재종"/>
      <sheetName val=" 2012년 05월 공사원가보고서 (DYMOS).xlsx"/>
      <sheetName val="#REF"/>
      <sheetName val="45,46"/>
      <sheetName val="항목(1)"/>
      <sheetName val="특판제외"/>
      <sheetName val="수입"/>
      <sheetName val="98지급계획"/>
      <sheetName val="full (2)"/>
      <sheetName val="공량산출서"/>
      <sheetName val="new급여T(4을-운전)"/>
      <sheetName val="조건"/>
      <sheetName val="인사자료총집계"/>
      <sheetName val="Macro2"/>
      <sheetName val="토공사(흙막이)"/>
      <sheetName val="관람석제출"/>
      <sheetName val="97교육계획.xls"/>
      <sheetName val="97%EA%B5%90%EC%9C%A1%EA%B3%84%E"/>
      <sheetName val="R&amp;D"/>
      <sheetName val="매출pivot"/>
      <sheetName val="신재공재고평가"/>
      <sheetName val="을지"/>
      <sheetName val="직노"/>
      <sheetName val="FAB별"/>
      <sheetName val="내역"/>
      <sheetName val="세부추진"/>
      <sheetName val="상용보강"/>
      <sheetName val="BA"/>
      <sheetName val="카렌스센터계량기설치공사"/>
      <sheetName val="BOOK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NEW비교"/>
      <sheetName val="의뢰"/>
      <sheetName val="견적조건"/>
      <sheetName val="품의서"/>
      <sheetName val="새공통(97년3월)"/>
      <sheetName val="건축"/>
      <sheetName val="24평(계단식-TOWER)"/>
      <sheetName val="24평(계단식)"/>
      <sheetName val="32평"/>
      <sheetName val="43평"/>
      <sheetName val="48평"/>
      <sheetName val="동DATA"/>
      <sheetName val="파일본수"/>
      <sheetName val="파일공사"/>
      <sheetName val="SERVICE"/>
      <sheetName val="부대건축"/>
      <sheetName val="전기"/>
      <sheetName val="설비"/>
      <sheetName val="토공사및 흙막이공사"/>
      <sheetName val="옥외"/>
      <sheetName val="물가상승1"/>
      <sheetName val="써100 (A4)"/>
      <sheetName val="제출표지"/>
      <sheetName val="건축(주상복합)"/>
      <sheetName val="옥외및기타"/>
      <sheetName val="파일공사(APT)"/>
      <sheetName val="파일공사(부대동)"/>
      <sheetName val="의뢰서"/>
      <sheetName val="공통비"/>
      <sheetName val="총괄"/>
      <sheetName val="남양시작동자105노65기1.3화1.2"/>
      <sheetName val="일위대가(가설)"/>
      <sheetName val="물가자료"/>
      <sheetName val="Y-WORK"/>
      <sheetName val="고분전시관"/>
      <sheetName val="1"/>
      <sheetName val="부대시설"/>
      <sheetName val="1차설계변경내역"/>
      <sheetName val="단가표"/>
      <sheetName val="삭제금지단가"/>
      <sheetName val="97 사업추정(WEKI)"/>
      <sheetName val="청산공사"/>
      <sheetName val="터파기및재료"/>
      <sheetName val="직노"/>
      <sheetName val="구조물견적서"/>
      <sheetName val="기성내역"/>
      <sheetName val="표지 (2)"/>
      <sheetName val="일위대가"/>
      <sheetName val="도급FORM"/>
      <sheetName val="Sheet4"/>
      <sheetName val="수량산출서"/>
      <sheetName val="설계예산서"/>
      <sheetName val="Apt내역"/>
      <sheetName val="내역서"/>
      <sheetName val="SUMMARY"/>
      <sheetName val="PAINT"/>
      <sheetName val="을지"/>
      <sheetName val="골조시행"/>
      <sheetName val="손익차9월2"/>
      <sheetName val="EACT10"/>
      <sheetName val="기계설비"/>
      <sheetName val="단중표"/>
      <sheetName val="집계표"/>
      <sheetName val="내역"/>
      <sheetName val="금융비용"/>
      <sheetName val="Sheet2"/>
      <sheetName val="노임이"/>
      <sheetName val="소방"/>
      <sheetName val="unit 4"/>
      <sheetName val="단가비교표"/>
      <sheetName val="와동25-3(변경)"/>
      <sheetName val="건축공사실행"/>
      <sheetName val="P.M 별"/>
      <sheetName val="Total"/>
      <sheetName val="#REF"/>
      <sheetName val="맨홀"/>
      <sheetName val="수입"/>
      <sheetName val="Baby일위대가"/>
      <sheetName val="작업지시서-1호"/>
      <sheetName val="노임단가"/>
      <sheetName val="DAN"/>
      <sheetName val="백호우계수"/>
      <sheetName val="토목공사"/>
      <sheetName val="표지"/>
      <sheetName val="목차"/>
      <sheetName val="설계조건"/>
      <sheetName val="열관류율"/>
      <sheetName val="First"/>
      <sheetName val="Front"/>
      <sheetName val="wall"/>
      <sheetName val="부하계산서"/>
      <sheetName val="F.C.U ZONE집계"/>
      <sheetName val="A.H.U ZONE별집계"/>
      <sheetName val="PAC 집계"/>
      <sheetName val="난방부하집계(청소년수련관)"/>
      <sheetName val="냉온수기"/>
      <sheetName val="보일러&amp;응축수탱크"/>
      <sheetName val="열교환기"/>
      <sheetName val="공조기선정"/>
      <sheetName val="공조기리턴휀"/>
      <sheetName val="FAN"/>
      <sheetName val="저수조(교육,사이버)"/>
      <sheetName val="저수조(청소년)"/>
      <sheetName val="급탕탱크"/>
      <sheetName val="급수펌프"/>
      <sheetName val="펌프"/>
      <sheetName val="1.가스소비량"/>
      <sheetName val="환산길이"/>
      <sheetName val="1-3.가스관경계산-1"/>
      <sheetName val="1-4.가스관경계산-2"/>
      <sheetName val="1-5.가스관경계산-3"/>
      <sheetName val="1-6.가스관경계산-4 "/>
      <sheetName val="1-7.가스관경계산-5"/>
      <sheetName val="1-7.가스차압산출"/>
      <sheetName val="form"/>
      <sheetName val="ZONE"/>
      <sheetName val="DATA"/>
      <sheetName val="주차장환기량"/>
      <sheetName val="송풍기272대형(지하2층)"/>
      <sheetName val="송풍기272대형(지하1층)"/>
      <sheetName val="송풍기268대형(지하1층)"/>
      <sheetName val="덕트 및 배기그릴선정"/>
      <sheetName val="1.견적서목록"/>
      <sheetName val="SF적재계산"/>
      <sheetName val="FAX1"/>
      <sheetName val="주소록"/>
      <sheetName val="Module1"/>
      <sheetName val="Module2"/>
      <sheetName val="MM"/>
      <sheetName val="견적표지"/>
      <sheetName val="견적서"/>
      <sheetName val="부하계산서 (영문)"/>
      <sheetName val="PEND-ITEM"/>
      <sheetName val="PEND-ITEM (2)"/>
      <sheetName val="PEND-99"/>
      <sheetName val="0000"/>
      <sheetName val="설계자료"/>
      <sheetName val="Sheet1"/>
      <sheetName val="Sheet3"/>
      <sheetName val="Sheet7"/>
      <sheetName val="Sheet8"/>
      <sheetName val="Sheet9"/>
      <sheetName val="Sheet10"/>
      <sheetName val="Sheet11"/>
      <sheetName val="Sheet12"/>
      <sheetName val="Sheet13"/>
      <sheetName val="Sheet14"/>
      <sheetName val="Sheet15"/>
      <sheetName val="Sheet6"/>
      <sheetName val="Sheet16"/>
      <sheetName val="VXXXXXX"/>
      <sheetName val="목록"/>
      <sheetName val="파일정리"/>
      <sheetName val="견적표지(종)"/>
      <sheetName val="견적표지 (횡)"/>
      <sheetName val="화물선취"/>
      <sheetName val="부하집계표 (2안)"/>
      <sheetName val="부하계산서 "/>
      <sheetName val="동결부하계산서"/>
      <sheetName val="UNIT COOLER 선정표"/>
      <sheetName val="ACCUMULALOR (2안)"/>
      <sheetName val="동력집계표 (2안)"/>
      <sheetName val="cooling tower (2)"/>
      <sheetName val="cooling water pump"/>
      <sheetName val="DEFROEST PUMP"/>
      <sheetName val="기기선정표 (2안)"/>
      <sheetName val="부하집계표"/>
      <sheetName val="동력집계표"/>
      <sheetName val="ACCUMULALOR"/>
      <sheetName val="cooling tower"/>
      <sheetName val="기기선정표"/>
      <sheetName val="부하집계표 (2)"/>
      <sheetName val="방수몰탈"/>
      <sheetName val="조명시설"/>
      <sheetName val="토건"/>
      <sheetName val="1차 내역서"/>
      <sheetName val="사업부배부A"/>
      <sheetName val="당사수지비교표"/>
      <sheetName val="저"/>
      <sheetName val="산출-설비"/>
      <sheetName val="본선집계표"/>
      <sheetName val="차액보증"/>
      <sheetName val="안양1공구_건축"/>
      <sheetName val="인천제철"/>
      <sheetName val="BSD _2_"/>
      <sheetName val="노임"/>
      <sheetName val="내역서-수정본"/>
      <sheetName val="내역서 (2)"/>
      <sheetName val="BEND LOSS"/>
      <sheetName val="공조기"/>
      <sheetName val="공조기휀"/>
      <sheetName val="AHU집계"/>
      <sheetName val="OCT.FDN"/>
      <sheetName val="WIND"/>
      <sheetName val="SEISMIC"/>
      <sheetName val="SIZE"/>
      <sheetName val="EXT.CHECK"/>
      <sheetName val="DESIGN"/>
      <sheetName val="Demolition(Total)"/>
      <sheetName val="D-147E"/>
      <sheetName val="D-126E"/>
      <sheetName val="V-128E"/>
      <sheetName val="FL-123E1"/>
      <sheetName val="D-120E"/>
      <sheetName val="D-131E"/>
      <sheetName val="T-127E1"/>
      <sheetName val="Trench1"/>
      <sheetName val="Trench2"/>
      <sheetName val="Trench3"/>
      <sheetName val="P-147E1"/>
      <sheetName val="P-124E"/>
      <sheetName val="P-127E1,E2 "/>
      <sheetName val="P-121E"/>
      <sheetName val="P-122E"/>
      <sheetName val="P-120E1,E2"/>
      <sheetName val="P-123E1,E2 "/>
      <sheetName val="P-128E "/>
      <sheetName val="CONCRETE"/>
      <sheetName val="카메라"/>
      <sheetName val="토공(우물통,기타) "/>
      <sheetName val="도급원가"/>
      <sheetName val="교통대책내역"/>
      <sheetName val="경산"/>
      <sheetName val="일반공사"/>
      <sheetName val="기초단가"/>
      <sheetName val="2공구산출내역"/>
      <sheetName val="카렌스센터계량기설치공사"/>
      <sheetName val="A LINE"/>
      <sheetName val="DATE"/>
      <sheetName val="품셈TABLE"/>
      <sheetName val="내역표지"/>
      <sheetName val="3.건축(현장안)"/>
      <sheetName val="WEIGHT LIST"/>
      <sheetName val="산#2-1 (2)"/>
      <sheetName val="공조기(삭제)"/>
      <sheetName val="건축원가"/>
      <sheetName val="갑지(추정)"/>
      <sheetName val="PAC"/>
      <sheetName val="Sheet3-1"/>
      <sheetName val="물가자료비교"/>
      <sheetName val="3사단가비교"/>
      <sheetName val="대동"/>
      <sheetName val="성림"/>
      <sheetName val="금강"/>
      <sheetName val="bid"/>
      <sheetName val="xxxxxx"/>
      <sheetName val="（２）"/>
      <sheetName val="（３） "/>
      <sheetName val="97년-98년"/>
      <sheetName val="Sheet5"/>
      <sheetName val="주간업무보고"/>
      <sheetName val="주간업무보고4월첫째"/>
      <sheetName val="부재중업무보고"/>
      <sheetName val="주간업무보고4월네째"/>
      <sheetName val="3"/>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2)"/>
      <sheetName val="목차(1)"/>
      <sheetName val="1-1"/>
      <sheetName val="1-2"/>
      <sheetName val="1-3"/>
      <sheetName val="1-4"/>
      <sheetName val="1-5"/>
      <sheetName val="1-6"/>
      <sheetName val="1-7"/>
      <sheetName val="1-8"/>
      <sheetName val="1-9"/>
      <sheetName val="1-10"/>
      <sheetName val="1-11"/>
      <sheetName val="지침"/>
      <sheetName val="일정"/>
      <sheetName val="단위"/>
      <sheetName val="갱비산출근거"/>
      <sheetName val="양식목차"/>
      <sheetName val="1-1.손익(부문별)"/>
      <sheetName val="1-2.손익(월별)"/>
      <sheetName val="2-1.판관비(부문)"/>
      <sheetName val="2-2.판관비(월별)"/>
      <sheetName val="3-1.수익비용(부문별)"/>
      <sheetName val="3-2.수익비용(월별)"/>
      <sheetName val="4-1.투자(부문)"/>
      <sheetName val="4-2.투자(월별)"/>
      <sheetName val="5-1.인원(부문)"/>
      <sheetName val="5-2.인원(월별)"/>
      <sheetName val="6.산출근거"/>
      <sheetName val="7.현금흐름"/>
      <sheetName val="마케팅1"/>
      <sheetName val="마케팅1 (2)"/>
      <sheetName val="마케팅1 (3)"/>
      <sheetName val="마케팅1 (4)"/>
      <sheetName val="구판관비"/>
      <sheetName val="01 1담당매출계획27.8$"/>
      <sheetName val="01매출계획식자재"/>
      <sheetName val="01매출계획 선용품"/>
      <sheetName val="증감내역"/>
      <sheetName val="99~01년승선현황"/>
      <sheetName val="1월"/>
      <sheetName val="2월"/>
      <sheetName val="3월"/>
      <sheetName val="4월"/>
      <sheetName val="5월"/>
      <sheetName val="6월"/>
      <sheetName val="상반기"/>
      <sheetName val="7월"/>
      <sheetName val="9월"/>
      <sheetName val="8월"/>
      <sheetName val="10월"/>
      <sheetName val="11월"/>
      <sheetName val="12월"/>
      <sheetName val="하반기"/>
      <sheetName val="총계"/>
      <sheetName val="울산총계"/>
      <sheetName val="울산1월"/>
      <sheetName val="울산2월"/>
      <sheetName val="울산3월"/>
      <sheetName val="울산4월"/>
      <sheetName val="울산5월"/>
      <sheetName val="울산6월"/>
      <sheetName val="울산7월"/>
      <sheetName val="울산8월"/>
      <sheetName val="울산9월"/>
      <sheetName val="울산10월"/>
      <sheetName val="울산11월"/>
      <sheetName val="울산12월"/>
      <sheetName val="성남총계"/>
      <sheetName val="성남1월"/>
      <sheetName val="성남2월"/>
      <sheetName val="성남3월"/>
      <sheetName val="성남4월"/>
      <sheetName val="성남5월"/>
      <sheetName val="성남6월"/>
      <sheetName val="성남7월"/>
      <sheetName val="성남8월"/>
      <sheetName val="성남9월"/>
      <sheetName val="성남10월"/>
      <sheetName val="성남11월"/>
      <sheetName val="성남12월"/>
      <sheetName val="요약장"/>
      <sheetName val="부도어음수표"/>
      <sheetName val="악성채권"/>
      <sheetName val="작업전원본"/>
      <sheetName val="작업악성채권직원판매제외(거래선별종합)"/>
      <sheetName val="작업악성채권직원판매제외(거래선별) "/>
      <sheetName val="작업악성채권직원판매제외 (담당별종합)"/>
      <sheetName val="작업악성채권직원판매제외 (담당별)"/>
      <sheetName val="별첨1"/>
      <sheetName val="별첨2"/>
      <sheetName val="별첨3"/>
      <sheetName val="별첨4"/>
      <sheetName val="백1"/>
      <sheetName val="백2"/>
      <sheetName val="백3"/>
      <sheetName val="월별매출01"/>
      <sheetName val="식품"/>
      <sheetName val="포함"/>
      <sheetName val="울산점"/>
      <sheetName val="일반관리비"/>
      <sheetName val="판촉비예산 "/>
      <sheetName val="전산투자예산"/>
      <sheetName val="인테리어.시설"/>
      <sheetName val="파 3층 특설 장치장식비"/>
      <sheetName val="갑"/>
      <sheetName val="2"/>
      <sheetName val="4"/>
      <sheetName val="5"/>
      <sheetName val="6"/>
      <sheetName val="7"/>
      <sheetName val="채권총괄표(H&amp;S집계)"/>
      <sheetName val="표지(03년11월)"/>
      <sheetName val="총괄 (03년11월)h&amp;s"/>
      <sheetName val="총괄 (03년11월)여행"/>
      <sheetName val="세부내용 (03년11월)여행"/>
      <sheetName val="개인 세부내용 (03년11월)여행"/>
      <sheetName val="서울일반상품"/>
      <sheetName val="서울상품권"/>
      <sheetName val="동구일반상품 "/>
      <sheetName val="동구미수금"/>
      <sheetName val="금강산"/>
      <sheetName val="임대"/>
      <sheetName val="본사"/>
      <sheetName val="ꀀ"/>
      <sheetName val="영업2파트"/>
      <sheetName val="영업활동현황"/>
      <sheetName val="성과보고표지"/>
      <sheetName val="성과보고양식"/>
      <sheetName val="관람석제출"/>
      <sheetName val="TRE TABLE"/>
      <sheetName val="공통부대비"/>
      <sheetName val="9811"/>
      <sheetName val="base"/>
      <sheetName val="빙설"/>
      <sheetName val="첨부1-1"/>
      <sheetName val="입력"/>
      <sheetName val="ELECTRIC"/>
      <sheetName val="세금자료"/>
      <sheetName val="단가조사"/>
      <sheetName val="업체별기성내역"/>
      <sheetName val="7.수지"/>
      <sheetName val="수량산출"/>
      <sheetName val="동영견적(갑지)"/>
      <sheetName val="자재단가"/>
      <sheetName val="조건표"/>
      <sheetName val="2.2.10.샤시등"/>
      <sheetName val="A3.공사비 검토"/>
      <sheetName val="C3.토목_옹벽"/>
      <sheetName val="A6.샤시등"/>
      <sheetName val="공사개요"/>
      <sheetName val="공통비총괄표"/>
      <sheetName val="위치조서"/>
      <sheetName val="수리결과"/>
      <sheetName val="정화조동내역"/>
      <sheetName val="건물개요"/>
      <sheetName val="내역서 (3)"/>
      <sheetName val="내역서2"/>
      <sheetName val="내역서 (4)"/>
      <sheetName val="단가입력"/>
      <sheetName val="잡자재비"/>
      <sheetName val="공구손료"/>
      <sheetName val="인건비산출"/>
      <sheetName val="정릉견산출"/>
      <sheetName val="상도동견산출"/>
      <sheetName val="상도갑지"/>
      <sheetName val="ABUT수량-A1"/>
      <sheetName val="물량표"/>
      <sheetName val="평형공사비"/>
      <sheetName val="주소"/>
      <sheetName val="간접비"/>
      <sheetName val="공통가설"/>
      <sheetName val="수목표준대가"/>
      <sheetName val="기초일위"/>
      <sheetName val="시설일위"/>
      <sheetName val="조명일위"/>
      <sheetName val="sst,stl창호"/>
      <sheetName val="매각(6)"/>
      <sheetName val="TOWER 12TON"/>
      <sheetName val="JIB CRANE,HOIST"/>
      <sheetName val="TOWER 10TON"/>
      <sheetName val="원내역서3"/>
      <sheetName val="돈암사업"/>
      <sheetName val="J直材4"/>
      <sheetName val="N賃率-職"/>
      <sheetName val="분양가"/>
      <sheetName val="물량내역"/>
      <sheetName val="부대공"/>
      <sheetName val="포장공"/>
      <sheetName val="토공"/>
      <sheetName val="청천내"/>
      <sheetName val="노무산출서"/>
      <sheetName val="금액내역서"/>
      <sheetName val="집행내역"/>
      <sheetName val="EJ"/>
      <sheetName val="철콘(1차견적)"/>
      <sheetName val="PI"/>
      <sheetName val="지수"/>
      <sheetName val="실행철강하도"/>
      <sheetName val="PE거푸집(1.2)"/>
      <sheetName val="을"/>
      <sheetName val="가로등내역서"/>
      <sheetName val="화전내"/>
      <sheetName val="시장성초안camera"/>
      <sheetName val="용연"/>
      <sheetName val="울산"/>
      <sheetName val="진천"/>
      <sheetName val="구미"/>
      <sheetName val="대구"/>
      <sheetName val="언양"/>
      <sheetName val="보할공정"/>
      <sheetName val="단가대비표"/>
      <sheetName val="충주내역"/>
      <sheetName val="소요자재명세서"/>
      <sheetName val="노무비명세서"/>
      <sheetName val="압력시험보고서"/>
      <sheetName val="배관설치최종점검기록서"/>
      <sheetName val="PUNCH LIST"/>
      <sheetName val="WELDING JOINT INSPECTION STATUS"/>
      <sheetName val="명판"/>
      <sheetName val="업무"/>
      <sheetName val="4-0.툫자_x0000__x0000_문)"/>
      <sheetName val="토목주소"/>
      <sheetName val="프랜트면허"/>
      <sheetName val="개산공사비"/>
      <sheetName val="기안"/>
      <sheetName val="5사남"/>
      <sheetName val="APT"/>
      <sheetName val="부속동"/>
      <sheetName val="현관"/>
      <sheetName val="일위대가목차"/>
      <sheetName val="간접비 총괄표"/>
      <sheetName val="철거산출근거"/>
      <sheetName val="아파트 "/>
      <sheetName val="내역서2안"/>
      <sheetName val="BOX날개벽"/>
      <sheetName val="비교1"/>
      <sheetName val="노무비단가"/>
      <sheetName val="토목내역서 (도급단가)"/>
      <sheetName val="위생-sa"/>
      <sheetName val="8"/>
      <sheetName val="9"/>
      <sheetName val="10"/>
      <sheetName val="11"/>
      <sheetName val="12"/>
      <sheetName val="13"/>
      <sheetName val="14"/>
      <sheetName val="15"/>
      <sheetName val="16"/>
      <sheetName val="17"/>
      <sheetName val="18"/>
      <sheetName val="19"/>
      <sheetName val="20"/>
      <sheetName val="중방향비율"/>
      <sheetName val="골격"/>
      <sheetName val="가로교통량"/>
      <sheetName val="현황(무신호)"/>
      <sheetName val="미시(휴일-무신호)"/>
      <sheetName val="시행(휴일-무신호)"/>
      <sheetName val="현황-2차로분석)"/>
      <sheetName val="미시(휴일-2차로분석)"/>
      <sheetName val="시행(휴일-2차로분석)"/>
      <sheetName val="자단"/>
      <sheetName val="인공산출"/>
      <sheetName val="단락전류-A"/>
      <sheetName val="전선 및 전선관"/>
      <sheetName val="공사예산하조서(O.K)"/>
      <sheetName val="2000.05"/>
      <sheetName val="교대일반수량"/>
      <sheetName val="참고용"/>
      <sheetName val="참고용 (2)"/>
      <sheetName val="COMPARISON TABLE"/>
      <sheetName val="Eq. Mobilization"/>
      <sheetName val="_x0000_"/>
      <sheetName val="VXXXXXXX"/>
      <sheetName val="지사인원"/>
      <sheetName val="SIL98"/>
      <sheetName val="영업소실적"/>
      <sheetName val="상반기손익차2총괄"/>
      <sheetName val="업무분장"/>
      <sheetName val="회사99"/>
      <sheetName val="토목"/>
      <sheetName val="외주비"/>
      <sheetName val="BOQ"/>
      <sheetName val="콤보박스와 리스트박스의 연결"/>
      <sheetName val="교대일반수량총괄집계표"/>
      <sheetName val="구의33고"/>
      <sheetName val="Macro1"/>
      <sheetName val="2000년 공정표"/>
      <sheetName val="대비"/>
      <sheetName val="설계내역서"/>
      <sheetName val="A조"/>
      <sheetName val="충주"/>
      <sheetName val="0.갑지"/>
      <sheetName val="1.공통가설공사"/>
      <sheetName val="2.토목공사"/>
      <sheetName val="3.건축공사"/>
      <sheetName val="4.설비공사"/>
      <sheetName val="5.전기공사"/>
      <sheetName val="7.안전관리비"/>
      <sheetName val="8.현장관리비"/>
      <sheetName val="인원투입 계획표"/>
      <sheetName val="공사계약현황(공통가설공사)"/>
      <sheetName val="공사계약현황(토목)"/>
      <sheetName val="공사계약현황(건축)"/>
      <sheetName val="공사계약현황 (기계설비))"/>
      <sheetName val="공사계약현황 (전기)"/>
      <sheetName val="원본"/>
      <sheetName val="입찰안"/>
      <sheetName val="일위대가(계측기설치)"/>
      <sheetName val="일위_파일"/>
      <sheetName val="기둥(원형)"/>
      <sheetName val="기초공"/>
      <sheetName val="데리네이타현황"/>
      <sheetName val="수지예산"/>
      <sheetName val="남양주댠가표"/>
      <sheetName val="구리토평1전기"/>
      <sheetName val="교대(A1)"/>
      <sheetName val="통합"/>
      <sheetName val="45,46"/>
      <sheetName val="관류율"/>
      <sheetName val="g"/>
      <sheetName val="h"/>
      <sheetName val="c"/>
      <sheetName val="d"/>
      <sheetName val="e"/>
      <sheetName val="f"/>
      <sheetName val="난방집계"/>
      <sheetName val="난방입상"/>
      <sheetName val="난방횡주"/>
      <sheetName val="급수입상"/>
      <sheetName val="급수횡주"/>
      <sheetName val="급탕입상"/>
      <sheetName val="급탕횡주"/>
      <sheetName val="배수입상 "/>
      <sheetName val="배수횡주"/>
      <sheetName val="오수횡주"/>
      <sheetName val="LEGEND"/>
      <sheetName val="cover"/>
      <sheetName val="1장 "/>
      <sheetName val="1.개요 "/>
      <sheetName val="2.조건 "/>
      <sheetName val="3.공식붙임"/>
      <sheetName val="2장"/>
      <sheetName val="냉난방"/>
      <sheetName val="3장"/>
      <sheetName val="열원장비"/>
      <sheetName val="4장 "/>
      <sheetName val="1.AHU "/>
      <sheetName val="2.AHU-1"/>
      <sheetName val="2.FAN"/>
      <sheetName val="환기량"/>
      <sheetName val="5장"/>
      <sheetName val="1.급탕"/>
      <sheetName val="6장 별첨"/>
      <sheetName val="외기조건"/>
      <sheetName val="면적&amp;재실인원"/>
      <sheetName val="냉방부하"/>
      <sheetName val="AHU-1"/>
      <sheetName val="AHU-2"/>
      <sheetName val="AHU-3"/>
      <sheetName val="AHU-4"/>
      <sheetName val="AHU-5"/>
      <sheetName val="AHU-6"/>
      <sheetName val="설계개요"/>
      <sheetName val="기초입력"/>
      <sheetName val="추정공사비계산"/>
      <sheetName val="추정공사비 산출결과"/>
      <sheetName val="데이터"/>
      <sheetName val="급수공과금양식"/>
      <sheetName val="일반사항(1,2면)"/>
      <sheetName val="의무사항(3면)"/>
      <sheetName val="에너지성능지표검토서(건축)"/>
      <sheetName val="에너지성능지표검토서(기계, 전기, 신재생)"/>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판관(용역)"/>
      <sheetName val="월별판관(용역)"/>
      <sheetName val="26"/>
      <sheetName val="1-1.손익(온정각)"/>
      <sheetName val="1-1.손익(관광식당)"/>
      <sheetName val="1-1.손익(직원식당)"/>
      <sheetName val="1-2.월별손익(온정각)"/>
      <sheetName val="1-2.월별손익(관광식당)"/>
      <sheetName val="200"/>
      <sheetName val="건축실행  (5)"/>
      <sheetName val="단가"/>
      <sheetName val="C급보 "/>
      <sheetName val="wage Cal"/>
      <sheetName val="암거"/>
      <sheetName val="스낵물량"/>
      <sheetName val="캔개발배경"/>
      <sheetName val="시장"/>
      <sheetName val="일정표"/>
      <sheetName val="04부품"/>
      <sheetName val="99년하반기"/>
      <sheetName val="6공구(당초)"/>
      <sheetName val="단가비교"/>
      <sheetName val="재정비직인"/>
      <sheetName val="재정비내역"/>
      <sheetName val="지적고시내역"/>
      <sheetName val="배수공"/>
      <sheetName val="6PILE  (돌출)"/>
      <sheetName val="수량산출서 갑지"/>
      <sheetName val="일반전기C"/>
      <sheetName val="총괄표"/>
      <sheetName val="설계명세"/>
      <sheetName val="간접"/>
      <sheetName val="전계가"/>
      <sheetName val="세원견적서"/>
      <sheetName val="남대문빌딩"/>
      <sheetName val="냉천부속동"/>
      <sheetName val="hvac(제어동)"/>
      <sheetName val="참조"/>
      <sheetName val="메인거더-크로스빔200연결부"/>
      <sheetName val="공통가설공사"/>
      <sheetName val="최종견"/>
      <sheetName val="IMP(MAIN)"/>
      <sheetName val="IMP (REACTOR)"/>
      <sheetName val="토공사및_흙막이공사"/>
      <sheetName val="써100_(A4)"/>
      <sheetName val="97_사업추정(WEKI)"/>
      <sheetName val="남양시작동자105노65기1_3화1_2"/>
      <sheetName val="7_수지"/>
      <sheetName val="F_C_U_ZONE집계"/>
      <sheetName val="A_H_U_ZONE별집계"/>
      <sheetName val="PAC_집계"/>
      <sheetName val="1_가스소비량"/>
      <sheetName val="1-3_가스관경계산-1"/>
      <sheetName val="1-4_가스관경계산-2"/>
      <sheetName val="1-5_가스관경계산-3"/>
      <sheetName val="1-6_가스관경계산-4_"/>
      <sheetName val="1-7_가스관경계산-5"/>
      <sheetName val="1-7_가스차압산출"/>
      <sheetName val="덕트_및_배기그릴선정"/>
      <sheetName val="1_견적서목록"/>
      <sheetName val="부하계산서_(영문)"/>
      <sheetName val="PEND-ITEM_(2)"/>
      <sheetName val="견적표지_(횡)"/>
      <sheetName val="부하집계표_(2안)"/>
      <sheetName val="부하계산서_"/>
      <sheetName val="UNIT_COOLER_선정표"/>
      <sheetName val="ACCUMULALOR_(2안)"/>
      <sheetName val="동력집계표_(2안)"/>
      <sheetName val="cooling_tower_(2)"/>
      <sheetName val="cooling_water_pump"/>
      <sheetName val="DEFROEST_PUMP"/>
      <sheetName val="기기선정표_(2안)"/>
      <sheetName val="cooling_tower"/>
      <sheetName val="부하집계표_(2)"/>
      <sheetName val="unit_4"/>
      <sheetName val="표지_(2)"/>
      <sheetName val="TOWER_12TON"/>
      <sheetName val="JIB_CRANE,HOIST"/>
      <sheetName val="TOWER_10TON"/>
      <sheetName val="P_M_별"/>
      <sheetName val="OCT_FDN"/>
      <sheetName val="EXT_CHECK"/>
      <sheetName val="P-127E1,E2_"/>
      <sheetName val="P-123E1,E2_"/>
      <sheetName val="P-128E_"/>
      <sheetName val="3_건축(현장안)"/>
      <sheetName val="BEND_LOSS"/>
      <sheetName val="1차_내역서"/>
      <sheetName val="A_LINE"/>
      <sheetName val="WEIGHT_LIST"/>
      <sheetName val="산#2-1_(2)"/>
      <sheetName val="（３）_"/>
      <sheetName val="목차_(2)"/>
      <sheetName val="1-1_손익(부문별)"/>
      <sheetName val="1-2_손익(월별)"/>
      <sheetName val="2-1_판관비(부문)"/>
      <sheetName val="2-2_판관비(월별)"/>
      <sheetName val="3-1_수익비용(부문별)"/>
      <sheetName val="3-2_수익비용(월별)"/>
      <sheetName val="4-1_투자(부문)"/>
      <sheetName val="4-2_투자(월별)"/>
      <sheetName val="5-1_인원(부문)"/>
      <sheetName val="5-2_인원(월별)"/>
      <sheetName val="6_산출근거"/>
      <sheetName val="7_현금흐름"/>
      <sheetName val="마케팅1_(2)"/>
      <sheetName val="마케팅1_(3)"/>
      <sheetName val="마케팅1_(4)"/>
      <sheetName val="01_1담당매출계획27_8$"/>
      <sheetName val="01매출계획_선용품"/>
      <sheetName val="작업악성채권직원판매제외(거래선별)_"/>
      <sheetName val="작업악성채권직원판매제외_(담당별종합)"/>
      <sheetName val="작업악성채권직원판매제외_(담당별)"/>
      <sheetName val="판촉비예산_"/>
      <sheetName val="인테리어_시설"/>
      <sheetName val="파_3층_특설_장치장식비"/>
      <sheetName val="총괄_(03년11월)h&amp;s"/>
      <sheetName val="총괄_(03년11월)여행"/>
      <sheetName val="세부내용_(03년11월)여행"/>
      <sheetName val="개인_세부내용_(03년11월)여행"/>
      <sheetName val="동구일반상품_"/>
      <sheetName val="2_2_10_샤시등"/>
      <sheetName val="A3_공사비_검토"/>
      <sheetName val="C3_토목_옹벽"/>
      <sheetName val="A6_샤시등"/>
      <sheetName val="토공(우물통,기타)_"/>
      <sheetName val="TRE_TABLE"/>
      <sheetName val="PUNCH_LIST"/>
      <sheetName val="WELDING_JOINT_INSPECTION_STATUS"/>
      <sheetName val="PE거푸집(1_2)"/>
      <sheetName val="아파트_"/>
      <sheetName val="BSD__2_"/>
      <sheetName val="내역서_(2)"/>
      <sheetName val="내역서_(3)"/>
      <sheetName val="내역서_(4)"/>
      <sheetName val="대비표"/>
      <sheetName val="동별내역-3월5일"/>
      <sheetName val="소요자재"/>
      <sheetName val="(첨부3)급탕,온수시방"/>
      <sheetName val="(첨부3)냉수,냉온수보온시방"/>
      <sheetName val="(첨부3)냉매보온"/>
      <sheetName val="잡비"/>
      <sheetName val="6호기"/>
      <sheetName val="EQT-ESTN"/>
      <sheetName val="공문"/>
      <sheetName val="공통비(전체)"/>
      <sheetName val="DB"/>
      <sheetName val="단가산출"/>
      <sheetName val="부대내역"/>
      <sheetName val="별제권_정리담보권1"/>
      <sheetName val="데이타"/>
      <sheetName val="깨기수량"/>
      <sheetName val="1.설계조건"/>
      <sheetName val="1-2.월별손익(직원식당)"/>
      <sheetName val="2-1.판관비(지원)"/>
      <sheetName val="2-1.판관비(관광)"/>
      <sheetName val="2-1.판관비(직원) "/>
      <sheetName val="소모품내역"/>
      <sheetName val="직원사급품"/>
      <sheetName val="합산손익"/>
      <sheetName val="인원,매출기준"/>
      <sheetName val="2-1.판관비(온정각)"/>
      <sheetName val="2-2.월별판관비(온정각)"/>
      <sheetName val="기초부하"/>
      <sheetName val="아파트건축"/>
      <sheetName val="적정심사"/>
      <sheetName val="2-2.월별판관비(지원)"/>
      <sheetName val="2-2.월별판관비(직원)"/>
      <sheetName val="2-2.월별판관비(휴게소)"/>
      <sheetName val="2-2.월별판관비(스넥코너)"/>
      <sheetName val="2-2.월별판관비(음료코너)"/>
      <sheetName val="2-2.월별판관비(온천장)"/>
      <sheetName val="5-1.인원(온정각)"/>
      <sheetName val="23"/>
      <sheetName val="24"/>
      <sheetName val="25"/>
      <sheetName val="27"/>
      <sheetName val="28"/>
      <sheetName val="29"/>
      <sheetName val="30"/>
      <sheetName val="인원계획"/>
      <sheetName val="99년누계 (월별)"/>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참조1"/>
      <sheetName val="참조2"/>
      <sheetName val="2월15일"/>
      <sheetName val="아산공문"/>
      <sheetName val="매출현황"/>
      <sheetName val="총괄현황"/>
      <sheetName val="골프스포츠"/>
      <sheetName val="고효율 유도전동기 적용비율 계산서"/>
      <sheetName val="설비2차"/>
      <sheetName val="설계예시"/>
      <sheetName val="일위대가표"/>
      <sheetName val="마감사양"/>
      <sheetName val="금융"/>
      <sheetName val="봉천제출"/>
      <sheetName val="효율비교"/>
      <sheetName val="시설물기초"/>
      <sheetName val="2000년1차"/>
      <sheetName val="분당임차변경"/>
      <sheetName val="유림콘도"/>
      <sheetName val="건축내역"/>
      <sheetName val="2.대외공문"/>
      <sheetName val="물건조서"/>
      <sheetName val="유림총괄"/>
      <sheetName val="대차대조-보고"/>
      <sheetName val="갑지"/>
      <sheetName val="누락일위대가내역"/>
      <sheetName val="배수입상_"/>
      <sheetName val="토목내역서_(도급단가)"/>
      <sheetName val="1장_"/>
      <sheetName val="1_개요_"/>
      <sheetName val="2_조건_"/>
      <sheetName val="3_공식붙임"/>
      <sheetName val="4장_"/>
      <sheetName val="1_AHU_"/>
      <sheetName val="2_AHU-1"/>
      <sheetName val="2_FAN"/>
      <sheetName val="1_급탕"/>
      <sheetName val="6장_별첨"/>
      <sheetName val="전선_및_전선관"/>
      <sheetName val="추정공사비_산출결과"/>
      <sheetName val="에너지성능지표검토서(기계,_전기,_신재생)"/>
      <sheetName val="월별손익(용역)_"/>
      <sheetName val="1-1_손익(온정각)"/>
      <sheetName val="1-1_손익(관광식당)"/>
      <sheetName val="1-1_손익(직원식당)"/>
      <sheetName val="1-2_월별손익(온정각)"/>
      <sheetName val="1-2_월별손익(관광식당)"/>
      <sheetName val="1-2_월별손익(직원식당)"/>
      <sheetName val="2-1_판관비(지원)"/>
      <sheetName val="2-1_판관비(관광)"/>
      <sheetName val="2-1_판관비(직원)_"/>
      <sheetName val="2-1_판관비(온정각)"/>
      <sheetName val="2-2_월별판관비(온정각)"/>
      <sheetName val="2-2_월별판관비(지원)"/>
      <sheetName val="2-2_월별판관비(직원)"/>
      <sheetName val="2-2_월별판관비(휴게소)"/>
      <sheetName val="2-2_월별판관비(스넥코너)"/>
      <sheetName val="2-2_월별판관비(음료코너)"/>
      <sheetName val="2-2_월별판관비(온천장)"/>
      <sheetName val="5-1_인원(온정각)"/>
      <sheetName val="99년누계_(월별)"/>
      <sheetName val="고효율_유도전동기_적용비율_계산서"/>
      <sheetName val="정산서 "/>
      <sheetName val="일용노임단가"/>
      <sheetName val="총물량"/>
      <sheetName val="입찰"/>
      <sheetName val="현경"/>
      <sheetName val="RE9604"/>
      <sheetName val="99년신청"/>
      <sheetName val="구조     ."/>
      <sheetName val="주관사업"/>
      <sheetName val="1차배부(JB포함)"/>
      <sheetName val="C.배수관공"/>
      <sheetName val="수목데이타 "/>
      <sheetName val="CON'C"/>
      <sheetName val="ITEM"/>
      <sheetName val="전체"/>
      <sheetName val="1.수인터널"/>
      <sheetName val="노임조서"/>
      <sheetName val="_x000f__x0000_"/>
      <sheetName val="출장거리"/>
      <sheetName val="총괄장"/>
      <sheetName val="의류패션팀"/>
      <sheetName val="잡화가용팀"/>
      <sheetName val="판매기획팀"/>
      <sheetName val="식품팀"/>
      <sheetName val="과투입사유서"/>
      <sheetName val="공사현황"/>
      <sheetName val="갑지 (2)"/>
      <sheetName val="비목별 투자 집계"/>
      <sheetName val="목차2"/>
      <sheetName val="미불금"/>
      <sheetName val="상용인건비"/>
      <sheetName val="노무비집계"/>
      <sheetName val="보인"/>
      <sheetName val="목공(직영)"/>
      <sheetName val="측구목공(외주)"/>
      <sheetName val="목공교량외주"/>
      <sheetName val="철근교량외주"/>
      <sheetName val="조원공(외주)"/>
      <sheetName val="기성검사원"/>
      <sheetName val="외주집계"/>
      <sheetName val="모작기성"/>
      <sheetName val="수량집계표"/>
      <sheetName val="장비사용집계표"/>
      <sheetName val="장비사용내역"/>
      <sheetName val="자재집계표"/>
      <sheetName val="자재비내역 "/>
      <sheetName val="잡자재집계표"/>
      <sheetName val="잡자재비내역"/>
      <sheetName val="유류비집계표"/>
      <sheetName val="유대공제분산출내역"/>
      <sheetName val="유류사용내역서(관문)"/>
      <sheetName val="유류사용내역서(진성)"/>
      <sheetName val="기타유류내역"/>
      <sheetName val="운반비"/>
      <sheetName val="운반비 내역"/>
      <sheetName val="수선수리비집계표"/>
      <sheetName val="수선수리비내역"/>
      <sheetName val="소모공구비"/>
      <sheetName val="소모공구내역"/>
      <sheetName val="사무 용품비"/>
      <sheetName val="사무용품내역서"/>
      <sheetName val="안전관리비집계표"/>
      <sheetName val="안전관리비내역"/>
      <sheetName val="현장경비"/>
      <sheetName val="현장경비내역"/>
      <sheetName val="전기통신비"/>
      <sheetName val="지대 및 집세"/>
      <sheetName val="감가상각명세서"/>
      <sheetName val="전도금정산서"/>
      <sheetName val="복후집계표"/>
      <sheetName val="복리후생비내역"/>
      <sheetName val="식대내역집계표"/>
      <sheetName val="식대청구서"/>
      <sheetName val="애산리식당"/>
      <sheetName val="식대관문"/>
      <sheetName val="신흥상회"/>
      <sheetName val="임금계좌내역"/>
      <sheetName val="계산서발행내역"/>
      <sheetName val="갑지 2 (2)"/>
      <sheetName val="갑지 2"/>
      <sheetName val="공정보고서"/>
      <sheetName val="기계설비-내역서"/>
      <sheetName val="도급내역서"/>
      <sheetName val="기흥하도용"/>
      <sheetName val="일위목록"/>
      <sheetName val="요율"/>
      <sheetName val="플랜트 설치"/>
      <sheetName val="역T형옹벽(3.0)"/>
      <sheetName val="연결관암거"/>
      <sheetName val="갑지1"/>
      <sheetName val="당사"/>
      <sheetName val="49-119"/>
      <sheetName val="설계기준"/>
      <sheetName val="내역1"/>
      <sheetName val="양수장(기계)"/>
      <sheetName val="1.설계기준"/>
      <sheetName val="건축기술부대조건"/>
      <sheetName val="5.공종별예산내역서"/>
      <sheetName val="DATA1"/>
      <sheetName val="1.CB"/>
      <sheetName val="1.CB (2)"/>
      <sheetName val="1.CB (3)"/>
      <sheetName val="TEST"/>
      <sheetName val="합계"/>
      <sheetName val="수식"/>
      <sheetName val="외화"/>
      <sheetName val="도입"/>
      <sheetName val="정액"/>
      <sheetName val="변수"/>
      <sheetName val="정율"/>
      <sheetName val="외산지수"/>
      <sheetName val="환율(설치)"/>
      <sheetName val="환산율"/>
      <sheetName val="국내지수"/>
      <sheetName val="신공덕"/>
      <sheetName val="총괄집계표"/>
      <sheetName val="1.구리중 (제조사A)"/>
      <sheetName val="1.구리중 (제조사B)"/>
      <sheetName val="1.구리중 (제조사C)"/>
      <sheetName val="2.토평초(제조사A)"/>
      <sheetName val="2.토평초(제조사B)"/>
      <sheetName val="2.토평초(제조사C)"/>
      <sheetName val="3.평내초(제조사A)"/>
      <sheetName val="3.평내초(제조사B)"/>
      <sheetName val="3.평내초(제조사C)"/>
      <sheetName val="전체(삼성모델)"/>
      <sheetName val="전체(케리어모델)"/>
      <sheetName val="MDF"/>
      <sheetName val="실외기 배관트레이"/>
      <sheetName val="중앙콘트롤러설치용전선 "/>
      <sheetName val="자재단가표"/>
      <sheetName val="실내기전원"/>
      <sheetName val="부표총괄"/>
      <sheetName val="INPUT"/>
      <sheetName val="각형덕트"/>
      <sheetName val="터미널측정기록"/>
      <sheetName val="시운전연료"/>
      <sheetName val="유동표"/>
      <sheetName val="인건비"/>
      <sheetName val="을 1"/>
      <sheetName val="을 2"/>
      <sheetName val="ilch"/>
      <sheetName val="예산명세서"/>
      <sheetName val="1안"/>
      <sheetName val="일단의 주택지"/>
      <sheetName val="단"/>
      <sheetName val="적용률"/>
      <sheetName val="노무비"/>
      <sheetName val="설계명세서"/>
      <sheetName val="자료입력"/>
      <sheetName val="2.냉난방설비공사"/>
      <sheetName val="7.자동제어공사"/>
      <sheetName val="증감내역서"/>
      <sheetName val="CTEMCOST"/>
      <sheetName val="하도내역 (철콘)"/>
      <sheetName val="시설국장자료"/>
      <sheetName val="조건"/>
      <sheetName val="흙깎기(도로부)"/>
      <sheetName val="관리,부대비"/>
      <sheetName val="제경비율"/>
      <sheetName val="대차대조표"/>
      <sheetName val="큐비&amp;pnl_견적비교"/>
      <sheetName val="등_견적비교"/>
      <sheetName val="서울통신"/>
      <sheetName val="실행(1)"/>
      <sheetName val="1.취수장"/>
      <sheetName val="3.고급화검토"/>
      <sheetName val="입면고급화단가표"/>
      <sheetName val="2.공사비 검토"/>
      <sheetName val="합계잔액시산표"/>
      <sheetName val="비교대차대조표"/>
      <sheetName val="비교손익계산서 "/>
      <sheetName val="결손금처리계산서"/>
      <sheetName val="현금흐름표정산표"/>
      <sheetName val="현금흐름표"/>
      <sheetName val="현금흐름표_명세"/>
      <sheetName val="0312대차대조표"/>
      <sheetName val="(기준서반영)0312손익계산서"/>
      <sheetName val="상품"/>
      <sheetName val="매장상품"/>
      <sheetName val="외상매입금"/>
      <sheetName val="매출원가"/>
      <sheetName val="2003.12"/>
      <sheetName val="2002.12"/>
      <sheetName val="대차대조표_보고"/>
      <sheetName val="손익계산서_보고"/>
      <sheetName val="요약대차당해년"/>
      <sheetName val="요약대차대조표"/>
      <sheetName val="년도별손익계산서"/>
      <sheetName val="년도별대차대조표"/>
      <sheetName val="주요계정명세서_보고"/>
      <sheetName val="결산공고용"/>
      <sheetName val="영업.일1"/>
      <sheetName val="단가 "/>
      <sheetName val="단가산출서"/>
      <sheetName val="도급"/>
      <sheetName val="인건비 "/>
      <sheetName val="2. 공원조도"/>
      <sheetName val="01"/>
      <sheetName val="현장관리비"/>
      <sheetName val="장비비"/>
      <sheetName val="SEV wiress4 Total"/>
      <sheetName val="SEV wireles 4  fire fighting "/>
      <sheetName val="1-2-1"/>
      <sheetName val="1-2-2"/>
      <sheetName val="1-2-3"/>
      <sheetName val="1-3-1"/>
      <sheetName val="1-3-2"/>
      <sheetName val="1-3-3"/>
      <sheetName val="1-3-4"/>
      <sheetName val="2-1"/>
      <sheetName val="2-2-1"/>
      <sheetName val="2-2-2"/>
      <sheetName val="3-1"/>
      <sheetName val="3-2"/>
      <sheetName val="4-1"/>
      <sheetName val="4-2"/>
      <sheetName val="SEV wireles 4  fire Alarm"/>
      <sheetName val="B.1-1"/>
      <sheetName val="B.1-2"/>
      <sheetName val="B.1-3"/>
      <sheetName val="B.1-4"/>
      <sheetName val="B.1-5"/>
      <sheetName val="B.1-6"/>
      <sheetName val="B.1-7"/>
      <sheetName val="B.2"/>
      <sheetName val="B.3"/>
      <sheetName val="B.4"/>
      <sheetName val="B.6-1"/>
      <sheetName val="B.6-2"/>
      <sheetName val="7.경제성결과"/>
      <sheetName val="BSD (2)"/>
      <sheetName val="anaysis_sheet"/>
      <sheetName val="비용master"/>
      <sheetName val="일위대가(1)"/>
      <sheetName val="IN2"/>
      <sheetName val="대비표(토공1안)"/>
      <sheetName val="정부노임단가"/>
      <sheetName val="신공"/>
      <sheetName val="2호맨홀공제수량"/>
      <sheetName val="9GNG운반"/>
      <sheetName val="템플릿"/>
      <sheetName val="choose"/>
      <sheetName val="기준"/>
      <sheetName val="WORKER"/>
      <sheetName val="관세,통관수수료,운반비"/>
      <sheetName val="겉표지"/>
      <sheetName val="원가"/>
      <sheetName val="노임근거"/>
      <sheetName val="일대목차"/>
      <sheetName val="합산자재"/>
      <sheetName val="옵션"/>
      <sheetName val="사용설명"/>
      <sheetName val="Mech CIF"/>
      <sheetName val="WORK"/>
      <sheetName val="현장관리비데이타"/>
      <sheetName val="단위내역목록"/>
      <sheetName val="설비내역서"/>
      <sheetName val="전기내역서"/>
      <sheetName val="건축내역서"/>
      <sheetName val="b_balju-단가단가단가"/>
      <sheetName val="설직재-1"/>
      <sheetName val="산출내역서"/>
      <sheetName val="사업성"/>
      <sheetName val="대여현황"/>
      <sheetName val="금액순"/>
      <sheetName val="안산기계장치"/>
      <sheetName val="4-0.툫자"/>
      <sheetName val="인건-측정"/>
      <sheetName val="Hidden"/>
      <sheetName val="DATA(BAC)"/>
      <sheetName val="회사정보"/>
      <sheetName val="단위세대 개요"/>
      <sheetName val="매립"/>
      <sheetName val="예가표"/>
      <sheetName val="GATE_RFID_설치운영"/>
      <sheetName val="음료실행"/>
      <sheetName val="공틀공사"/>
      <sheetName val="별표"/>
      <sheetName val="설계"/>
      <sheetName val="기본자료"/>
      <sheetName val="토목단가"/>
      <sheetName val="본실행경비"/>
      <sheetName val="FAB별"/>
      <sheetName val="실행내역 "/>
      <sheetName val="공내역"/>
      <sheetName val="설 계"/>
      <sheetName val="새공통"/>
      <sheetName val="입출재고현황 (2)"/>
      <sheetName val="금호"/>
      <sheetName val="4-3 보온 기본물량집계"/>
      <sheetName val="XZLC004_PART2"/>
      <sheetName val="현장지지물물량"/>
      <sheetName val="경상비내역"/>
      <sheetName val="도시가스현황"/>
      <sheetName val="할증 "/>
      <sheetName val="매각대상"/>
      <sheetName val="승용C.S"/>
      <sheetName val="상용C.S"/>
      <sheetName val="내역(가지)"/>
      <sheetName val="1공구산출내역서"/>
      <sheetName val="1.우편집중내역서"/>
      <sheetName val="기계경비(시간당)"/>
      <sheetName val="램머"/>
      <sheetName val="TYPE-A"/>
      <sheetName val="XZLC003_PART1"/>
      <sheetName val="환율change"/>
      <sheetName val="토공정보"/>
      <sheetName val="기성내역서"/>
      <sheetName val="보온자재단가표"/>
      <sheetName val="CB"/>
      <sheetName val="b_yesan"/>
      <sheetName val="토목내역 (2)"/>
      <sheetName val="SG"/>
      <sheetName val="선수금,기성"/>
      <sheetName val="가격조사서"/>
      <sheetName val="70%"/>
      <sheetName val="골조"/>
      <sheetName val="E총"/>
      <sheetName val="EKOG10건축"/>
      <sheetName val="BM"/>
      <sheetName val="부재리스트"/>
      <sheetName val="H-Pile공"/>
      <sheetName val="환경기계공정표 (3)"/>
      <sheetName val="부산제일극장"/>
      <sheetName val="익산"/>
      <sheetName val="자재표"/>
      <sheetName val="일위(PN)"/>
      <sheetName val="인원계획-미화"/>
      <sheetName val="실행예산"/>
      <sheetName val="횡배수관집현황(2공구)"/>
      <sheetName val="공사비예산서(토목분)"/>
      <sheetName val="기안지"/>
      <sheetName val="1.집계표"/>
      <sheetName val="2.공통가설공사"/>
      <sheetName val="4.기계설비공사"/>
      <sheetName val="7. 안전관리비"/>
      <sheetName val="인원투입계획"/>
      <sheetName val="총괄계약금액"/>
      <sheetName val="계약현황"/>
      <sheetName val="식대 숙직비"/>
      <sheetName val="패널"/>
      <sheetName val="201801"/>
      <sheetName val="201802"/>
      <sheetName val="201803"/>
      <sheetName val="201804"/>
      <sheetName val="201805"/>
      <sheetName val="201806"/>
      <sheetName val="201807"/>
      <sheetName val="201808"/>
      <sheetName val="99노임기준"/>
      <sheetName val="VXXXXX"/>
      <sheetName val="견적서(방진)"/>
      <sheetName val="견적서(내진)-ULFM"/>
      <sheetName val="내진스토퍼-앙카체결"/>
      <sheetName val="신단가"/>
      <sheetName val="신단가 (내진설치비)"/>
      <sheetName val="PO-MAT견적(철근)"/>
      <sheetName val="PO-MAT견적(와이어메쉬)"/>
      <sheetName val="JACK-UP"/>
      <sheetName val="프린트 (3)"/>
      <sheetName val="측면지"/>
      <sheetName val="뒷표지"/>
      <sheetName val="앞표지"/>
      <sheetName val="제출문"/>
      <sheetName val="간지-2"/>
      <sheetName val="결과1"/>
      <sheetName val="결과2"/>
      <sheetName val="결과3"/>
      <sheetName val="결과4"/>
      <sheetName val="결과5"/>
      <sheetName val="결과6"/>
      <sheetName val="간지-2 (2)"/>
      <sheetName val=" 1. 개요"/>
      <sheetName val=" 2. 난방설비"/>
      <sheetName val="열관류율 계산서"/>
      <sheetName val="84A"/>
      <sheetName val="84B"/>
      <sheetName val="84C"/>
      <sheetName val="101A"/>
      <sheetName val="101B"/>
      <sheetName val="101C"/>
      <sheetName val="난방부하집계"/>
      <sheetName val="2.3 세대별난방부하집계"/>
      <sheetName val="보일러 선정"/>
      <sheetName val="84A (2)"/>
      <sheetName val="84B (2)"/>
      <sheetName val="84C (2)"/>
      <sheetName val="101A (2)"/>
      <sheetName val="101B (2)"/>
      <sheetName val="101C (2)"/>
      <sheetName val="난방부하집계 (2)"/>
      <sheetName val="2.3 세대별난방부하집계 (2)"/>
      <sheetName val="보일러 선정 (2)"/>
      <sheetName val="4.급수설비"/>
      <sheetName val="4.2 급수입상배관"/>
      <sheetName val="4.3 급수횡주관"/>
      <sheetName val="5.1 열교환기"/>
      <sheetName val="일위대가(건축)"/>
      <sheetName val="일위대가_가설_"/>
      <sheetName val="계측기"/>
      <sheetName val="Sheet1 (2)"/>
      <sheetName val="콘크리트"/>
      <sheetName val="시멘골재"/>
      <sheetName val="철근"/>
      <sheetName val="주요자재"/>
      <sheetName val="골재"/>
      <sheetName val="강재2"/>
      <sheetName val="XL4Poppy"/>
      <sheetName val="지급자재"/>
      <sheetName val="공사비총괄표"/>
      <sheetName val="중기사용료"/>
      <sheetName val="노임명세"/>
      <sheetName val="anti-termite"/>
      <sheetName val="_x0000__x0008__x0000_ꪀᗈ_x0000_"/>
      <sheetName val="EQUIPMENT -2"/>
      <sheetName val="도기류"/>
      <sheetName val="손익분석"/>
      <sheetName val="기본사항"/>
      <sheetName val="소야공정계획표"/>
      <sheetName val="기타수량"/>
      <sheetName val="DATA 입력란"/>
      <sheetName val="1. 설계조건 2.단면가정 3. 하중계산"/>
      <sheetName val="수량"/>
      <sheetName val="토공수량산출"/>
      <sheetName val="토적계산서"/>
      <sheetName val="공제구간조서"/>
      <sheetName val="3련 BOX"/>
      <sheetName val="공종"/>
      <sheetName val="---제2오수펌프장"/>
      <sheetName val="예산"/>
      <sheetName val="청하배수"/>
      <sheetName val="단가보완"/>
      <sheetName val="단위가격"/>
      <sheetName val="SR97-1"/>
      <sheetName val="1SGATE97"/>
      <sheetName val="가공비"/>
      <sheetName val="하수실행"/>
      <sheetName val="골재수량"/>
      <sheetName val="토공집계"/>
      <sheetName val="토공유동표"/>
      <sheetName val="토공계산서"/>
      <sheetName val="포장수량집계"/>
      <sheetName val="본선포장수량"/>
      <sheetName val="토적표"/>
      <sheetName val="배수공수집"/>
      <sheetName val="접도구역경계표주현황"/>
      <sheetName val="가도공"/>
      <sheetName val="본지사합"/>
      <sheetName val="일반수량"/>
      <sheetName val="공사"/>
      <sheetName val="용산1(해보)"/>
      <sheetName val="간지"/>
      <sheetName val="1.설계조건 "/>
      <sheetName val="설계기준설명 "/>
      <sheetName val="2.단면가정 (BASE)"/>
      <sheetName val="3.하중및토압 (고정)"/>
      <sheetName val="4.작용하중(고정)"/>
      <sheetName val="5.안정검토(고정)(풍화암)"/>
      <sheetName val="6.벽체계산"/>
      <sheetName val="7.흉벽계산(ASCON)"/>
      <sheetName val="8.FOOTING"/>
      <sheetName val="9.날개벽"/>
      <sheetName val="10.교좌받침"/>
      <sheetName val="11.접속슬라브(ASCON)"/>
      <sheetName val="주철근조립도"/>
      <sheetName val="기계공사내역"/>
      <sheetName val="특기사항"/>
      <sheetName val="수도메타"/>
      <sheetName val="수도FAX"/>
      <sheetName val="사코FAX"/>
      <sheetName val="사코"/>
      <sheetName val="설계내역2"/>
      <sheetName val="전체도급"/>
      <sheetName val="덕전리"/>
      <sheetName val="변압기L"/>
      <sheetName val="변압기E"/>
      <sheetName val="GEN "/>
      <sheetName val="세대"/>
      <sheetName val="L"/>
      <sheetName val="P"/>
      <sheetName val="LE"/>
      <sheetName val="주차장"/>
      <sheetName val="동력"/>
      <sheetName val="전압강하"/>
      <sheetName val="접지"/>
      <sheetName val="밧데리및정류기"/>
      <sheetName val="조도"/>
      <sheetName val="TRAY"/>
      <sheetName val="단락용량"/>
      <sheetName val="1동"/>
      <sheetName val="2동"/>
      <sheetName val="3동"/>
      <sheetName val="4동"/>
      <sheetName val="5동"/>
      <sheetName val="전화"/>
      <sheetName val="방송"/>
      <sheetName val="자료"/>
      <sheetName val="도급견적가"/>
      <sheetName val="식재인부"/>
      <sheetName val="하자보증"/>
      <sheetName val="개인DATA"/>
      <sheetName val="1차3회-개소별명세서-빨간색-인쇄용(21873)"/>
      <sheetName val="식재일위대가"/>
      <sheetName val="J형측구단위수량"/>
      <sheetName val="본사공가현황"/>
      <sheetName val="시추주상도"/>
      <sheetName val="ISO"/>
      <sheetName val="건   축"/>
      <sheetName val="아파트"/>
      <sheetName val="crude.SLAB RE-bar"/>
      <sheetName val="건축외주"/>
      <sheetName val="자  재"/>
      <sheetName val="동관마찰손실표"/>
      <sheetName val="원가계산"/>
      <sheetName val="12.17"/>
      <sheetName val="공조실11"/>
      <sheetName val="가스공사 "/>
      <sheetName val="공조실12"/>
      <sheetName val="매출"/>
      <sheetName val="8.PILE  (돌출)"/>
      <sheetName val="건축원가계산서"/>
      <sheetName val="빈"/>
      <sheetName val="15 문제점"/>
      <sheetName val="Sheet2 (2)"/>
      <sheetName val="가설대가"/>
      <sheetName val="토공대가"/>
      <sheetName val="구조대가"/>
      <sheetName val="포설대가1"/>
      <sheetName val="부대대가"/>
      <sheetName val="토목검측서"/>
      <sheetName val="2차공사"/>
      <sheetName val="Macro3"/>
      <sheetName val="암거날개벽재료집계"/>
      <sheetName val="예총"/>
      <sheetName val="집 계 표"/>
      <sheetName val="대비내역(총괄)"/>
      <sheetName val="수목데이타"/>
      <sheetName val="48평형"/>
      <sheetName val="62평형"/>
      <sheetName val="9,10월신제품 (2)"/>
      <sheetName val="기준9801"/>
      <sheetName val="비교9701"/>
      <sheetName val="0"/>
      <sheetName val="당년실적"/>
      <sheetName val="제품손익"/>
      <sheetName val="선택"/>
      <sheetName val="제조원가피벗"/>
      <sheetName val="위탁현황"/>
      <sheetName val="2001"/>
      <sheetName val="1999"/>
      <sheetName val="2000"/>
      <sheetName val="99차량"/>
      <sheetName val="피벗전체"/>
      <sheetName val="수출포함"/>
      <sheetName val="주간계획"/>
      <sheetName val="기초"/>
      <sheetName val="97손익"/>
      <sheetName val="98손익"/>
      <sheetName val="3부손익당월"/>
      <sheetName val="①매출"/>
      <sheetName val="당년사별실적"/>
      <sheetName val="Direct MP Updated"/>
      <sheetName val="단가조사서"/>
      <sheetName val="LG제품"/>
      <sheetName val="성단물량"/>
      <sheetName val="COL"/>
      <sheetName val="확약서"/>
      <sheetName val="기본DATA"/>
      <sheetName val="JUCK"/>
      <sheetName val="내역서1999.8최종"/>
      <sheetName val="D-3109"/>
      <sheetName val="도근좌표"/>
      <sheetName val="점수계산1-2"/>
      <sheetName val="EQUIP-H"/>
      <sheetName val="BOJUNGGM"/>
      <sheetName val="수량산출근거(본선)"/>
      <sheetName val="총투자비"/>
      <sheetName val="요약&amp;결과"/>
      <sheetName val="BS"/>
      <sheetName val="총사업비"/>
      <sheetName val="오피스매각가"/>
      <sheetName val="기자재비"/>
      <sheetName val="장비경비"/>
      <sheetName val="음성방향"/>
      <sheetName val="급수"/>
      <sheetName val="급탕"/>
      <sheetName val="시수"/>
      <sheetName val="급탕(순간식)"/>
      <sheetName val="4.3. 급수펌프선정"/>
      <sheetName val="4.3.2.급탕순환펌프"/>
      <sheetName val="4.3.3. 배수펌프"/>
      <sheetName val="4.4. 전기온수기"/>
      <sheetName val="4.5. 보일러"/>
      <sheetName val="4.4. 급탕탱크"/>
      <sheetName val="우수설계조건"/>
      <sheetName val="계통도"/>
      <sheetName val="설계계산서"/>
      <sheetName val="4.6. 급탕탱크"/>
      <sheetName val="---환기"/>
      <sheetName val="실별환기량산출"/>
      <sheetName val="수배전반 을지"/>
      <sheetName val="대,유,램"/>
      <sheetName val="노면표시수량집계"/>
      <sheetName val="마루67OB"/>
      <sheetName val="마루67OA"/>
      <sheetName val="마루52A"/>
      <sheetName val="마루45A"/>
      <sheetName val="마루42A"/>
      <sheetName val="평형별 세대수"/>
      <sheetName val="Title"/>
      <sheetName val="Load-Ut"/>
      <sheetName val="Load-Sum"/>
      <sheetName val="RM-Load0"/>
      <sheetName val="RM-Load1"/>
      <sheetName val="RM-Load2"/>
      <sheetName val="rm_data"/>
      <sheetName val="TE-Load"/>
      <sheetName val="FCU-Sel"/>
      <sheetName val="BL-Sum"/>
      <sheetName val="BL-Eq"/>
      <sheetName val="ZN-Sum"/>
      <sheetName val="1.공사개요(입력)"/>
      <sheetName val="LEGEND i"/>
      <sheetName val="마감"/>
      <sheetName val="기초데이타"/>
      <sheetName val="BOX구조해석 설명서"/>
      <sheetName val="단면가정"/>
      <sheetName val="좌표단면SPRING"/>
      <sheetName val="하중산정"/>
      <sheetName val="하중조합"/>
      <sheetName val="OUTPUT"/>
      <sheetName val="부재력요약"/>
      <sheetName val="철근량 검토"/>
      <sheetName val="우각부검토"/>
      <sheetName val="안정성검토"/>
      <sheetName val="철근배근"/>
      <sheetName val="96노임기준"/>
      <sheetName val="우배수"/>
      <sheetName val="S&amp;R"/>
      <sheetName val="6. 안전관리비"/>
      <sheetName val="5. 현장관리비(new) "/>
      <sheetName val="양지교"/>
      <sheetName val="내역서적용수량"/>
      <sheetName val="Bag Filter Sizing"/>
      <sheetName val="OHU"/>
      <sheetName val="서산일위대가수정분010603"/>
      <sheetName val="1~5월"/>
      <sheetName val="전화.인터넷(현장)"/>
      <sheetName val="텔레캅(현장)"/>
      <sheetName val="3.0냉난방열원집계"/>
      <sheetName val="4.1AHU"/>
      <sheetName val="4.3 공기압축기"/>
      <sheetName val="4.7 전기라디에타 "/>
      <sheetName val="4.9 AC "/>
      <sheetName val="4.11 FAN"/>
      <sheetName val="4.12 TANK 4.13 탈취기"/>
      <sheetName val="4.14 PUMP"/>
      <sheetName val="5.위생설비"/>
      <sheetName val="단가입耉"/>
      <sheetName val="22수량"/>
      <sheetName val="경영상태"/>
      <sheetName val="본체"/>
      <sheetName val="NH"/>
      <sheetName val="실행간접비용"/>
      <sheetName val="준검 내역서"/>
      <sheetName val="기술조건"/>
      <sheetName val="1.내역(청.하역장전등)"/>
      <sheetName val="기계"/>
      <sheetName val="정화조"/>
      <sheetName val="조경"/>
      <sheetName val="입찰견적보고서"/>
      <sheetName val="교각1"/>
      <sheetName val="결과보고서"/>
      <sheetName val="G.R300경비"/>
      <sheetName val="????"/>
      <sheetName val="전력"/>
      <sheetName val="가계약현황"/>
      <sheetName val="정계약 현황"/>
      <sheetName val="동호수배치도"/>
      <sheetName val="계약서불출대장"/>
      <sheetName val="우편수령"/>
      <sheetName val="계약해지"/>
      <sheetName val="납부서"/>
      <sheetName val="Construction"/>
      <sheetName val="영업소_x0000_"/>
      <sheetName val="BCA INDEX"/>
      <sheetName val="부대tu"/>
      <sheetName val="시설물"/>
      <sheetName val="파주 운정지구 A8블럭"/>
      <sheetName val="보차도경계석"/>
      <sheetName val="일위"/>
      <sheetName val="내역서(삼호)"/>
      <sheetName val="1.기계 납품 진행  현황"/>
      <sheetName val="2.협력업체 담당자 및 연락처"/>
      <sheetName val="프로젝트내용"/>
      <sheetName val="관경결정"/>
      <sheetName val="전신환매도율"/>
      <sheetName val="토공사및_흙막이공사1"/>
      <sheetName val="써100_(A4)1"/>
      <sheetName val="남양시작동자105노65기1_3화1_21"/>
      <sheetName val="F_C_U_ZONE집계1"/>
      <sheetName val="A_H_U_ZONE별집계1"/>
      <sheetName val="PAC_집계1"/>
      <sheetName val="1_가스소비량1"/>
      <sheetName val="1-3_가스관경계산-11"/>
      <sheetName val="1-4_가스관경계산-21"/>
      <sheetName val="1-5_가스관경계산-31"/>
      <sheetName val="1-6_가스관경계산-4_1"/>
      <sheetName val="1-7_가스관경계산-51"/>
      <sheetName val="1-7_가스차압산출1"/>
      <sheetName val="덕트_및_배기그릴선정1"/>
      <sheetName val="1_견적서목록1"/>
      <sheetName val="부하계산서_(영문)1"/>
      <sheetName val="PEND-ITEM_(2)1"/>
      <sheetName val="견적표지_(횡)1"/>
      <sheetName val="부하집계표_(2안)1"/>
      <sheetName val="부하계산서_1"/>
      <sheetName val="UNIT_COOLER_선정표1"/>
      <sheetName val="ACCUMULALOR_(2안)1"/>
      <sheetName val="동력집계표_(2안)1"/>
      <sheetName val="cooling_tower_(2)1"/>
      <sheetName val="cooling_water_pump1"/>
      <sheetName val="DEFROEST_PUMP1"/>
      <sheetName val="기기선정표_(2안)1"/>
      <sheetName val="cooling_tower1"/>
      <sheetName val="부하집계표_(2)1"/>
      <sheetName val="OCT_FDN1"/>
      <sheetName val="EXT_CHECK1"/>
      <sheetName val="P-127E1,E2_1"/>
      <sheetName val="P-123E1,E2_1"/>
      <sheetName val="P-128E_1"/>
      <sheetName val="97_사업추정(WEKI)1"/>
      <sheetName val="TRE_TABLE1"/>
      <sheetName val="표지_(2)1"/>
      <sheetName val="WEIGHT_LIST1"/>
      <sheetName val="산#2-1_(2)1"/>
      <sheetName val="unit_41"/>
      <sheetName val="3_건축(현장안)1"/>
      <sheetName val="（３）_1"/>
      <sheetName val="목차_(2)1"/>
      <sheetName val="1-1_손익(부문별)1"/>
      <sheetName val="1-2_손익(월별)1"/>
      <sheetName val="2-1_판관비(부문)1"/>
      <sheetName val="2-2_판관비(월별)1"/>
      <sheetName val="3-1_수익비용(부문별)1"/>
      <sheetName val="3-2_수익비용(월별)1"/>
      <sheetName val="4-1_투자(부문)1"/>
      <sheetName val="4-2_투자(월별)1"/>
      <sheetName val="5-1_인원(부문)1"/>
      <sheetName val="5-2_인원(월별)1"/>
      <sheetName val="6_산출근거1"/>
      <sheetName val="7_현금흐름1"/>
      <sheetName val="마케팅1_(2)1"/>
      <sheetName val="마케팅1_(3)1"/>
      <sheetName val="마케팅1_(4)1"/>
      <sheetName val="01_1담당매출계획27_8$1"/>
      <sheetName val="01매출계획_선용품1"/>
      <sheetName val="작업악성채권직원판매제외(거래선별)_1"/>
      <sheetName val="작업악성채권직원판매제외_(담당별종합)1"/>
      <sheetName val="작업악성채권직원판매제외_(담당별)1"/>
      <sheetName val="판촉비예산_1"/>
      <sheetName val="인테리어_시설1"/>
      <sheetName val="파_3층_특설_장치장식비1"/>
      <sheetName val="총괄_(03년11월)h&amp;s1"/>
      <sheetName val="총괄_(03년11월)여행1"/>
      <sheetName val="세부내용_(03년11월)여행1"/>
      <sheetName val="개인_세부내용_(03년11월)여행1"/>
      <sheetName val="동구일반상품_1"/>
      <sheetName val="PUNCH_LIST1"/>
      <sheetName val="WELDING_JOINT_INSPECTION_STATU1"/>
      <sheetName val="PE거푸집(1_2)1"/>
      <sheetName val="내역서_(3)1"/>
      <sheetName val="내역서_(4)1"/>
      <sheetName val="에너지성능지표검토서(기계,_전기,_신재생)1"/>
      <sheetName val="1장_1"/>
      <sheetName val="1_개요_1"/>
      <sheetName val="2_조건_1"/>
      <sheetName val="3_공식붙임1"/>
      <sheetName val="4장_1"/>
      <sheetName val="1_AHU_1"/>
      <sheetName val="2_AHU-11"/>
      <sheetName val="2_FAN1"/>
      <sheetName val="1_급탕1"/>
      <sheetName val="6장_별첨1"/>
      <sheetName val="추정공사비_산출결과1"/>
      <sheetName val="배수입상_1"/>
      <sheetName val="Mech_CIF"/>
      <sheetName val="2_냉난방설비공사"/>
      <sheetName val="7_자동제어공사"/>
      <sheetName val="P_M_별1"/>
      <sheetName val="1차_내역서1"/>
      <sheetName val="BEND_LOSS1"/>
      <sheetName val="A_LINE1"/>
      <sheetName val="2_2_10_샤시등1"/>
      <sheetName val="A3_공사비_검토1"/>
      <sheetName val="C3_토목_옹벽1"/>
      <sheetName val="A6_샤시등1"/>
      <sheetName val="토공(우물통,기타)_1"/>
      <sheetName val="BSD__2_1"/>
      <sheetName val="내역서_(2)1"/>
      <sheetName val="7_수지1"/>
      <sheetName val="TOWER_12TON1"/>
      <sheetName val="JIB_CRANE,HOIST1"/>
      <sheetName val="TOWER_10TON1"/>
      <sheetName val="아파트_1"/>
      <sheetName val="4-0_툫자문)"/>
      <sheetName val="2000_05"/>
      <sheetName val="토목내역서_(도급단가)1"/>
      <sheetName val="전선_및_전선관1"/>
      <sheetName val="2000년_공정표"/>
      <sheetName val="콤보박스와_리스트박스의_연결"/>
      <sheetName val="참고용_(2)"/>
      <sheetName val="COMPARISON_TABLE"/>
      <sheetName val="Eq__Mobilization"/>
      <sheetName val="간접비_총괄표"/>
      <sheetName val="월별손익(용역)_1"/>
      <sheetName val="1-1_손익(온정각)1"/>
      <sheetName val="1-1_손익(관광식당)1"/>
      <sheetName val="1-1_손익(직원식당)1"/>
      <sheetName val="1-2_월별손익(온정각)1"/>
      <sheetName val="1-2_월별손익(관광식당)1"/>
      <sheetName val="1-2_월별손익(직원식당)1"/>
      <sheetName val="2-1_판관비(지원)1"/>
      <sheetName val="2-1_판관비(관광)1"/>
      <sheetName val="2-1_판관비(직원)_1"/>
      <sheetName val="2-1_판관비(온정각)1"/>
      <sheetName val="2-2_월별판관비(온정각)1"/>
      <sheetName val="공사예산하조서(O_K)"/>
      <sheetName val="IMP_(REACTOR)"/>
      <sheetName val="0_갑지"/>
      <sheetName val="1_공통가설공사"/>
      <sheetName val="2_토목공사"/>
      <sheetName val="3_건축공사"/>
      <sheetName val="4_설비공사"/>
      <sheetName val="5_전기공사"/>
      <sheetName val="7_안전관리비"/>
      <sheetName val="8_현장관리비"/>
      <sheetName val="인원투입_계획표"/>
      <sheetName val="공사계약현황_(기계설비))"/>
      <sheetName val="공사계약현황_(전기)"/>
      <sheetName val="C_배수관공"/>
      <sheetName val="수목데이타_"/>
      <sheetName val="구조______"/>
      <sheetName val="2-2_월별판관비(지원)1"/>
      <sheetName val="2-2_월별판관비(직원)1"/>
      <sheetName val="2-2_월별판관비(휴게소)1"/>
      <sheetName val="2-2_월별판관비(스넥코너)1"/>
      <sheetName val="2-2_월별판관비(음료코너)1"/>
      <sheetName val="2-2_월별판관비(온천장)1"/>
      <sheetName val="5-1_인원(온정각)1"/>
      <sheetName val="99년누계_(월별)1"/>
      <sheetName val="고효율_유도전동기_적용비율_계산서1"/>
      <sheetName val="정산서_"/>
      <sheetName val="역T형옹벽(3_0)"/>
      <sheetName val="1_설계조건"/>
      <sheetName val="1_설계기준"/>
      <sheetName val="1_수인터널"/>
      <sheetName val="갑지_(2)"/>
      <sheetName val="비목별_투자_집계"/>
      <sheetName val="자재비내역_"/>
      <sheetName val="운반비_내역"/>
      <sheetName val="사무_용품비"/>
      <sheetName val="지대_및_집세"/>
      <sheetName val="5_공종별예산내역서"/>
      <sheetName val="건축실행__(5)"/>
      <sheetName val="1_취수장"/>
      <sheetName val="갑지_2_(2)"/>
      <sheetName val="갑지_2"/>
      <sheetName val="3_고급화검토"/>
      <sheetName val="2_공사비_검토"/>
      <sheetName val="플랜트_설치"/>
      <sheetName val="1_CB"/>
      <sheetName val="1_CB_(2)"/>
      <sheetName val="1_CB_(3)"/>
      <sheetName val="6PILE__(돌출)"/>
      <sheetName val="C급보_"/>
      <sheetName val="wage_Cal"/>
      <sheetName val="토공사및_흙막이공사2"/>
      <sheetName val="써100_(A4)2"/>
      <sheetName val="남양시작동자105노65기1_3화1_22"/>
      <sheetName val="F_C_U_ZONE집계2"/>
      <sheetName val="A_H_U_ZONE별집계2"/>
      <sheetName val="PAC_집계2"/>
      <sheetName val="1_가스소비량2"/>
      <sheetName val="1-3_가스관경계산-12"/>
      <sheetName val="1-4_가스관경계산-22"/>
      <sheetName val="1-5_가스관경계산-32"/>
      <sheetName val="1-6_가스관경계산-4_2"/>
      <sheetName val="1-7_가스관경계산-52"/>
      <sheetName val="1-7_가스차압산출2"/>
      <sheetName val="덕트_및_배기그릴선정2"/>
      <sheetName val="1_견적서목록2"/>
      <sheetName val="부하계산서_(영문)2"/>
      <sheetName val="PEND-ITEM_(2)2"/>
      <sheetName val="견적표지_(횡)2"/>
      <sheetName val="부하집계표_(2안)2"/>
      <sheetName val="부하계산서_2"/>
      <sheetName val="UNIT_COOLER_선정표2"/>
      <sheetName val="ACCUMULALOR_(2안)2"/>
      <sheetName val="동력집계표_(2안)2"/>
      <sheetName val="cooling_tower_(2)2"/>
      <sheetName val="cooling_water_pump2"/>
      <sheetName val="DEFROEST_PUMP2"/>
      <sheetName val="기기선정표_(2안)2"/>
      <sheetName val="cooling_tower2"/>
      <sheetName val="부하집계표_(2)2"/>
      <sheetName val="OCT_FDN2"/>
      <sheetName val="EXT_CHECK2"/>
      <sheetName val="P-127E1,E2_2"/>
      <sheetName val="P-123E1,E2_2"/>
      <sheetName val="P-128E_2"/>
      <sheetName val="97_사업추정(WEKI)2"/>
      <sheetName val="TRE_TABLE2"/>
      <sheetName val="표지_(2)2"/>
      <sheetName val="WEIGHT_LIST2"/>
      <sheetName val="산#2-1_(2)2"/>
      <sheetName val="unit_42"/>
      <sheetName val="3_건축(현장안)2"/>
      <sheetName val="（３）_2"/>
      <sheetName val="목차_(2)2"/>
      <sheetName val="1-1_손익(부문별)2"/>
      <sheetName val="1-2_손익(월별)2"/>
      <sheetName val="2-1_판관비(부문)2"/>
      <sheetName val="2-2_판관비(월별)2"/>
      <sheetName val="3-1_수익비용(부문별)2"/>
      <sheetName val="3-2_수익비용(월별)2"/>
      <sheetName val="4-1_투자(부문)2"/>
      <sheetName val="4-2_투자(월별)2"/>
      <sheetName val="5-1_인원(부문)2"/>
      <sheetName val="5-2_인원(월별)2"/>
      <sheetName val="6_산출근거2"/>
      <sheetName val="7_현금흐름2"/>
      <sheetName val="마케팅1_(2)2"/>
      <sheetName val="마케팅1_(3)2"/>
      <sheetName val="마케팅1_(4)2"/>
      <sheetName val="01_1담당매출계획27_8$2"/>
      <sheetName val="01매출계획_선용품2"/>
      <sheetName val="작업악성채권직원판매제외(거래선별)_2"/>
      <sheetName val="작업악성채권직원판매제외_(담당별종합)2"/>
      <sheetName val="작업악성채권직원판매제외_(담당별)2"/>
      <sheetName val="판촉비예산_2"/>
      <sheetName val="인테리어_시설2"/>
      <sheetName val="파_3층_특설_장치장식비2"/>
      <sheetName val="총괄_(03년11월)h&amp;s2"/>
      <sheetName val="총괄_(03년11월)여행2"/>
      <sheetName val="세부내용_(03년11월)여행2"/>
      <sheetName val="개인_세부내용_(03년11월)여행2"/>
      <sheetName val="동구일반상품_2"/>
      <sheetName val="PUNCH_LIST2"/>
      <sheetName val="WELDING_JOINT_INSPECTION_STATU2"/>
      <sheetName val="PE거푸집(1_2)2"/>
      <sheetName val="내역서_(3)2"/>
      <sheetName val="내역서_(4)2"/>
      <sheetName val="에너지성능지표검토서(기계,_전기,_신재생)2"/>
      <sheetName val="1장_2"/>
      <sheetName val="1_개요_2"/>
      <sheetName val="2_조건_2"/>
      <sheetName val="3_공식붙임2"/>
      <sheetName val="4장_2"/>
      <sheetName val="1_AHU_2"/>
      <sheetName val="2_AHU-12"/>
      <sheetName val="2_FAN2"/>
      <sheetName val="1_급탕2"/>
      <sheetName val="6장_별첨2"/>
      <sheetName val="추정공사비_산출결과2"/>
      <sheetName val="배수입상_2"/>
      <sheetName val="Mech_CIF1"/>
      <sheetName val="2_냉난방설비공사1"/>
      <sheetName val="7_자동제어공사1"/>
      <sheetName val="P_M_별2"/>
      <sheetName val="1차_내역서2"/>
      <sheetName val="BEND_LOSS2"/>
      <sheetName val="A_LINE2"/>
      <sheetName val="2_2_10_샤시등2"/>
      <sheetName val="A3_공사비_검토2"/>
      <sheetName val="C3_토목_옹벽2"/>
      <sheetName val="A6_샤시등2"/>
      <sheetName val="토공(우물통,기타)_2"/>
      <sheetName val="BSD__2_2"/>
      <sheetName val="내역서_(2)2"/>
      <sheetName val="7_수지2"/>
      <sheetName val="TOWER_12TON2"/>
      <sheetName val="JIB_CRANE,HOIST2"/>
      <sheetName val="TOWER_10TON2"/>
      <sheetName val="아파트_2"/>
      <sheetName val="2000_051"/>
      <sheetName val="토목내역서_(도급단가)2"/>
      <sheetName val="전선_및_전선관2"/>
      <sheetName val="2000년_공정표1"/>
      <sheetName val="콤보박스와_리스트박스의_연결1"/>
      <sheetName val="참고용_(2)1"/>
      <sheetName val="COMPARISON_TABLE1"/>
      <sheetName val="Eq__Mobilization1"/>
      <sheetName val="간접비_총괄표1"/>
      <sheetName val="월별손익(용역)_2"/>
      <sheetName val="1-1_손익(온정각)2"/>
      <sheetName val="1-1_손익(관광식당)2"/>
      <sheetName val="1-1_손익(직원식당)2"/>
      <sheetName val="1-2_월별손익(온정각)2"/>
      <sheetName val="1-2_월별손익(관광식당)2"/>
      <sheetName val="1-2_월별손익(직원식당)2"/>
      <sheetName val="2-1_판관비(지원)2"/>
      <sheetName val="2-1_판관비(관광)2"/>
      <sheetName val="2-1_판관비(직원)_2"/>
      <sheetName val="2-1_판관비(온정각)2"/>
      <sheetName val="2-2_월별판관비(온정각)2"/>
      <sheetName val="공사예산하조서(O_K)1"/>
      <sheetName val="IMP_(REACTOR)1"/>
      <sheetName val="0_갑지1"/>
      <sheetName val="1_공통가설공사1"/>
      <sheetName val="2_토목공사1"/>
      <sheetName val="3_건축공사1"/>
      <sheetName val="4_설비공사1"/>
      <sheetName val="5_전기공사1"/>
      <sheetName val="7_안전관리비1"/>
      <sheetName val="8_현장관리비1"/>
      <sheetName val="인원투입_계획표1"/>
      <sheetName val="공사계약현황_(기계설비))1"/>
      <sheetName val="공사계약현황_(전기)1"/>
      <sheetName val="C_배수관공1"/>
      <sheetName val="수목데이타_1"/>
      <sheetName val="구조______1"/>
      <sheetName val="2-2_월별판관비(지원)2"/>
      <sheetName val="2-2_월별판관비(직원)2"/>
      <sheetName val="2-2_월별판관비(휴게소)2"/>
      <sheetName val="2-2_월별판관비(스넥코너)2"/>
      <sheetName val="2-2_월별판관비(음료코너)2"/>
      <sheetName val="2-2_월별판관비(온천장)2"/>
      <sheetName val="5-1_인원(온정각)2"/>
      <sheetName val="99년누계_(월별)2"/>
      <sheetName val="고효율_유도전동기_적용비율_계산서2"/>
      <sheetName val="정산서_1"/>
      <sheetName val="역T형옹벽(3_0)1"/>
      <sheetName val="1_설계조건1"/>
      <sheetName val="1_설계기준1"/>
      <sheetName val="1_수인터널1"/>
      <sheetName val="갑지_(2)1"/>
      <sheetName val="비목별_투자_집계1"/>
      <sheetName val="자재비내역_1"/>
      <sheetName val="운반비_내역1"/>
      <sheetName val="사무_용품비1"/>
      <sheetName val="지대_및_집세1"/>
      <sheetName val="5_공종별예산내역서1"/>
      <sheetName val="건축실행__(5)1"/>
      <sheetName val="1_취수장1"/>
      <sheetName val="갑지_2_(2)1"/>
      <sheetName val="갑지_21"/>
      <sheetName val="3_고급화검토1"/>
      <sheetName val="2_공사비_검토1"/>
      <sheetName val="플랜트_설치1"/>
      <sheetName val="1_CB1"/>
      <sheetName val="1_CB_(2)1"/>
      <sheetName val="1_CB_(3)1"/>
      <sheetName val="6PILE__(돌출)1"/>
      <sheetName val="C급보_1"/>
      <sheetName val="wage_Cal1"/>
      <sheetName val="토공사및_흙막이공사3"/>
      <sheetName val="써100_(A4)3"/>
      <sheetName val="남양시작동자105노65기1_3화1_23"/>
      <sheetName val="F_C_U_ZONE집계3"/>
      <sheetName val="A_H_U_ZONE별집계3"/>
      <sheetName val="PAC_집계3"/>
      <sheetName val="1_가스소비량3"/>
      <sheetName val="1-3_가스관경계산-13"/>
      <sheetName val="1-4_가스관경계산-23"/>
      <sheetName val="1-5_가스관경계산-33"/>
      <sheetName val="1-6_가스관경계산-4_3"/>
      <sheetName val="1-7_가스관경계산-53"/>
      <sheetName val="1-7_가스차압산출3"/>
      <sheetName val="덕트_및_배기그릴선정3"/>
      <sheetName val="1_견적서목록3"/>
      <sheetName val="부하계산서_(영문)3"/>
      <sheetName val="PEND-ITEM_(2)3"/>
      <sheetName val="견적표지_(횡)3"/>
      <sheetName val="부하집계표_(2안)3"/>
      <sheetName val="부하계산서_3"/>
      <sheetName val="UNIT_COOLER_선정표3"/>
      <sheetName val="ACCUMULALOR_(2안)3"/>
      <sheetName val="동력집계표_(2안)3"/>
      <sheetName val="cooling_tower_(2)3"/>
      <sheetName val="cooling_water_pump3"/>
      <sheetName val="DEFROEST_PUMP3"/>
      <sheetName val="기기선정표_(2안)3"/>
      <sheetName val="cooling_tower3"/>
      <sheetName val="부하집계표_(2)3"/>
      <sheetName val="OCT_FDN3"/>
      <sheetName val="EXT_CHECK3"/>
      <sheetName val="P-127E1,E2_3"/>
      <sheetName val="P-123E1,E2_3"/>
      <sheetName val="P-128E_3"/>
      <sheetName val="97_사업추정(WEKI)3"/>
      <sheetName val="TRE_TABLE3"/>
      <sheetName val="표지_(2)3"/>
      <sheetName val="WEIGHT_LIST3"/>
      <sheetName val="산#2-1_(2)3"/>
      <sheetName val="unit_43"/>
      <sheetName val="3_건축(현장안)3"/>
      <sheetName val="（３）_3"/>
      <sheetName val="목차_(2)3"/>
      <sheetName val="1-1_손익(부문별)3"/>
      <sheetName val="1-2_손익(월별)3"/>
      <sheetName val="2-1_판관비(부문)3"/>
      <sheetName val="2-2_판관비(월별)3"/>
      <sheetName val="3-1_수익비용(부문별)3"/>
      <sheetName val="3-2_수익비용(월별)3"/>
      <sheetName val="4-1_투자(부문)3"/>
      <sheetName val="4-2_투자(월별)3"/>
      <sheetName val="5-1_인원(부문)3"/>
      <sheetName val="5-2_인원(월별)3"/>
      <sheetName val="6_산출근거3"/>
      <sheetName val="7_현금흐름3"/>
      <sheetName val="마케팅1_(2)3"/>
      <sheetName val="마케팅1_(3)3"/>
      <sheetName val="마케팅1_(4)3"/>
      <sheetName val="01_1담당매출계획27_8$3"/>
      <sheetName val="01매출계획_선용품3"/>
      <sheetName val="작업악성채권직원판매제외(거래선별)_3"/>
      <sheetName val="작업악성채권직원판매제외_(담당별종합)3"/>
      <sheetName val="작업악성채권직원판매제외_(담당별)3"/>
      <sheetName val="판촉비예산_3"/>
      <sheetName val="인테리어_시설3"/>
      <sheetName val="파_3층_특설_장치장식비3"/>
      <sheetName val="총괄_(03년11월)h&amp;s3"/>
      <sheetName val="총괄_(03년11월)여행3"/>
      <sheetName val="세부내용_(03년11월)여행3"/>
      <sheetName val="개인_세부내용_(03년11월)여행3"/>
      <sheetName val="동구일반상품_3"/>
      <sheetName val="PUNCH_LIST3"/>
      <sheetName val="WELDING_JOINT_INSPECTION_STATU3"/>
      <sheetName val="PE거푸집(1_2)3"/>
      <sheetName val="내역서_(3)3"/>
      <sheetName val="내역서_(4)3"/>
      <sheetName val="에너지성능지표검토서(기계,_전기,_신재생)3"/>
      <sheetName val="1장_3"/>
      <sheetName val="1_개요_3"/>
      <sheetName val="2_조건_3"/>
      <sheetName val="3_공식붙임3"/>
      <sheetName val="4장_3"/>
      <sheetName val="1_AHU_3"/>
      <sheetName val="2_AHU-13"/>
      <sheetName val="2_FAN3"/>
      <sheetName val="1_급탕3"/>
      <sheetName val="6장_별첨3"/>
      <sheetName val="추정공사비_산출결과3"/>
      <sheetName val="배수입상_3"/>
      <sheetName val="Mech_CIF2"/>
      <sheetName val="2_냉난방설비공사2"/>
      <sheetName val="7_자동제어공사2"/>
      <sheetName val="P_M_별3"/>
      <sheetName val="1차_내역서3"/>
      <sheetName val="BEND_LOSS3"/>
      <sheetName val="A_LINE3"/>
      <sheetName val="2_2_10_샤시등3"/>
      <sheetName val="A3_공사비_검토3"/>
      <sheetName val="C3_토목_옹벽3"/>
      <sheetName val="A6_샤시등3"/>
      <sheetName val="토공(우물통,기타)_3"/>
      <sheetName val="BSD__2_3"/>
      <sheetName val="내역서_(2)3"/>
      <sheetName val="7_수지3"/>
      <sheetName val="TOWER_12TON3"/>
      <sheetName val="JIB_CRANE,HOIST3"/>
      <sheetName val="TOWER_10TON3"/>
      <sheetName val="아파트_3"/>
      <sheetName val="2000_052"/>
      <sheetName val="토목내역서_(도급단가)3"/>
      <sheetName val="전선_및_전선관3"/>
      <sheetName val="2000년_공정표2"/>
      <sheetName val="콤보박스와_리스트박스의_연결2"/>
      <sheetName val="참고용_(2)2"/>
      <sheetName val="COMPARISON_TABLE2"/>
      <sheetName val="Eq__Mobilization2"/>
      <sheetName val="간접비_총괄표2"/>
      <sheetName val="월별손익(용역)_3"/>
      <sheetName val="1-1_손익(온정각)3"/>
      <sheetName val="1-1_손익(관광식당)3"/>
      <sheetName val="1-1_손익(직원식당)3"/>
      <sheetName val="1-2_월별손익(온정각)3"/>
      <sheetName val="1-2_월별손익(관광식당)3"/>
      <sheetName val="1-2_월별손익(직원식당)3"/>
      <sheetName val="2-1_판관비(지원)3"/>
      <sheetName val="2-1_판관비(관광)3"/>
      <sheetName val="2-1_판관비(직원)_3"/>
      <sheetName val="2-1_판관비(온정각)3"/>
      <sheetName val="2-2_월별판관비(온정각)3"/>
      <sheetName val="공사예산하조서(O_K)2"/>
      <sheetName val="IMP_(REACTOR)2"/>
      <sheetName val="0_갑지2"/>
      <sheetName val="1_공통가설공사2"/>
      <sheetName val="2_토목공사2"/>
      <sheetName val="3_건축공사2"/>
      <sheetName val="4_설비공사2"/>
      <sheetName val="5_전기공사2"/>
      <sheetName val="7_안전관리비2"/>
      <sheetName val="8_현장관리비2"/>
      <sheetName val="인원투입_계획표2"/>
      <sheetName val="공사계약현황_(기계설비))2"/>
      <sheetName val="공사계약현황_(전기)2"/>
      <sheetName val="C_배수관공2"/>
      <sheetName val="수목데이타_2"/>
      <sheetName val="구조______2"/>
      <sheetName val="2-2_월별판관비(지원)3"/>
      <sheetName val="2-2_월별판관비(직원)3"/>
      <sheetName val="2-2_월별판관비(휴게소)3"/>
      <sheetName val="2-2_월별판관비(스넥코너)3"/>
      <sheetName val="2-2_월별판관비(음료코너)3"/>
      <sheetName val="2-2_월별판관비(온천장)3"/>
      <sheetName val="5-1_인원(온정각)3"/>
      <sheetName val="99년누계_(월별)3"/>
      <sheetName val="고효율_유도전동기_적용비율_계산서3"/>
      <sheetName val="정산서_2"/>
      <sheetName val="역T형옹벽(3_0)2"/>
      <sheetName val="1_설계조건2"/>
      <sheetName val="1_설계기준2"/>
      <sheetName val="1_수인터널2"/>
      <sheetName val="갑지_(2)2"/>
      <sheetName val="비목별_투자_집계2"/>
      <sheetName val="자재비내역_2"/>
      <sheetName val="운반비_내역2"/>
      <sheetName val="사무_용품비2"/>
      <sheetName val="지대_및_집세2"/>
      <sheetName val="5_공종별예산내역서2"/>
      <sheetName val="건축실행__(5)2"/>
      <sheetName val="1_취수장2"/>
      <sheetName val="갑지_2_(2)2"/>
      <sheetName val="갑지_22"/>
      <sheetName val="3_고급화검토2"/>
      <sheetName val="2_공사비_검토2"/>
      <sheetName val="플랜트_설치2"/>
      <sheetName val="1_CB2"/>
      <sheetName val="1_CB_(2)2"/>
      <sheetName val="1_CB_(3)2"/>
      <sheetName val="6PILE__(돌출)2"/>
      <sheetName val="C급보_2"/>
      <sheetName val="wage_Cal2"/>
      <sheetName val="토공사및_흙막이공사5"/>
      <sheetName val="써100_(A4)5"/>
      <sheetName val="남양시작동자105노65기1_3화1_25"/>
      <sheetName val="F_C_U_ZONE집계5"/>
      <sheetName val="A_H_U_ZONE별집계5"/>
      <sheetName val="PAC_집계5"/>
      <sheetName val="1_가스소비량5"/>
      <sheetName val="1-3_가스관경계산-15"/>
      <sheetName val="1-4_가스관경계산-25"/>
      <sheetName val="1-5_가스관경계산-35"/>
      <sheetName val="1-6_가스관경계산-4_5"/>
      <sheetName val="1-7_가스관경계산-55"/>
      <sheetName val="1-7_가스차압산출5"/>
      <sheetName val="덕트_및_배기그릴선정5"/>
      <sheetName val="1_견적서목록5"/>
      <sheetName val="부하계산서_(영문)5"/>
      <sheetName val="PEND-ITEM_(2)5"/>
      <sheetName val="견적표지_(횡)5"/>
      <sheetName val="부하집계표_(2안)5"/>
      <sheetName val="부하계산서_5"/>
      <sheetName val="UNIT_COOLER_선정표5"/>
      <sheetName val="ACCUMULALOR_(2안)5"/>
      <sheetName val="동력집계표_(2안)5"/>
      <sheetName val="cooling_tower_(2)5"/>
      <sheetName val="cooling_water_pump5"/>
      <sheetName val="DEFROEST_PUMP5"/>
      <sheetName val="기기선정표_(2안)5"/>
      <sheetName val="cooling_tower5"/>
      <sheetName val="부하집계표_(2)5"/>
      <sheetName val="OCT_FDN5"/>
      <sheetName val="EXT_CHECK5"/>
      <sheetName val="P-127E1,E2_5"/>
      <sheetName val="P-123E1,E2_5"/>
      <sheetName val="P-128E_5"/>
      <sheetName val="97_사업추정(WEKI)5"/>
      <sheetName val="TRE_TABLE5"/>
      <sheetName val="표지_(2)5"/>
      <sheetName val="WEIGHT_LIST5"/>
      <sheetName val="산#2-1_(2)5"/>
      <sheetName val="unit_45"/>
      <sheetName val="3_건축(현장안)5"/>
      <sheetName val="（３）_5"/>
      <sheetName val="목차_(2)5"/>
      <sheetName val="1-1_손익(부문별)5"/>
      <sheetName val="1-2_손익(월별)5"/>
      <sheetName val="2-1_판관비(부문)5"/>
      <sheetName val="2-2_판관비(월별)5"/>
      <sheetName val="3-1_수익비용(부문별)5"/>
      <sheetName val="3-2_수익비용(월별)5"/>
      <sheetName val="4-1_투자(부문)5"/>
      <sheetName val="4-2_투자(월별)5"/>
      <sheetName val="5-1_인원(부문)5"/>
      <sheetName val="5-2_인원(월별)5"/>
      <sheetName val="6_산출근거5"/>
      <sheetName val="7_현금흐름5"/>
      <sheetName val="마케팅1_(2)5"/>
      <sheetName val="마케팅1_(3)5"/>
      <sheetName val="마케팅1_(4)5"/>
      <sheetName val="01_1담당매출계획27_8$5"/>
      <sheetName val="01매출계획_선용품5"/>
      <sheetName val="작업악성채권직원판매제외(거래선별)_5"/>
      <sheetName val="작업악성채권직원판매제외_(담당별종합)5"/>
      <sheetName val="작업악성채권직원판매제외_(담당별)5"/>
      <sheetName val="판촉비예산_5"/>
      <sheetName val="인테리어_시설5"/>
      <sheetName val="파_3층_특설_장치장식비5"/>
      <sheetName val="총괄_(03년11월)h&amp;s5"/>
      <sheetName val="총괄_(03년11월)여행5"/>
      <sheetName val="세부내용_(03년11월)여행5"/>
      <sheetName val="개인_세부내용_(03년11월)여행5"/>
      <sheetName val="동구일반상품_5"/>
      <sheetName val="PUNCH_LIST5"/>
      <sheetName val="WELDING_JOINT_INSPECTION_STATU5"/>
      <sheetName val="PE거푸집(1_2)5"/>
      <sheetName val="내역서_(3)5"/>
      <sheetName val="내역서_(4)5"/>
      <sheetName val="에너지성능지표검토서(기계,_전기,_신재생)5"/>
      <sheetName val="1장_5"/>
      <sheetName val="1_개요_5"/>
      <sheetName val="2_조건_5"/>
      <sheetName val="3_공식붙임5"/>
      <sheetName val="4장_5"/>
      <sheetName val="1_AHU_5"/>
      <sheetName val="2_AHU-15"/>
      <sheetName val="2_FAN5"/>
      <sheetName val="1_급탕5"/>
      <sheetName val="6장_별첨5"/>
      <sheetName val="추정공사비_산출결과5"/>
      <sheetName val="배수입상_5"/>
      <sheetName val="Mech_CIF4"/>
      <sheetName val="2_냉난방설비공사4"/>
      <sheetName val="7_자동제어공사4"/>
      <sheetName val="P_M_별5"/>
      <sheetName val="1차_내역서5"/>
      <sheetName val="BEND_LOSS5"/>
      <sheetName val="A_LINE5"/>
      <sheetName val="2_2_10_샤시등5"/>
      <sheetName val="A3_공사비_검토5"/>
      <sheetName val="C3_토목_옹벽5"/>
      <sheetName val="A6_샤시등5"/>
      <sheetName val="토공(우물통,기타)_5"/>
      <sheetName val="BSD__2_5"/>
      <sheetName val="내역서_(2)5"/>
      <sheetName val="7_수지5"/>
      <sheetName val="TOWER_12TON5"/>
      <sheetName val="JIB_CRANE,HOIST5"/>
      <sheetName val="TOWER_10TON5"/>
      <sheetName val="아파트_5"/>
      <sheetName val="2000_054"/>
      <sheetName val="토목내역서_(도급단가)5"/>
      <sheetName val="전선_및_전선관5"/>
      <sheetName val="2000년_공정표4"/>
      <sheetName val="콤보박스와_리스트박스의_연결4"/>
      <sheetName val="참고용_(2)4"/>
      <sheetName val="COMPARISON_TABLE4"/>
      <sheetName val="Eq__Mobilization4"/>
      <sheetName val="간접비_총괄표4"/>
      <sheetName val="월별손익(용역)_5"/>
      <sheetName val="1-1_손익(온정각)5"/>
      <sheetName val="1-1_손익(관광식당)5"/>
      <sheetName val="1-1_손익(직원식당)5"/>
      <sheetName val="1-2_월별손익(온정각)5"/>
      <sheetName val="1-2_월별손익(관광식당)5"/>
      <sheetName val="1-2_월별손익(직원식당)5"/>
      <sheetName val="2-1_판관비(지원)5"/>
      <sheetName val="2-1_판관비(관광)5"/>
      <sheetName val="2-1_판관비(직원)_5"/>
      <sheetName val="2-1_판관비(온정각)5"/>
      <sheetName val="2-2_월별판관비(온정각)5"/>
      <sheetName val="공사예산하조서(O_K)4"/>
      <sheetName val="IMP_(REACTOR)4"/>
      <sheetName val="0_갑지4"/>
      <sheetName val="1_공통가설공사4"/>
      <sheetName val="2_토목공사4"/>
      <sheetName val="3_건축공사4"/>
      <sheetName val="4_설비공사4"/>
      <sheetName val="5_전기공사4"/>
      <sheetName val="7_안전관리비4"/>
      <sheetName val="8_현장관리비4"/>
      <sheetName val="인원투입_계획표4"/>
      <sheetName val="공사계약현황_(기계설비))4"/>
      <sheetName val="공사계약현황_(전기)4"/>
      <sheetName val="C_배수관공4"/>
      <sheetName val="수목데이타_4"/>
      <sheetName val="구조______4"/>
      <sheetName val="2-2_월별판관비(지원)5"/>
      <sheetName val="2-2_월별판관비(직원)5"/>
      <sheetName val="2-2_월별판관비(휴게소)5"/>
      <sheetName val="2-2_월별판관비(스넥코너)5"/>
      <sheetName val="2-2_월별판관비(음료코너)5"/>
      <sheetName val="2-2_월별판관비(온천장)5"/>
      <sheetName val="5-1_인원(온정각)5"/>
      <sheetName val="99년누계_(월별)5"/>
      <sheetName val="고효율_유도전동기_적용비율_계산서5"/>
      <sheetName val="정산서_4"/>
      <sheetName val="역T형옹벽(3_0)4"/>
      <sheetName val="1_설계조건4"/>
      <sheetName val="1_설계기준4"/>
      <sheetName val="1_수인터널4"/>
      <sheetName val="갑지_(2)4"/>
      <sheetName val="비목별_투자_집계4"/>
      <sheetName val="자재비내역_4"/>
      <sheetName val="운반비_내역4"/>
      <sheetName val="사무_용품비4"/>
      <sheetName val="지대_및_집세4"/>
      <sheetName val="5_공종별예산내역서4"/>
      <sheetName val="건축실행__(5)4"/>
      <sheetName val="1_취수장4"/>
      <sheetName val="갑지_2_(2)4"/>
      <sheetName val="갑지_24"/>
      <sheetName val="3_고급화검토4"/>
      <sheetName val="2_공사비_검토4"/>
      <sheetName val="플랜트_설치4"/>
      <sheetName val="1_CB4"/>
      <sheetName val="1_CB_(2)4"/>
      <sheetName val="1_CB_(3)4"/>
      <sheetName val="6PILE__(돌출)4"/>
      <sheetName val="C급보_4"/>
      <sheetName val="wage_Cal4"/>
      <sheetName val="토공사및_흙막이공사4"/>
      <sheetName val="써100_(A4)4"/>
      <sheetName val="남양시작동자105노65기1_3화1_24"/>
      <sheetName val="F_C_U_ZONE집계4"/>
      <sheetName val="A_H_U_ZONE별집계4"/>
      <sheetName val="PAC_집계4"/>
      <sheetName val="1_가스소비량4"/>
      <sheetName val="1-3_가스관경계산-14"/>
      <sheetName val="1-4_가스관경계산-24"/>
      <sheetName val="1-5_가스관경계산-34"/>
      <sheetName val="1-6_가스관경계산-4_4"/>
      <sheetName val="1-7_가스관경계산-54"/>
      <sheetName val="1-7_가스차압산출4"/>
      <sheetName val="덕트_및_배기그릴선정4"/>
      <sheetName val="1_견적서목록4"/>
      <sheetName val="부하계산서_(영문)4"/>
      <sheetName val="PEND-ITEM_(2)4"/>
      <sheetName val="견적표지_(횡)4"/>
      <sheetName val="부하집계표_(2안)4"/>
      <sheetName val="부하계산서_4"/>
      <sheetName val="UNIT_COOLER_선정표4"/>
      <sheetName val="ACCUMULALOR_(2안)4"/>
      <sheetName val="동력집계표_(2안)4"/>
      <sheetName val="cooling_tower_(2)4"/>
      <sheetName val="cooling_water_pump4"/>
      <sheetName val="DEFROEST_PUMP4"/>
      <sheetName val="기기선정표_(2안)4"/>
      <sheetName val="cooling_tower4"/>
      <sheetName val="부하집계표_(2)4"/>
      <sheetName val="OCT_FDN4"/>
      <sheetName val="EXT_CHECK4"/>
      <sheetName val="P-127E1,E2_4"/>
      <sheetName val="P-123E1,E2_4"/>
      <sheetName val="P-128E_4"/>
      <sheetName val="97_사업추정(WEKI)4"/>
      <sheetName val="TRE_TABLE4"/>
      <sheetName val="표지_(2)4"/>
      <sheetName val="WEIGHT_LIST4"/>
      <sheetName val="산#2-1_(2)4"/>
      <sheetName val="unit_44"/>
      <sheetName val="3_건축(현장안)4"/>
      <sheetName val="（３）_4"/>
      <sheetName val="목차_(2)4"/>
      <sheetName val="1-1_손익(부문별)4"/>
      <sheetName val="1-2_손익(월별)4"/>
      <sheetName val="2-1_판관비(부문)4"/>
      <sheetName val="2-2_판관비(월별)4"/>
      <sheetName val="3-1_수익비용(부문별)4"/>
      <sheetName val="3-2_수익비용(월별)4"/>
      <sheetName val="4-1_투자(부문)4"/>
      <sheetName val="4-2_투자(월별)4"/>
      <sheetName val="5-1_인원(부문)4"/>
      <sheetName val="5-2_인원(월별)4"/>
      <sheetName val="6_산출근거4"/>
      <sheetName val="7_현금흐름4"/>
      <sheetName val="마케팅1_(2)4"/>
      <sheetName val="마케팅1_(3)4"/>
      <sheetName val="마케팅1_(4)4"/>
      <sheetName val="01_1담당매출계획27_8$4"/>
      <sheetName val="01매출계획_선용품4"/>
      <sheetName val="작업악성채권직원판매제외(거래선별)_4"/>
      <sheetName val="작업악성채권직원판매제외_(담당별종합)4"/>
      <sheetName val="작업악성채권직원판매제외_(담당별)4"/>
      <sheetName val="판촉비예산_4"/>
      <sheetName val="인테리어_시설4"/>
      <sheetName val="파_3층_특설_장치장식비4"/>
      <sheetName val="총괄_(03년11월)h&amp;s4"/>
      <sheetName val="총괄_(03년11월)여행4"/>
      <sheetName val="세부내용_(03년11월)여행4"/>
      <sheetName val="개인_세부내용_(03년11월)여행4"/>
      <sheetName val="동구일반상품_4"/>
      <sheetName val="PUNCH_LIST4"/>
      <sheetName val="WELDING_JOINT_INSPECTION_STATU4"/>
      <sheetName val="PE거푸집(1_2)4"/>
      <sheetName val="내역서_(3)4"/>
      <sheetName val="내역서_(4)4"/>
      <sheetName val="에너지성능지표검토서(기계,_전기,_신재생)4"/>
      <sheetName val="1장_4"/>
      <sheetName val="1_개요_4"/>
      <sheetName val="2_조건_4"/>
      <sheetName val="3_공식붙임4"/>
      <sheetName val="4장_4"/>
      <sheetName val="1_AHU_4"/>
      <sheetName val="2_AHU-14"/>
      <sheetName val="2_FAN4"/>
      <sheetName val="1_급탕4"/>
      <sheetName val="6장_별첨4"/>
      <sheetName val="추정공사비_산출결과4"/>
      <sheetName val="배수입상_4"/>
      <sheetName val="Mech_CIF3"/>
      <sheetName val="2_냉난방설비공사3"/>
      <sheetName val="7_자동제어공사3"/>
      <sheetName val="P_M_별4"/>
      <sheetName val="1차_내역서4"/>
      <sheetName val="BEND_LOSS4"/>
      <sheetName val="A_LINE4"/>
      <sheetName val="2_2_10_샤시등4"/>
      <sheetName val="A3_공사비_검토4"/>
      <sheetName val="C3_토목_옹벽4"/>
      <sheetName val="A6_샤시등4"/>
      <sheetName val="토공(우물통,기타)_4"/>
      <sheetName val="BSD__2_4"/>
      <sheetName val="내역서_(2)4"/>
      <sheetName val="7_수지4"/>
      <sheetName val="TOWER_12TON4"/>
      <sheetName val="JIB_CRANE,HOIST4"/>
      <sheetName val="TOWER_10TON4"/>
      <sheetName val="아파트_4"/>
      <sheetName val="2000_053"/>
      <sheetName val="토목내역서_(도급단가)4"/>
      <sheetName val="전선_및_전선관4"/>
      <sheetName val="2000년_공정표3"/>
      <sheetName val="콤보박스와_리스트박스의_연결3"/>
      <sheetName val="참고용_(2)3"/>
      <sheetName val="COMPARISON_TABLE3"/>
      <sheetName val="Eq__Mobilization3"/>
      <sheetName val="간접비_총괄표3"/>
      <sheetName val="월별손익(용역)_4"/>
      <sheetName val="1-1_손익(온정각)4"/>
      <sheetName val="1-1_손익(관광식당)4"/>
      <sheetName val="1-1_손익(직원식당)4"/>
      <sheetName val="1-2_월별손익(온정각)4"/>
      <sheetName val="1-2_월별손익(관광식당)4"/>
      <sheetName val="1-2_월별손익(직원식당)4"/>
      <sheetName val="2-1_판관비(지원)4"/>
      <sheetName val="2-1_판관비(관광)4"/>
      <sheetName val="2-1_판관비(직원)_4"/>
      <sheetName val="2-1_판관비(온정각)4"/>
      <sheetName val="2-2_월별판관비(온정각)4"/>
      <sheetName val="공사예산하조서(O_K)3"/>
      <sheetName val="IMP_(REACTOR)3"/>
      <sheetName val="0_갑지3"/>
      <sheetName val="1_공통가설공사3"/>
      <sheetName val="2_토목공사3"/>
      <sheetName val="3_건축공사3"/>
      <sheetName val="4_설비공사3"/>
      <sheetName val="5_전기공사3"/>
      <sheetName val="7_안전관리비3"/>
      <sheetName val="8_현장관리비3"/>
      <sheetName val="인원투입_계획표3"/>
      <sheetName val="공사계약현황_(기계설비))3"/>
      <sheetName val="공사계약현황_(전기)3"/>
      <sheetName val="C_배수관공3"/>
      <sheetName val="수목데이타_3"/>
      <sheetName val="구조______3"/>
      <sheetName val="2-2_월별판관비(지원)4"/>
      <sheetName val="2-2_월별판관비(직원)4"/>
      <sheetName val="2-2_월별판관비(휴게소)4"/>
      <sheetName val="2-2_월별판관비(스넥코너)4"/>
      <sheetName val="2-2_월별판관비(음료코너)4"/>
      <sheetName val="2-2_월별판관비(온천장)4"/>
      <sheetName val="5-1_인원(온정각)4"/>
      <sheetName val="99년누계_(월별)4"/>
      <sheetName val="고효율_유도전동기_적용비율_계산서4"/>
      <sheetName val="정산서_3"/>
      <sheetName val="역T형옹벽(3_0)3"/>
      <sheetName val="1_설계조건3"/>
      <sheetName val="1_설계기준3"/>
      <sheetName val="1_수인터널3"/>
      <sheetName val="갑지_(2)3"/>
      <sheetName val="비목별_투자_집계3"/>
      <sheetName val="자재비내역_3"/>
      <sheetName val="운반비_내역3"/>
      <sheetName val="사무_용품비3"/>
      <sheetName val="지대_및_집세3"/>
      <sheetName val="5_공종별예산내역서3"/>
      <sheetName val="건축실행__(5)3"/>
      <sheetName val="1_취수장3"/>
      <sheetName val="갑지_2_(2)3"/>
      <sheetName val="갑지_23"/>
      <sheetName val="3_고급화검토3"/>
      <sheetName val="2_공사비_검토3"/>
      <sheetName val="플랜트_설치3"/>
      <sheetName val="1_CB3"/>
      <sheetName val="1_CB_(2)3"/>
      <sheetName val="1_CB_(3)3"/>
      <sheetName val="6PILE__(돌출)3"/>
      <sheetName val="C급보_3"/>
      <sheetName val="wage_Cal3"/>
      <sheetName val="급殘⿗_x0000_"/>
      <sheetName val="5.세운W-A"/>
      <sheetName val="블럭 손익"/>
      <sheetName val="LOAD-46"/>
      <sheetName val="항목(1)"/>
      <sheetName val="BOOK4"/>
      <sheetName val="연부97-1"/>
      <sheetName val="실제업로드시트"/>
      <sheetName val="비목코드"/>
      <sheetName val="외화단가"/>
      <sheetName val="여부구분"/>
      <sheetName val="레미콘구분"/>
      <sheetName val="대표공종2"/>
      <sheetName val="토공수량"/>
      <sheetName val=" 총괄표"/>
      <sheetName val="개요"/>
      <sheetName val="A-4"/>
      <sheetName val="수목단가"/>
      <sheetName val="시설수량표"/>
      <sheetName val="식재수량표"/>
      <sheetName val="경비"/>
      <sheetName val="총 원가계산"/>
      <sheetName val="증감대비"/>
      <sheetName val="메서,변+증"/>
      <sheetName val="설계서"/>
      <sheetName val="준공내역서(을)"/>
      <sheetName val="3BL공동구 수량"/>
      <sheetName val="말뚝지지력산정"/>
      <sheetName val="공구"/>
      <sheetName val="guard(mac)"/>
      <sheetName val="tggwan(mac)"/>
      <sheetName val="woo(mac)"/>
      <sheetName val="적현로"/>
      <sheetName val="환산"/>
      <sheetName val="시화점실행"/>
      <sheetName val="건축공사"/>
      <sheetName val="샘플표지"/>
      <sheetName val="단가_"/>
      <sheetName val="하도내역_(철콘)"/>
      <sheetName val="수량산출서_갑지"/>
      <sheetName val="일단의_주택지"/>
      <sheetName val="비교손익계산서_"/>
      <sheetName val="2003_12"/>
      <sheetName val="2002_12"/>
      <sheetName val="영업_일1"/>
      <sheetName val="SEV_wiress4_Total"/>
      <sheetName val="SEV_wireles_4__fire_fighting_"/>
      <sheetName val="SEV_wireles_4__fire_Alarm"/>
      <sheetName val="B_1-1"/>
      <sheetName val="B_1-2"/>
      <sheetName val="B_1-3"/>
      <sheetName val="B_1-4"/>
      <sheetName val="B_1-5"/>
      <sheetName val="B_1-6"/>
      <sheetName val="B_1-7"/>
      <sheetName val="B_2"/>
      <sheetName val="B_3"/>
      <sheetName val="B_4"/>
      <sheetName val="B_6-1"/>
      <sheetName val="B_6-2"/>
      <sheetName val="7_경제성결과"/>
      <sheetName val="환경기계공정표_(3)"/>
      <sheetName val="실행내역_"/>
      <sheetName val="설_계"/>
      <sheetName val="입출재고현황_(2)"/>
      <sheetName val="4-3_보온_기본물량집계"/>
      <sheetName val="Sheet1_(2)"/>
      <sheetName val="인건비_"/>
      <sheetName val="2__공원조도"/>
      <sheetName val="4-0_툫자"/>
      <sheetName val="단위세대_개요"/>
      <sheetName val="2_대외공문"/>
      <sheetName val="1_구리중_(제조사A)"/>
      <sheetName val="1_구리중_(제조사B)"/>
      <sheetName val="1_구리중_(제조사C)"/>
      <sheetName val="2_토평초(제조사A)"/>
      <sheetName val="2_토평초(제조사B)"/>
      <sheetName val="2_토평초(제조사C)"/>
      <sheetName val="3_평내초(제조사A)"/>
      <sheetName val="3_평내초(제조사B)"/>
      <sheetName val="3_평내초(제조사C)"/>
      <sheetName val="실외기_배관트레이"/>
      <sheetName val="중앙콘트롤러설치용전선_"/>
      <sheetName val="1_집계표"/>
      <sheetName val="2_공통가설공사"/>
      <sheetName val="4_기계설비공사"/>
      <sheetName val="7__안전관리비"/>
      <sheetName val="식대_숙직비"/>
      <sheetName val="토목내역_(2)"/>
      <sheetName val="BSD_(2)"/>
      <sheetName val="을_1"/>
      <sheetName val="을_2"/>
      <sheetName val="인사자료총집계"/>
      <sheetName val="물가시세"/>
      <sheetName val="파이프류"/>
      <sheetName val="연결임시"/>
      <sheetName val="95신규호표"/>
      <sheetName val="7월집계(돌관인건비)"/>
      <sheetName val="7-17"/>
      <sheetName val="17일"/>
      <sheetName val="17사"/>
      <sheetName val="18일"/>
      <sheetName val="18사"/>
      <sheetName val="19일"/>
      <sheetName val="19사"/>
      <sheetName val="20일"/>
      <sheetName val="20사"/>
      <sheetName val="22일"/>
      <sheetName val="22사"/>
      <sheetName val="23일"/>
      <sheetName val="23사"/>
      <sheetName val="24일"/>
      <sheetName val="24사"/>
      <sheetName val="25일"/>
      <sheetName val="25사"/>
      <sheetName val="26일"/>
      <sheetName val="26사"/>
      <sheetName val="27일"/>
      <sheetName val="27사"/>
      <sheetName val="29일"/>
      <sheetName val="29사"/>
      <sheetName val="30일"/>
      <sheetName val="30사"/>
      <sheetName val="31"/>
      <sheetName val="31일"/>
      <sheetName val="31사"/>
      <sheetName val="우편번호"/>
      <sheetName val="98지급계획"/>
      <sheetName val="내역(100%)"/>
      <sheetName val="내역서(전기)"/>
      <sheetName val="성서방향-교대(A2)"/>
      <sheetName val="PSCbeam설계"/>
      <sheetName val="재료비"/>
      <sheetName val="CashFlow(중간집계)"/>
      <sheetName val="정리계획CF평가"/>
      <sheetName val="SS"/>
      <sheetName val="골조공사(아파트)"/>
      <sheetName val="파일의이용"/>
      <sheetName val="날개벽수량표"/>
      <sheetName val="구조물공1"/>
      <sheetName val="배수및구조물공1"/>
      <sheetName val="일반사항"/>
      <sheetName val="계정"/>
      <sheetName val="태화42 "/>
      <sheetName val="내역(설계)"/>
      <sheetName val="GAEYO"/>
      <sheetName val="2-1. 경관조명 내역총괄표"/>
      <sheetName val="돌담교 상부수량"/>
      <sheetName val="단가목록"/>
      <sheetName val="에너지성능지표_x0000__x0000_℀_x0002_쀀︪⇈"/>
      <sheetName val="추천서"/>
      <sheetName val="9567매출"/>
      <sheetName val="Internal Floor"/>
      <sheetName val="구리토평_x0000__x0000_Ԁ"/>
      <sheetName val="1.공통가설_x0000__x0000_"/>
      <sheetName val="구분자"/>
      <sheetName val="MEEDCO Vehicle List"/>
      <sheetName val="FitOutConfCentre"/>
      <sheetName val="Quality"/>
      <sheetName val="People"/>
      <sheetName val="Risk"/>
      <sheetName val="Training"/>
      <sheetName val="General"/>
      <sheetName val="Instructions"/>
      <sheetName val="날개벽(시점좌측)"/>
      <sheetName val="물량내역서"/>
      <sheetName val="4-10"/>
      <sheetName val="내역5"/>
      <sheetName val="연습"/>
      <sheetName val="5월 평균일수"/>
      <sheetName val="전기변내역"/>
      <sheetName val="토사(PE)"/>
      <sheetName val="발주설계서(당초)"/>
      <sheetName val="비탈면보호공수량산출"/>
      <sheetName val="DATA_입력란"/>
      <sheetName val="1__설계조건_2_단면가정_3__하중계산"/>
      <sheetName val="3련_BOX"/>
      <sheetName val="1_설계조건_"/>
      <sheetName val="설계기준설명_"/>
      <sheetName val="2_단면가정_(BASE)"/>
      <sheetName val="3_하중및토압_(고정)"/>
      <sheetName val="4_작용하중(고정)"/>
      <sheetName val="5_안정검토(고정)(풍화암)"/>
      <sheetName val="6_벽체계산"/>
      <sheetName val="7_흉벽계산(ASCON)"/>
      <sheetName val="8_FOOTING"/>
      <sheetName val="9_날개벽"/>
      <sheetName val="10_교좌받침"/>
      <sheetName val="11_접속슬라브(ASCON)"/>
      <sheetName val="GEN_"/>
      <sheetName val="할증_"/>
      <sheetName val="승용C_S"/>
      <sheetName val="상용C_S"/>
      <sheetName val="1_우편집중내역서"/>
      <sheetName val="ꪀᗈ"/>
      <sheetName val="EQUIPMENT_-2"/>
      <sheetName val="프린트_(3)"/>
      <sheetName val="간지-2_(2)"/>
      <sheetName val="_1__개요"/>
      <sheetName val="_2__난방설비"/>
      <sheetName val="열관류율_계산서"/>
      <sheetName val="2_3_세대별난방부하집계"/>
      <sheetName val="3.7교축하중"/>
      <sheetName val="[1.xls][1.xls]______C______99_4"/>
      <sheetName val="[1.xls][1.xls]______C______99_3"/>
      <sheetName val="[1.xls][1.xls]______C______99_2"/>
      <sheetName val="[1.xls][1.xls]______C______99_7"/>
      <sheetName val="[1.xls][1.xls]______C______99_6"/>
      <sheetName val="[1.xls][1.xls]______C______99_5"/>
      <sheetName val="철근(전기호)"/>
      <sheetName val="명부(최종신청)"/>
      <sheetName val="확정지번"/>
      <sheetName val="ADMIN"/>
      <sheetName val="집계표(건축전기)"/>
      <sheetName val="프로젝트"/>
      <sheetName val="C3"/>
      <sheetName val="PRECIOS"/>
      <sheetName val="당초"/>
      <sheetName val="Macro"/>
      <sheetName val="토공사및_흙막이공사6"/>
      <sheetName val="써100_(A4)6"/>
      <sheetName val="F_C_U_ZONE집계6"/>
      <sheetName val="A_H_U_ZONE별집계6"/>
      <sheetName val="PAC_집계6"/>
      <sheetName val="1_가스소비량6"/>
      <sheetName val="1-3_가스관경계산-16"/>
      <sheetName val="1-4_가스관경계산-26"/>
      <sheetName val="1-5_가스관경계산-36"/>
      <sheetName val="1-6_가스관경계산-4_6"/>
      <sheetName val="1-7_가스관경계산-56"/>
      <sheetName val="1-7_가스차압산출6"/>
      <sheetName val="1_견적서목록6"/>
      <sheetName val="부하계산서_(영문)6"/>
      <sheetName val="PEND-ITEM_(2)6"/>
      <sheetName val="견적표지_(횡)6"/>
      <sheetName val="부하집계표_(2안)6"/>
      <sheetName val="부하계산서_6"/>
      <sheetName val="UNIT_COOLER_선정표6"/>
      <sheetName val="ACCUMULALOR_(2안)6"/>
      <sheetName val="동력집계표_(2안)6"/>
      <sheetName val="cooling_tower_(2)6"/>
      <sheetName val="cooling_water_pump6"/>
      <sheetName val="DEFROEST_PUMP6"/>
      <sheetName val="기기선정표_(2안)6"/>
      <sheetName val="cooling_tower6"/>
      <sheetName val="부하집계표_(2)6"/>
      <sheetName val="덕트_및_배기그릴선정6"/>
      <sheetName val="OCT_FDN6"/>
      <sheetName val="EXT_CHECK6"/>
      <sheetName val="P-127E1,E2_6"/>
      <sheetName val="P-123E1,E2_6"/>
      <sheetName val="P-128E_6"/>
      <sheetName val="（３）_6"/>
      <sheetName val="목차_(2)6"/>
      <sheetName val="1-1_손익(부문별)6"/>
      <sheetName val="1-2_손익(월별)6"/>
      <sheetName val="2-1_판관비(부문)6"/>
      <sheetName val="2-2_판관비(월별)6"/>
      <sheetName val="3-1_수익비용(부문별)6"/>
      <sheetName val="3-2_수익비용(월별)6"/>
      <sheetName val="4-1_투자(부문)6"/>
      <sheetName val="4-2_투자(월별)6"/>
      <sheetName val="5-1_인원(부문)6"/>
      <sheetName val="5-2_인원(월별)6"/>
      <sheetName val="6_산출근거6"/>
      <sheetName val="7_현금흐름6"/>
      <sheetName val="마케팅1_(2)6"/>
      <sheetName val="마케팅1_(3)6"/>
      <sheetName val="마케팅1_(4)6"/>
      <sheetName val="01_1담당매출계획27_8$6"/>
      <sheetName val="01매출계획_선용품6"/>
      <sheetName val="작업악성채권직원판매제외(거래선별)_6"/>
      <sheetName val="작업악성채권직원판매제외_(담당별종합)6"/>
      <sheetName val="작업악성채권직원판매제외_(담당별)6"/>
      <sheetName val="판촉비예산_6"/>
      <sheetName val="인테리어_시설6"/>
      <sheetName val="파_3층_특설_장치장식비6"/>
      <sheetName val="총괄_(03년11월)h&amp;s6"/>
      <sheetName val="총괄_(03년11월)여행6"/>
      <sheetName val="세부내용_(03년11월)여행6"/>
      <sheetName val="개인_세부내용_(03년11월)여행6"/>
      <sheetName val="동구일반상품_6"/>
      <sheetName val="남양시작동자105노65기1_3화1_26"/>
      <sheetName val="97_사업추정(WEKI)6"/>
      <sheetName val="TRE_TABLE6"/>
      <sheetName val="1_수인터널5"/>
      <sheetName val="PE거푸집(1_2)6"/>
      <sheetName val="갑지_(2)5"/>
      <sheetName val="비목별_투자_집계5"/>
      <sheetName val="자재비내역_5"/>
      <sheetName val="운반비_내역5"/>
      <sheetName val="사무_용품비5"/>
      <sheetName val="지대_및_집세5"/>
      <sheetName val="갑지_2_(2)5"/>
      <sheetName val="갑지_25"/>
      <sheetName val="표지_(2)6"/>
      <sheetName val="unit_46"/>
      <sheetName val="1차_내역서6"/>
      <sheetName val="BEND_LOSS6"/>
      <sheetName val="토목내역서_(도급단가)6"/>
      <sheetName val="3_건축(현장안)6"/>
      <sheetName val="A_LINE6"/>
      <sheetName val="WEIGHT_LIST6"/>
      <sheetName val="산#2-1_(2)6"/>
      <sheetName val="P_M_별6"/>
      <sheetName val="PUNCH_LIST6"/>
      <sheetName val="WELDING_JOINT_INSPECTION_STATU6"/>
      <sheetName val="토공(우물통,기타)_6"/>
      <sheetName val="2_2_10_샤시등6"/>
      <sheetName val="A3_공사비_검토6"/>
      <sheetName val="C3_토목_옹벽6"/>
      <sheetName val="A6_샤시등6"/>
      <sheetName val="전선_및_전선관6"/>
      <sheetName val="에너지성능지표검토서(기계,_전기,_신재생)6"/>
      <sheetName val="7_수지6"/>
      <sheetName val="TOWER_12TON6"/>
      <sheetName val="JIB_CRANE,HOIST6"/>
      <sheetName val="TOWER_10TON6"/>
      <sheetName val="BSD__2_6"/>
      <sheetName val="내역서_(2)6"/>
      <sheetName val="구조______5"/>
      <sheetName val="배수입상_6"/>
      <sheetName val="내역서_(3)6"/>
      <sheetName val="내역서_(4)6"/>
      <sheetName val="아파트_6"/>
      <sheetName val="2000년_공정표5"/>
      <sheetName val="IMP_(REACTOR)5"/>
      <sheetName val="1장_6"/>
      <sheetName val="1_개요_6"/>
      <sheetName val="2_조건_6"/>
      <sheetName val="3_공식붙임6"/>
      <sheetName val="4장_6"/>
      <sheetName val="1_AHU_6"/>
      <sheetName val="2_AHU-16"/>
      <sheetName val="2_FAN6"/>
      <sheetName val="1_급탕6"/>
      <sheetName val="6장_별첨6"/>
      <sheetName val="콤보박스와_리스트박스의_연결5"/>
      <sheetName val="0_갑지5"/>
      <sheetName val="1_공통가설공사5"/>
      <sheetName val="2_토목공사5"/>
      <sheetName val="3_건축공사5"/>
      <sheetName val="4_설비공사5"/>
      <sheetName val="5_전기공사5"/>
      <sheetName val="7_안전관리비5"/>
      <sheetName val="8_현장관리비5"/>
      <sheetName val="인원투입_계획표5"/>
      <sheetName val="공사계약현황_(기계설비))5"/>
      <sheetName val="공사계약현황_(전기)5"/>
      <sheetName val="2000_055"/>
      <sheetName val="추정공사비_산출결과6"/>
      <sheetName val="월별손익(용역)_6"/>
      <sheetName val="1-1_손익(온정각)6"/>
      <sheetName val="1-1_손익(관광식당)6"/>
      <sheetName val="1-1_손익(직원식당)6"/>
      <sheetName val="1-2_월별손익(온정각)6"/>
      <sheetName val="1-2_월별손익(관광식당)6"/>
      <sheetName val="1-2_월별손익(직원식당)6"/>
      <sheetName val="2-1_판관비(지원)6"/>
      <sheetName val="2-1_판관비(관광)6"/>
      <sheetName val="2-1_판관비(직원)_6"/>
      <sheetName val="2-1_판관비(온정각)6"/>
      <sheetName val="2-2_월별판관비(온정각)6"/>
      <sheetName val="2-2_월별판관비(지원)6"/>
      <sheetName val="2-2_월별판관비(직원)6"/>
      <sheetName val="2-2_월별판관비(휴게소)6"/>
      <sheetName val="2-2_월별판관비(스넥코너)6"/>
      <sheetName val="2-2_월별판관비(음료코너)6"/>
      <sheetName val="2-2_월별판관비(온천장)6"/>
      <sheetName val="5-1_인원(온정각)6"/>
      <sheetName val="99년누계_(월별)6"/>
      <sheetName val="1_설계조건5"/>
      <sheetName val="고효율_유도전동기_적용비율_계산서6"/>
      <sheetName val="건축실행__(5)5"/>
      <sheetName val="플랜트_설치5"/>
      <sheetName val="참고용_(2)5"/>
      <sheetName val="COMPARISON_TABLE5"/>
      <sheetName val="Eq__Mobilization5"/>
      <sheetName val="간접비_총괄표5"/>
      <sheetName val="6PILE__(돌출)5"/>
      <sheetName val="공사예산하조서(O_K)5"/>
      <sheetName val="C_배수관공5"/>
      <sheetName val="수목데이타_5"/>
      <sheetName val="정산서_5"/>
      <sheetName val="1_설계기준5"/>
      <sheetName val="역T형옹벽(3_0)5"/>
      <sheetName val="2_냉난방설비공사5"/>
      <sheetName val="7_자동제어공사5"/>
      <sheetName val="1_취수장5"/>
      <sheetName val="3_고급화검토5"/>
      <sheetName val="2_공사비_검토5"/>
      <sheetName val="5_공종별예산내역서5"/>
      <sheetName val="1_CB5"/>
      <sheetName val="1_CB_(2)5"/>
      <sheetName val="1_CB_(3)5"/>
      <sheetName val="C급보_5"/>
      <sheetName val="wage_Cal5"/>
      <sheetName val="Mech_CIF5"/>
      <sheetName val="신단가_(내진설치비)"/>
      <sheetName val="보일러_선정"/>
      <sheetName val="84A_(2)"/>
      <sheetName val="84B_(2)"/>
      <sheetName val="84C_(2)"/>
      <sheetName val="101A_(2)"/>
      <sheetName val="101B_(2)"/>
      <sheetName val="101C_(2)"/>
      <sheetName val="난방부하집계_(2)"/>
      <sheetName val="2_3_세대별난방부하집계_(2)"/>
      <sheetName val="보일러_선정_(2)"/>
      <sheetName val="4_급수설비"/>
      <sheetName val="4_2_급수입상배관"/>
      <sheetName val="4_3_급수횡주관"/>
      <sheetName val="5_1_열교환기"/>
      <sheetName val="12_17"/>
      <sheetName val="가스공사_"/>
      <sheetName val="건___축"/>
      <sheetName val="4_3__급수펌프선정"/>
      <sheetName val="4_3_2_급탕순환펌프"/>
      <sheetName val="4_3_3__배수펌프"/>
      <sheetName val="4_4__전기온수기"/>
      <sheetName val="4_5__보일러"/>
      <sheetName val="4_4__급탕탱크"/>
      <sheetName val="4_6__급탕탱크"/>
      <sheetName val="crude_SLAB_RE-bar"/>
      <sheetName val="자__재"/>
      <sheetName val="Bag_Filter_Sizing"/>
      <sheetName val="BOX구조해석_설명서"/>
      <sheetName val="철근량_검토"/>
      <sheetName val="준검_내역서"/>
      <sheetName val="1_내역(청_하역장전등)"/>
      <sheetName val="내역서1999_8최종"/>
      <sheetName val="9,10월신제품_(2)"/>
      <sheetName val="1_공사개요(입력)"/>
      <sheetName val="6__안전관리비"/>
      <sheetName val="5__현장관리비(new)_"/>
      <sheetName val="LEGEND_i"/>
      <sheetName val="전화_인터넷(현장)"/>
      <sheetName val="3_0냉난방열원집계"/>
      <sheetName val="4_1AHU"/>
      <sheetName val="4_3_공기압축기"/>
      <sheetName val="4_7_전기라디에타_"/>
      <sheetName val="4_9_AC_"/>
      <sheetName val="4_11_FAN"/>
      <sheetName val="4_12_TANK_4_13_탈취기"/>
      <sheetName val="4_14_PUMP"/>
      <sheetName val="5_위생설비"/>
      <sheetName val="평형별_세대수"/>
      <sheetName val="G_R300경비"/>
      <sheetName val="집_계_표"/>
      <sheetName val="정계약_현황"/>
      <sheetName val="1_기계_납품_진행__현황"/>
      <sheetName val="2_협력업체_담당자_및_연락처"/>
      <sheetName val="15_문제점"/>
      <sheetName val="블럭_손익"/>
      <sheetName val="_총괄표"/>
      <sheetName val="수배전반_을지"/>
      <sheetName val="8_PILE__(돌출)"/>
      <sheetName val="Sheet2_(2)"/>
      <sheetName val="파주_운정지구_A8블럭"/>
      <sheetName val="3BL공동구_수량"/>
      <sheetName val="총_원가계산"/>
      <sheetName val="5_세운W-A"/>
      <sheetName val="토공사및_흙막이공사7"/>
      <sheetName val="써100_(A4)7"/>
      <sheetName val="F_C_U_ZONE집계7"/>
      <sheetName val="A_H_U_ZONE별집계7"/>
      <sheetName val="PAC_집계7"/>
      <sheetName val="1_가스소비량7"/>
      <sheetName val="1-3_가스관경계산-17"/>
      <sheetName val="1-4_가스관경계산-27"/>
      <sheetName val="1-5_가스관경계산-37"/>
      <sheetName val="1-6_가스관경계산-4_7"/>
      <sheetName val="1-7_가스관경계산-57"/>
      <sheetName val="1-7_가스차압산출7"/>
      <sheetName val="1_견적서목록7"/>
      <sheetName val="부하계산서_(영문)7"/>
      <sheetName val="PEND-ITEM_(2)7"/>
      <sheetName val="견적표지_(횡)7"/>
      <sheetName val="부하집계표_(2안)7"/>
      <sheetName val="부하계산서_7"/>
      <sheetName val="UNIT_COOLER_선정표7"/>
      <sheetName val="ACCUMULALOR_(2안)7"/>
      <sheetName val="동력집계표_(2안)7"/>
      <sheetName val="cooling_tower_(2)7"/>
      <sheetName val="cooling_water_pump7"/>
      <sheetName val="DEFROEST_PUMP7"/>
      <sheetName val="기기선정표_(2안)7"/>
      <sheetName val="cooling_tower7"/>
      <sheetName val="부하집계표_(2)7"/>
      <sheetName val="덕트_및_배기그릴선정7"/>
      <sheetName val="OCT_FDN7"/>
      <sheetName val="EXT_CHECK7"/>
      <sheetName val="P-127E1,E2_7"/>
      <sheetName val="P-123E1,E2_7"/>
      <sheetName val="P-128E_7"/>
      <sheetName val="（３）_7"/>
      <sheetName val="목차_(2)7"/>
      <sheetName val="1-1_손익(부문별)7"/>
      <sheetName val="1-2_손익(월별)7"/>
      <sheetName val="2-1_판관비(부문)7"/>
      <sheetName val="2-2_판관비(월별)7"/>
      <sheetName val="3-1_수익비용(부문별)7"/>
      <sheetName val="3-2_수익비용(월별)7"/>
      <sheetName val="4-1_투자(부문)7"/>
      <sheetName val="4-2_투자(월별)7"/>
      <sheetName val="5-1_인원(부문)7"/>
      <sheetName val="5-2_인원(월별)7"/>
      <sheetName val="6_산출근거7"/>
      <sheetName val="7_현금흐름7"/>
      <sheetName val="마케팅1_(2)7"/>
      <sheetName val="마케팅1_(3)7"/>
      <sheetName val="마케팅1_(4)7"/>
      <sheetName val="01_1담당매출계획27_8$7"/>
      <sheetName val="01매출계획_선용품7"/>
      <sheetName val="작업악성채권직원판매제외(거래선별)_7"/>
      <sheetName val="작업악성채권직원판매제외_(담당별종합)7"/>
      <sheetName val="작업악성채권직원판매제외_(담당별)7"/>
      <sheetName val="판촉비예산_7"/>
      <sheetName val="인테리어_시설7"/>
      <sheetName val="파_3층_특설_장치장식비7"/>
      <sheetName val="총괄_(03년11월)h&amp;s7"/>
      <sheetName val="총괄_(03년11월)여행7"/>
      <sheetName val="세부내용_(03년11월)여행7"/>
      <sheetName val="개인_세부내용_(03년11월)여행7"/>
      <sheetName val="동구일반상품_7"/>
      <sheetName val="남양시작동자105노65기1_3화1_27"/>
      <sheetName val="97_사업추정(WEKI)7"/>
      <sheetName val="TRE_TABLE7"/>
      <sheetName val="비교손익계산서_1"/>
      <sheetName val="2003_121"/>
      <sheetName val="2002_121"/>
      <sheetName val="1_수인터널6"/>
      <sheetName val="PE거푸집(1_2)7"/>
      <sheetName val="갑지_(2)6"/>
      <sheetName val="비목별_투자_집계6"/>
      <sheetName val="자재비내역_6"/>
      <sheetName val="운반비_내역6"/>
      <sheetName val="사무_용품비6"/>
      <sheetName val="지대_및_집세6"/>
      <sheetName val="갑지_2_(2)6"/>
      <sheetName val="갑지_26"/>
      <sheetName val="영업_일11"/>
      <sheetName val="표지_(2)7"/>
      <sheetName val="unit_47"/>
      <sheetName val="1차_내역서7"/>
      <sheetName val="BEND_LOSS7"/>
      <sheetName val="토목내역서_(도급단가)7"/>
      <sheetName val="3_건축(현장안)7"/>
      <sheetName val="A_LINE7"/>
      <sheetName val="WEIGHT_LIST7"/>
      <sheetName val="산#2-1_(2)7"/>
      <sheetName val="P_M_별7"/>
      <sheetName val="PUNCH_LIST7"/>
      <sheetName val="WELDING_JOINT_INSPECTION_STATU7"/>
      <sheetName val="토공(우물통,기타)_7"/>
      <sheetName val="2_2_10_샤시등7"/>
      <sheetName val="A3_공사비_검토7"/>
      <sheetName val="C3_토목_옹벽7"/>
      <sheetName val="A6_샤시등7"/>
      <sheetName val="전선_및_전선관7"/>
      <sheetName val="에너지성능지표검토서(기계,_전기,_신재생)7"/>
      <sheetName val="7_수지7"/>
      <sheetName val="TOWER_12TON7"/>
      <sheetName val="JIB_CRANE,HOIST7"/>
      <sheetName val="TOWER_10TON7"/>
      <sheetName val="BSD__2_7"/>
      <sheetName val="내역서_(2)7"/>
      <sheetName val="구조______6"/>
      <sheetName val="배수입상_7"/>
      <sheetName val="내역서_(3)7"/>
      <sheetName val="내역서_(4)7"/>
      <sheetName val="아파트_7"/>
      <sheetName val="2000년_공정표6"/>
      <sheetName val="IMP_(REACTOR)6"/>
      <sheetName val="1장_7"/>
      <sheetName val="1_개요_7"/>
      <sheetName val="2_조건_7"/>
      <sheetName val="3_공식붙임7"/>
      <sheetName val="4장_7"/>
      <sheetName val="1_AHU_7"/>
      <sheetName val="2_AHU-17"/>
      <sheetName val="2_FAN7"/>
      <sheetName val="1_급탕7"/>
      <sheetName val="6장_별첨7"/>
      <sheetName val="콤보박스와_리스트박스의_연결6"/>
      <sheetName val="0_갑지6"/>
      <sheetName val="1_공통가설공사6"/>
      <sheetName val="2_토목공사6"/>
      <sheetName val="3_건축공사6"/>
      <sheetName val="4_설비공사6"/>
      <sheetName val="5_전기공사6"/>
      <sheetName val="7_안전관리비6"/>
      <sheetName val="8_현장관리비6"/>
      <sheetName val="인원투입_계획표6"/>
      <sheetName val="공사계약현황_(기계설비))6"/>
      <sheetName val="공사계약현황_(전기)6"/>
      <sheetName val="2000_056"/>
      <sheetName val="추정공사비_산출결과7"/>
      <sheetName val="월별손익(용역)_7"/>
      <sheetName val="1-1_손익(온정각)7"/>
      <sheetName val="1-1_손익(관광식당)7"/>
      <sheetName val="1-1_손익(직원식당)7"/>
      <sheetName val="1-2_월별손익(온정각)7"/>
      <sheetName val="1-2_월별손익(관광식당)7"/>
      <sheetName val="1-2_월별손익(직원식당)7"/>
      <sheetName val="2-1_판관비(지원)7"/>
      <sheetName val="2-1_판관비(관광)7"/>
      <sheetName val="2-1_판관비(직원)_7"/>
      <sheetName val="2-1_판관비(온정각)7"/>
      <sheetName val="2-2_월별판관비(온정각)7"/>
      <sheetName val="2-2_월별판관비(지원)7"/>
      <sheetName val="2-2_월별판관비(직원)7"/>
      <sheetName val="2-2_월별판관비(휴게소)7"/>
      <sheetName val="2-2_월별판관비(스넥코너)7"/>
      <sheetName val="2-2_월별판관비(음료코너)7"/>
      <sheetName val="2-2_월별판관비(온천장)7"/>
      <sheetName val="5-1_인원(온정각)7"/>
      <sheetName val="99년누계_(월별)7"/>
      <sheetName val="1_설계조건6"/>
      <sheetName val="인건비_1"/>
      <sheetName val="2__공원조도1"/>
      <sheetName val="고효율_유도전동기_적용비율_계산서7"/>
      <sheetName val="건축실행__(5)6"/>
      <sheetName val="SEV_wiress4_Total1"/>
      <sheetName val="SEV_wireles_4__fire_fighting_1"/>
      <sheetName val="SEV_wireles_4__fire_Alarm1"/>
      <sheetName val="B_1-11"/>
      <sheetName val="B_1-21"/>
      <sheetName val="B_1-31"/>
      <sheetName val="B_1-41"/>
      <sheetName val="B_1-51"/>
      <sheetName val="B_1-61"/>
      <sheetName val="B_1-71"/>
      <sheetName val="B_21"/>
      <sheetName val="B_31"/>
      <sheetName val="B_41"/>
      <sheetName val="B_6-11"/>
      <sheetName val="B_6-21"/>
      <sheetName val="7_경제성결과1"/>
      <sheetName val="BSD_(2)1"/>
      <sheetName val="플랜트_설치6"/>
      <sheetName val="참고용_(2)6"/>
      <sheetName val="COMPARISON_TABLE6"/>
      <sheetName val="Eq__Mobilization6"/>
      <sheetName val="간접비_총괄표6"/>
      <sheetName val="6PILE__(돌출)6"/>
      <sheetName val="공사예산하조서(O_K)6"/>
      <sheetName val="C_배수관공6"/>
      <sheetName val="수목데이타_6"/>
      <sheetName val="정산서_6"/>
      <sheetName val="1_설계기준6"/>
      <sheetName val="역T형옹벽(3_0)6"/>
      <sheetName val="2_냉난방설비공사6"/>
      <sheetName val="7_자동제어공사6"/>
      <sheetName val="1_취수장6"/>
      <sheetName val="3_고급화검토6"/>
      <sheetName val="2_공사비_검토6"/>
      <sheetName val="5_공종별예산내역서6"/>
      <sheetName val="1_CB6"/>
      <sheetName val="1_CB_(2)6"/>
      <sheetName val="1_CB_(3)6"/>
      <sheetName val="C급보_6"/>
      <sheetName val="wage_Cal6"/>
      <sheetName val="일단의_주택지1"/>
      <sheetName val="단가_1"/>
      <sheetName val="하도내역_(철콘)1"/>
      <sheetName val="수량산출서_갑지1"/>
      <sheetName val="실행내역_1"/>
      <sheetName val="설_계1"/>
      <sheetName val="입출재고현황_(2)1"/>
      <sheetName val="4-3_보온_기본물량집계1"/>
      <sheetName val="Mech_CIF6"/>
      <sheetName val="할증_1"/>
      <sheetName val="승용C_S1"/>
      <sheetName val="상용C_S1"/>
      <sheetName val="1_우편집중내역서1"/>
      <sheetName val="환경기계공정표_(3)1"/>
      <sheetName val="신단가_(내진설치비)1"/>
      <sheetName val="1_집계표1"/>
      <sheetName val="2_공통가설공사1"/>
      <sheetName val="4_기계설비공사1"/>
      <sheetName val="7__안전관리비1"/>
      <sheetName val="식대_숙직비1"/>
      <sheetName val="프린트_(3)1"/>
      <sheetName val="간지-2_(2)1"/>
      <sheetName val="_1__개요1"/>
      <sheetName val="_2__난방설비1"/>
      <sheetName val="열관류율_계산서1"/>
      <sheetName val="2_3_세대별난방부하집계1"/>
      <sheetName val="보일러_선정1"/>
      <sheetName val="84A_(2)1"/>
      <sheetName val="84B_(2)1"/>
      <sheetName val="84C_(2)1"/>
      <sheetName val="101A_(2)1"/>
      <sheetName val="101B_(2)1"/>
      <sheetName val="101C_(2)1"/>
      <sheetName val="난방부하집계_(2)1"/>
      <sheetName val="2_3_세대별난방부하집계_(2)1"/>
      <sheetName val="보일러_선정_(2)1"/>
      <sheetName val="4_급수설비1"/>
      <sheetName val="4_2_급수입상배관1"/>
      <sheetName val="4_3_급수횡주관1"/>
      <sheetName val="5_1_열교환기1"/>
      <sheetName val="Sheet1_(2)1"/>
      <sheetName val="4-0_툫자1"/>
      <sheetName val="단위세대_개요1"/>
      <sheetName val="GEN_1"/>
      <sheetName val="2_대외공문1"/>
      <sheetName val="1_구리중_(제조사A)1"/>
      <sheetName val="1_구리중_(제조사B)1"/>
      <sheetName val="1_구리중_(제조사C)1"/>
      <sheetName val="2_토평초(제조사A)1"/>
      <sheetName val="2_토평초(제조사B)1"/>
      <sheetName val="2_토평초(제조사C)1"/>
      <sheetName val="3_평내초(제조사A)1"/>
      <sheetName val="3_평내초(제조사B)1"/>
      <sheetName val="3_평내초(제조사C)1"/>
      <sheetName val="실외기_배관트레이1"/>
      <sheetName val="중앙콘트롤러설치용전선_1"/>
      <sheetName val="을_11"/>
      <sheetName val="을_21"/>
      <sheetName val="토목내역_(2)1"/>
      <sheetName val="DATA_입력란1"/>
      <sheetName val="1__설계조건_2_단면가정_3__하중계산1"/>
      <sheetName val="12_171"/>
      <sheetName val="가스공사_1"/>
      <sheetName val="3련_BOX1"/>
      <sheetName val="1_설계조건_1"/>
      <sheetName val="설계기준설명_1"/>
      <sheetName val="2_단면가정_(BASE)1"/>
      <sheetName val="3_하중및토압_(고정)1"/>
      <sheetName val="4_작용하중(고정)1"/>
      <sheetName val="5_안정검토(고정)(풍화암)1"/>
      <sheetName val="6_벽체계산1"/>
      <sheetName val="7_흉벽계산(ASCON)1"/>
      <sheetName val="8_FOOTING1"/>
      <sheetName val="9_날개벽1"/>
      <sheetName val="10_교좌받침1"/>
      <sheetName val="11_접속슬라브(ASCON)1"/>
      <sheetName val="EQUIPMENT_-21"/>
      <sheetName val="건___축1"/>
      <sheetName val="4_3__급수펌프선정1"/>
      <sheetName val="4_3_2_급탕순환펌프1"/>
      <sheetName val="4_3_3__배수펌프1"/>
      <sheetName val="4_4__전기온수기1"/>
      <sheetName val="4_5__보일러1"/>
      <sheetName val="4_4__급탕탱크1"/>
      <sheetName val="4_6__급탕탱크1"/>
      <sheetName val="crude_SLAB_RE-bar1"/>
      <sheetName val="자__재1"/>
      <sheetName val="Bag_Filter_Sizing1"/>
      <sheetName val="BOX구조해석_설명서1"/>
      <sheetName val="철근량_검토1"/>
      <sheetName val="준검_내역서1"/>
      <sheetName val="1_내역(청_하역장전등)1"/>
      <sheetName val="내역서1999_8최종1"/>
      <sheetName val="9,10월신제품_(2)1"/>
      <sheetName val="1_공사개요(입력)1"/>
      <sheetName val="6__안전관리비1"/>
      <sheetName val="5__현장관리비(new)_1"/>
      <sheetName val="LEGEND_i1"/>
      <sheetName val="전화_인터넷(현장)1"/>
      <sheetName val="3_0냉난방열원집계1"/>
      <sheetName val="4_1AHU1"/>
      <sheetName val="4_3_공기압축기1"/>
      <sheetName val="4_7_전기라디에타_1"/>
      <sheetName val="4_9_AC_1"/>
      <sheetName val="4_11_FAN1"/>
      <sheetName val="4_12_TANK_4_13_탈취기1"/>
      <sheetName val="4_14_PUMP1"/>
      <sheetName val="5_위생설비1"/>
      <sheetName val="평형별_세대수1"/>
      <sheetName val="G_R300경비1"/>
      <sheetName val="집_계_표1"/>
      <sheetName val="정계약_현황1"/>
      <sheetName val="1_기계_납품_진행__현황1"/>
      <sheetName val="2_협력업체_담당자_및_연락처1"/>
      <sheetName val="15_문제점1"/>
      <sheetName val="블럭_손익1"/>
      <sheetName val="_총괄표1"/>
      <sheetName val="수배전반_을지1"/>
      <sheetName val="8_PILE__(돌출)1"/>
      <sheetName val="Sheet2_(2)1"/>
      <sheetName val="파주_운정지구_A8블럭1"/>
      <sheetName val="3BL공동구_수량1"/>
      <sheetName val="총_원가계산1"/>
      <sheetName val="5_세운W-A1"/>
      <sheetName val="토공사및_흙막이공사8"/>
      <sheetName val="써100_(A4)8"/>
      <sheetName val="F_C_U_ZONE집계8"/>
      <sheetName val="A_H_U_ZONE별집계8"/>
      <sheetName val="PAC_집계8"/>
      <sheetName val="1_가스소비량8"/>
      <sheetName val="1-3_가스관경계산-18"/>
      <sheetName val="1-4_가스관경계산-28"/>
      <sheetName val="1-5_가스관경계산-38"/>
      <sheetName val="1-6_가스관경계산-4_8"/>
      <sheetName val="1-7_가스관경계산-58"/>
      <sheetName val="1-7_가스차압산출8"/>
      <sheetName val="1_견적서목록8"/>
      <sheetName val="부하계산서_(영문)8"/>
      <sheetName val="PEND-ITEM_(2)8"/>
      <sheetName val="견적표지_(횡)8"/>
      <sheetName val="부하집계표_(2안)8"/>
      <sheetName val="부하계산서_8"/>
      <sheetName val="UNIT_COOLER_선정표8"/>
      <sheetName val="ACCUMULALOR_(2안)8"/>
      <sheetName val="동력집계표_(2안)8"/>
      <sheetName val="cooling_tower_(2)8"/>
      <sheetName val="cooling_water_pump8"/>
      <sheetName val="DEFROEST_PUMP8"/>
      <sheetName val="기기선정표_(2안)8"/>
      <sheetName val="cooling_tower8"/>
      <sheetName val="부하집계표_(2)8"/>
      <sheetName val="덕트_및_배기그릴선정8"/>
      <sheetName val="OCT_FDN8"/>
      <sheetName val="EXT_CHECK8"/>
      <sheetName val="P-127E1,E2_8"/>
      <sheetName val="P-123E1,E2_8"/>
      <sheetName val="P-128E_8"/>
      <sheetName val="（３）_8"/>
      <sheetName val="목차_(2)8"/>
      <sheetName val="1-1_손익(부문별)8"/>
      <sheetName val="1-2_손익(월별)8"/>
      <sheetName val="2-1_판관비(부문)8"/>
      <sheetName val="2-2_판관비(월별)8"/>
      <sheetName val="3-1_수익비용(부문별)8"/>
      <sheetName val="3-2_수익비용(월별)8"/>
      <sheetName val="4-1_투자(부문)8"/>
      <sheetName val="4-2_투자(월별)8"/>
      <sheetName val="5-1_인원(부문)8"/>
      <sheetName val="5-2_인원(월별)8"/>
      <sheetName val="6_산출근거8"/>
      <sheetName val="7_현금흐름8"/>
      <sheetName val="마케팅1_(2)8"/>
      <sheetName val="마케팅1_(3)8"/>
      <sheetName val="마케팅1_(4)8"/>
      <sheetName val="01_1담당매출계획27_8$8"/>
      <sheetName val="01매출계획_선용품8"/>
      <sheetName val="작업악성채권직원판매제외(거래선별)_8"/>
      <sheetName val="작업악성채권직원판매제외_(담당별종합)8"/>
      <sheetName val="작업악성채권직원판매제외_(담당별)8"/>
      <sheetName val="판촉비예산_8"/>
      <sheetName val="인테리어_시설8"/>
      <sheetName val="파_3층_특설_장치장식비8"/>
      <sheetName val="총괄_(03년11월)h&amp;s8"/>
      <sheetName val="총괄_(03년11월)여행8"/>
      <sheetName val="세부내용_(03년11월)여행8"/>
      <sheetName val="개인_세부내용_(03년11월)여행8"/>
      <sheetName val="동구일반상품_8"/>
      <sheetName val="남양시작동자105노65기1_3화1_28"/>
      <sheetName val="97_사업추정(WEKI)8"/>
      <sheetName val="TRE_TABLE8"/>
      <sheetName val="비교손익계산서_2"/>
      <sheetName val="2003_122"/>
      <sheetName val="2002_122"/>
      <sheetName val="1_수인터널7"/>
      <sheetName val="PE거푸집(1_2)8"/>
      <sheetName val="갑지_(2)7"/>
      <sheetName val="비목별_투자_집계7"/>
      <sheetName val="자재비내역_7"/>
      <sheetName val="운반비_내역7"/>
      <sheetName val="사무_용품비7"/>
      <sheetName val="지대_및_집세7"/>
      <sheetName val="갑지_2_(2)7"/>
      <sheetName val="갑지_27"/>
      <sheetName val="영업_일12"/>
      <sheetName val="표지_(2)8"/>
      <sheetName val="unit_48"/>
      <sheetName val="1차_내역서8"/>
      <sheetName val="BEND_LOSS8"/>
      <sheetName val="토목내역서_(도급단가)8"/>
      <sheetName val="3_건축(현장안)8"/>
      <sheetName val="A_LINE8"/>
      <sheetName val="WEIGHT_LIST8"/>
      <sheetName val="산#2-1_(2)8"/>
      <sheetName val="P_M_별8"/>
      <sheetName val="PUNCH_LIST8"/>
      <sheetName val="WELDING_JOINT_INSPECTION_STATU8"/>
      <sheetName val="토공(우물통,기타)_8"/>
      <sheetName val="2_2_10_샤시등8"/>
      <sheetName val="A3_공사비_검토8"/>
      <sheetName val="C3_토목_옹벽8"/>
      <sheetName val="A6_샤시등8"/>
      <sheetName val="전선_및_전선관8"/>
      <sheetName val="에너지성능지표검토서(기계,_전기,_신재생)8"/>
      <sheetName val="7_수지8"/>
      <sheetName val="TOWER_12TON8"/>
      <sheetName val="JIB_CRANE,HOIST8"/>
      <sheetName val="TOWER_10TON8"/>
      <sheetName val="BSD__2_8"/>
      <sheetName val="내역서_(2)8"/>
      <sheetName val="구조______7"/>
      <sheetName val="배수입상_8"/>
      <sheetName val="내역서_(3)8"/>
      <sheetName val="내역서_(4)8"/>
      <sheetName val="아파트_8"/>
      <sheetName val="2000년_공정표7"/>
      <sheetName val="IMP_(REACTOR)7"/>
      <sheetName val="1장_8"/>
      <sheetName val="1_개요_8"/>
      <sheetName val="2_조건_8"/>
      <sheetName val="3_공식붙임8"/>
      <sheetName val="4장_8"/>
      <sheetName val="1_AHU_8"/>
      <sheetName val="2_AHU-18"/>
      <sheetName val="2_FAN8"/>
      <sheetName val="1_급탕8"/>
      <sheetName val="6장_별첨8"/>
      <sheetName val="콤보박스와_리스트박스의_연결7"/>
      <sheetName val="0_갑지7"/>
      <sheetName val="1_공통가설공사7"/>
      <sheetName val="2_토목공사7"/>
      <sheetName val="3_건축공사7"/>
      <sheetName val="4_설비공사7"/>
      <sheetName val="5_전기공사7"/>
      <sheetName val="7_안전관리비7"/>
      <sheetName val="8_현장관리비7"/>
      <sheetName val="인원투입_계획표7"/>
      <sheetName val="공사계약현황_(기계설비))7"/>
      <sheetName val="공사계약현황_(전기)7"/>
      <sheetName val="2000_057"/>
      <sheetName val="추정공사비_산출결과8"/>
      <sheetName val="월별손익(용역)_8"/>
      <sheetName val="1-1_손익(온정각)8"/>
      <sheetName val="1-1_손익(관광식당)8"/>
      <sheetName val="1-1_손익(직원식당)8"/>
      <sheetName val="1-2_월별손익(온정각)8"/>
      <sheetName val="1-2_월별손익(관광식당)8"/>
      <sheetName val="1-2_월별손익(직원식당)8"/>
      <sheetName val="2-1_판관비(지원)8"/>
      <sheetName val="2-1_판관비(관광)8"/>
      <sheetName val="2-1_판관비(직원)_8"/>
      <sheetName val="2-1_판관비(온정각)8"/>
      <sheetName val="2-2_월별판관비(온정각)8"/>
      <sheetName val="2-2_월별판관비(지원)8"/>
      <sheetName val="2-2_월별판관비(직원)8"/>
      <sheetName val="2-2_월별판관비(휴게소)8"/>
      <sheetName val="2-2_월별판관비(스넥코너)8"/>
      <sheetName val="2-2_월별판관비(음료코너)8"/>
      <sheetName val="2-2_월별판관비(온천장)8"/>
      <sheetName val="5-1_인원(온정각)8"/>
      <sheetName val="99년누계_(월별)8"/>
      <sheetName val="1_설계조건7"/>
      <sheetName val="인건비_2"/>
      <sheetName val="2__공원조도2"/>
      <sheetName val="고효율_유도전동기_적용비율_계산서8"/>
      <sheetName val="건축실행__(5)7"/>
      <sheetName val="SEV_wiress4_Total2"/>
      <sheetName val="SEV_wireles_4__fire_fighting_2"/>
      <sheetName val="SEV_wireles_4__fire_Alarm2"/>
      <sheetName val="B_1-12"/>
      <sheetName val="B_1-22"/>
      <sheetName val="B_1-32"/>
      <sheetName val="B_1-42"/>
      <sheetName val="B_1-52"/>
      <sheetName val="B_1-62"/>
      <sheetName val="B_1-72"/>
      <sheetName val="B_22"/>
      <sheetName val="B_32"/>
      <sheetName val="B_42"/>
      <sheetName val="B_6-12"/>
      <sheetName val="B_6-22"/>
      <sheetName val="7_경제성결과2"/>
      <sheetName val="BSD_(2)2"/>
      <sheetName val="플랜트_설치7"/>
      <sheetName val="참고용_(2)7"/>
      <sheetName val="COMPARISON_TABLE7"/>
      <sheetName val="Eq__Mobilization7"/>
      <sheetName val="간접비_총괄표7"/>
      <sheetName val="6PILE__(돌출)7"/>
      <sheetName val="공사예산하조서(O_K)7"/>
      <sheetName val="C_배수관공7"/>
      <sheetName val="수목데이타_7"/>
      <sheetName val="정산서_7"/>
      <sheetName val="1_설계기준7"/>
      <sheetName val="역T형옹벽(3_0)7"/>
      <sheetName val="2_냉난방설비공사7"/>
      <sheetName val="7_자동제어공사7"/>
      <sheetName val="1_취수장7"/>
      <sheetName val="3_고급화검토7"/>
      <sheetName val="2_공사비_검토7"/>
      <sheetName val="5_공종별예산내역서7"/>
      <sheetName val="1_CB7"/>
      <sheetName val="1_CB_(2)7"/>
      <sheetName val="1_CB_(3)7"/>
      <sheetName val="C급보_7"/>
      <sheetName val="wage_Cal7"/>
      <sheetName val="일단의_주택지2"/>
      <sheetName val="단가_2"/>
      <sheetName val="하도내역_(철콘)2"/>
      <sheetName val="수량산출서_갑지2"/>
      <sheetName val="실행내역_2"/>
      <sheetName val="설_계2"/>
      <sheetName val="입출재고현황_(2)2"/>
      <sheetName val="4-3_보온_기본물량집계2"/>
      <sheetName val="Mech_CIF7"/>
      <sheetName val="할증_2"/>
      <sheetName val="승용C_S2"/>
      <sheetName val="상용C_S2"/>
      <sheetName val="1_우편집중내역서2"/>
      <sheetName val="환경기계공정표_(3)2"/>
      <sheetName val="신단가_(내진설치비)2"/>
      <sheetName val="1_집계표2"/>
      <sheetName val="2_공통가설공사2"/>
      <sheetName val="4_기계설비공사2"/>
      <sheetName val="7__안전관리비2"/>
      <sheetName val="식대_숙직비2"/>
      <sheetName val="프린트_(3)2"/>
      <sheetName val="간지-2_(2)2"/>
      <sheetName val="_1__개요2"/>
      <sheetName val="_2__난방설비2"/>
      <sheetName val="열관류율_계산서2"/>
      <sheetName val="2_3_세대별난방부하집계2"/>
      <sheetName val="보일러_선정2"/>
      <sheetName val="84A_(2)2"/>
      <sheetName val="84B_(2)2"/>
      <sheetName val="84C_(2)2"/>
      <sheetName val="101A_(2)2"/>
      <sheetName val="101B_(2)2"/>
      <sheetName val="101C_(2)2"/>
      <sheetName val="난방부하집계_(2)2"/>
      <sheetName val="2_3_세대별난방부하집계_(2)2"/>
      <sheetName val="보일러_선정_(2)2"/>
      <sheetName val="4_급수설비2"/>
      <sheetName val="4_2_급수입상배관2"/>
      <sheetName val="4_3_급수횡주관2"/>
      <sheetName val="5_1_열교환기2"/>
      <sheetName val="Sheet1_(2)2"/>
      <sheetName val="4-0_툫자2"/>
      <sheetName val="단위세대_개요2"/>
      <sheetName val="GEN_2"/>
      <sheetName val="2_대외공문2"/>
      <sheetName val="1_구리중_(제조사A)2"/>
      <sheetName val="1_구리중_(제조사B)2"/>
      <sheetName val="1_구리중_(제조사C)2"/>
      <sheetName val="2_토평초(제조사A)2"/>
      <sheetName val="2_토평초(제조사B)2"/>
      <sheetName val="2_토평초(제조사C)2"/>
      <sheetName val="3_평내초(제조사A)2"/>
      <sheetName val="3_평내초(제조사B)2"/>
      <sheetName val="3_평내초(제조사C)2"/>
      <sheetName val="실외기_배관트레이2"/>
      <sheetName val="중앙콘트롤러설치용전선_2"/>
      <sheetName val="을_12"/>
      <sheetName val="을_22"/>
      <sheetName val="토목내역_(2)2"/>
      <sheetName val="DATA_입력란2"/>
      <sheetName val="1__설계조건_2_단면가정_3__하중계산2"/>
      <sheetName val="12_172"/>
      <sheetName val="가스공사_2"/>
      <sheetName val="3련_BOX2"/>
      <sheetName val="1_설계조건_2"/>
      <sheetName val="설계기준설명_2"/>
      <sheetName val="2_단면가정_(BASE)2"/>
      <sheetName val="3_하중및토압_(고정)2"/>
      <sheetName val="4_작용하중(고정)2"/>
      <sheetName val="5_안정검토(고정)(풍화암)2"/>
      <sheetName val="6_벽체계산2"/>
      <sheetName val="7_흉벽계산(ASCON)2"/>
      <sheetName val="8_FOOTING2"/>
      <sheetName val="9_날개벽2"/>
      <sheetName val="10_교좌받침2"/>
      <sheetName val="11_접속슬라브(ASCON)2"/>
      <sheetName val="EQUIPMENT_-22"/>
      <sheetName val="건___축2"/>
      <sheetName val="4_3__급수펌프선정2"/>
      <sheetName val="4_3_2_급탕순환펌프2"/>
      <sheetName val="4_3_3__배수펌프2"/>
      <sheetName val="4_4__전기온수기2"/>
      <sheetName val="4_5__보일러2"/>
      <sheetName val="4_4__급탕탱크2"/>
      <sheetName val="4_6__급탕탱크2"/>
      <sheetName val="crude_SLAB_RE-bar2"/>
      <sheetName val="자__재2"/>
      <sheetName val="Bag_Filter_Sizing2"/>
      <sheetName val="BOX구조해석_설명서2"/>
      <sheetName val="철근량_검토2"/>
      <sheetName val="준검_내역서2"/>
      <sheetName val="1_내역(청_하역장전등)2"/>
      <sheetName val="내역서1999_8최종2"/>
      <sheetName val="9,10월신제품_(2)2"/>
      <sheetName val="1_공사개요(입력)2"/>
      <sheetName val="6__안전관리비2"/>
      <sheetName val="5__현장관리비(new)_2"/>
      <sheetName val="LEGEND_i2"/>
      <sheetName val="전화_인터넷(현장)2"/>
      <sheetName val="3_0냉난방열원집계2"/>
      <sheetName val="4_1AHU2"/>
      <sheetName val="4_3_공기압축기2"/>
      <sheetName val="4_7_전기라디에타_2"/>
      <sheetName val="4_9_AC_2"/>
      <sheetName val="4_11_FAN2"/>
      <sheetName val="4_12_TANK_4_13_탈취기2"/>
      <sheetName val="4_14_PUMP2"/>
      <sheetName val="5_위생설비2"/>
      <sheetName val="평형별_세대수2"/>
      <sheetName val="G_R300경비2"/>
      <sheetName val="집_계_표2"/>
      <sheetName val="정계약_현황2"/>
      <sheetName val="1_기계_납품_진행__현황2"/>
      <sheetName val="2_협력업체_담당자_및_연락처2"/>
      <sheetName val="15_문제점2"/>
      <sheetName val="블럭_손익2"/>
      <sheetName val="_총괄표2"/>
      <sheetName val="수배전반_을지2"/>
      <sheetName val="8_PILE__(돌출)2"/>
      <sheetName val="Sheet2_(2)2"/>
      <sheetName val="파주_운정지구_A8블럭2"/>
      <sheetName val="3BL공동구_수량2"/>
      <sheetName val="총_원가계산2"/>
      <sheetName val="5_세운W-A2"/>
      <sheetName val="터널조도"/>
      <sheetName val="노무비비목코드"/>
      <sheetName val="납품도설치도"/>
      <sheetName val="Mc1"/>
      <sheetName val="3단계"/>
      <sheetName val="1단계"/>
      <sheetName val="2단계"/>
      <sheetName val=" 냉각수펌프"/>
      <sheetName val="원가계산서(남측)"/>
      <sheetName val="내역서(기계)"/>
      <sheetName val="실행내역"/>
      <sheetName val="list"/>
      <sheetName val="견적내역"/>
      <sheetName val="백암비스타내역"/>
      <sheetName val="단위수량"/>
      <sheetName val="맨홀수량산출"/>
      <sheetName val="AV시스템"/>
      <sheetName val="적용토목"/>
      <sheetName val="FB25JN"/>
      <sheetName val="CODE"/>
      <sheetName val="수량집계"/>
      <sheetName val="BOX전기내역"/>
      <sheetName val="Check List"/>
      <sheetName val="구조물공"/>
      <sheetName val="CRUDE RE-bar"/>
      <sheetName val="MAIN GATE HOUSE"/>
      <sheetName val="__MIGA_______TOWER_P_KBLEE____2"/>
      <sheetName val="에너지성능지표"/>
      <sheetName val="년도별노임표"/>
      <sheetName val="중기목록표"/>
      <sheetName val="H-PILE수량집계"/>
      <sheetName val="S커브"/>
      <sheetName val="코드"/>
      <sheetName val="견적갑지"/>
      <sheetName val="danga"/>
      <sheetName val="Tool"/>
      <sheetName val="그림"/>
      <sheetName val="단가 및 재료비"/>
      <sheetName val="단가산출2"/>
      <sheetName val="단가산출1"/>
      <sheetName val="중기사용료산출근거"/>
      <sheetName val="내역서 "/>
      <sheetName val="FCU선정"/>
      <sheetName val="냉온수유니트"/>
      <sheetName val="물집"/>
      <sheetName val="PIPE"/>
      <sheetName val="FLANGE"/>
      <sheetName val="VALVE"/>
      <sheetName val="견적공통"/>
      <sheetName val="MC"/>
      <sheetName val="가격표"/>
      <sheetName val="간이2"/>
      <sheetName val="연결방지용"/>
      <sheetName val="차종별"/>
      <sheetName val="간이연락"/>
      <sheetName val="예산계획"/>
      <sheetName val="이름정의"/>
      <sheetName val="투자-국내2"/>
      <sheetName val="전체현황"/>
      <sheetName val="GRACE"/>
      <sheetName val="차수"/>
      <sheetName val="R&amp;D"/>
      <sheetName val="HP1AMLIST"/>
      <sheetName val="ML"/>
      <sheetName val="구동"/>
      <sheetName val="계열사현황종합"/>
      <sheetName val="CALENDAR"/>
      <sheetName val="재료율"/>
      <sheetName val="일괄인쇄"/>
      <sheetName val="B-III"/>
      <sheetName val="승용"/>
      <sheetName val="p2-1"/>
      <sheetName val="현장대리인_말일"/>
      <sheetName val="사원증 제작"/>
      <sheetName val="메일, 웹하드"/>
      <sheetName val="보험"/>
      <sheetName val="협업, 협회"/>
      <sheetName val="최진한"/>
      <sheetName val="윤원섭"/>
      <sheetName val="본사인적사항"/>
      <sheetName val="현장인적사항"/>
      <sheetName val="현장기술자배치기준"/>
      <sheetName val="보유명단_건설기술인협회"/>
      <sheetName val="최초교육대상"/>
      <sheetName val="사후정산-사회보험edi"/>
      <sheetName val="협력업체"/>
      <sheetName val="사업자등록증"/>
      <sheetName val="면허등록증"/>
      <sheetName val="Sheet3 (2)"/>
      <sheetName val="현장설명결의서"/>
      <sheetName val="제안서"/>
      <sheetName val="행정표준(1)"/>
      <sheetName val="행정표준(2)"/>
      <sheetName val="전입"/>
      <sheetName val="간접비 _x0000__x0000__x0005_"/>
      <sheetName val="설계내역"/>
      <sheetName val="금리계산"/>
      <sheetName val="DATA-UPS"/>
      <sheetName val="포장공자재집계표"/>
      <sheetName val="참조자료"/>
      <sheetName val="간접경상비"/>
      <sheetName val="급여인건비LS"/>
      <sheetName val="기술부대조건"/>
      <sheetName val="교각계산"/>
      <sheetName val="IMPEADENCE MAP 취수장"/>
      <sheetName val="OPGW기별"/>
      <sheetName val="급수 (LPM)"/>
      <sheetName val="단기차입금(200006)"/>
      <sheetName val="구리토평"/>
      <sheetName val="TANK견적대지"/>
      <sheetName val="실행"/>
      <sheetName val="공종단가"/>
      <sheetName val="노무비지급명세"/>
      <sheetName val="X17-TOTAL"/>
      <sheetName val="소방사항"/>
      <sheetName val="호표"/>
      <sheetName val="9-1차이내역"/>
      <sheetName val="현장관리비 산출내역"/>
      <sheetName val="일위대가 집계표"/>
      <sheetName val="98수문일위"/>
      <sheetName val="재료"/>
      <sheetName val="설치자재"/>
      <sheetName val="5.단면검토"/>
      <sheetName val="기초INPUT"/>
      <sheetName val="포장물량집계"/>
      <sheetName val="사업성분석"/>
      <sheetName val="제2호단위수량"/>
      <sheetName val="CAUDIT"/>
      <sheetName val="설계서을"/>
      <sheetName val="적용건축"/>
      <sheetName val="중기조종사 단위단가"/>
      <sheetName val="공종별현황_공무팀자료"/>
      <sheetName val="총투입계"/>
      <sheetName val="안전시설내역서"/>
      <sheetName val="매출매입"/>
      <sheetName val="접속도로1"/>
      <sheetName val="추정공사비계ꀀ"/>
      <sheetName val="4-2.실행분석표(실적)"/>
      <sheetName val="시설이용권명세서"/>
      <sheetName val="[1.xls][1.xls]______C______99_8"/>
      <sheetName val="연결관단위"/>
      <sheetName val="⑤항목별2"/>
      <sheetName val="원가계산서"/>
      <sheetName val="[1.xls][1.xls]______P_H_S_ex_15"/>
      <sheetName val="[1.xls][1.XLS]______P_H_S_ex_14"/>
      <sheetName val="[1.XLS][1.XLS]______P_H_S_exc_4"/>
      <sheetName val="[1.XLS][1.XLS]______P_H_S_exc_2"/>
      <sheetName val="[1.XLS][1.XLS]______P_H_S_exc_3"/>
      <sheetName val="[1.XLS][1.XLS]______P_H_S_exc_5"/>
      <sheetName val="[1.XLS][1.XLS]______P_H_S_exc_8"/>
      <sheetName val="[1.XLS][1.XLS]______P_H_S_exc_7"/>
      <sheetName val="[1.XLS][1.XLS]______P_H_S_exc_6"/>
      <sheetName val="[1.XLS][1.XLS]______P_H_S_exc_9"/>
      <sheetName val="[1.XLS][1.XLS]______P_H_S_ex_11"/>
      <sheetName val="[1.XLS][1.XLS]______P_H_S_ex_10"/>
      <sheetName val="[1.XLS][1.XLS]______P_H_S_ex_13"/>
      <sheetName val="[1.XLS][1.XLS]______P_H_S_ex_12"/>
      <sheetName val="3-3.빙축열시스템부하"/>
      <sheetName val="공정표"/>
      <sheetName val="출고표"/>
      <sheetName val="추적성관리대장"/>
      <sheetName val="설치공정표"/>
      <sheetName val="전기공사"/>
      <sheetName val="횡배수관토공수량"/>
      <sheetName val="[1.xls][1.xls]______P_H_S_ex_16"/>
      <sheetName val="[1.xls][1.xls]______P_H_S_ex_17"/>
      <sheetName val="11고객별 담당자"/>
      <sheetName val="[1.xls][1.xls]______P_H_S_ex_18"/>
      <sheetName val="단가결정"/>
      <sheetName val="내역아"/>
      <sheetName val="울타리"/>
      <sheetName val="시설물일위"/>
      <sheetName val="Q(&amp;F)_x0000__x0000_蓑_x0000__x0005__x0005_Ā_x000c_NateOn 정보(&amp;V)_x0000__x0000__x0000__x0003__x0005_"/>
      <sheetName val="_x000f_?"/>
      <sheetName val="거래명세표"/>
      <sheetName val="Q(&amp;F)"/>
      <sheetName val="손익"/>
      <sheetName val="월효율분석"/>
      <sheetName val="99생산계획 (1,300)"/>
      <sheetName val="분양금할인"/>
      <sheetName val="[1.xls][1.xls]______P_H_S_ex_25"/>
      <sheetName val="[1.xls][1.XLS]______P_H_S_ex_24"/>
      <sheetName val="견적 (2)"/>
      <sheetName val="★도급내역"/>
      <sheetName val="분류표"/>
      <sheetName val="유리"/>
      <sheetName val="영업소_x0005_"/>
      <sheetName val="[1.xls][1.XLS]______P_H_S_ex_21"/>
      <sheetName val="[1.xls][1.xls]______P_H_S_ex_20"/>
      <sheetName val="[1.xls][1.XLS]______P_H_S_ex_19"/>
      <sheetName val="에너지성능지표セ迢颚_x0000_㘀窢"/>
      <sheetName val="스포회원매출"/>
      <sheetName val="영업외손익등"/>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1.xls][1.xls]______P_H_S_ex_23"/>
      <sheetName val="[1.xls][1.XLS]______P_H_S_ex_22"/>
      <sheetName val="[1.xls][1.xls]______P_H_S_ex_26"/>
      <sheetName val="[1.xls][1.xls]______P_H_S_ex_27"/>
      <sheetName val="[1.xls][1.xls]______P_H_S_ex_28"/>
      <sheetName val="[1.xls][1.xls]______P_H_S_ex_35"/>
      <sheetName val="[1.xls][1.XLS]______P_H_S_ex_34"/>
      <sheetName val="[1.xls][1.xls]______P_H_S_ex_33"/>
      <sheetName val="[1.xls][1.xls]______P_H_S_ex_32"/>
      <sheetName val="[1.xls][1.xls]______P_H_S_ex_30"/>
      <sheetName val="[1.xls][1.xls]______P_H_S_ex_29"/>
      <sheetName val="[1.xls][1.xls]______P_H_S_ex_31"/>
      <sheetName val="[1.xls][1.xls]______P_H_S_ex_36"/>
      <sheetName val="[1.xls][1.xls]______P_H_S_ex_70"/>
      <sheetName val="[1.xls][1.xls]______P_H_S_ex_71"/>
      <sheetName val="배수내역"/>
      <sheetName val="산출서"/>
      <sheetName val="총괄집계"/>
      <sheetName val="난간기초 (길이별)"/>
      <sheetName val="난간기초철근집계"/>
      <sheetName val="정자"/>
      <sheetName val="정자철근집계"/>
      <sheetName val="난간기초(개별)"/>
      <sheetName val="[1.xls][1.XLS]______P_H_S_ex_41"/>
      <sheetName val="[1.xls][1.XLS]______P_H_S_ex_39"/>
      <sheetName val="추가예산"/>
      <sheetName val="달력"/>
      <sheetName val="품셈"/>
      <sheetName val="월별"/>
      <sheetName val="[1.xls][1.xls]______P_H_S_ex_37"/>
      <sheetName val="[1.xls][1.XLS]______P_H_S_ex_38"/>
      <sheetName val="[1.xls][1.XLS]______P_H_S_ex_40"/>
      <sheetName val="[1.xls][1.xls]______P_H_S_ex_50"/>
      <sheetName val="[1.xls][1.XLS]______P_H_S_ex_48"/>
      <sheetName val="기준단가"/>
      <sheetName val="결과조달"/>
      <sheetName val="급쉸ᘡ"/>
      <sheetName val="[1.xls][1.xls]______P_H_S_ex_44"/>
      <sheetName val="[1.xls][1.XLS]______P_H_S_ex_43"/>
      <sheetName val="제-노임"/>
      <sheetName val="s"/>
      <sheetName val="토공계산"/>
      <sheetName val="주요자재집계표지"/>
      <sheetName val="주요자재집계표"/>
      <sheetName val="골재집계"/>
      <sheetName val="레미콘집계"/>
      <sheetName val="배수공집계"/>
      <sheetName val="폴리머 배수로"/>
      <sheetName val="폴리머 집수정"/>
      <sheetName val="포장집계"/>
      <sheetName val="우레탄포장"/>
      <sheetName val="경계석"/>
      <sheetName val="철거공"/>
      <sheetName val="철거공집계"/>
      <sheetName val="육상트랙"/>
      <sheetName val="배수로"/>
      <sheetName val="대로근거"/>
      <sheetName val="중로근거"/>
      <sheetName val="의무사항(1면)"/>
      <sheetName val="에너지성능지표검토서(건축)(2면)"/>
      <sheetName val="에너지성능지표검토서(기계, 전기, 신재생)(3~5면)"/>
      <sheetName val="건축2"/>
      <sheetName val="1-6(반품내역)"/>
      <sheetName val="기본일위"/>
      <sheetName val="위생설비"/>
      <sheetName val="부대"/>
      <sheetName val="[1.xls][1.xls]______P_H_S_ex_42"/>
      <sheetName val="[1.xls][1.xls]__박_석_P_H_S_exc_2"/>
      <sheetName val="[1.xls][1.XLS]__박___P_H_S_exc_2"/>
      <sheetName val="실행(표지,갑,을)"/>
      <sheetName val="사전공사"/>
      <sheetName val="[1.xls][1.xls]__박___P_H_S_exc_3"/>
      <sheetName val="[1.xls][1.XLS]__박_석_P_H_S_exc_3"/>
      <sheetName val="[1.xls][1.XLS]______P_H_S_ex_47"/>
      <sheetName val="[1.xls][1.xls]______P_H_S_ex_46"/>
      <sheetName val="[1.xls][1.XLS]______P_H_S_ex_45"/>
      <sheetName val="[1.xls][1.xls]______P_H_S_ex_49"/>
      <sheetName val="[1.xls][1.xls]______P_H_S_ex_51"/>
      <sheetName val="[1.xls][1.xls]______P_H_S_ex_53"/>
      <sheetName val="[1.xls][1.XLS]______P_H_S_ex_52"/>
      <sheetName val="[1.xls][1.xls]______P_H_S_ex_54"/>
      <sheetName val="[1.xls][1.xls]______P_H_S_ex_55"/>
      <sheetName val="[1.xls][1.xls]______P_H_S_ex_56"/>
      <sheetName val="[1.xls][1.xls]______P_H_S_ex_57"/>
      <sheetName val="[1.xls][1.xls]______P_H_S_ex_60"/>
      <sheetName val="[1.xls][1.XLS]______P_H_S_ex_58"/>
      <sheetName val="[1.xls][1.xls]______P_H_S_ex_61"/>
      <sheetName val="[1.xls][1.xls]______P_H_S_ex_59"/>
      <sheetName val="[1.xls][1.xls]______P_H_S_ex_66"/>
      <sheetName val="[1.xls][1.XLS]______P_H_S_ex_62"/>
      <sheetName val="[1.xls][1.xls]______P_H_S_ex_63"/>
      <sheetName val="[1.xls][1.xls]______P_H_S_ex_64"/>
      <sheetName val="[1.xls][1.xls]______P_H_S_ex_65"/>
      <sheetName val="[1.xls][1.xls]______P_H_S_ex_67"/>
      <sheetName val="[1.xls][1.xls]______P_H_S_ex_68"/>
      <sheetName val="[1.xls][1.xls]______P_H_S_ex_69"/>
      <sheetName val="[1.xls][1.xls]______P_H_S_ex_72"/>
      <sheetName val="[1.xls][1.xls]______P_H_S_e_116"/>
      <sheetName val="[1.xls][1.xls]______P_H_S_e_123"/>
      <sheetName val="[1.xls][1.xls]______P_H_S_ex_73"/>
      <sheetName val="[1.xls][1.xls]______P_H_S_ex_74"/>
      <sheetName val="[1.xls][1.xls]______P_H_S_e_107"/>
      <sheetName val="[1.xls][1.xls]______P_H_S_ex_96"/>
      <sheetName val="[1.xls][1.xls]______P_H_S_ex_95"/>
      <sheetName val="[1.xls][1.xls]______P_H_S_ex_75"/>
      <sheetName val="[1.xls][1.xls]______P_H_S_ex_76"/>
      <sheetName val="[1.xls][1.xls]______P_H_S_ex_82"/>
      <sheetName val="[1.xls][1.xls]______P_H_S_ex_83"/>
      <sheetName val="변압기 및 발전기 용량"/>
      <sheetName val="[1.xls][1.xls]______C______99_9"/>
      <sheetName val="[1.xls][1.xls]______C______9_10"/>
      <sheetName val="[1.xls][1.XLS]__박희석_P_H_S_exc_4"/>
      <sheetName val="[1.xls][1.xls]__박희석_P_H_S_exc_3"/>
      <sheetName val="[1.xls][1.XLS]__박희석_P_H_S_exc_2"/>
      <sheetName val="[1.xls][1.xls]______P_H_S_ex_79"/>
      <sheetName val="[1.xls][1.XLS]______P_H_S_ex_78"/>
      <sheetName val="근거(기밀댐퍼)"/>
      <sheetName val="[1.xls][1.xls]__박_석_P_H_S_exc_4"/>
      <sheetName val="[1.xls][1.xls]__박_석_P_H_S_exc_7"/>
      <sheetName val="[1.xls][1.xls]__박_석_P_H_S_exc_5"/>
      <sheetName val="[1.xls][1.xls]__박_석_P_H_S_exc_6"/>
      <sheetName val="영업소諠"/>
      <sheetName val="Bill1. Block 2 - KC mong"/>
      <sheetName val="제출계산서"/>
      <sheetName val="eq_data"/>
      <sheetName val="Elemental Breakdown+20%"/>
      <sheetName val="K2 (K2M) (K2A)"/>
      <sheetName val="Bill 01 - CTN"/>
      <sheetName val="Cash2"/>
      <sheetName val="Z"/>
      <sheetName val="전기일위대가"/>
      <sheetName val="차체부품 INS REPORT(갑)"/>
      <sheetName val="[1.xls][1.xls]__박___P_H_S_exc_4"/>
      <sheetName val="[1.xls][1.XLS]____석_P_H_S_exc_2"/>
      <sheetName val="해외(원화)"/>
      <sheetName val="중기가격"/>
      <sheetName val="실행대비"/>
      <sheetName val="[1.xls][1.XLS]______P_H_S_ex_77"/>
      <sheetName val="[1.xls][1.xls]______P_H_S_ex_80"/>
      <sheetName val="[1.xls][1.xls]______P_H_S_ex_81"/>
      <sheetName val="[1.xls][1.xls]______P_H_S_ex_86"/>
      <sheetName val="[1.xls][1.XLS]______P_H_S_ex_85"/>
      <sheetName val="[1.xls][1.XLS]______P_H_S_ex_84"/>
      <sheetName val="[1.xls][1.xls]______P_H_S_ex_87"/>
      <sheetName val="[1.xls][1.xls]______P_H_S_ex_88"/>
      <sheetName val="[1.xls][1.xls]______P_H_S_ex_89"/>
      <sheetName val="[1.xls][1.xls]______P_H_S_ex_94"/>
      <sheetName val="[1.xls][1.xls]______P_H_S_ex_90"/>
      <sheetName val="[1.xls][1.xls]______P_H_S_ex_91"/>
      <sheetName val="[1.xls][1.xls]______P_H_S_ex_92"/>
      <sheetName val="[1.xls][1.xls]______P_H_S_ex_93"/>
      <sheetName val="하도정산계약분"/>
      <sheetName val="계실5-1"/>
      <sheetName val="하수급견적대비"/>
      <sheetName val="투찰"/>
      <sheetName val="계수시트"/>
      <sheetName val="가설공사"/>
      <sheetName val="1,2공구원가계산서"/>
      <sheetName val="인발시험"/>
      <sheetName val="5지진시"/>
      <sheetName val="[1.xls][1.xls]______P_H_S_ex_98"/>
      <sheetName val="각입중량산출서"/>
      <sheetName val="[1.xls][1.xls]______P_H_S_ex_97"/>
      <sheetName val="[1.xls][1.xls]______P_H_S_e_104"/>
      <sheetName val="[1.xls][1.xls]______P_H_S_ex_99"/>
      <sheetName val="[1.xls][1.xls]______P_H_S_e_100"/>
      <sheetName val="[1.xls][1.xls]______P_H_S_e_101"/>
      <sheetName val="[1.xls][1.xls]______P_H_S_e_102"/>
      <sheetName val="[1.xls][1.xls]______P_H_S_e_103"/>
      <sheetName val="[1.xls][1.xls]______P_H_S_e_106"/>
      <sheetName val="[1.xls][1.xls]______P_H_S_e_105"/>
      <sheetName val="[1.xls][1.xls]______P_H_S_e_113"/>
      <sheetName val="[1.xls][1.xls]______P_H_S_e_114"/>
      <sheetName val="[1.xls][1.xls]______P_H_S_e_112"/>
      <sheetName val="[1.xls][1.xls]______P_H_S_e_109"/>
      <sheetName val="[1.xls][1.xls]______P_H_S_e_108"/>
      <sheetName val="[1.xls][1.xls]______P_H_S_e_110"/>
      <sheetName val="[1.xls][1.xls]______P_H_S_e_111"/>
      <sheetName val="[1.xls][1.xls]______P_H_S_e_115"/>
      <sheetName val="[1.xls][1.xls]______P_H_S_e_117"/>
      <sheetName val="[1.xls][1.xls]______P_H_S_e_118"/>
      <sheetName val="[1.xls][1.xls]______P_H_S_e_119"/>
      <sheetName val="[1.xls][1.xls]______P_H_S_e_120"/>
      <sheetName val="[1.xls][1.xls]______P_H_S_e_121"/>
      <sheetName val="[1.xls][1.xls]______P_H_S_e_122"/>
      <sheetName val="[1.xls][1.xls]______P_H_S_e_124"/>
      <sheetName val="[1.xls][1.xls]______P_H_S_e_125"/>
      <sheetName val="[1.xls][1.xls]______P_H_S_e_126"/>
      <sheetName val="[1.xls][1.xls]______P_H_S_e_131"/>
      <sheetName val="[1.xls][1.xls]______P_H_S_e_127"/>
      <sheetName val="[1.xls][1.xls]______P_H_S_e_129"/>
      <sheetName val="[1.xls][1.xls]______P_H_S_e_128"/>
      <sheetName val="[1.xls][1.xls]______P_H_S_e_130"/>
      <sheetName val="[1.xls][1.xls]______P_H_S_e_132"/>
      <sheetName val="[1.xls][1.xls]______P_H_S_e_134"/>
      <sheetName val="[1.xls][1.XLS]______P_H_S_e_133"/>
      <sheetName val="[1.xls][1.xls]______P_H_S_e_175"/>
      <sheetName val="[1.xls][1.XLS]______P_H_S_e_172"/>
      <sheetName val="[1.xls][1.XLS]______P_H_S_e_166"/>
      <sheetName val="[1.xls][1.xls]______P_H_S_e_160"/>
      <sheetName val="[1.xls][1.xls]______P_H_S_e_162"/>
      <sheetName val="[1.xls][1.XLS]______P_H_S_e_157"/>
      <sheetName val="[1.xls][1.xls]______P_H_S_e_156"/>
      <sheetName val="[1.xls][1.xls]______P_H_S_e_151"/>
      <sheetName val="[1.xls][1.xls]___희석_P_H_S_exc_3"/>
      <sheetName val="[1.xls][1.XLS]___희석_P_H_S_exc_2"/>
      <sheetName val="재집"/>
      <sheetName val="[1.xls][1.xls]______P_H_S_e_135"/>
      <sheetName val="[1.xls][1.xls]______P_H_S_e_138"/>
      <sheetName val="[1.xls][1.xls]______P_H_S_e_136"/>
      <sheetName val="[1.xls][1.xls]______P_H_S_e_137"/>
      <sheetName val="[1.xls][1.xls]______P_H_S_e_143"/>
      <sheetName val="[1.xls][1.xls]______P_H_S_e_146"/>
      <sheetName val="[1.xls][1.xls]______P_H_S_e_139"/>
      <sheetName val="[1.xls][1.xls]______P_H_S_e_140"/>
      <sheetName val="[1.xls][1.xls]______P_H_S_e_141"/>
      <sheetName val="[1.xls][1.xls]______P_H_S_e_142"/>
      <sheetName val="[1.xls][1.xls]______P_H_S_e_144"/>
      <sheetName val="[1.xls][1.xls]______P_H_S_e_145"/>
      <sheetName val="[1.xls][1.xls]______P_H_S_e_150"/>
      <sheetName val="[1.xls][1.xls]______P_H_S_e_147"/>
      <sheetName val="[1.xls][1.xls]______P_H_S_e_148"/>
      <sheetName val="[1.xls][1.xls]______P_H_S_e_149"/>
      <sheetName val="[1.xls][1.xls]______P_H_S_e_153"/>
      <sheetName val="[1.xls][1.xls]______P_H_S_e_152"/>
      <sheetName val="[1.xls][1.xls]______P_H_S_e_155"/>
      <sheetName val="[1.xls][1.xls]______P_H_S_e_154"/>
      <sheetName val="[1.xls][1.XLS]______P_H_S_e_159"/>
      <sheetName val="[1.xls][1.xls]______P_H_S_e_158"/>
      <sheetName val="제직재"/>
      <sheetName val="[1.xls][1.xls]______P_H_S_e_161"/>
      <sheetName val="[1.xls][1.xls]______P_H_S_e_164"/>
      <sheetName val="[1.xls][1.XLS]______P_H_S_e_163"/>
      <sheetName val="[1.xls][1.XLS]______P_H_S_e_165"/>
      <sheetName val="[1.xls][1.xls]______P_H_S_e_167"/>
      <sheetName val="[1.xls][1.xls]______P_H_S_e_171"/>
      <sheetName val="[1.xls][1.XLS]______P_H_S_e_168"/>
      <sheetName val="[1.xls][1.xls]______P_H_S_e_169"/>
      <sheetName val="[1.xls][1.xls]______P_H_S_e_170"/>
      <sheetName val="[1.xls][1.xls]______P_H_S_e_174"/>
      <sheetName val="[1.xls][1.xls]______P_H_S_e_173"/>
      <sheetName val="[1.xls][1.xls]______P_H_S_e_177"/>
      <sheetName val="[1.xls][1.xls]______P_H_S_e_176"/>
      <sheetName val="[1.xls][1.xls]______P_H_S_e_182"/>
      <sheetName val="[1.xls][1.XLS]______P_H_S_e_178"/>
      <sheetName val="[1.xls][1.xls]______P_H_S_e_188"/>
      <sheetName val="[1.xls][1.xls]______P_H_S_e_179"/>
      <sheetName val="[1.xls][1.xls]______P_H_S_e_180"/>
      <sheetName val="[1.xls][1.xls]______P_H_S_e_181"/>
      <sheetName val="[1.xls][1.xls]______P_H_S_e_186"/>
      <sheetName val="[1.xls][1.xls]______P_H_S_e_183"/>
      <sheetName val="[1.xls][1.xls]______P_H_S_e_184"/>
      <sheetName val="[1.xls][1.xls]______P_H_S_e_185"/>
      <sheetName val="[1.xls][1.xls]______P_H_S_e_187"/>
      <sheetName val="[1.xls][1.xls]______P_H_S_e_190"/>
      <sheetName val="[1.xls][1.xls]______P_H_S_e_189"/>
      <sheetName val="[1.xls][1.xls]______P_H_S_e_191"/>
      <sheetName val="[1.xls][1.XLS]__박희__P_H_S_exc_2"/>
      <sheetName val="[1.xls][1.xls]______P_H_S_e_228"/>
      <sheetName val="[1.xls][1.xls]______P_H_S_e_229"/>
      <sheetName val="b_balju"/>
      <sheetName val="B"/>
      <sheetName val="계산근거"/>
      <sheetName val="물량산출근거"/>
      <sheetName val="암거단위-1련"/>
      <sheetName val="1호맨홀토공"/>
      <sheetName val="신청서"/>
      <sheetName val="unitpric"/>
      <sheetName val="기계경비일람"/>
      <sheetName val="횡배수관설치현황"/>
      <sheetName val="5흙막이"/>
      <sheetName val="[1.xls][1.xls]______P_H_S_e_225"/>
      <sheetName val="[1.xls][1.xls]______P_H_S_e_221"/>
      <sheetName val="[1.xls][1.XLS]______P_H_S_e_219"/>
      <sheetName val="[1.xls][1.xls]______P_H_S_e_216"/>
      <sheetName val="[1.xls][1.xls]______P_H_S_e_215"/>
      <sheetName val="[1.xls][1.xls]______P_H_S_e_192"/>
      <sheetName val="[1.xls][1.xls]______P_H_S_e_193"/>
      <sheetName val="[1.xls][1.xls]______P_H_S_e_194"/>
      <sheetName val="[1.xls][1.XLS]______P_H_S_e_212"/>
      <sheetName val="[1.xls][1.xls]______P_H_S_e_210"/>
      <sheetName val="[1.xls][1.xls]______P_H_S_e_204"/>
      <sheetName val="[1.xls][1.xls]______P_H_S_e_205"/>
      <sheetName val="[1.xls][1.xls]______P_H_S_e_201"/>
      <sheetName val="[1.xls][1.xls]______P_H_S_e_198"/>
      <sheetName val="[1.xls][1.xls]______P_H_S_e_199"/>
      <sheetName val="[1.xls][1.xls]______P_H_S_e_197"/>
      <sheetName val="loading"/>
      <sheetName val="BOQ(전체)"/>
      <sheetName val="전기혼잡제경비(45)"/>
      <sheetName val="직재"/>
      <sheetName val="Direct_MP_Updated"/>
      <sheetName val="5월_평균일수"/>
      <sheetName val="에너지성능지표℀쀀︪⇈"/>
      <sheetName val="1_공통가설"/>
      <sheetName val="태화42_"/>
      <sheetName val="BCA_INDEX"/>
      <sheetName val="에너지성능지표Ⴛ뎔迲"/>
      <sheetName val="간접비 "/>
      <sheetName val="전기설계변경"/>
      <sheetName val="[1.xls][1.xls]___희__P_H_S_exc_4"/>
      <sheetName val="[1.xls][1.xls]___희__P_H_S_exc_3"/>
      <sheetName val="[1.xls][1.xls]___희__P_H_S_exc_2"/>
      <sheetName val="시계열"/>
      <sheetName val="일위대가표(유단가)"/>
      <sheetName val="[1.xls][1.xls]__박희__P_H_S_exc_4"/>
      <sheetName val="[1.xls][1.XLS]__박희__P_H_S_exc_3"/>
      <sheetName val="[1.xls][1.xls]__박희__P_H_S_exc_6"/>
      <sheetName val="[1.xls][1.XLS]__박희__P_H_S_exc_5"/>
      <sheetName val="SORCE1"/>
      <sheetName val="부하(성남)"/>
      <sheetName val="성곽내역서"/>
      <sheetName val="기초Ȓ_x0000_"/>
      <sheetName val="[1.xls][1.XLS]______P_H_S_e_195"/>
      <sheetName val="[1.xls][1.xls]______P_H_S_e_196"/>
      <sheetName val="[1.xls][1.xls]______P_H_S_e_202"/>
      <sheetName val="[1.xls][1.xls]______P_H_S_e_200"/>
      <sheetName val="[1.xls][1.xls]______P_H_S_e_203"/>
      <sheetName val="[1.xls][1.xls]______P_H_S_e_206"/>
      <sheetName val="[1.xls][1.xls]______P_H_S_e_209"/>
      <sheetName val="[1.xls][1.xls]______P_H_S_e_207"/>
      <sheetName val="[1.xls][1.xls]______P_H_S_e_208"/>
      <sheetName val="[1.xls][1.XLS]______P_H_S_e_211"/>
      <sheetName val="[1.xls][1.xls]______P_H_S_e_213"/>
      <sheetName val="[1.xls][1.xls]______P_H_S_e_214"/>
      <sheetName val="[1.xls][1.xls]______P_H_S_e_217"/>
      <sheetName val="[1.xls][1.xls]______P_H_S_e_218"/>
      <sheetName val="[1.xls][1.xls]______P_H_S_e_220"/>
      <sheetName val="[1.xls][1.xls]______P_H_S_e_222"/>
      <sheetName val="[1.xls][1.xls]______P_H_S_e_224"/>
      <sheetName val="[1.xls][1.xls]______P_H_S_e_223"/>
      <sheetName val="[1.xls][1.xls]______P_H_S_e_226"/>
      <sheetName val="[1.xls][1.xls]______P_H_S_e_227"/>
      <sheetName val="[1.xls][1.xls]______P_H_S_e_262"/>
      <sheetName val="[1.xls][1.xls]______P_H_S_e_263"/>
      <sheetName val="[1.xls][1.xls]______P_H_S_e_231"/>
      <sheetName val="[1.xls][1.xls]______P_H_S_e_230"/>
      <sheetName val="[1.xls][1.xls]______P_H_S_e_235"/>
      <sheetName val="[1.xls][1.xls]______P_H_S_e_232"/>
      <sheetName val="[1.xls][1.xls]______P_H_S_e_233"/>
      <sheetName val="[1.xls][1.xls]______P_H_S_e_234"/>
      <sheetName val="[1.xls][1.xls]______P_H_S_e_239"/>
      <sheetName val="[1.xls][1.xls]______P_H_S_e_236"/>
      <sheetName val="[1.xls][1.xls]______P_H_S_e_237"/>
      <sheetName val="[1.xls][1.xls]______P_H_S_e_238"/>
      <sheetName val="[1.xls][1.xls]______P_H_S_e_240"/>
      <sheetName val="[1.xls][1.xls]______P_H_S_e_243"/>
      <sheetName val="[1.xls][1.xls]______P_H_S_e_242"/>
      <sheetName val="[1.xls][1.xls]______P_H_S_e_241"/>
      <sheetName val="차트작업"/>
      <sheetName val="광주전남"/>
      <sheetName val="AHU硘Ï"/>
      <sheetName val="[1.xls][1.xls]______P_H_S_e_248"/>
      <sheetName val="[1.xls][1.xls]______P_H_S_e_249"/>
      <sheetName val="[1.xls][1.xls]______P_H_S_e_245"/>
      <sheetName val="[1.xls][1.xls]______P_H_S_e_244"/>
      <sheetName val="정릉_xdaf8_缡_x0000_"/>
      <sheetName val="[1.xls][1.xls]______P_H_S_e_247"/>
      <sheetName val="[1.xls][1.xls]______P_H_S_e_246"/>
      <sheetName val="[1.xls][1.xls]______P_H_S_e_250"/>
      <sheetName val="[1.xls][1.xls]______P_H_S_e_256"/>
      <sheetName val="[1.xls][1.xls]______P_H_S_e_258"/>
      <sheetName val="[1.xls][1.xls]______P_H_S_e_251"/>
      <sheetName val="[1.xls][1.xls]______P_H_S_e_252"/>
      <sheetName val="[1.xls][1.xls]______P_H_S_e_253"/>
      <sheetName val="[1.xls][1.xls]______P_H_S_e_254"/>
      <sheetName val="[1.xls][1.xls]______P_H_S_e_255"/>
      <sheetName val="[1.xls][1.xls]______P_H_S_e_257"/>
      <sheetName val="[1.xls][1.xls]______P_H_S_e_260"/>
      <sheetName val="[1.xls][1.xls]______P_H_S_e_259"/>
      <sheetName val="[1.xls][1.xls]______P_H_S_e_261"/>
      <sheetName val="[1.xls][1.xls]______P_H_S_e_340"/>
      <sheetName val="[1.xls][1.xls]______P_H_S_e_342"/>
      <sheetName val="[1.xls][1.xls]______P_H_S_e_265"/>
      <sheetName val="[1.xls][1.xls]______P_H_S_e_264"/>
      <sheetName val="산출근거"/>
      <sheetName val="[1.xls][1.xls]______P_H_S_e_266"/>
      <sheetName val="[1.xls][1.xls]______P_H_S_e_333"/>
      <sheetName val="[1.xls][1.xls]______P_H_S_e_330"/>
      <sheetName val="[1.xls][1.xls]______P_H_S_e_331"/>
      <sheetName val="단가표 (2)"/>
      <sheetName val="4.2유효폭의 계산"/>
      <sheetName val="일위대가목록"/>
      <sheetName val="일위대가_호표"/>
      <sheetName val="일위대가_산근"/>
      <sheetName val="중기사용료목록"/>
      <sheetName val="중기기초자료"/>
      <sheetName val="자재"/>
      <sheetName val="전역변수"/>
      <sheetName val="자재조서"/>
      <sheetName val="중기전역변수"/>
      <sheetName val="대가"/>
      <sheetName val="배수설비"/>
      <sheetName val="이토변실(A3-LINE)"/>
      <sheetName val="비계,CON'C"/>
      <sheetName val="[1.XLS][1.XLS]___________exc_23"/>
      <sheetName val="[1.XLS][1.XLS]\\박근환\광주공장\excel\"/>
      <sheetName val="[1.XLS][1.XLS]___________exce_3"/>
      <sheetName val="[1.XLS][1.XLS]___________exce_2"/>
      <sheetName val="[1.XLS][1.XLS]___________exce_6"/>
      <sheetName val="[1.XLS][1.XLS]___________exce_4"/>
      <sheetName val="[1.XLS][1.XLS]___________exce_5"/>
      <sheetName val="[1.XLS][1.XLS]___________exce_7"/>
      <sheetName val="[1.XLS][1.XLS]___________exce_9"/>
      <sheetName val="[1.XLS][1.XLS]___________exce_8"/>
      <sheetName val="[1.XLS][1.XLS]___________exc_10"/>
      <sheetName val="[1.XLS][1.XLS]___________exc_11"/>
      <sheetName val="[1.XLS][1.XLS]___________exc_15"/>
      <sheetName val="[1.XLS][1.XLS]___________exc_14"/>
      <sheetName val="[1.XLS][1.XLS]___________exc_13"/>
      <sheetName val="[1.XLS][1.XLS]___________exc_12"/>
      <sheetName val="[1.XLS][1.XLS]___________exc_17"/>
      <sheetName val="[1.XLS][1.XLS]___________exc_16"/>
      <sheetName val="[1.XLS][1.XLS]___________exc_21"/>
      <sheetName val="[1.XLS][1.XLS]___________exc_20"/>
      <sheetName val="[1.XLS][1.XLS]___________exc_19"/>
      <sheetName val="[1.XLS][1.XLS]___________exc_18"/>
      <sheetName val="[1.XLS][1.XLS]___________exc_22"/>
      <sheetName val="[1.XLS][1.XLS]___________exc_36"/>
      <sheetName val="[1.XLS][1.XLS]___________exc_35"/>
      <sheetName val="[1.XLS][1.XLS]___________exc_24"/>
      <sheetName val="[1.XLS][1.XLS]___________exc_26"/>
      <sheetName val="[1.XLS][1.XLS]___________exc_25"/>
      <sheetName val="[1.XLS][1.XLS]___________exc_28"/>
      <sheetName val="[1.XLS][1.XLS]___________exc_27"/>
      <sheetName val="[1.XLS][1.XLS]___________exc_29"/>
      <sheetName val="[1.XLS][1.XLS]___________exc_30"/>
      <sheetName val="[1.XLS][1.XLS]___________exc_32"/>
      <sheetName val="[1.XLS][1.XLS]___________exc_31"/>
      <sheetName val="[1.XLS][1.XLS]___________exc_34"/>
      <sheetName val="[1.XLS][1.XLS]___________exc_33"/>
      <sheetName val="[1.XLS][1.XLS]___________exc_37"/>
      <sheetName val="[1.xls][1.XLS]___________exc_38"/>
      <sheetName val="[1.xls][1.xls]______P_H_S_e_323"/>
      <sheetName val="[1.xls][1.xls]______P_H_S_e_267"/>
      <sheetName val="[1.xls][1.xls]______P_H_S_e_296"/>
      <sheetName val="[1.xls][1.xls]______P_H_S_e_268"/>
      <sheetName val="[1.xls][1.xls]______P_H_S_e_269"/>
      <sheetName val="[1.xls][1.xls]______P_H_S_e_274"/>
      <sheetName val="[1.xls][1.xls]______P_H_S_e_270"/>
      <sheetName val="[1.xls][1.xls]______P_H_S_e_275"/>
      <sheetName val="[1.xls][1.xls]______P_H_S_e_271"/>
      <sheetName val="[1.xls][1.xls]______P_H_S_e_272"/>
      <sheetName val="[1.xls][1.xls]______P_H_S_e_273"/>
      <sheetName val="[1.xls][1.xls]______P_H_S_e_276"/>
      <sheetName val="[1.xls][1.xls]______P_H_S_e_277"/>
      <sheetName val="[1.xls][1.xls]______P_H_S_e_279"/>
      <sheetName val="[1.xls][1.xls]______P_H_S_e_281"/>
      <sheetName val="[1.xls][1.xls]______P_H_S_e_278"/>
      <sheetName val="[1.xls][1.xls]______P_H_S_e_280"/>
      <sheetName val="[1.xls][1.xls]______P_H_S_e_282"/>
      <sheetName val="[1.xls][1.xls]______P_H_S_e_283"/>
      <sheetName val="[1.xls][1.xls]______P_H_S_e_284"/>
      <sheetName val="[1.xls][1.xls]______P_H_S_e_285"/>
      <sheetName val="[1.xls][1.xls]______P_H_S_e_289"/>
      <sheetName val="[1.xls][1.xls]______P_H_S_e_286"/>
      <sheetName val="[1.xls][1.xls]______P_H_S_e_288"/>
      <sheetName val="[1.xls][1.xls]______P_H_S_e_287"/>
      <sheetName val="[1.xls][1.xls]______P_H_S_e_290"/>
      <sheetName val="[1.xls][1.xls]______P_H_S_e_291"/>
      <sheetName val="[1.xls][1.xls]______P_H_S_e_292"/>
      <sheetName val="[1.xls][1.xls]______P_H_S_e_306"/>
      <sheetName val="[1.xls][1.xls]______P_H_S_e_293"/>
      <sheetName val="[1.xls][1.xls]______P_H_S_e_294"/>
      <sheetName val="[1.xls][1.xls]______P_H_S_e_295"/>
      <sheetName val="[1.xls][1.xls]______P_H_S_e_304"/>
      <sheetName val="[1.xls][1.xls]______P_H_S_e_298"/>
      <sheetName val="[1.xls][1.xls]______P_H_S_e_297"/>
      <sheetName val="[1.xls][1.xls]______P_H_S_e_299"/>
      <sheetName val="[1.xls][1.xls]______P_H_S_e_300"/>
      <sheetName val="[1.xls][1.xls]______P_H_S_e_302"/>
      <sheetName val="[1.xls][1.xls]______P_H_S_e_301"/>
      <sheetName val="[1.xls][1.xls]______P_H_S_e_303"/>
      <sheetName val="[1.xls][1.xls]______P_H_S_e_305"/>
      <sheetName val="[1.xls][1.xls]______P_H_S_e_316"/>
      <sheetName val="[1.xls][1.xls]______P_H_S_e_317"/>
      <sheetName val="[1.xls][1.xls]______P_H_S_e_307"/>
      <sheetName val="[1.xls][1.xls]______P_H_S_e_309"/>
      <sheetName val="[1.xls][1.xls]______P_H_S_e_308"/>
      <sheetName val="[1.xls][1.xls]______P_H_S_e_312"/>
      <sheetName val="[1.xls][1.xls]______P_H_S_e_313"/>
      <sheetName val="[1.xls][1.xls]______P_H_S_e_310"/>
      <sheetName val="[1.xls][1.xls]______P_H_S_e_311"/>
      <sheetName val="[1.xls][1.xls]______P_H_S_e_314"/>
      <sheetName val="[1.xls][1.xls]______P_H_S_e_315"/>
      <sheetName val="[1.xls][1.xls]______P_H_S_e_319"/>
      <sheetName val="[1.xls][1.xls]______P_H_S_e_318"/>
      <sheetName val="[1.xls][1.xls]______P_H_S_e_321"/>
      <sheetName val="[1.xls][1.xls]______P_H_S_e_320"/>
      <sheetName val="[1.xls][1.xls]______P_H_S_e_322"/>
      <sheetName val="[1.xls][1.xls]______P_H_S_e_324"/>
      <sheetName val="[1.xls][1.xls]______P_H_S_e_325"/>
      <sheetName val="[1.xls][1.xls]______P_H_S_e_328"/>
      <sheetName val="[1.xls][1.xls]______P_H_S_e_329"/>
      <sheetName val="[1.xls][1.xls]______P_H_S_e_326"/>
      <sheetName val="[1.xls][1.xls]______P_H_S_e_327"/>
      <sheetName val="[1.xls][1.xls]______P_H_S_e_334"/>
      <sheetName val="[1.xls][1.xls]______P_H_S_e_332"/>
      <sheetName val="[1.xls][1.xls]______P_H_S_e_335"/>
      <sheetName val="[1.xls][1.xls]______P_H_S_e_336"/>
      <sheetName val="[1.xls][1.xls]______P_H_S_e_337"/>
      <sheetName val="[1.xls][1.xls]______P_H_S_e_338"/>
      <sheetName val="[1.xls][1.xls]______P_H_S_e_339"/>
      <sheetName val="[1.xls][1.xls]______P_H_S_e_341"/>
      <sheetName val="[1.xls][1.xls]______P_H_S_e_343"/>
      <sheetName val="[1.xls][1.xls]______P_H_S_e_349"/>
      <sheetName val="[1.xls][1.xls]______P_H_S_e_350"/>
      <sheetName val="[1.xls][1.xls]______P_H_S_e_344"/>
      <sheetName val="[1.xls][1.xls]______P_H_S_e_345"/>
      <sheetName val="[1.xls][1.xls]______P_H_S_e_346"/>
      <sheetName val="[1.xls][1.xls]______P_H_S_e_347"/>
      <sheetName val="[1.xls][1.xls]______P_H_S_e_348"/>
      <sheetName val="[1.xls][1.xls]______P_H_S_e_353"/>
      <sheetName val="[1.xls][1.xls]______P_H_S_e_354"/>
      <sheetName val="[1.xls][1.xls]______P_H_S_e_351"/>
      <sheetName val="[1.xls][1.xls]______P_H_S_e_352"/>
      <sheetName val="[1.xls][1.xls]______P_H_S_e_355"/>
      <sheetName val="[1.xls][1.xls]______P_H_S_e_360"/>
      <sheetName val="[1.xls][1.XLS]______P_H_S_e_356"/>
      <sheetName val="[1.xls][1.xls]______P_H_S_e_358"/>
      <sheetName val="[1.xls][1.xls]______P_H_S_e_357"/>
      <sheetName val="[1.xls][1.xls]______P_H_S_e_359"/>
      <sheetName val="[1.xls][1.xls]______P_H_S_e_361"/>
      <sheetName val="[1.xls][1.xls]______P_H_S_e_362"/>
      <sheetName val="[1.xls][1.xls]______P_H_S_e_363"/>
      <sheetName val="[1.xls][1.xls]______P_H_S_e_364"/>
      <sheetName val="[1.xls][1.xls]______P_H_S_e_366"/>
      <sheetName val="[1.xls][1.xls]______P_H_S_e_365"/>
      <sheetName val="[1.xls][1.xls]______P_H_S_e_367"/>
      <sheetName val="[1.xls][1.xls]______P_H_S_e_368"/>
      <sheetName val="[1.xls][1.xls]______P_H_S_e_369"/>
      <sheetName val="[1.xls][1.xls]______P_H_S_e_370"/>
      <sheetName val="[1.xls][1.xls]______P_H_S_e_371"/>
      <sheetName val="[1.xls][1.xls]______P_H_S_e_376"/>
      <sheetName val="[1.xls][1.xls]______P_H_S_e_377"/>
      <sheetName val="[1.xls][1.xls]______P_H_S_e_372"/>
      <sheetName val="[1.xls][1.xls]______P_H_S_e_373"/>
      <sheetName val="[1.xls][1.xls]______P_H_S_e_375"/>
      <sheetName val="[1.xls][1.xls]______P_H_S_e_374"/>
      <sheetName val="[1.xls][1.xls]______P_H_S_e_414"/>
      <sheetName val="[1.xls][1.xls]______P_H_S_e_411"/>
      <sheetName val="[1.xls][1.XLS]______P_H_S_e_410"/>
      <sheetName val="[1.xls][1.xls]______P_H_S_e_408"/>
      <sheetName val="[1.xls][1.xls]______P_H_S_e_409"/>
      <sheetName val="[1.xls][1.xls]______P_H_S_e_379"/>
      <sheetName val="[1.xls][1.xls]______P_H_S_e_378"/>
      <sheetName val="[1.xls][1.xls]______P_H_S_e_380"/>
      <sheetName val="[1.xls][1.xls]______P_H_S_e_381"/>
      <sheetName val="[1.xls][1.xls]______P_H_S_e_382"/>
      <sheetName val="[1.xls][1.xls]______P_H_S_e_383"/>
      <sheetName val="[1.xls][1.xls]______P_H_S_e_385"/>
      <sheetName val="[1.xls][1.xls]______P_H_S_e_384"/>
      <sheetName val="[1.xls][1.xls]______P_H_S_e_386"/>
      <sheetName val="[1.xls][1.xls]______P_H_S_e_387"/>
      <sheetName val="[1.xls][1.xls]______P_H_S_e_390"/>
      <sheetName val="[1.xls][1.xls]______P_H_S_e_388"/>
      <sheetName val="[1.xls][1.xls]______P_H_S_e_389"/>
      <sheetName val="[1.xls][1.xls]______P_H_S_e_394"/>
      <sheetName val="[1.xls][1.xls]______P_H_S_e_395"/>
      <sheetName val="[1.xls][1.xls]______P_H_S_e_391"/>
      <sheetName val="[1.xls][1.xls]______P_H_S_e_392"/>
      <sheetName val="[1.xls][1.xls]______P_H_S_e_393"/>
      <sheetName val="[1.xls][1.xls]______P_H_S_e_403"/>
      <sheetName val="[1.xls][1.xls]______P_H_S_e_396"/>
      <sheetName val="[1.xls][1.xls]______P_H_S_e_397"/>
      <sheetName val="[1.xls][1.xls]______P_H_S_e_398"/>
      <sheetName val="[1.xls][1.xls]______P_H_S_e_402"/>
      <sheetName val="[1.xls][1.xls]______P_H_S_e_399"/>
      <sheetName val="[1.xls][1.xls]______P_H_S_e_400"/>
      <sheetName val="[1.xls][1.xls]______P_H_S_e_401"/>
      <sheetName val="중연"/>
      <sheetName val="손익총괄"/>
      <sheetName val="조정명세"/>
      <sheetName val="광주"/>
      <sheetName val="당해년도분석"/>
      <sheetName val="총매출액증감"/>
      <sheetName val="PU경상이익증감"/>
      <sheetName val="전략적목표REVIEW"/>
      <sheetName val="´ë±¸"/>
      <sheetName val="¾ð¾ç"/>
      <sheetName val="¿ë¿¬"/>
      <sheetName val="¿ï»ê"/>
      <sheetName val="Áß¿¬"/>
      <sheetName val="ÁøÃµ"/>
      <sheetName val="¼ÕÀÍÃÑ°ý"/>
      <sheetName val="Á¶Á¤¸í¼¼"/>
      <sheetName val="±¸¹Ì"/>
      <sheetName val="±¤ÁÖ"/>
      <sheetName val="Ç¥Áö"/>
      <sheetName val="´çÇØ³âµµºÐ¼®"/>
      <sheetName val="¼ÕÀÍºÐ¼®"/>
      <sheetName val="ÃÑ¸ÅÃâ¾×Áõ°¨"/>
      <sheetName val="PU°æ»óÀÌÀÍÁõ°¨"/>
      <sheetName val="Àü·«Àû¸ñÇ¥REVIEW"/>
      <sheetName val="¹°°¡ÀÚ·áºñ±³"/>
      <sheetName val="3»ç´Ü°¡ºñ±³"/>
      <sheetName val="´ëµ¿"/>
      <sheetName val="¼º¸²"/>
      <sheetName val="±Ý°­"/>
      <sheetName val="기초코드"/>
      <sheetName val="수로단위수량"/>
      <sheetName val="[1.xls][1.XLS]___희석_P_H_S_exc_4"/>
      <sheetName val="[1.xls][1.XLS]____석_P_H_S_exc_3"/>
      <sheetName val="12.재이용"/>
      <sheetName val="적산자료"/>
      <sheetName val="_x005f_x000f__x005f_x0000_"/>
      <sheetName val="구조물공총"/>
      <sheetName val="돌붙임계"/>
      <sheetName val="돌붙임단위"/>
      <sheetName val="옹벽조서"/>
      <sheetName val="반중력식옹벽수량"/>
      <sheetName val="신축이음"/>
      <sheetName val="18˗"/>
      <sheetName val=" 표준양식 - 파일산출서.xlsx"/>
      <sheetName val="A갑지"/>
      <sheetName val="자재_계약일(2013_09_16)"/>
      <sheetName val="공통_계약일(2013_09_16)"/>
      <sheetName val="에너지성능지표セ迢颚"/>
      <sheetName val="전통건설"/>
      <sheetName val="에너지성능지표က뎔迲_x0000_㸀蠿"/>
      <sheetName val="[1.xls][1.xls]__박_석_P_H_S_exc_8"/>
      <sheetName val="[1.xls][1.xls]__박_석_P_H_S_ex_10"/>
      <sheetName val="[1.xls][1.XLS]__박_석_P_H_S_exc_9"/>
      <sheetName val="[1.xls][1.xls]__박_석_P_H_S_ex_11"/>
      <sheetName val="[1.xls][1.xls]__박_석_P_H_S_ex_13"/>
      <sheetName val="[1.xls][1.XLS]__박_석_P_H_S_ex_12"/>
      <sheetName val="[1.xls][1.xls]__박_석_P_H_S_ex_14"/>
      <sheetName val="[1.xls][1.xls]__박_석_P_H_S_ex_15"/>
      <sheetName val="[1.xls][1.xls]__박_석_P_H_S_ex_17"/>
      <sheetName val="[1.xls][1.XLS]__박_석_P_H_S_ex_16"/>
      <sheetName val="마산월령동골조물량변경"/>
      <sheetName val="관급자재"/>
      <sheetName val="공주-교대(A1)"/>
      <sheetName val="국내조달(통합-1)"/>
      <sheetName val="업체코드"/>
      <sheetName val="각 파트합본(제외업체삭제)"/>
      <sheetName val="__MIGA_______TOWER_P_KBLEE____3"/>
      <sheetName val="단가조사표"/>
      <sheetName val="일위대가목록표"/>
      <sheetName val="예산내역서"/>
      <sheetName val="[1.xls][1.XLS]______P_H_S_e_404"/>
      <sheetName val="[1.xls][1.xls]______P_H_S_e_405"/>
      <sheetName val="[1.xls][1.xls]______P_H_S_e_406"/>
      <sheetName val="[1.xls][1.xls]______P_H_S_e_407"/>
      <sheetName val="[1.xls][1.xls]______P_H_S_e_412"/>
      <sheetName val="[1.xls][1.xls]______P_H_S_e_413"/>
      <sheetName val="[1.xls][1.xls]______P_H_S_e_415"/>
      <sheetName val="[1.xls][1.xls]______P_H_S_e_429"/>
      <sheetName val="[1.xls][1.xls]______P_H_S_e_416"/>
      <sheetName val="[1.xls][1.xls]______P_H_S_e_417"/>
      <sheetName val="[1.xls][1.xls]______P_H_S_e_418"/>
      <sheetName val="[1.xls][1.xls]______P_H_S_e_427"/>
      <sheetName val="[1.xls][1.xls]______P_H_S_e_426"/>
      <sheetName val="[1.xls][1.xls]______P_H_S_e_419"/>
      <sheetName val="[1.xls][1.xls]______P_H_S_e_420"/>
      <sheetName val="[1.xls][1.xls]______P_H_S_e_421"/>
      <sheetName val="[1.xls][1.xls]______P_H_S_e_422"/>
      <sheetName val="[1.xls][1.xls]______P_H_S_e_423"/>
      <sheetName val="[1.xls][1.xls]______P_H_S_e_424"/>
      <sheetName val="[1.xls][1.xls]______P_H_S_e_425"/>
      <sheetName val="[1.xls][1.xls]______P_H_S_e_428"/>
      <sheetName val="[1.xls][1.xls]______P_H_S_e_430"/>
      <sheetName val="[1.xls][1.xls]______P_H_S_e_431"/>
      <sheetName val="[1.xls][1.xls]______P_H_S_e_433"/>
      <sheetName val="[1.xls][1.XLS]______P_H_S_e_432"/>
      <sheetName val="[1.xls][1.xls]______P_H_S_e_541"/>
      <sheetName val="[1.xls][1.xls]______P_H_S_e_523"/>
      <sheetName val="[1.xls][1.XLS]______P_H_S_e_522"/>
      <sheetName val="96월별PL"/>
      <sheetName val="본부요청사항(개보수)"/>
      <sheetName val="2001년12월말"/>
      <sheetName val="수리결_x0000_"/>
      <sheetName val="[1.xls][1.xls]__박희석_P_H_S_exc_5"/>
      <sheetName val="[1.xls][1.xls]__박희석_P_H_S_exc_6"/>
      <sheetName val="[1.xls][1.xls]____석_P_H_S_exc_4"/>
      <sheetName val="Finansal tamamlanma Eğrisi"/>
      <sheetName val="FA_SUMMARY"/>
      <sheetName val="[1.xls][1.XLS]____석_P_H_S_exc_5"/>
      <sheetName val="P. control"/>
      <sheetName val="에너지성능지표瀀⾐捰"/>
      <sheetName val="[1.xls][1.xls]______P_H_S_e_463"/>
      <sheetName val="[1.xls][1.xls]______P_H_S_e_494"/>
      <sheetName val="단가산출서(기계)"/>
      <sheetName val="손익구조"/>
      <sheetName val="재무자료"/>
      <sheetName val="3_7교축하중"/>
      <sheetName val="[1_xls][1_xls]______C______99_4"/>
      <sheetName val="[1_xls][1_xls]______C______99_3"/>
      <sheetName val="[1_xls][1_xls]______C______99_2"/>
      <sheetName val="[1_xls][1_xls]______C______99_7"/>
      <sheetName val="[1_xls][1_xls]______C______99_6"/>
      <sheetName val="[1_xls][1_xls]______C______99_5"/>
      <sheetName val="2-1__경관조명_내역총괄표"/>
      <sheetName val="돌담교_상부수량"/>
      <sheetName val="_냉각수펌프"/>
      <sheetName val="MAIN_GATE_HOUSE"/>
      <sheetName val="CRUDE_RE-bar"/>
      <sheetName val="[1.xls][1.xls]__박희석_P_H_S_exc_7"/>
      <sheetName val="[1.xls][1.XLS]__박희석_P_H_S_exc_8"/>
      <sheetName val="[1.xls][1.XLS]__박희석_P_H_S_exc_9"/>
      <sheetName val="Finansal_tamamlanma_Eğrisi2"/>
      <sheetName val="Finansal_tamamlanma_Eğrisi"/>
      <sheetName val="Finansal_tamamlanma_Eğrisi1"/>
      <sheetName val="Finansal_tamamlanma_Eğrisi3"/>
      <sheetName val="15_문제점3"/>
      <sheetName val="Finansal_tamamlanma_Eğrisi4"/>
      <sheetName val="15_문제점4"/>
      <sheetName val="[1.xls][1.XLS]__박희__P_H_S_exc_7"/>
      <sheetName val="Quantity"/>
      <sheetName val="____"/>
      <sheetName val="소비자가"/>
      <sheetName val="평3"/>
      <sheetName val="E.S적용금액 - 9차"/>
      <sheetName val="찍기"/>
      <sheetName val="주식"/>
      <sheetName val="변경후"/>
      <sheetName val="DETAIL SHEET"/>
      <sheetName val="_REF"/>
      <sheetName val="협조전"/>
      <sheetName val="면적표"/>
      <sheetName val="[1.xls][1.xls]______P_H_S_e_434"/>
      <sheetName val="[1.xls][1.xls]______P_H_S_e_442"/>
      <sheetName val="[1.xls][1.xls]______P_H_S_e_443"/>
      <sheetName val="[1.xls][1.xls]______P_H_S_e_435"/>
      <sheetName val="[1.xls][1.xls]______P_H_S_e_436"/>
      <sheetName val="[1.xls][1.xls]______P_H_S_e_437"/>
      <sheetName val="[1.xls][1.xls]______P_H_S_e_438"/>
      <sheetName val="[1.xls][1.xls]______P_H_S_e_439"/>
      <sheetName val="[1.xls][1.xls]______P_H_S_e_440"/>
      <sheetName val="[1.xls][1.xls]______P_H_S_e_441"/>
      <sheetName val="[1.xls][1.xls]______P_H_S_e_444"/>
      <sheetName val="[1.xls][1.xls]______P_H_S_e_449"/>
      <sheetName val="[1.xls][1.xls]______P_H_S_e_453"/>
      <sheetName val="[1.xls][1.xls]______P_H_S_e_445"/>
      <sheetName val="[1.xls][1.xls]______P_H_S_e_446"/>
      <sheetName val="[1.xls][1.xls]______P_H_S_e_447"/>
      <sheetName val="[1.xls][1.xls]______P_H_S_e_448"/>
      <sheetName val="[1.xls][1.xls]______P_H_S_e_450"/>
      <sheetName val="[1.xls][1.xls]______P_H_S_e_457"/>
      <sheetName val="[1.xls][1.xls]______P_H_S_e_451"/>
      <sheetName val="[1.xls][1.xls]______P_H_S_e_452"/>
      <sheetName val="[1.xls][1.xls]______P_H_S_e_454"/>
      <sheetName val="[1.xls][1.xls]______P_H_S_e_455"/>
      <sheetName val="[1.xls][1.xls]______P_H_S_e_456"/>
      <sheetName val="[1.xls][1.xls]______P_H_S_e_459"/>
      <sheetName val="[1.xls][1.xls]______P_H_S_e_458"/>
      <sheetName val="[1.xls][1.xls]______P_H_S_e_460"/>
      <sheetName val="[1.xls][1.xls]______P_H_S_e_461"/>
      <sheetName val="[1.xls][1.xls]______P_H_S_e_462"/>
      <sheetName val="[1.xls][1.xls]______P_H_S_e_481"/>
      <sheetName val="[1.xls][1.xls]______P_H_S_e_482"/>
      <sheetName val="[1.xls][1.xls]______P_H_S_e_473"/>
      <sheetName val="[1.xls][1.xls]______P_H_S_e_474"/>
      <sheetName val="[1.xls][1.xls]______P_H_S_e_464"/>
      <sheetName val="[1.xls][1.xls]______P_H_S_e_465"/>
      <sheetName val="[1.xls][1.xls]______P_H_S_e_468"/>
      <sheetName val="[1.xls][1.xls]______P_H_S_e_470"/>
      <sheetName val="[1.xls][1.xls]______P_H_S_e_466"/>
      <sheetName val="[1.xls][1.xls]______P_H_S_e_467"/>
      <sheetName val="[1.xls][1.xls]______P_H_S_e_472"/>
      <sheetName val="[1.xls][1.xls]______P_H_S_e_469"/>
      <sheetName val="[1.xls][1.xls]______P_H_S_e_471"/>
      <sheetName val="[1.xls][1.xls]______P_H_S_e_476"/>
      <sheetName val="[1.xls][1.xls]______P_H_S_e_478"/>
      <sheetName val="[1.xls][1.xls]______P_H_S_e_475"/>
      <sheetName val="[1.xls][1.xls]______P_H_S_e_477"/>
      <sheetName val="[1.xls][1.xls]______P_H_S_e_479"/>
      <sheetName val="[1.xls][1.xls]______P_H_S_e_480"/>
      <sheetName val="[1.xls][1.xls]______P_H_S_e_486"/>
      <sheetName val="[1.xls][1.xls]______P_H_S_e_483"/>
      <sheetName val="[1.xls][1.xls]______P_H_S_e_487"/>
      <sheetName val="[1.xls][1.xls]______P_H_S_e_484"/>
      <sheetName val="[1.xls][1.xls]______P_H_S_e_485"/>
      <sheetName val="[1.xls][1.xls]______P_H_S_e_490"/>
      <sheetName val="[1.xls][1.xls]______P_H_S_e_488"/>
      <sheetName val="[1.xls][1.xls]______P_H_S_e_489"/>
      <sheetName val="[1.xls][1.xls]______P_H_S_e_495"/>
      <sheetName val="[1.xls][1.xls]______P_H_S_e_491"/>
      <sheetName val="[1.xls][1.xls]______P_H_S_e_492"/>
      <sheetName val="[1.xls][1.xls]______P_H_S_e_493"/>
      <sheetName val="[1.xls][1.xls]______P_H_S_e_505"/>
      <sheetName val="[1.xls][1.xls]______P_H_S_e_506"/>
      <sheetName val="[1.xls][1.xls]______P_H_S_e_504"/>
      <sheetName val="[1.xls][1.xls]______P_H_S_e_500"/>
      <sheetName val="[1.xls][1.xls]______P_H_S_e_501"/>
      <sheetName val="[1.xls][1.xls]______P_H_S_e_496"/>
      <sheetName val="[1.xls][1.xls]______P_H_S_e_497"/>
      <sheetName val="[1.xls][1.xls]______P_H_S_e_498"/>
      <sheetName val="[1.xls][1.xls]______P_H_S_e_499"/>
      <sheetName val="[1.xls][1.xls]______P_H_S_e_502"/>
      <sheetName val="[1.xls][1.xls]______P_H_S_e_503"/>
      <sheetName val="[1.xls][1.xls]______P_H_S_e_507"/>
      <sheetName val="[1.xls][1.xls]______P_H_S_e_508"/>
      <sheetName val="[1.xls][1.xls]______P_H_S_e_509"/>
      <sheetName val="[1.xls][1.xls]______P_H_S_e_510"/>
      <sheetName val="[1.xls][1.xls]______P_H_S_e_511"/>
      <sheetName val="[1.xls][1.xls]______P_H_S_e_518"/>
      <sheetName val="[1.xls][1.xls]______P_H_S_e_516"/>
      <sheetName val="[1.xls][1.xls]______P_H_S_e_512"/>
      <sheetName val="[1.xls][1.xls]______P_H_S_e_513"/>
      <sheetName val="[1.xls][1.xls]______P_H_S_e_514"/>
      <sheetName val="[1.xls][1.xls]______P_H_S_e_515"/>
      <sheetName val="[1.xls][1.xls]______P_H_S_e_519"/>
      <sheetName val="[1.xls][1.xls]______P_H_S_e_517"/>
      <sheetName val="[1.xls][1.xls]______P_H_S_e_521"/>
      <sheetName val="[1.xls][1.xls]______P_H_S_e_520"/>
      <sheetName val="[1.xls][1.xls]______P_H_S_e_530"/>
      <sheetName val="[1.xls][1.XLS]______P_H_S_e_528"/>
      <sheetName val="[1.xls][1.XLS]______P_H_S_e_527"/>
      <sheetName val="[1.xls][1.xls]______P_H_S_e_524"/>
      <sheetName val="[1.xls][1.xls]______P_H_S_e_525"/>
      <sheetName val="[1.xls][1.xls]______P_H_S_e_526"/>
      <sheetName val="[1.xls][1.xls]______P_H_S_e_529"/>
      <sheetName val="[1.xls][1.xls]______P_H_S_e_531"/>
      <sheetName val="[1.xls][1.xls]______P_H_S_e_532"/>
      <sheetName val="[1.xls][1.xls]______P_H_S_e_535"/>
      <sheetName val="[1.xls][1.xls]______P_H_S_e_536"/>
      <sheetName val="[1.xls][1.xls]______P_H_S_e_533"/>
      <sheetName val="[1.xls][1.xls]______P_H_S_e_534"/>
      <sheetName val="[1.xls][1.xls]______P_H_S_e_537"/>
      <sheetName val="[1.xls][1.xls]______P_H_S_e_538"/>
      <sheetName val="[1.xls][1.xls]______P_H_S_e_539"/>
      <sheetName val="[1.xls][1.xls]______P_H_S_e_540"/>
      <sheetName val="[1.xls][1.xls]______P_H_S_e_542"/>
      <sheetName val="[1.xls][1.xls]______P_H_S_e_546"/>
      <sheetName val="[1.xls][1.xls]______P_H_S_e_543"/>
      <sheetName val="[1.xls][1.xls]______P_H_S_e_544"/>
      <sheetName val="[1.xls][1.xls]______P_H_S_e_545"/>
      <sheetName val="[1.xls][1.xls]______P_H_S_e_547"/>
      <sheetName val="[1.xls][1.xls]______P_H_S_e_549"/>
      <sheetName val="[1.xls][1.xls]______P_H_S_e_548"/>
      <sheetName val="[1.xls][1.xls]______P_H_S_e_550"/>
      <sheetName val="[1.xls][1.xls]______P_H_S_e_551"/>
      <sheetName val="[1.xls][1.xls]______P_H_S_e_553"/>
      <sheetName val="[1.xls][1.xls]______P_H_S_e_552"/>
      <sheetName val="[1.xls][1.xls]______P_H_S_e_555"/>
      <sheetName val="[1.xls][1.XLS]______P_H_S_e_554"/>
      <sheetName val="[1.xls][1.xls]______P_H_S_e_557"/>
      <sheetName val="[1.xls][1.xls]______P_H_S_e_556"/>
      <sheetName val="[1.xls][1.xls]______P_H_S_e_558"/>
      <sheetName val="[1.xls][1.xls]______P_H_S_e_560"/>
      <sheetName val="[1.xls][1.xls]______P_H_S_e_561"/>
      <sheetName val="[1.xls][1.xls]______P_H_S_e_559"/>
      <sheetName val="[1.xls][1.xls]______P_H_S_e_562"/>
      <sheetName val="[1.xls][1.xls]______P_H_S_e_563"/>
      <sheetName val="[1.xls][1.xls]______P_H_S_e_564"/>
      <sheetName val="[1.xls][1.xls]______P_H_S_e_565"/>
      <sheetName val="[1.xls][1.xls]______P_H_S_e_566"/>
      <sheetName val="[1.xls][1.xls]______P_H_S_e_567"/>
      <sheetName val="[1.xls][1.xls]______P_H_S_e_571"/>
      <sheetName val="[1.xls][1.xls]______P_H_S_e_568"/>
      <sheetName val="[1.xls][1.xls]______P_H_S_e_569"/>
      <sheetName val="[1.xls][1.xls]______P_H_S_e_570"/>
      <sheetName val="[1.xls][1.xls]______P_H_S_e_575"/>
      <sheetName val="실행갑지"/>
      <sheetName val="3. KC - PODIUM"/>
      <sheetName val="1.개요입력"/>
      <sheetName val="[1.xls][1.xls]______P_H_S_e_572"/>
      <sheetName val="[1.xls][1.xls]______P_H_S_e_573"/>
      <sheetName val="[1.xls][1.xls]______P_H_S_e_574"/>
      <sheetName val="[1.xls][1.xls]______P_H_S_e_577"/>
      <sheetName val="[1.xls][1.xls]______P_H_S_e_576"/>
      <sheetName val="[1.xls][1.xls]______P_H_S_e_578"/>
      <sheetName val="[1.xls][1.xls]______P_H_S_e_593"/>
      <sheetName val="[1.xls][1.xls]______P_H_S_e_594"/>
      <sheetName val="[1.xls][1.xls]______P_H_S_e_579"/>
      <sheetName val="[1.xls][1.xls]______P_H_S_e_582"/>
      <sheetName val="[1.xls][1.xls]______P_H_S_e_580"/>
      <sheetName val="[1.xls][1.xls]______P_H_S_e_581"/>
      <sheetName val="[1.xls][1.xls]______P_H_S_e_584"/>
      <sheetName val="[1.xls][1.xls]______P_H_S_e_585"/>
      <sheetName val="[1.xls][1.xls]______P_H_S_e_583"/>
      <sheetName val="[1.xls][1.xls]______P_H_S_e_588"/>
      <sheetName val="[1.xls][1.xls]______P_H_S_e_586"/>
      <sheetName val="[1.xls][1.xls]______P_H_S_e_587"/>
      <sheetName val="[1.xls][1.xls]______P_H_S_e_589"/>
      <sheetName val="[1.xls][1.xls]______P_H_S_e_590"/>
      <sheetName val="단말장비내역"/>
      <sheetName val="(TCU)장비내역"/>
      <sheetName val="통신회선내역"/>
      <sheetName val="CJS4A7615D02002"/>
      <sheetName val="IPS4D2615D00301"/>
      <sheetName val="㰀_x0009_Ā _x0000__x0000__x0000__x0000__x0000__x0000__x0000__x0000_ĀĀ_x0000__x0000_"/>
      <sheetName val="대외공문"/>
      <sheetName val="㰀_x0009_Ā "/>
      <sheetName val="99수불"/>
      <sheetName val="so-021"/>
      <sheetName val="RD제품개발투자비(매가)"/>
      <sheetName val="검토2"/>
      <sheetName val="[1.xls][1.xls]______P_H_S_e_592"/>
      <sheetName val="[1.xls][1.xls]______P_H_S_e_591"/>
      <sheetName val="[1.xls][1.xls]______P_H_S_e_595"/>
      <sheetName val="[1.xls][1.xls]______P_H_S_e_597"/>
      <sheetName val="[1.xls][1.xls]______P_H_S_e_596"/>
      <sheetName val="[1.xls][1.xls]______P_H_S_e_599"/>
      <sheetName val="[1.xls][1.xls]______P_H_S_e_598"/>
      <sheetName val="[1.xls][1.xls]______P_H_S_e_600"/>
      <sheetName val="[1.xls][1.xls]______P_H_S_e_606"/>
      <sheetName val="[1.xls][1.xls]______P_H_S_e_607"/>
      <sheetName val="[1.xls][1.xls]______P_H_S_e_601"/>
      <sheetName val="[1.xls][1.xls]______P_H_S_e_602"/>
      <sheetName val="견적내역-2 (프로세스)"/>
      <sheetName val="견적내역-1 (유틸리티)"/>
      <sheetName val="[1.xls][1.XLS]__박희석_P_H_S_ex_10"/>
      <sheetName val="[1.xls][1.xls]__박희석_P_H_S_ex_11"/>
      <sheetName val="물가시세표"/>
      <sheetName val="절취및터파기"/>
      <sheetName val="[1.xls][1.XLS]___________exc_39"/>
      <sheetName val="[1.xls][1.XLS]___________exc_40"/>
      <sheetName val="공사비지불 (2)"/>
      <sheetName val="입찰보고"/>
      <sheetName val="공통가설(기준안)"/>
      <sheetName val="4-0.툫자_x005f_x0000__x005f_x0000_문)"/>
      <sheetName val="_x005f_x0000_"/>
      <sheetName val="_x005f_x0000__x005f_x0008__x005f_x0000_ꪀᗈ_x005f_x0000_"/>
      <sheetName val="구리토평_x005f_x0000__x005f_x0000_Ԁ"/>
      <sheetName val="________x005f_x0000__x005f_x0000___x005f_x0002__2"/>
      <sheetName val="급殘⿗_x005f_x0000_"/>
      <sheetName val="영업소_x005f_x0000_"/>
      <sheetName val="1.공통가설_x005f_x0000__x005f_x0000_"/>
      <sheetName val="간접비 _x005f_x0000__x005f_x0000__x005f_x0005_"/>
      <sheetName val="문학간접"/>
      <sheetName val="내장공사"/>
      <sheetName val="업무처리전"/>
      <sheetName val="PHU LUC 01"/>
      <sheetName val="Đầu vào"/>
      <sheetName val="주민복지관"/>
      <sheetName val="산출금액내역"/>
      <sheetName val="토공사및_흙막이공사9"/>
      <sheetName val="써100_(A4)9"/>
      <sheetName val="남양시작동자105노65기1_3화1_29"/>
      <sheetName val="97_사업추정(WEKI)9"/>
      <sheetName val="표지_(2)9"/>
      <sheetName val="unit_49"/>
      <sheetName val="F_C_U_ZONE집계9"/>
      <sheetName val="A_H_U_ZONE별집계9"/>
      <sheetName val="PAC_집계9"/>
      <sheetName val="1_가스소비량9"/>
      <sheetName val="1-3_가스관경계산-19"/>
      <sheetName val="1-4_가스관경계산-29"/>
      <sheetName val="1-5_가스관경계산-39"/>
      <sheetName val="1-6_가스관경계산-4_9"/>
      <sheetName val="1-7_가스관경계산-59"/>
      <sheetName val="1-7_가스차압산출9"/>
      <sheetName val="덕트_및_배기그릴선정9"/>
      <sheetName val="OCT_FDN9"/>
      <sheetName val="EXT_CHECK9"/>
      <sheetName val="P-127E1,E2_9"/>
      <sheetName val="P-123E1,E2_9"/>
      <sheetName val="P-128E_9"/>
      <sheetName val="1_견적서목록9"/>
      <sheetName val="부하계산서_(영문)9"/>
      <sheetName val="PEND-ITEM_(2)9"/>
      <sheetName val="견적표지_(횡)9"/>
      <sheetName val="부하집계표_(2안)9"/>
      <sheetName val="부하계산서_9"/>
      <sheetName val="UNIT_COOLER_선정표9"/>
      <sheetName val="ACCUMULALOR_(2안)9"/>
      <sheetName val="동력집계표_(2안)9"/>
      <sheetName val="cooling_tower_(2)9"/>
      <sheetName val="cooling_water_pump9"/>
      <sheetName val="DEFROEST_PUMP9"/>
      <sheetName val="기기선정표_(2안)9"/>
      <sheetName val="cooling_tower9"/>
      <sheetName val="부하집계표_(2)9"/>
      <sheetName val="토목내역서_(도급단가)9"/>
      <sheetName val="BEND_LOSS9"/>
      <sheetName val="（３）_9"/>
      <sheetName val="목차_(2)9"/>
      <sheetName val="1-1_손익(부문별)9"/>
      <sheetName val="1-2_손익(월별)9"/>
      <sheetName val="2-1_판관비(부문)9"/>
      <sheetName val="2-2_판관비(월별)9"/>
      <sheetName val="3-1_수익비용(부문별)9"/>
      <sheetName val="3-2_수익비용(월별)9"/>
      <sheetName val="4-1_투자(부문)9"/>
      <sheetName val="4-2_투자(월별)9"/>
      <sheetName val="5-1_인원(부문)9"/>
      <sheetName val="5-2_인원(월별)9"/>
      <sheetName val="6_산출근거9"/>
      <sheetName val="7_현금흐름9"/>
      <sheetName val="마케팅1_(2)9"/>
      <sheetName val="마케팅1_(3)9"/>
      <sheetName val="마케팅1_(4)9"/>
      <sheetName val="01_1담당매출계획27_8$9"/>
      <sheetName val="01매출계획_선용품9"/>
      <sheetName val="작업악성채권직원판매제외(거래선별)_9"/>
      <sheetName val="작업악성채권직원판매제외_(담당별종합)9"/>
      <sheetName val="작업악성채권직원판매제외_(담당별)9"/>
      <sheetName val="판촉비예산_9"/>
      <sheetName val="인테리어_시설9"/>
      <sheetName val="파_3층_특설_장치장식비9"/>
      <sheetName val="총괄_(03년11월)h&amp;s9"/>
      <sheetName val="총괄_(03년11월)여행9"/>
      <sheetName val="세부내용_(03년11월)여행9"/>
      <sheetName val="개인_세부내용_(03년11월)여행9"/>
      <sheetName val="동구일반상품_9"/>
      <sheetName val="TRE_TABLE9"/>
      <sheetName val="PE거푸집(1_2)9"/>
      <sheetName val="PUNCH_LIST9"/>
      <sheetName val="WELDING_JOINT_INSPECTION_STATU9"/>
      <sheetName val="WEIGHT_LIST9"/>
      <sheetName val="산#2-1_(2)9"/>
      <sheetName val="P_M_별9"/>
      <sheetName val="1차_내역서9"/>
      <sheetName val="3_건축(현장안)9"/>
      <sheetName val="A_LINE9"/>
      <sheetName val="2_2_10_샤시등9"/>
      <sheetName val="A3_공사비_검토9"/>
      <sheetName val="C3_토목_옹벽9"/>
      <sheetName val="A6_샤시등9"/>
      <sheetName val="7_수지9"/>
      <sheetName val="TOWER_12TON9"/>
      <sheetName val="JIB_CRANE,HOIST9"/>
      <sheetName val="TOWER_10TON9"/>
      <sheetName val="토공(우물통,기타)_9"/>
      <sheetName val="BSD__2_9"/>
      <sheetName val="내역서_(2)9"/>
      <sheetName val="배수입상_9"/>
      <sheetName val="1장_9"/>
      <sheetName val="1_개요_9"/>
      <sheetName val="2_조건_9"/>
      <sheetName val="3_공식붙임9"/>
      <sheetName val="4장_9"/>
      <sheetName val="1_AHU_9"/>
      <sheetName val="2_AHU-19"/>
      <sheetName val="2_FAN9"/>
      <sheetName val="1_급탕9"/>
      <sheetName val="6장_별첨9"/>
      <sheetName val="내역서_(3)9"/>
      <sheetName val="내역서_(4)9"/>
      <sheetName val="전선_및_전선관9"/>
      <sheetName val="추정공사비_산출결과9"/>
      <sheetName val="에너지성능지표검토서(기계,_전기,_신재생)9"/>
      <sheetName val="월별손익(용역)_9"/>
      <sheetName val="1-1_손익(온정각)9"/>
      <sheetName val="1-1_손익(관광식당)9"/>
      <sheetName val="1-1_손익(직원식당)9"/>
      <sheetName val="1-2_월별손익(온정각)9"/>
      <sheetName val="1-2_월별손익(관광식당)9"/>
      <sheetName val="1-2_월별손익(직원식당)9"/>
      <sheetName val="2-1_판관비(지원)9"/>
      <sheetName val="2-1_판관비(관광)9"/>
      <sheetName val="2-1_판관비(직원)_9"/>
      <sheetName val="2-1_판관비(온정각)9"/>
      <sheetName val="2000년_공정표8"/>
      <sheetName val="2-2_월별판관비(온정각)9"/>
      <sheetName val="구조______8"/>
      <sheetName val="IMP_(REACTOR)8"/>
      <sheetName val="아파트_9"/>
      <sheetName val="1_수인터널8"/>
      <sheetName val="갑지_(2)8"/>
      <sheetName val="비목별_투자_집계8"/>
      <sheetName val="자재비내역_8"/>
      <sheetName val="운반비_내역8"/>
      <sheetName val="사무_용품비8"/>
      <sheetName val="지대_및_집세8"/>
      <sheetName val="갑지_2_(2)8"/>
      <sheetName val="갑지_28"/>
      <sheetName val="2-2_월별판관비(지원)9"/>
      <sheetName val="2-2_월별판관비(직원)9"/>
      <sheetName val="2-2_월별판관비(휴게소)9"/>
      <sheetName val="2-2_월별판관비(스넥코너)9"/>
      <sheetName val="2-2_월별판관비(음료코너)9"/>
      <sheetName val="2-2_월별판관비(온천장)9"/>
      <sheetName val="5-1_인원(온정각)9"/>
      <sheetName val="99년누계_(월별)9"/>
      <sheetName val="플랜트_설치8"/>
      <sheetName val="콤보박스와_리스트박스의_연결8"/>
      <sheetName val="0_갑지8"/>
      <sheetName val="1_공통가설공사8"/>
      <sheetName val="2_토목공사8"/>
      <sheetName val="3_건축공사8"/>
      <sheetName val="4_설비공사8"/>
      <sheetName val="5_전기공사8"/>
      <sheetName val="7_안전관리비8"/>
      <sheetName val="8_현장관리비8"/>
      <sheetName val="인원투입_계획표8"/>
      <sheetName val="공사계약현황_(기계설비))8"/>
      <sheetName val="공사계약현황_(전기)8"/>
      <sheetName val="2000_058"/>
      <sheetName val="1_설계조건8"/>
      <sheetName val="공사예산하조서(O_K)8"/>
      <sheetName val="C_배수관공8"/>
      <sheetName val="수목데이타_8"/>
      <sheetName val="고효율_유도전동기_적용비율_계산서9"/>
      <sheetName val="정산서_8"/>
      <sheetName val="역T형옹벽(3_0)8"/>
      <sheetName val="1_설계기준8"/>
      <sheetName val="5_공종별예산내역서8"/>
      <sheetName val="건축실행__(5)8"/>
      <sheetName val="참고용_(2)8"/>
      <sheetName val="COMPARISON_TABLE8"/>
      <sheetName val="Eq__Mobilization8"/>
      <sheetName val="간접비_총괄표8"/>
      <sheetName val="1_CB8"/>
      <sheetName val="1_CB_(2)8"/>
      <sheetName val="1_CB_(3)8"/>
      <sheetName val="2_냉난방설비공사8"/>
      <sheetName val="7_자동제어공사8"/>
      <sheetName val="1_취수장8"/>
      <sheetName val="3_고급화검토8"/>
      <sheetName val="2_공사비_검토8"/>
      <sheetName val="6PILE__(돌출)8"/>
      <sheetName val="C급보_8"/>
      <sheetName val="wage_Cal8"/>
      <sheetName val="단가_3"/>
      <sheetName val="수량산출서_갑지3"/>
      <sheetName val="일단의_주택지3"/>
      <sheetName val="실행내역_3"/>
      <sheetName val="설_계3"/>
      <sheetName val="입출재고현황_(2)3"/>
      <sheetName val="4-3_보온_기본물량집계3"/>
      <sheetName val="하도내역_(철콘)3"/>
      <sheetName val="Mech_CIF8"/>
      <sheetName val="비교손익계산서_3"/>
      <sheetName val="2003_123"/>
      <sheetName val="2002_123"/>
      <sheetName val="영업_일13"/>
      <sheetName val="환경기계공정표_(3)3"/>
      <sheetName val="SEV_wiress4_Total3"/>
      <sheetName val="SEV_wireles_4__fire_fighting_3"/>
      <sheetName val="SEV_wireles_4__fire_Alarm3"/>
      <sheetName val="B_1-13"/>
      <sheetName val="B_1-23"/>
      <sheetName val="B_1-33"/>
      <sheetName val="B_1-43"/>
      <sheetName val="B_1-53"/>
      <sheetName val="B_1-63"/>
      <sheetName val="B_1-73"/>
      <sheetName val="B_23"/>
      <sheetName val="B_33"/>
      <sheetName val="B_43"/>
      <sheetName val="B_6-13"/>
      <sheetName val="B_6-23"/>
      <sheetName val="7_경제성결과3"/>
      <sheetName val="2_대외공문3"/>
      <sheetName val="Sheet1_(2)3"/>
      <sheetName val="인건비_3"/>
      <sheetName val="2__공원조도3"/>
      <sheetName val="4-0_툫자3"/>
      <sheetName val="단위세대_개요3"/>
      <sheetName val="1_집계표3"/>
      <sheetName val="2_공통가설공사3"/>
      <sheetName val="4_기계설비공사3"/>
      <sheetName val="7__안전관리비3"/>
      <sheetName val="식대_숙직비3"/>
      <sheetName val="DATA_입력란3"/>
      <sheetName val="1__설계조건_2_단면가정_3__하중계산3"/>
      <sheetName val="3련_BOX3"/>
      <sheetName val="1_설계조건_3"/>
      <sheetName val="설계기준설명_3"/>
      <sheetName val="2_단면가정_(BASE)3"/>
      <sheetName val="3_하중및토압_(고정)3"/>
      <sheetName val="4_작용하중(고정)3"/>
      <sheetName val="5_안정검토(고정)(풍화암)3"/>
      <sheetName val="6_벽체계산3"/>
      <sheetName val="7_흉벽계산(ASCON)3"/>
      <sheetName val="8_FOOTING3"/>
      <sheetName val="9_날개벽3"/>
      <sheetName val="10_교좌받침3"/>
      <sheetName val="11_접속슬라브(ASCON)3"/>
      <sheetName val="1_구리중_(제조사A)3"/>
      <sheetName val="1_구리중_(제조사B)3"/>
      <sheetName val="1_구리중_(제조사C)3"/>
      <sheetName val="2_토평초(제조사A)3"/>
      <sheetName val="2_토평초(제조사B)3"/>
      <sheetName val="2_토평초(제조사C)3"/>
      <sheetName val="3_평내초(제조사A)3"/>
      <sheetName val="3_평내초(제조사B)3"/>
      <sheetName val="3_평내초(제조사C)3"/>
      <sheetName val="실외기_배관트레이3"/>
      <sheetName val="중앙콘트롤러설치용전선_3"/>
      <sheetName val="토목내역_(2)3"/>
      <sheetName val="EQUIPMENT_-23"/>
      <sheetName val="할증_3"/>
      <sheetName val="승용C_S3"/>
      <sheetName val="상용C_S3"/>
      <sheetName val="BSD_(2)3"/>
      <sheetName val="프린트_(3)3"/>
      <sheetName val="간지-2_(2)3"/>
      <sheetName val="_1__개요3"/>
      <sheetName val="_2__난방설비3"/>
      <sheetName val="열관류율_계산서3"/>
      <sheetName val="2_3_세대별난방부하집계3"/>
      <sheetName val="GEN_3"/>
      <sheetName val="을_13"/>
      <sheetName val="을_23"/>
      <sheetName val="1_우편집중내역서3"/>
      <sheetName val="신단가_(내진설치비)3"/>
      <sheetName val="보일러_선정3"/>
      <sheetName val="84A_(2)3"/>
      <sheetName val="84B_(2)3"/>
      <sheetName val="84C_(2)3"/>
      <sheetName val="101A_(2)3"/>
      <sheetName val="101B_(2)3"/>
      <sheetName val="101C_(2)3"/>
      <sheetName val="난방부하집계_(2)3"/>
      <sheetName val="2_3_세대별난방부하집계_(2)3"/>
      <sheetName val="보일러_선정_(2)3"/>
      <sheetName val="4_급수설비3"/>
      <sheetName val="4_2_급수입상배관3"/>
      <sheetName val="4_3_급수횡주관3"/>
      <sheetName val="5_1_열교환기3"/>
      <sheetName val="9,10월신제품_(2)3"/>
      <sheetName val="건___축3"/>
      <sheetName val="crude_SLAB_RE-bar3"/>
      <sheetName val="자__재3"/>
      <sheetName val="12_173"/>
      <sheetName val="가스공사_3"/>
      <sheetName val="내역서1999_8최종3"/>
      <sheetName val="수배전반_을지3"/>
      <sheetName val="Bag_Filter_Sizing3"/>
      <sheetName val="BOX구조해석_설명서3"/>
      <sheetName val="철근량_검토3"/>
      <sheetName val="1_공사개요(입력)3"/>
      <sheetName val="LEGEND_i3"/>
      <sheetName val="4_3__급수펌프선정3"/>
      <sheetName val="4_3_2_급탕순환펌프3"/>
      <sheetName val="4_3_3__배수펌프3"/>
      <sheetName val="4_4__전기온수기3"/>
      <sheetName val="4_5__보일러3"/>
      <sheetName val="4_4__급탕탱크3"/>
      <sheetName val="4_6__급탕탱크3"/>
      <sheetName val="준검_내역서3"/>
      <sheetName val="1_내역(청_하역장전등)3"/>
      <sheetName val="G_R300경비3"/>
      <sheetName val="3BL공동구_수량3"/>
      <sheetName val="집_계_표3"/>
      <sheetName val="전화_인터넷(현장)3"/>
      <sheetName val="3_0냉난방열원집계3"/>
      <sheetName val="4_1AHU3"/>
      <sheetName val="4_3_공기압축기3"/>
      <sheetName val="4_7_전기라디에타_3"/>
      <sheetName val="4_9_AC_3"/>
      <sheetName val="4_11_FAN3"/>
      <sheetName val="4_12_TANK_4_13_탈취기3"/>
      <sheetName val="4_14_PUMP3"/>
      <sheetName val="5_위생설비3"/>
      <sheetName val="8_PILE__(돌출)3"/>
      <sheetName val="Sheet2_(2)3"/>
      <sheetName val="6__안전관리비3"/>
      <sheetName val="5__현장관리비(new)_3"/>
      <sheetName val="평형별_세대수3"/>
      <sheetName val="정계약_현황3"/>
      <sheetName val="1_기계_납품_진행__현황3"/>
      <sheetName val="2_협력업체_담당자_및_연락처3"/>
      <sheetName val="파주_운정지구_A8블럭3"/>
      <sheetName val="_총괄표3"/>
      <sheetName val="블럭_손익3"/>
      <sheetName val="총_원가계산3"/>
      <sheetName val="5_세운W-A3"/>
      <sheetName val="IMPEADENCE_MAP_취수장"/>
      <sheetName val="현장관리비_산출내역"/>
      <sheetName val="Internal_Floor"/>
      <sheetName val="MEEDCO_Vehicle_List"/>
      <sheetName val="단가_및_재료비"/>
      <sheetName val="내역서_"/>
      <sheetName val="Check_List"/>
      <sheetName val="사원증_제작"/>
      <sheetName val="메일,_웹하드"/>
      <sheetName val="협업,_협회"/>
      <sheetName val="Sheet3_(2)"/>
      <sheetName val="일위대가_집계표"/>
      <sheetName val="4-2_실행분석표(실적)"/>
      <sheetName val="간접비_"/>
      <sheetName val="급수_(LPM)"/>
      <sheetName val="3-3_빙축열시스템부하"/>
      <sheetName val="[1_xls][1_xls]______C______99_8"/>
      <sheetName val="[1_xls][1_xls]______P_H_S_ex_17"/>
      <sheetName val="[1_xls][1_XLS]______P_H_S_ex_14"/>
      <sheetName val="[1_XLS][1_XLS]______P_H_S_exc_4"/>
      <sheetName val="[1_XLS][1_XLS]______P_H_S_exc_2"/>
      <sheetName val="[1_XLS][1_XLS]______P_H_S_exc_3"/>
      <sheetName val="[1_XLS][1_XLS]______P_H_S_exc_5"/>
      <sheetName val="[1_XLS][1_XLS]______P_H_S_exc_8"/>
      <sheetName val="[1_XLS][1_XLS]______P_H_S_exc_7"/>
      <sheetName val="[1_XLS][1_XLS]______P_H_S_exc_6"/>
      <sheetName val="[1_XLS][1_XLS]______P_H_S_exc_9"/>
      <sheetName val="[1_XLS][1_XLS]______P_H_S_ex_11"/>
      <sheetName val="[1_XLS][1_XLS]______P_H_S_ex_10"/>
      <sheetName val="[1_XLS][1_XLS]______P_H_S_ex_13"/>
      <sheetName val="[1_XLS][1_XLS]______P_H_S_ex_12"/>
      <sheetName val="견적_(2)"/>
      <sheetName val="[1_xls][1_xls]______P_H_S_ex_15"/>
      <sheetName val="[1_xls][1_xls]______P_H_S_ex_16"/>
      <sheetName val="[1_xls][1_xls]______P_H_S_ex_50"/>
      <sheetName val="[1_xls][1_xls]______P_H_S_ex_18"/>
      <sheetName val="Q(&amp;F)蓑ĀNateOn_정보(&amp;V)"/>
      <sheetName val="?"/>
      <sheetName val="[1_xls][1_xls]______P_H_S_ex_19"/>
      <sheetName val="[1_xls][1_xls]______P_H_S_ex_20"/>
      <sheetName val="[1_xls][1_xls]______P_H_S_ex_21"/>
      <sheetName val="[1_xls][1_xls]______P_H_S_ex_22"/>
      <sheetName val="[1_xls][1_xls]______P_H_S_ex_23"/>
      <sheetName val="[1_xls][1_xls]______P_H_S_ex_24"/>
      <sheetName val="[1_xls][1_xls]______P_H_S_ex_25"/>
      <sheetName val="[1_xls][1_xls]______P_H_S_ex_26"/>
      <sheetName val="[1_xls][1_xls]______P_H_S_ex_27"/>
      <sheetName val="[1_xls][1_xls]______P_H_S_ex_28"/>
      <sheetName val="[1_xls][1_xls]______P_H_S_ex_30"/>
      <sheetName val="[1_xls][1_xls]______P_H_S_ex_29"/>
      <sheetName val="[1_xls][1_xls]______P_H_S_ex_31"/>
      <sheetName val="[1_xls][1_xls]______P_H_S_ex_32"/>
      <sheetName val="[1_xls][1_xls]______P_H_S_ex_33"/>
      <sheetName val="[1_xls][1_xls]______P_H_S_ex_34"/>
      <sheetName val="[1_xls][1_xls]______P_H_S_ex_35"/>
      <sheetName val="[1_xls][1_xls]______P_H_S_ex_36"/>
      <sheetName val="[1_xls][1_xls]______P_H_S_ex_37"/>
      <sheetName val="[1_xls][1_xls]______P_H_S_ex_38"/>
      <sheetName val="[1_xls][1_xls]______P_H_S_ex_39"/>
      <sheetName val="[1_xls][1_xls]______P_H_S_ex_40"/>
      <sheetName val="[1_xls][1_xls]______P_H_S_ex_41"/>
      <sheetName val="[1_xls][1_xls]______P_H_S_ex_42"/>
      <sheetName val="[1_xls][1_xls]______P_H_S_ex_43"/>
      <sheetName val="[1_xls][1_xls]______P_H_S_ex_44"/>
      <sheetName val="[1_xls][1_xls]______P_H_S_ex_45"/>
      <sheetName val="[1_xls][1_xls]______P_H_S_ex_46"/>
      <sheetName val="[1_xls][1_xls]______P_H_S_ex_47"/>
      <sheetName val="[1_xls][1_xls]______P_H_S_ex_48"/>
      <sheetName val="[1_xls][1_xls]______P_H_S_ex_49"/>
      <sheetName val="[1_xls][1_xls]______P_H_S_ex_71"/>
      <sheetName val="[1_xls][1_xls]______P_H_S_ex_51"/>
      <sheetName val="중기조종사_단위단가"/>
      <sheetName val="[1_xls][1_xls]______P_H_S_ex_52"/>
      <sheetName val="[1_xls][1_xls]______P_H_S_ex_54"/>
      <sheetName val="[1_xls][1_xls]______P_H_S_ex_55"/>
      <sheetName val="난간기초_(길이별)"/>
      <sheetName val="[1_xls][1_xls]______P_H_S_ex_53"/>
      <sheetName val="[1_xls][1_xls]______P_H_S_ex_56"/>
      <sheetName val="[1_xls][1_xls]______P_H_S_ex_57"/>
      <sheetName val="[1_xls][1_xls]______P_H_S_ex_58"/>
      <sheetName val="[1_xls][1_xls]______P_H_S_ex_60"/>
      <sheetName val="[1_xls][1_xls]______P_H_S_ex_59"/>
      <sheetName val="[1_xls][1_xls]______P_H_S_ex_61"/>
      <sheetName val="[1_xls][1_xls]______P_H_S_ex_62"/>
      <sheetName val="[1_xls][1_xls]______P_H_S_ex_63"/>
      <sheetName val="[1_xls][1_xls]______P_H_S_ex_64"/>
      <sheetName val="[1_xls][1_xls]______P_H_S_ex_65"/>
      <sheetName val="[1_xls][1_xls]______P_H_S_ex_66"/>
      <sheetName val="[1_xls][1_xls]______P_H_S_ex_67"/>
      <sheetName val="[1_xls][1_xls]______P_H_S_ex_68"/>
      <sheetName val="99생산계획_(1,300)"/>
      <sheetName val="[1_xls][1_xls]______P_H_S_ex_69"/>
      <sheetName val="[1_xls][1_xls]______P_H_S_ex_70"/>
      <sheetName val="[1_xls][1_xls]______P_H_S_ex_72"/>
      <sheetName val="[1_xls][1_xls]______P_H_S_ex_74"/>
      <sheetName val="[1_xls][1_XLS]______P_H_S_ex_73"/>
      <sheetName val="[1_xls][1_xls]______P_H_S_ex_75"/>
      <sheetName val="[1_xls][1_xls]______P_H_S_ex_77"/>
      <sheetName val="[1_xls][1_XLS]______P_H_S_ex_76"/>
      <sheetName val="[1_xls][1_xls]______P_H_S_ex_78"/>
      <sheetName val="[1_xls][1_xls]______P_H_S_ex_80"/>
      <sheetName val="[1_xls][1_XLS]______P_H_S_ex_79"/>
      <sheetName val="[1_xls][1_xls]______P_H_S_ex_90"/>
      <sheetName val="[1_xls][1_xls]______P_H_S_ex_81"/>
      <sheetName val="[1_xls][1_xls]______P_H_S_ex_82"/>
      <sheetName val="[1_xls][1_xls]______P_H_S_ex_83"/>
      <sheetName val="[1_xls][1_xls]______P_H_S_ex_84"/>
      <sheetName val="[1_xls][1_xls]______P_H_S_ex_85"/>
      <sheetName val="[1_xls][1_xls]______P_H_S_ex_86"/>
      <sheetName val="[1_xls][1_xls]______P_H_S_ex_87"/>
      <sheetName val="[1_xls][1_xls]______P_H_S_ex_88"/>
      <sheetName val="[1_xls][1_xls]______P_H_S_ex_89"/>
      <sheetName val="[1_xls][1_xls]______P_H_S_ex_91"/>
      <sheetName val="수주추정"/>
      <sheetName val="자재집계 &amp; 총괄표"/>
      <sheetName val="정산서  (2)"/>
      <sheetName val="40총괄"/>
      <sheetName val="40집계"/>
      <sheetName val="[1.xls][1.xls]______P_H_S_e_603"/>
      <sheetName val="[1.xls][1.xls]______P_H_S_e_605"/>
      <sheetName val="[1.xls][1.xls]______P_H_S_e_604"/>
      <sheetName val="[1.xls][1.xls]______P_H_S_e_610"/>
      <sheetName val="[1.xls][1.xls]______P_H_S_e_608"/>
      <sheetName val="[1.xls][1.xls]______P_H_S_e_609"/>
      <sheetName val="[1.xls][1.xls]______P_H_S_e_611"/>
      <sheetName val="[1.xls][1.xls]______P_H_S_e_617"/>
      <sheetName val="[1.xls][1.xls]______P_H_S_e_618"/>
      <sheetName val="[1.xls][1.xls]______P_H_S_e_612"/>
      <sheetName val="[1.xls][1.xls]______P_H_S_e_613"/>
      <sheetName val="[1.xls][1.xls]______P_H_S_e_616"/>
      <sheetName val="[1.xls][1.xls]______P_H_S_e_614"/>
      <sheetName val="[1.xls][1.xls]______P_H_S_e_615"/>
      <sheetName val="[1.xls][1.xls]______P_H_S_e_620"/>
      <sheetName val="[1.xls][1.xls]______P_H_S_e_619"/>
      <sheetName val="[1.xls][1.xls]______P_H_S_e_622"/>
      <sheetName val="[1.xls][1.xls]______P_H_S_e_621"/>
      <sheetName val="[1.xls][1.xls]______P_H_S_e_625"/>
      <sheetName val="[1.xls][1.xls]______P_H_S_e_623"/>
      <sheetName val="[1.xls][1.xls]______P_H_S_e_624"/>
      <sheetName val="[1.xls][1.xls]______P_H_S_e_626"/>
      <sheetName val="[1.xls][1.xls]______P_H_S_e_627"/>
      <sheetName val="[1.xls][1.xls]______P_H_S_e_628"/>
      <sheetName val="[1.xls][1.xls]______P_H_S_e_635"/>
      <sheetName val="[1.xls][1.XLS]______P_H_S_e_634"/>
      <sheetName val="C1.공사개요"/>
      <sheetName val="Currency"/>
      <sheetName val="Non-Statistical Sampling"/>
      <sheetName val="AR Drop Downs"/>
      <sheetName val="DropDown"/>
      <sheetName val="[1.xls][1.xls]______P_H_S_e_629"/>
      <sheetName val="[1.xls][1.xls]______P_H_S_e_630"/>
      <sheetName val="[1.xls][1.xls]______P_H_S_e_631"/>
      <sheetName val="[1.xls][1.xls]______P_H_S_e_633"/>
      <sheetName val="[1.xls][1.XLS]______P_H_S_e_632"/>
      <sheetName val="열린교실"/>
      <sheetName val="관경"/>
      <sheetName val="1.건물개요"/>
      <sheetName val="2.설계조건"/>
      <sheetName val="4. 열원설비"/>
      <sheetName val="5.환기설비"/>
      <sheetName val="5.3환기팬선정"/>
      <sheetName val="6-1급수"/>
      <sheetName val="6-2급탕"/>
      <sheetName val="6-3 배수"/>
      <sheetName val="6-4 위생용 펌프선정"/>
      <sheetName val="위생기구"/>
      <sheetName val="전기실 풍량"/>
      <sheetName val="증기열원의집계"/>
      <sheetName val="보일러의선정"/>
      <sheetName val="8-3 환기유니트"/>
      <sheetName val="[1.xls][1.XLS]___________exc_41"/>
      <sheetName val="[1.xls][1.XLS]___________exc_42"/>
      <sheetName val="[1.xls][1.XLS]___________exc_43"/>
      <sheetName val="에너지성능지표က뎔迲"/>
      <sheetName val="업협"/>
      <sheetName val="[1.xls][1.xls]___희석_P_H_S_exc_6"/>
      <sheetName val="[1.xls][1.XLS]___희석_P_H_S_exc_5"/>
      <sheetName val="[1.xls][1.xls]___희석_P_H_S_exc_8"/>
      <sheetName val="[1.xls][1.XLS]___희석_P_H_S_exc_7"/>
      <sheetName val="[1.xls][1.xls]______P_H_S_e_662"/>
      <sheetName val="[1.xls][1.XLS]______P_H_S_e_661"/>
      <sheetName val="전년,계획,실적(작업)"/>
      <sheetName val="토공집계표"/>
      <sheetName val="File_관급"/>
      <sheetName val="공정집계"/>
      <sheetName val="Cover Sht"/>
      <sheetName val="중기일위대가"/>
      <sheetName val="WING3"/>
      <sheetName val="시멘트"/>
      <sheetName val="[1.xls][1.XLS]__박희석_P_H_S_ex_12"/>
      <sheetName val="[1.xls][1.xls]__박희석_P_H_S_ex_13"/>
      <sheetName val="건축(내역)"/>
      <sheetName val="수불부"/>
      <sheetName val="구미2월"/>
      <sheetName val="안양2월"/>
      <sheetName val="참고"/>
      <sheetName val="경영비율 "/>
      <sheetName val="04고객별 담당자"/>
      <sheetName val="제조원가명세서"/>
      <sheetName val="정율표"/>
      <sheetName val="판가"/>
      <sheetName val="JUYO"/>
      <sheetName val="CHAB"/>
      <sheetName val="대여금현황sample"/>
      <sheetName val="6.CF"/>
      <sheetName val="풍량"/>
      <sheetName val="TNC(1안)"/>
      <sheetName val="청도 년도별 손익 (RMB)"/>
      <sheetName val="1-12월"/>
      <sheetName val="샘플_생관"/>
      <sheetName val="controll"/>
      <sheetName val="07제품별수익성"/>
      <sheetName val="월급제인원실적"/>
      <sheetName val="일급제인원실적"/>
      <sheetName val="산자강선PU(배부후)"/>
      <sheetName val="인상안"/>
      <sheetName val="1급갑"/>
      <sheetName val="버튼"/>
      <sheetName val="첨부.지수현황상세"/>
      <sheetName val="생산량"/>
      <sheetName val="2_2_2.ROIC월별"/>
      <sheetName val="07DATA"/>
      <sheetName val="CNG버스국내시장"/>
      <sheetName val="PRICAT99"/>
      <sheetName val="직급실적"/>
      <sheetName val="적용환율"/>
      <sheetName val="시산표"/>
      <sheetName val="KPI (QA) 2012"/>
      <sheetName val="01_12月_Lot별_판매실적.xls"/>
      <sheetName val="T&amp;C"/>
      <sheetName val="10고객별 담당자"/>
      <sheetName val="Quality-3"/>
      <sheetName val="3-2. Claim and Complaint"/>
      <sheetName val="산자사 운전용품"/>
      <sheetName val="그룹"/>
      <sheetName val="분석"/>
      <sheetName val="▶판매량Trend(수정안)"/>
      <sheetName val="▶판가Trend(수정안)"/>
      <sheetName val="3931A（600A）#6"/>
      <sheetName val="총무"/>
      <sheetName val="Sheet3 (3)"/>
      <sheetName val="인상효1"/>
      <sheetName val="2-2.매출분석"/>
      <sheetName val="비용"/>
      <sheetName val="DSN Spec."/>
      <sheetName val="RT Spec."/>
      <sheetName val="고합"/>
      <sheetName val="대여금집계표"/>
      <sheetName val="여신판매액"/>
      <sheetName val="본사인상전"/>
      <sheetName val="연령현황"/>
      <sheetName val="DTY"/>
      <sheetName val="POY"/>
      <sheetName val="SDY"/>
      <sheetName val="WD"/>
      <sheetName val="_x0000__x000e__x0000__x000f_ _x0007__x0000_"/>
      <sheetName val="화학PG계"/>
      <sheetName val="Resource단가"/>
      <sheetName val="_x0000__x000e__x0000__x000f__x0009__x0007__x0000_"/>
      <sheetName val="조정방법"/>
      <sheetName val="경영비율_1"/>
      <sheetName val="04고객별_담당자1"/>
      <sheetName val="6_CF1"/>
      <sheetName val="청도_년도별_손익_(RMB)1"/>
      <sheetName val="첨부_지수현황상세1"/>
      <sheetName val="2_2_2_ROIC월별1"/>
      <sheetName val="KPI_(QA)_20121"/>
      <sheetName val="01_12月_Lot별_판매실적_xls1"/>
      <sheetName val="10고객별_담당자1"/>
      <sheetName val="3-2__Claim_and_Complaint1"/>
      <sheetName val="산자사_운전용품1"/>
      <sheetName val="Sheet3_(3)1"/>
      <sheetName val="2-2_매출분석1"/>
      <sheetName val="DSN_Spec_1"/>
      <sheetName val="RT_Spec_1"/>
      <sheetName val="경영비율_"/>
      <sheetName val="04고객별_담당자"/>
      <sheetName val="6_CF"/>
      <sheetName val="청도_년도별_손익_(RMB)"/>
      <sheetName val="첨부_지수현황상세"/>
      <sheetName val="2_2_2_ROIC월별"/>
      <sheetName val="KPI_(QA)_2012"/>
      <sheetName val="01_12月_Lot별_판매실적_xls"/>
      <sheetName val="10고객별_담당자"/>
      <sheetName val="3-2__Claim_and_Complaint"/>
      <sheetName val="산자사_운전용품"/>
      <sheetName val="Sheet3_(3)"/>
      <sheetName val="2-2_매출분석"/>
      <sheetName val="DSN_Spec_"/>
      <sheetName val="RT_Spec_"/>
      <sheetName val="1.xls"/>
      <sheetName val="이론&amp;가동"/>
      <sheetName val="220 (2)"/>
      <sheetName val="▶제조"/>
      <sheetName val="_x000d__x0000__x000a_Ơ믣"/>
      <sheetName val="_x000a__x0000__x000a_Ơ믣"/>
      <sheetName val="_x000d_"/>
      <sheetName val="_x000a_"/>
      <sheetName val="중국수출 (업체별_국가별)"/>
      <sheetName val="별제권_정리담보권"/>
      <sheetName val="3_1_1.제조비용년간"/>
      <sheetName val="원가내역"/>
      <sheetName val="납기코드"/>
      <sheetName val="요인분석"/>
      <sheetName val="_x005f_x0000__x005f_x000e__x005f_x0000__x005f_x000f_ _x"/>
      <sheetName val="_x005f_x0000__x005f_x000e__x005f_x0000__x005f_x000f__x0"/>
      <sheetName val="Q7-8"/>
      <sheetName val="월급제부서원가별"/>
      <sheetName val="일급제부서원가별"/>
      <sheetName val="매출이익-계획vnd"/>
      <sheetName val="_x005f_x0000__x005f_x000e__x005f_x0000__x005f_x000f__x0009__x"/>
      <sheetName val="항목등록"/>
      <sheetName val="--"/>
      <sheetName val="GR1"/>
      <sheetName val="_"/>
      <sheetName val="첨부2"/>
      <sheetName val="경영비율_2"/>
      <sheetName val="04고객별_담당자2"/>
      <sheetName val="6_CF2"/>
      <sheetName val="청도_년도별_손익_(RMB)2"/>
      <sheetName val="첨부_지수현황상세2"/>
      <sheetName val="2_2_2_ROIC월별2"/>
      <sheetName val="산자사_운전용품2"/>
      <sheetName val="KPI_(QA)_20122"/>
      <sheetName val="10고객별_담당자2"/>
      <sheetName val="3-2__Claim_and_Complaint2"/>
      <sheetName val="01_12月_Lot별_판매실적_xls2"/>
      <sheetName val="Sheet3_(3)2"/>
      <sheetName val=" "/>
      <sheetName val="2-2_매출분석2"/>
      <sheetName val="DSN_Spec_2"/>
      <sheetName val="RT_Spec_2"/>
      <sheetName val="11고객별_담당자"/>
      <sheetName val="1_xls"/>
      <sheetName val="220_(2)"/>
      <sheetName val="중국수출_(업체별_국가별)"/>
      <sheetName val="3_1_1_제조비용년간"/>
      <sheetName val="원료구매"/>
      <sheetName val="2계열 H350"/>
      <sheetName val="2계열 H350 KPTG #14 15Y"/>
      <sheetName val="_1"/>
      <sheetName val="경영비율_3"/>
      <sheetName val="04고객별_담당자3"/>
      <sheetName val="6_CF3"/>
      <sheetName val="청도_년도별_손익_(RMB)3"/>
      <sheetName val="첨부_지수현황상세3"/>
      <sheetName val="2_2_2_ROIC월별3"/>
      <sheetName val="KPI_(QA)_20123"/>
      <sheetName val="10고객별_담당자3"/>
      <sheetName val="3-2__Claim_and_Complaint3"/>
      <sheetName val="01_12月_Lot별_판매실적_xls3"/>
      <sheetName val="산자사_운전용품3"/>
      <sheetName val="Sheet3_(3)3"/>
      <sheetName val="2-2_매출분석3"/>
      <sheetName val="DSN_Spec_3"/>
      <sheetName val="RT_Spec_3"/>
      <sheetName val="11고객별_담당자1"/>
      <sheetName val="1_xls1"/>
      <sheetName val="원97"/>
      <sheetName val="￠1.45-1124"/>
      <sheetName val="Ölçüleri"/>
      <sheetName val="1_03수익성대비표"/>
      <sheetName val="견적집계표"/>
      <sheetName val="대차"/>
      <sheetName val="경영비율_4"/>
      <sheetName val="04고객별_담당자4"/>
      <sheetName val="6_CF4"/>
      <sheetName val="청도_년도별_손익_(RMB)4"/>
      <sheetName val="첨부_지수현황상세4"/>
      <sheetName val="2_2_2_ROIC월별4"/>
      <sheetName val="KPI_(QA)_20124"/>
      <sheetName val="10고객별_담당자4"/>
      <sheetName val="집계"/>
      <sheetName val="[1.xls][1.xls]______P_H_S_e_652"/>
      <sheetName val="[1.xls][1.XLS]______P_H_S_e_650"/>
      <sheetName val="㰀 Ā ĀĀ"/>
      <sheetName val="㰀 Ā "/>
      <sheetName val="[1.xls][1.xls]______P_H_S_e_649"/>
      <sheetName val="[1.xls][1.xls]______P_H_S_e_642"/>
      <sheetName val="[1.xls][1.xls]______P_H_S_e_644"/>
      <sheetName val="단가대비표 (3)"/>
      <sheetName val="신심사"/>
      <sheetName val="건축개요"/>
      <sheetName val="10월판관"/>
      <sheetName val="합손"/>
      <sheetName val="sw1"/>
      <sheetName val="[1.xls][1.XLS]____석_P_H_S_exc_6"/>
      <sheetName val="A"/>
      <sheetName val="[1_xls][1_xls]__박_석_P_H_S_exc_2"/>
      <sheetName val="[1_xls][1_XLS]____석_P_H_S_exc_2"/>
      <sheetName val="[1_xls][1_xls]__박___P_H_S_exc_2"/>
      <sheetName val="[1_xls][1_XLS]__박_석_P_H_S_exc_3"/>
      <sheetName val="별표1"/>
      <sheetName val="노원열병합  건축공사기성내역서"/>
      <sheetName val="EQUIP LIST"/>
      <sheetName val="연돌일위집계"/>
      <sheetName val="[1.xls][1.xls]______P_H_S_e_638"/>
      <sheetName val="[1.xls][1.xls]______P_H_S_e_639"/>
      <sheetName val="[1.xls][1.xls]______P_H_S_e_636"/>
      <sheetName val="[1.xls][1.xls]______P_H_S_e_637"/>
      <sheetName val="[1.xls][1.xls]______P_H_S_e_641"/>
      <sheetName val="[1.xls][1.xls]______P_H_S_e_640"/>
      <sheetName val="[1.xls][1.xls]______P_H_S_e_643"/>
      <sheetName val="[1.xls][1.xls]______P_H_S_e_645"/>
      <sheetName val="[1.xls][1.xls]______P_H_S_e_646"/>
      <sheetName val="[1.xls][1.xls]______P_H_S_e_648"/>
      <sheetName val="[1.xls][1.xls]______P_H_S_e_647"/>
      <sheetName val="[1.xls][1.xls]______P_H_S_e_651"/>
      <sheetName val="[1.xls][1.xls]______P_H_S_e_655"/>
      <sheetName val="[1.xls][1.XLS]______P_H_S_e_653"/>
      <sheetName val="[1.xls][1.xls]______P_H_S_e_654"/>
      <sheetName val="[1.xls][1.xls]______P_H_S_e_657"/>
      <sheetName val="[1.xls][1.xls]______P_H_S_e_658"/>
      <sheetName val="[1.xls][1.xls]______P_H_S_e_656"/>
      <sheetName val="[1.xls][1.xls]______P_H_S_e_659"/>
      <sheetName val="[1.xls][1.XLS]______P_H_S_e_660"/>
      <sheetName val="[1.xls][1.xls]______P_H_S_e_666"/>
      <sheetName val="[1.xls][1.xls]______P_H_S_e_667"/>
      <sheetName val="[1.xls][1.xls]______P_H_S_e_663"/>
      <sheetName val="[1.xls][1.xls]______P_H_S_e_664"/>
      <sheetName val="[1.xls][1.xls]______P_H_S_e_665"/>
      <sheetName val="[1.xls][1.xls]______P_H_S_e_672"/>
      <sheetName val="[1.xls][1.xls]______P_H_S_e_668"/>
      <sheetName val="[1.xls][1.xls]______P_H_S_e_669"/>
      <sheetName val="[1.xls][1.xls]______P_H_S_e_670"/>
      <sheetName val="[1.xls][1.xls]______P_H_S_e_671"/>
      <sheetName val="[1.xls][1.xls]______P_H_S_e_673"/>
      <sheetName val="[1.xls][1.xls]______P_H_S_e_674"/>
      <sheetName val="[1.xls][1.xls]______P_H_S_e_675"/>
      <sheetName val="[1.xls][1.xls]______P_H_S_e_676"/>
      <sheetName val="[1.xls][1.xls]______P_H_S_e_678"/>
      <sheetName val="[1.xls][1.xls]______P_H_S_e_677"/>
      <sheetName val="[1.xls][1.xls]______P_H_S_e_699"/>
      <sheetName val="건물Main"/>
      <sheetName val="97년 SEACO예산"/>
      <sheetName val="96.12"/>
      <sheetName val="가로등내"/>
      <sheetName val="건축공사비내역서-아파트"/>
      <sheetName val="건축공사비내역서-기타시설"/>
      <sheetName val="매크로 보안수준 설명"/>
      <sheetName val="사용방법"/>
      <sheetName val="공급자정보"/>
      <sheetName val="AS접수관리"/>
      <sheetName val="AS접수카드"/>
      <sheetName val="도장비"/>
      <sheetName val="잡철물"/>
      <sheetName val="변경내역"/>
      <sheetName val="수량조서"/>
      <sheetName val="#1"/>
      <sheetName val="단가집"/>
      <sheetName val="㼕ༀ㔀"/>
      <sheetName val="총괄내역서"/>
      <sheetName val="nys"/>
      <sheetName val="실행표"/>
      <sheetName val="계림8구역내역서"/>
      <sheetName val="계림8구역-산출"/>
      <sheetName val="내역서(남악오룡1차)_자동제어"/>
      <sheetName val="내역서(남악오룡1차)-산출"/>
      <sheetName val="내역서(남악오룡2차)_자동제어"/>
      <sheetName val="내역서(남악오룡2차)_산출"/>
      <sheetName val="내역서_남악오룡3차"/>
      <sheetName val="내역서_남악오룡3차-산출"/>
      <sheetName val="계림8구역-산출 (2)"/>
      <sheetName val="내역을"/>
      <sheetName val="배수공 시멘트 및 골재량 산출"/>
      <sheetName val="[1.xls][1.xls]___희석_P_H_S_ex_11"/>
      <sheetName val="[1.xls][1.XLS]___희석_P_H_S_ex_10"/>
      <sheetName val="[1.xls][1.XLS]___희석_P_H_S_exc_9"/>
      <sheetName val="F요청서"/>
      <sheetName val="F변경사유"/>
      <sheetName val="원가계산서(공)"/>
      <sheetName val="F물량산출"/>
      <sheetName val="공사비증감비교표"/>
      <sheetName val="공사비 연습"/>
      <sheetName val="건축샘플"/>
      <sheetName val="물량증감표1"/>
      <sheetName val="공사비증감대비"/>
      <sheetName val="물가조사"/>
      <sheetName val="분배표"/>
      <sheetName val="토적표@"/>
      <sheetName val="운반집계표@"/>
      <sheetName val="이월수량@"/>
      <sheetName val="표토제거"/>
      <sheetName val="총흙깍기"/>
      <sheetName val="총흙쌓기"/>
      <sheetName val="산출내역 (1)"/>
      <sheetName val="과천MAIN"/>
      <sheetName val="[1.xls][1.xls]______P_H_S_e_680"/>
      <sheetName val="[1.xls][1.xls]______P_H_S_e_679"/>
      <sheetName val="[1.xls][1.xls]______P_H_S_e_681"/>
      <sheetName val="STAND20"/>
      <sheetName val="당진1,2호기전선관설치및접지4차공사내역서-을지"/>
      <sheetName val="시중노임(공사)"/>
      <sheetName val="[1.xls][1.xls]__박희__P_H_S_exc_9"/>
      <sheetName val="[1.xls][1.XLS]__박희__P_H_S_exc_8"/>
      <sheetName val="[1.xls][1.xls]______P_H_S_e_682"/>
      <sheetName val="[1.xls][1.xls]______P_H_S_e_683"/>
      <sheetName val="inter"/>
      <sheetName val="FACTOR"/>
      <sheetName val="3084"/>
      <sheetName val="[1.xls][1.xls]___희__P_H_S_ex_10"/>
      <sheetName val="[1.xls][1.xls]___희__P_H_S_exc_6"/>
      <sheetName val="[1.xls][1.xls]___희__P_H_S_exc_5"/>
      <sheetName val="[1.xls][1.xls]___희__P_H_S_exc_8"/>
      <sheetName val="[1.xls][1.xls]___희__P_H_S_exc_7"/>
      <sheetName val="[1.xls][1.xls]___희__P_H_S_exc_9"/>
      <sheetName val="[1.xls][1.xls]___희__P_H_S_ex_12"/>
      <sheetName val="[1.xls][1.xls]___희__P_H_S_ex_11"/>
      <sheetName val="[1.xls][1.xls]___희__P_H_S_ex_13"/>
      <sheetName val="[1.xls][1.xls]___희__P_H_S_ex_14"/>
      <sheetName val="[1.xls][1.xls]______P_H_S_e_693"/>
      <sheetName val="[1.xls][1.xls]______P_H_S_e_691"/>
      <sheetName val="[1.xls][1.xls]______P_H_S_e_684"/>
      <sheetName val="[1.xls][1.xls]______P_H_S_e_685"/>
      <sheetName val="[1.xls][1.xls]______P_H_S_e_687"/>
      <sheetName val="[1.xls][1.XLS]______P_H_S_e_686"/>
      <sheetName val="[1.xls][1.xls]______P_H_S_e_689"/>
      <sheetName val="[1.xls][1.xls]______P_H_S_e_690"/>
      <sheetName val="[1.xls][1.XLS]____석_P_H_S_ex_13"/>
      <sheetName val="[1.xls][1.XLS]____석_P_H_S_exc_7"/>
      <sheetName val="[1.xls][1.XLS]____석_P_H_S_exc_8"/>
      <sheetName val="[1.xls][1.XLS]____석_P_H_S_exc_9"/>
      <sheetName val="[1.xls][1.XLS]____석_P_H_S_ex_10"/>
      <sheetName val="[1.xls][1.xls]____석_P_H_S_ex_11"/>
      <sheetName val="[1.xls][1.xls]____석_P_H_S_ex_12"/>
      <sheetName val="[1.xls][1.xls]____석_P_H_S_ex_14"/>
      <sheetName val="[1.xls][1.xls]____석_P_H_S_ex_15"/>
      <sheetName val="[1.xls][1.xls]______P_H_S_e_688"/>
      <sheetName val="[1.xls][1.xls]______P_H_S_e_692"/>
      <sheetName val="[1.xls][1.xls]______P_H_S_e_694"/>
      <sheetName val="[1.xls][1.xls]______P_H_S_e_695"/>
      <sheetName val="[1.xls][1.xls]______P_H_S_e_696"/>
      <sheetName val="[1.xls][1.xls]______P_H_S_e_697"/>
      <sheetName val="재료집계"/>
      <sheetName val="[1.xls][1.xls]______P_H_S_e_698"/>
      <sheetName val="[1.xls][1.xls]______P_H_S_e_700"/>
      <sheetName val="[1.xls][1.xls]______P_H_S_e_701"/>
      <sheetName val="[1.xls][1.xls]______P_H_S_e_703"/>
      <sheetName val="[1.xls][1.xls]______P_H_S_e_702"/>
      <sheetName val="[1.xls][1.xls]______P_H_S_e_704"/>
      <sheetName val="[1.xls][1.xls]______P_H_S_e_705"/>
      <sheetName val="[1.xls][1.xls]______P_H_S_e_716"/>
      <sheetName val="[1.xls][1.xls]______P_H_S_e_717"/>
      <sheetName val="[1.xls][1.xls]______P_H_S_e_709"/>
      <sheetName val="[1.xls][1.xls]______P_H_S_e_707"/>
      <sheetName val="[1.xls][1.xls]______P_H_S_e_706"/>
      <sheetName val="[1.xls][1.xls]______P_H_S_e_708"/>
      <sheetName val="[1.xls][1.xls]______P_H_S_e_714"/>
      <sheetName val="[1.xls][1.xls]______P_H_S_e_715"/>
      <sheetName val="[1.xls][1.xls]______P_H_S_e_710"/>
      <sheetName val="[1.xls][1.xls]______P_H_S_e_711"/>
      <sheetName val="[1.xls][1.xls]______P_H_S_e_713"/>
      <sheetName val="[1.xls][1.xls]______P_H_S_e_712"/>
      <sheetName val="[1.xls][1.xls]______P_H_S_e_718"/>
      <sheetName val="[1.xls][1.xls]______P_H_S_e_731"/>
      <sheetName val="[1.xls][1.xls]______P_H_S_e_755"/>
      <sheetName val="[1.xls][1.xls]______P_H_S_e_719"/>
      <sheetName val="[1.xls][1.xls]______P_H_S_e_720"/>
      <sheetName val="[1.xls][1.xls]______P_H_S_e_721"/>
      <sheetName val="[1.xls][1.xls]______P_H_S_e_724"/>
      <sheetName val="[1.xls][1.xls]______P_H_S_e_722"/>
      <sheetName val="[1.xls][1.xls]______P_H_S_e_723"/>
      <sheetName val="[1.xls][1.xls]______P_H_S_e_726"/>
      <sheetName val="[1.xls][1.xls]______P_H_S_e_725"/>
      <sheetName val="[1.xls][1.xls]______P_H_S_e_727"/>
      <sheetName val="[1.xls][1.xls]______P_H_S_e_729"/>
      <sheetName val="[1.xls][1.xls]______P_H_S_e_728"/>
      <sheetName val="[1.xls][1.xls]______P_H_S_e_730"/>
      <sheetName val="[1.xls][1.xls]______P_H_S_e_777"/>
      <sheetName val="[1.xls][1.xls]______P_H_S_e_747"/>
      <sheetName val="[1.xls][1.xls]______P_H_S_e_733"/>
      <sheetName val="[1.xls][1.xls]______P_H_S_e_736"/>
      <sheetName val="[1.xls][1.xls]______P_H_S_e_732"/>
      <sheetName val="[1.xls][1.xls]______P_H_S_e_734"/>
      <sheetName val="[1.xls][1.xls]______P_H_S_e_735"/>
      <sheetName val="[1.xls][1.xls]______P_H_S_e_743"/>
      <sheetName val="[1.xls][1.xls]______P_H_S_e_742"/>
      <sheetName val="[1.xls][1.xls]______P_H_S_e_739"/>
      <sheetName val="[1.xls][1.xls]______P_H_S_e_737"/>
      <sheetName val="[1.xls][1.xls]______P_H_S_e_738"/>
      <sheetName val="[1.xls][1.xls]______P_H_S_e_740"/>
      <sheetName val="[1.xls][1.xls]______P_H_S_e_741"/>
      <sheetName val="[1.xls][1.xls]______P_H_S_e_748"/>
      <sheetName val="[1.xls][1.xls]______P_H_S_e_744"/>
      <sheetName val="[1.xls][1.xls]______P_H_S_e_745"/>
      <sheetName val="[1.xls][1.xls]______P_H_S_e_746"/>
      <sheetName val="[1.xls][1.xls]______P_H_S_e_749"/>
      <sheetName val="[1.xls][1.xls]______P_H_S_e_750"/>
      <sheetName val="[1.xls][1.xls]______P_H_S_e_751"/>
      <sheetName val="[1.xls][1.xls]______P_H_S_e_752"/>
      <sheetName val="전 기"/>
      <sheetName val="[1.xls][1.xls]______P_H_S_e_753"/>
      <sheetName val="[1.xls][1.xls]______P_H_S_e_754"/>
      <sheetName val="[1.xls][1.xls]______P_H_S_e_756"/>
      <sheetName val="[1.xls][1.xls]______P_H_S_e_774"/>
      <sheetName val="[1.xls][1.xls]______P_H_S_e_757"/>
      <sheetName val="[1.xls][1.xls]______P_H_S_e_758"/>
      <sheetName val="[1.xls][1.xls]______P_H_S_e_760"/>
      <sheetName val="[1.xls][1.xls]______P_H_S_e_768"/>
      <sheetName val="[1.xls][1.xls]______P_H_S_e_759"/>
      <sheetName val="[1.xls][1.xls]______P_H_S_e_765"/>
      <sheetName val="[1.xls][1.XLS]______P_H_S_e_762"/>
      <sheetName val="[1.xls][1.XLS]______P_H_S_e_761"/>
      <sheetName val="[1.xls][1.xls]______P_H_S_e_763"/>
      <sheetName val="[1.xls][1.xls]______P_H_S_e_764"/>
      <sheetName val="[1.xls][1.xls]______P_H_S_e_766"/>
      <sheetName val="[1.xls][1.xls]______P_H_S_e_771"/>
      <sheetName val="[1.xls][1.xls]______P_H_S_e_767"/>
      <sheetName val="[1.xls][1.xls]______P_H_S_e_770"/>
      <sheetName val="[1.xls][1.xls]______P_H_S_e_769"/>
      <sheetName val="[1.xls][1.xls]______P_H_S_e_772"/>
      <sheetName val="[1.xls][1.xls]______P_H_S_e_773"/>
      <sheetName val="[1.xls][1.xls]______P_H_S_e_775"/>
      <sheetName val="[1.xls][1.xls]______P_H_S_e_776"/>
      <sheetName val="노무비o_x0000_Ԁ"/>
      <sheetName val="[1.xls][1.xls]______P_H_S_e_779"/>
      <sheetName val="1.개デ࿤"/>
      <sheetName val="VXXXXXXXXXXXXXX"/>
      <sheetName val="지역열원조건"/>
      <sheetName val="부하계산"/>
      <sheetName val="EHP"/>
      <sheetName val="EHP장비"/>
      <sheetName val="난방부하"/>
      <sheetName val="냉방용량집계"/>
      <sheetName val="난방용량집계"/>
      <sheetName val="흡수식냉동기"/>
      <sheetName val="냉각탑"/>
      <sheetName val="열교환기선정"/>
      <sheetName val="연결열부하"/>
      <sheetName val="팬코일사양"/>
      <sheetName val="순환펌프선정"/>
      <sheetName val="냉수유량"/>
      <sheetName val="온수유량"/>
      <sheetName val="탱크"/>
      <sheetName val="부스타펌프"/>
      <sheetName val="기숙사부스타펌프"/>
      <sheetName val="팽창탱크"/>
      <sheetName val="급탕순환펌프"/>
      <sheetName val="Ⅴ.환기설비."/>
      <sheetName val="풍량집계표"/>
      <sheetName val="환기용송풍기"/>
      <sheetName val="팬선정"/>
      <sheetName val="정압"/>
      <sheetName val="주차장환기"/>
      <sheetName val="FU"/>
      <sheetName val="팬코일용량"/>
      <sheetName val="배수 (2)"/>
      <sheetName val="은대내역서"/>
      <sheetName val="[1.xls][1.xls]__박희석_P_H_S_ex_21"/>
      <sheetName val="[1.xls][1.xls]__박희석_P_H_S_ex_14"/>
      <sheetName val="[1.xls][1.xls]__박희석_P_H_S_ex_15"/>
      <sheetName val="[1.xls][1.xls]__박희석_P_H_S_ex_16"/>
      <sheetName val="[1.xls][1.xls]__박희석_P_H_S_ex_17"/>
      <sheetName val="[1.xls][1.xls]__박희석_P_H_S_ex_18"/>
      <sheetName val="[1.xls][1.xls]__박희석_P_H_S_ex_19"/>
      <sheetName val="[1.xls][1.xls]__박희석_P_H_S_ex_20"/>
      <sheetName val="0000000"/>
      <sheetName val="산출"/>
      <sheetName val="[1.xls][1.xls]______P_H_S_e_780"/>
      <sheetName val="[1.xls][1.xls]______P_H_S_e_778"/>
      <sheetName val="[1.xls][1.xls]______P_H_S_e_781"/>
      <sheetName val="[1.xls][1.xls]______P_H_S_e_782"/>
      <sheetName val="[1.xls][1.xls]______P_H_S_e_784"/>
      <sheetName val="[1.xls][1.xls]______P_H_S_e_783"/>
      <sheetName val="[1.xls][1.xls]______P_H_S_e_795"/>
      <sheetName val="[1.xls][1.xls]______P_H_S_e_793"/>
      <sheetName val="[1.xls][1.XLS]______P_H_S_e_792"/>
      <sheetName val="[1.xls][1.xls]______P_H_S_e_785"/>
      <sheetName val="[1.xls][1.xls]______P_H_S_e_786"/>
      <sheetName val="[1.xls][1.xls]______P_H_S_e_791"/>
      <sheetName val="[1.xls][1.xls]______P_H_S_e_787"/>
      <sheetName val="[1.xls][1.xls]______P_H_S_e_788"/>
      <sheetName val="[1.xls][1.xls]______P_H_S_e_789"/>
      <sheetName val="[1.xls][1.xls]______P_H_S_e_790"/>
      <sheetName val="[1.xls][1.xls]______P_H_S_e_794"/>
      <sheetName val="[1.xls][1.xls]______P_H_S_e_816"/>
      <sheetName val="[1.xls][1.xls]______P_H_S_e_813"/>
      <sheetName val="[1.xls][1.xls]______P_H_S_e_798"/>
      <sheetName val="[1.xls][1.xls]______P_H_S_e_799"/>
      <sheetName val="[1.xls][1.xls]______P_H_S_e_796"/>
      <sheetName val="[1.xls][1.xls]______P_H_S_e_797"/>
      <sheetName val="[1.xls][1.xls]______P_H_S_e_800"/>
      <sheetName val="[1.xls][1.xls]______P_H_S_e_801"/>
      <sheetName val="[1.xls][1.xls]______P_H_S_e_805"/>
      <sheetName val="[1.xls][1.xls]______P_H_S_e_803"/>
      <sheetName val="[1.xls][1.xls]______P_H_S_e_804"/>
      <sheetName val="[1.xls][1.xls]______P_H_S_e_802"/>
      <sheetName val="[1.xls][1.xls]______P_H_S_e_806"/>
      <sheetName val="[1.xls][1.xls]______P_H_S_e_807"/>
      <sheetName val="[1.xls][1.xls]______P_H_S_e_808"/>
      <sheetName val="[1.xls][1.xls]______P_H_S_e_809"/>
      <sheetName val="[1.xls][1.xls]______P_H_S_e_812"/>
      <sheetName val="[1.xls][1.xls]______P_H_S_e_811"/>
      <sheetName val="[1.xls][1.xls]______P_H_S_e_810"/>
      <sheetName val="[1.xls][1.xls]______P_H_S_e_822"/>
      <sheetName val="[1.xls][1.xls]______P_H_S_e_814"/>
      <sheetName val="[1.xls][1.xls]______P_H_S_e_815"/>
      <sheetName val="[1.xls][1.xls]______P_H_S_e_823"/>
      <sheetName val="[1.xls][1.xls]______P_H_S_e_819"/>
      <sheetName val="[1.xls][1.xls]______P_H_S_e_818"/>
      <sheetName val="[1.xls][1.xls]______P_H_S_e_817"/>
      <sheetName val="[1.xls][1.xls]______P_H_S_e_820"/>
      <sheetName val="[1.xls][1.xls]______P_H_S_e_821"/>
      <sheetName val="[1.xls][1.xls]______P_H_S_e_834"/>
      <sheetName val="[1.xls][1.xls]______P_H_S_e_844"/>
      <sheetName val="[1.xls][1.xls]______P_H_S_e_824"/>
      <sheetName val="[1.xls][1.xls]______P_H_S_e_825"/>
      <sheetName val="[1.xls][1.xls]______P_H_S_e_826"/>
      <sheetName val="[1.xls][1.xls]______P_H_S_e_827"/>
      <sheetName val="[1.xls][1.xls]______P_H_S_e_830"/>
      <sheetName val="[1.xls][1.xls]______P_H_S_e_828"/>
      <sheetName val="[1.xls][1.xls]______P_H_S_e_829"/>
      <sheetName val="[1.xls][1.xls]______P_H_S_e_831"/>
      <sheetName val="[1.xls][1.xls]______P_H_S_e_832"/>
      <sheetName val="[1.xls][1.xls]______P_H_S_e_833"/>
      <sheetName val="[1.xls][1.xls]______P_H_S_e_835"/>
      <sheetName val="[1.xls][1.xls]______P_H_S_e_836"/>
      <sheetName val="[1.xls][1.xls]______P_H_S_e_847"/>
      <sheetName val="인부노임"/>
      <sheetName val="2.재료비"/>
      <sheetName val="[1.xls][1.xls]______P_H_S_e_837"/>
      <sheetName val="[1.xls][1.xls]______P_H_S_e_838"/>
      <sheetName val="[1.xls][1.xls]______P_H_S_e_840"/>
      <sheetName val="[1.xls][1.xls]______P_H_S_e_839"/>
      <sheetName val="[1.xls][1.xls]______P_H_S_e_841"/>
      <sheetName val="[1.xls][1.xls]______P_H_S_e_842"/>
      <sheetName val="[1.xls][1.xls]______P_H_S_e_843"/>
      <sheetName val="[1.xls][1.xls]______P_H_S_e_846"/>
      <sheetName val="[1.xls][1.xls]______P_H_S_e_845"/>
      <sheetName val="[1.xls][1.xls]______P_H_S_e_848"/>
      <sheetName val="[1.xls][1.xls]______P_H_S_e_850"/>
      <sheetName val="[1.xls][1.xls]______P_H_S_e_849"/>
      <sheetName val="[1.xls][1.xls]______P_H_S_e_854"/>
      <sheetName val="[1.xls][1.XLS]______P_H_S_e_851"/>
      <sheetName val="[1.xls][1.xls]______P_H_S_e_852"/>
      <sheetName val="[1.xls][1.xls]______P_H_S_e_853"/>
      <sheetName val="[1.xls][1.xls]______P_H_S_e_855"/>
      <sheetName val="WELDING POINT 단가"/>
      <sheetName val="판넬"/>
      <sheetName val="마감산출"/>
      <sheetName val="철골"/>
      <sheetName val="[1.xls][1.xls]______P_H_S_e_869"/>
      <sheetName val="[1.xls][1.XLS]______P_H_S_e_868"/>
      <sheetName val="7.PILE  (돌출)"/>
      <sheetName val="BHANDUP"/>
      <sheetName val="[1.xls][1.xls]___희석_P_H_S_ex_12"/>
      <sheetName val="[1.xls][1.XLS]___________exc_44"/>
      <sheetName val="[1.xls][1.XLS]___________exc_45"/>
      <sheetName val="[1.xls][1.XLS]___________exc_47"/>
      <sheetName val="[1.xls][1.XLS]___________exc_46"/>
      <sheetName val="[1.xls][1.XLS]___________exc_54"/>
      <sheetName val="[1.xls][1.XLS]___________exc_48"/>
      <sheetName val="[1.xls][1.XLS]___________exc_49"/>
      <sheetName val="[1.xls][1.XLS]___________exc_50"/>
      <sheetName val="[1.xls][1.XLS]___________exc_51"/>
      <sheetName val="[1.xls][1.XLS]___________exc_52"/>
      <sheetName val="[1.xls][1.XLS]___________exc_53"/>
      <sheetName val="[1.xls][1.XLS]___________exc_55"/>
      <sheetName val="급ꟲﰰ"/>
      <sheetName val="[1.xls][1.xls]______P_H_S_e_862"/>
      <sheetName val="[1.xls][1.xls]______P_H_S_e_856"/>
      <sheetName val="[1.xls][1.xls]______P_H_S_e_859"/>
      <sheetName val="[1.xls][1.xls]______P_H_S_e_857"/>
      <sheetName val="[1.xls][1.xls]______P_H_S_e_858"/>
      <sheetName val="[1.xls][1.xls]______P_H_S_e_860"/>
      <sheetName val="[1.xls][1.xls]______P_H_S_e_866"/>
      <sheetName val="[1.xls][1.xls]______P_H_S_e_861"/>
      <sheetName val="[1.xls][1.xls]______P_H_S_e_863"/>
      <sheetName val="[1.xls][1.xls]______P_H_S_e_864"/>
      <sheetName val="[1.xls][1.xls]______P_H_S_e_865"/>
      <sheetName val="[1.xls][1.XLS]______P_H_S_e_867"/>
      <sheetName val="[1.xls][1.xls]______P_H_S_e_870"/>
      <sheetName val="[1.xls][1.xls]______P_H_S_e_871"/>
      <sheetName val="[1.xls][1.xls]______P_H_S_e_932"/>
      <sheetName val="[1.xls][1.XLS]______P_H_S_e_931"/>
      <sheetName val="[1.xls][1.xls]______P_H_S_e_930"/>
      <sheetName val="[1.xls][1.xls]______P_H_S_e_872"/>
      <sheetName val="[1.xls][1.xls]______P_H_S_e_876"/>
      <sheetName val="[1.xls][1.xls]______P_H_S_e_873"/>
      <sheetName val="[1.xls][1.xls]______P_H_S_e_874"/>
      <sheetName val="[1.xls][1.xls]______P_H_S_e_875"/>
      <sheetName val="[1.xls][1.xls]______P_H_S_e_879"/>
      <sheetName val="[1.xls][1.xls]______P_H_S_e_877"/>
      <sheetName val="[1.xls][1.xls]______P_H_S_e_880"/>
      <sheetName val="[1.xls][1.xls]______P_H_S_e_878"/>
      <sheetName val="[1.xls][1.xls]______P_H_S_e_882"/>
      <sheetName val="[1.xls][1.xls]______P_H_S_e_881"/>
      <sheetName val="[1.xls][1.xls]______P_H_S_e_883"/>
      <sheetName val="[1.xls][1.xls]______P_H_S_e_884"/>
      <sheetName val="[1.xls][1.xls]______P_H_S_e_885"/>
      <sheetName val="[1.xls][1.xls]______P_H_S_e_886"/>
      <sheetName val="[1.xls][1.xls]______P_H_S_e_888"/>
      <sheetName val="[1.xls][1.xls]______P_H_S_e_889"/>
      <sheetName val="[1.xls][1.xls]______P_H_S_e_887"/>
      <sheetName val="[1.xls][1.xls]______P_H_S_e_890"/>
      <sheetName val="[1.xls][1.xls]______P_H_S_e_891"/>
      <sheetName val="[1.xls][1.xls]______P_H_S_e_927"/>
      <sheetName val="[1.xls][1.xls]______P_H_S_e_925"/>
      <sheetName val="[1.xls][1.xls]______P_H_S_e_894"/>
      <sheetName val="[1.xls][1.xls]______P_H_S_e_895"/>
      <sheetName val="[1.xls][1.xls]______P_H_S_e_893"/>
      <sheetName val="[1.xls][1.xls]______P_H_S_e_892"/>
      <sheetName val="[1.xls][1.xls]______P_H_S_e_899"/>
      <sheetName val="[1.xls][1.xls]______P_H_S_e_901"/>
      <sheetName val="[1.xls][1.xls]______P_H_S_e_898"/>
      <sheetName val="[1.xls][1.xls]______P_H_S_e_896"/>
      <sheetName val="[1.xls][1.xls]______P_H_S_e_897"/>
      <sheetName val="[1.xls][1.xls]______P_H_S_e_904"/>
      <sheetName val="[1.xls][1.xls]______P_H_S_e_900"/>
      <sheetName val="[1.xls][1.xls]______P_H_S_e_905"/>
      <sheetName val="[1.xls][1.xls]______P_H_S_e_902"/>
      <sheetName val="[1.xls][1.xls]______P_H_S_e_903"/>
      <sheetName val="[1.xls][1.xls]______P_H_S_e_909"/>
      <sheetName val="[1.xls][1.xls]______P_H_S_e_910"/>
      <sheetName val="[1.xls][1.xls]______P_H_S_e_907"/>
      <sheetName val="[1.xls][1.xls]______P_H_S_e_906"/>
      <sheetName val="[1.xls][1.xls]______P_H_S_e_908"/>
      <sheetName val="[1.xls][1.xls]______P_H_S_e_911"/>
      <sheetName val="[1.xls][1.xls]______P_H_S_e_922"/>
      <sheetName val="[1.xls][1.xls]______P_H_S_e_923"/>
      <sheetName val="[1.xls][1.xls]______P_H_S_e_912"/>
      <sheetName val="[1.xls][1.xls]______P_H_S_e_915"/>
      <sheetName val="[1.xls][1.xls]______P_H_S_e_913"/>
      <sheetName val="[1.xls][1.xls]______P_H_S_e_914"/>
      <sheetName val="[1.xls][1.xls]______P_H_S_e_916"/>
      <sheetName val="[1.xls][1.xls]______P_H_S_e_918"/>
      <sheetName val="[1.xls][1.xls]______P_H_S_e_917"/>
      <sheetName val="[1.xls][1.xls]______P_H_S_e_919"/>
      <sheetName val="[1.xls][1.xls]______P_H_S_e_921"/>
      <sheetName val="[1.xls][1.xls]______P_H_S_e_920"/>
      <sheetName val="[1.xls][1.xls]______P_H_S_e_924"/>
      <sheetName val="[1.xls][1.XLS]______P_H_S_e_926"/>
      <sheetName val="[1.xls][1.xls]______P_H_S_e_928"/>
      <sheetName val="[1.xls][1.xls]______P_H_S_e_929"/>
      <sheetName val="[1.xls][1.xls]______P_H_S_e_933"/>
      <sheetName val="[1.xls][1.xls]______P_H_S_e_935"/>
      <sheetName val="[1.xls][1.xls]______P_H_S_e_934"/>
      <sheetName val="[1.xls][1.xls]______P_H_S_e_936"/>
      <sheetName val="[1.xls][1.xls]______P_H_S_e_940"/>
      <sheetName val="[1.xls][1.xls]______P_H_S_e_937"/>
      <sheetName val="[1.xls][1.xls]______P_H_S_e_938"/>
      <sheetName val="[1.xls][1.xls]______P_H_S_e_939"/>
      <sheetName val="[1.xls][1.xls]______P_H_S_e_942"/>
      <sheetName val="[1.xls][1.xls]______P_H_S_e_943"/>
      <sheetName val="[1.xls][1.xls]______P_H_S_e_941"/>
      <sheetName val="[1.xls][1.xls]______P_H_S_e_945"/>
      <sheetName val="[1.xls][1.xls]______P_H_S_e_944"/>
      <sheetName val="[1.xls][1.xls]______P_H_S_e_947"/>
      <sheetName val="[1.xls][1.xls]______P_H_S_e_948"/>
      <sheetName val="[1.xls][1.xls]______P_H_S_e_946"/>
      <sheetName val="[1.xls][1.xls]______P_H_S_e_961"/>
      <sheetName val="[1.xls][1.XLS]______P_H_S_e_960"/>
      <sheetName val="[1.xls][1.xls]______P_H_S_e_957"/>
      <sheetName val="목표세부명세"/>
      <sheetName val="[1.xls][1.xls]______P_H_S_e_952"/>
      <sheetName val="[1.xls][1.xls]______P_H_S_e_950"/>
      <sheetName val="[1.xls][1.xls]______P_H_S_e_949"/>
      <sheetName val="[1.xls][1.xls]______P_H_S_e_951"/>
      <sheetName val="[1.xls][1.xls]______P_H_S_e_956"/>
      <sheetName val="[1.xls][1.xls]______P_H_S_e_955"/>
      <sheetName val="[1.xls][1.xls]______P_H_S_e_954"/>
      <sheetName val="[1.xls][1.xls]______P_H_S_e_953"/>
      <sheetName val="[1.xls][1.xls]______P_H_S_e_958"/>
      <sheetName val="[1.xls][1.xls]______P_H_S_e_959"/>
      <sheetName val="[1.xls][1.xls]______P_H_S_e_962"/>
      <sheetName val="[1.xls][1.xls]______P_H_S_e_994"/>
      <sheetName val="[1.xls][1.xls]______P_H_S_e_995"/>
      <sheetName val="[1.xls][1.xls]______P_H_S_e_981"/>
      <sheetName val="부표"/>
      <sheetName val="장비종합부표"/>
      <sheetName val="건축기성"/>
      <sheetName val="[1.xls][1.xls]______P_H_S_e_963"/>
      <sheetName val="[1.xls][1.xls]______P_H_S_e_964"/>
      <sheetName val="[1.xls][1.xls]______P_H_S_e_967"/>
      <sheetName val="[1.xls][1.xls]______P_H_S_e_966"/>
      <sheetName val="[1.xls][1.xls]______P_H_S_e_965"/>
      <sheetName val="[1.xls][1.xls]______P_H_S_e_968"/>
      <sheetName val="[1.xls][1.xls]______P_H_S_e_969"/>
      <sheetName val="[1.xls][1.xls]______P_H_S_e_971"/>
      <sheetName val="[1.xls][1.xls]______P_H_S_e_970"/>
      <sheetName val="[1.xls][1.xls]______P_H_S_e_977"/>
      <sheetName val="[1.xls][1.xls]______P_H_S_e_978"/>
      <sheetName val="[1.xls][1.xls]______P_H_S_e_972"/>
      <sheetName val="[1.xls][1.xls]______P_H_S_e_973"/>
      <sheetName val="[1.xls][1.xls]______P_H_S_e_974"/>
      <sheetName val="[1.xls][1.xls]______P_H_S_e_975"/>
      <sheetName val="[1.xls][1.xls]______P_H_S_e_976"/>
      <sheetName val="[1.xls][1.xls]______P_H_S_e_979"/>
      <sheetName val="[1.xls][1.xls]______P_H_S_e_980"/>
      <sheetName val="[1.xls][1.xls]______P_H_S_e_982"/>
      <sheetName val="[1.xls][1.xls]______P_H_S_e_983"/>
      <sheetName val="[1.xls][1.xls]______P_H_S_e_985"/>
      <sheetName val="[1.xls][1.xls]______P_H_S_e_984"/>
      <sheetName val="[1.xls][1.xls]______P_H_S_e_986"/>
      <sheetName val="00건설추정대차대조표"/>
      <sheetName val="날개벽"/>
      <sheetName val="6동"/>
      <sheetName val="주방"/>
      <sheetName val="수량BOQ"/>
      <sheetName val="지장물C"/>
      <sheetName val="(4-2)열관류값-2"/>
      <sheetName val="표지(기계)"/>
      <sheetName val="공사설정"/>
      <sheetName val="토공사"/>
      <sheetName val="직종표"/>
      <sheetName val="낙찰표"/>
      <sheetName val="G2설비도급"/>
      <sheetName val="I一般比"/>
      <sheetName val="앨범표지"/>
      <sheetName val="2동전기"/>
      <sheetName val="견적"/>
      <sheetName val="[1.xls][1.xls]______P_H_S_e_987"/>
      <sheetName val="[1.xls][1.xls]______P_H_S_e_988"/>
      <sheetName val="4-3 (2)"/>
      <sheetName val="에너지동"/>
      <sheetName val="O-단가조사서"/>
      <sheetName val="경상비"/>
      <sheetName val="직원근무현황"/>
      <sheetName val="DATA입력"/>
      <sheetName val="급여TABLE"/>
      <sheetName val="집기손료"/>
      <sheetName val="집기류"/>
      <sheetName val="보할 "/>
      <sheetName val="현장조직표 "/>
      <sheetName val="Eastimate"/>
      <sheetName val="내역률노무비"/>
      <sheetName val="정릉견_x0000__x0000_"/>
      <sheetName val="내역서 (_x0000__x0000_"/>
      <sheetName val="표"/>
      <sheetName val="견적의뢰"/>
      <sheetName val="2-3.V.D일위"/>
      <sheetName val="[1.xls][1.xls]______P_H_S_e_993"/>
      <sheetName val="[1.xls][1.xls]______P_H_S_e_989"/>
      <sheetName val="[1.xls][1.xls]______P_H_S_e_990"/>
      <sheetName val="[1.xls][1.xls]______P_H_S_e_991"/>
      <sheetName val="[1.xls][1.xls]______P_H_S_e_992"/>
      <sheetName val="[1.xls][1.xls]______P_H_S_e_996"/>
      <sheetName val="[1.xls][1.xls]______P_H_S_e_997"/>
      <sheetName val="[1.xls][1.xls]______P_H_S_e_998"/>
      <sheetName val="[1.xls][1.xls]______P_H_S_e_999"/>
      <sheetName val="[1.xls][1.xls]______P_H_S__1013"/>
      <sheetName val="[1.xls][1.xls]______P_H_S__1014"/>
      <sheetName val="[1.xls][1.xls]______P_H_S__1002"/>
      <sheetName val="[1.xls][1.xls]______P_H_S__1000"/>
      <sheetName val="[1.xls][1.xls]______P_H_S__1001"/>
      <sheetName val="[1.xls][1.xls]______P_H_S__1003"/>
      <sheetName val="[1.xls][1.xls]______P_H_S__1005"/>
      <sheetName val="[1.xls][1.xls]______P_H_S__1004"/>
      <sheetName val="[1.xls][1.xls]______P_H_S__1007"/>
      <sheetName val="[1.xls][1.xls]______P_H_S__1008"/>
      <sheetName val="[1.xls][1.xls]______P_H_S__1006"/>
      <sheetName val="[1.xls][1.xls]______P_H_S__1010"/>
      <sheetName val="[1.xls][1.xls]______P_H_S__1009"/>
      <sheetName val="[1.xls][1.xls]______P_H_S__1011"/>
      <sheetName val="[1.xls][1.xls]______P_H_S__1012"/>
      <sheetName val="일위대가내역"/>
      <sheetName val="[1.xls][1.xls]__박희석_P_H_S_ex_22"/>
      <sheetName val="[1.xls][1.xls]______P_H_S__1016"/>
      <sheetName val="[1.xls][1.xls]______P_H_S__1015"/>
      <sheetName val="[1.xls][1.xls]______P_H_S__1018"/>
      <sheetName val="[1.xls][1.XLS]______P_H_S__1017"/>
      <sheetName val="[1.xls][1.xls]______P_H_S__1019"/>
      <sheetName val="[1.xls][1.xls]______P_H_S__1020"/>
      <sheetName val="[1.xls][1.xls]______P_H_S__1022"/>
      <sheetName val="[1.xls][1.xls]______P_H_S__1023"/>
      <sheetName val="[1.xls][1.xls]______P_H_S__1021"/>
      <sheetName val="[1.xls][1.xls]______P_H_S__1024"/>
      <sheetName val="[1.xls][1.xls]______P_H_S__1026"/>
      <sheetName val="[1.xls][1.xls]______P_H_S__1027"/>
      <sheetName val="[1.xls][1.xls]______P_H_S__1025"/>
      <sheetName val="소일위대가코드표"/>
      <sheetName val="경상직원"/>
      <sheetName val="투입(관수_건축)"/>
      <sheetName val="투입(APT500)"/>
      <sheetName val="투입(분당)"/>
      <sheetName val="작성지침서2)"/>
      <sheetName val="투입스케쥴양식"/>
      <sheetName val="투입(APT1200)"/>
      <sheetName val="투입(평촌)"/>
      <sheetName val="투입(APT1000)"/>
      <sheetName val="현금및현금등가물"/>
      <sheetName val="F4-F7"/>
      <sheetName val="수정시산표"/>
      <sheetName val="마사"/>
      <sheetName val="토목(대안)"/>
      <sheetName val="2000.11월설계내역"/>
      <sheetName val="[1.xls][1.xls]___희석_P_H_S_ex_14"/>
      <sheetName val="[1.xls][1.xls]___희석_P_H_S_ex_13"/>
      <sheetName val="[1.xls][1.XLS]___희__P_H_S_ex_17"/>
      <sheetName val="[1.xls][1.xls]___희__P_H_S_ex_15"/>
      <sheetName val="[1.xls][1.xls]___희__P_H_S_ex_16"/>
      <sheetName val="[1.xls][1.xls]___희__P_H_S_ex_18"/>
      <sheetName val="[1.xls][1.xls]___희__P_H_S_ex_20"/>
      <sheetName val="[1.xls][1.XLS]___희__P_H_S_ex_19"/>
      <sheetName val="[1.xls][1.xls]___희__P_H_S_ex_21"/>
      <sheetName val="Direct_MP_Updated1"/>
      <sheetName val="5월_평균일수1"/>
      <sheetName val="태화42_1"/>
      <sheetName val="BCA_INDEX1"/>
      <sheetName val="5_단면검토"/>
      <sheetName val="[1_xls][1_xls]__박_석_P_H_S_exc_4"/>
      <sheetName val="[1_xls][1_xls]__박_석_P_H_S_exc_7"/>
      <sheetName val="[1_xls][1_xls]__박_석_P_H_S_exc_5"/>
      <sheetName val="[1_xls][1_xls]__박_석_P_H_S_exc_6"/>
      <sheetName val="폴리머_배수로"/>
      <sheetName val="폴리머_집수정"/>
      <sheetName val="에너지성능지표검토서(기계,_전기,_신재생)(3~5면)"/>
      <sheetName val="[1_xls]\\박희석\P_H_S\excel\1_XLS"/>
      <sheetName val="[1_xls][1_xls]______C______99_9"/>
      <sheetName val="[1_xls][1_xls]______C______9_10"/>
      <sheetName val="[1_xls][1_xls]___희석_P_H_S_exc_3"/>
      <sheetName val="[1_xls][1_XLS]___희석_P_H_S_exc_2"/>
      <sheetName val="[1_xls][1_xls]______P_H_S_ex_93"/>
      <sheetName val="[1_xls][1_xls]______P_H_S_ex_92"/>
      <sheetName val="[1_xls][1_xls]______P_H_S_ex_95"/>
      <sheetName val="[1_xls][1_xls]______P_H_S_ex_94"/>
      <sheetName val="[1_xls][1_xls]______P_H_S_ex_99"/>
      <sheetName val="[1_xls][1_xls]______P_H_S_ex_96"/>
      <sheetName val="[1_xls][1_xls]______P_H_S_ex_97"/>
      <sheetName val="[1_xls][1_xls]______P_H_S_ex_98"/>
      <sheetName val="[1_xls][1_xls]______P_H_S_e_107"/>
      <sheetName val="[1_xls][1_XLS]______P_H_S_e_100"/>
      <sheetName val="[1_xls][1_xls]______P_H_S_e_101"/>
      <sheetName val="[1_xls][1_xls]______P_H_S_e_102"/>
      <sheetName val="[1_xls][1_xls]______P_H_S_e_103"/>
      <sheetName val="[1_xls][1_xls]______P_H_S_e_104"/>
      <sheetName val="[1_xls][1_xls]______P_H_S_e_105"/>
      <sheetName val="[1_xls][1_xls]______P_H_S_e_106"/>
      <sheetName val="[1_xls][1_xls]______P_H_S_e_108"/>
      <sheetName val="[1_xls][1_xls]______P_H_S_e_109"/>
      <sheetName val="[1_xls][1_xls]______P_H_S_e_110"/>
      <sheetName val="[1_xls][1_xls]______P_H_S_e_112"/>
      <sheetName val="[1_xls][1_XLS]______P_H_S_e_111"/>
      <sheetName val="[1_xls][1_xls]______P_H_S_e_113"/>
      <sheetName val="[1_xls][1_xls]______P_H_S_e_114"/>
      <sheetName val="[1_xls][1_XLS]______P_H_S_e_119"/>
      <sheetName val="[1_xls][1_xls]______P_H_S_e_116"/>
      <sheetName val="[1_xls][1_xls]______P_H_S_e_117"/>
      <sheetName val="[1_xls][1_xls]______P_H_S_e_115"/>
      <sheetName val="[1_xls][1_xls]______P_H_S_e_118"/>
      <sheetName val="[1_xls][1_xls]______P_H_S_e_140"/>
      <sheetName val="[1_xls][1_xls]______P_H_S_e_134"/>
      <sheetName val="[1_xls][1_xls]______P_H_S_e_133"/>
      <sheetName val="[1_xls][1_xls]______P_H_S_e_121"/>
      <sheetName val="[1_xls][1_xls]______P_H_S_e_120"/>
      <sheetName val="[1_xls][1_xls]______P_H_S_e_123"/>
      <sheetName val="[1_xls][1_XLS]______P_H_S_e_122"/>
      <sheetName val="[1_xls][1_xls]______P_H_S_e_128"/>
      <sheetName val="[1_xls][1_XLS]______P_H_S_e_125"/>
      <sheetName val="[1_xls][1_xls]______P_H_S_e_124"/>
      <sheetName val="[1_xls][1_xls]______P_H_S_e_127"/>
      <sheetName val="[1_xls][1_xls]______P_H_S_e_126"/>
      <sheetName val="[1_xls][1_xls]______P_H_S_e_129"/>
      <sheetName val="[1_xls][1_xls]______P_H_S_e_131"/>
      <sheetName val="[1_xls][1_xls]______P_H_S_e_130"/>
      <sheetName val="[1_xls][1_xls]______P_H_S_e_132"/>
      <sheetName val="[1_xls][1_xls]______P_H_S_e_135"/>
      <sheetName val="[1_xls][1_xls]______P_H_S_e_136"/>
      <sheetName val="[1_xls][1_xls]______P_H_S_e_137"/>
      <sheetName val="[1_xls][1_xls]______P_H_S_e_138"/>
      <sheetName val="[1_xls][1_xls]______P_H_S_e_139"/>
      <sheetName val="[1_xls][1_xls]______P_H_S_e_150"/>
      <sheetName val="[1_xls][1_XLS]______P_H_S_e_149"/>
      <sheetName val="[1_xls][1_XLS]______P_H_S_e_141"/>
      <sheetName val="[1_xls][1_XLS]______P_H_S_e_142"/>
      <sheetName val="[1_xls][1_XLS]______P_H_S_e_143"/>
      <sheetName val="[1_xls][1_xls]______P_H_S_e_146"/>
      <sheetName val="[1_xls][1_xls]______P_H_S_e_144"/>
      <sheetName val="[1_xls][1_xls]______P_H_S_e_145"/>
      <sheetName val="[1_xls][1_XLS]______P_H_S_e_147"/>
      <sheetName val="[1_xls][1_XLS]______P_H_S_e_148"/>
      <sheetName val="[1_xls][1_xls]______P_H_S_e_154"/>
      <sheetName val="[1_xls][1_xls]______P_H_S_e_151"/>
      <sheetName val="[1_xls][1_xls]______P_H_S_e_159"/>
      <sheetName val="[1_xls][1_xls]______P_H_S_e_152"/>
      <sheetName val="[1_xls][1_xls]______P_H_S_e_153"/>
      <sheetName val="[1_xls][1_xls]______P_H_S_e_160"/>
      <sheetName val="[1_xls][1_xls]______P_H_S_e_155"/>
      <sheetName val="[1_xls][1_xls]______P_H_S_e_157"/>
      <sheetName val="[1_xls][1_xls]______P_H_S_e_156"/>
      <sheetName val="[1_xls][1_xls]______P_H_S_e_158"/>
      <sheetName val="[1_xls][1_xls]______P_H_S_e_161"/>
      <sheetName val="[1_xls][1_xls]______P_H_S_e_165"/>
      <sheetName val="[1_xls][1_XLS]______P_H_S_e_164"/>
      <sheetName val="[1_xls][1_xls]______P_H_S_e_162"/>
      <sheetName val="[1_xls][1_XLS]______P_H_S_e_163"/>
      <sheetName val="[1_xls][1_xls]___희__P_H_S_exc_4"/>
      <sheetName val="[1_xls][1_xls]___희__P_H_S_exc_3"/>
      <sheetName val="[1_xls][1_xls]___희__P_H_S_exc_2"/>
      <sheetName val="\\박희석\P_H_S\excel\1_XLS"/>
      <sheetName val="[1_xls][1_xls]__박_석_P_H_S_exc_8"/>
      <sheetName val="[1_xls][1_xls]__박_석_P_H_S_ex_10"/>
      <sheetName val="[1_xls][1_XLS]__박_석_P_H_S_exc_9"/>
      <sheetName val="[1_xls][1_xls]__박_석_P_H_S_ex_11"/>
      <sheetName val="[1_xls][1_xls]__박_석_P_H_S_ex_13"/>
      <sheetName val="[1_xls][1_XLS]__박_석_P_H_S_ex_12"/>
      <sheetName val="[1_xls][1_xls]__박_석_P_H_S_ex_14"/>
      <sheetName val="[1_xls][1_xls]__박_석_P_H_S_ex_15"/>
      <sheetName val="[1_xls][1_xls]__박_석_P_H_S_ex_17"/>
      <sheetName val="[1_xls][1_XLS]__박_석_P_H_S_ex_16"/>
      <sheetName val="[1_xls][1_xls]__박희__P_H_S_exc_2"/>
      <sheetName val="4_2유효폭의_계산"/>
      <sheetName val="[1_xls][1_xls]______P_H_S_e_166"/>
      <sheetName val="[1_xls][1_xls]______P_H_S_e_167"/>
      <sheetName val="_표준양식_-_파일산출서_xlsx"/>
      <sheetName val="[1.xls][1.xls]__박_석_P_H_S_ex_18"/>
      <sheetName val="[1.xls][1.xls]__박_석_P_H_S_ex_19"/>
      <sheetName val="[1.xls][1.xls]______P_H_S__1028"/>
      <sheetName val="[1.xls][1.xls]______P_H_S__1030"/>
      <sheetName val="[1.xls][1.xls]______P_H_S__1031"/>
      <sheetName val="[1.xls][1.xls]______P_H_S__1029"/>
      <sheetName val="[1.xls][1.xls]______P_H_S__1032"/>
      <sheetName val="[1.xls][1.xls]______P_H_S__1033"/>
      <sheetName val="[1.xls][1.xls]______P_H_S__1034"/>
      <sheetName val="[1.xls][1.xls]______P_H_S__1039"/>
      <sheetName val="[1.xls][1.xls]______P_H_S__1035"/>
      <sheetName val="[1.xls][1.xls]______P_H_S__1036"/>
      <sheetName val="[1.xls][1.xls]______P_H_S__1037"/>
      <sheetName val="[1.xls][1.xls]______P_H_S__1038"/>
      <sheetName val="[1.xls][1.xls]______P_H_S__1040"/>
      <sheetName val="[1.xls][1.xls]______P_H_S__1041"/>
      <sheetName val="[1.xls][1.xls]______P_H_S__1042"/>
      <sheetName val="[1.xls][1.xls]______P_H_S__1057"/>
      <sheetName val="TEL"/>
      <sheetName val="영동(D)"/>
      <sheetName val="경율산정.XLS"/>
      <sheetName val="Raw Data"/>
      <sheetName val="장기미처리(센터)"/>
      <sheetName val="장기미처리(업체)"/>
      <sheetName val="세동별비상"/>
      <sheetName val="TV"/>
      <sheetName val="단면 (2)"/>
      <sheetName val="아°_x0000__x0000_"/>
      <sheetName val="[1.xls][1.xls]______P_H_S__1054"/>
      <sheetName val="[1.xls][1.xls]______P_H_S__1043"/>
      <sheetName val="Bill1__Block_2_-_KC_mong"/>
      <sheetName val="Elemental_Breakdown+20%"/>
      <sheetName val="K2_(K2M)_(K2A)"/>
      <sheetName val="Bill_01_-_CTN"/>
      <sheetName val="노원열병합__건축공사기성내역서"/>
      <sheetName val="6MONTHS"/>
      <sheetName val="[1.xls][1.xls]______P_H_S__1044"/>
      <sheetName val="[1.xls][1.xls]______P_H_S__1046"/>
      <sheetName val="[1.xls][1.xls]______P_H_S__1047"/>
      <sheetName val="[1.xls][1.xls]______P_H_S__1045"/>
      <sheetName val="[1.xls][1.xls]______P_H_S__1048"/>
      <sheetName val="[1.xls][1.xls]______P_H_S__1049"/>
      <sheetName val="[1.xls][1.xls]______P_H_S__1050"/>
      <sheetName val="[1.xls][1.xls]______P_H_S__1051"/>
      <sheetName val="4.포장집계"/>
      <sheetName val="예상공사비 (2)"/>
      <sheetName val="공사비 내역 (가)"/>
      <sheetName val="SILICATE"/>
      <sheetName val="建筑定额 (2002)"/>
      <sheetName val="전기 BM_revA('090624).xls"/>
      <sheetName val="조경공사 (2)"/>
      <sheetName val="조경공사"/>
      <sheetName val="식재부대공사"/>
      <sheetName val="유지관리공사"/>
      <sheetName val="견적을지"/>
      <sheetName val="targetdcf"/>
      <sheetName val="하대지실"/>
      <sheetName val="17.공량(CCTV설비공사)"/>
      <sheetName val="내역서01"/>
      <sheetName val="매입세율"/>
      <sheetName val="(입력)기본정보"/>
      <sheetName val="(자동)재무계획_산출"/>
      <sheetName val="[1.xls][1.xls]______P_H_S__1052"/>
      <sheetName val="[1.xls][1.xls]______P_H_S__1053"/>
      <sheetName val="[1.xls][1.xls]______P_H_S__1055"/>
      <sheetName val="[1.xls][1.xls]______P_H_S__1056"/>
      <sheetName val="[1.xls][1.xls]______P_H_S__1058"/>
      <sheetName val="[1.xls][1.xls]______P_H_S__1062"/>
      <sheetName val="[1.xls][1.xls]______P_H_S__1063"/>
      <sheetName val="[1.xls][1.xls]______P_H_S__1059"/>
      <sheetName val="[1.xls][1.xls]______P_H_S__1060"/>
      <sheetName val="[1.xls][1.xls]______P_H_S__1061"/>
      <sheetName val="[1.xls][1.xls]______P_H_S__1065"/>
      <sheetName val="[1.xls][1.xls]______P_H_S__1064"/>
      <sheetName val="[1.xls][1.xls]______P_H_S__1066"/>
      <sheetName val="[1.xls][1.xls]______P_H_S__1071"/>
      <sheetName val="[1.xls][1.xls]______P_H_S__1068"/>
      <sheetName val="[1.xls][1.xls]______P_H_S__1070"/>
      <sheetName val="[1.xls][1.xls]______P_H_S__1067"/>
      <sheetName val="[1.xls][1.xls]______P_H_S__1069"/>
      <sheetName val="[1.xls][1.xls]______P_H_S__1072"/>
      <sheetName val="[1.xls][1.xls]______P_H_S__1074"/>
      <sheetName val="[1.xls][1.xls]______P_H_S__1078"/>
      <sheetName val="[1.xls][1.xls]______P_H_S__1073"/>
      <sheetName val="물가연동제"/>
      <sheetName val="[1.xls][1.xls]______P_H_S__1076"/>
      <sheetName val="[1.xls][1.xls]______P_H_S__1075"/>
      <sheetName val="[1.xls][1.xls]______P_H_S__1077"/>
      <sheetName val="[1.xls][1.xls]______P_H_S__1080"/>
      <sheetName val="[1.xls][1.xls]______P_H_S__1079"/>
      <sheetName val="[1.xls][1.xls]______P_H_S__1081"/>
      <sheetName val="[1.xls][1.xls]______P_H_S__1090"/>
      <sheetName val="[1.xls][1.xls]______P_H_S__1091"/>
      <sheetName val="[1.xls][1.xls]______P_H_S__1084"/>
      <sheetName val="[1.xls][1.xls]______P_H_S__1083"/>
      <sheetName val="[1.xls][1.xls]______P_H_S__1082"/>
      <sheetName val="[1.xls][1.xls]______P_H_S__1085"/>
      <sheetName val="[1.xls][1.xls]______P_H_S__1086"/>
      <sheetName val="[1.xls][1.xls]______P_H_S__1087"/>
      <sheetName val="[1.xls][1.xls]______P_H_S__1088"/>
      <sheetName val="[1.xls][1.xls]______P_H_S__1089"/>
      <sheetName val="[1.xls][1.xls]______P_H_S__1092"/>
      <sheetName val="[1.xls][1.xls]______P_H_S__1096"/>
      <sheetName val="[1.xls][1.xls]______P_H_S__1094"/>
      <sheetName val="[1.xls][1.xls]______P_H_S__1093"/>
      <sheetName val="[1.xls][1.xls]______P_H_S__1097"/>
      <sheetName val="[1.xls][1.xls]______P_H_S__1095"/>
      <sheetName val="[1.xls][1.xls]______P_H_S__1098"/>
      <sheetName val="[1.xls][1.xls]______P_H_S__1100"/>
      <sheetName val="[1.xls][1.xls]______P_H_S__1099"/>
      <sheetName val="[1.xls][1.xls]______P_H_S__1104"/>
      <sheetName val="[1.xls][1.xls]______P_H_S__1101"/>
      <sheetName val="[1.xls][1.xls]______P_H_S__1102"/>
      <sheetName val="[1.xls][1.xls]______P_H_S__1103"/>
      <sheetName val="[1.xls][1.xls]______P_H_S__1118"/>
      <sheetName val="[1.xls][1.XLS]______P_H_S__1117"/>
      <sheetName val="[1.xls][1.xls]______P_H_S__1112"/>
      <sheetName val="[1.xls][1.XLS]______P_H_S__1105"/>
      <sheetName val="[1.xls][1.xls]______P_H_S__1113"/>
      <sheetName val="[1.xls][1.xls]______P_H_S__1106"/>
      <sheetName val="RESOURCE"/>
      <sheetName val="저수조"/>
      <sheetName val="내역(중앙)"/>
      <sheetName val="내역(창신)"/>
      <sheetName val="건축-물가변동"/>
      <sheetName val="현장관리비세부내역 "/>
      <sheetName val="BQ"/>
      <sheetName val="CABdata"/>
      <sheetName val="[1.xls][1.XLS]______P_H_S__1107"/>
      <sheetName val="[1.xls][1.xls]______P_H_S__1108"/>
      <sheetName val="[1.xls][1.xls]______P_H_S__1109"/>
      <sheetName val="[1.xls][1.XLS]______P_H_S__1111"/>
      <sheetName val="[1.xls][1.XLS]______P_H_S__1110"/>
      <sheetName val="[1.xls][1.xls]______P_H_S__1116"/>
      <sheetName val="[1.xls][1.xls]______P_H_S__1115"/>
      <sheetName val="[1.xls][1.xls]______P_H_S__1114"/>
      <sheetName val="T형( 파일기초) 공현1교"/>
      <sheetName val="TOT"/>
      <sheetName val="[1.xls][1.xls]______P_H_S__1120"/>
      <sheetName val="[1.xls][1.XLS]______P_H_S__1119"/>
      <sheetName val="[1.xls][1.xls]______P_H_S__1121"/>
      <sheetName val="[1.xls][1.xls]______P_H_S__1122"/>
      <sheetName val="[1.xls][1.xls]______P_H_S__1126"/>
      <sheetName val="[1.xls][1.xls]______P_H_S__1124"/>
      <sheetName val="[1.xls][1.xls]______P_H_S__1123"/>
      <sheetName val="[1.xls][1.xls]______P_H_S__1125"/>
      <sheetName val="[1.xls][1.xls]______P_H_S__1127"/>
      <sheetName val="[1.xls][1.XLS]___________exc_56"/>
      <sheetName val="[1.xls][1.xls]______P_H_S__1130"/>
      <sheetName val="[1.xls][1.xls]______P_H_S__1129"/>
      <sheetName val="[1.xls][1.xls]______P_H_S__1128"/>
      <sheetName val="[1.xls][1.xls]______P_H_S__1131"/>
      <sheetName val="[1.xls][1.xls]______P_H_S__1132"/>
      <sheetName val="[1.xls][1.xls]______P_H_S__1138"/>
      <sheetName val="[1.xls][1.XLS]______P_H_S__1137"/>
      <sheetName val="[1.xls][1.xls]______P_H_S__1136"/>
      <sheetName val="[1.xls][1.xls]______P_H_S__1134"/>
      <sheetName val="[1.xls][1.xls]______P_H_S__1133"/>
      <sheetName val="[1.xls][1.xls]______P_H_S__1135"/>
      <sheetName val="23.하중"/>
      <sheetName val="4.조합"/>
      <sheetName val="5.COPING(하중산정)"/>
      <sheetName val="A-일반휨검토"/>
      <sheetName val="A-코벨검토)"/>
      <sheetName val="B-코벨검토)"/>
      <sheetName val="C-코벨검토)"/>
      <sheetName val="5.COPING(균열)"/>
      <sheetName val="5.COPING(수평력검토)"/>
      <sheetName val="6.안정(1)"/>
      <sheetName val="6.안정(2)"/>
      <sheetName val="7.기둥(1)"/>
      <sheetName val="7.기둥(2)"/>
      <sheetName val="7.기둥(3)"/>
      <sheetName val="7.기둥(6)"/>
      <sheetName val="7.기둥횡방향구속철근"/>
      <sheetName val="7.기둥(5)-이번계산에서는 제외함"/>
      <sheetName val="8.기초(1)"/>
      <sheetName val="8.기초(2)"/>
      <sheetName val="8.기초(3)"/>
      <sheetName val="9.강체"/>
      <sheetName val="설계조건및안정검토"/>
      <sheetName val="철근량"/>
      <sheetName val="BOX"/>
      <sheetName val="안정계산"/>
      <sheetName val="날개벽(TYPE1)"/>
      <sheetName val="[1.xls][1.xls]______P_H_S__1140"/>
      <sheetName val="[1.xls][1.xls]______P_H_S__1139"/>
      <sheetName val="[1.xls][1.xls]______P_H_S__1142"/>
      <sheetName val="[1.xls][1.xls]______P_H_S__1141"/>
      <sheetName val="[1.xls][1.xls]______P_H_S__1145"/>
      <sheetName val="[1.xls][1.xls]______P_H_S__1143"/>
      <sheetName val="[1.xls][1.XLS]______P_H_S__1144"/>
      <sheetName val="[1.xls][1.xls]______P_H_S__1147"/>
      <sheetName val="[1.xls][1.xls]______P_H_S__1146"/>
      <sheetName val="[1.xls][1.xls]______P_H_S__1148"/>
      <sheetName val="[1.xls][1.xls]______P_H_S__1150"/>
      <sheetName val="[1.xls][1.xls]______P_H_S__1149"/>
      <sheetName val="[1.xls][1.xls]______P_H_S__1155"/>
      <sheetName val="중동공구"/>
      <sheetName val="[1.xls][1.xls]______P_H_S__1156"/>
      <sheetName val="[1.xls][1.xls]______P_H_S__1151"/>
      <sheetName val="[1.xls][1.XLS]______P_H_S__1152"/>
      <sheetName val="[1.xls][1.xls]______P_H_S__1153"/>
      <sheetName val="[1.xls][1.xls]______P_H_S__1154"/>
      <sheetName val="[1.xls][1.xls]______P_H_S__1157"/>
      <sheetName val="[1.xls][1.xls]______P_H_S__1158"/>
      <sheetName val="[1.xls][1.xls]______P_H_S__1159"/>
      <sheetName val="[1.xls][1.xls]______P_H_S__1160"/>
      <sheetName val="7단가"/>
      <sheetName val="총수량집계표"/>
      <sheetName val="잔수량(작성)"/>
      <sheetName val="[1.xls][1.xls]______P_H_S__1162"/>
      <sheetName val="[1.xls][1.xls]______P_H_S__1161"/>
      <sheetName val="결재갑지"/>
      <sheetName val="[1.xls][1.xls]______P_H_S__1163"/>
      <sheetName val="[1.xls][1.xls]______P_H_S__1164"/>
      <sheetName val="[1.xls][1.xls]______P_H_S__1169"/>
      <sheetName val="[1.xls][1.XLS]______P_H_S__1168"/>
      <sheetName val="[1.xls][1.xls]______P_H_S__1166"/>
      <sheetName val="[1.xls][1.xls]______P_H_S__1165"/>
      <sheetName val="[1.xls][1.XLS]______P_H_S__1167"/>
      <sheetName val="[1.xls][1.xls]______P_H_S__1171"/>
      <sheetName val="[1.xls][1.xls]______P_H_S__1170"/>
      <sheetName val="[1.xls][1.xls]______P_H_S__1172"/>
      <sheetName val="1_공통가설1"/>
      <sheetName val="[1_xls][1_xls]______P_H_S_e_169"/>
      <sheetName val="[1_xls][1_XLS]______P_H_S_e_168"/>
      <sheetName val="[1_xls][1_xls]______P_H_S_e_170"/>
      <sheetName val="[1_xls][1_xls]______P_H_S_e_171"/>
      <sheetName val="[1_xls][1_XLS]______P_H_S_e_172"/>
      <sheetName val="[1_xls][1_xls]__박희__P_H_S_exc_4"/>
      <sheetName val="[1_xls][1_XLS]__박희__P_H_S_exc_3"/>
      <sheetName val="[1_xls][1_xls]__박희__P_H_S_exc_6"/>
      <sheetName val="[1_xls][1_XLS]__박희__P_H_S_exc_5"/>
      <sheetName val="[1_xls][1_xls]______P_H_S_e_179"/>
      <sheetName val="[1_xls][1_XLS]______P_H_S_e_177"/>
      <sheetName val="[1_xls][1_xls]______P_H_S_e_174"/>
      <sheetName val="[1_xls][1_XLS]______P_H_S_e_173"/>
      <sheetName val="[1_xls][1_xls]______P_H_S_e_176"/>
      <sheetName val="[1_xls][1_XLS]______P_H_S_e_175"/>
      <sheetName val="[1_xls][1_xls]______P_H_S_e_178"/>
      <sheetName val="[1_xls][1_xls]______P_H_S_e_187"/>
      <sheetName val="[1_xls][1_xls]______P_H_S_e_184"/>
      <sheetName val="[1_xls][1_xls]______P_H_S_e_181"/>
      <sheetName val="[1_xls][1_xls]______P_H_S_e_180"/>
      <sheetName val="[1_xls][1_xls]______P_H_S_e_182"/>
      <sheetName val="[1_xls][1_xls]______P_H_S_e_183"/>
      <sheetName val="[1_xls][1_xls]______P_H_S_e_185"/>
      <sheetName val="[1_xls][1_xls]______P_H_S_e_186"/>
      <sheetName val="D8_underpass_WP-D592"/>
      <sheetName val="D10_"/>
      <sheetName val="WP-SN01-01_&amp;_02"/>
      <sheetName val="[1_xls][1_XLS]______P_H_S_e_188"/>
      <sheetName val="[1_xls][1_xls]______P_H_S_e_189"/>
      <sheetName val="[1_xls][1_xls]______P_H_S_e_190"/>
      <sheetName val="[1_xls][1_XLS]__박희석_P_H_S_exc_4"/>
      <sheetName val="[1_xls][1_xls]__박희석_P_H_S_exc_3"/>
      <sheetName val="[1_xls][1_XLS]__박희석_P_H_S_exc_2"/>
      <sheetName val="피보험자명세(럭키확정분)"/>
      <sheetName val="전신전화가입권"/>
      <sheetName val="외상매출금현황-수정분 A2"/>
      <sheetName val="[1.xls][1.xls]______P_H_S__1174"/>
      <sheetName val="[1.xls][1.xls]______P_H_S__1173"/>
      <sheetName val="[1.xls][1.xls]______P_H_S__1175"/>
      <sheetName val="[1.xls][1.xls]______P_H_S__1176"/>
      <sheetName val="[1.xls][1.xls]______P_H_S__1179"/>
      <sheetName val="[1.xls][1.xls]______P_H_S__1180"/>
      <sheetName val="[1.xls][1.xls]______P_H_S__1177"/>
      <sheetName val="[1.xls][1.xls]______P_H_S__1178"/>
      <sheetName val="[1.xls][1.xls]______P_H_S__1181"/>
      <sheetName val="[1.xls][1.xls]______P_H_S__1184"/>
      <sheetName val="[1.xls][1.xls]______P_H_S__1185"/>
      <sheetName val="[1.xls][1.xls]______P_H_S__1182"/>
      <sheetName val="[1.xls][1.xls]______P_H_S__1183"/>
      <sheetName val="노무비o"/>
      <sheetName val="[1.xls][1.xls]______P_H_S__1197"/>
      <sheetName val="[1.xls][1.xls]______P_H_S__1186"/>
      <sheetName val="[1.xls][1.xls]______P_H_S__1187"/>
      <sheetName val="[1.xls][1.xls]______P_H_S__1193"/>
      <sheetName val="[1.xls][1.xls]______P_H_S__1194"/>
      <sheetName val="[1.xls][1.XLS]______P_H_S__1191"/>
      <sheetName val="[1.xls][1.xls]______P_H_S__1190"/>
      <sheetName val="[1.xls][1.XLS]______P_H_S__1188"/>
      <sheetName val="[1.xls][1.xls]______P_H_S__1189"/>
      <sheetName val="[1.xls][1.xls]______P_H_S__1192"/>
      <sheetName val="[1.xls][1.xls]______P_H_S__1195"/>
      <sheetName val="[1.xls][1.xls]______P_H_S__1196"/>
      <sheetName val="[1.xls][1.xls]______P_H_S__1198"/>
      <sheetName val="[1.xls][1.xls]______P_H_S__1199"/>
      <sheetName val="[1.xls][1.xls]______P_H_S__1200"/>
      <sheetName val="[1.xls][1.xls]______P_H_S__1202"/>
      <sheetName val="[1.xls][1.XLS]______P_H_S__1201"/>
      <sheetName val="[1.xls][1.xls]______P_H_S__1204"/>
      <sheetName val="[1.xls][1.XLS]______P_H_S__1203"/>
      <sheetName val="_x0000__x0000__x0000__x0010__x0000__x0000__x0000_ㅀ"/>
      <sheetName val="[1.xls][1.xls]______P_H_S__1205"/>
      <sheetName val="[1.xls][1.XLS]__박___P_H_S_exc_5"/>
      <sheetName val="구조물철거타공정이월"/>
      <sheetName val="당초내역서"/>
      <sheetName val="안정검토"/>
      <sheetName val="단면설계"/>
      <sheetName val="안정검토(온1)"/>
      <sheetName val="철근단면적"/>
      <sheetName val="옹벽"/>
      <sheetName val="반중력식옹벽"/>
      <sheetName val="INPUTDATA"/>
      <sheetName val="H-pile(298x299)"/>
      <sheetName val="H-pile(250x250)"/>
      <sheetName val="종단계산"/>
      <sheetName val="상 부"/>
      <sheetName val="교대시점"/>
      <sheetName val="화해(장성)"/>
      <sheetName val="화해(함평)"/>
      <sheetName val="대창(장성)"/>
      <sheetName val="주현(영광)"/>
      <sheetName val="주현(해보)"/>
      <sheetName val="용산3(영광)"/>
      <sheetName val="suk(mac)"/>
      <sheetName val="슬래브(유곡)"/>
      <sheetName val="슬래브"/>
      <sheetName val="골재산출"/>
      <sheetName val="장비집계"/>
      <sheetName val="3.바닥판설계"/>
      <sheetName val="주형"/>
      <sheetName val="I.설계조건"/>
      <sheetName val="교대(A1-A2)"/>
      <sheetName val="COPING"/>
      <sheetName val="주차구획선수량"/>
      <sheetName val="기둥"/>
      <sheetName val="저판(버림100)"/>
      <sheetName val="공량산출서"/>
      <sheetName val="배수공 내역서 적용수량"/>
      <sheetName val="좌측"/>
      <sheetName val="입력란"/>
      <sheetName val="97노임단가"/>
      <sheetName val="S.중기사용료"/>
      <sheetName val="성토도수로현황(횡배수관)"/>
      <sheetName val="진주방향"/>
      <sheetName val="도장"/>
      <sheetName val="우수"/>
      <sheetName val="빗물받이(910-510-410)"/>
      <sheetName val="집수정(600-700)"/>
      <sheetName val="우수공"/>
      <sheetName val="[1.xls][1.xls]______P_H_S__1209"/>
      <sheetName val="[1.xls][1.xls]______P_H_S__1206"/>
      <sheetName val="[1.xls][1.xls]______P_H_S__1207"/>
      <sheetName val="[1.xls][1.xls]______P_H_S__1208"/>
      <sheetName val="[1.xls][1.xls]______P_H_S__1211"/>
      <sheetName val="[1.xls][1.xls]______P_H_S__1210"/>
      <sheetName val="[1.xls][1.xls]______P_H_S__1212"/>
      <sheetName val="[1.xls][1.xls]______P_H_S__1213"/>
      <sheetName val="[1.xls][1.xls]______P_H_S__1214"/>
      <sheetName val="[1.xls][1.xls]______P_H_S__1215"/>
      <sheetName val="[1.xls][1.xls]______P_H_S__1217"/>
      <sheetName val="[1.xls][1.xls]______P_H_S__1216"/>
      <sheetName val="[1.xls][1.xls]______P_H_S__1219"/>
      <sheetName val="[1.xls][1.xls]______P_H_S__1218"/>
      <sheetName val="[1.xls][1.xls]______P_H_S__1222"/>
      <sheetName val="[1.xls][1.xls]______P_H_S__1223"/>
      <sheetName val="[1.xls][1.xls]______P_H_S__1220"/>
      <sheetName val="[1.xls][1.xls]______P_H_S__1221"/>
      <sheetName val="[1.xls][1.xls]______P_H_S__1224"/>
      <sheetName val="[1.xls][1.xls]______P_H_S__1232"/>
      <sheetName val="[1.xls][1.xls]______P_H_S__1226"/>
      <sheetName val="[1.xls][1.xls]______P_H_S__1225"/>
      <sheetName val="[1.xls][1.xls]______P_H_S__1233"/>
      <sheetName val="[1.xls][1.xls]______P_H_S__1227"/>
      <sheetName val="[1.xls][1.xls]______P_H_S__1228"/>
      <sheetName val="[1.xls][1.xls]______P_H_S__1229"/>
      <sheetName val="[1.xls][1.xls]______P_H_S__1231"/>
      <sheetName val="[1.xls][1.xls]______P_H_S__1230"/>
      <sheetName val="[1.xls][1.xls]______P_H_S__1234"/>
      <sheetName val="[1.xls][1.xls]______P_H_S__1237"/>
      <sheetName val="[1.xls][1.xls]______P_H_S__1235"/>
      <sheetName val="[1.xls][1.xls]______P_H_S__1236"/>
      <sheetName val="[1.xls][1.xls]______P_H_S__1279"/>
      <sheetName val="[1.xls][1.xls]______P_H_S__1280"/>
      <sheetName val="[1.xls][1.xls]______P_H_S__1276"/>
      <sheetName val="[1.xls][1.xls]______P_H_S__1252"/>
      <sheetName val="[1.xls][1.xls]______P_H_S__1254"/>
      <sheetName val="_x0000__x0000__x0000__x0010__x0000__x0000__x0000_㓠"/>
      <sheetName val="입찰내역"/>
      <sheetName val="[1.xls][1.xls]______P_H_S__1239"/>
      <sheetName val="[1.xls][1.xls]______P_H_S__1238"/>
      <sheetName val="[1.xls][1.xls]______P_H_S__1240"/>
      <sheetName val="[1.xls][1.xls]______P_H_S__1241"/>
      <sheetName val="[1.xls][1.xls]______P_H_S__1242"/>
      <sheetName val="[1.xls][1.xls]______P_H_S__1243"/>
      <sheetName val="[1.xls][1.xls]______P_H_S__1245"/>
      <sheetName val="[1.xls][1.xls]______P_H_S__1244"/>
      <sheetName val="[1.xls][1.xls]______P_H_S__1248"/>
      <sheetName val="[1.xls][1.xls]______P_H_S__1246"/>
      <sheetName val="[1.xls][1.xls]______P_H_S__1247"/>
      <sheetName val="[1.xls][1.xls]______P_H_S__1251"/>
      <sheetName val="[1.xls][1.xls]______P_H_S__1249"/>
      <sheetName val="[1.xls][1.xls]______P_H_S__1250"/>
      <sheetName val="[1.xls][1.xls]______P_H_S__1253"/>
      <sheetName val="[1.xls][1.xls]______P_H_S__1255"/>
      <sheetName val="[1.xls][1.xls]______P_H_S__1256"/>
      <sheetName val="[1.xls][1.xls]______P_H_S__1258"/>
      <sheetName val="[1.xls][1.xls]______P_H_S__1257"/>
      <sheetName val="[1.xls][1.xls]______P_H_S__1261"/>
      <sheetName val="[1.xls][1.XLS]______P_H_S__1260"/>
      <sheetName val="냉온열원집계"/>
      <sheetName val="토공(완충)"/>
      <sheetName val="01. 종합예정공정표"/>
      <sheetName val="36.미지급법인세"/>
      <sheetName val="단지배치도"/>
      <sheetName val="CAT_5"/>
      <sheetName val="아Õ_x0000_Ԁ"/>
      <sheetName val="[1.xls][1.xls]___희석_P_H_S_ex_15"/>
      <sheetName val="내역서(총괄)"/>
      <sheetName val="[1.xls][1.XLS]______P_H_S__1259"/>
      <sheetName val="[1.xls][1.xls]______P_H_S__1266"/>
      <sheetName val="[1.xls][1.xls]______P_H_S__1262"/>
      <sheetName val="[1.xls][1.xls]______P_H_S__1263"/>
      <sheetName val="[1.xls][1.xls]______P_H_S__1264"/>
      <sheetName val="[1.xls][1.xls]______P_H_S__1265"/>
      <sheetName val="[1.xls][1.xls]______P_H_S__1267"/>
      <sheetName val="[1.xls][1.xls]______P_H_S__1268"/>
      <sheetName val="[1.xls][1.xls]______P_H_S__1269"/>
      <sheetName val="[1.xls][1.xls]______P_H_S__1270"/>
      <sheetName val="[1.xls][1.xls]______P_H_S__1271"/>
      <sheetName val="[1.xls][1.xls]______P_H_S__1272"/>
      <sheetName val="[1.xls][1.xls]______P_H_S__1273"/>
      <sheetName val="[1.xls][1.xls]______P_H_S__1275"/>
      <sheetName val="[1.xls][1.XLS]______P_H_S__1274"/>
      <sheetName val="[1.xls][1.xls]______P_H_S__1278"/>
      <sheetName val="[1.xls][1.xls]______P_H_S__1277"/>
      <sheetName val="[1.xls][1.xls]______P_H_S__1281"/>
      <sheetName val="기계내역"/>
      <sheetName val="THKLCAC MAU"/>
      <sheetName val="Section"/>
      <sheetName val="[1.xls][1.xls]______P_H_S__1285"/>
      <sheetName val="[1.xls][1.xls]______P_H_S__1283"/>
      <sheetName val="[1.xls][1.xls]______P_H_S__1284"/>
      <sheetName val="[1.xls][1.xls]______P_H_S__1282"/>
      <sheetName val="[1.xls][1.xls]______P_H_S__1286"/>
      <sheetName val="[1.xls][1.xls]______P_H_S__1287"/>
      <sheetName val="[1.xls][1.xls]______P_H_S__1300"/>
      <sheetName val="일위대가(목록)"/>
      <sheetName val="내역서변경성원"/>
      <sheetName val="양수장내역"/>
      <sheetName val="직공비"/>
      <sheetName val="순공사비"/>
      <sheetName val="산출내역서집계표"/>
      <sheetName val="연동내역"/>
      <sheetName val="단가입탂"/>
      <sheetName val="건축집계"/>
      <sheetName val="Source"/>
      <sheetName val="Preface"/>
      <sheetName val="[1.xls][1.xls]______P_H_S__1288"/>
      <sheetName val="[1.xls][1.xls]______P_H_S__1289"/>
      <sheetName val="[1.xls][1.xls]______P_H_S__1291"/>
      <sheetName val="[1.xls][1.xls]______P_H_S__1290"/>
      <sheetName val="[1.xls][1.xls]______P_H_S__1293"/>
      <sheetName val="[1.xls][1.xls]______P_H_S__1292"/>
      <sheetName val="[1.xls][1.xls]______P_H_S__1294"/>
      <sheetName val="[1.xls][1.xls]______P_H_S__1295"/>
      <sheetName val="[1.xls][1.xls]______P_H_S__1296"/>
      <sheetName val="[1.xls][1.xls]______P_H_S__1297"/>
      <sheetName val="[1.xls][1.xls]______P_H_S__1298"/>
      <sheetName val="[1.xls][1.xls]______P_H_S__1299"/>
      <sheetName val="IMP(MAIN"/>
      <sheetName val="[1.xls][1.xls]______P_H_S__1304"/>
      <sheetName val="[1.xls][1.xls]______P_H_S__1306"/>
      <sheetName val="[1.xls][1.xls]______P_H_S__1303"/>
      <sheetName val="[1.xls][1.xls]______P_H_S__1301"/>
      <sheetName val="[1.xls][1.xls]______P_H_S__1302"/>
      <sheetName val="[1.xls][1.xls]______P_H_S__1307"/>
      <sheetName val="[1.xls][1.xls]______P_H_S__1305"/>
      <sheetName val="[1.xls][1.xls]______P_H_S__1308"/>
      <sheetName val="[1.xls][1.xls]______P_H_S__1309"/>
      <sheetName val="[1.xls][1.xls]______P_H_S__1311"/>
      <sheetName val="[1.xls][1.xls]______P_H_S__1310"/>
      <sheetName val="[1.xls][1.xls]______P_H_S__1314"/>
      <sheetName val="[1.xls][1.xls]______P_H_S__1312"/>
      <sheetName val="[1.xls][1.xls]______P_H_S__1313"/>
      <sheetName val="[1.xls][1.xls]______P_H_S__1315"/>
      <sheetName val="[1.xls][1.xls]______P_H_S__1316"/>
      <sheetName val="__MIGA_______TOWER_P_KBLEE____4"/>
      <sheetName val="명1"/>
      <sheetName val="명1 (2)"/>
      <sheetName val="MACRO(MCC)"/>
      <sheetName val="총괄갑 "/>
      <sheetName val="[1.xls][1.xls]______P_H_S__1317"/>
      <sheetName val="[1.xls][1.xls]______P_H_S__1318"/>
      <sheetName val="[1.xls][1.xls]______P_H_S__1321"/>
      <sheetName val="[1.xls][1.xls]______P_H_S__1319"/>
      <sheetName val="[1.xls][1.xls]______P_H_S__1320"/>
      <sheetName val="[1.xls][1.xls]______P_H_S__1322"/>
      <sheetName val="[1.xls][1.xls]______P_H_S__1323"/>
      <sheetName val="[1.xls][1.xls]______P_H_S__1325"/>
      <sheetName val="[1.xls][1.xls]______P_H_S__1326"/>
      <sheetName val="[1.xls][1.xls]______P_H_S__1324"/>
      <sheetName val="[1.xls][1.xls]______P_H_S__1329"/>
      <sheetName val="[1.xls][1.XLS]______P_H_S__1327"/>
      <sheetName val="[1.xls][1.xls]______P_H_S__1328"/>
      <sheetName val="[1.xls][1.xls]______P_H_S__1332"/>
      <sheetName val="[1.xls][1.XLS]______P_H_S__1331"/>
      <sheetName val="[1.xls][1.XLS]______P_H_S__1330"/>
      <sheetName val="내역서(도급)"/>
      <sheetName val="[1.xls][1.xls]______P_H_S__1335"/>
      <sheetName val="[1.xls][1.xls]______P_H_S__1333"/>
      <sheetName val="[1.xls][1.xls]______P_H_S__1334"/>
      <sheetName val="[1.xls][1.xls]______P_H_S__1338"/>
      <sheetName val="[1.xls][1.xls]______P_H_S__1336"/>
      <sheetName val="[1.xls][1.xls]______P_H_S__1337"/>
      <sheetName val="[1.xls][1.xls]______P_H_S__1340"/>
      <sheetName val="[1.xls][1.xls]______P_H_S__1339"/>
      <sheetName val=" _x000a_Ơ믣"/>
      <sheetName val="[1.xls][1.xls]______P_H_S__1343"/>
      <sheetName val="[1.xls][1.xls]______P_H_S__1346"/>
      <sheetName val="[1.xls][1.xls]______P_H_S__1342"/>
      <sheetName val="[1.xls][1.xls]______P_H_S__1341"/>
      <sheetName val="[1.xls][1.xls]______P_H_S__1347"/>
      <sheetName val="[1.xls][1.xls]______P_H_S__1344"/>
      <sheetName val="[1.xls][1.xls]______P_H_S__1345"/>
      <sheetName val="[1.xls][1.xls]______P_H_S__1348"/>
      <sheetName val="[1.xls][1.xls]______P_H_S__1349"/>
      <sheetName val="[1.xls][1.xls]______P_H_S__135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ow r="2">
          <cell r="A2" t="str">
            <v>실     명</v>
          </cell>
        </row>
      </sheetData>
      <sheetData sheetId="88">
        <row r="2">
          <cell r="A2" t="str">
            <v>실     명</v>
          </cell>
        </row>
      </sheetData>
      <sheetData sheetId="89">
        <row r="2">
          <cell r="A2" t="str">
            <v>실     명</v>
          </cell>
        </row>
      </sheetData>
      <sheetData sheetId="90">
        <row r="2">
          <cell r="A2" t="str">
            <v>실     명</v>
          </cell>
        </row>
      </sheetData>
      <sheetData sheetId="91">
        <row r="2">
          <cell r="A2" t="str">
            <v>실     명</v>
          </cell>
        </row>
      </sheetData>
      <sheetData sheetId="92">
        <row r="2">
          <cell r="A2" t="str">
            <v>실     명</v>
          </cell>
        </row>
      </sheetData>
      <sheetData sheetId="93">
        <row r="2">
          <cell r="A2" t="str">
            <v>실     명</v>
          </cell>
        </row>
      </sheetData>
      <sheetData sheetId="94">
        <row r="2">
          <cell r="A2" t="str">
            <v>실     명</v>
          </cell>
        </row>
      </sheetData>
      <sheetData sheetId="95">
        <row r="2">
          <cell r="A2" t="str">
            <v>실     명</v>
          </cell>
        </row>
      </sheetData>
      <sheetData sheetId="96">
        <row r="2">
          <cell r="A2" t="str">
            <v>실     명</v>
          </cell>
        </row>
      </sheetData>
      <sheetData sheetId="97">
        <row r="2">
          <cell r="A2" t="str">
            <v>실     명</v>
          </cell>
        </row>
      </sheetData>
      <sheetData sheetId="98">
        <row r="2">
          <cell r="A2" t="str">
            <v>실     명</v>
          </cell>
        </row>
      </sheetData>
      <sheetData sheetId="99">
        <row r="2">
          <cell r="A2" t="str">
            <v>실     명</v>
          </cell>
        </row>
      </sheetData>
      <sheetData sheetId="100">
        <row r="2">
          <cell r="A2" t="str">
            <v>실     명</v>
          </cell>
        </row>
      </sheetData>
      <sheetData sheetId="101">
        <row r="2">
          <cell r="A2" t="str">
            <v>실     명</v>
          </cell>
        </row>
      </sheetData>
      <sheetData sheetId="102">
        <row r="2">
          <cell r="A2" t="str">
            <v>실     명</v>
          </cell>
        </row>
      </sheetData>
      <sheetData sheetId="103">
        <row r="2">
          <cell r="A2" t="str">
            <v>실     명</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ow r="2">
          <cell r="A2" t="str">
            <v>실     명</v>
          </cell>
        </row>
      </sheetData>
      <sheetData sheetId="112">
        <row r="2">
          <cell r="A2" t="str">
            <v>실     명</v>
          </cell>
        </row>
      </sheetData>
      <sheetData sheetId="113">
        <row r="2">
          <cell r="A2" t="str">
            <v>실     명</v>
          </cell>
        </row>
      </sheetData>
      <sheetData sheetId="114">
        <row r="2">
          <cell r="A2" t="str">
            <v>실     명</v>
          </cell>
        </row>
      </sheetData>
      <sheetData sheetId="115">
        <row r="2">
          <cell r="A2" t="str">
            <v>실     명</v>
          </cell>
        </row>
      </sheetData>
      <sheetData sheetId="116">
        <row r="2">
          <cell r="A2" t="str">
            <v>실     명</v>
          </cell>
        </row>
      </sheetData>
      <sheetData sheetId="117">
        <row r="2">
          <cell r="A2" t="str">
            <v>실     명</v>
          </cell>
        </row>
      </sheetData>
      <sheetData sheetId="118">
        <row r="2">
          <cell r="A2" t="str">
            <v>실     명</v>
          </cell>
        </row>
      </sheetData>
      <sheetData sheetId="119">
        <row r="2">
          <cell r="A2" t="str">
            <v>실     명</v>
          </cell>
        </row>
      </sheetData>
      <sheetData sheetId="120">
        <row r="2">
          <cell r="A2" t="str">
            <v>실     명</v>
          </cell>
        </row>
      </sheetData>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ow r="2">
          <cell r="A2" t="str">
            <v>실     명</v>
          </cell>
        </row>
      </sheetData>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2">
          <cell r="A2" t="str">
            <v>실     명</v>
          </cell>
        </row>
      </sheetData>
      <sheetData sheetId="240">
        <row r="2">
          <cell r="A2" t="str">
            <v>실     명</v>
          </cell>
        </row>
      </sheetData>
      <sheetData sheetId="241">
        <row r="2">
          <cell r="A2" t="str">
            <v>실     명</v>
          </cell>
        </row>
      </sheetData>
      <sheetData sheetId="242">
        <row r="2">
          <cell r="A2" t="str">
            <v>실     명</v>
          </cell>
        </row>
      </sheetData>
      <sheetData sheetId="243">
        <row r="2">
          <cell r="A2" t="str">
            <v>실     명</v>
          </cell>
        </row>
      </sheetData>
      <sheetData sheetId="244">
        <row r="2">
          <cell r="A2" t="str">
            <v>실     명</v>
          </cell>
        </row>
      </sheetData>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2">
          <cell r="A2" t="str">
            <v>실     명</v>
          </cell>
        </row>
      </sheetData>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실     명</v>
          </cell>
        </row>
      </sheetData>
      <sheetData sheetId="279">
        <row r="2">
          <cell r="A2" t="str">
            <v>실     명</v>
          </cell>
        </row>
      </sheetData>
      <sheetData sheetId="280">
        <row r="2">
          <cell r="A2" t="str">
            <v>실     명</v>
          </cell>
        </row>
      </sheetData>
      <sheetData sheetId="281">
        <row r="2">
          <cell r="A2" t="str">
            <v>실     명</v>
          </cell>
        </row>
      </sheetData>
      <sheetData sheetId="282">
        <row r="2">
          <cell r="A2" t="str">
            <v>실     명</v>
          </cell>
        </row>
      </sheetData>
      <sheetData sheetId="283">
        <row r="2">
          <cell r="A2" t="str">
            <v>실     명</v>
          </cell>
        </row>
      </sheetData>
      <sheetData sheetId="284">
        <row r="2">
          <cell r="A2" t="str">
            <v>실     명</v>
          </cell>
        </row>
      </sheetData>
      <sheetData sheetId="285">
        <row r="2">
          <cell r="A2" t="str">
            <v>실     명</v>
          </cell>
        </row>
      </sheetData>
      <sheetData sheetId="286">
        <row r="2">
          <cell r="A2" t="str">
            <v>실     명</v>
          </cell>
        </row>
      </sheetData>
      <sheetData sheetId="287">
        <row r="2">
          <cell r="A2" t="str">
            <v>실     명</v>
          </cell>
        </row>
      </sheetData>
      <sheetData sheetId="288">
        <row r="2">
          <cell r="A2" t="str">
            <v>실     명</v>
          </cell>
        </row>
      </sheetData>
      <sheetData sheetId="289">
        <row r="2">
          <cell r="A2" t="str">
            <v>실     명</v>
          </cell>
        </row>
      </sheetData>
      <sheetData sheetId="290">
        <row r="2">
          <cell r="A2" t="str">
            <v>실     명</v>
          </cell>
        </row>
      </sheetData>
      <sheetData sheetId="291">
        <row r="2">
          <cell r="A2" t="str">
            <v>실     명</v>
          </cell>
        </row>
      </sheetData>
      <sheetData sheetId="292">
        <row r="2">
          <cell r="A2" t="str">
            <v>실     명</v>
          </cell>
        </row>
      </sheetData>
      <sheetData sheetId="293">
        <row r="2">
          <cell r="A2" t="str">
            <v>실     명</v>
          </cell>
        </row>
      </sheetData>
      <sheetData sheetId="294">
        <row r="2">
          <cell r="A2" t="str">
            <v>실     명</v>
          </cell>
        </row>
      </sheetData>
      <sheetData sheetId="295">
        <row r="2">
          <cell r="A2" t="str">
            <v>실     명</v>
          </cell>
        </row>
      </sheetData>
      <sheetData sheetId="296">
        <row r="2">
          <cell r="A2" t="str">
            <v>실     명</v>
          </cell>
        </row>
      </sheetData>
      <sheetData sheetId="297">
        <row r="2">
          <cell r="A2" t="str">
            <v>실     명</v>
          </cell>
        </row>
      </sheetData>
      <sheetData sheetId="298">
        <row r="2">
          <cell r="A2" t="str">
            <v>실     명</v>
          </cell>
        </row>
      </sheetData>
      <sheetData sheetId="299">
        <row r="2">
          <cell r="A2" t="str">
            <v>실     명</v>
          </cell>
        </row>
      </sheetData>
      <sheetData sheetId="300">
        <row r="2">
          <cell r="A2" t="str">
            <v>실     명</v>
          </cell>
        </row>
      </sheetData>
      <sheetData sheetId="301">
        <row r="2">
          <cell r="A2" t="str">
            <v>실     명</v>
          </cell>
        </row>
      </sheetData>
      <sheetData sheetId="302">
        <row r="2">
          <cell r="A2" t="str">
            <v>실     명</v>
          </cell>
        </row>
      </sheetData>
      <sheetData sheetId="303">
        <row r="2">
          <cell r="A2" t="str">
            <v>실     명</v>
          </cell>
        </row>
      </sheetData>
      <sheetData sheetId="304">
        <row r="2">
          <cell r="A2" t="str">
            <v>실     명</v>
          </cell>
        </row>
      </sheetData>
      <sheetData sheetId="305">
        <row r="2">
          <cell r="A2" t="str">
            <v>실     명</v>
          </cell>
        </row>
      </sheetData>
      <sheetData sheetId="306">
        <row r="2">
          <cell r="A2" t="str">
            <v>실     명</v>
          </cell>
        </row>
      </sheetData>
      <sheetData sheetId="307">
        <row r="2">
          <cell r="A2" t="str">
            <v>실     명</v>
          </cell>
        </row>
      </sheetData>
      <sheetData sheetId="308">
        <row r="2">
          <cell r="A2" t="str">
            <v>실     명</v>
          </cell>
        </row>
      </sheetData>
      <sheetData sheetId="309">
        <row r="2">
          <cell r="A2" t="str">
            <v>실     명</v>
          </cell>
        </row>
      </sheetData>
      <sheetData sheetId="310">
        <row r="2">
          <cell r="A2" t="str">
            <v>실     명</v>
          </cell>
        </row>
      </sheetData>
      <sheetData sheetId="311">
        <row r="2">
          <cell r="A2" t="str">
            <v>실     명</v>
          </cell>
        </row>
      </sheetData>
      <sheetData sheetId="312">
        <row r="2">
          <cell r="A2" t="str">
            <v>실     명</v>
          </cell>
        </row>
      </sheetData>
      <sheetData sheetId="313">
        <row r="2">
          <cell r="A2" t="str">
            <v>실     명</v>
          </cell>
        </row>
      </sheetData>
      <sheetData sheetId="314">
        <row r="2">
          <cell r="A2" t="str">
            <v>실     명</v>
          </cell>
        </row>
      </sheetData>
      <sheetData sheetId="315">
        <row r="2">
          <cell r="A2" t="str">
            <v>실     명</v>
          </cell>
        </row>
      </sheetData>
      <sheetData sheetId="316">
        <row r="2">
          <cell r="A2" t="str">
            <v>실     명</v>
          </cell>
        </row>
      </sheetData>
      <sheetData sheetId="317">
        <row r="2">
          <cell r="A2" t="str">
            <v>실     명</v>
          </cell>
        </row>
      </sheetData>
      <sheetData sheetId="318">
        <row r="2">
          <cell r="A2" t="str">
            <v>실     명</v>
          </cell>
        </row>
      </sheetData>
      <sheetData sheetId="319">
        <row r="2">
          <cell r="A2" t="str">
            <v>실     명</v>
          </cell>
        </row>
      </sheetData>
      <sheetData sheetId="320">
        <row r="2">
          <cell r="A2" t="str">
            <v>실     명</v>
          </cell>
        </row>
      </sheetData>
      <sheetData sheetId="321">
        <row r="2">
          <cell r="A2" t="str">
            <v>실     명</v>
          </cell>
        </row>
      </sheetData>
      <sheetData sheetId="322">
        <row r="2">
          <cell r="A2" t="str">
            <v>실     명</v>
          </cell>
        </row>
      </sheetData>
      <sheetData sheetId="323">
        <row r="2">
          <cell r="A2" t="str">
            <v>실     명</v>
          </cell>
        </row>
      </sheetData>
      <sheetData sheetId="324">
        <row r="2">
          <cell r="A2" t="str">
            <v>실     명</v>
          </cell>
        </row>
      </sheetData>
      <sheetData sheetId="325">
        <row r="2">
          <cell r="A2" t="str">
            <v>실     명</v>
          </cell>
        </row>
      </sheetData>
      <sheetData sheetId="326">
        <row r="2">
          <cell r="A2" t="str">
            <v>실     명</v>
          </cell>
        </row>
      </sheetData>
      <sheetData sheetId="327">
        <row r="2">
          <cell r="A2" t="str">
            <v>실     명</v>
          </cell>
        </row>
      </sheetData>
      <sheetData sheetId="328">
        <row r="2">
          <cell r="A2" t="str">
            <v>실     명</v>
          </cell>
        </row>
      </sheetData>
      <sheetData sheetId="329">
        <row r="2">
          <cell r="A2" t="str">
            <v>실     명</v>
          </cell>
        </row>
      </sheetData>
      <sheetData sheetId="330">
        <row r="2">
          <cell r="A2" t="str">
            <v>실     명</v>
          </cell>
        </row>
      </sheetData>
      <sheetData sheetId="331">
        <row r="2">
          <cell r="A2" t="str">
            <v>실     명</v>
          </cell>
        </row>
      </sheetData>
      <sheetData sheetId="332">
        <row r="2">
          <cell r="A2" t="str">
            <v>실     명</v>
          </cell>
        </row>
      </sheetData>
      <sheetData sheetId="333">
        <row r="2">
          <cell r="A2" t="str">
            <v>실     명</v>
          </cell>
        </row>
      </sheetData>
      <sheetData sheetId="334">
        <row r="2">
          <cell r="A2" t="str">
            <v>실     명</v>
          </cell>
        </row>
      </sheetData>
      <sheetData sheetId="335">
        <row r="2">
          <cell r="A2" t="str">
            <v>실     명</v>
          </cell>
        </row>
      </sheetData>
      <sheetData sheetId="336">
        <row r="2">
          <cell r="A2" t="str">
            <v>실     명</v>
          </cell>
        </row>
      </sheetData>
      <sheetData sheetId="337">
        <row r="2">
          <cell r="A2" t="str">
            <v>실     명</v>
          </cell>
        </row>
      </sheetData>
      <sheetData sheetId="338">
        <row r="2">
          <cell r="A2" t="str">
            <v>실     명</v>
          </cell>
        </row>
      </sheetData>
      <sheetData sheetId="339">
        <row r="2">
          <cell r="A2" t="str">
            <v>실     명</v>
          </cell>
        </row>
      </sheetData>
      <sheetData sheetId="340">
        <row r="2">
          <cell r="A2" t="str">
            <v>실     명</v>
          </cell>
        </row>
      </sheetData>
      <sheetData sheetId="341">
        <row r="2">
          <cell r="A2" t="str">
            <v>실     명</v>
          </cell>
        </row>
      </sheetData>
      <sheetData sheetId="342">
        <row r="2">
          <cell r="A2" t="str">
            <v>실     명</v>
          </cell>
        </row>
      </sheetData>
      <sheetData sheetId="343">
        <row r="2">
          <cell r="A2" t="str">
            <v>실     명</v>
          </cell>
        </row>
      </sheetData>
      <sheetData sheetId="344">
        <row r="2">
          <cell r="A2" t="str">
            <v>실     명</v>
          </cell>
        </row>
      </sheetData>
      <sheetData sheetId="345">
        <row r="2">
          <cell r="A2" t="str">
            <v>실     명</v>
          </cell>
        </row>
      </sheetData>
      <sheetData sheetId="346">
        <row r="2">
          <cell r="A2" t="str">
            <v>실     명</v>
          </cell>
        </row>
      </sheetData>
      <sheetData sheetId="347">
        <row r="2">
          <cell r="A2" t="str">
            <v>실     명</v>
          </cell>
        </row>
      </sheetData>
      <sheetData sheetId="348">
        <row r="2">
          <cell r="A2" t="str">
            <v>실     명</v>
          </cell>
        </row>
      </sheetData>
      <sheetData sheetId="349">
        <row r="2">
          <cell r="A2" t="str">
            <v>실     명</v>
          </cell>
        </row>
      </sheetData>
      <sheetData sheetId="350">
        <row r="2">
          <cell r="A2" t="str">
            <v>실     명</v>
          </cell>
        </row>
      </sheetData>
      <sheetData sheetId="351">
        <row r="2">
          <cell r="A2" t="str">
            <v>실     명</v>
          </cell>
        </row>
      </sheetData>
      <sheetData sheetId="352">
        <row r="2">
          <cell r="A2" t="str">
            <v>실     명</v>
          </cell>
        </row>
      </sheetData>
      <sheetData sheetId="353">
        <row r="2">
          <cell r="A2" t="str">
            <v>실     명</v>
          </cell>
        </row>
      </sheetData>
      <sheetData sheetId="354">
        <row r="2">
          <cell r="A2" t="str">
            <v>실     명</v>
          </cell>
        </row>
      </sheetData>
      <sheetData sheetId="355">
        <row r="2">
          <cell r="A2" t="str">
            <v>실     명</v>
          </cell>
        </row>
      </sheetData>
      <sheetData sheetId="356">
        <row r="2">
          <cell r="A2" t="str">
            <v>실     명</v>
          </cell>
        </row>
      </sheetData>
      <sheetData sheetId="357">
        <row r="2">
          <cell r="A2" t="str">
            <v>실     명</v>
          </cell>
        </row>
      </sheetData>
      <sheetData sheetId="358">
        <row r="2">
          <cell r="A2" t="str">
            <v>실     명</v>
          </cell>
        </row>
      </sheetData>
      <sheetData sheetId="359">
        <row r="2">
          <cell r="A2" t="str">
            <v>실     명</v>
          </cell>
        </row>
      </sheetData>
      <sheetData sheetId="360">
        <row r="2">
          <cell r="A2" t="str">
            <v>실     명</v>
          </cell>
        </row>
      </sheetData>
      <sheetData sheetId="361">
        <row r="2">
          <cell r="A2" t="str">
            <v>실     명</v>
          </cell>
        </row>
      </sheetData>
      <sheetData sheetId="362">
        <row r="2">
          <cell r="A2" t="str">
            <v>실     명</v>
          </cell>
        </row>
      </sheetData>
      <sheetData sheetId="363">
        <row r="2">
          <cell r="A2" t="str">
            <v>실     명</v>
          </cell>
        </row>
      </sheetData>
      <sheetData sheetId="364">
        <row r="2">
          <cell r="A2" t="str">
            <v>실     명</v>
          </cell>
        </row>
      </sheetData>
      <sheetData sheetId="365">
        <row r="2">
          <cell r="A2" t="str">
            <v>실     명</v>
          </cell>
        </row>
      </sheetData>
      <sheetData sheetId="366">
        <row r="2">
          <cell r="A2" t="str">
            <v>실     명</v>
          </cell>
        </row>
      </sheetData>
      <sheetData sheetId="367">
        <row r="2">
          <cell r="A2" t="str">
            <v>실     명</v>
          </cell>
        </row>
      </sheetData>
      <sheetData sheetId="368">
        <row r="2">
          <cell r="A2" t="str">
            <v>실     명</v>
          </cell>
        </row>
      </sheetData>
      <sheetData sheetId="369">
        <row r="2">
          <cell r="A2" t="str">
            <v>실     명</v>
          </cell>
        </row>
      </sheetData>
      <sheetData sheetId="370">
        <row r="2">
          <cell r="A2" t="str">
            <v>실     명</v>
          </cell>
        </row>
      </sheetData>
      <sheetData sheetId="371">
        <row r="2">
          <cell r="A2" t="str">
            <v>실     명</v>
          </cell>
        </row>
      </sheetData>
      <sheetData sheetId="372">
        <row r="2">
          <cell r="A2" t="str">
            <v>실     명</v>
          </cell>
        </row>
      </sheetData>
      <sheetData sheetId="373">
        <row r="2">
          <cell r="A2" t="str">
            <v>실     명</v>
          </cell>
        </row>
      </sheetData>
      <sheetData sheetId="374">
        <row r="2">
          <cell r="A2" t="str">
            <v>실     명</v>
          </cell>
        </row>
      </sheetData>
      <sheetData sheetId="375">
        <row r="2">
          <cell r="A2" t="str">
            <v>실     명</v>
          </cell>
        </row>
      </sheetData>
      <sheetData sheetId="376">
        <row r="2">
          <cell r="A2" t="str">
            <v>실     명</v>
          </cell>
        </row>
      </sheetData>
      <sheetData sheetId="377">
        <row r="2">
          <cell r="A2" t="str">
            <v>실     명</v>
          </cell>
        </row>
      </sheetData>
      <sheetData sheetId="378">
        <row r="2">
          <cell r="A2" t="str">
            <v>실     명</v>
          </cell>
        </row>
      </sheetData>
      <sheetData sheetId="379">
        <row r="2">
          <cell r="A2" t="str">
            <v>실     명</v>
          </cell>
        </row>
      </sheetData>
      <sheetData sheetId="380">
        <row r="2">
          <cell r="A2" t="str">
            <v>실     명</v>
          </cell>
        </row>
      </sheetData>
      <sheetData sheetId="381">
        <row r="2">
          <cell r="A2" t="str">
            <v>실     명</v>
          </cell>
        </row>
      </sheetData>
      <sheetData sheetId="382">
        <row r="2">
          <cell r="A2" t="str">
            <v>실     명</v>
          </cell>
        </row>
      </sheetData>
      <sheetData sheetId="383" refreshError="1"/>
      <sheetData sheetId="384">
        <row r="2">
          <cell r="A2" t="str">
            <v>실     명</v>
          </cell>
        </row>
      </sheetData>
      <sheetData sheetId="385">
        <row r="2">
          <cell r="A2" t="str">
            <v>실     명</v>
          </cell>
        </row>
      </sheetData>
      <sheetData sheetId="386">
        <row r="2">
          <cell r="A2" t="str">
            <v>실     명</v>
          </cell>
        </row>
      </sheetData>
      <sheetData sheetId="387">
        <row r="2">
          <cell r="A2" t="str">
            <v>실     명</v>
          </cell>
        </row>
      </sheetData>
      <sheetData sheetId="388">
        <row r="2">
          <cell r="A2" t="str">
            <v>실     명</v>
          </cell>
        </row>
      </sheetData>
      <sheetData sheetId="389">
        <row r="2">
          <cell r="A2" t="str">
            <v>실     명</v>
          </cell>
        </row>
      </sheetData>
      <sheetData sheetId="390">
        <row r="2">
          <cell r="A2" t="str">
            <v>실     명</v>
          </cell>
        </row>
      </sheetData>
      <sheetData sheetId="391">
        <row r="2">
          <cell r="A2" t="str">
            <v>실     명</v>
          </cell>
        </row>
      </sheetData>
      <sheetData sheetId="392">
        <row r="2">
          <cell r="A2" t="str">
            <v>실     명</v>
          </cell>
        </row>
      </sheetData>
      <sheetData sheetId="393">
        <row r="2">
          <cell r="A2" t="str">
            <v>실     명</v>
          </cell>
        </row>
      </sheetData>
      <sheetData sheetId="394">
        <row r="2">
          <cell r="A2" t="str">
            <v>실     명</v>
          </cell>
        </row>
      </sheetData>
      <sheetData sheetId="395">
        <row r="2">
          <cell r="A2" t="str">
            <v>실     명</v>
          </cell>
        </row>
      </sheetData>
      <sheetData sheetId="396">
        <row r="2">
          <cell r="A2" t="str">
            <v>실     명</v>
          </cell>
        </row>
      </sheetData>
      <sheetData sheetId="397">
        <row r="2">
          <cell r="A2" t="str">
            <v>실     명</v>
          </cell>
        </row>
      </sheetData>
      <sheetData sheetId="398">
        <row r="2">
          <cell r="A2" t="str">
            <v>실     명</v>
          </cell>
        </row>
      </sheetData>
      <sheetData sheetId="399">
        <row r="2">
          <cell r="A2" t="str">
            <v>실     명</v>
          </cell>
        </row>
      </sheetData>
      <sheetData sheetId="400">
        <row r="2">
          <cell r="A2" t="str">
            <v>실     명</v>
          </cell>
        </row>
      </sheetData>
      <sheetData sheetId="401">
        <row r="2">
          <cell r="A2" t="str">
            <v>실     명</v>
          </cell>
        </row>
      </sheetData>
      <sheetData sheetId="402" refreshError="1"/>
      <sheetData sheetId="403">
        <row r="2">
          <cell r="A2" t="str">
            <v>실     명</v>
          </cell>
        </row>
      </sheetData>
      <sheetData sheetId="404">
        <row r="2">
          <cell r="A2" t="str">
            <v>실     명</v>
          </cell>
        </row>
      </sheetData>
      <sheetData sheetId="405">
        <row r="2">
          <cell r="A2" t="str">
            <v>실     명</v>
          </cell>
        </row>
      </sheetData>
      <sheetData sheetId="406">
        <row r="2">
          <cell r="A2" t="str">
            <v>실     명</v>
          </cell>
        </row>
      </sheetData>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refreshError="1"/>
      <sheetData sheetId="441" refreshError="1"/>
      <sheetData sheetId="442" refreshError="1"/>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ow r="2">
          <cell r="A2" t="str">
            <v>실     명</v>
          </cell>
        </row>
      </sheetData>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ow r="2">
          <cell r="A2" t="str">
            <v>실     명</v>
          </cell>
        </row>
      </sheetData>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ow r="2">
          <cell r="A2" t="str">
            <v>실     명</v>
          </cell>
        </row>
      </sheetData>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ow r="2">
          <cell r="A2" t="str">
            <v>실     명</v>
          </cell>
        </row>
      </sheetData>
      <sheetData sheetId="666">
        <row r="2">
          <cell r="A2" t="str">
            <v>실     명</v>
          </cell>
        </row>
      </sheetData>
      <sheetData sheetId="667">
        <row r="2">
          <cell r="A2" t="str">
            <v>실     명</v>
          </cell>
        </row>
      </sheetData>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2">
          <cell r="A2" t="str">
            <v>실     명</v>
          </cell>
        </row>
      </sheetData>
      <sheetData sheetId="719" refreshError="1"/>
      <sheetData sheetId="720" refreshError="1"/>
      <sheetData sheetId="721" refreshError="1"/>
      <sheetData sheetId="722">
        <row r="2">
          <cell r="A2" t="str">
            <v>실     명</v>
          </cell>
        </row>
      </sheetData>
      <sheetData sheetId="723">
        <row r="2">
          <cell r="A2" t="str">
            <v>실     명</v>
          </cell>
        </row>
      </sheetData>
      <sheetData sheetId="724">
        <row r="2">
          <cell r="A2" t="str">
            <v>실     명</v>
          </cell>
        </row>
      </sheetData>
      <sheetData sheetId="725">
        <row r="2">
          <cell r="A2" t="str">
            <v>실     명</v>
          </cell>
        </row>
      </sheetData>
      <sheetData sheetId="726">
        <row r="2">
          <cell r="A2" t="str">
            <v>실     명</v>
          </cell>
        </row>
      </sheetData>
      <sheetData sheetId="727">
        <row r="2">
          <cell r="A2" t="str">
            <v>실     명</v>
          </cell>
        </row>
      </sheetData>
      <sheetData sheetId="728">
        <row r="2">
          <cell r="A2" t="str">
            <v>실     명</v>
          </cell>
        </row>
      </sheetData>
      <sheetData sheetId="729">
        <row r="2">
          <cell r="A2" t="str">
            <v>실     명</v>
          </cell>
        </row>
      </sheetData>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ow r="2">
          <cell r="A2" t="str">
            <v>실     명</v>
          </cell>
        </row>
      </sheetData>
      <sheetData sheetId="747" refreshError="1"/>
      <sheetData sheetId="748" refreshError="1"/>
      <sheetData sheetId="749" refreshError="1"/>
      <sheetData sheetId="750" refreshError="1"/>
      <sheetData sheetId="751" refreshError="1"/>
      <sheetData sheetId="752" refreshError="1"/>
      <sheetData sheetId="753" refreshError="1"/>
      <sheetData sheetId="754">
        <row r="2">
          <cell r="A2" t="str">
            <v>실     명</v>
          </cell>
        </row>
      </sheetData>
      <sheetData sheetId="755">
        <row r="2">
          <cell r="A2" t="str">
            <v>실     명</v>
          </cell>
        </row>
      </sheetData>
      <sheetData sheetId="756" refreshError="1"/>
      <sheetData sheetId="757">
        <row r="2">
          <cell r="A2" t="str">
            <v>실     명</v>
          </cell>
        </row>
      </sheetData>
      <sheetData sheetId="758">
        <row r="2">
          <cell r="A2" t="str">
            <v>실     명</v>
          </cell>
        </row>
      </sheetData>
      <sheetData sheetId="759">
        <row r="2">
          <cell r="A2" t="str">
            <v>실     명</v>
          </cell>
        </row>
      </sheetData>
      <sheetData sheetId="760">
        <row r="2">
          <cell r="A2" t="str">
            <v>실     명</v>
          </cell>
        </row>
      </sheetData>
      <sheetData sheetId="761">
        <row r="2">
          <cell r="A2" t="str">
            <v>실     명</v>
          </cell>
        </row>
      </sheetData>
      <sheetData sheetId="762">
        <row r="2">
          <cell r="A2" t="str">
            <v>실     명</v>
          </cell>
        </row>
      </sheetData>
      <sheetData sheetId="763">
        <row r="2">
          <cell r="A2" t="str">
            <v>실     명</v>
          </cell>
        </row>
      </sheetData>
      <sheetData sheetId="764">
        <row r="2">
          <cell r="A2" t="str">
            <v>실     명</v>
          </cell>
        </row>
      </sheetData>
      <sheetData sheetId="765">
        <row r="2">
          <cell r="A2" t="str">
            <v>실     명</v>
          </cell>
        </row>
      </sheetData>
      <sheetData sheetId="766">
        <row r="2">
          <cell r="A2" t="str">
            <v>실     명</v>
          </cell>
        </row>
      </sheetData>
      <sheetData sheetId="767">
        <row r="2">
          <cell r="A2" t="str">
            <v>실     명</v>
          </cell>
        </row>
      </sheetData>
      <sheetData sheetId="768">
        <row r="2">
          <cell r="A2" t="str">
            <v>실     명</v>
          </cell>
        </row>
      </sheetData>
      <sheetData sheetId="769">
        <row r="2">
          <cell r="A2" t="str">
            <v>실     명</v>
          </cell>
        </row>
      </sheetData>
      <sheetData sheetId="770">
        <row r="2">
          <cell r="A2" t="str">
            <v>실     명</v>
          </cell>
        </row>
      </sheetData>
      <sheetData sheetId="771">
        <row r="2">
          <cell r="A2" t="str">
            <v>실     명</v>
          </cell>
        </row>
      </sheetData>
      <sheetData sheetId="772">
        <row r="2">
          <cell r="A2" t="str">
            <v>실     명</v>
          </cell>
        </row>
      </sheetData>
      <sheetData sheetId="773">
        <row r="2">
          <cell r="A2" t="str">
            <v>실     명</v>
          </cell>
        </row>
      </sheetData>
      <sheetData sheetId="774">
        <row r="2">
          <cell r="A2" t="str">
            <v>실     명</v>
          </cell>
        </row>
      </sheetData>
      <sheetData sheetId="775">
        <row r="2">
          <cell r="A2" t="str">
            <v>실     명</v>
          </cell>
        </row>
      </sheetData>
      <sheetData sheetId="776">
        <row r="2">
          <cell r="A2" t="str">
            <v>실     명</v>
          </cell>
        </row>
      </sheetData>
      <sheetData sheetId="777">
        <row r="2">
          <cell r="A2" t="str">
            <v>실     명</v>
          </cell>
        </row>
      </sheetData>
      <sheetData sheetId="778">
        <row r="2">
          <cell r="A2" t="str">
            <v>실     명</v>
          </cell>
        </row>
      </sheetData>
      <sheetData sheetId="779">
        <row r="2">
          <cell r="A2" t="str">
            <v>실     명</v>
          </cell>
        </row>
      </sheetData>
      <sheetData sheetId="780">
        <row r="2">
          <cell r="A2" t="str">
            <v>실     명</v>
          </cell>
        </row>
      </sheetData>
      <sheetData sheetId="781">
        <row r="2">
          <cell r="A2" t="str">
            <v>실     명</v>
          </cell>
        </row>
      </sheetData>
      <sheetData sheetId="782">
        <row r="2">
          <cell r="A2" t="str">
            <v>실     명</v>
          </cell>
        </row>
      </sheetData>
      <sheetData sheetId="783">
        <row r="2">
          <cell r="A2" t="str">
            <v>실     명</v>
          </cell>
        </row>
      </sheetData>
      <sheetData sheetId="784">
        <row r="2">
          <cell r="A2" t="str">
            <v>실     명</v>
          </cell>
        </row>
      </sheetData>
      <sheetData sheetId="785">
        <row r="2">
          <cell r="A2" t="str">
            <v>실     명</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ow r="2">
          <cell r="A2" t="str">
            <v>실     명</v>
          </cell>
        </row>
      </sheetData>
      <sheetData sheetId="839">
        <row r="2">
          <cell r="A2" t="str">
            <v>실     명</v>
          </cell>
        </row>
      </sheetData>
      <sheetData sheetId="840">
        <row r="2">
          <cell r="A2" t="str">
            <v>실     명</v>
          </cell>
        </row>
      </sheetData>
      <sheetData sheetId="841">
        <row r="2">
          <cell r="A2" t="str">
            <v>실     명</v>
          </cell>
        </row>
      </sheetData>
      <sheetData sheetId="842">
        <row r="2">
          <cell r="A2" t="str">
            <v>실     명</v>
          </cell>
        </row>
      </sheetData>
      <sheetData sheetId="843">
        <row r="2">
          <cell r="A2" t="str">
            <v>실     명</v>
          </cell>
        </row>
      </sheetData>
      <sheetData sheetId="844">
        <row r="2">
          <cell r="A2" t="str">
            <v>실     명</v>
          </cell>
        </row>
      </sheetData>
      <sheetData sheetId="845">
        <row r="2">
          <cell r="A2" t="str">
            <v>실     명</v>
          </cell>
        </row>
      </sheetData>
      <sheetData sheetId="846">
        <row r="2">
          <cell r="A2" t="str">
            <v>실     명</v>
          </cell>
        </row>
      </sheetData>
      <sheetData sheetId="847">
        <row r="2">
          <cell r="A2" t="str">
            <v>실     명</v>
          </cell>
        </row>
      </sheetData>
      <sheetData sheetId="848">
        <row r="2">
          <cell r="A2" t="str">
            <v>실     명</v>
          </cell>
        </row>
      </sheetData>
      <sheetData sheetId="849">
        <row r="2">
          <cell r="A2" t="str">
            <v>실     명</v>
          </cell>
        </row>
      </sheetData>
      <sheetData sheetId="850">
        <row r="2">
          <cell r="A2" t="str">
            <v>실     명</v>
          </cell>
        </row>
      </sheetData>
      <sheetData sheetId="851">
        <row r="2">
          <cell r="A2" t="str">
            <v>실     명</v>
          </cell>
        </row>
      </sheetData>
      <sheetData sheetId="852">
        <row r="2">
          <cell r="A2" t="str">
            <v>실     명</v>
          </cell>
        </row>
      </sheetData>
      <sheetData sheetId="853">
        <row r="2">
          <cell r="A2" t="str">
            <v>실     명</v>
          </cell>
        </row>
      </sheetData>
      <sheetData sheetId="854">
        <row r="2">
          <cell r="A2" t="str">
            <v>실     명</v>
          </cell>
        </row>
      </sheetData>
      <sheetData sheetId="855">
        <row r="2">
          <cell r="A2" t="str">
            <v>실     명</v>
          </cell>
        </row>
      </sheetData>
      <sheetData sheetId="856">
        <row r="2">
          <cell r="A2" t="str">
            <v>실     명</v>
          </cell>
        </row>
      </sheetData>
      <sheetData sheetId="857">
        <row r="2">
          <cell r="A2" t="str">
            <v>실     명</v>
          </cell>
        </row>
      </sheetData>
      <sheetData sheetId="858">
        <row r="2">
          <cell r="A2" t="str">
            <v>실     명</v>
          </cell>
        </row>
      </sheetData>
      <sheetData sheetId="859">
        <row r="2">
          <cell r="A2" t="str">
            <v>실     명</v>
          </cell>
        </row>
      </sheetData>
      <sheetData sheetId="860">
        <row r="2">
          <cell r="A2" t="str">
            <v>실     명</v>
          </cell>
        </row>
      </sheetData>
      <sheetData sheetId="861">
        <row r="2">
          <cell r="A2" t="str">
            <v>실     명</v>
          </cell>
        </row>
      </sheetData>
      <sheetData sheetId="862">
        <row r="2">
          <cell r="A2" t="str">
            <v>실     명</v>
          </cell>
        </row>
      </sheetData>
      <sheetData sheetId="863">
        <row r="2">
          <cell r="A2" t="str">
            <v>실     명</v>
          </cell>
        </row>
      </sheetData>
      <sheetData sheetId="864">
        <row r="2">
          <cell r="A2" t="str">
            <v>실     명</v>
          </cell>
        </row>
      </sheetData>
      <sheetData sheetId="865">
        <row r="2">
          <cell r="A2" t="str">
            <v>실     명</v>
          </cell>
        </row>
      </sheetData>
      <sheetData sheetId="866">
        <row r="2">
          <cell r="A2" t="str">
            <v>실     명</v>
          </cell>
        </row>
      </sheetData>
      <sheetData sheetId="867">
        <row r="2">
          <cell r="A2" t="str">
            <v>실     명</v>
          </cell>
        </row>
      </sheetData>
      <sheetData sheetId="868">
        <row r="2">
          <cell r="A2" t="str">
            <v>실     명</v>
          </cell>
        </row>
      </sheetData>
      <sheetData sheetId="869">
        <row r="2">
          <cell r="A2" t="str">
            <v>실     명</v>
          </cell>
        </row>
      </sheetData>
      <sheetData sheetId="870">
        <row r="2">
          <cell r="A2" t="str">
            <v>실     명</v>
          </cell>
        </row>
      </sheetData>
      <sheetData sheetId="871">
        <row r="2">
          <cell r="A2" t="str">
            <v>실     명</v>
          </cell>
        </row>
      </sheetData>
      <sheetData sheetId="872">
        <row r="2">
          <cell r="A2" t="str">
            <v>실     명</v>
          </cell>
        </row>
      </sheetData>
      <sheetData sheetId="873">
        <row r="2">
          <cell r="A2" t="str">
            <v>실     명</v>
          </cell>
        </row>
      </sheetData>
      <sheetData sheetId="874">
        <row r="2">
          <cell r="A2" t="str">
            <v>실     명</v>
          </cell>
        </row>
      </sheetData>
      <sheetData sheetId="875">
        <row r="2">
          <cell r="A2" t="str">
            <v>실     명</v>
          </cell>
        </row>
      </sheetData>
      <sheetData sheetId="876">
        <row r="2">
          <cell r="A2" t="str">
            <v>실     명</v>
          </cell>
        </row>
      </sheetData>
      <sheetData sheetId="877">
        <row r="2">
          <cell r="A2" t="str">
            <v>실     명</v>
          </cell>
        </row>
      </sheetData>
      <sheetData sheetId="878">
        <row r="2">
          <cell r="A2" t="str">
            <v>실     명</v>
          </cell>
        </row>
      </sheetData>
      <sheetData sheetId="879">
        <row r="2">
          <cell r="A2" t="str">
            <v>실     명</v>
          </cell>
        </row>
      </sheetData>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ow r="2">
          <cell r="A2" t="str">
            <v>실     명</v>
          </cell>
        </row>
      </sheetData>
      <sheetData sheetId="899">
        <row r="2">
          <cell r="A2" t="str">
            <v>실     명</v>
          </cell>
        </row>
      </sheetData>
      <sheetData sheetId="900">
        <row r="2">
          <cell r="A2" t="str">
            <v>실     명</v>
          </cell>
        </row>
      </sheetData>
      <sheetData sheetId="901">
        <row r="2">
          <cell r="A2" t="str">
            <v>실     명</v>
          </cell>
        </row>
      </sheetData>
      <sheetData sheetId="902">
        <row r="2">
          <cell r="A2" t="str">
            <v>실     명</v>
          </cell>
        </row>
      </sheetData>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ow r="2">
          <cell r="A2" t="str">
            <v>실     명</v>
          </cell>
        </row>
      </sheetData>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2">
          <cell r="A2" t="str">
            <v>실     명</v>
          </cell>
        </row>
      </sheetData>
      <sheetData sheetId="981" refreshError="1"/>
      <sheetData sheetId="982" refreshError="1"/>
      <sheetData sheetId="983" refreshError="1"/>
      <sheetData sheetId="984">
        <row r="2">
          <cell r="A2" t="str">
            <v>실     명</v>
          </cell>
        </row>
      </sheetData>
      <sheetData sheetId="985">
        <row r="2">
          <cell r="A2" t="str">
            <v>실     명</v>
          </cell>
        </row>
      </sheetData>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2">
          <cell r="A2" t="str">
            <v>실     명</v>
          </cell>
        </row>
      </sheetData>
      <sheetData sheetId="1036">
        <row r="2">
          <cell r="A2" t="str">
            <v>실     명</v>
          </cell>
        </row>
      </sheetData>
      <sheetData sheetId="1037">
        <row r="2">
          <cell r="A2" t="str">
            <v>실     명</v>
          </cell>
        </row>
      </sheetData>
      <sheetData sheetId="1038">
        <row r="2">
          <cell r="A2" t="str">
            <v>실     명</v>
          </cell>
        </row>
      </sheetData>
      <sheetData sheetId="1039">
        <row r="2">
          <cell r="A2" t="str">
            <v>실     명</v>
          </cell>
        </row>
      </sheetData>
      <sheetData sheetId="1040">
        <row r="2">
          <cell r="A2" t="str">
            <v>실     명</v>
          </cell>
        </row>
      </sheetData>
      <sheetData sheetId="1041">
        <row r="2">
          <cell r="A2" t="str">
            <v>실     명</v>
          </cell>
        </row>
      </sheetData>
      <sheetData sheetId="1042">
        <row r="2">
          <cell r="A2" t="str">
            <v>실     명</v>
          </cell>
        </row>
      </sheetData>
      <sheetData sheetId="1043">
        <row r="2">
          <cell r="A2" t="str">
            <v>실     명</v>
          </cell>
        </row>
      </sheetData>
      <sheetData sheetId="1044">
        <row r="2">
          <cell r="A2" t="str">
            <v>실     명</v>
          </cell>
        </row>
      </sheetData>
      <sheetData sheetId="1045">
        <row r="2">
          <cell r="A2" t="str">
            <v>실     명</v>
          </cell>
        </row>
      </sheetData>
      <sheetData sheetId="1046">
        <row r="2">
          <cell r="A2" t="str">
            <v>실     명</v>
          </cell>
        </row>
      </sheetData>
      <sheetData sheetId="1047">
        <row r="2">
          <cell r="A2" t="str">
            <v>실     명</v>
          </cell>
        </row>
      </sheetData>
      <sheetData sheetId="1048">
        <row r="2">
          <cell r="A2" t="str">
            <v>실     명</v>
          </cell>
        </row>
      </sheetData>
      <sheetData sheetId="1049">
        <row r="2">
          <cell r="A2" t="str">
            <v>실     명</v>
          </cell>
        </row>
      </sheetData>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ow r="2">
          <cell r="A2" t="str">
            <v>실     명</v>
          </cell>
        </row>
      </sheetData>
      <sheetData sheetId="1133">
        <row r="2">
          <cell r="A2" t="str">
            <v>실     명</v>
          </cell>
        </row>
      </sheetData>
      <sheetData sheetId="1134" refreshError="1"/>
      <sheetData sheetId="1135" refreshError="1"/>
      <sheetData sheetId="1136" refreshError="1"/>
      <sheetData sheetId="1137">
        <row r="2">
          <cell r="A2" t="str">
            <v>실     명</v>
          </cell>
        </row>
      </sheetData>
      <sheetData sheetId="1138" refreshError="1"/>
      <sheetData sheetId="1139" refreshError="1"/>
      <sheetData sheetId="1140">
        <row r="2">
          <cell r="A2" t="str">
            <v>실     명</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ow r="2">
          <cell r="A2" t="str">
            <v>실     명</v>
          </cell>
        </row>
      </sheetData>
      <sheetData sheetId="1149">
        <row r="2">
          <cell r="A2" t="str">
            <v>실     명</v>
          </cell>
        </row>
      </sheetData>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ow r="2">
          <cell r="A2" t="str">
            <v>실     명</v>
          </cell>
        </row>
      </sheetData>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ow r="2">
          <cell r="A2" t="str">
            <v>실     명</v>
          </cell>
        </row>
      </sheetData>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2">
          <cell r="A2" t="str">
            <v>실     명</v>
          </cell>
        </row>
      </sheetData>
      <sheetData sheetId="1387">
        <row r="2">
          <cell r="A2" t="str">
            <v>실     명</v>
          </cell>
        </row>
      </sheetData>
      <sheetData sheetId="1388">
        <row r="2">
          <cell r="A2" t="str">
            <v>실     명</v>
          </cell>
        </row>
      </sheetData>
      <sheetData sheetId="1389">
        <row r="2">
          <cell r="A2" t="str">
            <v>실     명</v>
          </cell>
        </row>
      </sheetData>
      <sheetData sheetId="1390">
        <row r="2">
          <cell r="A2" t="str">
            <v>실     명</v>
          </cell>
        </row>
      </sheetData>
      <sheetData sheetId="1391">
        <row r="2">
          <cell r="A2" t="str">
            <v>실     명</v>
          </cell>
        </row>
      </sheetData>
      <sheetData sheetId="1392">
        <row r="2">
          <cell r="A2" t="str">
            <v>실     명</v>
          </cell>
        </row>
      </sheetData>
      <sheetData sheetId="1393">
        <row r="2">
          <cell r="A2" t="str">
            <v>실     명</v>
          </cell>
        </row>
      </sheetData>
      <sheetData sheetId="1394">
        <row r="2">
          <cell r="A2" t="str">
            <v>실     명</v>
          </cell>
        </row>
      </sheetData>
      <sheetData sheetId="1395">
        <row r="2">
          <cell r="A2" t="str">
            <v>실     명</v>
          </cell>
        </row>
      </sheetData>
      <sheetData sheetId="1396">
        <row r="2">
          <cell r="A2" t="str">
            <v>실     명</v>
          </cell>
        </row>
      </sheetData>
      <sheetData sheetId="1397">
        <row r="2">
          <cell r="A2" t="str">
            <v>실     명</v>
          </cell>
        </row>
      </sheetData>
      <sheetData sheetId="1398">
        <row r="2">
          <cell r="A2" t="str">
            <v>실     명</v>
          </cell>
        </row>
      </sheetData>
      <sheetData sheetId="1399">
        <row r="2">
          <cell r="A2" t="str">
            <v>실     명</v>
          </cell>
        </row>
      </sheetData>
      <sheetData sheetId="1400">
        <row r="2">
          <cell r="A2" t="str">
            <v>실     명</v>
          </cell>
        </row>
      </sheetData>
      <sheetData sheetId="1401">
        <row r="2">
          <cell r="A2" t="str">
            <v>실     명</v>
          </cell>
        </row>
      </sheetData>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ow r="2">
          <cell r="A2" t="str">
            <v>실     명</v>
          </cell>
        </row>
      </sheetData>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ow r="2">
          <cell r="A2" t="str">
            <v>실     명</v>
          </cell>
        </row>
      </sheetData>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ow r="2">
          <cell r="A2" t="str">
            <v>실     명</v>
          </cell>
        </row>
      </sheetData>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ow r="2">
          <cell r="A2" t="str">
            <v>실     명</v>
          </cell>
        </row>
      </sheetData>
      <sheetData sheetId="1564">
        <row r="2">
          <cell r="A2" t="str">
            <v>실     명</v>
          </cell>
        </row>
      </sheetData>
      <sheetData sheetId="1565">
        <row r="2">
          <cell r="A2" t="str">
            <v>실     명</v>
          </cell>
        </row>
      </sheetData>
      <sheetData sheetId="1566">
        <row r="2">
          <cell r="A2" t="str">
            <v>실     명</v>
          </cell>
        </row>
      </sheetData>
      <sheetData sheetId="1567" refreshError="1"/>
      <sheetData sheetId="1568" refreshError="1"/>
      <sheetData sheetId="1569">
        <row r="2">
          <cell r="A2" t="str">
            <v>실     명</v>
          </cell>
        </row>
      </sheetData>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ow r="2">
          <cell r="A2" t="str">
            <v>B¹</v>
          </cell>
        </row>
      </sheetData>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ow r="2">
          <cell r="A2" t="str">
            <v>실     명</v>
          </cell>
        </row>
      </sheetData>
      <sheetData sheetId="1614">
        <row r="2">
          <cell r="A2" t="str">
            <v>실     명</v>
          </cell>
        </row>
      </sheetData>
      <sheetData sheetId="1615">
        <row r="2">
          <cell r="A2" t="str">
            <v>B¹</v>
          </cell>
        </row>
      </sheetData>
      <sheetData sheetId="1616">
        <row r="2">
          <cell r="A2" t="str">
            <v>B¹</v>
          </cell>
        </row>
      </sheetData>
      <sheetData sheetId="1617">
        <row r="2">
          <cell r="A2" t="str">
            <v>$</v>
          </cell>
        </row>
      </sheetData>
      <sheetData sheetId="1618">
        <row r="2">
          <cell r="A2" t="str">
            <v>실     명</v>
          </cell>
        </row>
      </sheetData>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ow r="2">
          <cell r="A2" t="str">
            <v>실     명</v>
          </cell>
        </row>
      </sheetData>
      <sheetData sheetId="1635">
        <row r="2">
          <cell r="A2" t="str">
            <v>실     명</v>
          </cell>
        </row>
      </sheetData>
      <sheetData sheetId="1636">
        <row r="2">
          <cell r="A2" t="str">
            <v>실     명</v>
          </cell>
        </row>
      </sheetData>
      <sheetData sheetId="1637">
        <row r="2">
          <cell r="A2" t="str">
            <v>실     명</v>
          </cell>
        </row>
      </sheetData>
      <sheetData sheetId="1638">
        <row r="2">
          <cell r="A2" t="str">
            <v>실     명</v>
          </cell>
        </row>
      </sheetData>
      <sheetData sheetId="1639">
        <row r="2">
          <cell r="A2" t="str">
            <v>실     명</v>
          </cell>
        </row>
      </sheetData>
      <sheetData sheetId="1640">
        <row r="2">
          <cell r="A2" t="str">
            <v>실     명</v>
          </cell>
        </row>
      </sheetData>
      <sheetData sheetId="1641">
        <row r="2">
          <cell r="A2" t="str">
            <v>실     명</v>
          </cell>
        </row>
      </sheetData>
      <sheetData sheetId="1642">
        <row r="2">
          <cell r="A2" t="str">
            <v>Y</v>
          </cell>
        </row>
      </sheetData>
      <sheetData sheetId="1643">
        <row r="2">
          <cell r="A2" t="str">
            <v>실     명</v>
          </cell>
        </row>
      </sheetData>
      <sheetData sheetId="1644">
        <row r="2">
          <cell r="A2" t="str">
            <v>실     명</v>
          </cell>
        </row>
      </sheetData>
      <sheetData sheetId="1645">
        <row r="2">
          <cell r="A2" t="str">
            <v>실     명</v>
          </cell>
        </row>
      </sheetData>
      <sheetData sheetId="1646">
        <row r="2">
          <cell r="A2" t="str">
            <v>실     명</v>
          </cell>
        </row>
      </sheetData>
      <sheetData sheetId="1647">
        <row r="2">
          <cell r="A2" t="str">
            <v>실     명</v>
          </cell>
        </row>
      </sheetData>
      <sheetData sheetId="1648">
        <row r="2">
          <cell r="A2" t="str">
            <v>실     명</v>
          </cell>
        </row>
      </sheetData>
      <sheetData sheetId="1649">
        <row r="2">
          <cell r="A2" t="str">
            <v>실     명</v>
          </cell>
        </row>
      </sheetData>
      <sheetData sheetId="1650">
        <row r="2">
          <cell r="A2" t="str">
            <v>실     명</v>
          </cell>
        </row>
      </sheetData>
      <sheetData sheetId="1651">
        <row r="2">
          <cell r="A2" t="str">
            <v>실     명</v>
          </cell>
        </row>
      </sheetData>
      <sheetData sheetId="1652">
        <row r="2">
          <cell r="A2" t="str">
            <v>실     명</v>
          </cell>
        </row>
      </sheetData>
      <sheetData sheetId="1653">
        <row r="2">
          <cell r="A2" t="str">
            <v>실     명</v>
          </cell>
        </row>
      </sheetData>
      <sheetData sheetId="1654">
        <row r="2">
          <cell r="A2" t="str">
            <v>실     명</v>
          </cell>
        </row>
      </sheetData>
      <sheetData sheetId="1655">
        <row r="2">
          <cell r="A2" t="str">
            <v>실     명</v>
          </cell>
        </row>
      </sheetData>
      <sheetData sheetId="1656">
        <row r="2">
          <cell r="A2" t="str">
            <v>실     명</v>
          </cell>
        </row>
      </sheetData>
      <sheetData sheetId="1657">
        <row r="2">
          <cell r="A2" t="str">
            <v>실     명</v>
          </cell>
        </row>
      </sheetData>
      <sheetData sheetId="1658">
        <row r="2">
          <cell r="A2" t="str">
            <v>실     명</v>
          </cell>
        </row>
      </sheetData>
      <sheetData sheetId="1659">
        <row r="2">
          <cell r="A2" t="str">
            <v>실     명</v>
          </cell>
        </row>
      </sheetData>
      <sheetData sheetId="1660">
        <row r="2">
          <cell r="A2" t="str">
            <v>실     명</v>
          </cell>
        </row>
      </sheetData>
      <sheetData sheetId="1661">
        <row r="2">
          <cell r="A2" t="str">
            <v>실     명</v>
          </cell>
        </row>
      </sheetData>
      <sheetData sheetId="1662">
        <row r="2">
          <cell r="A2" t="str">
            <v>실     명</v>
          </cell>
        </row>
      </sheetData>
      <sheetData sheetId="1663">
        <row r="2">
          <cell r="A2" t="str">
            <v>실     명</v>
          </cell>
        </row>
      </sheetData>
      <sheetData sheetId="1664">
        <row r="2">
          <cell r="A2" t="str">
            <v>실     명</v>
          </cell>
        </row>
      </sheetData>
      <sheetData sheetId="1665">
        <row r="2">
          <cell r="A2" t="str">
            <v>실     명</v>
          </cell>
        </row>
      </sheetData>
      <sheetData sheetId="1666">
        <row r="2">
          <cell r="A2" t="str">
            <v>실     명</v>
          </cell>
        </row>
      </sheetData>
      <sheetData sheetId="1667">
        <row r="2">
          <cell r="A2" t="str">
            <v>실     명</v>
          </cell>
        </row>
      </sheetData>
      <sheetData sheetId="1668">
        <row r="2">
          <cell r="A2" t="str">
            <v>실     명</v>
          </cell>
        </row>
      </sheetData>
      <sheetData sheetId="1669">
        <row r="2">
          <cell r="A2" t="str">
            <v>실     명</v>
          </cell>
        </row>
      </sheetData>
      <sheetData sheetId="1670">
        <row r="2">
          <cell r="A2" t="str">
            <v>실     명</v>
          </cell>
        </row>
      </sheetData>
      <sheetData sheetId="1671">
        <row r="2">
          <cell r="A2" t="str">
            <v>실     명</v>
          </cell>
        </row>
      </sheetData>
      <sheetData sheetId="1672">
        <row r="2">
          <cell r="A2" t="str">
            <v>실     명</v>
          </cell>
        </row>
      </sheetData>
      <sheetData sheetId="1673">
        <row r="2">
          <cell r="A2" t="str">
            <v>실     명</v>
          </cell>
        </row>
      </sheetData>
      <sheetData sheetId="1674">
        <row r="2">
          <cell r="A2" t="str">
            <v>실     명</v>
          </cell>
        </row>
      </sheetData>
      <sheetData sheetId="1675">
        <row r="2">
          <cell r="A2" t="str">
            <v>실     명</v>
          </cell>
        </row>
      </sheetData>
      <sheetData sheetId="1676">
        <row r="2">
          <cell r="A2" t="str">
            <v>실     명</v>
          </cell>
        </row>
      </sheetData>
      <sheetData sheetId="1677">
        <row r="2">
          <cell r="A2" t="str">
            <v>실     명</v>
          </cell>
        </row>
      </sheetData>
      <sheetData sheetId="1678">
        <row r="2">
          <cell r="A2" t="str">
            <v>실     명</v>
          </cell>
        </row>
      </sheetData>
      <sheetData sheetId="1679">
        <row r="2">
          <cell r="A2" t="str">
            <v>실     명</v>
          </cell>
        </row>
      </sheetData>
      <sheetData sheetId="1680">
        <row r="2">
          <cell r="A2" t="str">
            <v>실     명</v>
          </cell>
        </row>
      </sheetData>
      <sheetData sheetId="1681">
        <row r="2">
          <cell r="A2" t="str">
            <v>실     명</v>
          </cell>
        </row>
      </sheetData>
      <sheetData sheetId="1682">
        <row r="2">
          <cell r="A2" t="str">
            <v>실     명</v>
          </cell>
        </row>
      </sheetData>
      <sheetData sheetId="1683">
        <row r="2">
          <cell r="A2" t="str">
            <v>실     명</v>
          </cell>
        </row>
      </sheetData>
      <sheetData sheetId="1684">
        <row r="2">
          <cell r="A2" t="str">
            <v>실     명</v>
          </cell>
        </row>
      </sheetData>
      <sheetData sheetId="1685">
        <row r="2">
          <cell r="A2" t="str">
            <v>실     명</v>
          </cell>
        </row>
      </sheetData>
      <sheetData sheetId="1686">
        <row r="2">
          <cell r="A2" t="str">
            <v>실     명</v>
          </cell>
        </row>
      </sheetData>
      <sheetData sheetId="1687">
        <row r="2">
          <cell r="A2" t="str">
            <v>실     명</v>
          </cell>
        </row>
      </sheetData>
      <sheetData sheetId="1688">
        <row r="2">
          <cell r="A2" t="str">
            <v>실     명</v>
          </cell>
        </row>
      </sheetData>
      <sheetData sheetId="1689">
        <row r="2">
          <cell r="A2" t="str">
            <v>실     명</v>
          </cell>
        </row>
      </sheetData>
      <sheetData sheetId="1690">
        <row r="2">
          <cell r="A2" t="str">
            <v>실     명</v>
          </cell>
        </row>
      </sheetData>
      <sheetData sheetId="1691">
        <row r="2">
          <cell r="A2" t="str">
            <v>실     명</v>
          </cell>
        </row>
      </sheetData>
      <sheetData sheetId="1692">
        <row r="2">
          <cell r="A2" t="str">
            <v>실     명</v>
          </cell>
        </row>
      </sheetData>
      <sheetData sheetId="1693">
        <row r="2">
          <cell r="A2" t="str">
            <v>실     명</v>
          </cell>
        </row>
      </sheetData>
      <sheetData sheetId="1694">
        <row r="2">
          <cell r="A2" t="str">
            <v>실     명</v>
          </cell>
        </row>
      </sheetData>
      <sheetData sheetId="1695">
        <row r="2">
          <cell r="A2" t="str">
            <v>실     명</v>
          </cell>
        </row>
      </sheetData>
      <sheetData sheetId="1696">
        <row r="2">
          <cell r="A2" t="str">
            <v>실     명</v>
          </cell>
        </row>
      </sheetData>
      <sheetData sheetId="1697">
        <row r="2">
          <cell r="A2" t="str">
            <v>실     명</v>
          </cell>
        </row>
      </sheetData>
      <sheetData sheetId="1698">
        <row r="2">
          <cell r="A2" t="str">
            <v>실     명</v>
          </cell>
        </row>
      </sheetData>
      <sheetData sheetId="1699">
        <row r="2">
          <cell r="A2" t="str">
            <v>실     명</v>
          </cell>
        </row>
      </sheetData>
      <sheetData sheetId="1700">
        <row r="2">
          <cell r="A2" t="str">
            <v>실     명</v>
          </cell>
        </row>
      </sheetData>
      <sheetData sheetId="1701">
        <row r="2">
          <cell r="A2" t="str">
            <v>실     명</v>
          </cell>
        </row>
      </sheetData>
      <sheetData sheetId="1702">
        <row r="2">
          <cell r="A2" t="str">
            <v>실     명</v>
          </cell>
        </row>
      </sheetData>
      <sheetData sheetId="1703">
        <row r="2">
          <cell r="A2" t="str">
            <v>실     명</v>
          </cell>
        </row>
      </sheetData>
      <sheetData sheetId="1704">
        <row r="2">
          <cell r="A2" t="str">
            <v>실     명</v>
          </cell>
        </row>
      </sheetData>
      <sheetData sheetId="1705">
        <row r="2">
          <cell r="A2" t="str">
            <v>실     명</v>
          </cell>
        </row>
      </sheetData>
      <sheetData sheetId="1706">
        <row r="2">
          <cell r="A2" t="str">
            <v>실     명</v>
          </cell>
        </row>
      </sheetData>
      <sheetData sheetId="1707">
        <row r="2">
          <cell r="A2" t="str">
            <v>실     명</v>
          </cell>
        </row>
      </sheetData>
      <sheetData sheetId="1708">
        <row r="2">
          <cell r="A2" t="str">
            <v>실     명</v>
          </cell>
        </row>
      </sheetData>
      <sheetData sheetId="1709">
        <row r="2">
          <cell r="A2" t="str">
            <v>실     명</v>
          </cell>
        </row>
      </sheetData>
      <sheetData sheetId="1710">
        <row r="2">
          <cell r="A2" t="str">
            <v>실     명</v>
          </cell>
        </row>
      </sheetData>
      <sheetData sheetId="1711">
        <row r="2">
          <cell r="A2" t="str">
            <v>실     명</v>
          </cell>
        </row>
      </sheetData>
      <sheetData sheetId="1712">
        <row r="2">
          <cell r="A2" t="str">
            <v>실     명</v>
          </cell>
        </row>
      </sheetData>
      <sheetData sheetId="1713">
        <row r="2">
          <cell r="A2" t="str">
            <v>실     명</v>
          </cell>
        </row>
      </sheetData>
      <sheetData sheetId="1714">
        <row r="2">
          <cell r="A2" t="str">
            <v>실     명</v>
          </cell>
        </row>
      </sheetData>
      <sheetData sheetId="1715">
        <row r="2">
          <cell r="A2" t="str">
            <v>실     명</v>
          </cell>
        </row>
      </sheetData>
      <sheetData sheetId="1716">
        <row r="2">
          <cell r="A2" t="str">
            <v>실     명</v>
          </cell>
        </row>
      </sheetData>
      <sheetData sheetId="1717">
        <row r="2">
          <cell r="A2" t="str">
            <v>실     명</v>
          </cell>
        </row>
      </sheetData>
      <sheetData sheetId="1718">
        <row r="2">
          <cell r="A2" t="str">
            <v>실     명</v>
          </cell>
        </row>
      </sheetData>
      <sheetData sheetId="1719">
        <row r="2">
          <cell r="A2" t="str">
            <v>실     명</v>
          </cell>
        </row>
      </sheetData>
      <sheetData sheetId="1720">
        <row r="2">
          <cell r="A2" t="str">
            <v>실     명</v>
          </cell>
        </row>
      </sheetData>
      <sheetData sheetId="1721">
        <row r="2">
          <cell r="A2" t="str">
            <v>실     명</v>
          </cell>
        </row>
      </sheetData>
      <sheetData sheetId="1722">
        <row r="2">
          <cell r="A2" t="str">
            <v>실     명</v>
          </cell>
        </row>
      </sheetData>
      <sheetData sheetId="1723">
        <row r="2">
          <cell r="A2" t="str">
            <v>실     명</v>
          </cell>
        </row>
      </sheetData>
      <sheetData sheetId="1724">
        <row r="2">
          <cell r="A2" t="str">
            <v>실     명</v>
          </cell>
        </row>
      </sheetData>
      <sheetData sheetId="1725">
        <row r="2">
          <cell r="A2" t="str">
            <v>실     명</v>
          </cell>
        </row>
      </sheetData>
      <sheetData sheetId="1726">
        <row r="2">
          <cell r="A2" t="str">
            <v>실     명</v>
          </cell>
        </row>
      </sheetData>
      <sheetData sheetId="1727">
        <row r="2">
          <cell r="A2" t="str">
            <v>실     명</v>
          </cell>
        </row>
      </sheetData>
      <sheetData sheetId="1728">
        <row r="2">
          <cell r="A2" t="str">
            <v>실     명</v>
          </cell>
        </row>
      </sheetData>
      <sheetData sheetId="1729">
        <row r="2">
          <cell r="A2" t="str">
            <v>실     명</v>
          </cell>
        </row>
      </sheetData>
      <sheetData sheetId="1730">
        <row r="2">
          <cell r="A2" t="str">
            <v>실     명</v>
          </cell>
        </row>
      </sheetData>
      <sheetData sheetId="1731">
        <row r="2">
          <cell r="A2" t="str">
            <v>실     명</v>
          </cell>
        </row>
      </sheetData>
      <sheetData sheetId="1732">
        <row r="2">
          <cell r="A2" t="str">
            <v>실     명</v>
          </cell>
        </row>
      </sheetData>
      <sheetData sheetId="1733">
        <row r="2">
          <cell r="A2" t="str">
            <v>실     명</v>
          </cell>
        </row>
      </sheetData>
      <sheetData sheetId="1734">
        <row r="2">
          <cell r="A2" t="str">
            <v>실     명</v>
          </cell>
        </row>
      </sheetData>
      <sheetData sheetId="1735">
        <row r="2">
          <cell r="A2" t="str">
            <v>실     명</v>
          </cell>
        </row>
      </sheetData>
      <sheetData sheetId="1736">
        <row r="2">
          <cell r="A2" t="str">
            <v>실     명</v>
          </cell>
        </row>
      </sheetData>
      <sheetData sheetId="1737">
        <row r="2">
          <cell r="A2" t="str">
            <v>실     명</v>
          </cell>
        </row>
      </sheetData>
      <sheetData sheetId="1738">
        <row r="2">
          <cell r="A2" t="str">
            <v>실     명</v>
          </cell>
        </row>
      </sheetData>
      <sheetData sheetId="1739">
        <row r="2">
          <cell r="A2" t="str">
            <v>실     명</v>
          </cell>
        </row>
      </sheetData>
      <sheetData sheetId="1740">
        <row r="2">
          <cell r="A2" t="str">
            <v>실     명</v>
          </cell>
        </row>
      </sheetData>
      <sheetData sheetId="1741">
        <row r="2">
          <cell r="A2" t="str">
            <v>실     명</v>
          </cell>
        </row>
      </sheetData>
      <sheetData sheetId="1742">
        <row r="2">
          <cell r="A2" t="str">
            <v>실     명</v>
          </cell>
        </row>
      </sheetData>
      <sheetData sheetId="1743">
        <row r="2">
          <cell r="A2" t="str">
            <v>실     명</v>
          </cell>
        </row>
      </sheetData>
      <sheetData sheetId="1744">
        <row r="2">
          <cell r="A2" t="str">
            <v>실     명</v>
          </cell>
        </row>
      </sheetData>
      <sheetData sheetId="1745">
        <row r="2">
          <cell r="A2" t="str">
            <v>실     명</v>
          </cell>
        </row>
      </sheetData>
      <sheetData sheetId="1746">
        <row r="2">
          <cell r="A2" t="str">
            <v>실     명</v>
          </cell>
        </row>
      </sheetData>
      <sheetData sheetId="1747">
        <row r="2">
          <cell r="A2" t="str">
            <v>실     명</v>
          </cell>
        </row>
      </sheetData>
      <sheetData sheetId="1748">
        <row r="2">
          <cell r="A2" t="str">
            <v>실     명</v>
          </cell>
        </row>
      </sheetData>
      <sheetData sheetId="1749">
        <row r="2">
          <cell r="A2" t="str">
            <v>실     명</v>
          </cell>
        </row>
      </sheetData>
      <sheetData sheetId="1750">
        <row r="2">
          <cell r="A2" t="str">
            <v>실     명</v>
          </cell>
        </row>
      </sheetData>
      <sheetData sheetId="1751">
        <row r="2">
          <cell r="A2" t="str">
            <v>실     명</v>
          </cell>
        </row>
      </sheetData>
      <sheetData sheetId="1752">
        <row r="2">
          <cell r="A2" t="str">
            <v>실     명</v>
          </cell>
        </row>
      </sheetData>
      <sheetData sheetId="1753">
        <row r="2">
          <cell r="A2" t="str">
            <v>실     명</v>
          </cell>
        </row>
      </sheetData>
      <sheetData sheetId="1754">
        <row r="2">
          <cell r="A2" t="str">
            <v>실     명</v>
          </cell>
        </row>
      </sheetData>
      <sheetData sheetId="1755">
        <row r="2">
          <cell r="A2" t="str">
            <v>실     명</v>
          </cell>
        </row>
      </sheetData>
      <sheetData sheetId="1756">
        <row r="2">
          <cell r="A2" t="str">
            <v>실     명</v>
          </cell>
        </row>
      </sheetData>
      <sheetData sheetId="1757">
        <row r="2">
          <cell r="A2" t="str">
            <v>실     명</v>
          </cell>
        </row>
      </sheetData>
      <sheetData sheetId="1758">
        <row r="2">
          <cell r="A2" t="str">
            <v>실     명</v>
          </cell>
        </row>
      </sheetData>
      <sheetData sheetId="1759">
        <row r="2">
          <cell r="A2" t="str">
            <v>실     명</v>
          </cell>
        </row>
      </sheetData>
      <sheetData sheetId="1760">
        <row r="2">
          <cell r="A2" t="str">
            <v>실     명</v>
          </cell>
        </row>
      </sheetData>
      <sheetData sheetId="1761">
        <row r="2">
          <cell r="A2" t="str">
            <v>실     명</v>
          </cell>
        </row>
      </sheetData>
      <sheetData sheetId="1762">
        <row r="2">
          <cell r="A2" t="str">
            <v>실     명</v>
          </cell>
        </row>
      </sheetData>
      <sheetData sheetId="1763">
        <row r="2">
          <cell r="A2" t="str">
            <v>실     명</v>
          </cell>
        </row>
      </sheetData>
      <sheetData sheetId="1764">
        <row r="2">
          <cell r="A2" t="str">
            <v>실     명</v>
          </cell>
        </row>
      </sheetData>
      <sheetData sheetId="1765">
        <row r="2">
          <cell r="A2" t="str">
            <v>실     명</v>
          </cell>
        </row>
      </sheetData>
      <sheetData sheetId="1766">
        <row r="2">
          <cell r="A2" t="str">
            <v>실     명</v>
          </cell>
        </row>
      </sheetData>
      <sheetData sheetId="1767">
        <row r="2">
          <cell r="A2" t="str">
            <v>실     명</v>
          </cell>
        </row>
      </sheetData>
      <sheetData sheetId="1768">
        <row r="2">
          <cell r="A2" t="str">
            <v>실     명</v>
          </cell>
        </row>
      </sheetData>
      <sheetData sheetId="1769">
        <row r="2">
          <cell r="A2" t="str">
            <v>실     명</v>
          </cell>
        </row>
      </sheetData>
      <sheetData sheetId="1770">
        <row r="2">
          <cell r="A2" t="str">
            <v>실     명</v>
          </cell>
        </row>
      </sheetData>
      <sheetData sheetId="1771">
        <row r="2">
          <cell r="A2" t="str">
            <v>실     명</v>
          </cell>
        </row>
      </sheetData>
      <sheetData sheetId="1772">
        <row r="2">
          <cell r="A2" t="str">
            <v>실     명</v>
          </cell>
        </row>
      </sheetData>
      <sheetData sheetId="1773">
        <row r="2">
          <cell r="A2" t="str">
            <v>실     명</v>
          </cell>
        </row>
      </sheetData>
      <sheetData sheetId="1774">
        <row r="2">
          <cell r="A2" t="str">
            <v>실     명</v>
          </cell>
        </row>
      </sheetData>
      <sheetData sheetId="1775">
        <row r="2">
          <cell r="A2" t="str">
            <v>실     명</v>
          </cell>
        </row>
      </sheetData>
      <sheetData sheetId="1776">
        <row r="2">
          <cell r="A2" t="str">
            <v>실     명</v>
          </cell>
        </row>
      </sheetData>
      <sheetData sheetId="1777">
        <row r="2">
          <cell r="A2" t="str">
            <v>실     명</v>
          </cell>
        </row>
      </sheetData>
      <sheetData sheetId="1778">
        <row r="2">
          <cell r="A2" t="str">
            <v>실     명</v>
          </cell>
        </row>
      </sheetData>
      <sheetData sheetId="1779">
        <row r="2">
          <cell r="A2" t="str">
            <v>실     명</v>
          </cell>
        </row>
      </sheetData>
      <sheetData sheetId="1780">
        <row r="2">
          <cell r="A2" t="str">
            <v>실     명</v>
          </cell>
        </row>
      </sheetData>
      <sheetData sheetId="1781">
        <row r="2">
          <cell r="A2" t="str">
            <v>실     명</v>
          </cell>
        </row>
      </sheetData>
      <sheetData sheetId="1782">
        <row r="2">
          <cell r="A2" t="str">
            <v>실     명</v>
          </cell>
        </row>
      </sheetData>
      <sheetData sheetId="1783">
        <row r="2">
          <cell r="A2" t="str">
            <v>실     명</v>
          </cell>
        </row>
      </sheetData>
      <sheetData sheetId="1784">
        <row r="2">
          <cell r="A2" t="str">
            <v>실     명</v>
          </cell>
        </row>
      </sheetData>
      <sheetData sheetId="1785">
        <row r="2">
          <cell r="A2" t="str">
            <v>실     명</v>
          </cell>
        </row>
      </sheetData>
      <sheetData sheetId="1786">
        <row r="2">
          <cell r="A2" t="str">
            <v>실     명</v>
          </cell>
        </row>
      </sheetData>
      <sheetData sheetId="1787">
        <row r="2">
          <cell r="A2" t="str">
            <v>실     명</v>
          </cell>
        </row>
      </sheetData>
      <sheetData sheetId="1788">
        <row r="2">
          <cell r="A2" t="str">
            <v>실     명</v>
          </cell>
        </row>
      </sheetData>
      <sheetData sheetId="1789">
        <row r="2">
          <cell r="A2" t="str">
            <v>실     명</v>
          </cell>
        </row>
      </sheetData>
      <sheetData sheetId="1790">
        <row r="2">
          <cell r="A2" t="str">
            <v>실     명</v>
          </cell>
        </row>
      </sheetData>
      <sheetData sheetId="1791">
        <row r="2">
          <cell r="A2" t="str">
            <v>실     명</v>
          </cell>
        </row>
      </sheetData>
      <sheetData sheetId="1792">
        <row r="2">
          <cell r="A2" t="str">
            <v>실     명</v>
          </cell>
        </row>
      </sheetData>
      <sheetData sheetId="1793">
        <row r="2">
          <cell r="A2" t="str">
            <v>실     명</v>
          </cell>
        </row>
      </sheetData>
      <sheetData sheetId="1794">
        <row r="2">
          <cell r="A2" t="str">
            <v>실     명</v>
          </cell>
        </row>
      </sheetData>
      <sheetData sheetId="1795">
        <row r="2">
          <cell r="A2" t="str">
            <v>실     명</v>
          </cell>
        </row>
      </sheetData>
      <sheetData sheetId="1796">
        <row r="2">
          <cell r="A2" t="str">
            <v>실     명</v>
          </cell>
        </row>
      </sheetData>
      <sheetData sheetId="1797">
        <row r="2">
          <cell r="A2" t="str">
            <v>실     명</v>
          </cell>
        </row>
      </sheetData>
      <sheetData sheetId="1798">
        <row r="2">
          <cell r="A2" t="str">
            <v>실     명</v>
          </cell>
        </row>
      </sheetData>
      <sheetData sheetId="1799">
        <row r="2">
          <cell r="A2" t="str">
            <v>실     명</v>
          </cell>
        </row>
      </sheetData>
      <sheetData sheetId="1800">
        <row r="2">
          <cell r="A2" t="str">
            <v>실     명</v>
          </cell>
        </row>
      </sheetData>
      <sheetData sheetId="1801">
        <row r="2">
          <cell r="A2" t="str">
            <v>실     명</v>
          </cell>
        </row>
      </sheetData>
      <sheetData sheetId="1802">
        <row r="2">
          <cell r="A2" t="str">
            <v>실     명</v>
          </cell>
        </row>
      </sheetData>
      <sheetData sheetId="1803">
        <row r="2">
          <cell r="A2" t="str">
            <v>실     명</v>
          </cell>
        </row>
      </sheetData>
      <sheetData sheetId="1804">
        <row r="2">
          <cell r="A2" t="str">
            <v>실     명</v>
          </cell>
        </row>
      </sheetData>
      <sheetData sheetId="1805">
        <row r="2">
          <cell r="A2" t="str">
            <v>실     명</v>
          </cell>
        </row>
      </sheetData>
      <sheetData sheetId="1806">
        <row r="2">
          <cell r="A2" t="str">
            <v>실     명</v>
          </cell>
        </row>
      </sheetData>
      <sheetData sheetId="1807">
        <row r="2">
          <cell r="A2" t="str">
            <v>실     명</v>
          </cell>
        </row>
      </sheetData>
      <sheetData sheetId="1808">
        <row r="2">
          <cell r="A2" t="str">
            <v>실     명</v>
          </cell>
        </row>
      </sheetData>
      <sheetData sheetId="1809">
        <row r="2">
          <cell r="A2" t="str">
            <v>실     명</v>
          </cell>
        </row>
      </sheetData>
      <sheetData sheetId="1810">
        <row r="2">
          <cell r="A2" t="str">
            <v>실     명</v>
          </cell>
        </row>
      </sheetData>
      <sheetData sheetId="1811">
        <row r="2">
          <cell r="A2" t="str">
            <v>실     명</v>
          </cell>
        </row>
      </sheetData>
      <sheetData sheetId="1812">
        <row r="2">
          <cell r="A2" t="str">
            <v>실     명</v>
          </cell>
        </row>
      </sheetData>
      <sheetData sheetId="1813">
        <row r="2">
          <cell r="A2" t="str">
            <v>실     명</v>
          </cell>
        </row>
      </sheetData>
      <sheetData sheetId="1814">
        <row r="2">
          <cell r="A2" t="str">
            <v>실     명</v>
          </cell>
        </row>
      </sheetData>
      <sheetData sheetId="1815">
        <row r="2">
          <cell r="A2" t="str">
            <v>실     명</v>
          </cell>
        </row>
      </sheetData>
      <sheetData sheetId="1816">
        <row r="2">
          <cell r="A2" t="str">
            <v>실     명</v>
          </cell>
        </row>
      </sheetData>
      <sheetData sheetId="1817">
        <row r="2">
          <cell r="A2" t="str">
            <v>실     명</v>
          </cell>
        </row>
      </sheetData>
      <sheetData sheetId="1818">
        <row r="2">
          <cell r="A2" t="str">
            <v>실     명</v>
          </cell>
        </row>
      </sheetData>
      <sheetData sheetId="1819">
        <row r="2">
          <cell r="A2" t="str">
            <v>실     명</v>
          </cell>
        </row>
      </sheetData>
      <sheetData sheetId="1820">
        <row r="2">
          <cell r="A2" t="str">
            <v>실     명</v>
          </cell>
        </row>
      </sheetData>
      <sheetData sheetId="1821">
        <row r="2">
          <cell r="A2" t="str">
            <v>실     명</v>
          </cell>
        </row>
      </sheetData>
      <sheetData sheetId="1822">
        <row r="2">
          <cell r="A2" t="str">
            <v>실     명</v>
          </cell>
        </row>
      </sheetData>
      <sheetData sheetId="1823">
        <row r="2">
          <cell r="A2" t="str">
            <v>실     명</v>
          </cell>
        </row>
      </sheetData>
      <sheetData sheetId="1824">
        <row r="2">
          <cell r="A2" t="str">
            <v>실     명</v>
          </cell>
        </row>
      </sheetData>
      <sheetData sheetId="1825">
        <row r="2">
          <cell r="A2" t="str">
            <v>실     명</v>
          </cell>
        </row>
      </sheetData>
      <sheetData sheetId="1826">
        <row r="2">
          <cell r="A2" t="str">
            <v>실     명</v>
          </cell>
        </row>
      </sheetData>
      <sheetData sheetId="1827">
        <row r="2">
          <cell r="A2" t="str">
            <v>실     명</v>
          </cell>
        </row>
      </sheetData>
      <sheetData sheetId="1828">
        <row r="2">
          <cell r="A2" t="str">
            <v>실     명</v>
          </cell>
        </row>
      </sheetData>
      <sheetData sheetId="1829">
        <row r="2">
          <cell r="A2" t="str">
            <v>실     명</v>
          </cell>
        </row>
      </sheetData>
      <sheetData sheetId="1830">
        <row r="2">
          <cell r="A2" t="str">
            <v>실     명</v>
          </cell>
        </row>
      </sheetData>
      <sheetData sheetId="1831">
        <row r="2">
          <cell r="A2" t="str">
            <v>실     명</v>
          </cell>
        </row>
      </sheetData>
      <sheetData sheetId="1832">
        <row r="2">
          <cell r="A2" t="str">
            <v>실     명</v>
          </cell>
        </row>
      </sheetData>
      <sheetData sheetId="1833">
        <row r="2">
          <cell r="A2" t="str">
            <v>실     명</v>
          </cell>
        </row>
      </sheetData>
      <sheetData sheetId="1834">
        <row r="2">
          <cell r="A2" t="str">
            <v>실     명</v>
          </cell>
        </row>
      </sheetData>
      <sheetData sheetId="1835">
        <row r="2">
          <cell r="A2" t="str">
            <v>실     명</v>
          </cell>
        </row>
      </sheetData>
      <sheetData sheetId="1836">
        <row r="2">
          <cell r="A2" t="str">
            <v>실     명</v>
          </cell>
        </row>
      </sheetData>
      <sheetData sheetId="1837">
        <row r="2">
          <cell r="A2" t="str">
            <v>실     명</v>
          </cell>
        </row>
      </sheetData>
      <sheetData sheetId="1838">
        <row r="2">
          <cell r="A2" t="str">
            <v>실     명</v>
          </cell>
        </row>
      </sheetData>
      <sheetData sheetId="1839">
        <row r="2">
          <cell r="A2" t="str">
            <v>실     명</v>
          </cell>
        </row>
      </sheetData>
      <sheetData sheetId="1840">
        <row r="2">
          <cell r="A2" t="str">
            <v>실     명</v>
          </cell>
        </row>
      </sheetData>
      <sheetData sheetId="1841">
        <row r="2">
          <cell r="A2" t="str">
            <v>실     명</v>
          </cell>
        </row>
      </sheetData>
      <sheetData sheetId="1842">
        <row r="2">
          <cell r="A2" t="str">
            <v>실     명</v>
          </cell>
        </row>
      </sheetData>
      <sheetData sheetId="1843">
        <row r="2">
          <cell r="A2" t="str">
            <v>실     명</v>
          </cell>
        </row>
      </sheetData>
      <sheetData sheetId="1844">
        <row r="2">
          <cell r="A2" t="str">
            <v>실     명</v>
          </cell>
        </row>
      </sheetData>
      <sheetData sheetId="1845">
        <row r="2">
          <cell r="A2" t="str">
            <v>실     명</v>
          </cell>
        </row>
      </sheetData>
      <sheetData sheetId="1846">
        <row r="2">
          <cell r="A2" t="str">
            <v>실     명</v>
          </cell>
        </row>
      </sheetData>
      <sheetData sheetId="1847">
        <row r="2">
          <cell r="A2" t="str">
            <v>실     명</v>
          </cell>
        </row>
      </sheetData>
      <sheetData sheetId="1848">
        <row r="2">
          <cell r="A2" t="str">
            <v>실     명</v>
          </cell>
        </row>
      </sheetData>
      <sheetData sheetId="1849">
        <row r="2">
          <cell r="A2" t="str">
            <v>실     명</v>
          </cell>
        </row>
      </sheetData>
      <sheetData sheetId="1850">
        <row r="2">
          <cell r="A2" t="str">
            <v>실     명</v>
          </cell>
        </row>
      </sheetData>
      <sheetData sheetId="1851">
        <row r="2">
          <cell r="A2" t="str">
            <v>실     명</v>
          </cell>
        </row>
      </sheetData>
      <sheetData sheetId="1852">
        <row r="2">
          <cell r="A2" t="str">
            <v>실     명</v>
          </cell>
        </row>
      </sheetData>
      <sheetData sheetId="1853">
        <row r="2">
          <cell r="A2" t="str">
            <v>실     명</v>
          </cell>
        </row>
      </sheetData>
      <sheetData sheetId="1854">
        <row r="2">
          <cell r="A2" t="str">
            <v>실     명</v>
          </cell>
        </row>
      </sheetData>
      <sheetData sheetId="1855">
        <row r="2">
          <cell r="A2" t="str">
            <v>레미콘</v>
          </cell>
        </row>
      </sheetData>
      <sheetData sheetId="1856">
        <row r="2">
          <cell r="A2" t="str">
            <v>실     명</v>
          </cell>
        </row>
      </sheetData>
      <sheetData sheetId="1857">
        <row r="2">
          <cell r="A2" t="str">
            <v>실     명</v>
          </cell>
        </row>
      </sheetData>
      <sheetData sheetId="1858">
        <row r="2">
          <cell r="A2" t="str">
            <v>실     명</v>
          </cell>
        </row>
      </sheetData>
      <sheetData sheetId="1859">
        <row r="2">
          <cell r="A2" t="str">
            <v>실     명</v>
          </cell>
        </row>
      </sheetData>
      <sheetData sheetId="1860">
        <row r="2">
          <cell r="A2" t="str">
            <v>실     명</v>
          </cell>
        </row>
      </sheetData>
      <sheetData sheetId="1861">
        <row r="2">
          <cell r="A2" t="str">
            <v>실     명</v>
          </cell>
        </row>
      </sheetData>
      <sheetData sheetId="1862">
        <row r="2">
          <cell r="A2" t="str">
            <v>실     명</v>
          </cell>
        </row>
      </sheetData>
      <sheetData sheetId="1863">
        <row r="2">
          <cell r="A2" t="str">
            <v>실     명</v>
          </cell>
        </row>
      </sheetData>
      <sheetData sheetId="1864">
        <row r="2">
          <cell r="A2" t="str">
            <v>실     명</v>
          </cell>
        </row>
      </sheetData>
      <sheetData sheetId="1865">
        <row r="2">
          <cell r="A2" t="str">
            <v>실     명</v>
          </cell>
        </row>
      </sheetData>
      <sheetData sheetId="1866">
        <row r="2">
          <cell r="A2" t="str">
            <v>실     명</v>
          </cell>
        </row>
      </sheetData>
      <sheetData sheetId="1867">
        <row r="2">
          <cell r="A2" t="str">
            <v>실     명</v>
          </cell>
        </row>
      </sheetData>
      <sheetData sheetId="1868">
        <row r="2">
          <cell r="A2" t="str">
            <v>실     명</v>
          </cell>
        </row>
      </sheetData>
      <sheetData sheetId="1869">
        <row r="2">
          <cell r="A2" t="str">
            <v>실     명</v>
          </cell>
        </row>
      </sheetData>
      <sheetData sheetId="1870">
        <row r="2">
          <cell r="A2" t="str">
            <v>실     명</v>
          </cell>
        </row>
      </sheetData>
      <sheetData sheetId="1871">
        <row r="2">
          <cell r="A2" t="str">
            <v>실     명</v>
          </cell>
        </row>
      </sheetData>
      <sheetData sheetId="1872">
        <row r="2">
          <cell r="A2" t="str">
            <v>실     명</v>
          </cell>
        </row>
      </sheetData>
      <sheetData sheetId="1873">
        <row r="2">
          <cell r="A2" t="str">
            <v>실     명</v>
          </cell>
        </row>
      </sheetData>
      <sheetData sheetId="1874">
        <row r="2">
          <cell r="A2" t="str">
            <v>실     명</v>
          </cell>
        </row>
      </sheetData>
      <sheetData sheetId="1875">
        <row r="2">
          <cell r="A2" t="str">
            <v>실     명</v>
          </cell>
        </row>
      </sheetData>
      <sheetData sheetId="1876">
        <row r="2">
          <cell r="A2" t="str">
            <v>실     명</v>
          </cell>
        </row>
      </sheetData>
      <sheetData sheetId="1877">
        <row r="2">
          <cell r="A2" t="str">
            <v>실     명</v>
          </cell>
        </row>
      </sheetData>
      <sheetData sheetId="1878">
        <row r="2">
          <cell r="A2" t="str">
            <v>실     명</v>
          </cell>
        </row>
      </sheetData>
      <sheetData sheetId="1879">
        <row r="2">
          <cell r="A2" t="str">
            <v>실     명</v>
          </cell>
        </row>
      </sheetData>
      <sheetData sheetId="1880">
        <row r="2">
          <cell r="A2" t="str">
            <v>실     명</v>
          </cell>
        </row>
      </sheetData>
      <sheetData sheetId="1881">
        <row r="2">
          <cell r="A2" t="str">
            <v>실     명</v>
          </cell>
        </row>
      </sheetData>
      <sheetData sheetId="1882">
        <row r="2">
          <cell r="A2" t="str">
            <v>실     명</v>
          </cell>
        </row>
      </sheetData>
      <sheetData sheetId="1883">
        <row r="2">
          <cell r="A2" t="str">
            <v>실     명</v>
          </cell>
        </row>
      </sheetData>
      <sheetData sheetId="1884">
        <row r="2">
          <cell r="A2" t="str">
            <v>실     명</v>
          </cell>
        </row>
      </sheetData>
      <sheetData sheetId="1885">
        <row r="2">
          <cell r="A2" t="str">
            <v>실     명</v>
          </cell>
        </row>
      </sheetData>
      <sheetData sheetId="1886">
        <row r="2">
          <cell r="A2" t="str">
            <v>실     명</v>
          </cell>
        </row>
      </sheetData>
      <sheetData sheetId="1887">
        <row r="2">
          <cell r="A2" t="str">
            <v>실     명</v>
          </cell>
        </row>
      </sheetData>
      <sheetData sheetId="1888">
        <row r="2">
          <cell r="A2" t="str">
            <v>실     명</v>
          </cell>
        </row>
      </sheetData>
      <sheetData sheetId="1889">
        <row r="2">
          <cell r="A2" t="str">
            <v>실     명</v>
          </cell>
        </row>
      </sheetData>
      <sheetData sheetId="1890">
        <row r="2">
          <cell r="A2" t="str">
            <v>실     명</v>
          </cell>
        </row>
      </sheetData>
      <sheetData sheetId="1891">
        <row r="2">
          <cell r="A2" t="str">
            <v>실     명</v>
          </cell>
        </row>
      </sheetData>
      <sheetData sheetId="1892">
        <row r="2">
          <cell r="A2" t="str">
            <v>실     명</v>
          </cell>
        </row>
      </sheetData>
      <sheetData sheetId="1893">
        <row r="2">
          <cell r="A2" t="str">
            <v>실     명</v>
          </cell>
        </row>
      </sheetData>
      <sheetData sheetId="1894">
        <row r="2">
          <cell r="A2" t="str">
            <v>실     명</v>
          </cell>
        </row>
      </sheetData>
      <sheetData sheetId="1895">
        <row r="2">
          <cell r="A2" t="str">
            <v>실     명</v>
          </cell>
        </row>
      </sheetData>
      <sheetData sheetId="1896">
        <row r="2">
          <cell r="A2" t="str">
            <v>실     명</v>
          </cell>
        </row>
      </sheetData>
      <sheetData sheetId="1897">
        <row r="2">
          <cell r="A2" t="str">
            <v>실     명</v>
          </cell>
        </row>
      </sheetData>
      <sheetData sheetId="1898">
        <row r="2">
          <cell r="A2" t="str">
            <v>실     명</v>
          </cell>
        </row>
      </sheetData>
      <sheetData sheetId="1899">
        <row r="2">
          <cell r="A2" t="str">
            <v>실     명</v>
          </cell>
        </row>
      </sheetData>
      <sheetData sheetId="1900">
        <row r="2">
          <cell r="A2" t="str">
            <v>실     명</v>
          </cell>
        </row>
      </sheetData>
      <sheetData sheetId="1901">
        <row r="2">
          <cell r="A2" t="str">
            <v>실     명</v>
          </cell>
        </row>
      </sheetData>
      <sheetData sheetId="1902">
        <row r="2">
          <cell r="A2" t="str">
            <v>실     명</v>
          </cell>
        </row>
      </sheetData>
      <sheetData sheetId="1903">
        <row r="2">
          <cell r="A2" t="str">
            <v>실     명</v>
          </cell>
        </row>
      </sheetData>
      <sheetData sheetId="1904">
        <row r="2">
          <cell r="A2" t="str">
            <v>실     명</v>
          </cell>
        </row>
      </sheetData>
      <sheetData sheetId="1905">
        <row r="2">
          <cell r="A2" t="str">
            <v>실     명</v>
          </cell>
        </row>
      </sheetData>
      <sheetData sheetId="1906">
        <row r="2">
          <cell r="A2" t="str">
            <v>실     명</v>
          </cell>
        </row>
      </sheetData>
      <sheetData sheetId="1907">
        <row r="2">
          <cell r="A2" t="str">
            <v>실     명</v>
          </cell>
        </row>
      </sheetData>
      <sheetData sheetId="1908">
        <row r="2">
          <cell r="A2" t="str">
            <v>실     명</v>
          </cell>
        </row>
      </sheetData>
      <sheetData sheetId="1909">
        <row r="2">
          <cell r="A2" t="str">
            <v>실     명</v>
          </cell>
        </row>
      </sheetData>
      <sheetData sheetId="1910">
        <row r="2">
          <cell r="A2" t="str">
            <v>실     명</v>
          </cell>
        </row>
      </sheetData>
      <sheetData sheetId="1911">
        <row r="2">
          <cell r="A2" t="str">
            <v>실     명</v>
          </cell>
        </row>
      </sheetData>
      <sheetData sheetId="1912">
        <row r="2">
          <cell r="A2" t="str">
            <v>실     명</v>
          </cell>
        </row>
      </sheetData>
      <sheetData sheetId="1913">
        <row r="2">
          <cell r="A2" t="str">
            <v>실     명</v>
          </cell>
        </row>
      </sheetData>
      <sheetData sheetId="1914">
        <row r="2">
          <cell r="A2" t="str">
            <v>실     명</v>
          </cell>
        </row>
      </sheetData>
      <sheetData sheetId="1915">
        <row r="2">
          <cell r="A2" t="str">
            <v>실     명</v>
          </cell>
        </row>
      </sheetData>
      <sheetData sheetId="1916">
        <row r="2">
          <cell r="A2" t="str">
            <v>실     명</v>
          </cell>
        </row>
      </sheetData>
      <sheetData sheetId="1917">
        <row r="2">
          <cell r="A2" t="str">
            <v>실     명</v>
          </cell>
        </row>
      </sheetData>
      <sheetData sheetId="1918">
        <row r="2">
          <cell r="A2" t="str">
            <v>실     명</v>
          </cell>
        </row>
      </sheetData>
      <sheetData sheetId="1919">
        <row r="2">
          <cell r="A2" t="str">
            <v>실     명</v>
          </cell>
        </row>
      </sheetData>
      <sheetData sheetId="1920">
        <row r="2">
          <cell r="A2" t="str">
            <v>실     명</v>
          </cell>
        </row>
      </sheetData>
      <sheetData sheetId="1921">
        <row r="2">
          <cell r="A2" t="str">
            <v>실     명</v>
          </cell>
        </row>
      </sheetData>
      <sheetData sheetId="1922">
        <row r="2">
          <cell r="A2" t="str">
            <v>실     명</v>
          </cell>
        </row>
      </sheetData>
      <sheetData sheetId="1923">
        <row r="2">
          <cell r="A2" t="str">
            <v>실     명</v>
          </cell>
        </row>
      </sheetData>
      <sheetData sheetId="1924">
        <row r="2">
          <cell r="A2" t="str">
            <v>실     명</v>
          </cell>
        </row>
      </sheetData>
      <sheetData sheetId="1925">
        <row r="2">
          <cell r="A2" t="str">
            <v>실     명</v>
          </cell>
        </row>
      </sheetData>
      <sheetData sheetId="1926">
        <row r="2">
          <cell r="A2" t="str">
            <v>실     명</v>
          </cell>
        </row>
      </sheetData>
      <sheetData sheetId="1927">
        <row r="2">
          <cell r="A2" t="str">
            <v>실     명</v>
          </cell>
        </row>
      </sheetData>
      <sheetData sheetId="1928">
        <row r="2">
          <cell r="A2" t="str">
            <v>실     명</v>
          </cell>
        </row>
      </sheetData>
      <sheetData sheetId="1929">
        <row r="2">
          <cell r="A2" t="str">
            <v>실     명</v>
          </cell>
        </row>
      </sheetData>
      <sheetData sheetId="1930">
        <row r="2">
          <cell r="A2" t="str">
            <v>실     명</v>
          </cell>
        </row>
      </sheetData>
      <sheetData sheetId="1931">
        <row r="2">
          <cell r="A2" t="str">
            <v>실     명</v>
          </cell>
        </row>
      </sheetData>
      <sheetData sheetId="1932">
        <row r="2">
          <cell r="A2" t="str">
            <v>실     명</v>
          </cell>
        </row>
      </sheetData>
      <sheetData sheetId="1933">
        <row r="2">
          <cell r="A2" t="str">
            <v>실     명</v>
          </cell>
        </row>
      </sheetData>
      <sheetData sheetId="1934">
        <row r="2">
          <cell r="A2" t="str">
            <v>실     명</v>
          </cell>
        </row>
      </sheetData>
      <sheetData sheetId="1935">
        <row r="2">
          <cell r="A2" t="str">
            <v>실     명</v>
          </cell>
        </row>
      </sheetData>
      <sheetData sheetId="1936">
        <row r="2">
          <cell r="A2" t="str">
            <v>실     명</v>
          </cell>
        </row>
      </sheetData>
      <sheetData sheetId="1937">
        <row r="2">
          <cell r="A2" t="str">
            <v>실     명</v>
          </cell>
        </row>
      </sheetData>
      <sheetData sheetId="1938">
        <row r="2">
          <cell r="A2" t="str">
            <v>실     명</v>
          </cell>
        </row>
      </sheetData>
      <sheetData sheetId="1939">
        <row r="2">
          <cell r="A2" t="str">
            <v>실     명</v>
          </cell>
        </row>
      </sheetData>
      <sheetData sheetId="1940">
        <row r="2">
          <cell r="A2" t="str">
            <v>실     명</v>
          </cell>
        </row>
      </sheetData>
      <sheetData sheetId="1941">
        <row r="2">
          <cell r="A2" t="str">
            <v>실     명</v>
          </cell>
        </row>
      </sheetData>
      <sheetData sheetId="1942">
        <row r="2">
          <cell r="A2" t="str">
            <v>실     명</v>
          </cell>
        </row>
      </sheetData>
      <sheetData sheetId="1943">
        <row r="2">
          <cell r="A2" t="str">
            <v>실     명</v>
          </cell>
        </row>
      </sheetData>
      <sheetData sheetId="1944">
        <row r="2">
          <cell r="A2" t="str">
            <v>실     명</v>
          </cell>
        </row>
      </sheetData>
      <sheetData sheetId="1945">
        <row r="2">
          <cell r="A2" t="str">
            <v>실     명</v>
          </cell>
        </row>
      </sheetData>
      <sheetData sheetId="1946">
        <row r="2">
          <cell r="A2" t="str">
            <v>실     명</v>
          </cell>
        </row>
      </sheetData>
      <sheetData sheetId="1947">
        <row r="2">
          <cell r="A2" t="str">
            <v>실     명</v>
          </cell>
        </row>
      </sheetData>
      <sheetData sheetId="1948">
        <row r="2">
          <cell r="A2" t="str">
            <v>실     명</v>
          </cell>
        </row>
      </sheetData>
      <sheetData sheetId="1949">
        <row r="2">
          <cell r="A2" t="str">
            <v>실     명</v>
          </cell>
        </row>
      </sheetData>
      <sheetData sheetId="1950">
        <row r="2">
          <cell r="A2" t="str">
            <v>실     명</v>
          </cell>
        </row>
      </sheetData>
      <sheetData sheetId="1951">
        <row r="2">
          <cell r="A2" t="str">
            <v>실     명</v>
          </cell>
        </row>
      </sheetData>
      <sheetData sheetId="1952">
        <row r="2">
          <cell r="A2" t="str">
            <v>실     명</v>
          </cell>
        </row>
      </sheetData>
      <sheetData sheetId="1953">
        <row r="2">
          <cell r="A2" t="str">
            <v>실     명</v>
          </cell>
        </row>
      </sheetData>
      <sheetData sheetId="1954">
        <row r="2">
          <cell r="A2" t="str">
            <v>실     명</v>
          </cell>
        </row>
      </sheetData>
      <sheetData sheetId="1955">
        <row r="2">
          <cell r="A2" t="str">
            <v>실     명</v>
          </cell>
        </row>
      </sheetData>
      <sheetData sheetId="1956">
        <row r="2">
          <cell r="A2" t="str">
            <v>실     명</v>
          </cell>
        </row>
      </sheetData>
      <sheetData sheetId="1957">
        <row r="2">
          <cell r="A2" t="str">
            <v>실     명</v>
          </cell>
        </row>
      </sheetData>
      <sheetData sheetId="1958">
        <row r="2">
          <cell r="A2" t="str">
            <v>실     명</v>
          </cell>
        </row>
      </sheetData>
      <sheetData sheetId="1959">
        <row r="2">
          <cell r="A2" t="str">
            <v>실     명</v>
          </cell>
        </row>
      </sheetData>
      <sheetData sheetId="1960">
        <row r="2">
          <cell r="A2" t="str">
            <v>실     명</v>
          </cell>
        </row>
      </sheetData>
      <sheetData sheetId="1961">
        <row r="2">
          <cell r="A2" t="str">
            <v>실     명</v>
          </cell>
        </row>
      </sheetData>
      <sheetData sheetId="1962">
        <row r="2">
          <cell r="A2" t="str">
            <v>실     명</v>
          </cell>
        </row>
      </sheetData>
      <sheetData sheetId="1963">
        <row r="2">
          <cell r="A2" t="str">
            <v>실     명</v>
          </cell>
        </row>
      </sheetData>
      <sheetData sheetId="1964">
        <row r="2">
          <cell r="A2" t="str">
            <v>실     명</v>
          </cell>
        </row>
      </sheetData>
      <sheetData sheetId="1965">
        <row r="2">
          <cell r="A2" t="str">
            <v>실     명</v>
          </cell>
        </row>
      </sheetData>
      <sheetData sheetId="1966">
        <row r="2">
          <cell r="A2" t="str">
            <v>실     명</v>
          </cell>
        </row>
      </sheetData>
      <sheetData sheetId="1967">
        <row r="2">
          <cell r="A2" t="str">
            <v>실     명</v>
          </cell>
        </row>
      </sheetData>
      <sheetData sheetId="1968">
        <row r="2">
          <cell r="A2" t="str">
            <v>실     명</v>
          </cell>
        </row>
      </sheetData>
      <sheetData sheetId="1969">
        <row r="2">
          <cell r="A2" t="str">
            <v>실     명</v>
          </cell>
        </row>
      </sheetData>
      <sheetData sheetId="1970">
        <row r="2">
          <cell r="A2" t="str">
            <v>실     명</v>
          </cell>
        </row>
      </sheetData>
      <sheetData sheetId="1971">
        <row r="2">
          <cell r="A2" t="str">
            <v>실     명</v>
          </cell>
        </row>
      </sheetData>
      <sheetData sheetId="1972">
        <row r="2">
          <cell r="A2" t="str">
            <v>실     명</v>
          </cell>
        </row>
      </sheetData>
      <sheetData sheetId="1973">
        <row r="2">
          <cell r="A2" t="str">
            <v>실     명</v>
          </cell>
        </row>
      </sheetData>
      <sheetData sheetId="1974">
        <row r="2">
          <cell r="A2" t="str">
            <v>실     명</v>
          </cell>
        </row>
      </sheetData>
      <sheetData sheetId="1975">
        <row r="2">
          <cell r="A2" t="str">
            <v>실     명</v>
          </cell>
        </row>
      </sheetData>
      <sheetData sheetId="1976">
        <row r="2">
          <cell r="A2" t="str">
            <v>실     명</v>
          </cell>
        </row>
      </sheetData>
      <sheetData sheetId="1977">
        <row r="2">
          <cell r="A2" t="str">
            <v>실     명</v>
          </cell>
        </row>
      </sheetData>
      <sheetData sheetId="1978">
        <row r="2">
          <cell r="A2" t="str">
            <v>실     명</v>
          </cell>
        </row>
      </sheetData>
      <sheetData sheetId="1979">
        <row r="2">
          <cell r="A2" t="str">
            <v>실     명</v>
          </cell>
        </row>
      </sheetData>
      <sheetData sheetId="1980">
        <row r="2">
          <cell r="A2" t="str">
            <v>실     명</v>
          </cell>
        </row>
      </sheetData>
      <sheetData sheetId="1981">
        <row r="2">
          <cell r="A2" t="str">
            <v>실     명</v>
          </cell>
        </row>
      </sheetData>
      <sheetData sheetId="1982">
        <row r="2">
          <cell r="A2" t="str">
            <v>실     명</v>
          </cell>
        </row>
      </sheetData>
      <sheetData sheetId="1983">
        <row r="2">
          <cell r="A2" t="str">
            <v>실     명</v>
          </cell>
        </row>
      </sheetData>
      <sheetData sheetId="1984">
        <row r="2">
          <cell r="A2" t="str">
            <v>실     명</v>
          </cell>
        </row>
      </sheetData>
      <sheetData sheetId="1985">
        <row r="2">
          <cell r="A2" t="str">
            <v>실     명</v>
          </cell>
        </row>
      </sheetData>
      <sheetData sheetId="1986">
        <row r="2">
          <cell r="A2" t="str">
            <v>실     명</v>
          </cell>
        </row>
      </sheetData>
      <sheetData sheetId="1987">
        <row r="2">
          <cell r="A2" t="str">
            <v>실     명</v>
          </cell>
        </row>
      </sheetData>
      <sheetData sheetId="1988">
        <row r="2">
          <cell r="A2" t="str">
            <v>실     명</v>
          </cell>
        </row>
      </sheetData>
      <sheetData sheetId="1989">
        <row r="2">
          <cell r="A2" t="str">
            <v>실     명</v>
          </cell>
        </row>
      </sheetData>
      <sheetData sheetId="1990">
        <row r="2">
          <cell r="A2" t="str">
            <v>실     명</v>
          </cell>
        </row>
      </sheetData>
      <sheetData sheetId="1991">
        <row r="2">
          <cell r="A2" t="str">
            <v>실     명</v>
          </cell>
        </row>
      </sheetData>
      <sheetData sheetId="1992">
        <row r="2">
          <cell r="A2" t="str">
            <v>실     명</v>
          </cell>
        </row>
      </sheetData>
      <sheetData sheetId="1993">
        <row r="2">
          <cell r="A2" t="str">
            <v>실     명</v>
          </cell>
        </row>
      </sheetData>
      <sheetData sheetId="1994">
        <row r="2">
          <cell r="A2" t="str">
            <v>실     명</v>
          </cell>
        </row>
      </sheetData>
      <sheetData sheetId="1995">
        <row r="2">
          <cell r="A2" t="str">
            <v>실     명</v>
          </cell>
        </row>
      </sheetData>
      <sheetData sheetId="1996">
        <row r="2">
          <cell r="A2" t="str">
            <v>실     명</v>
          </cell>
        </row>
      </sheetData>
      <sheetData sheetId="1997">
        <row r="2">
          <cell r="A2" t="str">
            <v>실     명</v>
          </cell>
        </row>
      </sheetData>
      <sheetData sheetId="1998">
        <row r="2">
          <cell r="A2" t="str">
            <v>실     명</v>
          </cell>
        </row>
      </sheetData>
      <sheetData sheetId="1999">
        <row r="2">
          <cell r="A2" t="str">
            <v>실     명</v>
          </cell>
        </row>
      </sheetData>
      <sheetData sheetId="2000">
        <row r="2">
          <cell r="A2" t="str">
            <v>실     명</v>
          </cell>
        </row>
      </sheetData>
      <sheetData sheetId="2001">
        <row r="2">
          <cell r="A2" t="str">
            <v>실     명</v>
          </cell>
        </row>
      </sheetData>
      <sheetData sheetId="2002">
        <row r="2">
          <cell r="A2" t="str">
            <v>실     명</v>
          </cell>
        </row>
      </sheetData>
      <sheetData sheetId="2003">
        <row r="2">
          <cell r="A2" t="str">
            <v>실     명</v>
          </cell>
        </row>
      </sheetData>
      <sheetData sheetId="2004">
        <row r="2">
          <cell r="A2" t="str">
            <v>실     명</v>
          </cell>
        </row>
      </sheetData>
      <sheetData sheetId="2005">
        <row r="2">
          <cell r="A2" t="str">
            <v>실     명</v>
          </cell>
        </row>
      </sheetData>
      <sheetData sheetId="2006">
        <row r="2">
          <cell r="A2" t="str">
            <v>실     명</v>
          </cell>
        </row>
      </sheetData>
      <sheetData sheetId="2007">
        <row r="2">
          <cell r="A2" t="str">
            <v>실     명</v>
          </cell>
        </row>
      </sheetData>
      <sheetData sheetId="2008">
        <row r="2">
          <cell r="A2" t="str">
            <v>실     명</v>
          </cell>
        </row>
      </sheetData>
      <sheetData sheetId="2009">
        <row r="2">
          <cell r="A2" t="str">
            <v>실     명</v>
          </cell>
        </row>
      </sheetData>
      <sheetData sheetId="2010">
        <row r="2">
          <cell r="A2" t="str">
            <v>실     명</v>
          </cell>
        </row>
      </sheetData>
      <sheetData sheetId="2011">
        <row r="2">
          <cell r="A2" t="str">
            <v>실     명</v>
          </cell>
        </row>
      </sheetData>
      <sheetData sheetId="2012">
        <row r="2">
          <cell r="A2" t="str">
            <v>실     명</v>
          </cell>
        </row>
      </sheetData>
      <sheetData sheetId="2013">
        <row r="2">
          <cell r="A2" t="str">
            <v>실     명</v>
          </cell>
        </row>
      </sheetData>
      <sheetData sheetId="2014">
        <row r="2">
          <cell r="A2" t="str">
            <v>실     명</v>
          </cell>
        </row>
      </sheetData>
      <sheetData sheetId="2015">
        <row r="2">
          <cell r="A2" t="str">
            <v>실     명</v>
          </cell>
        </row>
      </sheetData>
      <sheetData sheetId="2016">
        <row r="2">
          <cell r="A2" t="str">
            <v>실     명</v>
          </cell>
        </row>
      </sheetData>
      <sheetData sheetId="2017">
        <row r="2">
          <cell r="A2" t="str">
            <v>실     명</v>
          </cell>
        </row>
      </sheetData>
      <sheetData sheetId="2018">
        <row r="2">
          <cell r="A2" t="str">
            <v>실     명</v>
          </cell>
        </row>
      </sheetData>
      <sheetData sheetId="2019">
        <row r="2">
          <cell r="A2" t="str">
            <v>실     명</v>
          </cell>
        </row>
      </sheetData>
      <sheetData sheetId="2020">
        <row r="2">
          <cell r="A2" t="str">
            <v>실     명</v>
          </cell>
        </row>
      </sheetData>
      <sheetData sheetId="2021">
        <row r="2">
          <cell r="A2" t="str">
            <v>실     명</v>
          </cell>
        </row>
      </sheetData>
      <sheetData sheetId="2022">
        <row r="2">
          <cell r="A2" t="str">
            <v>실     명</v>
          </cell>
        </row>
      </sheetData>
      <sheetData sheetId="2023">
        <row r="2">
          <cell r="A2" t="str">
            <v>실     명</v>
          </cell>
        </row>
      </sheetData>
      <sheetData sheetId="2024">
        <row r="2">
          <cell r="A2" t="str">
            <v>실     명</v>
          </cell>
        </row>
      </sheetData>
      <sheetData sheetId="2025">
        <row r="2">
          <cell r="A2" t="str">
            <v>실     명</v>
          </cell>
        </row>
      </sheetData>
      <sheetData sheetId="2026">
        <row r="2">
          <cell r="A2" t="str">
            <v>실     명</v>
          </cell>
        </row>
      </sheetData>
      <sheetData sheetId="2027">
        <row r="2">
          <cell r="A2" t="str">
            <v>실     명</v>
          </cell>
        </row>
      </sheetData>
      <sheetData sheetId="2028">
        <row r="2">
          <cell r="A2" t="str">
            <v>실     명</v>
          </cell>
        </row>
      </sheetData>
      <sheetData sheetId="2029">
        <row r="2">
          <cell r="A2" t="str">
            <v>실     명</v>
          </cell>
        </row>
      </sheetData>
      <sheetData sheetId="2030">
        <row r="2">
          <cell r="A2" t="str">
            <v>실     명</v>
          </cell>
        </row>
      </sheetData>
      <sheetData sheetId="2031">
        <row r="2">
          <cell r="A2" t="str">
            <v>실     명</v>
          </cell>
        </row>
      </sheetData>
      <sheetData sheetId="2032">
        <row r="2">
          <cell r="A2" t="str">
            <v>실     명</v>
          </cell>
        </row>
      </sheetData>
      <sheetData sheetId="2033">
        <row r="2">
          <cell r="A2" t="str">
            <v>실     명</v>
          </cell>
        </row>
      </sheetData>
      <sheetData sheetId="2034">
        <row r="2">
          <cell r="A2" t="str">
            <v>실     명</v>
          </cell>
        </row>
      </sheetData>
      <sheetData sheetId="2035">
        <row r="2">
          <cell r="A2" t="str">
            <v>실     명</v>
          </cell>
        </row>
      </sheetData>
      <sheetData sheetId="2036">
        <row r="2">
          <cell r="A2" t="str">
            <v>실     명</v>
          </cell>
        </row>
      </sheetData>
      <sheetData sheetId="2037">
        <row r="2">
          <cell r="A2" t="str">
            <v>실     명</v>
          </cell>
        </row>
      </sheetData>
      <sheetData sheetId="2038">
        <row r="2">
          <cell r="A2" t="str">
            <v>실     명</v>
          </cell>
        </row>
      </sheetData>
      <sheetData sheetId="2039">
        <row r="2">
          <cell r="A2" t="str">
            <v>실     명</v>
          </cell>
        </row>
      </sheetData>
      <sheetData sheetId="2040">
        <row r="2">
          <cell r="A2" t="str">
            <v>실     명</v>
          </cell>
        </row>
      </sheetData>
      <sheetData sheetId="2041">
        <row r="2">
          <cell r="A2" t="str">
            <v>실     명</v>
          </cell>
        </row>
      </sheetData>
      <sheetData sheetId="2042">
        <row r="2">
          <cell r="A2" t="str">
            <v>실     명</v>
          </cell>
        </row>
      </sheetData>
      <sheetData sheetId="2043">
        <row r="2">
          <cell r="A2" t="str">
            <v>실     명</v>
          </cell>
        </row>
      </sheetData>
      <sheetData sheetId="2044">
        <row r="2">
          <cell r="A2" t="str">
            <v>실     명</v>
          </cell>
        </row>
      </sheetData>
      <sheetData sheetId="2045">
        <row r="2">
          <cell r="A2" t="str">
            <v>실     명</v>
          </cell>
        </row>
      </sheetData>
      <sheetData sheetId="2046">
        <row r="2">
          <cell r="A2" t="str">
            <v>실     명</v>
          </cell>
        </row>
      </sheetData>
      <sheetData sheetId="2047">
        <row r="2">
          <cell r="A2" t="str">
            <v>실     명</v>
          </cell>
        </row>
      </sheetData>
      <sheetData sheetId="2048">
        <row r="2">
          <cell r="A2" t="str">
            <v>실     명</v>
          </cell>
        </row>
      </sheetData>
      <sheetData sheetId="2049">
        <row r="2">
          <cell r="A2" t="str">
            <v>실     명</v>
          </cell>
        </row>
      </sheetData>
      <sheetData sheetId="2050">
        <row r="2">
          <cell r="A2" t="str">
            <v>실     명</v>
          </cell>
        </row>
      </sheetData>
      <sheetData sheetId="2051">
        <row r="2">
          <cell r="A2" t="str">
            <v>실     명</v>
          </cell>
        </row>
      </sheetData>
      <sheetData sheetId="2052">
        <row r="2">
          <cell r="A2" t="str">
            <v>실     명</v>
          </cell>
        </row>
      </sheetData>
      <sheetData sheetId="2053">
        <row r="2">
          <cell r="A2" t="str">
            <v>실     명</v>
          </cell>
        </row>
      </sheetData>
      <sheetData sheetId="2054">
        <row r="2">
          <cell r="A2" t="str">
            <v>실     명</v>
          </cell>
        </row>
      </sheetData>
      <sheetData sheetId="2055">
        <row r="2">
          <cell r="A2" t="str">
            <v>실     명</v>
          </cell>
        </row>
      </sheetData>
      <sheetData sheetId="2056">
        <row r="2">
          <cell r="A2" t="str">
            <v>실     명</v>
          </cell>
        </row>
      </sheetData>
      <sheetData sheetId="2057">
        <row r="2">
          <cell r="A2" t="str">
            <v>실     명</v>
          </cell>
        </row>
      </sheetData>
      <sheetData sheetId="2058">
        <row r="2">
          <cell r="A2" t="str">
            <v>실     명</v>
          </cell>
        </row>
      </sheetData>
      <sheetData sheetId="2059">
        <row r="2">
          <cell r="A2" t="str">
            <v>실     명</v>
          </cell>
        </row>
      </sheetData>
      <sheetData sheetId="2060">
        <row r="2">
          <cell r="A2" t="str">
            <v>실     명</v>
          </cell>
        </row>
      </sheetData>
      <sheetData sheetId="2061">
        <row r="2">
          <cell r="A2" t="str">
            <v>실     명</v>
          </cell>
        </row>
      </sheetData>
      <sheetData sheetId="2062">
        <row r="2">
          <cell r="A2" t="str">
            <v>실     명</v>
          </cell>
        </row>
      </sheetData>
      <sheetData sheetId="2063">
        <row r="2">
          <cell r="A2" t="str">
            <v>실     명</v>
          </cell>
        </row>
      </sheetData>
      <sheetData sheetId="2064">
        <row r="2">
          <cell r="A2" t="str">
            <v>실     명</v>
          </cell>
        </row>
      </sheetData>
      <sheetData sheetId="2065">
        <row r="2">
          <cell r="A2" t="str">
            <v>실     명</v>
          </cell>
        </row>
      </sheetData>
      <sheetData sheetId="2066">
        <row r="2">
          <cell r="A2" t="str">
            <v>실     명</v>
          </cell>
        </row>
      </sheetData>
      <sheetData sheetId="2067">
        <row r="2">
          <cell r="A2" t="str">
            <v>실     명</v>
          </cell>
        </row>
      </sheetData>
      <sheetData sheetId="2068">
        <row r="2">
          <cell r="A2" t="str">
            <v>실     명</v>
          </cell>
        </row>
      </sheetData>
      <sheetData sheetId="2069">
        <row r="2">
          <cell r="A2" t="str">
            <v>실     명</v>
          </cell>
        </row>
      </sheetData>
      <sheetData sheetId="2070">
        <row r="2">
          <cell r="A2" t="str">
            <v>실     명</v>
          </cell>
        </row>
      </sheetData>
      <sheetData sheetId="2071">
        <row r="2">
          <cell r="A2" t="str">
            <v>실     명</v>
          </cell>
        </row>
      </sheetData>
      <sheetData sheetId="2072">
        <row r="2">
          <cell r="A2" t="str">
            <v>실     명</v>
          </cell>
        </row>
      </sheetData>
      <sheetData sheetId="2073">
        <row r="2">
          <cell r="A2" t="str">
            <v>실     명</v>
          </cell>
        </row>
      </sheetData>
      <sheetData sheetId="2074">
        <row r="2">
          <cell r="A2" t="str">
            <v>실     명</v>
          </cell>
        </row>
      </sheetData>
      <sheetData sheetId="2075">
        <row r="2">
          <cell r="A2" t="str">
            <v>실     명</v>
          </cell>
        </row>
      </sheetData>
      <sheetData sheetId="2076">
        <row r="2">
          <cell r="A2" t="str">
            <v>실     명</v>
          </cell>
        </row>
      </sheetData>
      <sheetData sheetId="2077">
        <row r="2">
          <cell r="A2" t="str">
            <v>실     명</v>
          </cell>
        </row>
      </sheetData>
      <sheetData sheetId="2078">
        <row r="2">
          <cell r="A2" t="str">
            <v>실     명</v>
          </cell>
        </row>
      </sheetData>
      <sheetData sheetId="2079">
        <row r="2">
          <cell r="A2" t="str">
            <v>실     명</v>
          </cell>
        </row>
      </sheetData>
      <sheetData sheetId="2080">
        <row r="2">
          <cell r="A2" t="str">
            <v>실     명</v>
          </cell>
        </row>
      </sheetData>
      <sheetData sheetId="2081">
        <row r="2">
          <cell r="A2" t="str">
            <v>실     명</v>
          </cell>
        </row>
      </sheetData>
      <sheetData sheetId="2082">
        <row r="2">
          <cell r="A2" t="str">
            <v>실     명</v>
          </cell>
        </row>
      </sheetData>
      <sheetData sheetId="2083">
        <row r="2">
          <cell r="A2" t="str">
            <v>실     명</v>
          </cell>
        </row>
      </sheetData>
      <sheetData sheetId="2084">
        <row r="2">
          <cell r="A2" t="str">
            <v>실     명</v>
          </cell>
        </row>
      </sheetData>
      <sheetData sheetId="2085">
        <row r="2">
          <cell r="A2" t="str">
            <v>실     명</v>
          </cell>
        </row>
      </sheetData>
      <sheetData sheetId="2086">
        <row r="2">
          <cell r="A2" t="str">
            <v>실     명</v>
          </cell>
        </row>
      </sheetData>
      <sheetData sheetId="2087">
        <row r="2">
          <cell r="A2" t="str">
            <v>실     명</v>
          </cell>
        </row>
      </sheetData>
      <sheetData sheetId="2088">
        <row r="2">
          <cell r="A2" t="str">
            <v>실     명</v>
          </cell>
        </row>
      </sheetData>
      <sheetData sheetId="2089">
        <row r="2">
          <cell r="A2" t="str">
            <v>실     명</v>
          </cell>
        </row>
      </sheetData>
      <sheetData sheetId="2090">
        <row r="2">
          <cell r="A2" t="str">
            <v>실     명</v>
          </cell>
        </row>
      </sheetData>
      <sheetData sheetId="2091">
        <row r="2">
          <cell r="A2" t="str">
            <v>실     명</v>
          </cell>
        </row>
      </sheetData>
      <sheetData sheetId="2092">
        <row r="2">
          <cell r="A2" t="str">
            <v>실     명</v>
          </cell>
        </row>
      </sheetData>
      <sheetData sheetId="2093">
        <row r="2">
          <cell r="A2" t="str">
            <v>실     명</v>
          </cell>
        </row>
      </sheetData>
      <sheetData sheetId="2094">
        <row r="2">
          <cell r="A2" t="str">
            <v>실     명</v>
          </cell>
        </row>
      </sheetData>
      <sheetData sheetId="2095">
        <row r="2">
          <cell r="A2" t="str">
            <v>실     명</v>
          </cell>
        </row>
      </sheetData>
      <sheetData sheetId="2096">
        <row r="2">
          <cell r="A2" t="str">
            <v>실     명</v>
          </cell>
        </row>
      </sheetData>
      <sheetData sheetId="2097">
        <row r="2">
          <cell r="A2" t="str">
            <v>실     명</v>
          </cell>
        </row>
      </sheetData>
      <sheetData sheetId="2098">
        <row r="2">
          <cell r="A2" t="str">
            <v>실     명</v>
          </cell>
        </row>
      </sheetData>
      <sheetData sheetId="2099">
        <row r="2">
          <cell r="A2" t="str">
            <v>실     명</v>
          </cell>
        </row>
      </sheetData>
      <sheetData sheetId="2100">
        <row r="2">
          <cell r="A2" t="str">
            <v>실     명</v>
          </cell>
        </row>
      </sheetData>
      <sheetData sheetId="2101">
        <row r="2">
          <cell r="A2" t="str">
            <v>실     명</v>
          </cell>
        </row>
      </sheetData>
      <sheetData sheetId="2102">
        <row r="2">
          <cell r="A2" t="str">
            <v>실     명</v>
          </cell>
        </row>
      </sheetData>
      <sheetData sheetId="2103">
        <row r="2">
          <cell r="A2" t="str">
            <v>실     명</v>
          </cell>
        </row>
      </sheetData>
      <sheetData sheetId="2104">
        <row r="2">
          <cell r="A2" t="str">
            <v>실     명</v>
          </cell>
        </row>
      </sheetData>
      <sheetData sheetId="2105">
        <row r="2">
          <cell r="A2" t="str">
            <v>실     명</v>
          </cell>
        </row>
      </sheetData>
      <sheetData sheetId="2106">
        <row r="2">
          <cell r="A2" t="str">
            <v>실     명</v>
          </cell>
        </row>
      </sheetData>
      <sheetData sheetId="2107">
        <row r="2">
          <cell r="A2" t="str">
            <v>실     명</v>
          </cell>
        </row>
      </sheetData>
      <sheetData sheetId="2108">
        <row r="2">
          <cell r="A2" t="str">
            <v>실     명</v>
          </cell>
        </row>
      </sheetData>
      <sheetData sheetId="2109">
        <row r="2">
          <cell r="A2" t="str">
            <v>실     명</v>
          </cell>
        </row>
      </sheetData>
      <sheetData sheetId="2110">
        <row r="2">
          <cell r="A2" t="str">
            <v>실     명</v>
          </cell>
        </row>
      </sheetData>
      <sheetData sheetId="2111">
        <row r="2">
          <cell r="A2" t="str">
            <v>실     명</v>
          </cell>
        </row>
      </sheetData>
      <sheetData sheetId="2112">
        <row r="2">
          <cell r="A2" t="str">
            <v>실     명</v>
          </cell>
        </row>
      </sheetData>
      <sheetData sheetId="2113">
        <row r="2">
          <cell r="A2" t="str">
            <v>실     명</v>
          </cell>
        </row>
      </sheetData>
      <sheetData sheetId="2114">
        <row r="2">
          <cell r="A2" t="str">
            <v>실     명</v>
          </cell>
        </row>
      </sheetData>
      <sheetData sheetId="2115">
        <row r="2">
          <cell r="A2" t="str">
            <v>실     명</v>
          </cell>
        </row>
      </sheetData>
      <sheetData sheetId="2116">
        <row r="2">
          <cell r="A2" t="str">
            <v>실     명</v>
          </cell>
        </row>
      </sheetData>
      <sheetData sheetId="2117">
        <row r="2">
          <cell r="A2" t="str">
            <v>실     명</v>
          </cell>
        </row>
      </sheetData>
      <sheetData sheetId="2118">
        <row r="2">
          <cell r="A2" t="str">
            <v>실     명</v>
          </cell>
        </row>
      </sheetData>
      <sheetData sheetId="2119">
        <row r="2">
          <cell r="A2" t="str">
            <v>실     명</v>
          </cell>
        </row>
      </sheetData>
      <sheetData sheetId="2120">
        <row r="2">
          <cell r="A2" t="str">
            <v>실     명</v>
          </cell>
        </row>
      </sheetData>
      <sheetData sheetId="2121">
        <row r="2">
          <cell r="A2" t="str">
            <v>실     명</v>
          </cell>
        </row>
      </sheetData>
      <sheetData sheetId="2122">
        <row r="2">
          <cell r="A2" t="str">
            <v>실     명</v>
          </cell>
        </row>
      </sheetData>
      <sheetData sheetId="2123">
        <row r="2">
          <cell r="A2" t="str">
            <v>실     명</v>
          </cell>
        </row>
      </sheetData>
      <sheetData sheetId="2124">
        <row r="2">
          <cell r="A2" t="str">
            <v>실     명</v>
          </cell>
        </row>
      </sheetData>
      <sheetData sheetId="2125">
        <row r="2">
          <cell r="A2" t="str">
            <v>실     명</v>
          </cell>
        </row>
      </sheetData>
      <sheetData sheetId="2126">
        <row r="2">
          <cell r="A2" t="str">
            <v>실     명</v>
          </cell>
        </row>
      </sheetData>
      <sheetData sheetId="2127">
        <row r="2">
          <cell r="A2" t="str">
            <v>실     명</v>
          </cell>
        </row>
      </sheetData>
      <sheetData sheetId="2128">
        <row r="2">
          <cell r="A2" t="str">
            <v>실     명</v>
          </cell>
        </row>
      </sheetData>
      <sheetData sheetId="2129">
        <row r="2">
          <cell r="A2" t="str">
            <v>실     명</v>
          </cell>
        </row>
      </sheetData>
      <sheetData sheetId="2130">
        <row r="2">
          <cell r="A2" t="str">
            <v>실     명</v>
          </cell>
        </row>
      </sheetData>
      <sheetData sheetId="2131">
        <row r="2">
          <cell r="A2" t="str">
            <v>실     명</v>
          </cell>
        </row>
      </sheetData>
      <sheetData sheetId="2132">
        <row r="2">
          <cell r="A2" t="str">
            <v>실     명</v>
          </cell>
        </row>
      </sheetData>
      <sheetData sheetId="2133">
        <row r="2">
          <cell r="A2" t="str">
            <v>실     명</v>
          </cell>
        </row>
      </sheetData>
      <sheetData sheetId="2134">
        <row r="2">
          <cell r="A2" t="str">
            <v>실     명</v>
          </cell>
        </row>
      </sheetData>
      <sheetData sheetId="2135">
        <row r="2">
          <cell r="A2" t="str">
            <v>실     명</v>
          </cell>
        </row>
      </sheetData>
      <sheetData sheetId="2136">
        <row r="2">
          <cell r="A2" t="str">
            <v>실     명</v>
          </cell>
        </row>
      </sheetData>
      <sheetData sheetId="2137">
        <row r="2">
          <cell r="A2" t="str">
            <v>실     명</v>
          </cell>
        </row>
      </sheetData>
      <sheetData sheetId="2138">
        <row r="2">
          <cell r="A2" t="str">
            <v>실     명</v>
          </cell>
        </row>
      </sheetData>
      <sheetData sheetId="2139">
        <row r="2">
          <cell r="A2" t="str">
            <v>실     명</v>
          </cell>
        </row>
      </sheetData>
      <sheetData sheetId="2140">
        <row r="2">
          <cell r="A2" t="str">
            <v>실     명</v>
          </cell>
        </row>
      </sheetData>
      <sheetData sheetId="2141">
        <row r="2">
          <cell r="A2" t="str">
            <v>실     명</v>
          </cell>
        </row>
      </sheetData>
      <sheetData sheetId="2142">
        <row r="2">
          <cell r="A2" t="str">
            <v>실     명</v>
          </cell>
        </row>
      </sheetData>
      <sheetData sheetId="2143">
        <row r="2">
          <cell r="A2" t="str">
            <v>실     명</v>
          </cell>
        </row>
      </sheetData>
      <sheetData sheetId="2144">
        <row r="2">
          <cell r="A2" t="str">
            <v>실     명</v>
          </cell>
        </row>
      </sheetData>
      <sheetData sheetId="2145">
        <row r="2">
          <cell r="A2" t="str">
            <v>실     명</v>
          </cell>
        </row>
      </sheetData>
      <sheetData sheetId="2146">
        <row r="2">
          <cell r="A2" t="str">
            <v>실     명</v>
          </cell>
        </row>
      </sheetData>
      <sheetData sheetId="2147">
        <row r="2">
          <cell r="A2" t="str">
            <v>실     명</v>
          </cell>
        </row>
      </sheetData>
      <sheetData sheetId="2148">
        <row r="2">
          <cell r="A2" t="str">
            <v>실     명</v>
          </cell>
        </row>
      </sheetData>
      <sheetData sheetId="2149">
        <row r="2">
          <cell r="A2" t="str">
            <v>실     명</v>
          </cell>
        </row>
      </sheetData>
      <sheetData sheetId="2150">
        <row r="2">
          <cell r="A2" t="str">
            <v>실     명</v>
          </cell>
        </row>
      </sheetData>
      <sheetData sheetId="2151">
        <row r="2">
          <cell r="A2" t="str">
            <v>실     명</v>
          </cell>
        </row>
      </sheetData>
      <sheetData sheetId="2152">
        <row r="2">
          <cell r="A2" t="str">
            <v>실     명</v>
          </cell>
        </row>
      </sheetData>
      <sheetData sheetId="2153">
        <row r="2">
          <cell r="A2" t="str">
            <v>실     명</v>
          </cell>
        </row>
      </sheetData>
      <sheetData sheetId="2154">
        <row r="2">
          <cell r="A2" t="str">
            <v>실     명</v>
          </cell>
        </row>
      </sheetData>
      <sheetData sheetId="2155">
        <row r="2">
          <cell r="A2" t="str">
            <v>실     명</v>
          </cell>
        </row>
      </sheetData>
      <sheetData sheetId="2156">
        <row r="2">
          <cell r="A2" t="str">
            <v>실     명</v>
          </cell>
        </row>
      </sheetData>
      <sheetData sheetId="2157">
        <row r="2">
          <cell r="A2" t="str">
            <v>실     명</v>
          </cell>
        </row>
      </sheetData>
      <sheetData sheetId="2158">
        <row r="2">
          <cell r="A2" t="str">
            <v>실     명</v>
          </cell>
        </row>
      </sheetData>
      <sheetData sheetId="2159">
        <row r="2">
          <cell r="A2" t="str">
            <v>실     명</v>
          </cell>
        </row>
      </sheetData>
      <sheetData sheetId="2160">
        <row r="2">
          <cell r="A2" t="str">
            <v>실     명</v>
          </cell>
        </row>
      </sheetData>
      <sheetData sheetId="2161">
        <row r="2">
          <cell r="A2" t="str">
            <v>실     명</v>
          </cell>
        </row>
      </sheetData>
      <sheetData sheetId="2162">
        <row r="2">
          <cell r="A2" t="str">
            <v>실     명</v>
          </cell>
        </row>
      </sheetData>
      <sheetData sheetId="2163">
        <row r="2">
          <cell r="A2" t="str">
            <v>실     명</v>
          </cell>
        </row>
      </sheetData>
      <sheetData sheetId="2164">
        <row r="2">
          <cell r="A2" t="str">
            <v>실     명</v>
          </cell>
        </row>
      </sheetData>
      <sheetData sheetId="2165">
        <row r="2">
          <cell r="A2" t="str">
            <v>실     명</v>
          </cell>
        </row>
      </sheetData>
      <sheetData sheetId="2166">
        <row r="2">
          <cell r="A2" t="str">
            <v>실     명</v>
          </cell>
        </row>
      </sheetData>
      <sheetData sheetId="2167">
        <row r="2">
          <cell r="A2" t="str">
            <v>실     명</v>
          </cell>
        </row>
      </sheetData>
      <sheetData sheetId="2168">
        <row r="2">
          <cell r="A2" t="str">
            <v>실     명</v>
          </cell>
        </row>
      </sheetData>
      <sheetData sheetId="2169">
        <row r="2">
          <cell r="A2" t="str">
            <v>실     명</v>
          </cell>
        </row>
      </sheetData>
      <sheetData sheetId="2170">
        <row r="2">
          <cell r="A2" t="str">
            <v>실     명</v>
          </cell>
        </row>
      </sheetData>
      <sheetData sheetId="2171">
        <row r="2">
          <cell r="A2" t="str">
            <v>실     명</v>
          </cell>
        </row>
      </sheetData>
      <sheetData sheetId="2172">
        <row r="2">
          <cell r="A2" t="str">
            <v>실     명</v>
          </cell>
        </row>
      </sheetData>
      <sheetData sheetId="2173">
        <row r="2">
          <cell r="A2" t="str">
            <v>실     명</v>
          </cell>
        </row>
      </sheetData>
      <sheetData sheetId="2174">
        <row r="2">
          <cell r="A2" t="str">
            <v>실     명</v>
          </cell>
        </row>
      </sheetData>
      <sheetData sheetId="2175">
        <row r="2">
          <cell r="A2" t="str">
            <v>실     명</v>
          </cell>
        </row>
      </sheetData>
      <sheetData sheetId="2176">
        <row r="2">
          <cell r="A2" t="str">
            <v>실     명</v>
          </cell>
        </row>
      </sheetData>
      <sheetData sheetId="2177">
        <row r="2">
          <cell r="A2" t="str">
            <v>실     명</v>
          </cell>
        </row>
      </sheetData>
      <sheetData sheetId="2178">
        <row r="2">
          <cell r="A2" t="str">
            <v>실     명</v>
          </cell>
        </row>
      </sheetData>
      <sheetData sheetId="2179">
        <row r="2">
          <cell r="A2" t="str">
            <v>실     명</v>
          </cell>
        </row>
      </sheetData>
      <sheetData sheetId="2180">
        <row r="2">
          <cell r="A2" t="str">
            <v>실     명</v>
          </cell>
        </row>
      </sheetData>
      <sheetData sheetId="2181">
        <row r="2">
          <cell r="A2" t="str">
            <v>실     명</v>
          </cell>
        </row>
      </sheetData>
      <sheetData sheetId="2182">
        <row r="2">
          <cell r="A2" t="str">
            <v>실     명</v>
          </cell>
        </row>
      </sheetData>
      <sheetData sheetId="2183">
        <row r="2">
          <cell r="A2" t="str">
            <v>실     명</v>
          </cell>
        </row>
      </sheetData>
      <sheetData sheetId="2184">
        <row r="2">
          <cell r="A2" t="str">
            <v>실     명</v>
          </cell>
        </row>
      </sheetData>
      <sheetData sheetId="2185">
        <row r="2">
          <cell r="A2" t="str">
            <v>실     명</v>
          </cell>
        </row>
      </sheetData>
      <sheetData sheetId="2186">
        <row r="2">
          <cell r="A2" t="str">
            <v>실     명</v>
          </cell>
        </row>
      </sheetData>
      <sheetData sheetId="2187">
        <row r="2">
          <cell r="A2" t="str">
            <v>실     명</v>
          </cell>
        </row>
      </sheetData>
      <sheetData sheetId="2188">
        <row r="2">
          <cell r="A2" t="str">
            <v>실     명</v>
          </cell>
        </row>
      </sheetData>
      <sheetData sheetId="2189">
        <row r="2">
          <cell r="A2" t="str">
            <v>실     명</v>
          </cell>
        </row>
      </sheetData>
      <sheetData sheetId="2190">
        <row r="2">
          <cell r="A2" t="str">
            <v>실     명</v>
          </cell>
        </row>
      </sheetData>
      <sheetData sheetId="2191">
        <row r="2">
          <cell r="A2" t="str">
            <v>실     명</v>
          </cell>
        </row>
      </sheetData>
      <sheetData sheetId="2192">
        <row r="2">
          <cell r="A2" t="str">
            <v>실     명</v>
          </cell>
        </row>
      </sheetData>
      <sheetData sheetId="2193">
        <row r="2">
          <cell r="A2" t="str">
            <v>실     명</v>
          </cell>
        </row>
      </sheetData>
      <sheetData sheetId="2194">
        <row r="2">
          <cell r="A2" t="str">
            <v>실     명</v>
          </cell>
        </row>
      </sheetData>
      <sheetData sheetId="2195">
        <row r="2">
          <cell r="A2" t="str">
            <v>실     명</v>
          </cell>
        </row>
      </sheetData>
      <sheetData sheetId="2196">
        <row r="2">
          <cell r="A2" t="str">
            <v>실     명</v>
          </cell>
        </row>
      </sheetData>
      <sheetData sheetId="2197">
        <row r="2">
          <cell r="A2" t="str">
            <v>실     명</v>
          </cell>
        </row>
      </sheetData>
      <sheetData sheetId="2198">
        <row r="2">
          <cell r="A2" t="str">
            <v>실     명</v>
          </cell>
        </row>
      </sheetData>
      <sheetData sheetId="2199">
        <row r="2">
          <cell r="A2" t="str">
            <v>실     명</v>
          </cell>
        </row>
      </sheetData>
      <sheetData sheetId="2200">
        <row r="2">
          <cell r="A2" t="str">
            <v>실     명</v>
          </cell>
        </row>
      </sheetData>
      <sheetData sheetId="2201">
        <row r="2">
          <cell r="A2" t="str">
            <v>실     명</v>
          </cell>
        </row>
      </sheetData>
      <sheetData sheetId="2202">
        <row r="2">
          <cell r="A2" t="str">
            <v>실     명</v>
          </cell>
        </row>
      </sheetData>
      <sheetData sheetId="2203">
        <row r="2">
          <cell r="A2" t="str">
            <v>실     명</v>
          </cell>
        </row>
      </sheetData>
      <sheetData sheetId="2204">
        <row r="2">
          <cell r="A2" t="str">
            <v>실     명</v>
          </cell>
        </row>
      </sheetData>
      <sheetData sheetId="2205">
        <row r="2">
          <cell r="A2" t="str">
            <v>실     명</v>
          </cell>
        </row>
      </sheetData>
      <sheetData sheetId="2206">
        <row r="2">
          <cell r="A2" t="str">
            <v>실     명</v>
          </cell>
        </row>
      </sheetData>
      <sheetData sheetId="2207">
        <row r="2">
          <cell r="A2" t="str">
            <v>실     명</v>
          </cell>
        </row>
      </sheetData>
      <sheetData sheetId="2208">
        <row r="2">
          <cell r="A2" t="str">
            <v>실     명</v>
          </cell>
        </row>
      </sheetData>
      <sheetData sheetId="2209">
        <row r="2">
          <cell r="A2" t="str">
            <v>실     명</v>
          </cell>
        </row>
      </sheetData>
      <sheetData sheetId="2210">
        <row r="2">
          <cell r="A2" t="str">
            <v>실     명</v>
          </cell>
        </row>
      </sheetData>
      <sheetData sheetId="2211">
        <row r="2">
          <cell r="A2" t="str">
            <v>실     명</v>
          </cell>
        </row>
      </sheetData>
      <sheetData sheetId="2212">
        <row r="2">
          <cell r="A2" t="str">
            <v>실     명</v>
          </cell>
        </row>
      </sheetData>
      <sheetData sheetId="2213">
        <row r="2">
          <cell r="A2" t="str">
            <v>실     명</v>
          </cell>
        </row>
      </sheetData>
      <sheetData sheetId="2214">
        <row r="2">
          <cell r="A2" t="str">
            <v>실     명</v>
          </cell>
        </row>
      </sheetData>
      <sheetData sheetId="2215">
        <row r="2">
          <cell r="A2" t="str">
            <v>실     명</v>
          </cell>
        </row>
      </sheetData>
      <sheetData sheetId="2216">
        <row r="2">
          <cell r="A2" t="str">
            <v>실     명</v>
          </cell>
        </row>
      </sheetData>
      <sheetData sheetId="2217">
        <row r="2">
          <cell r="A2" t="str">
            <v>실     명</v>
          </cell>
        </row>
      </sheetData>
      <sheetData sheetId="2218">
        <row r="2">
          <cell r="A2" t="str">
            <v>실     명</v>
          </cell>
        </row>
      </sheetData>
      <sheetData sheetId="2219">
        <row r="2">
          <cell r="A2" t="str">
            <v>실     명</v>
          </cell>
        </row>
      </sheetData>
      <sheetData sheetId="2220">
        <row r="2">
          <cell r="A2" t="str">
            <v>실     명</v>
          </cell>
        </row>
      </sheetData>
      <sheetData sheetId="2221">
        <row r="2">
          <cell r="A2" t="str">
            <v>실     명</v>
          </cell>
        </row>
      </sheetData>
      <sheetData sheetId="2222">
        <row r="2">
          <cell r="A2" t="str">
            <v>실     명</v>
          </cell>
        </row>
      </sheetData>
      <sheetData sheetId="2223">
        <row r="2">
          <cell r="A2" t="str">
            <v>실     명</v>
          </cell>
        </row>
      </sheetData>
      <sheetData sheetId="2224">
        <row r="2">
          <cell r="A2" t="str">
            <v>실     명</v>
          </cell>
        </row>
      </sheetData>
      <sheetData sheetId="2225">
        <row r="2">
          <cell r="A2" t="str">
            <v>실     명</v>
          </cell>
        </row>
      </sheetData>
      <sheetData sheetId="2226">
        <row r="2">
          <cell r="A2" t="str">
            <v>실     명</v>
          </cell>
        </row>
      </sheetData>
      <sheetData sheetId="2227">
        <row r="2">
          <cell r="A2" t="str">
            <v>실     명</v>
          </cell>
        </row>
      </sheetData>
      <sheetData sheetId="2228">
        <row r="2">
          <cell r="A2" t="str">
            <v>실     명</v>
          </cell>
        </row>
      </sheetData>
      <sheetData sheetId="2229">
        <row r="2">
          <cell r="A2" t="str">
            <v>실     명</v>
          </cell>
        </row>
      </sheetData>
      <sheetData sheetId="2230">
        <row r="2">
          <cell r="A2" t="str">
            <v>실     명</v>
          </cell>
        </row>
      </sheetData>
      <sheetData sheetId="2231">
        <row r="2">
          <cell r="A2" t="str">
            <v>실     명</v>
          </cell>
        </row>
      </sheetData>
      <sheetData sheetId="2232">
        <row r="2">
          <cell r="A2" t="str">
            <v>실     명</v>
          </cell>
        </row>
      </sheetData>
      <sheetData sheetId="2233">
        <row r="2">
          <cell r="A2" t="str">
            <v>실     명</v>
          </cell>
        </row>
      </sheetData>
      <sheetData sheetId="2234">
        <row r="2">
          <cell r="A2" t="str">
            <v>실     명</v>
          </cell>
        </row>
      </sheetData>
      <sheetData sheetId="2235">
        <row r="2">
          <cell r="A2" t="str">
            <v>실     명</v>
          </cell>
        </row>
      </sheetData>
      <sheetData sheetId="2236">
        <row r="2">
          <cell r="A2" t="str">
            <v>실     명</v>
          </cell>
        </row>
      </sheetData>
      <sheetData sheetId="2237">
        <row r="2">
          <cell r="A2" t="str">
            <v>실     명</v>
          </cell>
        </row>
      </sheetData>
      <sheetData sheetId="2238">
        <row r="2">
          <cell r="A2" t="str">
            <v>실     명</v>
          </cell>
        </row>
      </sheetData>
      <sheetData sheetId="2239">
        <row r="2">
          <cell r="A2" t="str">
            <v>실     명</v>
          </cell>
        </row>
      </sheetData>
      <sheetData sheetId="2240">
        <row r="2">
          <cell r="A2" t="str">
            <v>실     명</v>
          </cell>
        </row>
      </sheetData>
      <sheetData sheetId="2241">
        <row r="2">
          <cell r="A2" t="str">
            <v>실     명</v>
          </cell>
        </row>
      </sheetData>
      <sheetData sheetId="2242">
        <row r="2">
          <cell r="A2" t="str">
            <v>실     명</v>
          </cell>
        </row>
      </sheetData>
      <sheetData sheetId="2243">
        <row r="2">
          <cell r="A2" t="str">
            <v>실     명</v>
          </cell>
        </row>
      </sheetData>
      <sheetData sheetId="2244">
        <row r="2">
          <cell r="A2" t="str">
            <v>실     명</v>
          </cell>
        </row>
      </sheetData>
      <sheetData sheetId="2245">
        <row r="2">
          <cell r="A2" t="str">
            <v>실     명</v>
          </cell>
        </row>
      </sheetData>
      <sheetData sheetId="2246">
        <row r="2">
          <cell r="A2" t="str">
            <v>실     명</v>
          </cell>
        </row>
      </sheetData>
      <sheetData sheetId="2247">
        <row r="2">
          <cell r="A2" t="str">
            <v>실     명</v>
          </cell>
        </row>
      </sheetData>
      <sheetData sheetId="2248">
        <row r="2">
          <cell r="A2" t="str">
            <v>실     명</v>
          </cell>
        </row>
      </sheetData>
      <sheetData sheetId="2249">
        <row r="2">
          <cell r="A2" t="str">
            <v>실     명</v>
          </cell>
        </row>
      </sheetData>
      <sheetData sheetId="2250">
        <row r="2">
          <cell r="A2" t="str">
            <v>실     명</v>
          </cell>
        </row>
      </sheetData>
      <sheetData sheetId="2251">
        <row r="2">
          <cell r="A2" t="str">
            <v>실     명</v>
          </cell>
        </row>
      </sheetData>
      <sheetData sheetId="2252">
        <row r="2">
          <cell r="A2" t="str">
            <v>실     명</v>
          </cell>
        </row>
      </sheetData>
      <sheetData sheetId="2253">
        <row r="2">
          <cell r="A2" t="str">
            <v>실     명</v>
          </cell>
        </row>
      </sheetData>
      <sheetData sheetId="2254">
        <row r="2">
          <cell r="A2" t="str">
            <v>실     명</v>
          </cell>
        </row>
      </sheetData>
      <sheetData sheetId="2255">
        <row r="2">
          <cell r="A2" t="str">
            <v>실     명</v>
          </cell>
        </row>
      </sheetData>
      <sheetData sheetId="2256">
        <row r="2">
          <cell r="A2" t="str">
            <v>실     명</v>
          </cell>
        </row>
      </sheetData>
      <sheetData sheetId="2257">
        <row r="2">
          <cell r="A2" t="str">
            <v>실     명</v>
          </cell>
        </row>
      </sheetData>
      <sheetData sheetId="2258">
        <row r="2">
          <cell r="A2" t="str">
            <v>실     명</v>
          </cell>
        </row>
      </sheetData>
      <sheetData sheetId="2259">
        <row r="2">
          <cell r="A2" t="str">
            <v>실     명</v>
          </cell>
        </row>
      </sheetData>
      <sheetData sheetId="2260">
        <row r="2">
          <cell r="A2" t="str">
            <v>실     명</v>
          </cell>
        </row>
      </sheetData>
      <sheetData sheetId="2261">
        <row r="2">
          <cell r="A2" t="str">
            <v>실     명</v>
          </cell>
        </row>
      </sheetData>
      <sheetData sheetId="2262">
        <row r="2">
          <cell r="A2" t="str">
            <v>실     명</v>
          </cell>
        </row>
      </sheetData>
      <sheetData sheetId="2263">
        <row r="2">
          <cell r="A2" t="str">
            <v>실     명</v>
          </cell>
        </row>
      </sheetData>
      <sheetData sheetId="2264">
        <row r="2">
          <cell r="A2" t="str">
            <v>실     명</v>
          </cell>
        </row>
      </sheetData>
      <sheetData sheetId="2265">
        <row r="2">
          <cell r="A2" t="str">
            <v>실     명</v>
          </cell>
        </row>
      </sheetData>
      <sheetData sheetId="2266">
        <row r="2">
          <cell r="A2" t="str">
            <v>실     명</v>
          </cell>
        </row>
      </sheetData>
      <sheetData sheetId="2267">
        <row r="2">
          <cell r="A2" t="str">
            <v>실     명</v>
          </cell>
        </row>
      </sheetData>
      <sheetData sheetId="2268">
        <row r="2">
          <cell r="A2" t="str">
            <v>실     명</v>
          </cell>
        </row>
      </sheetData>
      <sheetData sheetId="2269">
        <row r="2">
          <cell r="A2" t="str">
            <v>실     명</v>
          </cell>
        </row>
      </sheetData>
      <sheetData sheetId="2270">
        <row r="2">
          <cell r="A2" t="str">
            <v>실     명</v>
          </cell>
        </row>
      </sheetData>
      <sheetData sheetId="2271">
        <row r="2">
          <cell r="A2" t="str">
            <v>실     명</v>
          </cell>
        </row>
      </sheetData>
      <sheetData sheetId="2272">
        <row r="2">
          <cell r="A2" t="str">
            <v>실     명</v>
          </cell>
        </row>
      </sheetData>
      <sheetData sheetId="2273">
        <row r="2">
          <cell r="A2" t="str">
            <v>실     명</v>
          </cell>
        </row>
      </sheetData>
      <sheetData sheetId="2274">
        <row r="2">
          <cell r="A2" t="str">
            <v>실     명</v>
          </cell>
        </row>
      </sheetData>
      <sheetData sheetId="2275">
        <row r="2">
          <cell r="A2" t="str">
            <v>실     명</v>
          </cell>
        </row>
      </sheetData>
      <sheetData sheetId="2276">
        <row r="2">
          <cell r="A2" t="str">
            <v>실     명</v>
          </cell>
        </row>
      </sheetData>
      <sheetData sheetId="2277">
        <row r="2">
          <cell r="A2" t="str">
            <v>실     명</v>
          </cell>
        </row>
      </sheetData>
      <sheetData sheetId="2278">
        <row r="2">
          <cell r="A2" t="str">
            <v>실     명</v>
          </cell>
        </row>
      </sheetData>
      <sheetData sheetId="2279">
        <row r="2">
          <cell r="A2" t="str">
            <v>실     명</v>
          </cell>
        </row>
      </sheetData>
      <sheetData sheetId="2280">
        <row r="2">
          <cell r="A2" t="str">
            <v>실     명</v>
          </cell>
        </row>
      </sheetData>
      <sheetData sheetId="2281">
        <row r="2">
          <cell r="A2" t="str">
            <v>실     명</v>
          </cell>
        </row>
      </sheetData>
      <sheetData sheetId="2282">
        <row r="2">
          <cell r="A2" t="str">
            <v>실     명</v>
          </cell>
        </row>
      </sheetData>
      <sheetData sheetId="2283">
        <row r="2">
          <cell r="A2" t="str">
            <v>실     명</v>
          </cell>
        </row>
      </sheetData>
      <sheetData sheetId="2284">
        <row r="2">
          <cell r="A2" t="str">
            <v>실     명</v>
          </cell>
        </row>
      </sheetData>
      <sheetData sheetId="2285">
        <row r="2">
          <cell r="A2" t="str">
            <v>실     명</v>
          </cell>
        </row>
      </sheetData>
      <sheetData sheetId="2286">
        <row r="2">
          <cell r="A2" t="str">
            <v>실     명</v>
          </cell>
        </row>
      </sheetData>
      <sheetData sheetId="2287">
        <row r="2">
          <cell r="A2" t="str">
            <v>실     명</v>
          </cell>
        </row>
      </sheetData>
      <sheetData sheetId="2288">
        <row r="2">
          <cell r="A2" t="str">
            <v>실     명</v>
          </cell>
        </row>
      </sheetData>
      <sheetData sheetId="2289">
        <row r="2">
          <cell r="A2" t="str">
            <v>실     명</v>
          </cell>
        </row>
      </sheetData>
      <sheetData sheetId="2290">
        <row r="2">
          <cell r="A2" t="str">
            <v>실     명</v>
          </cell>
        </row>
      </sheetData>
      <sheetData sheetId="2291">
        <row r="2">
          <cell r="A2" t="str">
            <v>실     명</v>
          </cell>
        </row>
      </sheetData>
      <sheetData sheetId="2292">
        <row r="2">
          <cell r="A2" t="str">
            <v>실     명</v>
          </cell>
        </row>
      </sheetData>
      <sheetData sheetId="2293">
        <row r="2">
          <cell r="A2" t="str">
            <v>실     명</v>
          </cell>
        </row>
      </sheetData>
      <sheetData sheetId="2294">
        <row r="2">
          <cell r="A2" t="str">
            <v>실     명</v>
          </cell>
        </row>
      </sheetData>
      <sheetData sheetId="2295">
        <row r="2">
          <cell r="A2" t="str">
            <v>실     명</v>
          </cell>
        </row>
      </sheetData>
      <sheetData sheetId="2296">
        <row r="2">
          <cell r="A2" t="str">
            <v>실     명</v>
          </cell>
        </row>
      </sheetData>
      <sheetData sheetId="2297">
        <row r="2">
          <cell r="A2" t="str">
            <v>실     명</v>
          </cell>
        </row>
      </sheetData>
      <sheetData sheetId="2298">
        <row r="2">
          <cell r="A2" t="str">
            <v>실     명</v>
          </cell>
        </row>
      </sheetData>
      <sheetData sheetId="2299">
        <row r="2">
          <cell r="A2" t="str">
            <v>실     명</v>
          </cell>
        </row>
      </sheetData>
      <sheetData sheetId="2300">
        <row r="2">
          <cell r="A2" t="str">
            <v>실     명</v>
          </cell>
        </row>
      </sheetData>
      <sheetData sheetId="2301">
        <row r="2">
          <cell r="A2" t="str">
            <v>실     명</v>
          </cell>
        </row>
      </sheetData>
      <sheetData sheetId="2302">
        <row r="2">
          <cell r="A2" t="str">
            <v>실     명</v>
          </cell>
        </row>
      </sheetData>
      <sheetData sheetId="2303">
        <row r="2">
          <cell r="A2" t="str">
            <v>실     명</v>
          </cell>
        </row>
      </sheetData>
      <sheetData sheetId="2304">
        <row r="2">
          <cell r="A2" t="str">
            <v>실     명</v>
          </cell>
        </row>
      </sheetData>
      <sheetData sheetId="2305">
        <row r="2">
          <cell r="A2" t="str">
            <v>실     명</v>
          </cell>
        </row>
      </sheetData>
      <sheetData sheetId="2306">
        <row r="2">
          <cell r="A2" t="str">
            <v>실     명</v>
          </cell>
        </row>
      </sheetData>
      <sheetData sheetId="2307">
        <row r="2">
          <cell r="A2" t="str">
            <v>실     명</v>
          </cell>
        </row>
      </sheetData>
      <sheetData sheetId="2308">
        <row r="2">
          <cell r="A2" t="str">
            <v>실     명</v>
          </cell>
        </row>
      </sheetData>
      <sheetData sheetId="2309">
        <row r="2">
          <cell r="A2" t="str">
            <v>실     명</v>
          </cell>
        </row>
      </sheetData>
      <sheetData sheetId="2310">
        <row r="2">
          <cell r="A2" t="str">
            <v>실     명</v>
          </cell>
        </row>
      </sheetData>
      <sheetData sheetId="2311">
        <row r="2">
          <cell r="A2" t="str">
            <v>실     명</v>
          </cell>
        </row>
      </sheetData>
      <sheetData sheetId="2312">
        <row r="2">
          <cell r="A2" t="str">
            <v>실     명</v>
          </cell>
        </row>
      </sheetData>
      <sheetData sheetId="2313">
        <row r="2">
          <cell r="A2" t="str">
            <v>실     명</v>
          </cell>
        </row>
      </sheetData>
      <sheetData sheetId="2314">
        <row r="2">
          <cell r="A2" t="str">
            <v>실     명</v>
          </cell>
        </row>
      </sheetData>
      <sheetData sheetId="2315">
        <row r="2">
          <cell r="A2" t="str">
            <v>실     명</v>
          </cell>
        </row>
      </sheetData>
      <sheetData sheetId="2316">
        <row r="2">
          <cell r="A2" t="str">
            <v>실     명</v>
          </cell>
        </row>
      </sheetData>
      <sheetData sheetId="2317">
        <row r="2">
          <cell r="A2" t="str">
            <v>실     명</v>
          </cell>
        </row>
      </sheetData>
      <sheetData sheetId="2318">
        <row r="2">
          <cell r="A2" t="str">
            <v>실     명</v>
          </cell>
        </row>
      </sheetData>
      <sheetData sheetId="2319">
        <row r="2">
          <cell r="A2" t="str">
            <v>실     명</v>
          </cell>
        </row>
      </sheetData>
      <sheetData sheetId="2320">
        <row r="2">
          <cell r="A2" t="str">
            <v>실     명</v>
          </cell>
        </row>
      </sheetData>
      <sheetData sheetId="2321">
        <row r="2">
          <cell r="A2" t="str">
            <v>실     명</v>
          </cell>
        </row>
      </sheetData>
      <sheetData sheetId="2322">
        <row r="2">
          <cell r="A2" t="str">
            <v>실     명</v>
          </cell>
        </row>
      </sheetData>
      <sheetData sheetId="2323">
        <row r="2">
          <cell r="A2" t="str">
            <v>실     명</v>
          </cell>
        </row>
      </sheetData>
      <sheetData sheetId="2324">
        <row r="2">
          <cell r="A2" t="str">
            <v>실     명</v>
          </cell>
        </row>
      </sheetData>
      <sheetData sheetId="2325">
        <row r="2">
          <cell r="A2" t="str">
            <v>실     명</v>
          </cell>
        </row>
      </sheetData>
      <sheetData sheetId="2326">
        <row r="2">
          <cell r="A2" t="str">
            <v>실     명</v>
          </cell>
        </row>
      </sheetData>
      <sheetData sheetId="2327">
        <row r="2">
          <cell r="A2" t="str">
            <v>실     명</v>
          </cell>
        </row>
      </sheetData>
      <sheetData sheetId="2328">
        <row r="2">
          <cell r="A2" t="str">
            <v>실     명</v>
          </cell>
        </row>
      </sheetData>
      <sheetData sheetId="2329">
        <row r="2">
          <cell r="A2" t="str">
            <v>실     명</v>
          </cell>
        </row>
      </sheetData>
      <sheetData sheetId="2330">
        <row r="2">
          <cell r="A2" t="str">
            <v>실     명</v>
          </cell>
        </row>
      </sheetData>
      <sheetData sheetId="2331">
        <row r="2">
          <cell r="A2" t="str">
            <v>실     명</v>
          </cell>
        </row>
      </sheetData>
      <sheetData sheetId="2332">
        <row r="2">
          <cell r="A2" t="str">
            <v>실     명</v>
          </cell>
        </row>
      </sheetData>
      <sheetData sheetId="2333">
        <row r="2">
          <cell r="A2" t="str">
            <v>실     명</v>
          </cell>
        </row>
      </sheetData>
      <sheetData sheetId="2334">
        <row r="2">
          <cell r="A2" t="str">
            <v>실     명</v>
          </cell>
        </row>
      </sheetData>
      <sheetData sheetId="2335">
        <row r="2">
          <cell r="A2" t="str">
            <v>실     명</v>
          </cell>
        </row>
      </sheetData>
      <sheetData sheetId="2336">
        <row r="2">
          <cell r="A2" t="str">
            <v>실     명</v>
          </cell>
        </row>
      </sheetData>
      <sheetData sheetId="2337">
        <row r="2">
          <cell r="A2" t="str">
            <v>실     명</v>
          </cell>
        </row>
      </sheetData>
      <sheetData sheetId="2338">
        <row r="2">
          <cell r="A2" t="str">
            <v>실     명</v>
          </cell>
        </row>
      </sheetData>
      <sheetData sheetId="2339">
        <row r="2">
          <cell r="A2" t="str">
            <v>실     명</v>
          </cell>
        </row>
      </sheetData>
      <sheetData sheetId="2340">
        <row r="2">
          <cell r="A2" t="str">
            <v>실     명</v>
          </cell>
        </row>
      </sheetData>
      <sheetData sheetId="2341">
        <row r="2">
          <cell r="A2" t="str">
            <v>실     명</v>
          </cell>
        </row>
      </sheetData>
      <sheetData sheetId="2342">
        <row r="2">
          <cell r="A2" t="str">
            <v>실     명</v>
          </cell>
        </row>
      </sheetData>
      <sheetData sheetId="2343">
        <row r="2">
          <cell r="A2" t="str">
            <v>실     명</v>
          </cell>
        </row>
      </sheetData>
      <sheetData sheetId="2344">
        <row r="2">
          <cell r="A2" t="str">
            <v>실     명</v>
          </cell>
        </row>
      </sheetData>
      <sheetData sheetId="2345">
        <row r="2">
          <cell r="A2" t="str">
            <v>실     명</v>
          </cell>
        </row>
      </sheetData>
      <sheetData sheetId="2346">
        <row r="2">
          <cell r="A2" t="str">
            <v>실     명</v>
          </cell>
        </row>
      </sheetData>
      <sheetData sheetId="2347">
        <row r="2">
          <cell r="A2" t="str">
            <v>실     명</v>
          </cell>
        </row>
      </sheetData>
      <sheetData sheetId="2348">
        <row r="2">
          <cell r="A2" t="str">
            <v>실     명</v>
          </cell>
        </row>
      </sheetData>
      <sheetData sheetId="2349">
        <row r="2">
          <cell r="A2" t="str">
            <v>실     명</v>
          </cell>
        </row>
      </sheetData>
      <sheetData sheetId="2350">
        <row r="2">
          <cell r="A2" t="str">
            <v>실     명</v>
          </cell>
        </row>
      </sheetData>
      <sheetData sheetId="2351">
        <row r="2">
          <cell r="A2" t="str">
            <v>실     명</v>
          </cell>
        </row>
      </sheetData>
      <sheetData sheetId="2352">
        <row r="2">
          <cell r="A2" t="str">
            <v>실     명</v>
          </cell>
        </row>
      </sheetData>
      <sheetData sheetId="2353">
        <row r="2">
          <cell r="A2" t="str">
            <v>실     명</v>
          </cell>
        </row>
      </sheetData>
      <sheetData sheetId="2354">
        <row r="2">
          <cell r="A2" t="str">
            <v>실     명</v>
          </cell>
        </row>
      </sheetData>
      <sheetData sheetId="2355">
        <row r="2">
          <cell r="A2" t="str">
            <v>실     명</v>
          </cell>
        </row>
      </sheetData>
      <sheetData sheetId="2356">
        <row r="2">
          <cell r="A2" t="str">
            <v>실     명</v>
          </cell>
        </row>
      </sheetData>
      <sheetData sheetId="2357">
        <row r="2">
          <cell r="A2" t="str">
            <v>실     명</v>
          </cell>
        </row>
      </sheetData>
      <sheetData sheetId="2358">
        <row r="2">
          <cell r="A2" t="str">
            <v>실     명</v>
          </cell>
        </row>
      </sheetData>
      <sheetData sheetId="2359">
        <row r="2">
          <cell r="A2" t="str">
            <v>실     명</v>
          </cell>
        </row>
      </sheetData>
      <sheetData sheetId="2360">
        <row r="2">
          <cell r="A2" t="str">
            <v>실     명</v>
          </cell>
        </row>
      </sheetData>
      <sheetData sheetId="2361">
        <row r="2">
          <cell r="A2" t="str">
            <v>실     명</v>
          </cell>
        </row>
      </sheetData>
      <sheetData sheetId="2362">
        <row r="2">
          <cell r="A2" t="str">
            <v>실     명</v>
          </cell>
        </row>
      </sheetData>
      <sheetData sheetId="2363">
        <row r="2">
          <cell r="A2" t="str">
            <v>실     명</v>
          </cell>
        </row>
      </sheetData>
      <sheetData sheetId="2364">
        <row r="2">
          <cell r="A2" t="str">
            <v>실     명</v>
          </cell>
        </row>
      </sheetData>
      <sheetData sheetId="2365">
        <row r="2">
          <cell r="A2" t="str">
            <v>실     명</v>
          </cell>
        </row>
      </sheetData>
      <sheetData sheetId="2366">
        <row r="2">
          <cell r="A2" t="str">
            <v>실     명</v>
          </cell>
        </row>
      </sheetData>
      <sheetData sheetId="2367">
        <row r="2">
          <cell r="A2" t="str">
            <v>실     명</v>
          </cell>
        </row>
      </sheetData>
      <sheetData sheetId="2368">
        <row r="2">
          <cell r="A2" t="str">
            <v>실     명</v>
          </cell>
        </row>
      </sheetData>
      <sheetData sheetId="2369">
        <row r="2">
          <cell r="A2" t="str">
            <v>실     명</v>
          </cell>
        </row>
      </sheetData>
      <sheetData sheetId="2370">
        <row r="2">
          <cell r="A2" t="str">
            <v>실     명</v>
          </cell>
        </row>
      </sheetData>
      <sheetData sheetId="2371">
        <row r="2">
          <cell r="A2" t="str">
            <v>실     명</v>
          </cell>
        </row>
      </sheetData>
      <sheetData sheetId="2372">
        <row r="2">
          <cell r="A2" t="str">
            <v>실     명</v>
          </cell>
        </row>
      </sheetData>
      <sheetData sheetId="2373">
        <row r="2">
          <cell r="A2" t="str">
            <v>실     명</v>
          </cell>
        </row>
      </sheetData>
      <sheetData sheetId="2374">
        <row r="2">
          <cell r="A2" t="str">
            <v>실     명</v>
          </cell>
        </row>
      </sheetData>
      <sheetData sheetId="2375">
        <row r="2">
          <cell r="A2" t="str">
            <v>실     명</v>
          </cell>
        </row>
      </sheetData>
      <sheetData sheetId="2376">
        <row r="2">
          <cell r="A2" t="str">
            <v>실     명</v>
          </cell>
        </row>
      </sheetData>
      <sheetData sheetId="2377">
        <row r="2">
          <cell r="A2" t="str">
            <v>실     명</v>
          </cell>
        </row>
      </sheetData>
      <sheetData sheetId="2378">
        <row r="2">
          <cell r="A2" t="str">
            <v>실     명</v>
          </cell>
        </row>
      </sheetData>
      <sheetData sheetId="2379">
        <row r="2">
          <cell r="A2" t="str">
            <v>실     명</v>
          </cell>
        </row>
      </sheetData>
      <sheetData sheetId="2380">
        <row r="2">
          <cell r="A2" t="str">
            <v>실     명</v>
          </cell>
        </row>
      </sheetData>
      <sheetData sheetId="2381">
        <row r="2">
          <cell r="A2" t="str">
            <v>실     명</v>
          </cell>
        </row>
      </sheetData>
      <sheetData sheetId="2382">
        <row r="2">
          <cell r="A2" t="str">
            <v>실     명</v>
          </cell>
        </row>
      </sheetData>
      <sheetData sheetId="2383">
        <row r="2">
          <cell r="A2" t="str">
            <v>실     명</v>
          </cell>
        </row>
      </sheetData>
      <sheetData sheetId="2384">
        <row r="2">
          <cell r="A2" t="str">
            <v>실     명</v>
          </cell>
        </row>
      </sheetData>
      <sheetData sheetId="2385">
        <row r="2">
          <cell r="A2" t="str">
            <v>실     명</v>
          </cell>
        </row>
      </sheetData>
      <sheetData sheetId="2386">
        <row r="2">
          <cell r="A2" t="str">
            <v>실     명</v>
          </cell>
        </row>
      </sheetData>
      <sheetData sheetId="2387">
        <row r="2">
          <cell r="A2" t="str">
            <v>실     명</v>
          </cell>
        </row>
      </sheetData>
      <sheetData sheetId="2388">
        <row r="2">
          <cell r="A2" t="str">
            <v>실     명</v>
          </cell>
        </row>
      </sheetData>
      <sheetData sheetId="2389">
        <row r="2">
          <cell r="A2" t="str">
            <v>실     명</v>
          </cell>
        </row>
      </sheetData>
      <sheetData sheetId="2390">
        <row r="2">
          <cell r="A2" t="str">
            <v>실     명</v>
          </cell>
        </row>
      </sheetData>
      <sheetData sheetId="2391">
        <row r="2">
          <cell r="A2" t="str">
            <v>실     명</v>
          </cell>
        </row>
      </sheetData>
      <sheetData sheetId="2392">
        <row r="2">
          <cell r="A2" t="str">
            <v>실     명</v>
          </cell>
        </row>
      </sheetData>
      <sheetData sheetId="2393">
        <row r="2">
          <cell r="A2" t="str">
            <v>실     명</v>
          </cell>
        </row>
      </sheetData>
      <sheetData sheetId="2394">
        <row r="2">
          <cell r="A2" t="str">
            <v>실     명</v>
          </cell>
        </row>
      </sheetData>
      <sheetData sheetId="2395">
        <row r="2">
          <cell r="A2" t="str">
            <v>실     명</v>
          </cell>
        </row>
      </sheetData>
      <sheetData sheetId="2396">
        <row r="2">
          <cell r="A2" t="str">
            <v>실     명</v>
          </cell>
        </row>
      </sheetData>
      <sheetData sheetId="2397">
        <row r="2">
          <cell r="A2" t="str">
            <v>실     명</v>
          </cell>
        </row>
      </sheetData>
      <sheetData sheetId="2398">
        <row r="2">
          <cell r="A2" t="str">
            <v>실     명</v>
          </cell>
        </row>
      </sheetData>
      <sheetData sheetId="2399">
        <row r="2">
          <cell r="A2" t="str">
            <v>실     명</v>
          </cell>
        </row>
      </sheetData>
      <sheetData sheetId="2400">
        <row r="2">
          <cell r="A2" t="str">
            <v>실     명</v>
          </cell>
        </row>
      </sheetData>
      <sheetData sheetId="2401">
        <row r="2">
          <cell r="A2" t="str">
            <v>실     명</v>
          </cell>
        </row>
      </sheetData>
      <sheetData sheetId="2402">
        <row r="2">
          <cell r="A2" t="str">
            <v>실     명</v>
          </cell>
        </row>
      </sheetData>
      <sheetData sheetId="2403">
        <row r="2">
          <cell r="A2" t="str">
            <v>실     명</v>
          </cell>
        </row>
      </sheetData>
      <sheetData sheetId="2404">
        <row r="2">
          <cell r="A2" t="str">
            <v>실     명</v>
          </cell>
        </row>
      </sheetData>
      <sheetData sheetId="2405">
        <row r="2">
          <cell r="A2" t="str">
            <v>실     명</v>
          </cell>
        </row>
      </sheetData>
      <sheetData sheetId="2406">
        <row r="2">
          <cell r="A2" t="str">
            <v>실     명</v>
          </cell>
        </row>
      </sheetData>
      <sheetData sheetId="2407">
        <row r="2">
          <cell r="A2" t="str">
            <v>실     명</v>
          </cell>
        </row>
      </sheetData>
      <sheetData sheetId="2408">
        <row r="2">
          <cell r="A2" t="str">
            <v>실     명</v>
          </cell>
        </row>
      </sheetData>
      <sheetData sheetId="2409">
        <row r="2">
          <cell r="A2" t="str">
            <v>실     명</v>
          </cell>
        </row>
      </sheetData>
      <sheetData sheetId="2410">
        <row r="2">
          <cell r="A2" t="str">
            <v>실     명</v>
          </cell>
        </row>
      </sheetData>
      <sheetData sheetId="2411">
        <row r="2">
          <cell r="A2" t="str">
            <v>실     명</v>
          </cell>
        </row>
      </sheetData>
      <sheetData sheetId="2412">
        <row r="2">
          <cell r="A2" t="str">
            <v>실     명</v>
          </cell>
        </row>
      </sheetData>
      <sheetData sheetId="2413">
        <row r="2">
          <cell r="A2" t="str">
            <v>실     명</v>
          </cell>
        </row>
      </sheetData>
      <sheetData sheetId="2414">
        <row r="2">
          <cell r="A2" t="str">
            <v>실     명</v>
          </cell>
        </row>
      </sheetData>
      <sheetData sheetId="2415">
        <row r="2">
          <cell r="A2" t="str">
            <v>실     명</v>
          </cell>
        </row>
      </sheetData>
      <sheetData sheetId="2416">
        <row r="2">
          <cell r="A2" t="str">
            <v>실     명</v>
          </cell>
        </row>
      </sheetData>
      <sheetData sheetId="2417">
        <row r="2">
          <cell r="A2" t="str">
            <v>실     명</v>
          </cell>
        </row>
      </sheetData>
      <sheetData sheetId="2418">
        <row r="2">
          <cell r="A2" t="str">
            <v>실     명</v>
          </cell>
        </row>
      </sheetData>
      <sheetData sheetId="2419">
        <row r="2">
          <cell r="A2" t="str">
            <v>실     명</v>
          </cell>
        </row>
      </sheetData>
      <sheetData sheetId="2420">
        <row r="2">
          <cell r="A2" t="str">
            <v>실     명</v>
          </cell>
        </row>
      </sheetData>
      <sheetData sheetId="2421">
        <row r="2">
          <cell r="A2" t="str">
            <v>실     명</v>
          </cell>
        </row>
      </sheetData>
      <sheetData sheetId="2422">
        <row r="2">
          <cell r="A2" t="str">
            <v>실     명</v>
          </cell>
        </row>
      </sheetData>
      <sheetData sheetId="2423">
        <row r="2">
          <cell r="A2" t="str">
            <v>실     명</v>
          </cell>
        </row>
      </sheetData>
      <sheetData sheetId="2424">
        <row r="2">
          <cell r="A2" t="str">
            <v>실     명</v>
          </cell>
        </row>
      </sheetData>
      <sheetData sheetId="2425">
        <row r="2">
          <cell r="A2" t="str">
            <v>실     명</v>
          </cell>
        </row>
      </sheetData>
      <sheetData sheetId="2426">
        <row r="2">
          <cell r="A2" t="str">
            <v>실     명</v>
          </cell>
        </row>
      </sheetData>
      <sheetData sheetId="2427">
        <row r="2">
          <cell r="A2" t="str">
            <v>실     명</v>
          </cell>
        </row>
      </sheetData>
      <sheetData sheetId="2428">
        <row r="2">
          <cell r="A2" t="str">
            <v>실     명</v>
          </cell>
        </row>
      </sheetData>
      <sheetData sheetId="2429">
        <row r="2">
          <cell r="A2" t="str">
            <v>실     명</v>
          </cell>
        </row>
      </sheetData>
      <sheetData sheetId="2430">
        <row r="2">
          <cell r="A2" t="str">
            <v>실     명</v>
          </cell>
        </row>
      </sheetData>
      <sheetData sheetId="2431">
        <row r="2">
          <cell r="A2" t="str">
            <v>실     명</v>
          </cell>
        </row>
      </sheetData>
      <sheetData sheetId="2432">
        <row r="2">
          <cell r="A2" t="str">
            <v>실     명</v>
          </cell>
        </row>
      </sheetData>
      <sheetData sheetId="2433">
        <row r="2">
          <cell r="A2" t="str">
            <v>실     명</v>
          </cell>
        </row>
      </sheetData>
      <sheetData sheetId="2434">
        <row r="2">
          <cell r="A2" t="str">
            <v>실     명</v>
          </cell>
        </row>
      </sheetData>
      <sheetData sheetId="2435">
        <row r="2">
          <cell r="A2" t="str">
            <v>실     명</v>
          </cell>
        </row>
      </sheetData>
      <sheetData sheetId="2436">
        <row r="2">
          <cell r="A2" t="str">
            <v>실     명</v>
          </cell>
        </row>
      </sheetData>
      <sheetData sheetId="2437">
        <row r="2">
          <cell r="A2" t="str">
            <v>실     명</v>
          </cell>
        </row>
      </sheetData>
      <sheetData sheetId="2438">
        <row r="2">
          <cell r="A2" t="str">
            <v>실     명</v>
          </cell>
        </row>
      </sheetData>
      <sheetData sheetId="2439">
        <row r="2">
          <cell r="A2" t="str">
            <v>실     명</v>
          </cell>
        </row>
      </sheetData>
      <sheetData sheetId="2440">
        <row r="2">
          <cell r="A2" t="str">
            <v>실     명</v>
          </cell>
        </row>
      </sheetData>
      <sheetData sheetId="2441">
        <row r="2">
          <cell r="A2" t="str">
            <v>실     명</v>
          </cell>
        </row>
      </sheetData>
      <sheetData sheetId="2442">
        <row r="2">
          <cell r="A2" t="str">
            <v>실     명</v>
          </cell>
        </row>
      </sheetData>
      <sheetData sheetId="2443">
        <row r="2">
          <cell r="A2" t="str">
            <v>실     명</v>
          </cell>
        </row>
      </sheetData>
      <sheetData sheetId="2444">
        <row r="2">
          <cell r="A2" t="str">
            <v>실     명</v>
          </cell>
        </row>
      </sheetData>
      <sheetData sheetId="2445">
        <row r="2">
          <cell r="A2" t="str">
            <v>실     명</v>
          </cell>
        </row>
      </sheetData>
      <sheetData sheetId="2446">
        <row r="2">
          <cell r="A2" t="str">
            <v>실     명</v>
          </cell>
        </row>
      </sheetData>
      <sheetData sheetId="2447">
        <row r="2">
          <cell r="A2" t="str">
            <v>실     명</v>
          </cell>
        </row>
      </sheetData>
      <sheetData sheetId="2448">
        <row r="2">
          <cell r="A2" t="str">
            <v>실     명</v>
          </cell>
        </row>
      </sheetData>
      <sheetData sheetId="2449">
        <row r="2">
          <cell r="A2" t="str">
            <v>실     명</v>
          </cell>
        </row>
      </sheetData>
      <sheetData sheetId="2450">
        <row r="2">
          <cell r="A2" t="str">
            <v>실     명</v>
          </cell>
        </row>
      </sheetData>
      <sheetData sheetId="2451">
        <row r="2">
          <cell r="A2" t="str">
            <v>실     명</v>
          </cell>
        </row>
      </sheetData>
      <sheetData sheetId="2452">
        <row r="2">
          <cell r="A2" t="str">
            <v>실     명</v>
          </cell>
        </row>
      </sheetData>
      <sheetData sheetId="2453">
        <row r="2">
          <cell r="A2" t="str">
            <v>실     명</v>
          </cell>
        </row>
      </sheetData>
      <sheetData sheetId="2454">
        <row r="2">
          <cell r="A2" t="str">
            <v>실     명</v>
          </cell>
        </row>
      </sheetData>
      <sheetData sheetId="2455">
        <row r="2">
          <cell r="A2" t="str">
            <v>실     명</v>
          </cell>
        </row>
      </sheetData>
      <sheetData sheetId="2456">
        <row r="2">
          <cell r="A2" t="str">
            <v>실     명</v>
          </cell>
        </row>
      </sheetData>
      <sheetData sheetId="2457">
        <row r="2">
          <cell r="A2" t="str">
            <v>실     명</v>
          </cell>
        </row>
      </sheetData>
      <sheetData sheetId="2458">
        <row r="2">
          <cell r="A2" t="str">
            <v>실     명</v>
          </cell>
        </row>
      </sheetData>
      <sheetData sheetId="2459">
        <row r="2">
          <cell r="A2" t="str">
            <v>실     명</v>
          </cell>
        </row>
      </sheetData>
      <sheetData sheetId="2460">
        <row r="2">
          <cell r="A2" t="str">
            <v>실     명</v>
          </cell>
        </row>
      </sheetData>
      <sheetData sheetId="2461">
        <row r="2">
          <cell r="A2" t="str">
            <v>실     명</v>
          </cell>
        </row>
      </sheetData>
      <sheetData sheetId="2462">
        <row r="2">
          <cell r="A2" t="str">
            <v>실     명</v>
          </cell>
        </row>
      </sheetData>
      <sheetData sheetId="2463">
        <row r="2">
          <cell r="A2" t="str">
            <v>실     명</v>
          </cell>
        </row>
      </sheetData>
      <sheetData sheetId="2464">
        <row r="2">
          <cell r="A2" t="str">
            <v>실     명</v>
          </cell>
        </row>
      </sheetData>
      <sheetData sheetId="2465">
        <row r="2">
          <cell r="A2" t="str">
            <v>실     명</v>
          </cell>
        </row>
      </sheetData>
      <sheetData sheetId="2466">
        <row r="2">
          <cell r="A2" t="str">
            <v>실     명</v>
          </cell>
        </row>
      </sheetData>
      <sheetData sheetId="2467">
        <row r="2">
          <cell r="A2" t="str">
            <v>실     명</v>
          </cell>
        </row>
      </sheetData>
      <sheetData sheetId="2468">
        <row r="2">
          <cell r="A2" t="str">
            <v>실     명</v>
          </cell>
        </row>
      </sheetData>
      <sheetData sheetId="2469">
        <row r="2">
          <cell r="A2" t="str">
            <v>실     명</v>
          </cell>
        </row>
      </sheetData>
      <sheetData sheetId="2470">
        <row r="2">
          <cell r="A2" t="str">
            <v>실     명</v>
          </cell>
        </row>
      </sheetData>
      <sheetData sheetId="2471">
        <row r="2">
          <cell r="A2" t="str">
            <v>실     명</v>
          </cell>
        </row>
      </sheetData>
      <sheetData sheetId="2472">
        <row r="2">
          <cell r="A2" t="str">
            <v>실     명</v>
          </cell>
        </row>
      </sheetData>
      <sheetData sheetId="2473">
        <row r="2">
          <cell r="A2" t="str">
            <v>실     명</v>
          </cell>
        </row>
      </sheetData>
      <sheetData sheetId="2474">
        <row r="2">
          <cell r="A2" t="str">
            <v>실     명</v>
          </cell>
        </row>
      </sheetData>
      <sheetData sheetId="2475">
        <row r="2">
          <cell r="A2" t="str">
            <v>실     명</v>
          </cell>
        </row>
      </sheetData>
      <sheetData sheetId="2476">
        <row r="2">
          <cell r="A2" t="str">
            <v>실     명</v>
          </cell>
        </row>
      </sheetData>
      <sheetData sheetId="2477">
        <row r="2">
          <cell r="A2" t="str">
            <v>실     명</v>
          </cell>
        </row>
      </sheetData>
      <sheetData sheetId="2478">
        <row r="2">
          <cell r="A2" t="str">
            <v>실     명</v>
          </cell>
        </row>
      </sheetData>
      <sheetData sheetId="2479">
        <row r="2">
          <cell r="A2" t="str">
            <v>실     명</v>
          </cell>
        </row>
      </sheetData>
      <sheetData sheetId="2480">
        <row r="2">
          <cell r="A2" t="str">
            <v>실     명</v>
          </cell>
        </row>
      </sheetData>
      <sheetData sheetId="2481">
        <row r="2">
          <cell r="A2" t="str">
            <v>실     명</v>
          </cell>
        </row>
      </sheetData>
      <sheetData sheetId="2482">
        <row r="2">
          <cell r="A2" t="str">
            <v>실     명</v>
          </cell>
        </row>
      </sheetData>
      <sheetData sheetId="2483">
        <row r="2">
          <cell r="A2" t="str">
            <v>실     명</v>
          </cell>
        </row>
      </sheetData>
      <sheetData sheetId="2484">
        <row r="2">
          <cell r="A2" t="str">
            <v>실     명</v>
          </cell>
        </row>
      </sheetData>
      <sheetData sheetId="2485">
        <row r="2">
          <cell r="A2" t="str">
            <v>실     명</v>
          </cell>
        </row>
      </sheetData>
      <sheetData sheetId="2486">
        <row r="2">
          <cell r="A2" t="str">
            <v>실     명</v>
          </cell>
        </row>
      </sheetData>
      <sheetData sheetId="2487">
        <row r="2">
          <cell r="A2" t="str">
            <v>실     명</v>
          </cell>
        </row>
      </sheetData>
      <sheetData sheetId="2488">
        <row r="2">
          <cell r="A2" t="str">
            <v>실     명</v>
          </cell>
        </row>
      </sheetData>
      <sheetData sheetId="2489">
        <row r="2">
          <cell r="A2" t="str">
            <v>실     명</v>
          </cell>
        </row>
      </sheetData>
      <sheetData sheetId="2490">
        <row r="2">
          <cell r="A2" t="str">
            <v>실     명</v>
          </cell>
        </row>
      </sheetData>
      <sheetData sheetId="2491">
        <row r="2">
          <cell r="A2" t="str">
            <v>실     명</v>
          </cell>
        </row>
      </sheetData>
      <sheetData sheetId="2492">
        <row r="2">
          <cell r="A2" t="str">
            <v>실     명</v>
          </cell>
        </row>
      </sheetData>
      <sheetData sheetId="2493">
        <row r="2">
          <cell r="A2" t="str">
            <v>실     명</v>
          </cell>
        </row>
      </sheetData>
      <sheetData sheetId="2494">
        <row r="2">
          <cell r="A2" t="str">
            <v>실     명</v>
          </cell>
        </row>
      </sheetData>
      <sheetData sheetId="2495">
        <row r="2">
          <cell r="A2" t="str">
            <v>실     명</v>
          </cell>
        </row>
      </sheetData>
      <sheetData sheetId="2496">
        <row r="2">
          <cell r="A2" t="str">
            <v>실     명</v>
          </cell>
        </row>
      </sheetData>
      <sheetData sheetId="2497">
        <row r="2">
          <cell r="A2" t="str">
            <v>실     명</v>
          </cell>
        </row>
      </sheetData>
      <sheetData sheetId="2498">
        <row r="2">
          <cell r="A2" t="str">
            <v>실     명</v>
          </cell>
        </row>
      </sheetData>
      <sheetData sheetId="2499">
        <row r="2">
          <cell r="A2" t="str">
            <v>실     명</v>
          </cell>
        </row>
      </sheetData>
      <sheetData sheetId="2500">
        <row r="2">
          <cell r="A2" t="str">
            <v>실     명</v>
          </cell>
        </row>
      </sheetData>
      <sheetData sheetId="2501">
        <row r="2">
          <cell r="A2" t="str">
            <v>실     명</v>
          </cell>
        </row>
      </sheetData>
      <sheetData sheetId="2502">
        <row r="2">
          <cell r="A2" t="str">
            <v>실     명</v>
          </cell>
        </row>
      </sheetData>
      <sheetData sheetId="2503">
        <row r="2">
          <cell r="A2" t="str">
            <v>실     명</v>
          </cell>
        </row>
      </sheetData>
      <sheetData sheetId="2504">
        <row r="2">
          <cell r="A2" t="str">
            <v>실     명</v>
          </cell>
        </row>
      </sheetData>
      <sheetData sheetId="2505">
        <row r="2">
          <cell r="A2" t="str">
            <v>실     명</v>
          </cell>
        </row>
      </sheetData>
      <sheetData sheetId="2506">
        <row r="2">
          <cell r="A2" t="str">
            <v>실     명</v>
          </cell>
        </row>
      </sheetData>
      <sheetData sheetId="2507">
        <row r="2">
          <cell r="A2" t="str">
            <v>실     명</v>
          </cell>
        </row>
      </sheetData>
      <sheetData sheetId="2508">
        <row r="2">
          <cell r="A2" t="str">
            <v>실     명</v>
          </cell>
        </row>
      </sheetData>
      <sheetData sheetId="2509">
        <row r="2">
          <cell r="A2" t="str">
            <v>실     명</v>
          </cell>
        </row>
      </sheetData>
      <sheetData sheetId="2510">
        <row r="2">
          <cell r="A2" t="str">
            <v>실     명</v>
          </cell>
        </row>
      </sheetData>
      <sheetData sheetId="2511">
        <row r="2">
          <cell r="A2" t="str">
            <v>실     명</v>
          </cell>
        </row>
      </sheetData>
      <sheetData sheetId="2512">
        <row r="2">
          <cell r="A2" t="str">
            <v>실     명</v>
          </cell>
        </row>
      </sheetData>
      <sheetData sheetId="2513">
        <row r="2">
          <cell r="A2" t="str">
            <v>실     명</v>
          </cell>
        </row>
      </sheetData>
      <sheetData sheetId="2514">
        <row r="2">
          <cell r="A2" t="str">
            <v>실     명</v>
          </cell>
        </row>
      </sheetData>
      <sheetData sheetId="2515">
        <row r="2">
          <cell r="A2" t="str">
            <v>실     명</v>
          </cell>
        </row>
      </sheetData>
      <sheetData sheetId="2516">
        <row r="2">
          <cell r="A2" t="str">
            <v>실     명</v>
          </cell>
        </row>
      </sheetData>
      <sheetData sheetId="2517">
        <row r="2">
          <cell r="A2" t="str">
            <v>실     명</v>
          </cell>
        </row>
      </sheetData>
      <sheetData sheetId="2518">
        <row r="2">
          <cell r="A2" t="str">
            <v>실     명</v>
          </cell>
        </row>
      </sheetData>
      <sheetData sheetId="2519">
        <row r="2">
          <cell r="A2" t="str">
            <v>실     명</v>
          </cell>
        </row>
      </sheetData>
      <sheetData sheetId="2520">
        <row r="2">
          <cell r="A2" t="str">
            <v>실     명</v>
          </cell>
        </row>
      </sheetData>
      <sheetData sheetId="2521">
        <row r="2">
          <cell r="A2" t="str">
            <v>실     명</v>
          </cell>
        </row>
      </sheetData>
      <sheetData sheetId="2522">
        <row r="2">
          <cell r="A2" t="str">
            <v>실     명</v>
          </cell>
        </row>
      </sheetData>
      <sheetData sheetId="2523">
        <row r="2">
          <cell r="A2" t="str">
            <v>실     명</v>
          </cell>
        </row>
      </sheetData>
      <sheetData sheetId="2524">
        <row r="2">
          <cell r="A2" t="str">
            <v>실     명</v>
          </cell>
        </row>
      </sheetData>
      <sheetData sheetId="2525">
        <row r="2">
          <cell r="A2" t="str">
            <v>실     명</v>
          </cell>
        </row>
      </sheetData>
      <sheetData sheetId="2526">
        <row r="2">
          <cell r="A2" t="str">
            <v>실     명</v>
          </cell>
        </row>
      </sheetData>
      <sheetData sheetId="2527">
        <row r="2">
          <cell r="A2" t="str">
            <v>실     명</v>
          </cell>
        </row>
      </sheetData>
      <sheetData sheetId="2528">
        <row r="2">
          <cell r="A2" t="str">
            <v>실     명</v>
          </cell>
        </row>
      </sheetData>
      <sheetData sheetId="2529">
        <row r="2">
          <cell r="A2" t="str">
            <v>실     명</v>
          </cell>
        </row>
      </sheetData>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ow r="2">
          <cell r="A2" t="str">
            <v>실     명</v>
          </cell>
        </row>
      </sheetData>
      <sheetData sheetId="2563" refreshError="1"/>
      <sheetData sheetId="2564" refreshError="1"/>
      <sheetData sheetId="2565" refreshError="1"/>
      <sheetData sheetId="2566" refreshError="1"/>
      <sheetData sheetId="2567">
        <row r="2">
          <cell r="A2" t="str">
            <v>실     명</v>
          </cell>
        </row>
      </sheetData>
      <sheetData sheetId="2568">
        <row r="2">
          <cell r="A2" t="str">
            <v>실     명</v>
          </cell>
        </row>
      </sheetData>
      <sheetData sheetId="2569">
        <row r="2">
          <cell r="A2" t="str">
            <v>실     명</v>
          </cell>
        </row>
      </sheetData>
      <sheetData sheetId="2570">
        <row r="2">
          <cell r="A2" t="str">
            <v>실     명</v>
          </cell>
        </row>
      </sheetData>
      <sheetData sheetId="2571">
        <row r="2">
          <cell r="A2" t="str">
            <v>실     명</v>
          </cell>
        </row>
      </sheetData>
      <sheetData sheetId="2572">
        <row r="2">
          <cell r="A2" t="str">
            <v>실     명</v>
          </cell>
        </row>
      </sheetData>
      <sheetData sheetId="2573">
        <row r="2">
          <cell r="A2" t="str">
            <v>실     명</v>
          </cell>
        </row>
      </sheetData>
      <sheetData sheetId="2574">
        <row r="2">
          <cell r="A2" t="str">
            <v>실     명</v>
          </cell>
        </row>
      </sheetData>
      <sheetData sheetId="2575">
        <row r="2">
          <cell r="A2" t="str">
            <v>실     명</v>
          </cell>
        </row>
      </sheetData>
      <sheetData sheetId="2576">
        <row r="2">
          <cell r="A2" t="str">
            <v>실     명</v>
          </cell>
        </row>
      </sheetData>
      <sheetData sheetId="2577">
        <row r="2">
          <cell r="A2" t="str">
            <v>실     명</v>
          </cell>
        </row>
      </sheetData>
      <sheetData sheetId="2578">
        <row r="2">
          <cell r="A2" t="str">
            <v>실     명</v>
          </cell>
        </row>
      </sheetData>
      <sheetData sheetId="2579">
        <row r="2">
          <cell r="A2" t="str">
            <v>실     명</v>
          </cell>
        </row>
      </sheetData>
      <sheetData sheetId="2580">
        <row r="2">
          <cell r="A2" t="str">
            <v>실     명</v>
          </cell>
        </row>
      </sheetData>
      <sheetData sheetId="2581">
        <row r="2">
          <cell r="A2" t="str">
            <v>실     명</v>
          </cell>
        </row>
      </sheetData>
      <sheetData sheetId="2582">
        <row r="2">
          <cell r="A2" t="str">
            <v>실     명</v>
          </cell>
        </row>
      </sheetData>
      <sheetData sheetId="2583">
        <row r="2">
          <cell r="A2" t="str">
            <v>실     명</v>
          </cell>
        </row>
      </sheetData>
      <sheetData sheetId="2584">
        <row r="2">
          <cell r="A2" t="str">
            <v>실     명</v>
          </cell>
        </row>
      </sheetData>
      <sheetData sheetId="2585">
        <row r="2">
          <cell r="A2" t="str">
            <v>실     명</v>
          </cell>
        </row>
      </sheetData>
      <sheetData sheetId="2586">
        <row r="2">
          <cell r="A2" t="str">
            <v>실     명</v>
          </cell>
        </row>
      </sheetData>
      <sheetData sheetId="2587">
        <row r="2">
          <cell r="A2" t="str">
            <v>실     명</v>
          </cell>
        </row>
      </sheetData>
      <sheetData sheetId="2588">
        <row r="2">
          <cell r="A2" t="str">
            <v>실     명</v>
          </cell>
        </row>
      </sheetData>
      <sheetData sheetId="2589">
        <row r="2">
          <cell r="A2" t="str">
            <v>실     명</v>
          </cell>
        </row>
      </sheetData>
      <sheetData sheetId="2590">
        <row r="2">
          <cell r="A2" t="str">
            <v>실     명</v>
          </cell>
        </row>
      </sheetData>
      <sheetData sheetId="2591">
        <row r="2">
          <cell r="A2" t="str">
            <v>실     명</v>
          </cell>
        </row>
      </sheetData>
      <sheetData sheetId="2592">
        <row r="2">
          <cell r="A2" t="str">
            <v>실     명</v>
          </cell>
        </row>
      </sheetData>
      <sheetData sheetId="2593">
        <row r="2">
          <cell r="A2" t="str">
            <v>실     명</v>
          </cell>
        </row>
      </sheetData>
      <sheetData sheetId="2594">
        <row r="2">
          <cell r="A2" t="str">
            <v>실     명</v>
          </cell>
        </row>
      </sheetData>
      <sheetData sheetId="2595">
        <row r="2">
          <cell r="A2" t="str">
            <v>실     명</v>
          </cell>
        </row>
      </sheetData>
      <sheetData sheetId="2596">
        <row r="2">
          <cell r="A2" t="str">
            <v>실     명</v>
          </cell>
        </row>
      </sheetData>
      <sheetData sheetId="2597">
        <row r="2">
          <cell r="A2" t="str">
            <v>실     명</v>
          </cell>
        </row>
      </sheetData>
      <sheetData sheetId="2598">
        <row r="2">
          <cell r="A2" t="str">
            <v>실     명</v>
          </cell>
        </row>
      </sheetData>
      <sheetData sheetId="2599">
        <row r="2">
          <cell r="A2" t="str">
            <v>실     명</v>
          </cell>
        </row>
      </sheetData>
      <sheetData sheetId="2600">
        <row r="2">
          <cell r="A2" t="str">
            <v>실     명</v>
          </cell>
        </row>
      </sheetData>
      <sheetData sheetId="2601">
        <row r="2">
          <cell r="A2" t="str">
            <v>실     명</v>
          </cell>
        </row>
      </sheetData>
      <sheetData sheetId="2602">
        <row r="2">
          <cell r="A2" t="str">
            <v>실     명</v>
          </cell>
        </row>
      </sheetData>
      <sheetData sheetId="2603">
        <row r="2">
          <cell r="A2" t="str">
            <v>실     명</v>
          </cell>
        </row>
      </sheetData>
      <sheetData sheetId="2604">
        <row r="2">
          <cell r="A2" t="str">
            <v>실     명</v>
          </cell>
        </row>
      </sheetData>
      <sheetData sheetId="2605">
        <row r="2">
          <cell r="A2" t="str">
            <v>실     명</v>
          </cell>
        </row>
      </sheetData>
      <sheetData sheetId="2606">
        <row r="2">
          <cell r="A2" t="str">
            <v>실     명</v>
          </cell>
        </row>
      </sheetData>
      <sheetData sheetId="2607">
        <row r="2">
          <cell r="A2" t="str">
            <v>실     명</v>
          </cell>
        </row>
      </sheetData>
      <sheetData sheetId="2608">
        <row r="2">
          <cell r="A2" t="str">
            <v>실     명</v>
          </cell>
        </row>
      </sheetData>
      <sheetData sheetId="2609">
        <row r="2">
          <cell r="A2" t="str">
            <v>실     명</v>
          </cell>
        </row>
      </sheetData>
      <sheetData sheetId="2610">
        <row r="2">
          <cell r="A2" t="str">
            <v>실     명</v>
          </cell>
        </row>
      </sheetData>
      <sheetData sheetId="2611">
        <row r="2">
          <cell r="A2" t="str">
            <v>실     명</v>
          </cell>
        </row>
      </sheetData>
      <sheetData sheetId="2612">
        <row r="2">
          <cell r="A2" t="str">
            <v>실     명</v>
          </cell>
        </row>
      </sheetData>
      <sheetData sheetId="2613">
        <row r="2">
          <cell r="A2" t="str">
            <v>실     명</v>
          </cell>
        </row>
      </sheetData>
      <sheetData sheetId="2614">
        <row r="2">
          <cell r="A2" t="str">
            <v>실     명</v>
          </cell>
        </row>
      </sheetData>
      <sheetData sheetId="2615">
        <row r="2">
          <cell r="A2" t="str">
            <v>실     명</v>
          </cell>
        </row>
      </sheetData>
      <sheetData sheetId="2616">
        <row r="2">
          <cell r="A2" t="str">
            <v>실     명</v>
          </cell>
        </row>
      </sheetData>
      <sheetData sheetId="2617">
        <row r="2">
          <cell r="A2" t="str">
            <v>실     명</v>
          </cell>
        </row>
      </sheetData>
      <sheetData sheetId="2618">
        <row r="2">
          <cell r="A2" t="str">
            <v>실     명</v>
          </cell>
        </row>
      </sheetData>
      <sheetData sheetId="2619">
        <row r="2">
          <cell r="A2" t="str">
            <v>실     명</v>
          </cell>
        </row>
      </sheetData>
      <sheetData sheetId="2620">
        <row r="2">
          <cell r="A2" t="str">
            <v>실     명</v>
          </cell>
        </row>
      </sheetData>
      <sheetData sheetId="2621">
        <row r="2">
          <cell r="A2" t="str">
            <v>실     명</v>
          </cell>
        </row>
      </sheetData>
      <sheetData sheetId="2622" refreshError="1"/>
      <sheetData sheetId="2623" refreshError="1"/>
      <sheetData sheetId="2624" refreshError="1"/>
      <sheetData sheetId="2625" refreshError="1"/>
      <sheetData sheetId="2626" refreshError="1"/>
      <sheetData sheetId="2627">
        <row r="2">
          <cell r="A2" t="str">
            <v>실     명</v>
          </cell>
        </row>
      </sheetData>
      <sheetData sheetId="2628">
        <row r="2">
          <cell r="A2" t="str">
            <v>실     명</v>
          </cell>
        </row>
      </sheetData>
      <sheetData sheetId="2629">
        <row r="2">
          <cell r="A2" t="str">
            <v>실     명</v>
          </cell>
        </row>
      </sheetData>
      <sheetData sheetId="2630">
        <row r="2">
          <cell r="A2" t="str">
            <v>실     명</v>
          </cell>
        </row>
      </sheetData>
      <sheetData sheetId="2631">
        <row r="2">
          <cell r="A2" t="str">
            <v>실     명</v>
          </cell>
        </row>
      </sheetData>
      <sheetData sheetId="2632">
        <row r="2">
          <cell r="A2" t="str">
            <v>실     명</v>
          </cell>
        </row>
      </sheetData>
      <sheetData sheetId="2633">
        <row r="2">
          <cell r="A2" t="str">
            <v>실     명</v>
          </cell>
        </row>
      </sheetData>
      <sheetData sheetId="2634">
        <row r="2">
          <cell r="A2" t="str">
            <v>실     명</v>
          </cell>
        </row>
      </sheetData>
      <sheetData sheetId="2635">
        <row r="2">
          <cell r="A2" t="str">
            <v>실     명</v>
          </cell>
        </row>
      </sheetData>
      <sheetData sheetId="2636">
        <row r="2">
          <cell r="A2" t="str">
            <v>실     명</v>
          </cell>
        </row>
      </sheetData>
      <sheetData sheetId="2637">
        <row r="2">
          <cell r="A2" t="str">
            <v>실     명</v>
          </cell>
        </row>
      </sheetData>
      <sheetData sheetId="2638">
        <row r="2">
          <cell r="A2" t="str">
            <v>실     명</v>
          </cell>
        </row>
      </sheetData>
      <sheetData sheetId="2639">
        <row r="2">
          <cell r="A2" t="str">
            <v>실     명</v>
          </cell>
        </row>
      </sheetData>
      <sheetData sheetId="2640">
        <row r="2">
          <cell r="A2" t="str">
            <v>실     명</v>
          </cell>
        </row>
      </sheetData>
      <sheetData sheetId="2641">
        <row r="2">
          <cell r="A2" t="str">
            <v>실     명</v>
          </cell>
        </row>
      </sheetData>
      <sheetData sheetId="2642">
        <row r="2">
          <cell r="A2" t="str">
            <v>실     명</v>
          </cell>
        </row>
      </sheetData>
      <sheetData sheetId="2643">
        <row r="2">
          <cell r="A2" t="str">
            <v>실     명</v>
          </cell>
        </row>
      </sheetData>
      <sheetData sheetId="2644">
        <row r="2">
          <cell r="A2" t="str">
            <v>실     명</v>
          </cell>
        </row>
      </sheetData>
      <sheetData sheetId="2645">
        <row r="2">
          <cell r="A2" t="str">
            <v>실     명</v>
          </cell>
        </row>
      </sheetData>
      <sheetData sheetId="2646">
        <row r="2">
          <cell r="A2" t="str">
            <v>실     명</v>
          </cell>
        </row>
      </sheetData>
      <sheetData sheetId="2647">
        <row r="2">
          <cell r="A2" t="str">
            <v>실     명</v>
          </cell>
        </row>
      </sheetData>
      <sheetData sheetId="2648">
        <row r="2">
          <cell r="A2" t="str">
            <v>실     명</v>
          </cell>
        </row>
      </sheetData>
      <sheetData sheetId="2649">
        <row r="2">
          <cell r="A2" t="str">
            <v>실     명</v>
          </cell>
        </row>
      </sheetData>
      <sheetData sheetId="2650">
        <row r="2">
          <cell r="A2" t="str">
            <v>실     명</v>
          </cell>
        </row>
      </sheetData>
      <sheetData sheetId="2651">
        <row r="2">
          <cell r="A2" t="str">
            <v>실     명</v>
          </cell>
        </row>
      </sheetData>
      <sheetData sheetId="2652">
        <row r="2">
          <cell r="A2" t="str">
            <v>실     명</v>
          </cell>
        </row>
      </sheetData>
      <sheetData sheetId="2653">
        <row r="2">
          <cell r="A2" t="str">
            <v>실     명</v>
          </cell>
        </row>
      </sheetData>
      <sheetData sheetId="2654">
        <row r="2">
          <cell r="A2" t="str">
            <v>실     명</v>
          </cell>
        </row>
      </sheetData>
      <sheetData sheetId="2655">
        <row r="2">
          <cell r="A2" t="str">
            <v>실     명</v>
          </cell>
        </row>
      </sheetData>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ow r="2">
          <cell r="A2" t="str">
            <v>실     명</v>
          </cell>
        </row>
      </sheetData>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ow r="2">
          <cell r="A2" t="str">
            <v>실     명</v>
          </cell>
        </row>
      </sheetData>
      <sheetData sheetId="2734">
        <row r="2">
          <cell r="A2" t="str">
            <v>실     명</v>
          </cell>
        </row>
      </sheetData>
      <sheetData sheetId="2735">
        <row r="2">
          <cell r="A2" t="str">
            <v>실     명</v>
          </cell>
        </row>
      </sheetData>
      <sheetData sheetId="2736">
        <row r="2">
          <cell r="A2" t="str">
            <v>실     명</v>
          </cell>
        </row>
      </sheetData>
      <sheetData sheetId="2737">
        <row r="2">
          <cell r="A2" t="str">
            <v>실     명</v>
          </cell>
        </row>
      </sheetData>
      <sheetData sheetId="2738">
        <row r="2">
          <cell r="A2" t="str">
            <v>실     명</v>
          </cell>
        </row>
      </sheetData>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ow r="2">
          <cell r="A2" t="str">
            <v>실     명</v>
          </cell>
        </row>
      </sheetData>
      <sheetData sheetId="2750">
        <row r="2">
          <cell r="A2" t="str">
            <v>실     명</v>
          </cell>
        </row>
      </sheetData>
      <sheetData sheetId="2751">
        <row r="2">
          <cell r="A2" t="str">
            <v>실     명</v>
          </cell>
        </row>
      </sheetData>
      <sheetData sheetId="2752">
        <row r="2">
          <cell r="A2" t="str">
            <v>실     명</v>
          </cell>
        </row>
      </sheetData>
      <sheetData sheetId="2753">
        <row r="2">
          <cell r="A2" t="str">
            <v>실     명</v>
          </cell>
        </row>
      </sheetData>
      <sheetData sheetId="2754">
        <row r="2">
          <cell r="A2" t="str">
            <v>실     명</v>
          </cell>
        </row>
      </sheetData>
      <sheetData sheetId="2755">
        <row r="2">
          <cell r="A2" t="str">
            <v>실     명</v>
          </cell>
        </row>
      </sheetData>
      <sheetData sheetId="2756">
        <row r="2">
          <cell r="A2" t="str">
            <v>실     명</v>
          </cell>
        </row>
      </sheetData>
      <sheetData sheetId="2757">
        <row r="2">
          <cell r="A2" t="str">
            <v>실     명</v>
          </cell>
        </row>
      </sheetData>
      <sheetData sheetId="2758">
        <row r="2">
          <cell r="A2" t="str">
            <v>실     명</v>
          </cell>
        </row>
      </sheetData>
      <sheetData sheetId="2759">
        <row r="2">
          <cell r="A2" t="str">
            <v>실     명</v>
          </cell>
        </row>
      </sheetData>
      <sheetData sheetId="2760">
        <row r="2">
          <cell r="A2" t="str">
            <v>실     명</v>
          </cell>
        </row>
      </sheetData>
      <sheetData sheetId="2761">
        <row r="2">
          <cell r="A2" t="str">
            <v>실     명</v>
          </cell>
        </row>
      </sheetData>
      <sheetData sheetId="2762">
        <row r="2">
          <cell r="A2" t="str">
            <v>실     명</v>
          </cell>
        </row>
      </sheetData>
      <sheetData sheetId="2763">
        <row r="2">
          <cell r="A2" t="str">
            <v>실     명</v>
          </cell>
        </row>
      </sheetData>
      <sheetData sheetId="2764">
        <row r="2">
          <cell r="A2" t="str">
            <v>실     명</v>
          </cell>
        </row>
      </sheetData>
      <sheetData sheetId="2765">
        <row r="2">
          <cell r="A2" t="str">
            <v>실     명</v>
          </cell>
        </row>
      </sheetData>
      <sheetData sheetId="2766">
        <row r="2">
          <cell r="A2" t="str">
            <v>실     명</v>
          </cell>
        </row>
      </sheetData>
      <sheetData sheetId="2767">
        <row r="2">
          <cell r="A2" t="str">
            <v>실     명</v>
          </cell>
        </row>
      </sheetData>
      <sheetData sheetId="2768">
        <row r="2">
          <cell r="A2" t="str">
            <v>실     명</v>
          </cell>
        </row>
      </sheetData>
      <sheetData sheetId="2769">
        <row r="2">
          <cell r="A2" t="str">
            <v>실     명</v>
          </cell>
        </row>
      </sheetData>
      <sheetData sheetId="2770">
        <row r="2">
          <cell r="A2" t="str">
            <v>실     명</v>
          </cell>
        </row>
      </sheetData>
      <sheetData sheetId="2771">
        <row r="2">
          <cell r="A2" t="str">
            <v>실     명</v>
          </cell>
        </row>
      </sheetData>
      <sheetData sheetId="2772">
        <row r="2">
          <cell r="A2" t="str">
            <v>실     명</v>
          </cell>
        </row>
      </sheetData>
      <sheetData sheetId="2773">
        <row r="2">
          <cell r="A2" t="str">
            <v>실     명</v>
          </cell>
        </row>
      </sheetData>
      <sheetData sheetId="2774">
        <row r="2">
          <cell r="A2" t="str">
            <v>실     명</v>
          </cell>
        </row>
      </sheetData>
      <sheetData sheetId="2775">
        <row r="2">
          <cell r="A2" t="str">
            <v>실     명</v>
          </cell>
        </row>
      </sheetData>
      <sheetData sheetId="2776">
        <row r="2">
          <cell r="A2" t="str">
            <v>실     명</v>
          </cell>
        </row>
      </sheetData>
      <sheetData sheetId="2777">
        <row r="2">
          <cell r="A2" t="str">
            <v>실     명</v>
          </cell>
        </row>
      </sheetData>
      <sheetData sheetId="2778">
        <row r="2">
          <cell r="A2" t="str">
            <v>실     명</v>
          </cell>
        </row>
      </sheetData>
      <sheetData sheetId="2779">
        <row r="2">
          <cell r="A2" t="str">
            <v>실     명</v>
          </cell>
        </row>
      </sheetData>
      <sheetData sheetId="2780">
        <row r="2">
          <cell r="A2" t="str">
            <v>실     명</v>
          </cell>
        </row>
      </sheetData>
      <sheetData sheetId="2781">
        <row r="2">
          <cell r="A2" t="str">
            <v>실     명</v>
          </cell>
        </row>
      </sheetData>
      <sheetData sheetId="2782">
        <row r="2">
          <cell r="A2" t="str">
            <v>실     명</v>
          </cell>
        </row>
      </sheetData>
      <sheetData sheetId="2783">
        <row r="2">
          <cell r="A2" t="str">
            <v>실     명</v>
          </cell>
        </row>
      </sheetData>
      <sheetData sheetId="2784">
        <row r="2">
          <cell r="A2" t="str">
            <v>실     명</v>
          </cell>
        </row>
      </sheetData>
      <sheetData sheetId="2785">
        <row r="2">
          <cell r="A2" t="str">
            <v>실     명</v>
          </cell>
        </row>
      </sheetData>
      <sheetData sheetId="2786">
        <row r="2">
          <cell r="A2" t="str">
            <v>실     명</v>
          </cell>
        </row>
      </sheetData>
      <sheetData sheetId="2787">
        <row r="2">
          <cell r="A2" t="str">
            <v>실     명</v>
          </cell>
        </row>
      </sheetData>
      <sheetData sheetId="2788">
        <row r="2">
          <cell r="A2" t="str">
            <v>실     명</v>
          </cell>
        </row>
      </sheetData>
      <sheetData sheetId="2789">
        <row r="2">
          <cell r="A2" t="str">
            <v>실     명</v>
          </cell>
        </row>
      </sheetData>
      <sheetData sheetId="2790">
        <row r="2">
          <cell r="A2" t="str">
            <v>실     명</v>
          </cell>
        </row>
      </sheetData>
      <sheetData sheetId="2791">
        <row r="2">
          <cell r="A2" t="str">
            <v>실     명</v>
          </cell>
        </row>
      </sheetData>
      <sheetData sheetId="2792">
        <row r="2">
          <cell r="A2" t="str">
            <v>실     명</v>
          </cell>
        </row>
      </sheetData>
      <sheetData sheetId="2793">
        <row r="2">
          <cell r="A2" t="str">
            <v>실     명</v>
          </cell>
        </row>
      </sheetData>
      <sheetData sheetId="2794">
        <row r="2">
          <cell r="A2" t="str">
            <v>실     명</v>
          </cell>
        </row>
      </sheetData>
      <sheetData sheetId="2795">
        <row r="2">
          <cell r="A2" t="str">
            <v>실     명</v>
          </cell>
        </row>
      </sheetData>
      <sheetData sheetId="2796">
        <row r="2">
          <cell r="A2" t="str">
            <v>실     명</v>
          </cell>
        </row>
      </sheetData>
      <sheetData sheetId="2797">
        <row r="2">
          <cell r="A2" t="str">
            <v>실     명</v>
          </cell>
        </row>
      </sheetData>
      <sheetData sheetId="2798">
        <row r="2">
          <cell r="A2" t="str">
            <v>실     명</v>
          </cell>
        </row>
      </sheetData>
      <sheetData sheetId="2799">
        <row r="2">
          <cell r="A2" t="str">
            <v>실     명</v>
          </cell>
        </row>
      </sheetData>
      <sheetData sheetId="2800">
        <row r="2">
          <cell r="A2" t="str">
            <v>실     명</v>
          </cell>
        </row>
      </sheetData>
      <sheetData sheetId="2801">
        <row r="2">
          <cell r="A2" t="str">
            <v>실     명</v>
          </cell>
        </row>
      </sheetData>
      <sheetData sheetId="2802">
        <row r="2">
          <cell r="A2" t="str">
            <v>실     명</v>
          </cell>
        </row>
      </sheetData>
      <sheetData sheetId="2803">
        <row r="2">
          <cell r="A2" t="str">
            <v>실     명</v>
          </cell>
        </row>
      </sheetData>
      <sheetData sheetId="2804">
        <row r="2">
          <cell r="A2" t="str">
            <v>실     명</v>
          </cell>
        </row>
      </sheetData>
      <sheetData sheetId="2805">
        <row r="2">
          <cell r="A2" t="str">
            <v>실     명</v>
          </cell>
        </row>
      </sheetData>
      <sheetData sheetId="2806">
        <row r="2">
          <cell r="A2" t="str">
            <v>실     명</v>
          </cell>
        </row>
      </sheetData>
      <sheetData sheetId="2807">
        <row r="2">
          <cell r="A2" t="str">
            <v>실     명</v>
          </cell>
        </row>
      </sheetData>
      <sheetData sheetId="2808">
        <row r="2">
          <cell r="A2" t="str">
            <v>실     명</v>
          </cell>
        </row>
      </sheetData>
      <sheetData sheetId="2809">
        <row r="2">
          <cell r="A2" t="str">
            <v>실     명</v>
          </cell>
        </row>
      </sheetData>
      <sheetData sheetId="2810">
        <row r="2">
          <cell r="A2" t="str">
            <v>실     명</v>
          </cell>
        </row>
      </sheetData>
      <sheetData sheetId="2811">
        <row r="2">
          <cell r="A2" t="str">
            <v>실     명</v>
          </cell>
        </row>
      </sheetData>
      <sheetData sheetId="2812">
        <row r="2">
          <cell r="A2" t="str">
            <v>실     명</v>
          </cell>
        </row>
      </sheetData>
      <sheetData sheetId="2813">
        <row r="2">
          <cell r="A2" t="str">
            <v>실     명</v>
          </cell>
        </row>
      </sheetData>
      <sheetData sheetId="2814">
        <row r="2">
          <cell r="A2" t="str">
            <v>실     명</v>
          </cell>
        </row>
      </sheetData>
      <sheetData sheetId="2815">
        <row r="2">
          <cell r="A2" t="str">
            <v>실     명</v>
          </cell>
        </row>
      </sheetData>
      <sheetData sheetId="2816">
        <row r="2">
          <cell r="A2" t="str">
            <v>실     명</v>
          </cell>
        </row>
      </sheetData>
      <sheetData sheetId="2817">
        <row r="2">
          <cell r="A2" t="str">
            <v>실     명</v>
          </cell>
        </row>
      </sheetData>
      <sheetData sheetId="2818">
        <row r="2">
          <cell r="A2" t="str">
            <v>실     명</v>
          </cell>
        </row>
      </sheetData>
      <sheetData sheetId="2819">
        <row r="2">
          <cell r="A2" t="str">
            <v>실     명</v>
          </cell>
        </row>
      </sheetData>
      <sheetData sheetId="2820">
        <row r="2">
          <cell r="A2" t="str">
            <v>실     명</v>
          </cell>
        </row>
      </sheetData>
      <sheetData sheetId="2821">
        <row r="2">
          <cell r="A2" t="str">
            <v>실     명</v>
          </cell>
        </row>
      </sheetData>
      <sheetData sheetId="2822">
        <row r="2">
          <cell r="A2" t="str">
            <v>실     명</v>
          </cell>
        </row>
      </sheetData>
      <sheetData sheetId="2823">
        <row r="2">
          <cell r="A2" t="str">
            <v>실     명</v>
          </cell>
        </row>
      </sheetData>
      <sheetData sheetId="2824">
        <row r="2">
          <cell r="A2" t="str">
            <v>실     명</v>
          </cell>
        </row>
      </sheetData>
      <sheetData sheetId="2825">
        <row r="2">
          <cell r="A2" t="str">
            <v>실     명</v>
          </cell>
        </row>
      </sheetData>
      <sheetData sheetId="2826">
        <row r="2">
          <cell r="A2" t="str">
            <v>실     명</v>
          </cell>
        </row>
      </sheetData>
      <sheetData sheetId="2827">
        <row r="2">
          <cell r="A2" t="str">
            <v>실     명</v>
          </cell>
        </row>
      </sheetData>
      <sheetData sheetId="2828">
        <row r="2">
          <cell r="A2" t="str">
            <v>실     명</v>
          </cell>
        </row>
      </sheetData>
      <sheetData sheetId="2829">
        <row r="2">
          <cell r="A2" t="str">
            <v>실     명</v>
          </cell>
        </row>
      </sheetData>
      <sheetData sheetId="2830">
        <row r="2">
          <cell r="A2" t="str">
            <v>실     명</v>
          </cell>
        </row>
      </sheetData>
      <sheetData sheetId="2831">
        <row r="2">
          <cell r="A2" t="str">
            <v>실     명</v>
          </cell>
        </row>
      </sheetData>
      <sheetData sheetId="2832">
        <row r="2">
          <cell r="A2" t="str">
            <v>실     명</v>
          </cell>
        </row>
      </sheetData>
      <sheetData sheetId="2833">
        <row r="2">
          <cell r="A2" t="str">
            <v>실     명</v>
          </cell>
        </row>
      </sheetData>
      <sheetData sheetId="2834">
        <row r="2">
          <cell r="A2" t="str">
            <v>실     명</v>
          </cell>
        </row>
      </sheetData>
      <sheetData sheetId="2835">
        <row r="2">
          <cell r="A2" t="str">
            <v>실     명</v>
          </cell>
        </row>
      </sheetData>
      <sheetData sheetId="2836">
        <row r="2">
          <cell r="A2" t="str">
            <v>실     명</v>
          </cell>
        </row>
      </sheetData>
      <sheetData sheetId="2837">
        <row r="2">
          <cell r="A2" t="str">
            <v>실     명</v>
          </cell>
        </row>
      </sheetData>
      <sheetData sheetId="2838">
        <row r="2">
          <cell r="A2" t="str">
            <v>실     명</v>
          </cell>
        </row>
      </sheetData>
      <sheetData sheetId="2839">
        <row r="2">
          <cell r="A2" t="str">
            <v>실     명</v>
          </cell>
        </row>
      </sheetData>
      <sheetData sheetId="2840">
        <row r="2">
          <cell r="A2" t="str">
            <v>실     명</v>
          </cell>
        </row>
      </sheetData>
      <sheetData sheetId="2841">
        <row r="2">
          <cell r="A2" t="str">
            <v>실     명</v>
          </cell>
        </row>
      </sheetData>
      <sheetData sheetId="2842">
        <row r="2">
          <cell r="A2" t="str">
            <v>실     명</v>
          </cell>
        </row>
      </sheetData>
      <sheetData sheetId="2843">
        <row r="2">
          <cell r="A2" t="str">
            <v>실     명</v>
          </cell>
        </row>
      </sheetData>
      <sheetData sheetId="2844">
        <row r="2">
          <cell r="A2" t="str">
            <v>실     명</v>
          </cell>
        </row>
      </sheetData>
      <sheetData sheetId="2845">
        <row r="2">
          <cell r="A2" t="str">
            <v>실     명</v>
          </cell>
        </row>
      </sheetData>
      <sheetData sheetId="2846">
        <row r="2">
          <cell r="A2" t="str">
            <v>실     명</v>
          </cell>
        </row>
      </sheetData>
      <sheetData sheetId="2847">
        <row r="2">
          <cell r="A2" t="str">
            <v>실     명</v>
          </cell>
        </row>
      </sheetData>
      <sheetData sheetId="2848">
        <row r="2">
          <cell r="A2" t="str">
            <v>실     명</v>
          </cell>
        </row>
      </sheetData>
      <sheetData sheetId="2849">
        <row r="2">
          <cell r="A2" t="str">
            <v>실     명</v>
          </cell>
        </row>
      </sheetData>
      <sheetData sheetId="2850">
        <row r="2">
          <cell r="A2" t="str">
            <v>실     명</v>
          </cell>
        </row>
      </sheetData>
      <sheetData sheetId="2851">
        <row r="2">
          <cell r="A2" t="str">
            <v>실     명</v>
          </cell>
        </row>
      </sheetData>
      <sheetData sheetId="2852">
        <row r="2">
          <cell r="A2" t="str">
            <v>실     명</v>
          </cell>
        </row>
      </sheetData>
      <sheetData sheetId="2853">
        <row r="2">
          <cell r="A2" t="str">
            <v>실     명</v>
          </cell>
        </row>
      </sheetData>
      <sheetData sheetId="2854">
        <row r="2">
          <cell r="A2" t="str">
            <v>실     명</v>
          </cell>
        </row>
      </sheetData>
      <sheetData sheetId="2855">
        <row r="2">
          <cell r="A2" t="str">
            <v>실     명</v>
          </cell>
        </row>
      </sheetData>
      <sheetData sheetId="2856">
        <row r="2">
          <cell r="A2" t="str">
            <v>실     명</v>
          </cell>
        </row>
      </sheetData>
      <sheetData sheetId="2857">
        <row r="2">
          <cell r="A2" t="str">
            <v>실     명</v>
          </cell>
        </row>
      </sheetData>
      <sheetData sheetId="2858">
        <row r="2">
          <cell r="A2" t="str">
            <v>실     명</v>
          </cell>
        </row>
      </sheetData>
      <sheetData sheetId="2859">
        <row r="2">
          <cell r="A2" t="str">
            <v>실     명</v>
          </cell>
        </row>
      </sheetData>
      <sheetData sheetId="2860">
        <row r="2">
          <cell r="A2" t="str">
            <v>실     명</v>
          </cell>
        </row>
      </sheetData>
      <sheetData sheetId="2861">
        <row r="2">
          <cell r="A2" t="str">
            <v>실     명</v>
          </cell>
        </row>
      </sheetData>
      <sheetData sheetId="2862">
        <row r="2">
          <cell r="A2" t="str">
            <v>실     명</v>
          </cell>
        </row>
      </sheetData>
      <sheetData sheetId="2863">
        <row r="2">
          <cell r="A2" t="str">
            <v>실     명</v>
          </cell>
        </row>
      </sheetData>
      <sheetData sheetId="2864">
        <row r="2">
          <cell r="A2" t="str">
            <v>실     명</v>
          </cell>
        </row>
      </sheetData>
      <sheetData sheetId="2865">
        <row r="2">
          <cell r="A2" t="str">
            <v>실     명</v>
          </cell>
        </row>
      </sheetData>
      <sheetData sheetId="2866">
        <row r="2">
          <cell r="A2" t="str">
            <v>실     명</v>
          </cell>
        </row>
      </sheetData>
      <sheetData sheetId="2867">
        <row r="2">
          <cell r="A2" t="str">
            <v>실     명</v>
          </cell>
        </row>
      </sheetData>
      <sheetData sheetId="2868">
        <row r="2">
          <cell r="A2" t="str">
            <v>실     명</v>
          </cell>
        </row>
      </sheetData>
      <sheetData sheetId="2869">
        <row r="2">
          <cell r="A2" t="str">
            <v>실     명</v>
          </cell>
        </row>
      </sheetData>
      <sheetData sheetId="2870">
        <row r="2">
          <cell r="A2" t="str">
            <v>실     명</v>
          </cell>
        </row>
      </sheetData>
      <sheetData sheetId="2871">
        <row r="2">
          <cell r="A2" t="str">
            <v>실     명</v>
          </cell>
        </row>
      </sheetData>
      <sheetData sheetId="2872">
        <row r="2">
          <cell r="A2" t="str">
            <v>실     명</v>
          </cell>
        </row>
      </sheetData>
      <sheetData sheetId="2873">
        <row r="2">
          <cell r="A2" t="str">
            <v>실     명</v>
          </cell>
        </row>
      </sheetData>
      <sheetData sheetId="2874">
        <row r="2">
          <cell r="A2" t="str">
            <v>실     명</v>
          </cell>
        </row>
      </sheetData>
      <sheetData sheetId="2875">
        <row r="2">
          <cell r="A2" t="str">
            <v>실     명</v>
          </cell>
        </row>
      </sheetData>
      <sheetData sheetId="2876">
        <row r="2">
          <cell r="A2" t="str">
            <v>실     명</v>
          </cell>
        </row>
      </sheetData>
      <sheetData sheetId="2877">
        <row r="2">
          <cell r="A2" t="str">
            <v>실     명</v>
          </cell>
        </row>
      </sheetData>
      <sheetData sheetId="2878">
        <row r="2">
          <cell r="A2" t="str">
            <v>실     명</v>
          </cell>
        </row>
      </sheetData>
      <sheetData sheetId="2879">
        <row r="2">
          <cell r="A2" t="str">
            <v>실     명</v>
          </cell>
        </row>
      </sheetData>
      <sheetData sheetId="2880">
        <row r="2">
          <cell r="A2" t="str">
            <v>실     명</v>
          </cell>
        </row>
      </sheetData>
      <sheetData sheetId="2881">
        <row r="2">
          <cell r="A2" t="str">
            <v>실     명</v>
          </cell>
        </row>
      </sheetData>
      <sheetData sheetId="2882">
        <row r="2">
          <cell r="A2" t="str">
            <v>실     명</v>
          </cell>
        </row>
      </sheetData>
      <sheetData sheetId="2883">
        <row r="2">
          <cell r="A2" t="str">
            <v>실     명</v>
          </cell>
        </row>
      </sheetData>
      <sheetData sheetId="2884">
        <row r="2">
          <cell r="A2" t="str">
            <v>실     명</v>
          </cell>
        </row>
      </sheetData>
      <sheetData sheetId="2885">
        <row r="2">
          <cell r="A2" t="str">
            <v>실     명</v>
          </cell>
        </row>
      </sheetData>
      <sheetData sheetId="2886">
        <row r="2">
          <cell r="A2" t="str">
            <v>실     명</v>
          </cell>
        </row>
      </sheetData>
      <sheetData sheetId="2887">
        <row r="2">
          <cell r="A2" t="str">
            <v>실     명</v>
          </cell>
        </row>
      </sheetData>
      <sheetData sheetId="2888">
        <row r="2">
          <cell r="A2" t="str">
            <v>실     명</v>
          </cell>
        </row>
      </sheetData>
      <sheetData sheetId="2889">
        <row r="2">
          <cell r="A2" t="str">
            <v>실     명</v>
          </cell>
        </row>
      </sheetData>
      <sheetData sheetId="2890">
        <row r="2">
          <cell r="A2" t="str">
            <v>실     명</v>
          </cell>
        </row>
      </sheetData>
      <sheetData sheetId="2891">
        <row r="2">
          <cell r="A2" t="str">
            <v>실     명</v>
          </cell>
        </row>
      </sheetData>
      <sheetData sheetId="2892">
        <row r="2">
          <cell r="A2" t="str">
            <v>실     명</v>
          </cell>
        </row>
      </sheetData>
      <sheetData sheetId="2893">
        <row r="2">
          <cell r="A2" t="str">
            <v>실     명</v>
          </cell>
        </row>
      </sheetData>
      <sheetData sheetId="2894">
        <row r="2">
          <cell r="A2" t="str">
            <v>실     명</v>
          </cell>
        </row>
      </sheetData>
      <sheetData sheetId="2895">
        <row r="2">
          <cell r="A2" t="str">
            <v>실     명</v>
          </cell>
        </row>
      </sheetData>
      <sheetData sheetId="2896">
        <row r="2">
          <cell r="A2" t="str">
            <v>실     명</v>
          </cell>
        </row>
      </sheetData>
      <sheetData sheetId="2897">
        <row r="2">
          <cell r="A2" t="str">
            <v>실     명</v>
          </cell>
        </row>
      </sheetData>
      <sheetData sheetId="2898">
        <row r="2">
          <cell r="A2" t="str">
            <v>실     명</v>
          </cell>
        </row>
      </sheetData>
      <sheetData sheetId="2899">
        <row r="2">
          <cell r="A2" t="str">
            <v>실     명</v>
          </cell>
        </row>
      </sheetData>
      <sheetData sheetId="2900">
        <row r="2">
          <cell r="A2" t="str">
            <v>실     명</v>
          </cell>
        </row>
      </sheetData>
      <sheetData sheetId="2901">
        <row r="2">
          <cell r="A2" t="str">
            <v>실     명</v>
          </cell>
        </row>
      </sheetData>
      <sheetData sheetId="2902">
        <row r="2">
          <cell r="A2" t="str">
            <v>실     명</v>
          </cell>
        </row>
      </sheetData>
      <sheetData sheetId="2903">
        <row r="2">
          <cell r="A2" t="str">
            <v>실     명</v>
          </cell>
        </row>
      </sheetData>
      <sheetData sheetId="2904">
        <row r="2">
          <cell r="A2" t="str">
            <v>실     명</v>
          </cell>
        </row>
      </sheetData>
      <sheetData sheetId="2905">
        <row r="2">
          <cell r="A2" t="str">
            <v>실     명</v>
          </cell>
        </row>
      </sheetData>
      <sheetData sheetId="2906">
        <row r="2">
          <cell r="A2" t="str">
            <v>실     명</v>
          </cell>
        </row>
      </sheetData>
      <sheetData sheetId="2907">
        <row r="2">
          <cell r="A2" t="str">
            <v>실     명</v>
          </cell>
        </row>
      </sheetData>
      <sheetData sheetId="2908">
        <row r="2">
          <cell r="A2" t="str">
            <v>실     명</v>
          </cell>
        </row>
      </sheetData>
      <sheetData sheetId="2909">
        <row r="2">
          <cell r="A2" t="str">
            <v>실     명</v>
          </cell>
        </row>
      </sheetData>
      <sheetData sheetId="2910">
        <row r="2">
          <cell r="A2" t="str">
            <v>실     명</v>
          </cell>
        </row>
      </sheetData>
      <sheetData sheetId="2911">
        <row r="2">
          <cell r="A2" t="str">
            <v>실     명</v>
          </cell>
        </row>
      </sheetData>
      <sheetData sheetId="2912">
        <row r="2">
          <cell r="A2" t="str">
            <v>실     명</v>
          </cell>
        </row>
      </sheetData>
      <sheetData sheetId="2913">
        <row r="2">
          <cell r="A2" t="str">
            <v>실     명</v>
          </cell>
        </row>
      </sheetData>
      <sheetData sheetId="2914">
        <row r="2">
          <cell r="A2" t="str">
            <v>실     명</v>
          </cell>
        </row>
      </sheetData>
      <sheetData sheetId="2915">
        <row r="2">
          <cell r="A2" t="str">
            <v>실     명</v>
          </cell>
        </row>
      </sheetData>
      <sheetData sheetId="2916">
        <row r="2">
          <cell r="A2" t="str">
            <v>실     명</v>
          </cell>
        </row>
      </sheetData>
      <sheetData sheetId="2917">
        <row r="2">
          <cell r="A2" t="str">
            <v>실     명</v>
          </cell>
        </row>
      </sheetData>
      <sheetData sheetId="2918">
        <row r="2">
          <cell r="A2" t="str">
            <v>실     명</v>
          </cell>
        </row>
      </sheetData>
      <sheetData sheetId="2919">
        <row r="2">
          <cell r="A2" t="str">
            <v>실     명</v>
          </cell>
        </row>
      </sheetData>
      <sheetData sheetId="2920">
        <row r="2">
          <cell r="A2" t="str">
            <v>실     명</v>
          </cell>
        </row>
      </sheetData>
      <sheetData sheetId="2921">
        <row r="2">
          <cell r="A2" t="str">
            <v>실     명</v>
          </cell>
        </row>
      </sheetData>
      <sheetData sheetId="2922">
        <row r="2">
          <cell r="A2" t="str">
            <v>실     명</v>
          </cell>
        </row>
      </sheetData>
      <sheetData sheetId="2923">
        <row r="2">
          <cell r="A2" t="str">
            <v>실     명</v>
          </cell>
        </row>
      </sheetData>
      <sheetData sheetId="2924">
        <row r="2">
          <cell r="A2" t="str">
            <v>실     명</v>
          </cell>
        </row>
      </sheetData>
      <sheetData sheetId="2925">
        <row r="2">
          <cell r="A2" t="str">
            <v>실     명</v>
          </cell>
        </row>
      </sheetData>
      <sheetData sheetId="2926">
        <row r="2">
          <cell r="A2" t="str">
            <v>실     명</v>
          </cell>
        </row>
      </sheetData>
      <sheetData sheetId="2927">
        <row r="2">
          <cell r="A2" t="str">
            <v>실     명</v>
          </cell>
        </row>
      </sheetData>
      <sheetData sheetId="2928">
        <row r="2">
          <cell r="A2" t="str">
            <v>실     명</v>
          </cell>
        </row>
      </sheetData>
      <sheetData sheetId="2929">
        <row r="2">
          <cell r="A2" t="str">
            <v>실     명</v>
          </cell>
        </row>
      </sheetData>
      <sheetData sheetId="2930">
        <row r="2">
          <cell r="A2" t="str">
            <v>실     명</v>
          </cell>
        </row>
      </sheetData>
      <sheetData sheetId="2931">
        <row r="2">
          <cell r="A2" t="str">
            <v>실     명</v>
          </cell>
        </row>
      </sheetData>
      <sheetData sheetId="2932">
        <row r="2">
          <cell r="A2" t="str">
            <v>실     명</v>
          </cell>
        </row>
      </sheetData>
      <sheetData sheetId="2933">
        <row r="2">
          <cell r="A2" t="str">
            <v>실     명</v>
          </cell>
        </row>
      </sheetData>
      <sheetData sheetId="2934">
        <row r="2">
          <cell r="A2" t="str">
            <v>실     명</v>
          </cell>
        </row>
      </sheetData>
      <sheetData sheetId="2935">
        <row r="2">
          <cell r="A2" t="str">
            <v>실     명</v>
          </cell>
        </row>
      </sheetData>
      <sheetData sheetId="2936">
        <row r="2">
          <cell r="A2" t="str">
            <v>실     명</v>
          </cell>
        </row>
      </sheetData>
      <sheetData sheetId="2937">
        <row r="2">
          <cell r="A2" t="str">
            <v>실     명</v>
          </cell>
        </row>
      </sheetData>
      <sheetData sheetId="2938">
        <row r="2">
          <cell r="A2" t="str">
            <v>실     명</v>
          </cell>
        </row>
      </sheetData>
      <sheetData sheetId="2939">
        <row r="2">
          <cell r="A2" t="str">
            <v>실     명</v>
          </cell>
        </row>
      </sheetData>
      <sheetData sheetId="2940">
        <row r="2">
          <cell r="A2" t="str">
            <v>실     명</v>
          </cell>
        </row>
      </sheetData>
      <sheetData sheetId="2941">
        <row r="2">
          <cell r="A2" t="str">
            <v>실     명</v>
          </cell>
        </row>
      </sheetData>
      <sheetData sheetId="2942">
        <row r="2">
          <cell r="A2" t="str">
            <v>실     명</v>
          </cell>
        </row>
      </sheetData>
      <sheetData sheetId="2943">
        <row r="2">
          <cell r="A2" t="str">
            <v>실     명</v>
          </cell>
        </row>
      </sheetData>
      <sheetData sheetId="2944">
        <row r="2">
          <cell r="A2" t="str">
            <v>실     명</v>
          </cell>
        </row>
      </sheetData>
      <sheetData sheetId="2945">
        <row r="2">
          <cell r="A2" t="str">
            <v>실     명</v>
          </cell>
        </row>
      </sheetData>
      <sheetData sheetId="2946">
        <row r="2">
          <cell r="A2" t="str">
            <v>실     명</v>
          </cell>
        </row>
      </sheetData>
      <sheetData sheetId="2947">
        <row r="2">
          <cell r="A2" t="str">
            <v>실     명</v>
          </cell>
        </row>
      </sheetData>
      <sheetData sheetId="2948">
        <row r="2">
          <cell r="A2" t="str">
            <v>실     명</v>
          </cell>
        </row>
      </sheetData>
      <sheetData sheetId="2949">
        <row r="2">
          <cell r="A2" t="str">
            <v>실     명</v>
          </cell>
        </row>
      </sheetData>
      <sheetData sheetId="2950">
        <row r="2">
          <cell r="A2" t="str">
            <v>실     명</v>
          </cell>
        </row>
      </sheetData>
      <sheetData sheetId="2951">
        <row r="2">
          <cell r="A2" t="str">
            <v>실     명</v>
          </cell>
        </row>
      </sheetData>
      <sheetData sheetId="2952">
        <row r="2">
          <cell r="A2" t="str">
            <v>실     명</v>
          </cell>
        </row>
      </sheetData>
      <sheetData sheetId="2953">
        <row r="2">
          <cell r="A2" t="str">
            <v>실     명</v>
          </cell>
        </row>
      </sheetData>
      <sheetData sheetId="2954">
        <row r="2">
          <cell r="A2" t="str">
            <v>실     명</v>
          </cell>
        </row>
      </sheetData>
      <sheetData sheetId="2955">
        <row r="2">
          <cell r="A2" t="str">
            <v>실     명</v>
          </cell>
        </row>
      </sheetData>
      <sheetData sheetId="2956">
        <row r="2">
          <cell r="A2" t="str">
            <v>실     명</v>
          </cell>
        </row>
      </sheetData>
      <sheetData sheetId="2957">
        <row r="2">
          <cell r="A2" t="str">
            <v>실     명</v>
          </cell>
        </row>
      </sheetData>
      <sheetData sheetId="2958">
        <row r="2">
          <cell r="A2" t="str">
            <v>실     명</v>
          </cell>
        </row>
      </sheetData>
      <sheetData sheetId="2959">
        <row r="2">
          <cell r="A2" t="str">
            <v>실     명</v>
          </cell>
        </row>
      </sheetData>
      <sheetData sheetId="2960">
        <row r="2">
          <cell r="A2" t="str">
            <v>실     명</v>
          </cell>
        </row>
      </sheetData>
      <sheetData sheetId="2961">
        <row r="2">
          <cell r="A2" t="str">
            <v>실     명</v>
          </cell>
        </row>
      </sheetData>
      <sheetData sheetId="2962">
        <row r="2">
          <cell r="A2" t="str">
            <v>실     명</v>
          </cell>
        </row>
      </sheetData>
      <sheetData sheetId="2963">
        <row r="2">
          <cell r="A2" t="str">
            <v>실     명</v>
          </cell>
        </row>
      </sheetData>
      <sheetData sheetId="2964">
        <row r="2">
          <cell r="A2" t="str">
            <v>실     명</v>
          </cell>
        </row>
      </sheetData>
      <sheetData sheetId="2965">
        <row r="2">
          <cell r="A2" t="str">
            <v>실     명</v>
          </cell>
        </row>
      </sheetData>
      <sheetData sheetId="2966">
        <row r="2">
          <cell r="A2" t="str">
            <v>실     명</v>
          </cell>
        </row>
      </sheetData>
      <sheetData sheetId="2967">
        <row r="2">
          <cell r="A2" t="str">
            <v>실     명</v>
          </cell>
        </row>
      </sheetData>
      <sheetData sheetId="2968">
        <row r="2">
          <cell r="A2" t="str">
            <v>실     명</v>
          </cell>
        </row>
      </sheetData>
      <sheetData sheetId="2969">
        <row r="2">
          <cell r="A2" t="str">
            <v>실     명</v>
          </cell>
        </row>
      </sheetData>
      <sheetData sheetId="2970">
        <row r="2">
          <cell r="A2" t="str">
            <v>실     명</v>
          </cell>
        </row>
      </sheetData>
      <sheetData sheetId="2971">
        <row r="2">
          <cell r="A2" t="str">
            <v>실     명</v>
          </cell>
        </row>
      </sheetData>
      <sheetData sheetId="2972">
        <row r="2">
          <cell r="A2" t="str">
            <v>실     명</v>
          </cell>
        </row>
      </sheetData>
      <sheetData sheetId="2973">
        <row r="2">
          <cell r="A2" t="str">
            <v>실     명</v>
          </cell>
        </row>
      </sheetData>
      <sheetData sheetId="2974">
        <row r="2">
          <cell r="A2" t="str">
            <v>실     명</v>
          </cell>
        </row>
      </sheetData>
      <sheetData sheetId="2975">
        <row r="2">
          <cell r="A2" t="str">
            <v>실     명</v>
          </cell>
        </row>
      </sheetData>
      <sheetData sheetId="2976">
        <row r="2">
          <cell r="A2" t="str">
            <v>실     명</v>
          </cell>
        </row>
      </sheetData>
      <sheetData sheetId="2977">
        <row r="2">
          <cell r="A2" t="str">
            <v>실     명</v>
          </cell>
        </row>
      </sheetData>
      <sheetData sheetId="2978">
        <row r="2">
          <cell r="A2" t="str">
            <v>실     명</v>
          </cell>
        </row>
      </sheetData>
      <sheetData sheetId="2979">
        <row r="2">
          <cell r="A2" t="str">
            <v>실     명</v>
          </cell>
        </row>
      </sheetData>
      <sheetData sheetId="2980">
        <row r="2">
          <cell r="A2" t="str">
            <v>실     명</v>
          </cell>
        </row>
      </sheetData>
      <sheetData sheetId="2981">
        <row r="2">
          <cell r="A2" t="str">
            <v>실     명</v>
          </cell>
        </row>
      </sheetData>
      <sheetData sheetId="2982">
        <row r="2">
          <cell r="A2" t="str">
            <v>실     명</v>
          </cell>
        </row>
      </sheetData>
      <sheetData sheetId="2983">
        <row r="2">
          <cell r="A2" t="str">
            <v>실     명</v>
          </cell>
        </row>
      </sheetData>
      <sheetData sheetId="2984">
        <row r="2">
          <cell r="A2" t="str">
            <v>실     명</v>
          </cell>
        </row>
      </sheetData>
      <sheetData sheetId="2985">
        <row r="2">
          <cell r="A2" t="str">
            <v>실     명</v>
          </cell>
        </row>
      </sheetData>
      <sheetData sheetId="2986">
        <row r="2">
          <cell r="A2" t="str">
            <v>실     명</v>
          </cell>
        </row>
      </sheetData>
      <sheetData sheetId="2987">
        <row r="2">
          <cell r="A2" t="str">
            <v>실     명</v>
          </cell>
        </row>
      </sheetData>
      <sheetData sheetId="2988">
        <row r="2">
          <cell r="A2" t="str">
            <v>실     명</v>
          </cell>
        </row>
      </sheetData>
      <sheetData sheetId="2989">
        <row r="2">
          <cell r="A2" t="str">
            <v>실     명</v>
          </cell>
        </row>
      </sheetData>
      <sheetData sheetId="2990">
        <row r="2">
          <cell r="A2" t="str">
            <v>실     명</v>
          </cell>
        </row>
      </sheetData>
      <sheetData sheetId="2991">
        <row r="2">
          <cell r="A2" t="str">
            <v>실     명</v>
          </cell>
        </row>
      </sheetData>
      <sheetData sheetId="2992">
        <row r="2">
          <cell r="A2" t="str">
            <v>실     명</v>
          </cell>
        </row>
      </sheetData>
      <sheetData sheetId="2993">
        <row r="2">
          <cell r="A2" t="str">
            <v>실     명</v>
          </cell>
        </row>
      </sheetData>
      <sheetData sheetId="2994">
        <row r="2">
          <cell r="A2" t="str">
            <v>실     명</v>
          </cell>
        </row>
      </sheetData>
      <sheetData sheetId="2995">
        <row r="2">
          <cell r="A2" t="str">
            <v>실     명</v>
          </cell>
        </row>
      </sheetData>
      <sheetData sheetId="2996">
        <row r="2">
          <cell r="A2" t="str">
            <v>실     명</v>
          </cell>
        </row>
      </sheetData>
      <sheetData sheetId="2997">
        <row r="2">
          <cell r="A2" t="str">
            <v>실     명</v>
          </cell>
        </row>
      </sheetData>
      <sheetData sheetId="2998">
        <row r="2">
          <cell r="A2" t="str">
            <v>실     명</v>
          </cell>
        </row>
      </sheetData>
      <sheetData sheetId="2999">
        <row r="2">
          <cell r="A2" t="str">
            <v>실     명</v>
          </cell>
        </row>
      </sheetData>
      <sheetData sheetId="3000">
        <row r="2">
          <cell r="A2" t="str">
            <v>실     명</v>
          </cell>
        </row>
      </sheetData>
      <sheetData sheetId="3001">
        <row r="2">
          <cell r="A2" t="str">
            <v>실     명</v>
          </cell>
        </row>
      </sheetData>
      <sheetData sheetId="3002">
        <row r="2">
          <cell r="A2" t="str">
            <v>실     명</v>
          </cell>
        </row>
      </sheetData>
      <sheetData sheetId="3003">
        <row r="2">
          <cell r="A2" t="str">
            <v>실     명</v>
          </cell>
        </row>
      </sheetData>
      <sheetData sheetId="3004">
        <row r="2">
          <cell r="A2" t="str">
            <v>실     명</v>
          </cell>
        </row>
      </sheetData>
      <sheetData sheetId="3005">
        <row r="2">
          <cell r="A2" t="str">
            <v>실     명</v>
          </cell>
        </row>
      </sheetData>
      <sheetData sheetId="3006">
        <row r="2">
          <cell r="A2" t="str">
            <v>실     명</v>
          </cell>
        </row>
      </sheetData>
      <sheetData sheetId="3007">
        <row r="2">
          <cell r="A2" t="str">
            <v>실     명</v>
          </cell>
        </row>
      </sheetData>
      <sheetData sheetId="3008">
        <row r="2">
          <cell r="A2" t="str">
            <v>실     명</v>
          </cell>
        </row>
      </sheetData>
      <sheetData sheetId="3009">
        <row r="2">
          <cell r="A2" t="str">
            <v>실     명</v>
          </cell>
        </row>
      </sheetData>
      <sheetData sheetId="3010">
        <row r="2">
          <cell r="A2" t="str">
            <v>실     명</v>
          </cell>
        </row>
      </sheetData>
      <sheetData sheetId="3011">
        <row r="2">
          <cell r="A2" t="str">
            <v>실     명</v>
          </cell>
        </row>
      </sheetData>
      <sheetData sheetId="3012">
        <row r="2">
          <cell r="A2" t="str">
            <v>실     명</v>
          </cell>
        </row>
      </sheetData>
      <sheetData sheetId="3013">
        <row r="2">
          <cell r="A2" t="str">
            <v>실     명</v>
          </cell>
        </row>
      </sheetData>
      <sheetData sheetId="3014">
        <row r="2">
          <cell r="A2" t="str">
            <v>실     명</v>
          </cell>
        </row>
      </sheetData>
      <sheetData sheetId="3015">
        <row r="2">
          <cell r="A2" t="str">
            <v>실     명</v>
          </cell>
        </row>
      </sheetData>
      <sheetData sheetId="3016">
        <row r="2">
          <cell r="A2" t="str">
            <v>실     명</v>
          </cell>
        </row>
      </sheetData>
      <sheetData sheetId="3017">
        <row r="2">
          <cell r="A2" t="str">
            <v>실     명</v>
          </cell>
        </row>
      </sheetData>
      <sheetData sheetId="3018">
        <row r="2">
          <cell r="A2" t="str">
            <v>실     명</v>
          </cell>
        </row>
      </sheetData>
      <sheetData sheetId="3019">
        <row r="2">
          <cell r="A2" t="str">
            <v>실     명</v>
          </cell>
        </row>
      </sheetData>
      <sheetData sheetId="3020">
        <row r="2">
          <cell r="A2" t="str">
            <v>실     명</v>
          </cell>
        </row>
      </sheetData>
      <sheetData sheetId="3021">
        <row r="2">
          <cell r="A2" t="str">
            <v>실     명</v>
          </cell>
        </row>
      </sheetData>
      <sheetData sheetId="3022">
        <row r="2">
          <cell r="A2" t="str">
            <v>실     명</v>
          </cell>
        </row>
      </sheetData>
      <sheetData sheetId="3023">
        <row r="2">
          <cell r="A2" t="str">
            <v>실     명</v>
          </cell>
        </row>
      </sheetData>
      <sheetData sheetId="3024">
        <row r="2">
          <cell r="A2" t="str">
            <v>실     명</v>
          </cell>
        </row>
      </sheetData>
      <sheetData sheetId="3025">
        <row r="2">
          <cell r="A2" t="str">
            <v>실     명</v>
          </cell>
        </row>
      </sheetData>
      <sheetData sheetId="3026">
        <row r="2">
          <cell r="A2" t="str">
            <v>실     명</v>
          </cell>
        </row>
      </sheetData>
      <sheetData sheetId="3027">
        <row r="2">
          <cell r="A2" t="str">
            <v>실     명</v>
          </cell>
        </row>
      </sheetData>
      <sheetData sheetId="3028">
        <row r="2">
          <cell r="A2" t="str">
            <v>실     명</v>
          </cell>
        </row>
      </sheetData>
      <sheetData sheetId="3029">
        <row r="2">
          <cell r="A2" t="str">
            <v>실     명</v>
          </cell>
        </row>
      </sheetData>
      <sheetData sheetId="3030">
        <row r="2">
          <cell r="A2" t="str">
            <v>실     명</v>
          </cell>
        </row>
      </sheetData>
      <sheetData sheetId="3031">
        <row r="2">
          <cell r="A2" t="str">
            <v>실     명</v>
          </cell>
        </row>
      </sheetData>
      <sheetData sheetId="3032">
        <row r="2">
          <cell r="A2" t="str">
            <v>실     명</v>
          </cell>
        </row>
      </sheetData>
      <sheetData sheetId="3033">
        <row r="2">
          <cell r="A2" t="str">
            <v>실     명</v>
          </cell>
        </row>
      </sheetData>
      <sheetData sheetId="3034">
        <row r="2">
          <cell r="A2" t="str">
            <v>실     명</v>
          </cell>
        </row>
      </sheetData>
      <sheetData sheetId="3035">
        <row r="2">
          <cell r="A2" t="str">
            <v>실     명</v>
          </cell>
        </row>
      </sheetData>
      <sheetData sheetId="3036">
        <row r="2">
          <cell r="A2" t="str">
            <v>실     명</v>
          </cell>
        </row>
      </sheetData>
      <sheetData sheetId="3037">
        <row r="2">
          <cell r="A2" t="str">
            <v>실     명</v>
          </cell>
        </row>
      </sheetData>
      <sheetData sheetId="3038">
        <row r="2">
          <cell r="A2" t="str">
            <v>실     명</v>
          </cell>
        </row>
      </sheetData>
      <sheetData sheetId="3039">
        <row r="2">
          <cell r="A2" t="str">
            <v>실     명</v>
          </cell>
        </row>
      </sheetData>
      <sheetData sheetId="3040">
        <row r="2">
          <cell r="A2" t="str">
            <v>실     명</v>
          </cell>
        </row>
      </sheetData>
      <sheetData sheetId="3041">
        <row r="2">
          <cell r="A2" t="str">
            <v>실     명</v>
          </cell>
        </row>
      </sheetData>
      <sheetData sheetId="3042">
        <row r="2">
          <cell r="A2" t="str">
            <v>실     명</v>
          </cell>
        </row>
      </sheetData>
      <sheetData sheetId="3043">
        <row r="2">
          <cell r="A2" t="str">
            <v>실     명</v>
          </cell>
        </row>
      </sheetData>
      <sheetData sheetId="3044">
        <row r="2">
          <cell r="A2" t="str">
            <v>실     명</v>
          </cell>
        </row>
      </sheetData>
      <sheetData sheetId="3045">
        <row r="2">
          <cell r="A2" t="str">
            <v>실     명</v>
          </cell>
        </row>
      </sheetData>
      <sheetData sheetId="3046">
        <row r="2">
          <cell r="A2" t="str">
            <v>실     명</v>
          </cell>
        </row>
      </sheetData>
      <sheetData sheetId="3047">
        <row r="2">
          <cell r="A2" t="str">
            <v>실     명</v>
          </cell>
        </row>
      </sheetData>
      <sheetData sheetId="3048">
        <row r="2">
          <cell r="A2" t="str">
            <v>실     명</v>
          </cell>
        </row>
      </sheetData>
      <sheetData sheetId="3049">
        <row r="2">
          <cell r="A2" t="str">
            <v>실     명</v>
          </cell>
        </row>
      </sheetData>
      <sheetData sheetId="3050">
        <row r="2">
          <cell r="A2" t="str">
            <v>실     명</v>
          </cell>
        </row>
      </sheetData>
      <sheetData sheetId="3051">
        <row r="2">
          <cell r="A2" t="str">
            <v>실     명</v>
          </cell>
        </row>
      </sheetData>
      <sheetData sheetId="3052">
        <row r="2">
          <cell r="A2" t="str">
            <v>실     명</v>
          </cell>
        </row>
      </sheetData>
      <sheetData sheetId="3053">
        <row r="2">
          <cell r="A2" t="str">
            <v>실     명</v>
          </cell>
        </row>
      </sheetData>
      <sheetData sheetId="3054">
        <row r="2">
          <cell r="A2" t="str">
            <v>실     명</v>
          </cell>
        </row>
      </sheetData>
      <sheetData sheetId="3055">
        <row r="2">
          <cell r="A2" t="str">
            <v>실     명</v>
          </cell>
        </row>
      </sheetData>
      <sheetData sheetId="3056">
        <row r="2">
          <cell r="A2" t="str">
            <v>실     명</v>
          </cell>
        </row>
      </sheetData>
      <sheetData sheetId="3057">
        <row r="2">
          <cell r="A2" t="str">
            <v>실     명</v>
          </cell>
        </row>
      </sheetData>
      <sheetData sheetId="3058">
        <row r="2">
          <cell r="A2" t="str">
            <v>실     명</v>
          </cell>
        </row>
      </sheetData>
      <sheetData sheetId="3059">
        <row r="2">
          <cell r="A2" t="str">
            <v>실     명</v>
          </cell>
        </row>
      </sheetData>
      <sheetData sheetId="3060">
        <row r="2">
          <cell r="A2" t="str">
            <v>실     명</v>
          </cell>
        </row>
      </sheetData>
      <sheetData sheetId="3061">
        <row r="2">
          <cell r="A2" t="str">
            <v>실     명</v>
          </cell>
        </row>
      </sheetData>
      <sheetData sheetId="3062">
        <row r="2">
          <cell r="A2" t="str">
            <v>실     명</v>
          </cell>
        </row>
      </sheetData>
      <sheetData sheetId="3063">
        <row r="2">
          <cell r="A2" t="str">
            <v>실     명</v>
          </cell>
        </row>
      </sheetData>
      <sheetData sheetId="3064">
        <row r="2">
          <cell r="A2" t="str">
            <v>실     명</v>
          </cell>
        </row>
      </sheetData>
      <sheetData sheetId="3065">
        <row r="2">
          <cell r="A2" t="str">
            <v>실     명</v>
          </cell>
        </row>
      </sheetData>
      <sheetData sheetId="3066">
        <row r="2">
          <cell r="A2" t="str">
            <v>실     명</v>
          </cell>
        </row>
      </sheetData>
      <sheetData sheetId="3067">
        <row r="2">
          <cell r="A2" t="str">
            <v>실     명</v>
          </cell>
        </row>
      </sheetData>
      <sheetData sheetId="3068">
        <row r="2">
          <cell r="A2" t="str">
            <v>실     명</v>
          </cell>
        </row>
      </sheetData>
      <sheetData sheetId="3069">
        <row r="2">
          <cell r="A2" t="str">
            <v>실     명</v>
          </cell>
        </row>
      </sheetData>
      <sheetData sheetId="3070">
        <row r="2">
          <cell r="A2" t="str">
            <v>실     명</v>
          </cell>
        </row>
      </sheetData>
      <sheetData sheetId="3071">
        <row r="2">
          <cell r="A2" t="str">
            <v>실     명</v>
          </cell>
        </row>
      </sheetData>
      <sheetData sheetId="3072">
        <row r="2">
          <cell r="A2" t="str">
            <v>실     명</v>
          </cell>
        </row>
      </sheetData>
      <sheetData sheetId="3073">
        <row r="2">
          <cell r="A2" t="str">
            <v>실     명</v>
          </cell>
        </row>
      </sheetData>
      <sheetData sheetId="3074">
        <row r="2">
          <cell r="A2" t="str">
            <v>실     명</v>
          </cell>
        </row>
      </sheetData>
      <sheetData sheetId="3075">
        <row r="2">
          <cell r="A2" t="str">
            <v>실     명</v>
          </cell>
        </row>
      </sheetData>
      <sheetData sheetId="3076">
        <row r="2">
          <cell r="A2" t="str">
            <v>실     명</v>
          </cell>
        </row>
      </sheetData>
      <sheetData sheetId="3077">
        <row r="2">
          <cell r="A2" t="str">
            <v>실     명</v>
          </cell>
        </row>
      </sheetData>
      <sheetData sheetId="3078">
        <row r="2">
          <cell r="A2" t="str">
            <v>실     명</v>
          </cell>
        </row>
      </sheetData>
      <sheetData sheetId="3079">
        <row r="2">
          <cell r="A2" t="str">
            <v>실     명</v>
          </cell>
        </row>
      </sheetData>
      <sheetData sheetId="3080">
        <row r="2">
          <cell r="A2" t="str">
            <v>실     명</v>
          </cell>
        </row>
      </sheetData>
      <sheetData sheetId="3081">
        <row r="2">
          <cell r="A2" t="str">
            <v>실     명</v>
          </cell>
        </row>
      </sheetData>
      <sheetData sheetId="3082">
        <row r="2">
          <cell r="A2" t="str">
            <v>실     명</v>
          </cell>
        </row>
      </sheetData>
      <sheetData sheetId="3083">
        <row r="2">
          <cell r="A2" t="str">
            <v>실     명</v>
          </cell>
        </row>
      </sheetData>
      <sheetData sheetId="3084">
        <row r="2">
          <cell r="A2" t="str">
            <v>실     명</v>
          </cell>
        </row>
      </sheetData>
      <sheetData sheetId="3085">
        <row r="2">
          <cell r="A2" t="str">
            <v>실     명</v>
          </cell>
        </row>
      </sheetData>
      <sheetData sheetId="3086">
        <row r="2">
          <cell r="A2" t="str">
            <v>실     명</v>
          </cell>
        </row>
      </sheetData>
      <sheetData sheetId="3087">
        <row r="2">
          <cell r="A2" t="str">
            <v>실     명</v>
          </cell>
        </row>
      </sheetData>
      <sheetData sheetId="3088">
        <row r="2">
          <cell r="A2" t="str">
            <v>실     명</v>
          </cell>
        </row>
      </sheetData>
      <sheetData sheetId="3089">
        <row r="2">
          <cell r="A2" t="str">
            <v>실     명</v>
          </cell>
        </row>
      </sheetData>
      <sheetData sheetId="3090">
        <row r="2">
          <cell r="A2" t="str">
            <v>실     명</v>
          </cell>
        </row>
      </sheetData>
      <sheetData sheetId="3091">
        <row r="2">
          <cell r="A2" t="str">
            <v>실     명</v>
          </cell>
        </row>
      </sheetData>
      <sheetData sheetId="3092">
        <row r="2">
          <cell r="A2" t="str">
            <v>실     명</v>
          </cell>
        </row>
      </sheetData>
      <sheetData sheetId="3093">
        <row r="2">
          <cell r="A2" t="str">
            <v>실     명</v>
          </cell>
        </row>
      </sheetData>
      <sheetData sheetId="3094">
        <row r="2">
          <cell r="A2" t="str">
            <v>실     명</v>
          </cell>
        </row>
      </sheetData>
      <sheetData sheetId="3095">
        <row r="2">
          <cell r="A2" t="str">
            <v>실     명</v>
          </cell>
        </row>
      </sheetData>
      <sheetData sheetId="3096">
        <row r="2">
          <cell r="A2" t="str">
            <v>실     명</v>
          </cell>
        </row>
      </sheetData>
      <sheetData sheetId="3097">
        <row r="2">
          <cell r="A2" t="str">
            <v>실     명</v>
          </cell>
        </row>
      </sheetData>
      <sheetData sheetId="3098">
        <row r="2">
          <cell r="A2" t="str">
            <v>실     명</v>
          </cell>
        </row>
      </sheetData>
      <sheetData sheetId="3099">
        <row r="2">
          <cell r="A2" t="str">
            <v>실     명</v>
          </cell>
        </row>
      </sheetData>
      <sheetData sheetId="3100">
        <row r="2">
          <cell r="A2" t="str">
            <v>실     명</v>
          </cell>
        </row>
      </sheetData>
      <sheetData sheetId="3101">
        <row r="2">
          <cell r="A2" t="str">
            <v>실     명</v>
          </cell>
        </row>
      </sheetData>
      <sheetData sheetId="3102">
        <row r="2">
          <cell r="A2" t="str">
            <v>실     명</v>
          </cell>
        </row>
      </sheetData>
      <sheetData sheetId="3103">
        <row r="2">
          <cell r="A2" t="str">
            <v>실     명</v>
          </cell>
        </row>
      </sheetData>
      <sheetData sheetId="3104">
        <row r="2">
          <cell r="A2" t="str">
            <v>실     명</v>
          </cell>
        </row>
      </sheetData>
      <sheetData sheetId="3105">
        <row r="2">
          <cell r="A2" t="str">
            <v>실     명</v>
          </cell>
        </row>
      </sheetData>
      <sheetData sheetId="3106">
        <row r="2">
          <cell r="A2" t="str">
            <v>실     명</v>
          </cell>
        </row>
      </sheetData>
      <sheetData sheetId="3107">
        <row r="2">
          <cell r="A2" t="str">
            <v>실     명</v>
          </cell>
        </row>
      </sheetData>
      <sheetData sheetId="3108">
        <row r="2">
          <cell r="A2" t="str">
            <v>실     명</v>
          </cell>
        </row>
      </sheetData>
      <sheetData sheetId="3109">
        <row r="2">
          <cell r="A2" t="str">
            <v>실     명</v>
          </cell>
        </row>
      </sheetData>
      <sheetData sheetId="3110">
        <row r="2">
          <cell r="A2" t="str">
            <v>실     명</v>
          </cell>
        </row>
      </sheetData>
      <sheetData sheetId="3111">
        <row r="2">
          <cell r="A2" t="str">
            <v>실     명</v>
          </cell>
        </row>
      </sheetData>
      <sheetData sheetId="3112">
        <row r="2">
          <cell r="A2" t="str">
            <v>실     명</v>
          </cell>
        </row>
      </sheetData>
      <sheetData sheetId="3113">
        <row r="2">
          <cell r="A2" t="str">
            <v>실     명</v>
          </cell>
        </row>
      </sheetData>
      <sheetData sheetId="3114">
        <row r="2">
          <cell r="A2" t="str">
            <v>실     명</v>
          </cell>
        </row>
      </sheetData>
      <sheetData sheetId="3115">
        <row r="2">
          <cell r="A2" t="str">
            <v>실     명</v>
          </cell>
        </row>
      </sheetData>
      <sheetData sheetId="3116">
        <row r="2">
          <cell r="A2" t="str">
            <v>실     명</v>
          </cell>
        </row>
      </sheetData>
      <sheetData sheetId="3117">
        <row r="2">
          <cell r="A2" t="str">
            <v>실     명</v>
          </cell>
        </row>
      </sheetData>
      <sheetData sheetId="3118">
        <row r="2">
          <cell r="A2" t="str">
            <v>실     명</v>
          </cell>
        </row>
      </sheetData>
      <sheetData sheetId="3119">
        <row r="2">
          <cell r="A2" t="str">
            <v>실     명</v>
          </cell>
        </row>
      </sheetData>
      <sheetData sheetId="3120">
        <row r="2">
          <cell r="A2" t="str">
            <v>실     명</v>
          </cell>
        </row>
      </sheetData>
      <sheetData sheetId="3121">
        <row r="2">
          <cell r="A2" t="str">
            <v>실     명</v>
          </cell>
        </row>
      </sheetData>
      <sheetData sheetId="3122">
        <row r="2">
          <cell r="A2" t="str">
            <v>실     명</v>
          </cell>
        </row>
      </sheetData>
      <sheetData sheetId="3123">
        <row r="2">
          <cell r="A2" t="str">
            <v>실     명</v>
          </cell>
        </row>
      </sheetData>
      <sheetData sheetId="3124">
        <row r="2">
          <cell r="A2" t="str">
            <v>실     명</v>
          </cell>
        </row>
      </sheetData>
      <sheetData sheetId="3125">
        <row r="2">
          <cell r="A2" t="str">
            <v>실     명</v>
          </cell>
        </row>
      </sheetData>
      <sheetData sheetId="3126">
        <row r="2">
          <cell r="A2" t="str">
            <v>실     명</v>
          </cell>
        </row>
      </sheetData>
      <sheetData sheetId="3127">
        <row r="2">
          <cell r="A2" t="str">
            <v>실     명</v>
          </cell>
        </row>
      </sheetData>
      <sheetData sheetId="3128">
        <row r="2">
          <cell r="A2" t="str">
            <v>실     명</v>
          </cell>
        </row>
      </sheetData>
      <sheetData sheetId="3129">
        <row r="2">
          <cell r="A2" t="str">
            <v>실     명</v>
          </cell>
        </row>
      </sheetData>
      <sheetData sheetId="3130">
        <row r="2">
          <cell r="A2" t="str">
            <v>실     명</v>
          </cell>
        </row>
      </sheetData>
      <sheetData sheetId="3131">
        <row r="2">
          <cell r="A2" t="str">
            <v>실     명</v>
          </cell>
        </row>
      </sheetData>
      <sheetData sheetId="3132">
        <row r="2">
          <cell r="A2" t="str">
            <v>실     명</v>
          </cell>
        </row>
      </sheetData>
      <sheetData sheetId="3133">
        <row r="2">
          <cell r="A2" t="str">
            <v>실     명</v>
          </cell>
        </row>
      </sheetData>
      <sheetData sheetId="3134">
        <row r="2">
          <cell r="A2" t="str">
            <v>실     명</v>
          </cell>
        </row>
      </sheetData>
      <sheetData sheetId="3135">
        <row r="2">
          <cell r="A2" t="str">
            <v>실     명</v>
          </cell>
        </row>
      </sheetData>
      <sheetData sheetId="3136">
        <row r="2">
          <cell r="A2" t="str">
            <v>실     명</v>
          </cell>
        </row>
      </sheetData>
      <sheetData sheetId="3137">
        <row r="2">
          <cell r="A2" t="str">
            <v>실     명</v>
          </cell>
        </row>
      </sheetData>
      <sheetData sheetId="3138">
        <row r="2">
          <cell r="A2" t="str">
            <v>실     명</v>
          </cell>
        </row>
      </sheetData>
      <sheetData sheetId="3139">
        <row r="2">
          <cell r="A2" t="str">
            <v>실     명</v>
          </cell>
        </row>
      </sheetData>
      <sheetData sheetId="3140">
        <row r="2">
          <cell r="A2" t="str">
            <v>실     명</v>
          </cell>
        </row>
      </sheetData>
      <sheetData sheetId="3141">
        <row r="2">
          <cell r="A2" t="str">
            <v>실     명</v>
          </cell>
        </row>
      </sheetData>
      <sheetData sheetId="3142">
        <row r="2">
          <cell r="A2" t="str">
            <v>실     명</v>
          </cell>
        </row>
      </sheetData>
      <sheetData sheetId="3143">
        <row r="2">
          <cell r="A2" t="str">
            <v>실     명</v>
          </cell>
        </row>
      </sheetData>
      <sheetData sheetId="3144">
        <row r="2">
          <cell r="A2" t="str">
            <v>실     명</v>
          </cell>
        </row>
      </sheetData>
      <sheetData sheetId="3145">
        <row r="2">
          <cell r="A2" t="str">
            <v>실     명</v>
          </cell>
        </row>
      </sheetData>
      <sheetData sheetId="3146">
        <row r="2">
          <cell r="A2" t="str">
            <v>실     명</v>
          </cell>
        </row>
      </sheetData>
      <sheetData sheetId="3147">
        <row r="2">
          <cell r="A2" t="str">
            <v>실     명</v>
          </cell>
        </row>
      </sheetData>
      <sheetData sheetId="3148">
        <row r="2">
          <cell r="A2" t="str">
            <v>실     명</v>
          </cell>
        </row>
      </sheetData>
      <sheetData sheetId="3149">
        <row r="2">
          <cell r="A2" t="str">
            <v>실     명</v>
          </cell>
        </row>
      </sheetData>
      <sheetData sheetId="3150">
        <row r="2">
          <cell r="A2" t="str">
            <v>실     명</v>
          </cell>
        </row>
      </sheetData>
      <sheetData sheetId="3151">
        <row r="2">
          <cell r="A2" t="str">
            <v>실     명</v>
          </cell>
        </row>
      </sheetData>
      <sheetData sheetId="3152">
        <row r="2">
          <cell r="A2" t="str">
            <v>실     명</v>
          </cell>
        </row>
      </sheetData>
      <sheetData sheetId="3153">
        <row r="2">
          <cell r="A2" t="str">
            <v>실     명</v>
          </cell>
        </row>
      </sheetData>
      <sheetData sheetId="3154">
        <row r="2">
          <cell r="A2" t="str">
            <v>실     명</v>
          </cell>
        </row>
      </sheetData>
      <sheetData sheetId="3155">
        <row r="2">
          <cell r="A2" t="str">
            <v>실     명</v>
          </cell>
        </row>
      </sheetData>
      <sheetData sheetId="3156">
        <row r="2">
          <cell r="A2" t="str">
            <v>실     명</v>
          </cell>
        </row>
      </sheetData>
      <sheetData sheetId="3157">
        <row r="2">
          <cell r="A2" t="str">
            <v>실     명</v>
          </cell>
        </row>
      </sheetData>
      <sheetData sheetId="3158">
        <row r="2">
          <cell r="A2" t="str">
            <v>실     명</v>
          </cell>
        </row>
      </sheetData>
      <sheetData sheetId="3159">
        <row r="2">
          <cell r="A2" t="str">
            <v>실     명</v>
          </cell>
        </row>
      </sheetData>
      <sheetData sheetId="3160">
        <row r="2">
          <cell r="A2" t="str">
            <v>실     명</v>
          </cell>
        </row>
      </sheetData>
      <sheetData sheetId="3161">
        <row r="2">
          <cell r="A2" t="str">
            <v>실     명</v>
          </cell>
        </row>
      </sheetData>
      <sheetData sheetId="3162">
        <row r="2">
          <cell r="A2" t="str">
            <v>실     명</v>
          </cell>
        </row>
      </sheetData>
      <sheetData sheetId="3163">
        <row r="2">
          <cell r="A2" t="str">
            <v>실     명</v>
          </cell>
        </row>
      </sheetData>
      <sheetData sheetId="3164">
        <row r="2">
          <cell r="A2" t="str">
            <v>실     명</v>
          </cell>
        </row>
      </sheetData>
      <sheetData sheetId="3165">
        <row r="2">
          <cell r="A2" t="str">
            <v>실     명</v>
          </cell>
        </row>
      </sheetData>
      <sheetData sheetId="3166">
        <row r="2">
          <cell r="A2" t="str">
            <v>실     명</v>
          </cell>
        </row>
      </sheetData>
      <sheetData sheetId="3167">
        <row r="2">
          <cell r="A2" t="str">
            <v>실     명</v>
          </cell>
        </row>
      </sheetData>
      <sheetData sheetId="3168">
        <row r="2">
          <cell r="A2" t="str">
            <v>실     명</v>
          </cell>
        </row>
      </sheetData>
      <sheetData sheetId="3169">
        <row r="2">
          <cell r="A2" t="str">
            <v>실     명</v>
          </cell>
        </row>
      </sheetData>
      <sheetData sheetId="3170">
        <row r="2">
          <cell r="A2" t="str">
            <v>실     명</v>
          </cell>
        </row>
      </sheetData>
      <sheetData sheetId="3171">
        <row r="2">
          <cell r="A2" t="str">
            <v>실     명</v>
          </cell>
        </row>
      </sheetData>
      <sheetData sheetId="3172">
        <row r="2">
          <cell r="A2" t="str">
            <v>실     명</v>
          </cell>
        </row>
      </sheetData>
      <sheetData sheetId="3173">
        <row r="2">
          <cell r="A2" t="str">
            <v>실     명</v>
          </cell>
        </row>
      </sheetData>
      <sheetData sheetId="3174">
        <row r="2">
          <cell r="A2" t="str">
            <v>실     명</v>
          </cell>
        </row>
      </sheetData>
      <sheetData sheetId="3175">
        <row r="2">
          <cell r="A2" t="str">
            <v>실     명</v>
          </cell>
        </row>
      </sheetData>
      <sheetData sheetId="3176">
        <row r="2">
          <cell r="A2" t="str">
            <v>실     명</v>
          </cell>
        </row>
      </sheetData>
      <sheetData sheetId="3177">
        <row r="2">
          <cell r="A2" t="str">
            <v>실     명</v>
          </cell>
        </row>
      </sheetData>
      <sheetData sheetId="3178">
        <row r="2">
          <cell r="A2" t="str">
            <v>실     명</v>
          </cell>
        </row>
      </sheetData>
      <sheetData sheetId="3179">
        <row r="2">
          <cell r="A2" t="str">
            <v>실     명</v>
          </cell>
        </row>
      </sheetData>
      <sheetData sheetId="3180">
        <row r="2">
          <cell r="A2" t="str">
            <v>실     명</v>
          </cell>
        </row>
      </sheetData>
      <sheetData sheetId="3181">
        <row r="2">
          <cell r="A2" t="str">
            <v>실     명</v>
          </cell>
        </row>
      </sheetData>
      <sheetData sheetId="3182">
        <row r="2">
          <cell r="A2" t="str">
            <v>실     명</v>
          </cell>
        </row>
      </sheetData>
      <sheetData sheetId="3183">
        <row r="2">
          <cell r="A2" t="str">
            <v>실     명</v>
          </cell>
        </row>
      </sheetData>
      <sheetData sheetId="3184">
        <row r="2">
          <cell r="A2" t="str">
            <v>실     명</v>
          </cell>
        </row>
      </sheetData>
      <sheetData sheetId="3185">
        <row r="2">
          <cell r="A2" t="str">
            <v>실     명</v>
          </cell>
        </row>
      </sheetData>
      <sheetData sheetId="3186">
        <row r="2">
          <cell r="A2" t="str">
            <v>실     명</v>
          </cell>
        </row>
      </sheetData>
      <sheetData sheetId="3187">
        <row r="2">
          <cell r="A2" t="str">
            <v>실     명</v>
          </cell>
        </row>
      </sheetData>
      <sheetData sheetId="3188">
        <row r="2">
          <cell r="A2" t="str">
            <v>실     명</v>
          </cell>
        </row>
      </sheetData>
      <sheetData sheetId="3189">
        <row r="2">
          <cell r="A2" t="str">
            <v>실     명</v>
          </cell>
        </row>
      </sheetData>
      <sheetData sheetId="3190">
        <row r="2">
          <cell r="A2" t="str">
            <v>실     명</v>
          </cell>
        </row>
      </sheetData>
      <sheetData sheetId="3191">
        <row r="2">
          <cell r="A2" t="str">
            <v>실     명</v>
          </cell>
        </row>
      </sheetData>
      <sheetData sheetId="3192">
        <row r="2">
          <cell r="A2" t="str">
            <v>실     명</v>
          </cell>
        </row>
      </sheetData>
      <sheetData sheetId="3193">
        <row r="2">
          <cell r="A2" t="str">
            <v>실     명</v>
          </cell>
        </row>
      </sheetData>
      <sheetData sheetId="3194">
        <row r="2">
          <cell r="A2" t="str">
            <v>실     명</v>
          </cell>
        </row>
      </sheetData>
      <sheetData sheetId="3195">
        <row r="2">
          <cell r="A2" t="str">
            <v>실     명</v>
          </cell>
        </row>
      </sheetData>
      <sheetData sheetId="3196">
        <row r="2">
          <cell r="A2" t="str">
            <v>실     명</v>
          </cell>
        </row>
      </sheetData>
      <sheetData sheetId="3197">
        <row r="2">
          <cell r="A2" t="str">
            <v>실     명</v>
          </cell>
        </row>
      </sheetData>
      <sheetData sheetId="3198">
        <row r="2">
          <cell r="A2" t="str">
            <v>실     명</v>
          </cell>
        </row>
      </sheetData>
      <sheetData sheetId="3199">
        <row r="2">
          <cell r="A2" t="str">
            <v>실     명</v>
          </cell>
        </row>
      </sheetData>
      <sheetData sheetId="3200">
        <row r="2">
          <cell r="A2" t="str">
            <v>실     명</v>
          </cell>
        </row>
      </sheetData>
      <sheetData sheetId="3201">
        <row r="2">
          <cell r="A2" t="str">
            <v>실     명</v>
          </cell>
        </row>
      </sheetData>
      <sheetData sheetId="3202">
        <row r="2">
          <cell r="A2" t="str">
            <v>실     명</v>
          </cell>
        </row>
      </sheetData>
      <sheetData sheetId="3203">
        <row r="2">
          <cell r="A2" t="str">
            <v>실     명</v>
          </cell>
        </row>
      </sheetData>
      <sheetData sheetId="3204">
        <row r="2">
          <cell r="A2" t="str">
            <v>실     명</v>
          </cell>
        </row>
      </sheetData>
      <sheetData sheetId="3205">
        <row r="2">
          <cell r="A2" t="str">
            <v>실     명</v>
          </cell>
        </row>
      </sheetData>
      <sheetData sheetId="3206">
        <row r="2">
          <cell r="A2" t="str">
            <v>실     명</v>
          </cell>
        </row>
      </sheetData>
      <sheetData sheetId="3207">
        <row r="2">
          <cell r="A2" t="str">
            <v>실     명</v>
          </cell>
        </row>
      </sheetData>
      <sheetData sheetId="3208">
        <row r="2">
          <cell r="A2" t="str">
            <v>실     명</v>
          </cell>
        </row>
      </sheetData>
      <sheetData sheetId="3209">
        <row r="2">
          <cell r="A2" t="str">
            <v>실     명</v>
          </cell>
        </row>
      </sheetData>
      <sheetData sheetId="3210">
        <row r="2">
          <cell r="A2" t="str">
            <v>실     명</v>
          </cell>
        </row>
      </sheetData>
      <sheetData sheetId="3211">
        <row r="2">
          <cell r="A2" t="str">
            <v>실     명</v>
          </cell>
        </row>
      </sheetData>
      <sheetData sheetId="3212">
        <row r="2">
          <cell r="A2" t="str">
            <v>실     명</v>
          </cell>
        </row>
      </sheetData>
      <sheetData sheetId="3213">
        <row r="2">
          <cell r="A2" t="str">
            <v>실     명</v>
          </cell>
        </row>
      </sheetData>
      <sheetData sheetId="3214">
        <row r="2">
          <cell r="A2" t="str">
            <v>실     명</v>
          </cell>
        </row>
      </sheetData>
      <sheetData sheetId="3215">
        <row r="2">
          <cell r="A2" t="str">
            <v>실     명</v>
          </cell>
        </row>
      </sheetData>
      <sheetData sheetId="3216">
        <row r="2">
          <cell r="A2" t="str">
            <v>실     명</v>
          </cell>
        </row>
      </sheetData>
      <sheetData sheetId="3217">
        <row r="2">
          <cell r="A2" t="str">
            <v>실     명</v>
          </cell>
        </row>
      </sheetData>
      <sheetData sheetId="3218">
        <row r="2">
          <cell r="A2" t="str">
            <v>실     명</v>
          </cell>
        </row>
      </sheetData>
      <sheetData sheetId="3219">
        <row r="2">
          <cell r="A2" t="str">
            <v>실     명</v>
          </cell>
        </row>
      </sheetData>
      <sheetData sheetId="3220">
        <row r="2">
          <cell r="A2" t="str">
            <v>실     명</v>
          </cell>
        </row>
      </sheetData>
      <sheetData sheetId="3221">
        <row r="2">
          <cell r="A2" t="str">
            <v>실     명</v>
          </cell>
        </row>
      </sheetData>
      <sheetData sheetId="3222">
        <row r="2">
          <cell r="A2" t="str">
            <v>실     명</v>
          </cell>
        </row>
      </sheetData>
      <sheetData sheetId="3223">
        <row r="2">
          <cell r="A2" t="str">
            <v>실     명</v>
          </cell>
        </row>
      </sheetData>
      <sheetData sheetId="3224">
        <row r="2">
          <cell r="A2" t="str">
            <v>실     명</v>
          </cell>
        </row>
      </sheetData>
      <sheetData sheetId="3225">
        <row r="2">
          <cell r="A2" t="str">
            <v>실     명</v>
          </cell>
        </row>
      </sheetData>
      <sheetData sheetId="3226">
        <row r="2">
          <cell r="A2" t="str">
            <v>실     명</v>
          </cell>
        </row>
      </sheetData>
      <sheetData sheetId="3227">
        <row r="2">
          <cell r="A2" t="str">
            <v>실     명</v>
          </cell>
        </row>
      </sheetData>
      <sheetData sheetId="3228">
        <row r="2">
          <cell r="A2" t="str">
            <v>실     명</v>
          </cell>
        </row>
      </sheetData>
      <sheetData sheetId="3229">
        <row r="2">
          <cell r="A2" t="str">
            <v>실     명</v>
          </cell>
        </row>
      </sheetData>
      <sheetData sheetId="3230">
        <row r="2">
          <cell r="A2" t="str">
            <v>실     명</v>
          </cell>
        </row>
      </sheetData>
      <sheetData sheetId="3231">
        <row r="2">
          <cell r="A2" t="str">
            <v>실     명</v>
          </cell>
        </row>
      </sheetData>
      <sheetData sheetId="3232">
        <row r="2">
          <cell r="A2" t="str">
            <v>실     명</v>
          </cell>
        </row>
      </sheetData>
      <sheetData sheetId="3233">
        <row r="2">
          <cell r="A2" t="str">
            <v>실     명</v>
          </cell>
        </row>
      </sheetData>
      <sheetData sheetId="3234">
        <row r="2">
          <cell r="A2" t="str">
            <v>실     명</v>
          </cell>
        </row>
      </sheetData>
      <sheetData sheetId="3235">
        <row r="2">
          <cell r="A2" t="str">
            <v>실     명</v>
          </cell>
        </row>
      </sheetData>
      <sheetData sheetId="3236">
        <row r="2">
          <cell r="A2" t="str">
            <v>실     명</v>
          </cell>
        </row>
      </sheetData>
      <sheetData sheetId="3237">
        <row r="2">
          <cell r="A2" t="str">
            <v>실     명</v>
          </cell>
        </row>
      </sheetData>
      <sheetData sheetId="3238">
        <row r="2">
          <cell r="A2" t="str">
            <v>실     명</v>
          </cell>
        </row>
      </sheetData>
      <sheetData sheetId="3239">
        <row r="2">
          <cell r="A2" t="str">
            <v>실     명</v>
          </cell>
        </row>
      </sheetData>
      <sheetData sheetId="3240">
        <row r="2">
          <cell r="A2" t="str">
            <v>실     명</v>
          </cell>
        </row>
      </sheetData>
      <sheetData sheetId="3241">
        <row r="2">
          <cell r="A2" t="str">
            <v>실     명</v>
          </cell>
        </row>
      </sheetData>
      <sheetData sheetId="3242">
        <row r="2">
          <cell r="A2" t="str">
            <v>실     명</v>
          </cell>
        </row>
      </sheetData>
      <sheetData sheetId="3243">
        <row r="2">
          <cell r="A2" t="str">
            <v>실     명</v>
          </cell>
        </row>
      </sheetData>
      <sheetData sheetId="3244">
        <row r="2">
          <cell r="A2" t="str">
            <v>실     명</v>
          </cell>
        </row>
      </sheetData>
      <sheetData sheetId="3245">
        <row r="2">
          <cell r="A2" t="str">
            <v>실     명</v>
          </cell>
        </row>
      </sheetData>
      <sheetData sheetId="3246">
        <row r="2">
          <cell r="A2" t="str">
            <v>실     명</v>
          </cell>
        </row>
      </sheetData>
      <sheetData sheetId="3247">
        <row r="2">
          <cell r="A2" t="str">
            <v>실     명</v>
          </cell>
        </row>
      </sheetData>
      <sheetData sheetId="3248">
        <row r="2">
          <cell r="A2" t="str">
            <v>실     명</v>
          </cell>
        </row>
      </sheetData>
      <sheetData sheetId="3249">
        <row r="2">
          <cell r="A2" t="str">
            <v>실     명</v>
          </cell>
        </row>
      </sheetData>
      <sheetData sheetId="3250">
        <row r="2">
          <cell r="A2" t="str">
            <v>실     명</v>
          </cell>
        </row>
      </sheetData>
      <sheetData sheetId="3251">
        <row r="2">
          <cell r="A2" t="str">
            <v>실     명</v>
          </cell>
        </row>
      </sheetData>
      <sheetData sheetId="3252">
        <row r="2">
          <cell r="A2" t="str">
            <v>실     명</v>
          </cell>
        </row>
      </sheetData>
      <sheetData sheetId="3253">
        <row r="2">
          <cell r="A2" t="str">
            <v>실     명</v>
          </cell>
        </row>
      </sheetData>
      <sheetData sheetId="3254">
        <row r="2">
          <cell r="A2" t="str">
            <v>실     명</v>
          </cell>
        </row>
      </sheetData>
      <sheetData sheetId="3255">
        <row r="2">
          <cell r="A2" t="str">
            <v>실     명</v>
          </cell>
        </row>
      </sheetData>
      <sheetData sheetId="3256">
        <row r="2">
          <cell r="A2" t="str">
            <v>실     명</v>
          </cell>
        </row>
      </sheetData>
      <sheetData sheetId="3257">
        <row r="2">
          <cell r="A2" t="str">
            <v>실     명</v>
          </cell>
        </row>
      </sheetData>
      <sheetData sheetId="3258">
        <row r="2">
          <cell r="A2" t="str">
            <v>실     명</v>
          </cell>
        </row>
      </sheetData>
      <sheetData sheetId="3259">
        <row r="2">
          <cell r="A2" t="str">
            <v>실     명</v>
          </cell>
        </row>
      </sheetData>
      <sheetData sheetId="3260">
        <row r="2">
          <cell r="A2" t="str">
            <v>실     명</v>
          </cell>
        </row>
      </sheetData>
      <sheetData sheetId="3261">
        <row r="2">
          <cell r="A2" t="str">
            <v>실     명</v>
          </cell>
        </row>
      </sheetData>
      <sheetData sheetId="3262">
        <row r="2">
          <cell r="A2" t="str">
            <v>실     명</v>
          </cell>
        </row>
      </sheetData>
      <sheetData sheetId="3263">
        <row r="2">
          <cell r="A2" t="str">
            <v>실     명</v>
          </cell>
        </row>
      </sheetData>
      <sheetData sheetId="3264">
        <row r="2">
          <cell r="A2" t="str">
            <v>실     명</v>
          </cell>
        </row>
      </sheetData>
      <sheetData sheetId="3265">
        <row r="2">
          <cell r="A2" t="str">
            <v>실     명</v>
          </cell>
        </row>
      </sheetData>
      <sheetData sheetId="3266">
        <row r="2">
          <cell r="A2" t="str">
            <v>실     명</v>
          </cell>
        </row>
      </sheetData>
      <sheetData sheetId="3267">
        <row r="2">
          <cell r="A2" t="str">
            <v>실     명</v>
          </cell>
        </row>
      </sheetData>
      <sheetData sheetId="3268">
        <row r="2">
          <cell r="A2" t="str">
            <v>실     명</v>
          </cell>
        </row>
      </sheetData>
      <sheetData sheetId="3269">
        <row r="2">
          <cell r="A2" t="str">
            <v>실     명</v>
          </cell>
        </row>
      </sheetData>
      <sheetData sheetId="3270">
        <row r="2">
          <cell r="A2" t="str">
            <v>실     명</v>
          </cell>
        </row>
      </sheetData>
      <sheetData sheetId="3271">
        <row r="2">
          <cell r="A2" t="str">
            <v>실     명</v>
          </cell>
        </row>
      </sheetData>
      <sheetData sheetId="3272">
        <row r="2">
          <cell r="A2" t="str">
            <v>실     명</v>
          </cell>
        </row>
      </sheetData>
      <sheetData sheetId="3273">
        <row r="2">
          <cell r="A2" t="str">
            <v>실     명</v>
          </cell>
        </row>
      </sheetData>
      <sheetData sheetId="3274">
        <row r="2">
          <cell r="A2" t="str">
            <v>실     명</v>
          </cell>
        </row>
      </sheetData>
      <sheetData sheetId="3275">
        <row r="2">
          <cell r="A2" t="str">
            <v>실     명</v>
          </cell>
        </row>
      </sheetData>
      <sheetData sheetId="3276">
        <row r="2">
          <cell r="A2" t="str">
            <v>실     명</v>
          </cell>
        </row>
      </sheetData>
      <sheetData sheetId="3277">
        <row r="2">
          <cell r="A2" t="str">
            <v>실     명</v>
          </cell>
        </row>
      </sheetData>
      <sheetData sheetId="3278">
        <row r="2">
          <cell r="A2" t="str">
            <v>실     명</v>
          </cell>
        </row>
      </sheetData>
      <sheetData sheetId="3279">
        <row r="2">
          <cell r="A2" t="str">
            <v>실     명</v>
          </cell>
        </row>
      </sheetData>
      <sheetData sheetId="3280">
        <row r="2">
          <cell r="A2" t="str">
            <v>실     명</v>
          </cell>
        </row>
      </sheetData>
      <sheetData sheetId="3281">
        <row r="2">
          <cell r="A2" t="str">
            <v>실     명</v>
          </cell>
        </row>
      </sheetData>
      <sheetData sheetId="3282">
        <row r="2">
          <cell r="A2" t="str">
            <v>실     명</v>
          </cell>
        </row>
      </sheetData>
      <sheetData sheetId="3283">
        <row r="2">
          <cell r="A2" t="str">
            <v>실     명</v>
          </cell>
        </row>
      </sheetData>
      <sheetData sheetId="3284">
        <row r="2">
          <cell r="A2" t="str">
            <v>실     명</v>
          </cell>
        </row>
      </sheetData>
      <sheetData sheetId="3285">
        <row r="2">
          <cell r="A2" t="str">
            <v>실     명</v>
          </cell>
        </row>
      </sheetData>
      <sheetData sheetId="3286">
        <row r="2">
          <cell r="A2" t="str">
            <v>실     명</v>
          </cell>
        </row>
      </sheetData>
      <sheetData sheetId="3287">
        <row r="2">
          <cell r="A2" t="str">
            <v>실     명</v>
          </cell>
        </row>
      </sheetData>
      <sheetData sheetId="3288">
        <row r="2">
          <cell r="A2" t="str">
            <v>실     명</v>
          </cell>
        </row>
      </sheetData>
      <sheetData sheetId="3289">
        <row r="2">
          <cell r="A2" t="str">
            <v>실     명</v>
          </cell>
        </row>
      </sheetData>
      <sheetData sheetId="3290">
        <row r="2">
          <cell r="A2" t="str">
            <v>실     명</v>
          </cell>
        </row>
      </sheetData>
      <sheetData sheetId="3291">
        <row r="2">
          <cell r="A2" t="str">
            <v>실     명</v>
          </cell>
        </row>
      </sheetData>
      <sheetData sheetId="3292">
        <row r="2">
          <cell r="A2" t="str">
            <v>실     명</v>
          </cell>
        </row>
      </sheetData>
      <sheetData sheetId="3293">
        <row r="2">
          <cell r="A2" t="str">
            <v>실     명</v>
          </cell>
        </row>
      </sheetData>
      <sheetData sheetId="3294">
        <row r="2">
          <cell r="A2" t="str">
            <v>실     명</v>
          </cell>
        </row>
      </sheetData>
      <sheetData sheetId="3295">
        <row r="2">
          <cell r="A2" t="str">
            <v>실     명</v>
          </cell>
        </row>
      </sheetData>
      <sheetData sheetId="3296">
        <row r="2">
          <cell r="A2" t="str">
            <v>실     명</v>
          </cell>
        </row>
      </sheetData>
      <sheetData sheetId="3297">
        <row r="2">
          <cell r="A2" t="str">
            <v>실     명</v>
          </cell>
        </row>
      </sheetData>
      <sheetData sheetId="3298">
        <row r="2">
          <cell r="A2" t="str">
            <v>실     명</v>
          </cell>
        </row>
      </sheetData>
      <sheetData sheetId="3299">
        <row r="2">
          <cell r="A2" t="str">
            <v>실     명</v>
          </cell>
        </row>
      </sheetData>
      <sheetData sheetId="3300">
        <row r="2">
          <cell r="A2" t="str">
            <v>실     명</v>
          </cell>
        </row>
      </sheetData>
      <sheetData sheetId="3301">
        <row r="2">
          <cell r="A2" t="str">
            <v>실     명</v>
          </cell>
        </row>
      </sheetData>
      <sheetData sheetId="3302">
        <row r="2">
          <cell r="A2" t="str">
            <v>실     명</v>
          </cell>
        </row>
      </sheetData>
      <sheetData sheetId="3303">
        <row r="2">
          <cell r="A2" t="str">
            <v>실     명</v>
          </cell>
        </row>
      </sheetData>
      <sheetData sheetId="3304">
        <row r="2">
          <cell r="A2" t="str">
            <v>실     명</v>
          </cell>
        </row>
      </sheetData>
      <sheetData sheetId="3305">
        <row r="2">
          <cell r="A2" t="str">
            <v>실     명</v>
          </cell>
        </row>
      </sheetData>
      <sheetData sheetId="3306">
        <row r="2">
          <cell r="A2" t="str">
            <v>실     명</v>
          </cell>
        </row>
      </sheetData>
      <sheetData sheetId="3307">
        <row r="2">
          <cell r="A2" t="str">
            <v>실     명</v>
          </cell>
        </row>
      </sheetData>
      <sheetData sheetId="3308">
        <row r="2">
          <cell r="A2" t="str">
            <v>실     명</v>
          </cell>
        </row>
      </sheetData>
      <sheetData sheetId="3309">
        <row r="2">
          <cell r="A2" t="str">
            <v>실     명</v>
          </cell>
        </row>
      </sheetData>
      <sheetData sheetId="3310">
        <row r="2">
          <cell r="A2" t="str">
            <v>실     명</v>
          </cell>
        </row>
      </sheetData>
      <sheetData sheetId="3311">
        <row r="2">
          <cell r="A2" t="str">
            <v>실     명</v>
          </cell>
        </row>
      </sheetData>
      <sheetData sheetId="3312">
        <row r="2">
          <cell r="A2" t="str">
            <v>실     명</v>
          </cell>
        </row>
      </sheetData>
      <sheetData sheetId="3313">
        <row r="2">
          <cell r="A2" t="str">
            <v>실     명</v>
          </cell>
        </row>
      </sheetData>
      <sheetData sheetId="3314">
        <row r="2">
          <cell r="A2" t="str">
            <v>실     명</v>
          </cell>
        </row>
      </sheetData>
      <sheetData sheetId="3315">
        <row r="2">
          <cell r="A2" t="str">
            <v>실     명</v>
          </cell>
        </row>
      </sheetData>
      <sheetData sheetId="3316">
        <row r="2">
          <cell r="A2" t="str">
            <v>실     명</v>
          </cell>
        </row>
      </sheetData>
      <sheetData sheetId="3317">
        <row r="2">
          <cell r="A2" t="str">
            <v>실     명</v>
          </cell>
        </row>
      </sheetData>
      <sheetData sheetId="3318">
        <row r="2">
          <cell r="A2" t="str">
            <v>실     명</v>
          </cell>
        </row>
      </sheetData>
      <sheetData sheetId="3319">
        <row r="2">
          <cell r="A2" t="str">
            <v>실     명</v>
          </cell>
        </row>
      </sheetData>
      <sheetData sheetId="3320">
        <row r="2">
          <cell r="A2" t="str">
            <v>실     명</v>
          </cell>
        </row>
      </sheetData>
      <sheetData sheetId="3321">
        <row r="2">
          <cell r="A2" t="str">
            <v>실     명</v>
          </cell>
        </row>
      </sheetData>
      <sheetData sheetId="3322">
        <row r="2">
          <cell r="A2" t="str">
            <v>실     명</v>
          </cell>
        </row>
      </sheetData>
      <sheetData sheetId="3323">
        <row r="2">
          <cell r="A2" t="str">
            <v>실     명</v>
          </cell>
        </row>
      </sheetData>
      <sheetData sheetId="3324">
        <row r="2">
          <cell r="A2" t="str">
            <v>실     명</v>
          </cell>
        </row>
      </sheetData>
      <sheetData sheetId="3325">
        <row r="2">
          <cell r="A2" t="str">
            <v>실     명</v>
          </cell>
        </row>
      </sheetData>
      <sheetData sheetId="3326">
        <row r="2">
          <cell r="A2" t="str">
            <v>실     명</v>
          </cell>
        </row>
      </sheetData>
      <sheetData sheetId="3327">
        <row r="2">
          <cell r="A2" t="str">
            <v>실     명</v>
          </cell>
        </row>
      </sheetData>
      <sheetData sheetId="3328">
        <row r="2">
          <cell r="A2" t="str">
            <v>실     명</v>
          </cell>
        </row>
      </sheetData>
      <sheetData sheetId="3329">
        <row r="2">
          <cell r="A2" t="str">
            <v>실     명</v>
          </cell>
        </row>
      </sheetData>
      <sheetData sheetId="3330">
        <row r="2">
          <cell r="A2" t="str">
            <v>실     명</v>
          </cell>
        </row>
      </sheetData>
      <sheetData sheetId="3331">
        <row r="2">
          <cell r="A2" t="str">
            <v>실     명</v>
          </cell>
        </row>
      </sheetData>
      <sheetData sheetId="3332">
        <row r="2">
          <cell r="A2" t="str">
            <v>실     명</v>
          </cell>
        </row>
      </sheetData>
      <sheetData sheetId="3333">
        <row r="2">
          <cell r="A2" t="str">
            <v>실     명</v>
          </cell>
        </row>
      </sheetData>
      <sheetData sheetId="3334">
        <row r="2">
          <cell r="A2" t="str">
            <v>실     명</v>
          </cell>
        </row>
      </sheetData>
      <sheetData sheetId="3335">
        <row r="2">
          <cell r="A2" t="str">
            <v>실     명</v>
          </cell>
        </row>
      </sheetData>
      <sheetData sheetId="3336">
        <row r="2">
          <cell r="A2" t="str">
            <v>실     명</v>
          </cell>
        </row>
      </sheetData>
      <sheetData sheetId="3337">
        <row r="2">
          <cell r="A2" t="str">
            <v>실     명</v>
          </cell>
        </row>
      </sheetData>
      <sheetData sheetId="3338">
        <row r="2">
          <cell r="A2" t="str">
            <v>실     명</v>
          </cell>
        </row>
      </sheetData>
      <sheetData sheetId="3339">
        <row r="2">
          <cell r="A2" t="str">
            <v>실     명</v>
          </cell>
        </row>
      </sheetData>
      <sheetData sheetId="3340">
        <row r="2">
          <cell r="A2" t="str">
            <v>실     명</v>
          </cell>
        </row>
      </sheetData>
      <sheetData sheetId="3341">
        <row r="2">
          <cell r="A2" t="str">
            <v>실     명</v>
          </cell>
        </row>
      </sheetData>
      <sheetData sheetId="3342">
        <row r="2">
          <cell r="A2" t="str">
            <v>실     명</v>
          </cell>
        </row>
      </sheetData>
      <sheetData sheetId="3343">
        <row r="2">
          <cell r="A2" t="str">
            <v>실     명</v>
          </cell>
        </row>
      </sheetData>
      <sheetData sheetId="3344">
        <row r="2">
          <cell r="A2" t="str">
            <v>실     명</v>
          </cell>
        </row>
      </sheetData>
      <sheetData sheetId="3345">
        <row r="2">
          <cell r="A2" t="str">
            <v>실     명</v>
          </cell>
        </row>
      </sheetData>
      <sheetData sheetId="3346">
        <row r="2">
          <cell r="A2" t="str">
            <v>실     명</v>
          </cell>
        </row>
      </sheetData>
      <sheetData sheetId="3347">
        <row r="2">
          <cell r="A2" t="str">
            <v>실     명</v>
          </cell>
        </row>
      </sheetData>
      <sheetData sheetId="3348">
        <row r="2">
          <cell r="A2" t="str">
            <v>실     명</v>
          </cell>
        </row>
      </sheetData>
      <sheetData sheetId="3349">
        <row r="2">
          <cell r="A2" t="str">
            <v>실     명</v>
          </cell>
        </row>
      </sheetData>
      <sheetData sheetId="3350">
        <row r="2">
          <cell r="A2" t="str">
            <v>실     명</v>
          </cell>
        </row>
      </sheetData>
      <sheetData sheetId="3351">
        <row r="2">
          <cell r="A2" t="str">
            <v>실     명</v>
          </cell>
        </row>
      </sheetData>
      <sheetData sheetId="3352">
        <row r="2">
          <cell r="A2" t="str">
            <v>실     명</v>
          </cell>
        </row>
      </sheetData>
      <sheetData sheetId="3353">
        <row r="2">
          <cell r="A2" t="str">
            <v>실     명</v>
          </cell>
        </row>
      </sheetData>
      <sheetData sheetId="3354">
        <row r="2">
          <cell r="A2" t="str">
            <v>실     명</v>
          </cell>
        </row>
      </sheetData>
      <sheetData sheetId="3355">
        <row r="2">
          <cell r="A2" t="str">
            <v>실     명</v>
          </cell>
        </row>
      </sheetData>
      <sheetData sheetId="3356">
        <row r="2">
          <cell r="A2" t="str">
            <v>실     명</v>
          </cell>
        </row>
      </sheetData>
      <sheetData sheetId="3357">
        <row r="2">
          <cell r="A2" t="str">
            <v>실     명</v>
          </cell>
        </row>
      </sheetData>
      <sheetData sheetId="3358">
        <row r="2">
          <cell r="A2" t="str">
            <v>실     명</v>
          </cell>
        </row>
      </sheetData>
      <sheetData sheetId="3359">
        <row r="2">
          <cell r="A2" t="str">
            <v>실     명</v>
          </cell>
        </row>
      </sheetData>
      <sheetData sheetId="3360">
        <row r="2">
          <cell r="A2" t="str">
            <v>실     명</v>
          </cell>
        </row>
      </sheetData>
      <sheetData sheetId="3361">
        <row r="2">
          <cell r="A2" t="str">
            <v>실     명</v>
          </cell>
        </row>
      </sheetData>
      <sheetData sheetId="3362">
        <row r="2">
          <cell r="A2" t="str">
            <v>실     명</v>
          </cell>
        </row>
      </sheetData>
      <sheetData sheetId="3363">
        <row r="2">
          <cell r="A2" t="str">
            <v>실     명</v>
          </cell>
        </row>
      </sheetData>
      <sheetData sheetId="3364">
        <row r="2">
          <cell r="A2" t="str">
            <v>실     명</v>
          </cell>
        </row>
      </sheetData>
      <sheetData sheetId="3365">
        <row r="2">
          <cell r="A2" t="str">
            <v>실     명</v>
          </cell>
        </row>
      </sheetData>
      <sheetData sheetId="3366">
        <row r="2">
          <cell r="A2" t="str">
            <v>실     명</v>
          </cell>
        </row>
      </sheetData>
      <sheetData sheetId="3367">
        <row r="2">
          <cell r="A2" t="str">
            <v>실     명</v>
          </cell>
        </row>
      </sheetData>
      <sheetData sheetId="3368">
        <row r="2">
          <cell r="A2" t="str">
            <v>실     명</v>
          </cell>
        </row>
      </sheetData>
      <sheetData sheetId="3369">
        <row r="2">
          <cell r="A2" t="str">
            <v>실     명</v>
          </cell>
        </row>
      </sheetData>
      <sheetData sheetId="3370">
        <row r="2">
          <cell r="A2" t="str">
            <v>실     명</v>
          </cell>
        </row>
      </sheetData>
      <sheetData sheetId="3371">
        <row r="2">
          <cell r="A2" t="str">
            <v>실     명</v>
          </cell>
        </row>
      </sheetData>
      <sheetData sheetId="3372">
        <row r="2">
          <cell r="A2" t="str">
            <v>실     명</v>
          </cell>
        </row>
      </sheetData>
      <sheetData sheetId="3373">
        <row r="2">
          <cell r="A2" t="str">
            <v>실     명</v>
          </cell>
        </row>
      </sheetData>
      <sheetData sheetId="3374">
        <row r="2">
          <cell r="A2" t="str">
            <v>실     명</v>
          </cell>
        </row>
      </sheetData>
      <sheetData sheetId="3375">
        <row r="2">
          <cell r="A2" t="str">
            <v>실     명</v>
          </cell>
        </row>
      </sheetData>
      <sheetData sheetId="3376">
        <row r="2">
          <cell r="A2" t="str">
            <v>실     명</v>
          </cell>
        </row>
      </sheetData>
      <sheetData sheetId="3377">
        <row r="2">
          <cell r="A2" t="str">
            <v>실     명</v>
          </cell>
        </row>
      </sheetData>
      <sheetData sheetId="3378">
        <row r="2">
          <cell r="A2" t="str">
            <v>실     명</v>
          </cell>
        </row>
      </sheetData>
      <sheetData sheetId="3379">
        <row r="2">
          <cell r="A2" t="str">
            <v>실     명</v>
          </cell>
        </row>
      </sheetData>
      <sheetData sheetId="3380">
        <row r="2">
          <cell r="A2" t="str">
            <v>실     명</v>
          </cell>
        </row>
      </sheetData>
      <sheetData sheetId="3381">
        <row r="2">
          <cell r="A2" t="str">
            <v>실     명</v>
          </cell>
        </row>
      </sheetData>
      <sheetData sheetId="3382">
        <row r="2">
          <cell r="A2" t="str">
            <v>실     명</v>
          </cell>
        </row>
      </sheetData>
      <sheetData sheetId="3383">
        <row r="2">
          <cell r="A2" t="str">
            <v>실     명</v>
          </cell>
        </row>
      </sheetData>
      <sheetData sheetId="3384">
        <row r="2">
          <cell r="A2" t="str">
            <v>실     명</v>
          </cell>
        </row>
      </sheetData>
      <sheetData sheetId="3385">
        <row r="2">
          <cell r="A2" t="str">
            <v>실     명</v>
          </cell>
        </row>
      </sheetData>
      <sheetData sheetId="3386">
        <row r="2">
          <cell r="A2" t="str">
            <v>실     명</v>
          </cell>
        </row>
      </sheetData>
      <sheetData sheetId="3387">
        <row r="2">
          <cell r="A2" t="str">
            <v>실     명</v>
          </cell>
        </row>
      </sheetData>
      <sheetData sheetId="3388">
        <row r="2">
          <cell r="A2" t="str">
            <v>실     명</v>
          </cell>
        </row>
      </sheetData>
      <sheetData sheetId="3389">
        <row r="2">
          <cell r="A2" t="str">
            <v>실     명</v>
          </cell>
        </row>
      </sheetData>
      <sheetData sheetId="3390">
        <row r="2">
          <cell r="A2" t="str">
            <v>실     명</v>
          </cell>
        </row>
      </sheetData>
      <sheetData sheetId="3391">
        <row r="2">
          <cell r="A2" t="str">
            <v>실     명</v>
          </cell>
        </row>
      </sheetData>
      <sheetData sheetId="3392">
        <row r="2">
          <cell r="A2" t="str">
            <v>실     명</v>
          </cell>
        </row>
      </sheetData>
      <sheetData sheetId="3393">
        <row r="2">
          <cell r="A2" t="str">
            <v>실     명</v>
          </cell>
        </row>
      </sheetData>
      <sheetData sheetId="3394">
        <row r="2">
          <cell r="A2" t="str">
            <v>실     명</v>
          </cell>
        </row>
      </sheetData>
      <sheetData sheetId="3395">
        <row r="2">
          <cell r="A2" t="str">
            <v>실     명</v>
          </cell>
        </row>
      </sheetData>
      <sheetData sheetId="3396">
        <row r="2">
          <cell r="A2" t="str">
            <v>실     명</v>
          </cell>
        </row>
      </sheetData>
      <sheetData sheetId="3397">
        <row r="2">
          <cell r="A2" t="str">
            <v>실     명</v>
          </cell>
        </row>
      </sheetData>
      <sheetData sheetId="3398">
        <row r="2">
          <cell r="A2" t="str">
            <v>실     명</v>
          </cell>
        </row>
      </sheetData>
      <sheetData sheetId="3399">
        <row r="2">
          <cell r="A2" t="str">
            <v>실     명</v>
          </cell>
        </row>
      </sheetData>
      <sheetData sheetId="3400">
        <row r="2">
          <cell r="A2" t="str">
            <v>실     명</v>
          </cell>
        </row>
      </sheetData>
      <sheetData sheetId="3401">
        <row r="2">
          <cell r="A2" t="str">
            <v>실     명</v>
          </cell>
        </row>
      </sheetData>
      <sheetData sheetId="3402">
        <row r="2">
          <cell r="A2" t="str">
            <v>실     명</v>
          </cell>
        </row>
      </sheetData>
      <sheetData sheetId="3403">
        <row r="2">
          <cell r="A2" t="str">
            <v>실     명</v>
          </cell>
        </row>
      </sheetData>
      <sheetData sheetId="3404">
        <row r="2">
          <cell r="A2" t="str">
            <v>실     명</v>
          </cell>
        </row>
      </sheetData>
      <sheetData sheetId="3405">
        <row r="2">
          <cell r="A2" t="str">
            <v>실     명</v>
          </cell>
        </row>
      </sheetData>
      <sheetData sheetId="3406">
        <row r="2">
          <cell r="A2" t="str">
            <v>실     명</v>
          </cell>
        </row>
      </sheetData>
      <sheetData sheetId="3407">
        <row r="2">
          <cell r="A2" t="str">
            <v>실     명</v>
          </cell>
        </row>
      </sheetData>
      <sheetData sheetId="3408">
        <row r="2">
          <cell r="A2" t="str">
            <v>실     명</v>
          </cell>
        </row>
      </sheetData>
      <sheetData sheetId="3409">
        <row r="2">
          <cell r="A2" t="str">
            <v>실     명</v>
          </cell>
        </row>
      </sheetData>
      <sheetData sheetId="3410">
        <row r="2">
          <cell r="A2" t="str">
            <v>실     명</v>
          </cell>
        </row>
      </sheetData>
      <sheetData sheetId="3411">
        <row r="2">
          <cell r="A2" t="str">
            <v>실     명</v>
          </cell>
        </row>
      </sheetData>
      <sheetData sheetId="3412">
        <row r="2">
          <cell r="A2" t="str">
            <v>실     명</v>
          </cell>
        </row>
      </sheetData>
      <sheetData sheetId="3413">
        <row r="2">
          <cell r="A2" t="str">
            <v>실     명</v>
          </cell>
        </row>
      </sheetData>
      <sheetData sheetId="3414">
        <row r="2">
          <cell r="A2" t="str">
            <v>실     명</v>
          </cell>
        </row>
      </sheetData>
      <sheetData sheetId="3415">
        <row r="2">
          <cell r="A2" t="str">
            <v>실     명</v>
          </cell>
        </row>
      </sheetData>
      <sheetData sheetId="3416">
        <row r="2">
          <cell r="A2" t="str">
            <v>실     명</v>
          </cell>
        </row>
      </sheetData>
      <sheetData sheetId="3417">
        <row r="2">
          <cell r="A2" t="str">
            <v>실     명</v>
          </cell>
        </row>
      </sheetData>
      <sheetData sheetId="3418">
        <row r="2">
          <cell r="A2" t="str">
            <v>실     명</v>
          </cell>
        </row>
      </sheetData>
      <sheetData sheetId="3419">
        <row r="2">
          <cell r="A2" t="str">
            <v>실     명</v>
          </cell>
        </row>
      </sheetData>
      <sheetData sheetId="3420">
        <row r="2">
          <cell r="A2" t="str">
            <v>실     명</v>
          </cell>
        </row>
      </sheetData>
      <sheetData sheetId="3421">
        <row r="2">
          <cell r="A2" t="str">
            <v>실     명</v>
          </cell>
        </row>
      </sheetData>
      <sheetData sheetId="3422">
        <row r="2">
          <cell r="A2" t="str">
            <v>실     명</v>
          </cell>
        </row>
      </sheetData>
      <sheetData sheetId="3423">
        <row r="2">
          <cell r="A2" t="str">
            <v>실     명</v>
          </cell>
        </row>
      </sheetData>
      <sheetData sheetId="3424">
        <row r="2">
          <cell r="A2" t="str">
            <v>실     명</v>
          </cell>
        </row>
      </sheetData>
      <sheetData sheetId="3425">
        <row r="2">
          <cell r="A2" t="str">
            <v>실     명</v>
          </cell>
        </row>
      </sheetData>
      <sheetData sheetId="3426">
        <row r="2">
          <cell r="A2" t="str">
            <v>실     명</v>
          </cell>
        </row>
      </sheetData>
      <sheetData sheetId="3427">
        <row r="2">
          <cell r="A2" t="str">
            <v>실     명</v>
          </cell>
        </row>
      </sheetData>
      <sheetData sheetId="3428">
        <row r="2">
          <cell r="A2" t="str">
            <v>실     명</v>
          </cell>
        </row>
      </sheetData>
      <sheetData sheetId="3429">
        <row r="2">
          <cell r="A2" t="str">
            <v>실     명</v>
          </cell>
        </row>
      </sheetData>
      <sheetData sheetId="3430">
        <row r="2">
          <cell r="A2" t="str">
            <v>실     명</v>
          </cell>
        </row>
      </sheetData>
      <sheetData sheetId="3431">
        <row r="2">
          <cell r="A2" t="str">
            <v>실     명</v>
          </cell>
        </row>
      </sheetData>
      <sheetData sheetId="3432">
        <row r="2">
          <cell r="A2" t="str">
            <v>실     명</v>
          </cell>
        </row>
      </sheetData>
      <sheetData sheetId="3433">
        <row r="2">
          <cell r="A2" t="str">
            <v>실     명</v>
          </cell>
        </row>
      </sheetData>
      <sheetData sheetId="3434">
        <row r="2">
          <cell r="A2" t="str">
            <v>실     명</v>
          </cell>
        </row>
      </sheetData>
      <sheetData sheetId="3435">
        <row r="2">
          <cell r="A2" t="str">
            <v>실     명</v>
          </cell>
        </row>
      </sheetData>
      <sheetData sheetId="3436">
        <row r="2">
          <cell r="A2" t="str">
            <v>실     명</v>
          </cell>
        </row>
      </sheetData>
      <sheetData sheetId="3437">
        <row r="2">
          <cell r="A2" t="str">
            <v>실     명</v>
          </cell>
        </row>
      </sheetData>
      <sheetData sheetId="3438">
        <row r="2">
          <cell r="A2" t="str">
            <v>실     명</v>
          </cell>
        </row>
      </sheetData>
      <sheetData sheetId="3439">
        <row r="2">
          <cell r="A2" t="str">
            <v>실     명</v>
          </cell>
        </row>
      </sheetData>
      <sheetData sheetId="3440">
        <row r="2">
          <cell r="A2" t="str">
            <v>실     명</v>
          </cell>
        </row>
      </sheetData>
      <sheetData sheetId="3441">
        <row r="2">
          <cell r="A2" t="str">
            <v>실     명</v>
          </cell>
        </row>
      </sheetData>
      <sheetData sheetId="3442">
        <row r="2">
          <cell r="A2" t="str">
            <v>실     명</v>
          </cell>
        </row>
      </sheetData>
      <sheetData sheetId="3443">
        <row r="2">
          <cell r="A2" t="str">
            <v>실     명</v>
          </cell>
        </row>
      </sheetData>
      <sheetData sheetId="3444">
        <row r="2">
          <cell r="A2" t="str">
            <v>실     명</v>
          </cell>
        </row>
      </sheetData>
      <sheetData sheetId="3445">
        <row r="2">
          <cell r="A2" t="str">
            <v>실     명</v>
          </cell>
        </row>
      </sheetData>
      <sheetData sheetId="3446">
        <row r="2">
          <cell r="A2" t="str">
            <v>실     명</v>
          </cell>
        </row>
      </sheetData>
      <sheetData sheetId="3447">
        <row r="2">
          <cell r="A2" t="str">
            <v>실     명</v>
          </cell>
        </row>
      </sheetData>
      <sheetData sheetId="3448">
        <row r="2">
          <cell r="A2" t="str">
            <v>실     명</v>
          </cell>
        </row>
      </sheetData>
      <sheetData sheetId="3449">
        <row r="2">
          <cell r="A2" t="str">
            <v>실     명</v>
          </cell>
        </row>
      </sheetData>
      <sheetData sheetId="3450">
        <row r="2">
          <cell r="A2" t="str">
            <v>실     명</v>
          </cell>
        </row>
      </sheetData>
      <sheetData sheetId="3451">
        <row r="2">
          <cell r="A2" t="str">
            <v>실     명</v>
          </cell>
        </row>
      </sheetData>
      <sheetData sheetId="3452">
        <row r="2">
          <cell r="A2" t="str">
            <v>실     명</v>
          </cell>
        </row>
      </sheetData>
      <sheetData sheetId="3453">
        <row r="2">
          <cell r="A2" t="str">
            <v>실     명</v>
          </cell>
        </row>
      </sheetData>
      <sheetData sheetId="3454">
        <row r="2">
          <cell r="A2" t="str">
            <v>실     명</v>
          </cell>
        </row>
      </sheetData>
      <sheetData sheetId="3455">
        <row r="2">
          <cell r="A2" t="str">
            <v>실     명</v>
          </cell>
        </row>
      </sheetData>
      <sheetData sheetId="3456">
        <row r="2">
          <cell r="A2" t="str">
            <v>실     명</v>
          </cell>
        </row>
      </sheetData>
      <sheetData sheetId="3457">
        <row r="2">
          <cell r="A2" t="str">
            <v>실     명</v>
          </cell>
        </row>
      </sheetData>
      <sheetData sheetId="3458">
        <row r="2">
          <cell r="A2" t="str">
            <v>실     명</v>
          </cell>
        </row>
      </sheetData>
      <sheetData sheetId="3459">
        <row r="2">
          <cell r="A2" t="str">
            <v>실     명</v>
          </cell>
        </row>
      </sheetData>
      <sheetData sheetId="3460">
        <row r="2">
          <cell r="A2" t="str">
            <v>실     명</v>
          </cell>
        </row>
      </sheetData>
      <sheetData sheetId="3461">
        <row r="2">
          <cell r="A2" t="str">
            <v>실     명</v>
          </cell>
        </row>
      </sheetData>
      <sheetData sheetId="3462">
        <row r="2">
          <cell r="A2" t="str">
            <v>실     명</v>
          </cell>
        </row>
      </sheetData>
      <sheetData sheetId="3463">
        <row r="2">
          <cell r="A2" t="str">
            <v>실     명</v>
          </cell>
        </row>
      </sheetData>
      <sheetData sheetId="3464">
        <row r="2">
          <cell r="A2" t="str">
            <v>실     명</v>
          </cell>
        </row>
      </sheetData>
      <sheetData sheetId="3465">
        <row r="2">
          <cell r="A2" t="str">
            <v>실     명</v>
          </cell>
        </row>
      </sheetData>
      <sheetData sheetId="3466">
        <row r="2">
          <cell r="A2" t="str">
            <v>실     명</v>
          </cell>
        </row>
      </sheetData>
      <sheetData sheetId="3467">
        <row r="2">
          <cell r="A2" t="str">
            <v>실     명</v>
          </cell>
        </row>
      </sheetData>
      <sheetData sheetId="3468">
        <row r="2">
          <cell r="A2" t="str">
            <v>실     명</v>
          </cell>
        </row>
      </sheetData>
      <sheetData sheetId="3469">
        <row r="2">
          <cell r="A2" t="str">
            <v>실     명</v>
          </cell>
        </row>
      </sheetData>
      <sheetData sheetId="3470">
        <row r="2">
          <cell r="A2" t="str">
            <v>실     명</v>
          </cell>
        </row>
      </sheetData>
      <sheetData sheetId="3471">
        <row r="2">
          <cell r="A2" t="str">
            <v>실     명</v>
          </cell>
        </row>
      </sheetData>
      <sheetData sheetId="3472">
        <row r="2">
          <cell r="A2" t="str">
            <v>실     명</v>
          </cell>
        </row>
      </sheetData>
      <sheetData sheetId="3473">
        <row r="2">
          <cell r="A2" t="str">
            <v>실     명</v>
          </cell>
        </row>
      </sheetData>
      <sheetData sheetId="3474">
        <row r="2">
          <cell r="A2" t="str">
            <v>실     명</v>
          </cell>
        </row>
      </sheetData>
      <sheetData sheetId="3475">
        <row r="2">
          <cell r="A2" t="str">
            <v>실     명</v>
          </cell>
        </row>
      </sheetData>
      <sheetData sheetId="3476">
        <row r="2">
          <cell r="A2" t="str">
            <v>실     명</v>
          </cell>
        </row>
      </sheetData>
      <sheetData sheetId="3477">
        <row r="2">
          <cell r="A2" t="str">
            <v>실     명</v>
          </cell>
        </row>
      </sheetData>
      <sheetData sheetId="3478">
        <row r="2">
          <cell r="A2" t="str">
            <v>실     명</v>
          </cell>
        </row>
      </sheetData>
      <sheetData sheetId="3479">
        <row r="2">
          <cell r="A2" t="str">
            <v>실     명</v>
          </cell>
        </row>
      </sheetData>
      <sheetData sheetId="3480">
        <row r="2">
          <cell r="A2" t="str">
            <v>실     명</v>
          </cell>
        </row>
      </sheetData>
      <sheetData sheetId="3481">
        <row r="2">
          <cell r="A2" t="str">
            <v>실     명</v>
          </cell>
        </row>
      </sheetData>
      <sheetData sheetId="3482">
        <row r="2">
          <cell r="A2" t="str">
            <v>실     명</v>
          </cell>
        </row>
      </sheetData>
      <sheetData sheetId="3483">
        <row r="2">
          <cell r="A2" t="str">
            <v>실     명</v>
          </cell>
        </row>
      </sheetData>
      <sheetData sheetId="3484">
        <row r="2">
          <cell r="A2" t="str">
            <v>실     명</v>
          </cell>
        </row>
      </sheetData>
      <sheetData sheetId="3485">
        <row r="2">
          <cell r="A2" t="str">
            <v>실     명</v>
          </cell>
        </row>
      </sheetData>
      <sheetData sheetId="3486">
        <row r="2">
          <cell r="A2" t="str">
            <v>실     명</v>
          </cell>
        </row>
      </sheetData>
      <sheetData sheetId="3487">
        <row r="2">
          <cell r="A2" t="str">
            <v>실     명</v>
          </cell>
        </row>
      </sheetData>
      <sheetData sheetId="3488">
        <row r="2">
          <cell r="A2" t="str">
            <v>실     명</v>
          </cell>
        </row>
      </sheetData>
      <sheetData sheetId="3489">
        <row r="2">
          <cell r="A2" t="str">
            <v>실     명</v>
          </cell>
        </row>
      </sheetData>
      <sheetData sheetId="3490">
        <row r="2">
          <cell r="A2" t="str">
            <v>실     명</v>
          </cell>
        </row>
      </sheetData>
      <sheetData sheetId="3491">
        <row r="2">
          <cell r="A2" t="str">
            <v>실     명</v>
          </cell>
        </row>
      </sheetData>
      <sheetData sheetId="3492">
        <row r="2">
          <cell r="A2" t="str">
            <v>실     명</v>
          </cell>
        </row>
      </sheetData>
      <sheetData sheetId="3493">
        <row r="2">
          <cell r="A2" t="str">
            <v>실     명</v>
          </cell>
        </row>
      </sheetData>
      <sheetData sheetId="3494">
        <row r="2">
          <cell r="A2" t="str">
            <v>실     명</v>
          </cell>
        </row>
      </sheetData>
      <sheetData sheetId="3495">
        <row r="2">
          <cell r="A2" t="str">
            <v>실     명</v>
          </cell>
        </row>
      </sheetData>
      <sheetData sheetId="3496">
        <row r="2">
          <cell r="A2" t="str">
            <v>실     명</v>
          </cell>
        </row>
      </sheetData>
      <sheetData sheetId="3497">
        <row r="2">
          <cell r="A2" t="str">
            <v>실     명</v>
          </cell>
        </row>
      </sheetData>
      <sheetData sheetId="3498">
        <row r="2">
          <cell r="A2" t="str">
            <v>실     명</v>
          </cell>
        </row>
      </sheetData>
      <sheetData sheetId="3499">
        <row r="2">
          <cell r="A2" t="str">
            <v>실     명</v>
          </cell>
        </row>
      </sheetData>
      <sheetData sheetId="3500">
        <row r="2">
          <cell r="A2" t="str">
            <v>실     명</v>
          </cell>
        </row>
      </sheetData>
      <sheetData sheetId="3501">
        <row r="2">
          <cell r="A2" t="str">
            <v>실     명</v>
          </cell>
        </row>
      </sheetData>
      <sheetData sheetId="3502">
        <row r="2">
          <cell r="A2" t="str">
            <v>실     명</v>
          </cell>
        </row>
      </sheetData>
      <sheetData sheetId="3503">
        <row r="2">
          <cell r="A2" t="str">
            <v>실     명</v>
          </cell>
        </row>
      </sheetData>
      <sheetData sheetId="3504">
        <row r="2">
          <cell r="A2" t="str">
            <v>실     명</v>
          </cell>
        </row>
      </sheetData>
      <sheetData sheetId="3505">
        <row r="2">
          <cell r="A2" t="str">
            <v>실     명</v>
          </cell>
        </row>
      </sheetData>
      <sheetData sheetId="3506">
        <row r="2">
          <cell r="A2" t="str">
            <v>실     명</v>
          </cell>
        </row>
      </sheetData>
      <sheetData sheetId="3507">
        <row r="2">
          <cell r="A2" t="str">
            <v>실     명</v>
          </cell>
        </row>
      </sheetData>
      <sheetData sheetId="3508">
        <row r="2">
          <cell r="A2" t="str">
            <v>실     명</v>
          </cell>
        </row>
      </sheetData>
      <sheetData sheetId="3509">
        <row r="2">
          <cell r="A2" t="str">
            <v>실     명</v>
          </cell>
        </row>
      </sheetData>
      <sheetData sheetId="3510">
        <row r="2">
          <cell r="A2" t="str">
            <v>실     명</v>
          </cell>
        </row>
      </sheetData>
      <sheetData sheetId="3511">
        <row r="2">
          <cell r="A2" t="str">
            <v>실     명</v>
          </cell>
        </row>
      </sheetData>
      <sheetData sheetId="3512">
        <row r="2">
          <cell r="A2" t="str">
            <v>실     명</v>
          </cell>
        </row>
      </sheetData>
      <sheetData sheetId="3513">
        <row r="2">
          <cell r="A2" t="str">
            <v>실     명</v>
          </cell>
        </row>
      </sheetData>
      <sheetData sheetId="3514">
        <row r="2">
          <cell r="A2" t="str">
            <v>실     명</v>
          </cell>
        </row>
      </sheetData>
      <sheetData sheetId="3515">
        <row r="2">
          <cell r="A2" t="str">
            <v>실     명</v>
          </cell>
        </row>
      </sheetData>
      <sheetData sheetId="3516">
        <row r="2">
          <cell r="A2" t="str">
            <v>실     명</v>
          </cell>
        </row>
      </sheetData>
      <sheetData sheetId="3517">
        <row r="2">
          <cell r="A2" t="str">
            <v>실     명</v>
          </cell>
        </row>
      </sheetData>
      <sheetData sheetId="3518">
        <row r="2">
          <cell r="A2" t="str">
            <v>실     명</v>
          </cell>
        </row>
      </sheetData>
      <sheetData sheetId="3519">
        <row r="2">
          <cell r="A2" t="str">
            <v>실     명</v>
          </cell>
        </row>
      </sheetData>
      <sheetData sheetId="3520">
        <row r="2">
          <cell r="A2" t="str">
            <v>실     명</v>
          </cell>
        </row>
      </sheetData>
      <sheetData sheetId="3521">
        <row r="2">
          <cell r="A2" t="str">
            <v>실     명</v>
          </cell>
        </row>
      </sheetData>
      <sheetData sheetId="3522">
        <row r="2">
          <cell r="A2" t="str">
            <v>실     명</v>
          </cell>
        </row>
      </sheetData>
      <sheetData sheetId="3523">
        <row r="2">
          <cell r="A2" t="str">
            <v>실     명</v>
          </cell>
        </row>
      </sheetData>
      <sheetData sheetId="3524">
        <row r="2">
          <cell r="A2" t="str">
            <v>실     명</v>
          </cell>
        </row>
      </sheetData>
      <sheetData sheetId="3525">
        <row r="2">
          <cell r="A2" t="str">
            <v>실     명</v>
          </cell>
        </row>
      </sheetData>
      <sheetData sheetId="3526">
        <row r="2">
          <cell r="A2" t="str">
            <v>실     명</v>
          </cell>
        </row>
      </sheetData>
      <sheetData sheetId="3527">
        <row r="2">
          <cell r="A2" t="str">
            <v>실     명</v>
          </cell>
        </row>
      </sheetData>
      <sheetData sheetId="3528">
        <row r="2">
          <cell r="A2" t="str">
            <v>실     명</v>
          </cell>
        </row>
      </sheetData>
      <sheetData sheetId="3529">
        <row r="2">
          <cell r="A2" t="str">
            <v>실     명</v>
          </cell>
        </row>
      </sheetData>
      <sheetData sheetId="3530">
        <row r="2">
          <cell r="A2" t="str">
            <v>실     명</v>
          </cell>
        </row>
      </sheetData>
      <sheetData sheetId="3531">
        <row r="2">
          <cell r="A2" t="str">
            <v>실     명</v>
          </cell>
        </row>
      </sheetData>
      <sheetData sheetId="3532">
        <row r="2">
          <cell r="A2" t="str">
            <v>실     명</v>
          </cell>
        </row>
      </sheetData>
      <sheetData sheetId="3533">
        <row r="2">
          <cell r="A2" t="str">
            <v>실     명</v>
          </cell>
        </row>
      </sheetData>
      <sheetData sheetId="3534">
        <row r="2">
          <cell r="A2" t="str">
            <v>실     명</v>
          </cell>
        </row>
      </sheetData>
      <sheetData sheetId="3535">
        <row r="2">
          <cell r="A2" t="str">
            <v>실     명</v>
          </cell>
        </row>
      </sheetData>
      <sheetData sheetId="3536">
        <row r="2">
          <cell r="A2" t="str">
            <v>실     명</v>
          </cell>
        </row>
      </sheetData>
      <sheetData sheetId="3537">
        <row r="2">
          <cell r="A2" t="str">
            <v>실     명</v>
          </cell>
        </row>
      </sheetData>
      <sheetData sheetId="3538">
        <row r="2">
          <cell r="A2" t="str">
            <v>실     명</v>
          </cell>
        </row>
      </sheetData>
      <sheetData sheetId="3539">
        <row r="2">
          <cell r="A2" t="str">
            <v>실     명</v>
          </cell>
        </row>
      </sheetData>
      <sheetData sheetId="3540">
        <row r="2">
          <cell r="A2" t="str">
            <v>실     명</v>
          </cell>
        </row>
      </sheetData>
      <sheetData sheetId="3541">
        <row r="2">
          <cell r="A2" t="str">
            <v>실     명</v>
          </cell>
        </row>
      </sheetData>
      <sheetData sheetId="3542">
        <row r="2">
          <cell r="A2" t="str">
            <v>실     명</v>
          </cell>
        </row>
      </sheetData>
      <sheetData sheetId="3543">
        <row r="2">
          <cell r="A2" t="str">
            <v>실     명</v>
          </cell>
        </row>
      </sheetData>
      <sheetData sheetId="3544">
        <row r="2">
          <cell r="A2" t="str">
            <v>실     명</v>
          </cell>
        </row>
      </sheetData>
      <sheetData sheetId="3545">
        <row r="2">
          <cell r="A2" t="str">
            <v>실     명</v>
          </cell>
        </row>
      </sheetData>
      <sheetData sheetId="3546">
        <row r="2">
          <cell r="A2" t="str">
            <v>실     명</v>
          </cell>
        </row>
      </sheetData>
      <sheetData sheetId="3547">
        <row r="2">
          <cell r="A2" t="str">
            <v>실     명</v>
          </cell>
        </row>
      </sheetData>
      <sheetData sheetId="3548">
        <row r="2">
          <cell r="A2" t="str">
            <v>실     명</v>
          </cell>
        </row>
      </sheetData>
      <sheetData sheetId="3549">
        <row r="2">
          <cell r="A2" t="str">
            <v>실     명</v>
          </cell>
        </row>
      </sheetData>
      <sheetData sheetId="3550">
        <row r="2">
          <cell r="A2" t="str">
            <v>실     명</v>
          </cell>
        </row>
      </sheetData>
      <sheetData sheetId="3551">
        <row r="2">
          <cell r="A2" t="str">
            <v>실     명</v>
          </cell>
        </row>
      </sheetData>
      <sheetData sheetId="3552">
        <row r="2">
          <cell r="A2" t="str">
            <v>실     명</v>
          </cell>
        </row>
      </sheetData>
      <sheetData sheetId="3553">
        <row r="2">
          <cell r="A2" t="str">
            <v>실     명</v>
          </cell>
        </row>
      </sheetData>
      <sheetData sheetId="3554">
        <row r="2">
          <cell r="A2" t="str">
            <v>실     명</v>
          </cell>
        </row>
      </sheetData>
      <sheetData sheetId="3555">
        <row r="2">
          <cell r="A2" t="str">
            <v>실     명</v>
          </cell>
        </row>
      </sheetData>
      <sheetData sheetId="3556">
        <row r="2">
          <cell r="A2" t="str">
            <v>실     명</v>
          </cell>
        </row>
      </sheetData>
      <sheetData sheetId="3557">
        <row r="2">
          <cell r="A2" t="str">
            <v>실     명</v>
          </cell>
        </row>
      </sheetData>
      <sheetData sheetId="3558">
        <row r="2">
          <cell r="A2" t="str">
            <v>실     명</v>
          </cell>
        </row>
      </sheetData>
      <sheetData sheetId="3559">
        <row r="2">
          <cell r="A2" t="str">
            <v>실     명</v>
          </cell>
        </row>
      </sheetData>
      <sheetData sheetId="3560">
        <row r="2">
          <cell r="A2" t="str">
            <v>실     명</v>
          </cell>
        </row>
      </sheetData>
      <sheetData sheetId="3561">
        <row r="2">
          <cell r="A2" t="str">
            <v>실     명</v>
          </cell>
        </row>
      </sheetData>
      <sheetData sheetId="3562">
        <row r="2">
          <cell r="A2" t="str">
            <v>실     명</v>
          </cell>
        </row>
      </sheetData>
      <sheetData sheetId="3563">
        <row r="2">
          <cell r="A2" t="str">
            <v>실     명</v>
          </cell>
        </row>
      </sheetData>
      <sheetData sheetId="3564">
        <row r="2">
          <cell r="A2" t="str">
            <v>실     명</v>
          </cell>
        </row>
      </sheetData>
      <sheetData sheetId="3565">
        <row r="2">
          <cell r="A2" t="str">
            <v>실     명</v>
          </cell>
        </row>
      </sheetData>
      <sheetData sheetId="3566">
        <row r="2">
          <cell r="A2" t="str">
            <v>실     명</v>
          </cell>
        </row>
      </sheetData>
      <sheetData sheetId="3567">
        <row r="2">
          <cell r="A2" t="str">
            <v>실     명</v>
          </cell>
        </row>
      </sheetData>
      <sheetData sheetId="3568">
        <row r="2">
          <cell r="A2" t="str">
            <v>실     명</v>
          </cell>
        </row>
      </sheetData>
      <sheetData sheetId="3569">
        <row r="2">
          <cell r="A2" t="str">
            <v>실     명</v>
          </cell>
        </row>
      </sheetData>
      <sheetData sheetId="3570">
        <row r="2">
          <cell r="A2" t="str">
            <v>실     명</v>
          </cell>
        </row>
      </sheetData>
      <sheetData sheetId="3571">
        <row r="2">
          <cell r="A2" t="str">
            <v>실     명</v>
          </cell>
        </row>
      </sheetData>
      <sheetData sheetId="3572">
        <row r="2">
          <cell r="A2" t="str">
            <v>실     명</v>
          </cell>
        </row>
      </sheetData>
      <sheetData sheetId="3573">
        <row r="2">
          <cell r="A2" t="str">
            <v>실     명</v>
          </cell>
        </row>
      </sheetData>
      <sheetData sheetId="3574">
        <row r="2">
          <cell r="A2" t="str">
            <v>실     명</v>
          </cell>
        </row>
      </sheetData>
      <sheetData sheetId="3575">
        <row r="2">
          <cell r="A2" t="str">
            <v>실     명</v>
          </cell>
        </row>
      </sheetData>
      <sheetData sheetId="3576">
        <row r="2">
          <cell r="A2" t="str">
            <v>실     명</v>
          </cell>
        </row>
      </sheetData>
      <sheetData sheetId="3577">
        <row r="2">
          <cell r="A2" t="str">
            <v>실     명</v>
          </cell>
        </row>
      </sheetData>
      <sheetData sheetId="3578">
        <row r="2">
          <cell r="A2" t="str">
            <v>실     명</v>
          </cell>
        </row>
      </sheetData>
      <sheetData sheetId="3579">
        <row r="2">
          <cell r="A2" t="str">
            <v>실     명</v>
          </cell>
        </row>
      </sheetData>
      <sheetData sheetId="3580">
        <row r="2">
          <cell r="A2" t="str">
            <v>실     명</v>
          </cell>
        </row>
      </sheetData>
      <sheetData sheetId="3581">
        <row r="2">
          <cell r="A2" t="str">
            <v>실     명</v>
          </cell>
        </row>
      </sheetData>
      <sheetData sheetId="3582">
        <row r="2">
          <cell r="A2" t="str">
            <v>실     명</v>
          </cell>
        </row>
      </sheetData>
      <sheetData sheetId="3583">
        <row r="2">
          <cell r="A2" t="str">
            <v>실     명</v>
          </cell>
        </row>
      </sheetData>
      <sheetData sheetId="3584">
        <row r="2">
          <cell r="A2" t="str">
            <v>실     명</v>
          </cell>
        </row>
      </sheetData>
      <sheetData sheetId="3585">
        <row r="2">
          <cell r="A2" t="str">
            <v>실     명</v>
          </cell>
        </row>
      </sheetData>
      <sheetData sheetId="3586">
        <row r="2">
          <cell r="A2" t="str">
            <v>실     명</v>
          </cell>
        </row>
      </sheetData>
      <sheetData sheetId="3587">
        <row r="2">
          <cell r="A2" t="str">
            <v>실     명</v>
          </cell>
        </row>
      </sheetData>
      <sheetData sheetId="3588">
        <row r="2">
          <cell r="A2" t="str">
            <v>실     명</v>
          </cell>
        </row>
      </sheetData>
      <sheetData sheetId="3589">
        <row r="2">
          <cell r="A2" t="str">
            <v>실     명</v>
          </cell>
        </row>
      </sheetData>
      <sheetData sheetId="3590">
        <row r="2">
          <cell r="A2" t="str">
            <v>실     명</v>
          </cell>
        </row>
      </sheetData>
      <sheetData sheetId="3591">
        <row r="2">
          <cell r="A2" t="str">
            <v>실     명</v>
          </cell>
        </row>
      </sheetData>
      <sheetData sheetId="3592">
        <row r="2">
          <cell r="A2" t="str">
            <v>실     명</v>
          </cell>
        </row>
      </sheetData>
      <sheetData sheetId="3593">
        <row r="2">
          <cell r="A2" t="str">
            <v>실     명</v>
          </cell>
        </row>
      </sheetData>
      <sheetData sheetId="3594">
        <row r="2">
          <cell r="A2" t="str">
            <v>실     명</v>
          </cell>
        </row>
      </sheetData>
      <sheetData sheetId="3595">
        <row r="2">
          <cell r="A2" t="str">
            <v>실     명</v>
          </cell>
        </row>
      </sheetData>
      <sheetData sheetId="3596">
        <row r="2">
          <cell r="A2" t="str">
            <v>실     명</v>
          </cell>
        </row>
      </sheetData>
      <sheetData sheetId="3597">
        <row r="2">
          <cell r="A2" t="str">
            <v>실     명</v>
          </cell>
        </row>
      </sheetData>
      <sheetData sheetId="3598">
        <row r="2">
          <cell r="A2" t="str">
            <v>실     명</v>
          </cell>
        </row>
      </sheetData>
      <sheetData sheetId="3599">
        <row r="2">
          <cell r="A2" t="str">
            <v>실     명</v>
          </cell>
        </row>
      </sheetData>
      <sheetData sheetId="3600">
        <row r="2">
          <cell r="A2" t="str">
            <v>실     명</v>
          </cell>
        </row>
      </sheetData>
      <sheetData sheetId="3601">
        <row r="2">
          <cell r="A2" t="str">
            <v>실     명</v>
          </cell>
        </row>
      </sheetData>
      <sheetData sheetId="3602">
        <row r="2">
          <cell r="A2" t="str">
            <v>실     명</v>
          </cell>
        </row>
      </sheetData>
      <sheetData sheetId="3603">
        <row r="2">
          <cell r="A2" t="str">
            <v>실     명</v>
          </cell>
        </row>
      </sheetData>
      <sheetData sheetId="3604">
        <row r="2">
          <cell r="A2" t="str">
            <v>실     명</v>
          </cell>
        </row>
      </sheetData>
      <sheetData sheetId="3605">
        <row r="2">
          <cell r="A2" t="str">
            <v>실     명</v>
          </cell>
        </row>
      </sheetData>
      <sheetData sheetId="3606">
        <row r="2">
          <cell r="A2" t="str">
            <v>실     명</v>
          </cell>
        </row>
      </sheetData>
      <sheetData sheetId="3607">
        <row r="2">
          <cell r="A2" t="str">
            <v>실     명</v>
          </cell>
        </row>
      </sheetData>
      <sheetData sheetId="3608">
        <row r="2">
          <cell r="A2" t="str">
            <v>실     명</v>
          </cell>
        </row>
      </sheetData>
      <sheetData sheetId="3609">
        <row r="2">
          <cell r="A2" t="str">
            <v>실     명</v>
          </cell>
        </row>
      </sheetData>
      <sheetData sheetId="3610">
        <row r="2">
          <cell r="A2" t="str">
            <v>실     명</v>
          </cell>
        </row>
      </sheetData>
      <sheetData sheetId="3611">
        <row r="2">
          <cell r="A2" t="str">
            <v>실     명</v>
          </cell>
        </row>
      </sheetData>
      <sheetData sheetId="3612">
        <row r="2">
          <cell r="A2" t="str">
            <v>실     명</v>
          </cell>
        </row>
      </sheetData>
      <sheetData sheetId="3613">
        <row r="2">
          <cell r="A2" t="str">
            <v>실     명</v>
          </cell>
        </row>
      </sheetData>
      <sheetData sheetId="3614">
        <row r="2">
          <cell r="A2" t="str">
            <v>실     명</v>
          </cell>
        </row>
      </sheetData>
      <sheetData sheetId="3615">
        <row r="2">
          <cell r="A2" t="str">
            <v>실     명</v>
          </cell>
        </row>
      </sheetData>
      <sheetData sheetId="3616">
        <row r="2">
          <cell r="A2" t="str">
            <v>실     명</v>
          </cell>
        </row>
      </sheetData>
      <sheetData sheetId="3617">
        <row r="2">
          <cell r="A2" t="str">
            <v>실     명</v>
          </cell>
        </row>
      </sheetData>
      <sheetData sheetId="3618">
        <row r="2">
          <cell r="A2" t="str">
            <v>실     명</v>
          </cell>
        </row>
      </sheetData>
      <sheetData sheetId="3619">
        <row r="2">
          <cell r="A2" t="str">
            <v>실     명</v>
          </cell>
        </row>
      </sheetData>
      <sheetData sheetId="3620">
        <row r="2">
          <cell r="A2" t="str">
            <v>실     명</v>
          </cell>
        </row>
      </sheetData>
      <sheetData sheetId="3621">
        <row r="2">
          <cell r="A2" t="str">
            <v>실     명</v>
          </cell>
        </row>
      </sheetData>
      <sheetData sheetId="3622">
        <row r="2">
          <cell r="A2" t="str">
            <v>실     명</v>
          </cell>
        </row>
      </sheetData>
      <sheetData sheetId="3623">
        <row r="2">
          <cell r="A2" t="str">
            <v>실     명</v>
          </cell>
        </row>
      </sheetData>
      <sheetData sheetId="3624">
        <row r="2">
          <cell r="A2" t="str">
            <v>실     명</v>
          </cell>
        </row>
      </sheetData>
      <sheetData sheetId="3625">
        <row r="2">
          <cell r="A2" t="str">
            <v>실     명</v>
          </cell>
        </row>
      </sheetData>
      <sheetData sheetId="3626">
        <row r="2">
          <cell r="A2" t="str">
            <v>실     명</v>
          </cell>
        </row>
      </sheetData>
      <sheetData sheetId="3627">
        <row r="2">
          <cell r="A2" t="str">
            <v>실     명</v>
          </cell>
        </row>
      </sheetData>
      <sheetData sheetId="3628">
        <row r="2">
          <cell r="A2" t="str">
            <v>실     명</v>
          </cell>
        </row>
      </sheetData>
      <sheetData sheetId="3629">
        <row r="2">
          <cell r="A2" t="str">
            <v>실     명</v>
          </cell>
        </row>
      </sheetData>
      <sheetData sheetId="3630">
        <row r="2">
          <cell r="A2" t="str">
            <v>실     명</v>
          </cell>
        </row>
      </sheetData>
      <sheetData sheetId="3631">
        <row r="2">
          <cell r="A2" t="str">
            <v>실     명</v>
          </cell>
        </row>
      </sheetData>
      <sheetData sheetId="3632">
        <row r="2">
          <cell r="A2" t="str">
            <v>실     명</v>
          </cell>
        </row>
      </sheetData>
      <sheetData sheetId="3633">
        <row r="2">
          <cell r="A2" t="str">
            <v>실     명</v>
          </cell>
        </row>
      </sheetData>
      <sheetData sheetId="3634">
        <row r="2">
          <cell r="A2" t="str">
            <v>실     명</v>
          </cell>
        </row>
      </sheetData>
      <sheetData sheetId="3635">
        <row r="2">
          <cell r="A2" t="str">
            <v>실     명</v>
          </cell>
        </row>
      </sheetData>
      <sheetData sheetId="3636">
        <row r="2">
          <cell r="A2" t="str">
            <v>실     명</v>
          </cell>
        </row>
      </sheetData>
      <sheetData sheetId="3637">
        <row r="2">
          <cell r="A2" t="str">
            <v>실     명</v>
          </cell>
        </row>
      </sheetData>
      <sheetData sheetId="3638">
        <row r="2">
          <cell r="A2" t="str">
            <v>실     명</v>
          </cell>
        </row>
      </sheetData>
      <sheetData sheetId="3639">
        <row r="2">
          <cell r="A2" t="str">
            <v>실     명</v>
          </cell>
        </row>
      </sheetData>
      <sheetData sheetId="3640">
        <row r="2">
          <cell r="A2" t="str">
            <v>실     명</v>
          </cell>
        </row>
      </sheetData>
      <sheetData sheetId="3641">
        <row r="2">
          <cell r="A2" t="str">
            <v>실     명</v>
          </cell>
        </row>
      </sheetData>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ow r="2">
          <cell r="A2" t="str">
            <v>실     명</v>
          </cell>
        </row>
      </sheetData>
      <sheetData sheetId="3669" refreshError="1"/>
      <sheetData sheetId="3670" refreshError="1"/>
      <sheetData sheetId="3671" refreshError="1"/>
      <sheetData sheetId="3672" refreshError="1"/>
      <sheetData sheetId="3673" refreshError="1"/>
      <sheetData sheetId="3674" refreshError="1"/>
      <sheetData sheetId="3675">
        <row r="2">
          <cell r="A2" t="str">
            <v>실     명</v>
          </cell>
        </row>
      </sheetData>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ow r="2">
          <cell r="A2" t="str">
            <v>실     명</v>
          </cell>
        </row>
      </sheetData>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ow r="2">
          <cell r="A2" t="str">
            <v>실     명</v>
          </cell>
        </row>
      </sheetData>
      <sheetData sheetId="3751">
        <row r="2">
          <cell r="A2" t="str">
            <v>실     명</v>
          </cell>
        </row>
      </sheetData>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ow r="2">
          <cell r="A2" t="str">
            <v>실     명</v>
          </cell>
        </row>
      </sheetData>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ow r="2">
          <cell r="A2" t="str">
            <v>실     명</v>
          </cell>
        </row>
      </sheetData>
      <sheetData sheetId="3795">
        <row r="2">
          <cell r="A2" t="str">
            <v>실     명</v>
          </cell>
        </row>
      </sheetData>
      <sheetData sheetId="3796">
        <row r="2">
          <cell r="A2" t="str">
            <v>실     명</v>
          </cell>
        </row>
      </sheetData>
      <sheetData sheetId="3797">
        <row r="2">
          <cell r="A2" t="str">
            <v>실     명</v>
          </cell>
        </row>
      </sheetData>
      <sheetData sheetId="3798">
        <row r="2">
          <cell r="A2" t="str">
            <v>실     명</v>
          </cell>
        </row>
      </sheetData>
      <sheetData sheetId="3799" refreshError="1"/>
      <sheetData sheetId="3800">
        <row r="2">
          <cell r="A2" t="str">
            <v>실     명</v>
          </cell>
        </row>
      </sheetData>
      <sheetData sheetId="3801">
        <row r="2">
          <cell r="A2" t="str">
            <v>실     명</v>
          </cell>
        </row>
      </sheetData>
      <sheetData sheetId="3802">
        <row r="2">
          <cell r="A2" t="str">
            <v>실     명</v>
          </cell>
        </row>
      </sheetData>
      <sheetData sheetId="3803">
        <row r="2">
          <cell r="A2" t="str">
            <v>실     명</v>
          </cell>
        </row>
      </sheetData>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ow r="2">
          <cell r="A2" t="str">
            <v>실     명</v>
          </cell>
        </row>
      </sheetData>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ow r="2">
          <cell r="A2" t="str">
            <v>실     명</v>
          </cell>
        </row>
      </sheetData>
      <sheetData sheetId="3867">
        <row r="2">
          <cell r="A2" t="str">
            <v>실     명</v>
          </cell>
        </row>
      </sheetData>
      <sheetData sheetId="3868">
        <row r="2">
          <cell r="A2" t="str">
            <v>실     명</v>
          </cell>
        </row>
      </sheetData>
      <sheetData sheetId="3869">
        <row r="2">
          <cell r="A2" t="str">
            <v>실     명</v>
          </cell>
        </row>
      </sheetData>
      <sheetData sheetId="3870">
        <row r="2">
          <cell r="A2" t="str">
            <v>실     명</v>
          </cell>
        </row>
      </sheetData>
      <sheetData sheetId="3871">
        <row r="2">
          <cell r="A2" t="str">
            <v>실     명</v>
          </cell>
        </row>
      </sheetData>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ow r="2">
          <cell r="A2" t="str">
            <v>실     명</v>
          </cell>
        </row>
      </sheetData>
      <sheetData sheetId="3891">
        <row r="2">
          <cell r="A2" t="str">
            <v>실     명</v>
          </cell>
        </row>
      </sheetData>
      <sheetData sheetId="3892">
        <row r="2">
          <cell r="A2" t="str">
            <v>실     명</v>
          </cell>
        </row>
      </sheetData>
      <sheetData sheetId="3893">
        <row r="2">
          <cell r="A2" t="str">
            <v>실     명</v>
          </cell>
        </row>
      </sheetData>
      <sheetData sheetId="3894">
        <row r="2">
          <cell r="A2" t="str">
            <v>실     명</v>
          </cell>
        </row>
      </sheetData>
      <sheetData sheetId="3895">
        <row r="2">
          <cell r="A2" t="str">
            <v>실     명</v>
          </cell>
        </row>
      </sheetData>
      <sheetData sheetId="3896">
        <row r="2">
          <cell r="A2" t="str">
            <v>실     명</v>
          </cell>
        </row>
      </sheetData>
      <sheetData sheetId="3897">
        <row r="2">
          <cell r="A2" t="str">
            <v>실     명</v>
          </cell>
        </row>
      </sheetData>
      <sheetData sheetId="3898">
        <row r="2">
          <cell r="A2" t="str">
            <v>실     명</v>
          </cell>
        </row>
      </sheetData>
      <sheetData sheetId="3899">
        <row r="2">
          <cell r="A2" t="str">
            <v>실     명</v>
          </cell>
        </row>
      </sheetData>
      <sheetData sheetId="3900">
        <row r="2">
          <cell r="A2" t="str">
            <v>실     명</v>
          </cell>
        </row>
      </sheetData>
      <sheetData sheetId="3901">
        <row r="2">
          <cell r="A2" t="str">
            <v>실     명</v>
          </cell>
        </row>
      </sheetData>
      <sheetData sheetId="3902">
        <row r="2">
          <cell r="A2" t="str">
            <v>실     명</v>
          </cell>
        </row>
      </sheetData>
      <sheetData sheetId="3903">
        <row r="2">
          <cell r="A2" t="str">
            <v>실     명</v>
          </cell>
        </row>
      </sheetData>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ow r="2">
          <cell r="A2" t="str">
            <v>실     명</v>
          </cell>
        </row>
      </sheetData>
      <sheetData sheetId="3959">
        <row r="2">
          <cell r="A2" t="str">
            <v>실     명</v>
          </cell>
        </row>
      </sheetData>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ow r="2">
          <cell r="A2" t="str">
            <v>실     명</v>
          </cell>
        </row>
      </sheetData>
      <sheetData sheetId="4141">
        <row r="2">
          <cell r="A2" t="str">
            <v>실     명</v>
          </cell>
        </row>
      </sheetData>
      <sheetData sheetId="4142">
        <row r="2">
          <cell r="A2" t="str">
            <v>실     명</v>
          </cell>
        </row>
      </sheetData>
      <sheetData sheetId="4143">
        <row r="2">
          <cell r="A2" t="str">
            <v>실     명</v>
          </cell>
        </row>
      </sheetData>
      <sheetData sheetId="4144">
        <row r="2">
          <cell r="A2" t="str">
            <v>실     명</v>
          </cell>
        </row>
      </sheetData>
      <sheetData sheetId="4145">
        <row r="2">
          <cell r="A2" t="str">
            <v>실     명</v>
          </cell>
        </row>
      </sheetData>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ow r="2">
          <cell r="A2" t="str">
            <v>실     명</v>
          </cell>
        </row>
      </sheetData>
      <sheetData sheetId="4232">
        <row r="2">
          <cell r="A2" t="str">
            <v>실     명</v>
          </cell>
        </row>
      </sheetData>
      <sheetData sheetId="4233">
        <row r="2">
          <cell r="A2" t="str">
            <v>실     명</v>
          </cell>
        </row>
      </sheetData>
      <sheetData sheetId="4234">
        <row r="2">
          <cell r="A2" t="str">
            <v>실     명</v>
          </cell>
        </row>
      </sheetData>
      <sheetData sheetId="4235"/>
      <sheetData sheetId="4236"/>
      <sheetData sheetId="4237"/>
      <sheetData sheetId="4238"/>
      <sheetData sheetId="4239"/>
      <sheetData sheetId="4240" refreshError="1"/>
      <sheetData sheetId="4241" refreshError="1"/>
      <sheetData sheetId="4242" refreshError="1"/>
      <sheetData sheetId="4243" refreshError="1"/>
      <sheetData sheetId="4244">
        <row r="2">
          <cell r="A2" t="str">
            <v>실     명</v>
          </cell>
        </row>
      </sheetData>
      <sheetData sheetId="4245">
        <row r="2">
          <cell r="A2" t="str">
            <v>실     명</v>
          </cell>
        </row>
      </sheetData>
      <sheetData sheetId="4246">
        <row r="2">
          <cell r="A2" t="str">
            <v>실     명</v>
          </cell>
        </row>
      </sheetData>
      <sheetData sheetId="4247" refreshError="1"/>
      <sheetData sheetId="4248" refreshError="1"/>
      <sheetData sheetId="4249" refreshError="1"/>
      <sheetData sheetId="4250">
        <row r="2">
          <cell r="A2" t="str">
            <v>실     명</v>
          </cell>
        </row>
      </sheetData>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sheetData sheetId="4263" refreshError="1"/>
      <sheetData sheetId="4264" refreshError="1"/>
      <sheetData sheetId="4265" refreshError="1"/>
      <sheetData sheetId="4266">
        <row r="2">
          <cell r="A2" t="str">
            <v>실     명</v>
          </cell>
        </row>
      </sheetData>
      <sheetData sheetId="4267">
        <row r="2">
          <cell r="A2" t="str">
            <v>실     명</v>
          </cell>
        </row>
      </sheetData>
      <sheetData sheetId="4268" refreshError="1"/>
      <sheetData sheetId="4269" refreshError="1"/>
      <sheetData sheetId="4270"/>
      <sheetData sheetId="4271">
        <row r="2">
          <cell r="A2" t="str">
            <v>실     명</v>
          </cell>
        </row>
      </sheetData>
      <sheetData sheetId="4272" refreshError="1"/>
      <sheetData sheetId="4273" refreshError="1"/>
      <sheetData sheetId="4274">
        <row r="2">
          <cell r="A2" t="str">
            <v>실     명</v>
          </cell>
        </row>
      </sheetData>
      <sheetData sheetId="4275" refreshError="1"/>
      <sheetData sheetId="4276" refreshError="1"/>
      <sheetData sheetId="4277" refreshError="1"/>
      <sheetData sheetId="4278">
        <row r="2">
          <cell r="A2" t="str">
            <v>실     명</v>
          </cell>
        </row>
      </sheetData>
      <sheetData sheetId="4279" refreshError="1"/>
      <sheetData sheetId="4280">
        <row r="2">
          <cell r="A2" t="str">
            <v>실     명</v>
          </cell>
        </row>
      </sheetData>
      <sheetData sheetId="4281">
        <row r="2">
          <cell r="A2" t="str">
            <v>실     명</v>
          </cell>
        </row>
      </sheetData>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ow r="2">
          <cell r="A2" t="str">
            <v>실     명</v>
          </cell>
        </row>
      </sheetData>
      <sheetData sheetId="4424">
        <row r="2">
          <cell r="A2" t="str">
            <v>실     명</v>
          </cell>
        </row>
      </sheetData>
      <sheetData sheetId="4425">
        <row r="2">
          <cell r="A2" t="str">
            <v>실     명</v>
          </cell>
        </row>
      </sheetData>
      <sheetData sheetId="4426">
        <row r="2">
          <cell r="A2" t="str">
            <v>실     명</v>
          </cell>
        </row>
      </sheetData>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ow r="2">
          <cell r="A2" t="str">
            <v>실     명</v>
          </cell>
        </row>
      </sheetData>
      <sheetData sheetId="4535">
        <row r="2">
          <cell r="A2" t="str">
            <v>실     명</v>
          </cell>
        </row>
      </sheetData>
      <sheetData sheetId="4536">
        <row r="2">
          <cell r="A2" t="str">
            <v>실     명</v>
          </cell>
        </row>
      </sheetData>
      <sheetData sheetId="4537">
        <row r="2">
          <cell r="A2" t="str">
            <v>실     명</v>
          </cell>
        </row>
      </sheetData>
      <sheetData sheetId="4538">
        <row r="2">
          <cell r="A2" t="str">
            <v>실     명</v>
          </cell>
        </row>
      </sheetData>
      <sheetData sheetId="4539">
        <row r="2">
          <cell r="A2" t="str">
            <v>실     명</v>
          </cell>
        </row>
      </sheetData>
      <sheetData sheetId="4540">
        <row r="2">
          <cell r="A2" t="str">
            <v>실     명</v>
          </cell>
        </row>
      </sheetData>
      <sheetData sheetId="4541">
        <row r="2">
          <cell r="A2" t="str">
            <v>실     명</v>
          </cell>
        </row>
      </sheetData>
      <sheetData sheetId="4542">
        <row r="2">
          <cell r="A2" t="str">
            <v>실     명</v>
          </cell>
        </row>
      </sheetData>
      <sheetData sheetId="4543">
        <row r="2">
          <cell r="A2" t="str">
            <v>실     명</v>
          </cell>
        </row>
      </sheetData>
      <sheetData sheetId="4544">
        <row r="2">
          <cell r="A2" t="str">
            <v>실     명</v>
          </cell>
        </row>
      </sheetData>
      <sheetData sheetId="4545">
        <row r="2">
          <cell r="A2" t="str">
            <v>실     명</v>
          </cell>
        </row>
      </sheetData>
      <sheetData sheetId="4546" refreshError="1"/>
      <sheetData sheetId="4547" refreshError="1"/>
      <sheetData sheetId="4548" refreshError="1"/>
      <sheetData sheetId="4549">
        <row r="2">
          <cell r="A2" t="str">
            <v>실     명</v>
          </cell>
        </row>
      </sheetData>
      <sheetData sheetId="4550">
        <row r="2">
          <cell r="A2" t="str">
            <v>실     명</v>
          </cell>
        </row>
      </sheetData>
      <sheetData sheetId="4551">
        <row r="2">
          <cell r="A2" t="str">
            <v>실     명</v>
          </cell>
        </row>
      </sheetData>
      <sheetData sheetId="4552">
        <row r="2">
          <cell r="A2" t="str">
            <v>실     명</v>
          </cell>
        </row>
      </sheetData>
      <sheetData sheetId="4553">
        <row r="2">
          <cell r="A2" t="str">
            <v>실     명</v>
          </cell>
        </row>
      </sheetData>
      <sheetData sheetId="4554">
        <row r="2">
          <cell r="A2" t="str">
            <v>실     명</v>
          </cell>
        </row>
      </sheetData>
      <sheetData sheetId="4555">
        <row r="2">
          <cell r="A2" t="str">
            <v>실     명</v>
          </cell>
        </row>
      </sheetData>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ow r="2">
          <cell r="A2" t="str">
            <v>실     명</v>
          </cell>
        </row>
      </sheetData>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ow r="2">
          <cell r="A2" t="str">
            <v>실     명</v>
          </cell>
        </row>
      </sheetData>
      <sheetData sheetId="4757">
        <row r="2">
          <cell r="A2" t="str">
            <v>실     명</v>
          </cell>
        </row>
      </sheetData>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ow r="2">
          <cell r="A2" t="str">
            <v>실     명</v>
          </cell>
        </row>
      </sheetData>
      <sheetData sheetId="4778">
        <row r="2">
          <cell r="A2" t="str">
            <v>실     명</v>
          </cell>
        </row>
      </sheetData>
      <sheetData sheetId="4779">
        <row r="2">
          <cell r="A2" t="str">
            <v>실     명</v>
          </cell>
        </row>
      </sheetData>
      <sheetData sheetId="4780">
        <row r="2">
          <cell r="A2" t="str">
            <v>실     명</v>
          </cell>
        </row>
      </sheetData>
      <sheetData sheetId="4781">
        <row r="2">
          <cell r="A2" t="str">
            <v>실     명</v>
          </cell>
        </row>
      </sheetData>
      <sheetData sheetId="4782">
        <row r="2">
          <cell r="A2" t="str">
            <v>실     명</v>
          </cell>
        </row>
      </sheetData>
      <sheetData sheetId="4783">
        <row r="2">
          <cell r="A2" t="str">
            <v>실     명</v>
          </cell>
        </row>
      </sheetData>
      <sheetData sheetId="4784">
        <row r="2">
          <cell r="A2" t="str">
            <v>실     명</v>
          </cell>
        </row>
      </sheetData>
      <sheetData sheetId="4785">
        <row r="2">
          <cell r="A2" t="str">
            <v>실     명</v>
          </cell>
        </row>
      </sheetData>
      <sheetData sheetId="4786">
        <row r="2">
          <cell r="A2" t="str">
            <v>실     명</v>
          </cell>
        </row>
      </sheetData>
      <sheetData sheetId="4787">
        <row r="2">
          <cell r="A2" t="str">
            <v>실     명</v>
          </cell>
        </row>
      </sheetData>
      <sheetData sheetId="4788">
        <row r="2">
          <cell r="A2" t="str">
            <v>실     명</v>
          </cell>
        </row>
      </sheetData>
      <sheetData sheetId="4789">
        <row r="2">
          <cell r="A2" t="str">
            <v>실     명</v>
          </cell>
        </row>
      </sheetData>
      <sheetData sheetId="4790">
        <row r="2">
          <cell r="A2" t="str">
            <v>실     명</v>
          </cell>
        </row>
      </sheetData>
      <sheetData sheetId="4791">
        <row r="2">
          <cell r="A2" t="str">
            <v>실     명</v>
          </cell>
        </row>
      </sheetData>
      <sheetData sheetId="4792">
        <row r="2">
          <cell r="A2" t="str">
            <v>실     명</v>
          </cell>
        </row>
      </sheetData>
      <sheetData sheetId="4793">
        <row r="2">
          <cell r="A2" t="str">
            <v>실     명</v>
          </cell>
        </row>
      </sheetData>
      <sheetData sheetId="4794">
        <row r="2">
          <cell r="A2" t="str">
            <v>실     명</v>
          </cell>
        </row>
      </sheetData>
      <sheetData sheetId="4795">
        <row r="2">
          <cell r="A2" t="str">
            <v>실     명</v>
          </cell>
        </row>
      </sheetData>
      <sheetData sheetId="4796">
        <row r="2">
          <cell r="A2" t="str">
            <v>실     명</v>
          </cell>
        </row>
      </sheetData>
      <sheetData sheetId="4797">
        <row r="2">
          <cell r="A2" t="str">
            <v>실     명</v>
          </cell>
        </row>
      </sheetData>
      <sheetData sheetId="4798">
        <row r="2">
          <cell r="A2" t="str">
            <v>실     명</v>
          </cell>
        </row>
      </sheetData>
      <sheetData sheetId="4799">
        <row r="2">
          <cell r="A2" t="str">
            <v>실     명</v>
          </cell>
        </row>
      </sheetData>
      <sheetData sheetId="4800">
        <row r="2">
          <cell r="A2" t="str">
            <v>실     명</v>
          </cell>
        </row>
      </sheetData>
      <sheetData sheetId="4801">
        <row r="2">
          <cell r="A2" t="str">
            <v>실     명</v>
          </cell>
        </row>
      </sheetData>
      <sheetData sheetId="4802">
        <row r="2">
          <cell r="A2" t="str">
            <v>실     명</v>
          </cell>
        </row>
      </sheetData>
      <sheetData sheetId="4803">
        <row r="2">
          <cell r="A2" t="str">
            <v>실     명</v>
          </cell>
        </row>
      </sheetData>
      <sheetData sheetId="4804">
        <row r="2">
          <cell r="A2" t="str">
            <v>실     명</v>
          </cell>
        </row>
      </sheetData>
      <sheetData sheetId="4805">
        <row r="2">
          <cell r="A2" t="str">
            <v>실     명</v>
          </cell>
        </row>
      </sheetData>
      <sheetData sheetId="4806">
        <row r="2">
          <cell r="A2" t="str">
            <v>실     명</v>
          </cell>
        </row>
      </sheetData>
      <sheetData sheetId="4807">
        <row r="2">
          <cell r="A2" t="str">
            <v>실     명</v>
          </cell>
        </row>
      </sheetData>
      <sheetData sheetId="4808">
        <row r="2">
          <cell r="A2" t="str">
            <v>실     명</v>
          </cell>
        </row>
      </sheetData>
      <sheetData sheetId="4809">
        <row r="2">
          <cell r="A2" t="str">
            <v>실     명</v>
          </cell>
        </row>
      </sheetData>
      <sheetData sheetId="4810">
        <row r="2">
          <cell r="A2" t="str">
            <v>실     명</v>
          </cell>
        </row>
      </sheetData>
      <sheetData sheetId="4811">
        <row r="2">
          <cell r="A2" t="str">
            <v>실     명</v>
          </cell>
        </row>
      </sheetData>
      <sheetData sheetId="4812">
        <row r="2">
          <cell r="A2" t="str">
            <v>실     명</v>
          </cell>
        </row>
      </sheetData>
      <sheetData sheetId="4813">
        <row r="2">
          <cell r="A2" t="str">
            <v>실     명</v>
          </cell>
        </row>
      </sheetData>
      <sheetData sheetId="4814">
        <row r="2">
          <cell r="A2" t="str">
            <v>실     명</v>
          </cell>
        </row>
      </sheetData>
      <sheetData sheetId="4815">
        <row r="2">
          <cell r="A2" t="str">
            <v>실     명</v>
          </cell>
        </row>
      </sheetData>
      <sheetData sheetId="4816">
        <row r="2">
          <cell r="A2" t="str">
            <v>실     명</v>
          </cell>
        </row>
      </sheetData>
      <sheetData sheetId="4817">
        <row r="2">
          <cell r="A2" t="str">
            <v>실     명</v>
          </cell>
        </row>
      </sheetData>
      <sheetData sheetId="4818">
        <row r="2">
          <cell r="A2" t="str">
            <v>실     명</v>
          </cell>
        </row>
      </sheetData>
      <sheetData sheetId="4819">
        <row r="2">
          <cell r="A2" t="str">
            <v>실     명</v>
          </cell>
        </row>
      </sheetData>
      <sheetData sheetId="4820">
        <row r="2">
          <cell r="A2" t="str">
            <v>실     명</v>
          </cell>
        </row>
      </sheetData>
      <sheetData sheetId="4821">
        <row r="2">
          <cell r="A2" t="str">
            <v>실     명</v>
          </cell>
        </row>
      </sheetData>
      <sheetData sheetId="4822">
        <row r="2">
          <cell r="A2" t="str">
            <v>실     명</v>
          </cell>
        </row>
      </sheetData>
      <sheetData sheetId="4823">
        <row r="2">
          <cell r="A2" t="str">
            <v>실     명</v>
          </cell>
        </row>
      </sheetData>
      <sheetData sheetId="4824">
        <row r="2">
          <cell r="A2" t="str">
            <v>실     명</v>
          </cell>
        </row>
      </sheetData>
      <sheetData sheetId="4825">
        <row r="2">
          <cell r="A2" t="str">
            <v>실     명</v>
          </cell>
        </row>
      </sheetData>
      <sheetData sheetId="4826">
        <row r="2">
          <cell r="A2" t="str">
            <v>실     명</v>
          </cell>
        </row>
      </sheetData>
      <sheetData sheetId="4827">
        <row r="2">
          <cell r="A2" t="str">
            <v>실     명</v>
          </cell>
        </row>
      </sheetData>
      <sheetData sheetId="4828">
        <row r="2">
          <cell r="A2" t="str">
            <v>실     명</v>
          </cell>
        </row>
      </sheetData>
      <sheetData sheetId="4829">
        <row r="2">
          <cell r="A2" t="str">
            <v>실     명</v>
          </cell>
        </row>
      </sheetData>
      <sheetData sheetId="4830">
        <row r="2">
          <cell r="A2" t="str">
            <v>실     명</v>
          </cell>
        </row>
      </sheetData>
      <sheetData sheetId="4831">
        <row r="2">
          <cell r="A2" t="str">
            <v>실     명</v>
          </cell>
        </row>
      </sheetData>
      <sheetData sheetId="4832">
        <row r="2">
          <cell r="A2" t="str">
            <v>실     명</v>
          </cell>
        </row>
      </sheetData>
      <sheetData sheetId="4833">
        <row r="2">
          <cell r="A2" t="str">
            <v>실     명</v>
          </cell>
        </row>
      </sheetData>
      <sheetData sheetId="4834">
        <row r="2">
          <cell r="A2" t="str">
            <v>실     명</v>
          </cell>
        </row>
      </sheetData>
      <sheetData sheetId="4835">
        <row r="2">
          <cell r="A2" t="str">
            <v>실     명</v>
          </cell>
        </row>
      </sheetData>
      <sheetData sheetId="4836">
        <row r="2">
          <cell r="A2" t="str">
            <v>실     명</v>
          </cell>
        </row>
      </sheetData>
      <sheetData sheetId="4837">
        <row r="2">
          <cell r="A2" t="str">
            <v>실     명</v>
          </cell>
        </row>
      </sheetData>
      <sheetData sheetId="4838">
        <row r="2">
          <cell r="A2" t="str">
            <v>실     명</v>
          </cell>
        </row>
      </sheetData>
      <sheetData sheetId="4839">
        <row r="2">
          <cell r="A2" t="str">
            <v>실     명</v>
          </cell>
        </row>
      </sheetData>
      <sheetData sheetId="4840">
        <row r="2">
          <cell r="A2" t="str">
            <v>실     명</v>
          </cell>
        </row>
      </sheetData>
      <sheetData sheetId="4841">
        <row r="2">
          <cell r="A2" t="str">
            <v>실     명</v>
          </cell>
        </row>
      </sheetData>
      <sheetData sheetId="4842">
        <row r="2">
          <cell r="A2" t="str">
            <v>실     명</v>
          </cell>
        </row>
      </sheetData>
      <sheetData sheetId="4843">
        <row r="2">
          <cell r="A2" t="str">
            <v>실     명</v>
          </cell>
        </row>
      </sheetData>
      <sheetData sheetId="4844">
        <row r="2">
          <cell r="A2" t="str">
            <v>실     명</v>
          </cell>
        </row>
      </sheetData>
      <sheetData sheetId="4845">
        <row r="2">
          <cell r="A2" t="str">
            <v>실     명</v>
          </cell>
        </row>
      </sheetData>
      <sheetData sheetId="4846">
        <row r="2">
          <cell r="A2" t="str">
            <v>실     명</v>
          </cell>
        </row>
      </sheetData>
      <sheetData sheetId="4847">
        <row r="2">
          <cell r="A2" t="str">
            <v>실     명</v>
          </cell>
        </row>
      </sheetData>
      <sheetData sheetId="4848">
        <row r="2">
          <cell r="A2" t="str">
            <v>실     명</v>
          </cell>
        </row>
      </sheetData>
      <sheetData sheetId="4849">
        <row r="2">
          <cell r="A2" t="str">
            <v>실     명</v>
          </cell>
        </row>
      </sheetData>
      <sheetData sheetId="4850">
        <row r="2">
          <cell r="A2" t="str">
            <v>실     명</v>
          </cell>
        </row>
      </sheetData>
      <sheetData sheetId="4851">
        <row r="2">
          <cell r="A2" t="str">
            <v>실     명</v>
          </cell>
        </row>
      </sheetData>
      <sheetData sheetId="4852">
        <row r="2">
          <cell r="A2" t="str">
            <v>실     명</v>
          </cell>
        </row>
      </sheetData>
      <sheetData sheetId="4853">
        <row r="2">
          <cell r="A2" t="str">
            <v>실     명</v>
          </cell>
        </row>
      </sheetData>
      <sheetData sheetId="4854">
        <row r="2">
          <cell r="A2" t="str">
            <v>실     명</v>
          </cell>
        </row>
      </sheetData>
      <sheetData sheetId="4855">
        <row r="2">
          <cell r="A2" t="str">
            <v>실     명</v>
          </cell>
        </row>
      </sheetData>
      <sheetData sheetId="4856">
        <row r="2">
          <cell r="A2" t="str">
            <v>실     명</v>
          </cell>
        </row>
      </sheetData>
      <sheetData sheetId="4857">
        <row r="2">
          <cell r="A2" t="str">
            <v>실     명</v>
          </cell>
        </row>
      </sheetData>
      <sheetData sheetId="4858">
        <row r="2">
          <cell r="A2" t="str">
            <v>실     명</v>
          </cell>
        </row>
      </sheetData>
      <sheetData sheetId="4859">
        <row r="2">
          <cell r="A2" t="str">
            <v>실     명</v>
          </cell>
        </row>
      </sheetData>
      <sheetData sheetId="4860">
        <row r="2">
          <cell r="A2" t="str">
            <v>실     명</v>
          </cell>
        </row>
      </sheetData>
      <sheetData sheetId="4861">
        <row r="2">
          <cell r="A2" t="str">
            <v>실     명</v>
          </cell>
        </row>
      </sheetData>
      <sheetData sheetId="4862">
        <row r="2">
          <cell r="A2" t="str">
            <v>실     명</v>
          </cell>
        </row>
      </sheetData>
      <sheetData sheetId="4863">
        <row r="2">
          <cell r="A2" t="str">
            <v>실     명</v>
          </cell>
        </row>
      </sheetData>
      <sheetData sheetId="4864">
        <row r="2">
          <cell r="A2" t="str">
            <v>실     명</v>
          </cell>
        </row>
      </sheetData>
      <sheetData sheetId="4865">
        <row r="2">
          <cell r="A2" t="str">
            <v>실     명</v>
          </cell>
        </row>
      </sheetData>
      <sheetData sheetId="4866">
        <row r="2">
          <cell r="A2" t="str">
            <v>실     명</v>
          </cell>
        </row>
      </sheetData>
      <sheetData sheetId="4867">
        <row r="2">
          <cell r="A2" t="str">
            <v>실     명</v>
          </cell>
        </row>
      </sheetData>
      <sheetData sheetId="4868">
        <row r="2">
          <cell r="A2" t="str">
            <v>실     명</v>
          </cell>
        </row>
      </sheetData>
      <sheetData sheetId="4869">
        <row r="2">
          <cell r="A2" t="str">
            <v>실     명</v>
          </cell>
        </row>
      </sheetData>
      <sheetData sheetId="4870">
        <row r="2">
          <cell r="A2" t="str">
            <v>실     명</v>
          </cell>
        </row>
      </sheetData>
      <sheetData sheetId="4871">
        <row r="2">
          <cell r="A2" t="str">
            <v>실     명</v>
          </cell>
        </row>
      </sheetData>
      <sheetData sheetId="4872">
        <row r="2">
          <cell r="A2" t="str">
            <v>실     명</v>
          </cell>
        </row>
      </sheetData>
      <sheetData sheetId="4873">
        <row r="2">
          <cell r="A2" t="str">
            <v>실     명</v>
          </cell>
        </row>
      </sheetData>
      <sheetData sheetId="4874">
        <row r="2">
          <cell r="A2" t="str">
            <v>실     명</v>
          </cell>
        </row>
      </sheetData>
      <sheetData sheetId="4875">
        <row r="2">
          <cell r="A2" t="str">
            <v>실     명</v>
          </cell>
        </row>
      </sheetData>
      <sheetData sheetId="4876">
        <row r="2">
          <cell r="A2" t="str">
            <v>실     명</v>
          </cell>
        </row>
      </sheetData>
      <sheetData sheetId="4877">
        <row r="2">
          <cell r="A2" t="str">
            <v>실     명</v>
          </cell>
        </row>
      </sheetData>
      <sheetData sheetId="4878">
        <row r="2">
          <cell r="A2" t="str">
            <v>실     명</v>
          </cell>
        </row>
      </sheetData>
      <sheetData sheetId="4879">
        <row r="2">
          <cell r="A2" t="str">
            <v>실     명</v>
          </cell>
        </row>
      </sheetData>
      <sheetData sheetId="4880">
        <row r="2">
          <cell r="A2" t="str">
            <v>실     명</v>
          </cell>
        </row>
      </sheetData>
      <sheetData sheetId="4881">
        <row r="2">
          <cell r="A2" t="str">
            <v>실     명</v>
          </cell>
        </row>
      </sheetData>
      <sheetData sheetId="4882">
        <row r="2">
          <cell r="A2" t="str">
            <v>실     명</v>
          </cell>
        </row>
      </sheetData>
      <sheetData sheetId="4883">
        <row r="2">
          <cell r="A2" t="str">
            <v>실     명</v>
          </cell>
        </row>
      </sheetData>
      <sheetData sheetId="4884">
        <row r="2">
          <cell r="A2" t="str">
            <v>실     명</v>
          </cell>
        </row>
      </sheetData>
      <sheetData sheetId="4885">
        <row r="2">
          <cell r="A2" t="str">
            <v>실     명</v>
          </cell>
        </row>
      </sheetData>
      <sheetData sheetId="4886">
        <row r="2">
          <cell r="A2" t="str">
            <v>실     명</v>
          </cell>
        </row>
      </sheetData>
      <sheetData sheetId="4887">
        <row r="2">
          <cell r="A2" t="str">
            <v>실     명</v>
          </cell>
        </row>
      </sheetData>
      <sheetData sheetId="4888">
        <row r="2">
          <cell r="A2" t="str">
            <v>실     명</v>
          </cell>
        </row>
      </sheetData>
      <sheetData sheetId="4889">
        <row r="2">
          <cell r="A2" t="str">
            <v>실     명</v>
          </cell>
        </row>
      </sheetData>
      <sheetData sheetId="4890">
        <row r="2">
          <cell r="A2" t="str">
            <v>실     명</v>
          </cell>
        </row>
      </sheetData>
      <sheetData sheetId="4891">
        <row r="2">
          <cell r="A2" t="str">
            <v>실     명</v>
          </cell>
        </row>
      </sheetData>
      <sheetData sheetId="4892">
        <row r="2">
          <cell r="A2" t="str">
            <v>실     명</v>
          </cell>
        </row>
      </sheetData>
      <sheetData sheetId="4893">
        <row r="2">
          <cell r="A2" t="str">
            <v>실     명</v>
          </cell>
        </row>
      </sheetData>
      <sheetData sheetId="4894">
        <row r="2">
          <cell r="A2" t="str">
            <v>실     명</v>
          </cell>
        </row>
      </sheetData>
      <sheetData sheetId="4895">
        <row r="2">
          <cell r="A2" t="str">
            <v>실     명</v>
          </cell>
        </row>
      </sheetData>
      <sheetData sheetId="4896">
        <row r="2">
          <cell r="A2" t="str">
            <v>실     명</v>
          </cell>
        </row>
      </sheetData>
      <sheetData sheetId="4897">
        <row r="2">
          <cell r="A2" t="str">
            <v>실     명</v>
          </cell>
        </row>
      </sheetData>
      <sheetData sheetId="4898">
        <row r="2">
          <cell r="A2" t="str">
            <v>실     명</v>
          </cell>
        </row>
      </sheetData>
      <sheetData sheetId="4899">
        <row r="2">
          <cell r="A2" t="str">
            <v>실     명</v>
          </cell>
        </row>
      </sheetData>
      <sheetData sheetId="4900">
        <row r="2">
          <cell r="A2" t="str">
            <v>실     명</v>
          </cell>
        </row>
      </sheetData>
      <sheetData sheetId="4901">
        <row r="2">
          <cell r="A2" t="str">
            <v>실     명</v>
          </cell>
        </row>
      </sheetData>
      <sheetData sheetId="4902">
        <row r="2">
          <cell r="A2" t="str">
            <v>실     명</v>
          </cell>
        </row>
      </sheetData>
      <sheetData sheetId="4903">
        <row r="2">
          <cell r="A2" t="str">
            <v>실     명</v>
          </cell>
        </row>
      </sheetData>
      <sheetData sheetId="4904">
        <row r="2">
          <cell r="A2" t="str">
            <v>실     명</v>
          </cell>
        </row>
      </sheetData>
      <sheetData sheetId="4905">
        <row r="2">
          <cell r="A2" t="str">
            <v>실     명</v>
          </cell>
        </row>
      </sheetData>
      <sheetData sheetId="4906">
        <row r="2">
          <cell r="A2" t="str">
            <v>실     명</v>
          </cell>
        </row>
      </sheetData>
      <sheetData sheetId="4907">
        <row r="2">
          <cell r="A2" t="str">
            <v>실     명</v>
          </cell>
        </row>
      </sheetData>
      <sheetData sheetId="4908">
        <row r="2">
          <cell r="A2" t="str">
            <v>실     명</v>
          </cell>
        </row>
      </sheetData>
      <sheetData sheetId="4909">
        <row r="2">
          <cell r="A2" t="str">
            <v>실     명</v>
          </cell>
        </row>
      </sheetData>
      <sheetData sheetId="4910">
        <row r="2">
          <cell r="A2" t="str">
            <v>실     명</v>
          </cell>
        </row>
      </sheetData>
      <sheetData sheetId="4911">
        <row r="2">
          <cell r="A2" t="str">
            <v>실     명</v>
          </cell>
        </row>
      </sheetData>
      <sheetData sheetId="4912">
        <row r="2">
          <cell r="A2" t="str">
            <v>실     명</v>
          </cell>
        </row>
      </sheetData>
      <sheetData sheetId="4913">
        <row r="2">
          <cell r="A2" t="str">
            <v>실     명</v>
          </cell>
        </row>
      </sheetData>
      <sheetData sheetId="4914">
        <row r="2">
          <cell r="A2" t="str">
            <v>실     명</v>
          </cell>
        </row>
      </sheetData>
      <sheetData sheetId="4915">
        <row r="2">
          <cell r="A2" t="str">
            <v>실     명</v>
          </cell>
        </row>
      </sheetData>
      <sheetData sheetId="4916">
        <row r="2">
          <cell r="A2" t="str">
            <v>실     명</v>
          </cell>
        </row>
      </sheetData>
      <sheetData sheetId="4917">
        <row r="2">
          <cell r="A2" t="str">
            <v>실     명</v>
          </cell>
        </row>
      </sheetData>
      <sheetData sheetId="4918">
        <row r="2">
          <cell r="A2" t="str">
            <v>실     명</v>
          </cell>
        </row>
      </sheetData>
      <sheetData sheetId="4919">
        <row r="2">
          <cell r="A2" t="str">
            <v>실     명</v>
          </cell>
        </row>
      </sheetData>
      <sheetData sheetId="4920">
        <row r="2">
          <cell r="A2" t="str">
            <v>실     명</v>
          </cell>
        </row>
      </sheetData>
      <sheetData sheetId="4921">
        <row r="2">
          <cell r="A2" t="str">
            <v>실     명</v>
          </cell>
        </row>
      </sheetData>
      <sheetData sheetId="4922">
        <row r="2">
          <cell r="A2" t="str">
            <v>실     명</v>
          </cell>
        </row>
      </sheetData>
      <sheetData sheetId="4923">
        <row r="2">
          <cell r="A2" t="str">
            <v>실     명</v>
          </cell>
        </row>
      </sheetData>
      <sheetData sheetId="4924">
        <row r="2">
          <cell r="A2" t="str">
            <v>실     명</v>
          </cell>
        </row>
      </sheetData>
      <sheetData sheetId="4925">
        <row r="2">
          <cell r="A2" t="str">
            <v>실     명</v>
          </cell>
        </row>
      </sheetData>
      <sheetData sheetId="4926">
        <row r="2">
          <cell r="A2" t="str">
            <v>실     명</v>
          </cell>
        </row>
      </sheetData>
      <sheetData sheetId="4927">
        <row r="2">
          <cell r="A2" t="str">
            <v>실     명</v>
          </cell>
        </row>
      </sheetData>
      <sheetData sheetId="4928">
        <row r="2">
          <cell r="A2" t="str">
            <v>실     명</v>
          </cell>
        </row>
      </sheetData>
      <sheetData sheetId="4929">
        <row r="2">
          <cell r="A2" t="str">
            <v>실     명</v>
          </cell>
        </row>
      </sheetData>
      <sheetData sheetId="4930">
        <row r="2">
          <cell r="A2" t="str">
            <v>실     명</v>
          </cell>
        </row>
      </sheetData>
      <sheetData sheetId="4931">
        <row r="2">
          <cell r="A2" t="str">
            <v>실     명</v>
          </cell>
        </row>
      </sheetData>
      <sheetData sheetId="4932">
        <row r="2">
          <cell r="A2" t="str">
            <v>실     명</v>
          </cell>
        </row>
      </sheetData>
      <sheetData sheetId="4933">
        <row r="2">
          <cell r="A2" t="str">
            <v>실     명</v>
          </cell>
        </row>
      </sheetData>
      <sheetData sheetId="4934">
        <row r="2">
          <cell r="A2" t="str">
            <v>실     명</v>
          </cell>
        </row>
      </sheetData>
      <sheetData sheetId="4935">
        <row r="2">
          <cell r="A2" t="str">
            <v>실     명</v>
          </cell>
        </row>
      </sheetData>
      <sheetData sheetId="4936">
        <row r="2">
          <cell r="A2" t="str">
            <v>실     명</v>
          </cell>
        </row>
      </sheetData>
      <sheetData sheetId="4937">
        <row r="2">
          <cell r="A2" t="str">
            <v>실     명</v>
          </cell>
        </row>
      </sheetData>
      <sheetData sheetId="4938">
        <row r="2">
          <cell r="A2" t="str">
            <v>실     명</v>
          </cell>
        </row>
      </sheetData>
      <sheetData sheetId="4939">
        <row r="2">
          <cell r="A2" t="str">
            <v>실     명</v>
          </cell>
        </row>
      </sheetData>
      <sheetData sheetId="4940">
        <row r="2">
          <cell r="A2" t="str">
            <v>실     명</v>
          </cell>
        </row>
      </sheetData>
      <sheetData sheetId="4941">
        <row r="2">
          <cell r="A2" t="str">
            <v>실     명</v>
          </cell>
        </row>
      </sheetData>
      <sheetData sheetId="4942">
        <row r="2">
          <cell r="A2" t="str">
            <v>실     명</v>
          </cell>
        </row>
      </sheetData>
      <sheetData sheetId="4943">
        <row r="2">
          <cell r="A2" t="str">
            <v>실     명</v>
          </cell>
        </row>
      </sheetData>
      <sheetData sheetId="4944">
        <row r="2">
          <cell r="A2" t="str">
            <v>실     명</v>
          </cell>
        </row>
      </sheetData>
      <sheetData sheetId="4945">
        <row r="2">
          <cell r="A2" t="str">
            <v>실     명</v>
          </cell>
        </row>
      </sheetData>
      <sheetData sheetId="4946">
        <row r="2">
          <cell r="A2" t="str">
            <v>실     명</v>
          </cell>
        </row>
      </sheetData>
      <sheetData sheetId="4947">
        <row r="2">
          <cell r="A2" t="str">
            <v>실     명</v>
          </cell>
        </row>
      </sheetData>
      <sheetData sheetId="4948">
        <row r="2">
          <cell r="A2" t="str">
            <v>실     명</v>
          </cell>
        </row>
      </sheetData>
      <sheetData sheetId="4949">
        <row r="2">
          <cell r="A2" t="str">
            <v>실     명</v>
          </cell>
        </row>
      </sheetData>
      <sheetData sheetId="4950">
        <row r="2">
          <cell r="A2" t="str">
            <v>실     명</v>
          </cell>
        </row>
      </sheetData>
      <sheetData sheetId="4951">
        <row r="2">
          <cell r="A2" t="str">
            <v>실     명</v>
          </cell>
        </row>
      </sheetData>
      <sheetData sheetId="4952">
        <row r="2">
          <cell r="A2" t="str">
            <v>실     명</v>
          </cell>
        </row>
      </sheetData>
      <sheetData sheetId="4953">
        <row r="2">
          <cell r="A2" t="str">
            <v>실     명</v>
          </cell>
        </row>
      </sheetData>
      <sheetData sheetId="4954">
        <row r="2">
          <cell r="A2" t="str">
            <v>실     명</v>
          </cell>
        </row>
      </sheetData>
      <sheetData sheetId="4955">
        <row r="2">
          <cell r="A2" t="str">
            <v>실     명</v>
          </cell>
        </row>
      </sheetData>
      <sheetData sheetId="4956">
        <row r="2">
          <cell r="A2" t="str">
            <v>실     명</v>
          </cell>
        </row>
      </sheetData>
      <sheetData sheetId="4957">
        <row r="2">
          <cell r="A2" t="str">
            <v>실     명</v>
          </cell>
        </row>
      </sheetData>
      <sheetData sheetId="4958">
        <row r="2">
          <cell r="A2" t="str">
            <v>실     명</v>
          </cell>
        </row>
      </sheetData>
      <sheetData sheetId="4959">
        <row r="2">
          <cell r="A2" t="str">
            <v>실     명</v>
          </cell>
        </row>
      </sheetData>
      <sheetData sheetId="4960">
        <row r="2">
          <cell r="A2" t="str">
            <v>실     명</v>
          </cell>
        </row>
      </sheetData>
      <sheetData sheetId="4961">
        <row r="2">
          <cell r="A2" t="str">
            <v>실     명</v>
          </cell>
        </row>
      </sheetData>
      <sheetData sheetId="4962">
        <row r="2">
          <cell r="A2" t="str">
            <v>실     명</v>
          </cell>
        </row>
      </sheetData>
      <sheetData sheetId="4963">
        <row r="2">
          <cell r="A2" t="str">
            <v>실     명</v>
          </cell>
        </row>
      </sheetData>
      <sheetData sheetId="4964">
        <row r="2">
          <cell r="A2" t="str">
            <v>실     명</v>
          </cell>
        </row>
      </sheetData>
      <sheetData sheetId="4965">
        <row r="2">
          <cell r="A2" t="str">
            <v>실     명</v>
          </cell>
        </row>
      </sheetData>
      <sheetData sheetId="4966">
        <row r="2">
          <cell r="A2" t="str">
            <v>실     명</v>
          </cell>
        </row>
      </sheetData>
      <sheetData sheetId="4967">
        <row r="2">
          <cell r="A2" t="str">
            <v>실     명</v>
          </cell>
        </row>
      </sheetData>
      <sheetData sheetId="4968">
        <row r="2">
          <cell r="A2" t="str">
            <v>실     명</v>
          </cell>
        </row>
      </sheetData>
      <sheetData sheetId="4969">
        <row r="2">
          <cell r="A2" t="str">
            <v>실     명</v>
          </cell>
        </row>
      </sheetData>
      <sheetData sheetId="4970">
        <row r="2">
          <cell r="A2" t="str">
            <v>실     명</v>
          </cell>
        </row>
      </sheetData>
      <sheetData sheetId="4971">
        <row r="2">
          <cell r="A2" t="str">
            <v>실     명</v>
          </cell>
        </row>
      </sheetData>
      <sheetData sheetId="4972">
        <row r="2">
          <cell r="A2" t="str">
            <v>실     명</v>
          </cell>
        </row>
      </sheetData>
      <sheetData sheetId="4973">
        <row r="2">
          <cell r="A2" t="str">
            <v>실     명</v>
          </cell>
        </row>
      </sheetData>
      <sheetData sheetId="4974">
        <row r="2">
          <cell r="A2" t="str">
            <v>실     명</v>
          </cell>
        </row>
      </sheetData>
      <sheetData sheetId="4975">
        <row r="2">
          <cell r="A2" t="str">
            <v>실     명</v>
          </cell>
        </row>
      </sheetData>
      <sheetData sheetId="4976">
        <row r="2">
          <cell r="A2" t="str">
            <v>실     명</v>
          </cell>
        </row>
      </sheetData>
      <sheetData sheetId="4977">
        <row r="2">
          <cell r="A2" t="str">
            <v>실     명</v>
          </cell>
        </row>
      </sheetData>
      <sheetData sheetId="4978">
        <row r="2">
          <cell r="A2" t="str">
            <v>실     명</v>
          </cell>
        </row>
      </sheetData>
      <sheetData sheetId="4979">
        <row r="2">
          <cell r="A2" t="str">
            <v>실     명</v>
          </cell>
        </row>
      </sheetData>
      <sheetData sheetId="4980">
        <row r="2">
          <cell r="A2" t="str">
            <v>실     명</v>
          </cell>
        </row>
      </sheetData>
      <sheetData sheetId="4981">
        <row r="2">
          <cell r="A2" t="str">
            <v>실     명</v>
          </cell>
        </row>
      </sheetData>
      <sheetData sheetId="4982">
        <row r="2">
          <cell r="A2" t="str">
            <v>실     명</v>
          </cell>
        </row>
      </sheetData>
      <sheetData sheetId="4983">
        <row r="2">
          <cell r="A2" t="str">
            <v>실     명</v>
          </cell>
        </row>
      </sheetData>
      <sheetData sheetId="4984">
        <row r="2">
          <cell r="A2" t="str">
            <v>실     명</v>
          </cell>
        </row>
      </sheetData>
      <sheetData sheetId="4985">
        <row r="2">
          <cell r="A2" t="str">
            <v>실     명</v>
          </cell>
        </row>
      </sheetData>
      <sheetData sheetId="4986">
        <row r="2">
          <cell r="A2" t="str">
            <v>실     명</v>
          </cell>
        </row>
      </sheetData>
      <sheetData sheetId="4987">
        <row r="2">
          <cell r="A2" t="str">
            <v>실     명</v>
          </cell>
        </row>
      </sheetData>
      <sheetData sheetId="4988">
        <row r="2">
          <cell r="A2" t="str">
            <v>실     명</v>
          </cell>
        </row>
      </sheetData>
      <sheetData sheetId="4989">
        <row r="2">
          <cell r="A2" t="str">
            <v>실     명</v>
          </cell>
        </row>
      </sheetData>
      <sheetData sheetId="4990">
        <row r="2">
          <cell r="A2" t="str">
            <v>실     명</v>
          </cell>
        </row>
      </sheetData>
      <sheetData sheetId="4991">
        <row r="2">
          <cell r="A2" t="str">
            <v>실     명</v>
          </cell>
        </row>
      </sheetData>
      <sheetData sheetId="4992">
        <row r="2">
          <cell r="A2" t="str">
            <v>실     명</v>
          </cell>
        </row>
      </sheetData>
      <sheetData sheetId="4993">
        <row r="2">
          <cell r="A2" t="str">
            <v>실     명</v>
          </cell>
        </row>
      </sheetData>
      <sheetData sheetId="4994">
        <row r="2">
          <cell r="A2" t="str">
            <v>실     명</v>
          </cell>
        </row>
      </sheetData>
      <sheetData sheetId="4995">
        <row r="2">
          <cell r="A2" t="str">
            <v>실     명</v>
          </cell>
        </row>
      </sheetData>
      <sheetData sheetId="4996">
        <row r="2">
          <cell r="A2" t="str">
            <v>실     명</v>
          </cell>
        </row>
      </sheetData>
      <sheetData sheetId="4997">
        <row r="2">
          <cell r="A2" t="str">
            <v>실     명</v>
          </cell>
        </row>
      </sheetData>
      <sheetData sheetId="4998">
        <row r="2">
          <cell r="A2" t="str">
            <v>실     명</v>
          </cell>
        </row>
      </sheetData>
      <sheetData sheetId="4999">
        <row r="2">
          <cell r="A2" t="str">
            <v>실     명</v>
          </cell>
        </row>
      </sheetData>
      <sheetData sheetId="5000">
        <row r="2">
          <cell r="A2" t="str">
            <v>실     명</v>
          </cell>
        </row>
      </sheetData>
      <sheetData sheetId="5001">
        <row r="2">
          <cell r="A2" t="str">
            <v>실     명</v>
          </cell>
        </row>
      </sheetData>
      <sheetData sheetId="5002">
        <row r="2">
          <cell r="A2" t="str">
            <v>실     명</v>
          </cell>
        </row>
      </sheetData>
      <sheetData sheetId="5003">
        <row r="2">
          <cell r="A2" t="str">
            <v>실     명</v>
          </cell>
        </row>
      </sheetData>
      <sheetData sheetId="5004">
        <row r="2">
          <cell r="A2" t="str">
            <v>실     명</v>
          </cell>
        </row>
      </sheetData>
      <sheetData sheetId="5005">
        <row r="2">
          <cell r="A2" t="str">
            <v>실     명</v>
          </cell>
        </row>
      </sheetData>
      <sheetData sheetId="5006">
        <row r="2">
          <cell r="A2" t="str">
            <v>실     명</v>
          </cell>
        </row>
      </sheetData>
      <sheetData sheetId="5007">
        <row r="2">
          <cell r="A2" t="str">
            <v>실     명</v>
          </cell>
        </row>
      </sheetData>
      <sheetData sheetId="5008">
        <row r="2">
          <cell r="A2" t="str">
            <v>실     명</v>
          </cell>
        </row>
      </sheetData>
      <sheetData sheetId="5009">
        <row r="2">
          <cell r="A2" t="str">
            <v>실     명</v>
          </cell>
        </row>
      </sheetData>
      <sheetData sheetId="5010">
        <row r="2">
          <cell r="A2" t="str">
            <v>실     명</v>
          </cell>
        </row>
      </sheetData>
      <sheetData sheetId="5011">
        <row r="2">
          <cell r="A2" t="str">
            <v>실     명</v>
          </cell>
        </row>
      </sheetData>
      <sheetData sheetId="5012">
        <row r="2">
          <cell r="A2" t="str">
            <v>실     명</v>
          </cell>
        </row>
      </sheetData>
      <sheetData sheetId="5013">
        <row r="2">
          <cell r="A2" t="str">
            <v>실     명</v>
          </cell>
        </row>
      </sheetData>
      <sheetData sheetId="5014">
        <row r="2">
          <cell r="A2" t="str">
            <v>실     명</v>
          </cell>
        </row>
      </sheetData>
      <sheetData sheetId="5015">
        <row r="2">
          <cell r="A2" t="str">
            <v>실     명</v>
          </cell>
        </row>
      </sheetData>
      <sheetData sheetId="5016">
        <row r="2">
          <cell r="A2" t="str">
            <v>실     명</v>
          </cell>
        </row>
      </sheetData>
      <sheetData sheetId="5017">
        <row r="2">
          <cell r="A2" t="str">
            <v>실     명</v>
          </cell>
        </row>
      </sheetData>
      <sheetData sheetId="5018">
        <row r="2">
          <cell r="A2" t="str">
            <v>실     명</v>
          </cell>
        </row>
      </sheetData>
      <sheetData sheetId="5019">
        <row r="2">
          <cell r="A2" t="str">
            <v>실     명</v>
          </cell>
        </row>
      </sheetData>
      <sheetData sheetId="5020">
        <row r="2">
          <cell r="A2" t="str">
            <v>실     명</v>
          </cell>
        </row>
      </sheetData>
      <sheetData sheetId="5021">
        <row r="2">
          <cell r="A2" t="str">
            <v>실     명</v>
          </cell>
        </row>
      </sheetData>
      <sheetData sheetId="5022">
        <row r="2">
          <cell r="A2" t="str">
            <v>실     명</v>
          </cell>
        </row>
      </sheetData>
      <sheetData sheetId="5023">
        <row r="2">
          <cell r="A2" t="str">
            <v>실     명</v>
          </cell>
        </row>
      </sheetData>
      <sheetData sheetId="5024">
        <row r="2">
          <cell r="A2" t="str">
            <v>실     명</v>
          </cell>
        </row>
      </sheetData>
      <sheetData sheetId="5025">
        <row r="2">
          <cell r="A2" t="str">
            <v>실     명</v>
          </cell>
        </row>
      </sheetData>
      <sheetData sheetId="5026">
        <row r="2">
          <cell r="A2" t="str">
            <v>실     명</v>
          </cell>
        </row>
      </sheetData>
      <sheetData sheetId="5027">
        <row r="2">
          <cell r="A2" t="str">
            <v>실     명</v>
          </cell>
        </row>
      </sheetData>
      <sheetData sheetId="5028">
        <row r="2">
          <cell r="A2" t="str">
            <v>실     명</v>
          </cell>
        </row>
      </sheetData>
      <sheetData sheetId="5029">
        <row r="2">
          <cell r="A2" t="str">
            <v>실     명</v>
          </cell>
        </row>
      </sheetData>
      <sheetData sheetId="5030">
        <row r="2">
          <cell r="A2" t="str">
            <v>실     명</v>
          </cell>
        </row>
      </sheetData>
      <sheetData sheetId="5031">
        <row r="2">
          <cell r="A2" t="str">
            <v>실     명</v>
          </cell>
        </row>
      </sheetData>
      <sheetData sheetId="5032">
        <row r="2">
          <cell r="A2" t="str">
            <v>실     명</v>
          </cell>
        </row>
      </sheetData>
      <sheetData sheetId="5033">
        <row r="2">
          <cell r="A2" t="str">
            <v>실     명</v>
          </cell>
        </row>
      </sheetData>
      <sheetData sheetId="5034">
        <row r="2">
          <cell r="A2" t="str">
            <v>실     명</v>
          </cell>
        </row>
      </sheetData>
      <sheetData sheetId="5035">
        <row r="2">
          <cell r="A2" t="str">
            <v>실     명</v>
          </cell>
        </row>
      </sheetData>
      <sheetData sheetId="5036">
        <row r="2">
          <cell r="A2" t="str">
            <v>실     명</v>
          </cell>
        </row>
      </sheetData>
      <sheetData sheetId="5037">
        <row r="2">
          <cell r="A2" t="str">
            <v>실     명</v>
          </cell>
        </row>
      </sheetData>
      <sheetData sheetId="5038">
        <row r="2">
          <cell r="A2" t="str">
            <v>실     명</v>
          </cell>
        </row>
      </sheetData>
      <sheetData sheetId="5039">
        <row r="2">
          <cell r="A2" t="str">
            <v>실     명</v>
          </cell>
        </row>
      </sheetData>
      <sheetData sheetId="5040">
        <row r="2">
          <cell r="A2" t="str">
            <v>실     명</v>
          </cell>
        </row>
      </sheetData>
      <sheetData sheetId="5041">
        <row r="2">
          <cell r="A2" t="str">
            <v>실     명</v>
          </cell>
        </row>
      </sheetData>
      <sheetData sheetId="5042">
        <row r="2">
          <cell r="A2" t="str">
            <v>실     명</v>
          </cell>
        </row>
      </sheetData>
      <sheetData sheetId="5043">
        <row r="2">
          <cell r="A2" t="str">
            <v>실     명</v>
          </cell>
        </row>
      </sheetData>
      <sheetData sheetId="5044">
        <row r="2">
          <cell r="A2" t="str">
            <v>실     명</v>
          </cell>
        </row>
      </sheetData>
      <sheetData sheetId="5045">
        <row r="2">
          <cell r="A2" t="str">
            <v>실     명</v>
          </cell>
        </row>
      </sheetData>
      <sheetData sheetId="5046">
        <row r="2">
          <cell r="A2" t="str">
            <v>실     명</v>
          </cell>
        </row>
      </sheetData>
      <sheetData sheetId="5047">
        <row r="2">
          <cell r="A2" t="str">
            <v>실     명</v>
          </cell>
        </row>
      </sheetData>
      <sheetData sheetId="5048">
        <row r="2">
          <cell r="A2" t="str">
            <v>실     명</v>
          </cell>
        </row>
      </sheetData>
      <sheetData sheetId="5049">
        <row r="2">
          <cell r="A2" t="str">
            <v>실     명</v>
          </cell>
        </row>
      </sheetData>
      <sheetData sheetId="5050">
        <row r="2">
          <cell r="A2" t="str">
            <v>실     명</v>
          </cell>
        </row>
      </sheetData>
      <sheetData sheetId="5051">
        <row r="2">
          <cell r="A2" t="str">
            <v>실     명</v>
          </cell>
        </row>
      </sheetData>
      <sheetData sheetId="5052">
        <row r="2">
          <cell r="A2" t="str">
            <v>실     명</v>
          </cell>
        </row>
      </sheetData>
      <sheetData sheetId="5053">
        <row r="2">
          <cell r="A2" t="str">
            <v>실     명</v>
          </cell>
        </row>
      </sheetData>
      <sheetData sheetId="5054">
        <row r="2">
          <cell r="A2" t="str">
            <v>실     명</v>
          </cell>
        </row>
      </sheetData>
      <sheetData sheetId="5055">
        <row r="2">
          <cell r="A2" t="str">
            <v>실     명</v>
          </cell>
        </row>
      </sheetData>
      <sheetData sheetId="5056">
        <row r="2">
          <cell r="A2" t="str">
            <v>실     명</v>
          </cell>
        </row>
      </sheetData>
      <sheetData sheetId="5057">
        <row r="2">
          <cell r="A2" t="str">
            <v>실     명</v>
          </cell>
        </row>
      </sheetData>
      <sheetData sheetId="5058">
        <row r="2">
          <cell r="A2" t="str">
            <v>실     명</v>
          </cell>
        </row>
      </sheetData>
      <sheetData sheetId="5059">
        <row r="2">
          <cell r="A2" t="str">
            <v>실     명</v>
          </cell>
        </row>
      </sheetData>
      <sheetData sheetId="5060">
        <row r="2">
          <cell r="A2" t="str">
            <v>실     명</v>
          </cell>
        </row>
      </sheetData>
      <sheetData sheetId="5061">
        <row r="2">
          <cell r="A2" t="str">
            <v>실     명</v>
          </cell>
        </row>
      </sheetData>
      <sheetData sheetId="5062">
        <row r="2">
          <cell r="A2" t="str">
            <v>실     명</v>
          </cell>
        </row>
      </sheetData>
      <sheetData sheetId="5063">
        <row r="2">
          <cell r="A2" t="str">
            <v>실     명</v>
          </cell>
        </row>
      </sheetData>
      <sheetData sheetId="5064">
        <row r="2">
          <cell r="A2" t="str">
            <v>실     명</v>
          </cell>
        </row>
      </sheetData>
      <sheetData sheetId="5065">
        <row r="2">
          <cell r="A2" t="str">
            <v>실     명</v>
          </cell>
        </row>
      </sheetData>
      <sheetData sheetId="5066">
        <row r="2">
          <cell r="A2" t="str">
            <v>실     명</v>
          </cell>
        </row>
      </sheetData>
      <sheetData sheetId="5067">
        <row r="2">
          <cell r="A2" t="str">
            <v>실     명</v>
          </cell>
        </row>
      </sheetData>
      <sheetData sheetId="5068">
        <row r="2">
          <cell r="A2" t="str">
            <v>실     명</v>
          </cell>
        </row>
      </sheetData>
      <sheetData sheetId="5069">
        <row r="2">
          <cell r="A2" t="str">
            <v>실     명</v>
          </cell>
        </row>
      </sheetData>
      <sheetData sheetId="5070">
        <row r="2">
          <cell r="A2" t="str">
            <v>실     명</v>
          </cell>
        </row>
      </sheetData>
      <sheetData sheetId="5071">
        <row r="2">
          <cell r="A2" t="str">
            <v>실     명</v>
          </cell>
        </row>
      </sheetData>
      <sheetData sheetId="5072">
        <row r="2">
          <cell r="A2" t="str">
            <v>실     명</v>
          </cell>
        </row>
      </sheetData>
      <sheetData sheetId="5073">
        <row r="2">
          <cell r="A2" t="str">
            <v>실     명</v>
          </cell>
        </row>
      </sheetData>
      <sheetData sheetId="5074">
        <row r="2">
          <cell r="A2" t="str">
            <v>실     명</v>
          </cell>
        </row>
      </sheetData>
      <sheetData sheetId="5075">
        <row r="2">
          <cell r="A2" t="str">
            <v>실     명</v>
          </cell>
        </row>
      </sheetData>
      <sheetData sheetId="5076">
        <row r="2">
          <cell r="A2" t="str">
            <v>실     명</v>
          </cell>
        </row>
      </sheetData>
      <sheetData sheetId="5077">
        <row r="2">
          <cell r="A2" t="str">
            <v>실     명</v>
          </cell>
        </row>
      </sheetData>
      <sheetData sheetId="5078">
        <row r="2">
          <cell r="A2" t="str">
            <v>$</v>
          </cell>
        </row>
      </sheetData>
      <sheetData sheetId="5079">
        <row r="2">
          <cell r="A2" t="str">
            <v>실     명</v>
          </cell>
        </row>
      </sheetData>
      <sheetData sheetId="5080">
        <row r="2">
          <cell r="A2" t="str">
            <v>실     명</v>
          </cell>
        </row>
      </sheetData>
      <sheetData sheetId="5081">
        <row r="2">
          <cell r="A2" t="str">
            <v>실     명</v>
          </cell>
        </row>
      </sheetData>
      <sheetData sheetId="5082">
        <row r="2">
          <cell r="A2" t="str">
            <v>실     명</v>
          </cell>
        </row>
      </sheetData>
      <sheetData sheetId="5083">
        <row r="2">
          <cell r="A2" t="str">
            <v>실     명</v>
          </cell>
        </row>
      </sheetData>
      <sheetData sheetId="5084">
        <row r="2">
          <cell r="A2" t="str">
            <v>실     명</v>
          </cell>
        </row>
      </sheetData>
      <sheetData sheetId="5085">
        <row r="2">
          <cell r="A2" t="str">
            <v>실     명</v>
          </cell>
        </row>
      </sheetData>
      <sheetData sheetId="5086">
        <row r="2">
          <cell r="A2" t="str">
            <v>실     명</v>
          </cell>
        </row>
      </sheetData>
      <sheetData sheetId="5087">
        <row r="2">
          <cell r="A2" t="str">
            <v>실     명</v>
          </cell>
        </row>
      </sheetData>
      <sheetData sheetId="5088">
        <row r="2">
          <cell r="A2" t="str">
            <v>실     명</v>
          </cell>
        </row>
      </sheetData>
      <sheetData sheetId="5089">
        <row r="2">
          <cell r="A2" t="str">
            <v>실     명</v>
          </cell>
        </row>
      </sheetData>
      <sheetData sheetId="5090">
        <row r="2">
          <cell r="A2" t="str">
            <v>실     명</v>
          </cell>
        </row>
      </sheetData>
      <sheetData sheetId="5091">
        <row r="2">
          <cell r="A2" t="str">
            <v>실     명</v>
          </cell>
        </row>
      </sheetData>
      <sheetData sheetId="5092">
        <row r="2">
          <cell r="A2" t="str">
            <v>실     명</v>
          </cell>
        </row>
      </sheetData>
      <sheetData sheetId="5093">
        <row r="2">
          <cell r="A2" t="str">
            <v>실     명</v>
          </cell>
        </row>
      </sheetData>
      <sheetData sheetId="5094">
        <row r="2">
          <cell r="A2" t="str">
            <v>실     명</v>
          </cell>
        </row>
      </sheetData>
      <sheetData sheetId="5095">
        <row r="2">
          <cell r="A2" t="str">
            <v>실     명</v>
          </cell>
        </row>
      </sheetData>
      <sheetData sheetId="5096">
        <row r="2">
          <cell r="A2" t="str">
            <v>실     명</v>
          </cell>
        </row>
      </sheetData>
      <sheetData sheetId="5097">
        <row r="2">
          <cell r="A2" t="str">
            <v>실     명</v>
          </cell>
        </row>
      </sheetData>
      <sheetData sheetId="5098">
        <row r="2">
          <cell r="A2" t="str">
            <v>실     명</v>
          </cell>
        </row>
      </sheetData>
      <sheetData sheetId="5099">
        <row r="2">
          <cell r="A2" t="str">
            <v>실     명</v>
          </cell>
        </row>
      </sheetData>
      <sheetData sheetId="5100">
        <row r="2">
          <cell r="A2" t="str">
            <v>실     명</v>
          </cell>
        </row>
      </sheetData>
      <sheetData sheetId="5101">
        <row r="2">
          <cell r="A2" t="str">
            <v>실     명</v>
          </cell>
        </row>
      </sheetData>
      <sheetData sheetId="5102">
        <row r="2">
          <cell r="A2" t="str">
            <v>실     명</v>
          </cell>
        </row>
      </sheetData>
      <sheetData sheetId="5103">
        <row r="2">
          <cell r="A2" t="str">
            <v>실     명</v>
          </cell>
        </row>
      </sheetData>
      <sheetData sheetId="5104">
        <row r="2">
          <cell r="A2" t="str">
            <v>실     명</v>
          </cell>
        </row>
      </sheetData>
      <sheetData sheetId="5105">
        <row r="2">
          <cell r="A2" t="str">
            <v>실     명</v>
          </cell>
        </row>
      </sheetData>
      <sheetData sheetId="5106">
        <row r="2">
          <cell r="A2" t="str">
            <v>실     명</v>
          </cell>
        </row>
      </sheetData>
      <sheetData sheetId="5107">
        <row r="2">
          <cell r="A2" t="str">
            <v>실     명</v>
          </cell>
        </row>
      </sheetData>
      <sheetData sheetId="5108">
        <row r="2">
          <cell r="A2" t="str">
            <v>실     명</v>
          </cell>
        </row>
      </sheetData>
      <sheetData sheetId="5109">
        <row r="2">
          <cell r="A2" t="str">
            <v>실     명</v>
          </cell>
        </row>
      </sheetData>
      <sheetData sheetId="5110">
        <row r="2">
          <cell r="A2" t="str">
            <v>실     명</v>
          </cell>
        </row>
      </sheetData>
      <sheetData sheetId="5111">
        <row r="2">
          <cell r="A2" t="str">
            <v>실     명</v>
          </cell>
        </row>
      </sheetData>
      <sheetData sheetId="5112">
        <row r="2">
          <cell r="A2" t="str">
            <v>실     명</v>
          </cell>
        </row>
      </sheetData>
      <sheetData sheetId="5113">
        <row r="2">
          <cell r="A2" t="str">
            <v>실     명</v>
          </cell>
        </row>
      </sheetData>
      <sheetData sheetId="5114">
        <row r="2">
          <cell r="A2" t="str">
            <v>실     명</v>
          </cell>
        </row>
      </sheetData>
      <sheetData sheetId="5115">
        <row r="2">
          <cell r="A2" t="str">
            <v>실     명</v>
          </cell>
        </row>
      </sheetData>
      <sheetData sheetId="5116">
        <row r="2">
          <cell r="A2" t="str">
            <v>실     명</v>
          </cell>
        </row>
      </sheetData>
      <sheetData sheetId="5117">
        <row r="2">
          <cell r="A2" t="str">
            <v>실     명</v>
          </cell>
        </row>
      </sheetData>
      <sheetData sheetId="5118">
        <row r="2">
          <cell r="A2" t="str">
            <v>실     명</v>
          </cell>
        </row>
      </sheetData>
      <sheetData sheetId="5119">
        <row r="2">
          <cell r="A2" t="str">
            <v>실     명</v>
          </cell>
        </row>
      </sheetData>
      <sheetData sheetId="5120">
        <row r="2">
          <cell r="A2" t="str">
            <v>실     명</v>
          </cell>
        </row>
      </sheetData>
      <sheetData sheetId="5121">
        <row r="2">
          <cell r="A2" t="str">
            <v>실     명</v>
          </cell>
        </row>
      </sheetData>
      <sheetData sheetId="5122">
        <row r="2">
          <cell r="A2" t="str">
            <v>실     명</v>
          </cell>
        </row>
      </sheetData>
      <sheetData sheetId="5123">
        <row r="2">
          <cell r="A2" t="str">
            <v>실     명</v>
          </cell>
        </row>
      </sheetData>
      <sheetData sheetId="5124">
        <row r="2">
          <cell r="A2" t="str">
            <v>실     명</v>
          </cell>
        </row>
      </sheetData>
      <sheetData sheetId="5125">
        <row r="2">
          <cell r="A2" t="str">
            <v>실     명</v>
          </cell>
        </row>
      </sheetData>
      <sheetData sheetId="5126">
        <row r="2">
          <cell r="A2" t="str">
            <v>실     명</v>
          </cell>
        </row>
      </sheetData>
      <sheetData sheetId="5127">
        <row r="2">
          <cell r="A2" t="str">
            <v>실     명</v>
          </cell>
        </row>
      </sheetData>
      <sheetData sheetId="5128">
        <row r="2">
          <cell r="A2" t="str">
            <v>실     명</v>
          </cell>
        </row>
      </sheetData>
      <sheetData sheetId="5129">
        <row r="2">
          <cell r="A2" t="str">
            <v>실     명</v>
          </cell>
        </row>
      </sheetData>
      <sheetData sheetId="5130">
        <row r="2">
          <cell r="A2" t="str">
            <v>실     명</v>
          </cell>
        </row>
      </sheetData>
      <sheetData sheetId="5131">
        <row r="2">
          <cell r="A2" t="str">
            <v>실     명</v>
          </cell>
        </row>
      </sheetData>
      <sheetData sheetId="5132">
        <row r="2">
          <cell r="A2" t="str">
            <v>실     명</v>
          </cell>
        </row>
      </sheetData>
      <sheetData sheetId="5133">
        <row r="2">
          <cell r="A2" t="str">
            <v>실     명</v>
          </cell>
        </row>
      </sheetData>
      <sheetData sheetId="5134">
        <row r="2">
          <cell r="A2" t="str">
            <v>실     명</v>
          </cell>
        </row>
      </sheetData>
      <sheetData sheetId="5135">
        <row r="2">
          <cell r="A2" t="str">
            <v>실     명</v>
          </cell>
        </row>
      </sheetData>
      <sheetData sheetId="5136">
        <row r="2">
          <cell r="A2" t="str">
            <v>실     명</v>
          </cell>
        </row>
      </sheetData>
      <sheetData sheetId="5137">
        <row r="2">
          <cell r="A2" t="str">
            <v>실     명</v>
          </cell>
        </row>
      </sheetData>
      <sheetData sheetId="5138">
        <row r="2">
          <cell r="A2" t="str">
            <v>실     명</v>
          </cell>
        </row>
      </sheetData>
      <sheetData sheetId="5139">
        <row r="2">
          <cell r="A2" t="str">
            <v>실     명</v>
          </cell>
        </row>
      </sheetData>
      <sheetData sheetId="5140">
        <row r="2">
          <cell r="A2" t="str">
            <v>실     명</v>
          </cell>
        </row>
      </sheetData>
      <sheetData sheetId="5141">
        <row r="2">
          <cell r="A2" t="str">
            <v>실     명</v>
          </cell>
        </row>
      </sheetData>
      <sheetData sheetId="5142">
        <row r="2">
          <cell r="A2" t="str">
            <v>실     명</v>
          </cell>
        </row>
      </sheetData>
      <sheetData sheetId="5143">
        <row r="2">
          <cell r="A2" t="str">
            <v>실     명</v>
          </cell>
        </row>
      </sheetData>
      <sheetData sheetId="5144">
        <row r="2">
          <cell r="A2" t="str">
            <v>실     명</v>
          </cell>
        </row>
      </sheetData>
      <sheetData sheetId="5145">
        <row r="2">
          <cell r="A2" t="str">
            <v>실     명</v>
          </cell>
        </row>
      </sheetData>
      <sheetData sheetId="5146">
        <row r="2">
          <cell r="A2" t="str">
            <v>실     명</v>
          </cell>
        </row>
      </sheetData>
      <sheetData sheetId="5147">
        <row r="2">
          <cell r="A2" t="str">
            <v>실     명</v>
          </cell>
        </row>
      </sheetData>
      <sheetData sheetId="5148">
        <row r="2">
          <cell r="A2" t="str">
            <v>실     명</v>
          </cell>
        </row>
      </sheetData>
      <sheetData sheetId="5149">
        <row r="2">
          <cell r="A2" t="str">
            <v>실     명</v>
          </cell>
        </row>
      </sheetData>
      <sheetData sheetId="5150">
        <row r="2">
          <cell r="A2" t="str">
            <v>실     명</v>
          </cell>
        </row>
      </sheetData>
      <sheetData sheetId="5151">
        <row r="2">
          <cell r="A2" t="str">
            <v>실     명</v>
          </cell>
        </row>
      </sheetData>
      <sheetData sheetId="5152">
        <row r="2">
          <cell r="A2" t="str">
            <v>실     명</v>
          </cell>
        </row>
      </sheetData>
      <sheetData sheetId="5153">
        <row r="2">
          <cell r="A2" t="str">
            <v>실     명</v>
          </cell>
        </row>
      </sheetData>
      <sheetData sheetId="5154">
        <row r="2">
          <cell r="A2" t="str">
            <v>실     명</v>
          </cell>
        </row>
      </sheetData>
      <sheetData sheetId="5155">
        <row r="2">
          <cell r="A2" t="str">
            <v>실     명</v>
          </cell>
        </row>
      </sheetData>
      <sheetData sheetId="5156">
        <row r="2">
          <cell r="A2" t="str">
            <v>실     명</v>
          </cell>
        </row>
      </sheetData>
      <sheetData sheetId="5157">
        <row r="2">
          <cell r="A2" t="str">
            <v>실     명</v>
          </cell>
        </row>
      </sheetData>
      <sheetData sheetId="5158">
        <row r="2">
          <cell r="A2" t="str">
            <v>실     명</v>
          </cell>
        </row>
      </sheetData>
      <sheetData sheetId="5159">
        <row r="2">
          <cell r="A2" t="str">
            <v>실     명</v>
          </cell>
        </row>
      </sheetData>
      <sheetData sheetId="5160">
        <row r="2">
          <cell r="A2" t="str">
            <v>실     명</v>
          </cell>
        </row>
      </sheetData>
      <sheetData sheetId="5161">
        <row r="2">
          <cell r="A2" t="str">
            <v>실     명</v>
          </cell>
        </row>
      </sheetData>
      <sheetData sheetId="5162">
        <row r="2">
          <cell r="A2" t="str">
            <v>실     명</v>
          </cell>
        </row>
      </sheetData>
      <sheetData sheetId="5163">
        <row r="2">
          <cell r="A2" t="str">
            <v>실     명</v>
          </cell>
        </row>
      </sheetData>
      <sheetData sheetId="5164">
        <row r="2">
          <cell r="A2" t="str">
            <v>실     명</v>
          </cell>
        </row>
      </sheetData>
      <sheetData sheetId="5165">
        <row r="2">
          <cell r="A2" t="str">
            <v>실     명</v>
          </cell>
        </row>
      </sheetData>
      <sheetData sheetId="5166">
        <row r="2">
          <cell r="A2" t="str">
            <v>실     명</v>
          </cell>
        </row>
      </sheetData>
      <sheetData sheetId="5167">
        <row r="2">
          <cell r="A2" t="str">
            <v>실     명</v>
          </cell>
        </row>
      </sheetData>
      <sheetData sheetId="5168">
        <row r="2">
          <cell r="A2" t="str">
            <v>실     명</v>
          </cell>
        </row>
      </sheetData>
      <sheetData sheetId="5169">
        <row r="2">
          <cell r="A2" t="str">
            <v>실     명</v>
          </cell>
        </row>
      </sheetData>
      <sheetData sheetId="5170">
        <row r="2">
          <cell r="A2" t="str">
            <v>실     명</v>
          </cell>
        </row>
      </sheetData>
      <sheetData sheetId="5171">
        <row r="2">
          <cell r="A2" t="str">
            <v>실     명</v>
          </cell>
        </row>
      </sheetData>
      <sheetData sheetId="5172">
        <row r="2">
          <cell r="A2" t="str">
            <v>실     명</v>
          </cell>
        </row>
      </sheetData>
      <sheetData sheetId="5173">
        <row r="2">
          <cell r="A2" t="str">
            <v>실     명</v>
          </cell>
        </row>
      </sheetData>
      <sheetData sheetId="5174">
        <row r="2">
          <cell r="A2" t="str">
            <v>실     명</v>
          </cell>
        </row>
      </sheetData>
      <sheetData sheetId="5175">
        <row r="2">
          <cell r="A2" t="str">
            <v>실     명</v>
          </cell>
        </row>
      </sheetData>
      <sheetData sheetId="5176">
        <row r="2">
          <cell r="A2" t="str">
            <v>실     명</v>
          </cell>
        </row>
      </sheetData>
      <sheetData sheetId="5177">
        <row r="2">
          <cell r="A2" t="str">
            <v>실     명</v>
          </cell>
        </row>
      </sheetData>
      <sheetData sheetId="5178">
        <row r="2">
          <cell r="A2" t="str">
            <v>실     명</v>
          </cell>
        </row>
      </sheetData>
      <sheetData sheetId="5179">
        <row r="2">
          <cell r="A2" t="str">
            <v>실     명</v>
          </cell>
        </row>
      </sheetData>
      <sheetData sheetId="5180">
        <row r="2">
          <cell r="A2" t="str">
            <v>실     명</v>
          </cell>
        </row>
      </sheetData>
      <sheetData sheetId="5181">
        <row r="2">
          <cell r="A2" t="str">
            <v>실     명</v>
          </cell>
        </row>
      </sheetData>
      <sheetData sheetId="5182">
        <row r="2">
          <cell r="A2" t="str">
            <v>실     명</v>
          </cell>
        </row>
      </sheetData>
      <sheetData sheetId="5183">
        <row r="2">
          <cell r="A2" t="str">
            <v>실     명</v>
          </cell>
        </row>
      </sheetData>
      <sheetData sheetId="5184">
        <row r="2">
          <cell r="A2" t="str">
            <v>실     명</v>
          </cell>
        </row>
      </sheetData>
      <sheetData sheetId="5185">
        <row r="2">
          <cell r="A2" t="str">
            <v>실     명</v>
          </cell>
        </row>
      </sheetData>
      <sheetData sheetId="5186">
        <row r="2">
          <cell r="A2" t="str">
            <v>실     명</v>
          </cell>
        </row>
      </sheetData>
      <sheetData sheetId="5187">
        <row r="2">
          <cell r="A2" t="str">
            <v>실     명</v>
          </cell>
        </row>
      </sheetData>
      <sheetData sheetId="5188">
        <row r="2">
          <cell r="A2" t="str">
            <v>실     명</v>
          </cell>
        </row>
      </sheetData>
      <sheetData sheetId="5189">
        <row r="2">
          <cell r="A2" t="str">
            <v>실     명</v>
          </cell>
        </row>
      </sheetData>
      <sheetData sheetId="5190">
        <row r="2">
          <cell r="A2" t="str">
            <v>실     명</v>
          </cell>
        </row>
      </sheetData>
      <sheetData sheetId="5191">
        <row r="2">
          <cell r="A2" t="str">
            <v>실     명</v>
          </cell>
        </row>
      </sheetData>
      <sheetData sheetId="5192">
        <row r="2">
          <cell r="A2" t="str">
            <v>실     명</v>
          </cell>
        </row>
      </sheetData>
      <sheetData sheetId="5193">
        <row r="2">
          <cell r="A2" t="str">
            <v>실     명</v>
          </cell>
        </row>
      </sheetData>
      <sheetData sheetId="5194">
        <row r="2">
          <cell r="A2" t="str">
            <v>실     명</v>
          </cell>
        </row>
      </sheetData>
      <sheetData sheetId="5195">
        <row r="2">
          <cell r="A2" t="str">
            <v>실     명</v>
          </cell>
        </row>
      </sheetData>
      <sheetData sheetId="5196">
        <row r="2">
          <cell r="A2" t="str">
            <v>실     명</v>
          </cell>
        </row>
      </sheetData>
      <sheetData sheetId="5197">
        <row r="2">
          <cell r="A2" t="str">
            <v>실     명</v>
          </cell>
        </row>
      </sheetData>
      <sheetData sheetId="5198">
        <row r="2">
          <cell r="A2" t="str">
            <v>실     명</v>
          </cell>
        </row>
      </sheetData>
      <sheetData sheetId="5199">
        <row r="2">
          <cell r="A2" t="str">
            <v>실     명</v>
          </cell>
        </row>
      </sheetData>
      <sheetData sheetId="5200">
        <row r="2">
          <cell r="A2" t="str">
            <v>실     명</v>
          </cell>
        </row>
      </sheetData>
      <sheetData sheetId="5201">
        <row r="2">
          <cell r="A2" t="str">
            <v>실     명</v>
          </cell>
        </row>
      </sheetData>
      <sheetData sheetId="5202">
        <row r="2">
          <cell r="A2" t="str">
            <v>실     명</v>
          </cell>
        </row>
      </sheetData>
      <sheetData sheetId="5203">
        <row r="2">
          <cell r="A2" t="str">
            <v>실     명</v>
          </cell>
        </row>
      </sheetData>
      <sheetData sheetId="5204">
        <row r="2">
          <cell r="A2" t="str">
            <v>실     명</v>
          </cell>
        </row>
      </sheetData>
      <sheetData sheetId="5205">
        <row r="2">
          <cell r="A2" t="str">
            <v>실     명</v>
          </cell>
        </row>
      </sheetData>
      <sheetData sheetId="5206">
        <row r="2">
          <cell r="A2" t="str">
            <v>실     명</v>
          </cell>
        </row>
      </sheetData>
      <sheetData sheetId="5207">
        <row r="2">
          <cell r="A2" t="str">
            <v>실     명</v>
          </cell>
        </row>
      </sheetData>
      <sheetData sheetId="5208">
        <row r="2">
          <cell r="A2" t="str">
            <v>실     명</v>
          </cell>
        </row>
      </sheetData>
      <sheetData sheetId="5209">
        <row r="2">
          <cell r="A2" t="str">
            <v>실     명</v>
          </cell>
        </row>
      </sheetData>
      <sheetData sheetId="5210">
        <row r="2">
          <cell r="A2" t="str">
            <v>실     명</v>
          </cell>
        </row>
      </sheetData>
      <sheetData sheetId="5211">
        <row r="2">
          <cell r="A2" t="str">
            <v>실     명</v>
          </cell>
        </row>
      </sheetData>
      <sheetData sheetId="5212">
        <row r="2">
          <cell r="A2" t="str">
            <v>실     명</v>
          </cell>
        </row>
      </sheetData>
      <sheetData sheetId="5213">
        <row r="2">
          <cell r="A2" t="str">
            <v>실     명</v>
          </cell>
        </row>
      </sheetData>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ow r="2">
          <cell r="A2" t="str">
            <v>실     명</v>
          </cell>
        </row>
      </sheetData>
      <sheetData sheetId="5257">
        <row r="2">
          <cell r="A2" t="str">
            <v>실     명</v>
          </cell>
        </row>
      </sheetData>
      <sheetData sheetId="5258">
        <row r="2">
          <cell r="A2" t="str">
            <v>실     명</v>
          </cell>
        </row>
      </sheetData>
      <sheetData sheetId="5259">
        <row r="2">
          <cell r="A2" t="str">
            <v>실     명</v>
          </cell>
        </row>
      </sheetData>
      <sheetData sheetId="5260">
        <row r="2">
          <cell r="A2" t="str">
            <v>실     명</v>
          </cell>
        </row>
      </sheetData>
      <sheetData sheetId="5261">
        <row r="2">
          <cell r="A2" t="str">
            <v>실     명</v>
          </cell>
        </row>
      </sheetData>
      <sheetData sheetId="5262">
        <row r="2">
          <cell r="A2" t="str">
            <v>실     명</v>
          </cell>
        </row>
      </sheetData>
      <sheetData sheetId="5263">
        <row r="2">
          <cell r="A2" t="str">
            <v>실     명</v>
          </cell>
        </row>
      </sheetData>
      <sheetData sheetId="5264">
        <row r="2">
          <cell r="A2" t="str">
            <v>실     명</v>
          </cell>
        </row>
      </sheetData>
      <sheetData sheetId="5265">
        <row r="2">
          <cell r="A2" t="str">
            <v>실     명</v>
          </cell>
        </row>
      </sheetData>
      <sheetData sheetId="5266">
        <row r="2">
          <cell r="A2" t="str">
            <v>실     명</v>
          </cell>
        </row>
      </sheetData>
      <sheetData sheetId="5267">
        <row r="2">
          <cell r="A2" t="str">
            <v>실     명</v>
          </cell>
        </row>
      </sheetData>
      <sheetData sheetId="5268">
        <row r="2">
          <cell r="A2" t="str">
            <v>실     명</v>
          </cell>
        </row>
      </sheetData>
      <sheetData sheetId="5269">
        <row r="2">
          <cell r="A2" t="str">
            <v>실     명</v>
          </cell>
        </row>
      </sheetData>
      <sheetData sheetId="5270">
        <row r="2">
          <cell r="A2" t="str">
            <v>실     명</v>
          </cell>
        </row>
      </sheetData>
      <sheetData sheetId="5271">
        <row r="2">
          <cell r="A2" t="str">
            <v>실     명</v>
          </cell>
        </row>
      </sheetData>
      <sheetData sheetId="5272">
        <row r="2">
          <cell r="A2" t="str">
            <v>실     명</v>
          </cell>
        </row>
      </sheetData>
      <sheetData sheetId="5273">
        <row r="2">
          <cell r="A2" t="str">
            <v>실     명</v>
          </cell>
        </row>
      </sheetData>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sheetData sheetId="5398"/>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ow r="2">
          <cell r="A2" t="str">
            <v>실     명</v>
          </cell>
        </row>
      </sheetData>
      <sheetData sheetId="5442">
        <row r="2">
          <cell r="A2" t="str">
            <v>실     명</v>
          </cell>
        </row>
      </sheetData>
      <sheetData sheetId="5443">
        <row r="2">
          <cell r="A2" t="str">
            <v>실     명</v>
          </cell>
        </row>
      </sheetData>
      <sheetData sheetId="5444">
        <row r="2">
          <cell r="A2" t="str">
            <v>실     명</v>
          </cell>
        </row>
      </sheetData>
      <sheetData sheetId="5445">
        <row r="2">
          <cell r="A2" t="str">
            <v>실     명</v>
          </cell>
        </row>
      </sheetData>
      <sheetData sheetId="5446">
        <row r="2">
          <cell r="A2" t="str">
            <v>실     명</v>
          </cell>
        </row>
      </sheetData>
      <sheetData sheetId="5447">
        <row r="2">
          <cell r="A2" t="str">
            <v>실     명</v>
          </cell>
        </row>
      </sheetData>
      <sheetData sheetId="5448">
        <row r="2">
          <cell r="A2" t="str">
            <v>실     명</v>
          </cell>
        </row>
      </sheetData>
      <sheetData sheetId="5449">
        <row r="2">
          <cell r="A2" t="str">
            <v>실     명</v>
          </cell>
        </row>
      </sheetData>
      <sheetData sheetId="5450">
        <row r="2">
          <cell r="A2" t="str">
            <v>실     명</v>
          </cell>
        </row>
      </sheetData>
      <sheetData sheetId="5451">
        <row r="2">
          <cell r="A2" t="str">
            <v>실     명</v>
          </cell>
        </row>
      </sheetData>
      <sheetData sheetId="5452">
        <row r="2">
          <cell r="A2" t="str">
            <v>실     명</v>
          </cell>
        </row>
      </sheetData>
      <sheetData sheetId="5453">
        <row r="2">
          <cell r="A2" t="str">
            <v>실     명</v>
          </cell>
        </row>
      </sheetData>
      <sheetData sheetId="5454">
        <row r="2">
          <cell r="A2" t="str">
            <v>실     명</v>
          </cell>
        </row>
      </sheetData>
      <sheetData sheetId="5455">
        <row r="2">
          <cell r="A2" t="str">
            <v>실     명</v>
          </cell>
        </row>
      </sheetData>
      <sheetData sheetId="5456">
        <row r="2">
          <cell r="A2" t="str">
            <v>실     명</v>
          </cell>
        </row>
      </sheetData>
      <sheetData sheetId="5457">
        <row r="2">
          <cell r="A2" t="str">
            <v>실     명</v>
          </cell>
        </row>
      </sheetData>
      <sheetData sheetId="5458">
        <row r="2">
          <cell r="A2" t="str">
            <v>실     명</v>
          </cell>
        </row>
      </sheetData>
      <sheetData sheetId="5459" refreshError="1"/>
      <sheetData sheetId="5460" refreshError="1"/>
      <sheetData sheetId="5461">
        <row r="2">
          <cell r="A2" t="str">
            <v>실     명</v>
          </cell>
        </row>
      </sheetData>
      <sheetData sheetId="5462" refreshError="1"/>
      <sheetData sheetId="5463" refreshError="1"/>
      <sheetData sheetId="5464" refreshError="1"/>
      <sheetData sheetId="5465">
        <row r="2">
          <cell r="A2" t="str">
            <v>실     명</v>
          </cell>
        </row>
      </sheetData>
      <sheetData sheetId="5466">
        <row r="2">
          <cell r="A2" t="str">
            <v>실     명</v>
          </cell>
        </row>
      </sheetData>
      <sheetData sheetId="5467">
        <row r="2">
          <cell r="A2" t="str">
            <v>실     명</v>
          </cell>
        </row>
      </sheetData>
      <sheetData sheetId="5468">
        <row r="2">
          <cell r="A2" t="str">
            <v>실     명</v>
          </cell>
        </row>
      </sheetData>
      <sheetData sheetId="5469">
        <row r="2">
          <cell r="A2" t="str">
            <v>실     명</v>
          </cell>
        </row>
      </sheetData>
      <sheetData sheetId="5470">
        <row r="2">
          <cell r="A2" t="str">
            <v>실     명</v>
          </cell>
        </row>
      </sheetData>
      <sheetData sheetId="5471">
        <row r="2">
          <cell r="A2" t="str">
            <v>실     명</v>
          </cell>
        </row>
      </sheetData>
      <sheetData sheetId="5472">
        <row r="2">
          <cell r="A2" t="str">
            <v>실     명</v>
          </cell>
        </row>
      </sheetData>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sheetData sheetId="5556"/>
      <sheetData sheetId="5557"/>
      <sheetData sheetId="5558"/>
      <sheetData sheetId="5559"/>
      <sheetData sheetId="5560"/>
      <sheetData sheetId="5561"/>
      <sheetData sheetId="5562"/>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sheetData sheetId="5848">
        <row r="2">
          <cell r="A2" t="str">
            <v>실     명</v>
          </cell>
        </row>
      </sheetData>
      <sheetData sheetId="5849">
        <row r="2">
          <cell r="A2" t="str">
            <v>실     명</v>
          </cell>
        </row>
      </sheetData>
      <sheetData sheetId="5850">
        <row r="2">
          <cell r="A2" t="str">
            <v>실     명</v>
          </cell>
        </row>
      </sheetData>
      <sheetData sheetId="5851"/>
      <sheetData sheetId="5852"/>
      <sheetData sheetId="5853"/>
      <sheetData sheetId="5854"/>
      <sheetData sheetId="5855"/>
      <sheetData sheetId="5856"/>
      <sheetData sheetId="5857"/>
      <sheetData sheetId="5858"/>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sheetData sheetId="6233" refreshError="1"/>
      <sheetData sheetId="6234" refreshError="1"/>
      <sheetData sheetId="6235" refreshError="1"/>
      <sheetData sheetId="6236" refreshError="1"/>
      <sheetData sheetId="6237"/>
      <sheetData sheetId="6238"/>
      <sheetData sheetId="6239"/>
      <sheetData sheetId="6240"/>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F BDOWN(청산-당초)"/>
      <sheetName val="RCF BDOWN(청산-BQ)"/>
      <sheetName val="RCF CLAIMED"/>
      <sheetName val="97 사업추정(WEKI)"/>
      <sheetName val="6호기"/>
      <sheetName val="공사비 내역 (가)"/>
      <sheetName val="#REF"/>
      <sheetName val="기준요인별"/>
      <sheetName val="수입"/>
      <sheetName val="간접비 총괄표"/>
    </sheetNames>
    <sheetDataSet>
      <sheetData sheetId="0" refreshError="1"/>
      <sheetData sheetId="1" refreshError="1"/>
      <sheetData sheetId="2" refreshError="1">
        <row r="1">
          <cell r="A1" t="str">
            <v>HYUNDAI ENGINEERING &amp; CONSTRUCTION CO. LTD.</v>
          </cell>
        </row>
        <row r="2">
          <cell r="A2" t="str">
            <v>SELETAR SEWAGE TREATMENT WORKS PHASE III</v>
          </cell>
          <cell r="L2" t="str">
            <v>CLAIMED AMOUNT</v>
          </cell>
        </row>
        <row r="3">
          <cell r="R3" t="str">
            <v>AS OF OCT. 2000</v>
          </cell>
        </row>
        <row r="4">
          <cell r="G4" t="str">
            <v>INLET</v>
          </cell>
          <cell r="H4" t="str">
            <v>BATTERY</v>
          </cell>
          <cell r="I4" t="str">
            <v>SPB</v>
          </cell>
          <cell r="J4" t="str">
            <v>POWERH</v>
          </cell>
          <cell r="K4" t="str">
            <v>DIGESTERS</v>
          </cell>
          <cell r="L4" t="str">
            <v>SLUDGE ST</v>
          </cell>
          <cell r="M4" t="str">
            <v>GAS TANKS</v>
          </cell>
          <cell r="N4" t="str">
            <v>FUEL OIL S</v>
          </cell>
          <cell r="O4" t="str">
            <v>TRANSFORMER</v>
          </cell>
          <cell r="S4" t="str">
            <v>TOTAL</v>
          </cell>
        </row>
        <row r="5">
          <cell r="P5" t="str">
            <v>UNIT</v>
          </cell>
          <cell r="Q5" t="str">
            <v>QTY</v>
          </cell>
          <cell r="R5" t="str">
            <v>RATE (S$)</v>
          </cell>
        </row>
        <row r="6">
          <cell r="B6" t="str">
            <v>STRUCTURAL BREAKDOWN</v>
          </cell>
        </row>
        <row r="8">
          <cell r="B8" t="str">
            <v>CONCRETE</v>
          </cell>
          <cell r="G8">
            <v>4692710.22</v>
          </cell>
          <cell r="H8">
            <v>13356936.42</v>
          </cell>
          <cell r="I8">
            <v>4137599.7600000002</v>
          </cell>
          <cell r="J8">
            <v>1170450.01</v>
          </cell>
          <cell r="K8">
            <v>2719484.1599999997</v>
          </cell>
          <cell r="L8">
            <v>511570.69999999995</v>
          </cell>
          <cell r="M8">
            <v>332838.98000000004</v>
          </cell>
          <cell r="N8">
            <v>60302.939999999995</v>
          </cell>
          <cell r="O8">
            <v>17611.489999999998</v>
          </cell>
          <cell r="P8" t="str">
            <v>M3</v>
          </cell>
          <cell r="Q8">
            <v>201338.58821774798</v>
          </cell>
          <cell r="R8">
            <v>134.1</v>
          </cell>
          <cell r="S8">
            <v>26999504.680000003</v>
          </cell>
        </row>
        <row r="9">
          <cell r="B9" t="str">
            <v>FORMWORK</v>
          </cell>
          <cell r="G9">
            <v>3030994.1500000013</v>
          </cell>
          <cell r="H9">
            <v>7226319.080000001</v>
          </cell>
          <cell r="I9">
            <v>2653262.2599999998</v>
          </cell>
          <cell r="J9">
            <v>937226.25999999989</v>
          </cell>
          <cell r="K9">
            <v>2717583.5799999996</v>
          </cell>
          <cell r="L9">
            <v>441748.75000000006</v>
          </cell>
          <cell r="M9">
            <v>293172.83999999997</v>
          </cell>
          <cell r="N9">
            <v>58443.939999999995</v>
          </cell>
          <cell r="O9">
            <v>21148.61</v>
          </cell>
          <cell r="P9" t="str">
            <v>M2</v>
          </cell>
          <cell r="Q9">
            <v>508184.19502923981</v>
          </cell>
          <cell r="R9">
            <v>34.200000000000003</v>
          </cell>
          <cell r="S9">
            <v>17379899.470000003</v>
          </cell>
        </row>
        <row r="10">
          <cell r="B10" t="str">
            <v>REBAR</v>
          </cell>
          <cell r="G10">
            <v>6085818.3599999994</v>
          </cell>
          <cell r="H10">
            <v>14012578.790000001</v>
          </cell>
          <cell r="I10">
            <v>5737423.6499999994</v>
          </cell>
          <cell r="J10">
            <v>1657986.0499999998</v>
          </cell>
          <cell r="K10">
            <v>3255346.4299999997</v>
          </cell>
          <cell r="L10">
            <v>532751.73</v>
          </cell>
          <cell r="M10">
            <v>204144.84</v>
          </cell>
          <cell r="N10">
            <v>30720.04</v>
          </cell>
          <cell r="O10">
            <v>16859.11</v>
          </cell>
          <cell r="P10" t="str">
            <v>TON</v>
          </cell>
          <cell r="Q10">
            <v>34766.955898566703</v>
          </cell>
          <cell r="R10">
            <v>907</v>
          </cell>
          <cell r="S10">
            <v>31533628.999999996</v>
          </cell>
        </row>
        <row r="11">
          <cell r="C11" t="str">
            <v>WATERSTOP</v>
          </cell>
          <cell r="G11">
            <v>120997.36</v>
          </cell>
          <cell r="H11">
            <v>315678.64</v>
          </cell>
          <cell r="I11">
            <v>92549.639999999985</v>
          </cell>
          <cell r="J11">
            <v>21002.370000000003</v>
          </cell>
          <cell r="K11">
            <v>72259.259999999995</v>
          </cell>
          <cell r="L11">
            <v>1928.36</v>
          </cell>
          <cell r="M11">
            <v>2172.6</v>
          </cell>
          <cell r="P11" t="str">
            <v>M</v>
          </cell>
          <cell r="Q11">
            <v>44125.931690140846</v>
          </cell>
          <cell r="R11">
            <v>14.2</v>
          </cell>
          <cell r="S11">
            <v>626588.23</v>
          </cell>
        </row>
        <row r="12">
          <cell r="C12" t="str">
            <v xml:space="preserve"> FINISH TO FALL, ETC.</v>
          </cell>
          <cell r="G12">
            <v>39950.559999999998</v>
          </cell>
          <cell r="H12">
            <v>475584</v>
          </cell>
          <cell r="I12">
            <v>37769.229999999996</v>
          </cell>
          <cell r="J12">
            <v>17662.71</v>
          </cell>
          <cell r="L12">
            <v>13518.9</v>
          </cell>
          <cell r="N12">
            <v>125.29</v>
          </cell>
          <cell r="P12" t="str">
            <v>M2</v>
          </cell>
          <cell r="Q12">
            <v>89940.106153846165</v>
          </cell>
          <cell r="R12">
            <v>6.5</v>
          </cell>
          <cell r="S12">
            <v>584610.69000000006</v>
          </cell>
        </row>
        <row r="24">
          <cell r="A24" t="str">
            <v>GRAND TOTAL</v>
          </cell>
          <cell r="G24">
            <v>13970470.65</v>
          </cell>
          <cell r="H24">
            <v>35387096.93</v>
          </cell>
          <cell r="I24">
            <v>12658604.539999999</v>
          </cell>
          <cell r="J24">
            <v>3804327.4</v>
          </cell>
          <cell r="K24">
            <v>8764673.4299999978</v>
          </cell>
          <cell r="L24">
            <v>1501518.44</v>
          </cell>
          <cell r="M24">
            <v>832329.26</v>
          </cell>
          <cell r="N24">
            <v>149592.21</v>
          </cell>
          <cell r="O24">
            <v>55619.21</v>
          </cell>
          <cell r="S24">
            <v>77124232.070000008</v>
          </cell>
        </row>
        <row r="27">
          <cell r="B27" t="str">
            <v>C:\CHLEE\이치헌\MR.김석철\[구조물청산물량정리.xls]RCF CLAIMED</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요약배부"/>
      <sheetName val="요약배부 (보고)"/>
      <sheetName val="요약배부 (보고) (2)"/>
      <sheetName val="배부기준체계"/>
      <sheetName val="예실차이 (2)"/>
      <sheetName val="내용분석(비율)"/>
      <sheetName val="기타매출1"/>
      <sheetName val="Module1"/>
      <sheetName val="배부부별"/>
      <sheetName val="배부비목"/>
      <sheetName val="배부기준설명"/>
      <sheetName val="예실차이"/>
      <sheetName val="임대원가"/>
      <sheetName val="기타매출"/>
      <sheetName val="영업소실적"/>
      <sheetName val="새마을금고"/>
      <sheetName val="참고인원"/>
      <sheetName val="인원대비표"/>
      <sheetName val="사업부배부A"/>
      <sheetName val="97 사업추정(WEKI)"/>
      <sheetName val="총괄표"/>
      <sheetName val="단가"/>
      <sheetName val="노임"/>
      <sheetName val="Sheet5"/>
      <sheetName val="MOKDONG(1)"/>
      <sheetName val="Option"/>
      <sheetName val="N賃率-職"/>
      <sheetName val="노임단가"/>
      <sheetName val="수입"/>
      <sheetName val="I一般比"/>
      <sheetName val="SIMULATION"/>
      <sheetName val="공사비_NDE"/>
      <sheetName val="지급자재"/>
      <sheetName val="단가조사"/>
      <sheetName val="단가산출"/>
      <sheetName val="unit 4"/>
      <sheetName val="일위목차"/>
      <sheetName val="97 사업추정_WEKI_"/>
      <sheetName val="공사내역"/>
      <sheetName val="설계명세서"/>
      <sheetName val="품셈표"/>
      <sheetName val="집계표"/>
      <sheetName val="예산"/>
      <sheetName val="수량A"/>
      <sheetName val="분당임차변경"/>
      <sheetName val="단위수량"/>
      <sheetName val="당초"/>
      <sheetName val="BQ_Utl_Off"/>
      <sheetName val="공통"/>
      <sheetName val="배부97121"/>
      <sheetName val="정산표"/>
      <sheetName val="년말집계"/>
      <sheetName val="지우기"/>
      <sheetName val="일위대가"/>
      <sheetName val="Sheet1"/>
      <sheetName val="PI"/>
      <sheetName val="SubCon"/>
      <sheetName val="휴일check"/>
      <sheetName val=" FURNACE현설"/>
      <sheetName val="RENUN"/>
      <sheetName val="단가일람"/>
      <sheetName val="단위량당중기"/>
      <sheetName val="간접비 총괄표"/>
      <sheetName val="Cover"/>
      <sheetName val="Sheet2"/>
      <sheetName val="eq_data"/>
      <sheetName val="세금자료"/>
      <sheetName val="경제지표"/>
      <sheetName val="상반기손익차2총괄"/>
      <sheetName val="b_balju-단가단가단가"/>
      <sheetName val="급여관련자료"/>
      <sheetName val="h-013211-2"/>
      <sheetName val="NPC500"/>
      <sheetName val="갑지"/>
      <sheetName val="노점수분"/>
      <sheetName val="6호기"/>
      <sheetName val="RCF CLAIMED"/>
      <sheetName val="내역"/>
      <sheetName val="Bond Fee"/>
      <sheetName val="예산내역"/>
      <sheetName val="총괄수지표"/>
      <sheetName val="별표1"/>
      <sheetName val="Units"/>
      <sheetName val="Instructions"/>
      <sheetName val="BLDG_DCI"/>
      <sheetName val="BLDG_MCI"/>
      <sheetName val="DATA1"/>
      <sheetName val="PumpSpec"/>
      <sheetName val="순공사비"/>
      <sheetName val="매설배관"/>
      <sheetName val="A LINE"/>
      <sheetName val="인원계획"/>
      <sheetName val="C3"/>
      <sheetName val="요약배부_(보고)"/>
      <sheetName val="요약배부_(보고)_(2)"/>
      <sheetName val="예실차이_(2)"/>
      <sheetName val="POL6차-PIPING"/>
      <sheetName val="97_사업추정(WEKI)"/>
      <sheetName val="_FURNACE현설"/>
      <sheetName val="97_사업추정_WEKI_"/>
      <sheetName val="unit_4"/>
      <sheetName val="간접비_총괄표"/>
      <sheetName val="RCF_CLAIMED"/>
      <sheetName val="Bond_Fee"/>
      <sheetName val="자재단가비교표"/>
      <sheetName val="2.대외공문"/>
      <sheetName val="95하U$가격"/>
      <sheetName val="노임9월"/>
      <sheetName val="DATE"/>
      <sheetName val="미지급금"/>
      <sheetName val="주관사업"/>
      <sheetName val="일위대가표"/>
      <sheetName val="Tipo Terzi"/>
      <sheetName val="공사비_내역_(가)"/>
      <sheetName val="요약배부_(보고)1"/>
      <sheetName val="요약배부_(보고)_(2)1"/>
      <sheetName val="예실차이_(2)1"/>
      <sheetName val="97_사업추정(WEKI)1"/>
      <sheetName val="TOTAL"/>
      <sheetName val="CAT_5"/>
      <sheetName val="ISBL"/>
      <sheetName val="OSBL"/>
      <sheetName val="적용기준"/>
      <sheetName val="공사비 내역 (가)"/>
      <sheetName val="Spec1"/>
      <sheetName val="CondPol"/>
      <sheetName val="w't table"/>
      <sheetName val="잡설비내역"/>
      <sheetName val="부표총괄"/>
      <sheetName val="96노임기준"/>
      <sheetName val="95삼성급(본사)"/>
      <sheetName val="BEND LOSS"/>
      <sheetName val="BM"/>
      <sheetName val="소야공정계획표"/>
      <sheetName val="자재총괄"/>
      <sheetName val="공통가설"/>
      <sheetName val="산근"/>
      <sheetName val="Mech CIF"/>
      <sheetName val="인원동원계획"/>
      <sheetName val="SE-611"/>
      <sheetName val="간접비총괄"/>
      <sheetName val="Sheet1 (2)"/>
      <sheetName val="적현로"/>
      <sheetName val="기초"/>
      <sheetName val="다곡2교"/>
      <sheetName val="JIG"/>
      <sheetName val="出力画面"/>
      <sheetName val="제작비 집계"/>
      <sheetName val="자재비"/>
      <sheetName val="단가DB"/>
      <sheetName val="대차대조표"/>
      <sheetName val="인건비"/>
      <sheetName val="노무비"/>
      <sheetName val="제작비추산총괄표"/>
      <sheetName val="SS2"/>
      <sheetName val="내역표지"/>
      <sheetName val="작성방법"/>
      <sheetName val="2선재"/>
      <sheetName val="투찰가"/>
      <sheetName val="97_사업추정_WEKI_1"/>
      <sheetName val="unit_41"/>
      <sheetName val="간접비_총괄표1"/>
      <sheetName val="_FURNACE현설1"/>
      <sheetName val="RCF_CLAIMED1"/>
      <sheetName val="Bond_Fee1"/>
      <sheetName val="A_LINE"/>
      <sheetName val="2_대외공문"/>
      <sheetName val="박상무"/>
      <sheetName val="곽병갑"/>
      <sheetName val="김석천"/>
      <sheetName val="오이균"/>
      <sheetName val="이명례"/>
      <sheetName val="원가계산서"/>
      <sheetName val="10.master schedule rev 1(LSIS)"/>
      <sheetName val="Code"/>
      <sheetName val="예산작성기준(전기)"/>
      <sheetName val="수주추정"/>
      <sheetName val="도급양식"/>
      <sheetName val="70%"/>
      <sheetName val="기간등록"/>
      <sheetName val="PipWT"/>
      <sheetName val="96.12"/>
      <sheetName val="1호인버트수량"/>
      <sheetName val="QUOTATION"/>
      <sheetName val="을지"/>
      <sheetName val="C.배수관공"/>
      <sheetName val="견적"/>
      <sheetName val="#REF"/>
      <sheetName val="BM DATA SHEET"/>
      <sheetName val="95신규호표"/>
      <sheetName val="노임이"/>
      <sheetName val="유림골조"/>
      <sheetName val="도급내역(금차분)"/>
      <sheetName val="배수내역"/>
      <sheetName val="골조시행"/>
      <sheetName val="수주현황2월"/>
      <sheetName val="공정진도현황(2069)"/>
      <sheetName val="공정진도현황(2단계2차)"/>
      <sheetName val="guard(mac)"/>
      <sheetName val="PDMP"/>
      <sheetName val="PCE"/>
      <sheetName val="PRODUK"/>
      <sheetName val="TOOL-ME"/>
      <sheetName val="갑지(추정)"/>
      <sheetName val="Qall of Cooler"/>
      <sheetName val="TIE-INS"/>
      <sheetName val="금융"/>
      <sheetName val="가로등내역서"/>
      <sheetName val="산1~4"/>
      <sheetName val="대전-교대(A1-A2)"/>
      <sheetName val="배수공"/>
      <sheetName val="COST-SUM"/>
      <sheetName val="요약배부_(보고)2"/>
      <sheetName val="요약배부_(보고)_(2)2"/>
      <sheetName val="예실차이_(2)2"/>
      <sheetName val="97_사업추정(WEKI)2"/>
      <sheetName val="unit_42"/>
      <sheetName val="97_사업추정_WEKI_2"/>
      <sheetName val="_FURNACE현설2"/>
      <sheetName val="간접비_총괄표2"/>
      <sheetName val="RCF_CLAIMED2"/>
      <sheetName val="Bond_Fee2"/>
      <sheetName val="A_LINE1"/>
      <sheetName val="2_대외공문1"/>
      <sheetName val="공사비_내역_(가)1"/>
      <sheetName val="w't_table"/>
      <sheetName val="Tipo_Terzi"/>
      <sheetName val="BEND_LOSS"/>
      <sheetName val="Mech_CIF"/>
      <sheetName val="Sheet1_(2)"/>
      <sheetName val="제작비_집계"/>
      <sheetName val="10_master_schedule_rev_1(LSIS)"/>
      <sheetName val="손익차9월2"/>
      <sheetName val="Compressors"/>
      <sheetName val="인사자료총집계"/>
      <sheetName val="가도공"/>
      <sheetName val="4-Basic Price"/>
      <sheetName val="Analisa"/>
      <sheetName val="B - Norelec"/>
      <sheetName val="D8(1)"/>
      <sheetName val="HRG DSR UPAH &amp; BAHAN"/>
      <sheetName val="5-ALAT (2)"/>
      <sheetName val="D10 LS-Rutin"/>
      <sheetName val="D9"/>
      <sheetName val="BOQ"/>
      <sheetName val="교대(A1)"/>
      <sheetName val="A-12"/>
      <sheetName val="RE-BAR"/>
      <sheetName val="取费表"/>
      <sheetName val="总估算表(英)"/>
      <sheetName val="Electricity"/>
      <sheetName val="Phase1 Summary"/>
      <sheetName val="1设备占用野三"/>
      <sheetName val="9-1차이내역"/>
      <sheetName val="RIASSUNTIVO"/>
      <sheetName val="BOJUNGGM"/>
      <sheetName val="Stl Backup"/>
      <sheetName val="WBS Split"/>
      <sheetName val="설계내역서"/>
      <sheetName val="CTEMCOST"/>
      <sheetName val="도기류"/>
      <sheetName val="5.경상직원"/>
      <sheetName val="환율CHANGE"/>
      <sheetName val="H.P견적(참조)"/>
      <sheetName val="Proposal"/>
      <sheetName val="매각(6)"/>
      <sheetName val="BM_DATA_SHEET"/>
      <sheetName val="C_배수관공"/>
      <sheetName val="96_1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접비(1)"/>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사업계획"/>
      <sheetName val="xxxxxx"/>
      <sheetName val="간접비총괄"/>
      <sheetName val="간접비내역서"/>
      <sheetName val="환율"/>
      <sheetName val="간접비변동(Rev.1)"/>
      <sheetName val="간접비 비교표"/>
      <sheetName val="EXTERNAL(BOQ)"/>
      <sheetName val="소화실적"/>
      <sheetName val="집계표"/>
      <sheetName val="RENUN"/>
      <sheetName val="유림골조"/>
      <sheetName val="Eq. Mobilization"/>
      <sheetName val="15 문제점"/>
      <sheetName val="기초공"/>
      <sheetName val="기둥(원형)"/>
      <sheetName val="BRICK"/>
      <sheetName val="회사99"/>
      <sheetName val="97 사업추정(WEKI)"/>
      <sheetName val="간접비Z"/>
      <sheetName val="#REF"/>
    </sheetNames>
    <sheetDataSet>
      <sheetData sheetId="0" refreshError="1">
        <row r="13">
          <cell r="AE13">
            <v>765</v>
          </cell>
        </row>
        <row r="54">
          <cell r="AF54">
            <v>742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내역서"/>
      <sheetName val="원가계산"/>
      <sheetName val="부대내역서"/>
      <sheetName val="설비사항"/>
      <sheetName val="설비내역"/>
      <sheetName val="소방사항"/>
      <sheetName val="소방내역"/>
      <sheetName val="제어사항"/>
      <sheetName val="부대제어"/>
      <sheetName val="갑지(추정)"/>
      <sheetName val="목록"/>
      <sheetName val="중기"/>
      <sheetName val="전체"/>
      <sheetName val="본부별사업계획2차"/>
      <sheetName val="출자한도"/>
      <sheetName val="#REF"/>
      <sheetName val="현장"/>
      <sheetName val="현금"/>
      <sheetName val="1월"/>
      <sheetName val="관계주식"/>
      <sheetName val="6호기"/>
      <sheetName val="BQ(실행)"/>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국문(대내)보고"/>
      <sheetName val="국문(대외)보고"/>
      <sheetName val="영문(대외)보고"/>
      <sheetName val="승진통보(1.토목)"/>
      <sheetName val="승진통보(2.건축)"/>
      <sheetName val="승진통보(3.플랜트)"/>
      <sheetName val="승진통보(4.전력)"/>
      <sheetName val="승진통보(5.국내영업)"/>
      <sheetName val="승진통보(6.해외영업)"/>
      <sheetName val="승진통보(7.연구개발)"/>
      <sheetName val="승진통보(8.현장지원)"/>
      <sheetName val="승진통보(9.기획)"/>
      <sheetName val="승진통보(10.재경)"/>
      <sheetName val="승진통보(11.경영지원)"/>
      <sheetName val="승진통보(12.감사)"/>
      <sheetName val="1.재임승진"/>
      <sheetName val="2.신규선임"/>
      <sheetName val="3.임원그룹전출입"/>
      <sheetName val="4.임원퇴임(김석종포함)"/>
      <sheetName val="4.임원퇴임(김석종제외)"/>
      <sheetName val="4.임원퇴임(김석종,이종빈제외)"/>
      <sheetName val="5.전문임원,자문역"/>
      <sheetName val="6.본부장 보직임면"/>
      <sheetName val="7.FreddyTan"/>
      <sheetName val="1)임원현황(계열사포함)"/>
      <sheetName val="임원격려금 지급대상자 명단 작업"/>
      <sheetName val="임원격려금 지급대상자 명단(송부용)"/>
      <sheetName val="2)임원연봉정리"/>
      <sheetName val="3)임원연봉테이블"/>
      <sheetName val="4)현황표"/>
      <sheetName val="5)임원연봉정리(퇴임제외)"/>
      <sheetName val="Sheet3"/>
      <sheetName val="5)임원연봉정리(퇴임제외) (2)"/>
      <sheetName val="★2013년초임원현황(김석종,이종빈제외)"/>
      <sheetName val="★2013년초임원현황(김석종,이종빈포함)"/>
      <sheetName val="순번참고"/>
      <sheetName val="박찬일대리님 송부용(김석종,이종빈제외)"/>
      <sheetName val="6)연봉통지서"/>
      <sheetName val="계열사임원연봉현황"/>
      <sheetName val="별첨4.구입금액"/>
      <sheetName val="STAND20"/>
      <sheetName val="95하U$가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
          <cell r="A2" t="str">
            <v>1105744</v>
          </cell>
        </row>
      </sheetData>
      <sheetData sheetId="31"/>
      <sheetData sheetId="32"/>
      <sheetData sheetId="33"/>
      <sheetData sheetId="34"/>
      <sheetData sheetId="35"/>
      <sheetData sheetId="36"/>
      <sheetData sheetId="37"/>
      <sheetData sheetId="38"/>
      <sheetData sheetId="39" refreshError="1"/>
      <sheetData sheetId="40" refreshError="1"/>
      <sheetData sheetId="41"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문"/>
      <sheetName val="STAND20"/>
      <sheetName val="STAND20(2)"/>
      <sheetName val="PLAN"/>
      <sheetName val="GUIDELINE"/>
      <sheetName val="월별양식"/>
      <sheetName val="예산내역"/>
      <sheetName val="FIXED_EXP"/>
      <sheetName val="VARIABLE_EXP"/>
      <sheetName val="표지"/>
      <sheetName val="지점예산"/>
      <sheetName val="98실99예"/>
      <sheetName val="한국수급"/>
      <sheetName val="현지수급"/>
      <sheetName val="간접수급"/>
      <sheetName val="한국직현"/>
      <sheetName val="현지직원"/>
      <sheetName val="LOC_COST"/>
      <sheetName val="간접요원"/>
      <sheetName val="사무임차"/>
      <sheetName val="차량현황"/>
      <sheetName val="비품임차"/>
      <sheetName val="그룹사현"/>
      <sheetName val="상반기손익차2총괄"/>
      <sheetName val="1"/>
      <sheetName val="RCF CLAIMED"/>
      <sheetName val="Sheet4"/>
      <sheetName val="Total"/>
      <sheetName val="매각(6)"/>
      <sheetName val="간접비(1)"/>
      <sheetName val="6호기"/>
      <sheetName val="HDECGTY"/>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안전장치"/>
      <sheetName val="97년 SEACO예산"/>
      <sheetName val="간접비 총괄표"/>
      <sheetName val="Sheet2"/>
      <sheetName val="공통비총괄표"/>
      <sheetName val="마산월령동골조물량변경"/>
      <sheetName val="정산표"/>
      <sheetName val="년말집계"/>
      <sheetName val="토목공사"/>
      <sheetName val="공사개요"/>
      <sheetName val="주관사업"/>
      <sheetName val="Eq. Mobilization"/>
      <sheetName val="cal"/>
      <sheetName val="수입"/>
      <sheetName val="도근좌표"/>
      <sheetName val="7-3가설공사 내역"/>
      <sheetName val="수리결과"/>
      <sheetName val="유림골조"/>
      <sheetName val="갑지(추정)"/>
      <sheetName val="#REF"/>
      <sheetName val="손익차9월2"/>
      <sheetName val="DATA 입력부"/>
      <sheetName val="임대료평가 대상목록(10-11-10)"/>
      <sheetName val="현물출자 평가내용(10-05-03)"/>
      <sheetName val="경비2내역"/>
      <sheetName val="CF Rev.0"/>
      <sheetName val="설계명세"/>
      <sheetName val="내역"/>
    </sheetNames>
    <sheetDataSet>
      <sheetData sheetId="0"/>
      <sheetData sheetId="1" refreshError="1">
        <row r="1">
          <cell r="A1" t="str">
            <v>GUIDELINES ON MAKING-UP OF '2000 BUDGET</v>
          </cell>
          <cell r="G1" t="str">
            <v>/PPRAA~AG</v>
          </cell>
        </row>
        <row r="3">
          <cell r="G3" t="str">
            <v>RBB~AG</v>
          </cell>
        </row>
        <row r="4">
          <cell r="A4" t="str">
            <v xml:space="preserve"> A. FIXED EXPENSE</v>
          </cell>
          <cell r="G4" t="str">
            <v>RCC~AG</v>
          </cell>
        </row>
        <row r="5">
          <cell r="G5" t="str">
            <v>RDD~AG</v>
          </cell>
        </row>
        <row r="6">
          <cell r="A6" t="str">
            <v>I T E M</v>
          </cell>
          <cell r="B6" t="str">
            <v>S U B  -  I T E M</v>
          </cell>
          <cell r="C6" t="str">
            <v xml:space="preserve">              G U I D E L I N E S      I N        D E T A I L S</v>
          </cell>
          <cell r="F6" t="str">
            <v>R E M A R K S</v>
          </cell>
          <cell r="G6" t="str">
            <v>REE~AG</v>
          </cell>
        </row>
        <row r="8">
          <cell r="A8" t="str">
            <v xml:space="preserve"> 1.SALARY &amp;</v>
          </cell>
          <cell r="B8" t="str">
            <v xml:space="preserve"> 1. KOREAN STAFF SALARY</v>
          </cell>
          <cell r="C8" t="str">
            <v xml:space="preserve"> - DRAFTED BY PERSON ACCORDING TO MONTHLY DEMAND-SUPPLY SCH.</v>
          </cell>
        </row>
        <row r="9">
          <cell r="A9" t="str">
            <v xml:space="preserve">   WAGE</v>
          </cell>
          <cell r="B9" t="str">
            <v xml:space="preserve">  1) SALARY</v>
          </cell>
          <cell r="C9" t="str">
            <v xml:space="preserve"> - JAN-DEC H/O-PAID SALARY (BASIC SALARY + ALLOWANCE FOR THE POST ATTACHED +</v>
          </cell>
        </row>
        <row r="10">
          <cell r="C10" t="str">
            <v xml:space="preserve">   OVERTIME PAY + LONG-SERVICE ALLOWANCE + OTHER ALLOWANCE)</v>
          </cell>
        </row>
        <row r="11">
          <cell r="B11" t="str">
            <v xml:space="preserve">  2) H/O PAID OVERSEAS</v>
          </cell>
          <cell r="C11" t="str">
            <v xml:space="preserve"> - H/O-PAID OVERSEAS ALLOWANCE BY GRADE BASED ON </v>
          </cell>
        </row>
        <row r="12">
          <cell r="B12" t="str">
            <v xml:space="preserve">     ALLOWANCE</v>
          </cell>
          <cell r="C12" t="str">
            <v xml:space="preserve">   OVERSEAS ALLOWANCE PAYMENT REGULATIONS.</v>
          </cell>
        </row>
        <row r="13">
          <cell r="B13" t="str">
            <v xml:space="preserve">  3) LOCAL-PAID ALLOWANCE</v>
          </cell>
          <cell r="C13" t="str">
            <v xml:space="preserve"> ① LOCAL-PAID OVERSEAS ALLOWANCE BY GRADE, CASHIER ALLOWANCE BASED ON</v>
          </cell>
        </row>
        <row r="14">
          <cell r="C14" t="str">
            <v xml:space="preserve">    OVERSEAS ALLOWANCE PAYMENT REGULATIONS.</v>
          </cell>
        </row>
        <row r="15">
          <cell r="C15" t="str">
            <v xml:space="preserve"> ② PURCHASING BRANCH : LOCAL-PAID ALLOWANCE &amp; HOUSING ALLOWANCE INC.</v>
          </cell>
        </row>
        <row r="16">
          <cell r="C16" t="str">
            <v xml:space="preserve">                        FOOD STUFFS, TAXES.</v>
          </cell>
        </row>
        <row r="17">
          <cell r="C17" t="str">
            <v xml:space="preserve"> ③ EXTENTION-SERVICE ALLOWANCE FOR EXTENTION-SERVICE STAFF.</v>
          </cell>
        </row>
        <row r="19">
          <cell r="B19" t="str">
            <v xml:space="preserve">  4) BONUS</v>
          </cell>
          <cell r="C19" t="str">
            <v xml:space="preserve"> - (BASIC SALARY + ALLOWANCE FOR THE POST ATTACHED + OVERTIME PAY) X 600%</v>
          </cell>
        </row>
        <row r="21">
          <cell r="B21" t="str">
            <v xml:space="preserve"> 2. LOCAL STAFF SALARY</v>
          </cell>
          <cell r="C21" t="str">
            <v xml:space="preserve"> - DRAFTED BY PERSON ACCORDING TO MONTHLY DEMAND-SUPPLY SCH.</v>
          </cell>
          <cell r="F21" t="str">
            <v xml:space="preserve"> - TO ATTACH ONE COPY OF EMPLOYMENT </v>
          </cell>
        </row>
        <row r="22">
          <cell r="B22" t="str">
            <v xml:space="preserve">  1) SALARY</v>
          </cell>
          <cell r="C22" t="str">
            <v xml:space="preserve"> - APPROPRIATE TOTAL MONTHLY-FIXED SALARY ON CONTRACT</v>
          </cell>
          <cell r="F22" t="str">
            <v xml:space="preserve">   CONTRACT AGREEMENT FOR LOCAL STAFF.</v>
          </cell>
        </row>
        <row r="23">
          <cell r="C23" t="str">
            <v xml:space="preserve"> - APPLY SALARY INCREASE IN ACCORADANCE WITH CONTRACT</v>
          </cell>
        </row>
        <row r="24">
          <cell r="B24" t="str">
            <v xml:space="preserve">  2) OVERTIME PAY</v>
          </cell>
          <cell r="C24" t="str">
            <v xml:space="preserve"> - SPECIFY OVERTIME WORK DETAILS, TIME &amp; PAYMENT STANDARDS</v>
          </cell>
        </row>
        <row r="25">
          <cell r="B25" t="str">
            <v xml:space="preserve">  3) BONUS</v>
          </cell>
          <cell r="C25" t="str">
            <v xml:space="preserve"> - CALCULATE BY PAYMENT TERMS SPECIFIED ON CONTRACT</v>
          </cell>
        </row>
        <row r="26">
          <cell r="C26" t="str">
            <v xml:space="preserve">   (PAYMENT TIME &amp; AMOUNT SPECIFIED)</v>
          </cell>
        </row>
        <row r="27">
          <cell r="B27" t="str">
            <v xml:space="preserve"> 3. INDIRECT LABOUR'S WAGE</v>
          </cell>
          <cell r="C27" t="str">
            <v xml:space="preserve"> - DRAFTED BY PERSON ACCORDING TO MONTHLY DEMAND-SUPPLY SCH.</v>
          </cell>
        </row>
        <row r="28">
          <cell r="B28" t="str">
            <v xml:space="preserve">  1) KOREAN</v>
          </cell>
          <cell r="C28" t="str">
            <v xml:space="preserve"> - APPROPRIATE KOREAN LABOUR'S TOTAL WAGE</v>
          </cell>
        </row>
        <row r="29">
          <cell r="B29" t="str">
            <v xml:space="preserve">  2) FOREIGNER</v>
          </cell>
          <cell r="C29" t="str">
            <v xml:space="preserve"> - APPROPRIATE LOCAL &amp; FOREIGN LABOUR'S TOTAL WAGE</v>
          </cell>
        </row>
        <row r="31">
          <cell r="B31" t="str">
            <v xml:space="preserve"> 4. RETIREMENT GRANTS</v>
          </cell>
          <cell r="C31" t="str">
            <v xml:space="preserve"> ① KOREAN STAFF RETIREMENT GRANTS : APPROPRIATE 10% OF TOTAL AMOUNTS FOR </v>
          </cell>
          <cell r="F31" t="str">
            <v xml:space="preserve"> - EXCEPT LOCAL ALLOWANCE</v>
          </cell>
        </row>
        <row r="32">
          <cell r="D32" t="str">
            <v xml:space="preserve">     SALARY, ALLOWANCE(H/O-PAID) AND BONUS.</v>
          </cell>
        </row>
        <row r="33">
          <cell r="C33" t="str">
            <v xml:space="preserve"> ② LOCAL STAFF RETIREMENT GRANTS  : APPROPRIATE AMOUNT OF RELEVANT YEAR</v>
          </cell>
          <cell r="F33" t="str">
            <v xml:space="preserve"> - SPECIFY CALCULATION DETAILS.</v>
          </cell>
        </row>
        <row r="34">
          <cell r="D34" t="str">
            <v xml:space="preserve">     ACCORDING TO LOCAL LAW.</v>
          </cell>
        </row>
        <row r="35">
          <cell r="C35" t="str">
            <v xml:space="preserve"> ③ KOREAN INDIRECT LABOURS' RETIREMENT GRANTS : APPROPRIATE 1/12 OF EACH </v>
          </cell>
          <cell r="F35" t="str">
            <v xml:space="preserve"> -              〃</v>
          </cell>
        </row>
        <row r="36">
          <cell r="D36" t="str">
            <v xml:space="preserve">                 ACTUAL (MONTH) WAGE</v>
          </cell>
        </row>
        <row r="37">
          <cell r="C37" t="str">
            <v xml:space="preserve"> ④ FOREIGN INDIRECT LABOURS' RETIREMENT GRANTS : APPROPRIATE AMOUNT OF</v>
          </cell>
          <cell r="F37" t="str">
            <v xml:space="preserve"> -              〃</v>
          </cell>
        </row>
        <row r="38">
          <cell r="D38" t="str">
            <v xml:space="preserve">         RELEVANT YEAR ACCORDING TO LOCAL LAW.</v>
          </cell>
        </row>
        <row r="40">
          <cell r="A40" t="str">
            <v xml:space="preserve"> 2.RENTAL CHARGE</v>
          </cell>
          <cell r="B40" t="str">
            <v xml:space="preserve"> 1. OFFICE RENTAL CHARGE</v>
          </cell>
          <cell r="C40" t="str">
            <v xml:space="preserve"> ① REFLECT YEARLY RENTAL CHARGE (SPECIFY SIZE, RENTAL CHARGE, RENTAL PERIOD,</v>
          </cell>
          <cell r="F40" t="str">
            <v xml:space="preserve"> - TO ATTACH ONE COPY OF LEASE CONTRACT </v>
          </cell>
        </row>
        <row r="41">
          <cell r="C41" t="str">
            <v xml:space="preserve">    DEPOSITS, PAYMENT TERMS ETC.)</v>
          </cell>
          <cell r="F41" t="str">
            <v xml:space="preserve">   AGREEMENT</v>
          </cell>
        </row>
        <row r="42">
          <cell r="C42" t="str">
            <v xml:space="preserve"> ② ON JOINT USE WITH GROUP CO. SPECIFY ALLOTED DETAILS &amp; STANDARD AND</v>
          </cell>
        </row>
        <row r="43">
          <cell r="C43" t="str">
            <v xml:space="preserve">    APPROPRIATE AMOUNT OF OUR CO.(HDEC) ONLY.</v>
          </cell>
        </row>
        <row r="44">
          <cell r="C44" t="str">
            <v xml:space="preserve"> ③ ADMISTRATIVE EXPENSE OCCURED FLUCTUATELY EVERY MONTH BESIDES RENTAL CHARGE </v>
          </cell>
        </row>
        <row r="45">
          <cell r="C45" t="str">
            <v xml:space="preserve">    (ELECTRICITY, WATER RATE, CLEANING EXPENSE, OTHER ADMISTRATIVE EXPENSE)  </v>
          </cell>
        </row>
        <row r="46">
          <cell r="C46" t="str">
            <v xml:space="preserve">    SHOULD BE REFLECTED IN WATER &amp; ELEC.(ITEM NO : B-7)  OR  QUARTER </v>
          </cell>
        </row>
        <row r="47">
          <cell r="C47" t="str">
            <v xml:space="preserve">    MAINTENANCE EXP. (ITEM NO : B-1-2)</v>
          </cell>
        </row>
        <row r="49">
          <cell r="B49" t="str">
            <v xml:space="preserve"> 2. QUARTER RENTAL CHARGE</v>
          </cell>
          <cell r="C49" t="str">
            <v xml:space="preserve">    SINGLE    QUARTER : (SPECIFY AREA, RENTAL CHARGE, RENTAL PERIOD, DEPOSITS,</v>
          </cell>
        </row>
        <row r="50">
          <cell r="C50" t="str">
            <v xml:space="preserve">                        PAYMENT TERMS ETC.)</v>
          </cell>
        </row>
        <row r="52">
          <cell r="B52" t="str">
            <v xml:space="preserve"> 3. COMMUNICATION </v>
          </cell>
          <cell r="C52" t="str">
            <v xml:space="preserve"> - COMMUNICATION EQUIPMENTS (TLX M/C, TELEPHONE EXCHANGE) RENTAL CHARGE</v>
          </cell>
          <cell r="F52" t="str">
            <v xml:space="preserve"> - TO ATTACH ONE COPY OF LEASE CONTRACT </v>
          </cell>
        </row>
        <row r="53">
          <cell r="B53" t="str">
            <v xml:space="preserve">  FACILITIES RENTAL CHARGE</v>
          </cell>
          <cell r="C53" t="str">
            <v xml:space="preserve">   (SPECIFY RENTAL TERMS)</v>
          </cell>
          <cell r="F53" t="str">
            <v xml:space="preserve">   AGREEMENT.</v>
          </cell>
        </row>
        <row r="55">
          <cell r="B55" t="str">
            <v xml:space="preserve"> 4. OFFICE FIXTURES RENTAL</v>
          </cell>
          <cell r="C55" t="str">
            <v xml:space="preserve"> - APPROPRIATE OFFICE FIXTURES RENTAL CHARGE (SPECIFY RENTAL TERMS)</v>
          </cell>
          <cell r="F55" t="str">
            <v xml:space="preserve"> -              〃</v>
          </cell>
        </row>
        <row r="56">
          <cell r="B56" t="str">
            <v xml:space="preserve">    CHARGE</v>
          </cell>
        </row>
        <row r="58">
          <cell r="B58" t="str">
            <v xml:space="preserve"> 5. AREA RENTAL CHARGE</v>
          </cell>
          <cell r="C58" t="str">
            <v xml:space="preserve"> - APPROPRIATE YEARLY RENTAL CHARGE (SPECIFY AREA, RENTAL CHARGE, RENTAL PERIOD,</v>
          </cell>
          <cell r="F58" t="str">
            <v xml:space="preserve"> -              〃</v>
          </cell>
        </row>
        <row r="59">
          <cell r="C59" t="str">
            <v xml:space="preserve">                                     DEPOSITS, PAYMENT TERMS ETC.)</v>
          </cell>
        </row>
        <row r="60">
          <cell r="B60" t="str">
            <v xml:space="preserve"> 6. OTHERS</v>
          </cell>
        </row>
        <row r="62">
          <cell r="A62" t="str">
            <v xml:space="preserve"> 3. AIR-FARE</v>
          </cell>
          <cell r="B62" t="str">
            <v xml:space="preserve"> 1. NEW POST AIR-FARE</v>
          </cell>
          <cell r="C62" t="str">
            <v xml:space="preserve"> ① APPROPRIATE NEW POST PERSON'S AIR-FARE ACCORDING TO STAFF &amp; WORKER'S</v>
          </cell>
        </row>
        <row r="63">
          <cell r="C63" t="str">
            <v xml:space="preserve">    DEMAND-SUPPLY SCH.</v>
          </cell>
        </row>
        <row r="64">
          <cell r="C64" t="str">
            <v xml:space="preserve"> ② APPRORIATE PREP. EXP. FOR DEPARTURE (PREP. EXP. FOR PASSPORT, PHYSICAL</v>
          </cell>
        </row>
        <row r="65">
          <cell r="C65" t="str">
            <v xml:space="preserve">    CHECK-UP EXP., AIRPORT RENTAL FEE, VISA FEE ETC.)</v>
          </cell>
        </row>
        <row r="66">
          <cell r="C66" t="str">
            <v xml:space="preserve"> ③ EXCLUDE NEW POST TCN'S AIR-FARE(CHARGE IN PERSON OR BY AGENT)</v>
          </cell>
        </row>
        <row r="67">
          <cell r="B67" t="str">
            <v xml:space="preserve"> 2. VACATION AIR-FARE</v>
          </cell>
          <cell r="C67" t="str">
            <v xml:space="preserve"> - APPROPRIATE SINGLE POST STAFF'S VACATION AIR FARE</v>
          </cell>
        </row>
        <row r="69">
          <cell r="B69" t="str">
            <v xml:space="preserve"> 3. RETURN AIR-FARE</v>
          </cell>
          <cell r="C69" t="str">
            <v xml:space="preserve"> ① APPROPRIATE AIR-FARE ACCORDING TO STAFF &amp; LABOUR RETURN</v>
          </cell>
        </row>
        <row r="70">
          <cell r="C70" t="str">
            <v xml:space="preserve"> ② APPROPRIATE TCN'S RETURN AIR-FARE ACCORDING TO CONTRACT TERMS WITH AGENT</v>
          </cell>
        </row>
        <row r="71">
          <cell r="C71" t="str">
            <v xml:space="preserve">    BY COUNTRY.</v>
          </cell>
        </row>
        <row r="73">
          <cell r="C73" t="str">
            <v xml:space="preserve">                          </v>
          </cell>
        </row>
        <row r="74">
          <cell r="A74" t="str">
            <v xml:space="preserve"> 4. TAXES</v>
          </cell>
          <cell r="C74" t="str">
            <v xml:space="preserve">  SPECIFY RELEVANT CLAUSE(TAX AMOUNT &amp; CALCULATION METHOD, PAYMENT PERIOD ETC.)</v>
          </cell>
        </row>
        <row r="75">
          <cell r="C75" t="str">
            <v xml:space="preserve">   ACCORDING TO LOCAL LAW BY COUNTRY.</v>
          </cell>
        </row>
        <row r="76">
          <cell r="B76" t="str">
            <v xml:space="preserve"> 1. INCOME TAX</v>
          </cell>
          <cell r="C76" t="str">
            <v xml:space="preserve"> - INDICATE SUBJECT, TAXATION STANDARD, TAX RATES ETC.</v>
          </cell>
          <cell r="F76" t="str">
            <v xml:space="preserve"> - EXCEPT PURCHASING BRANCH.</v>
          </cell>
        </row>
        <row r="77">
          <cell r="B77" t="str">
            <v xml:space="preserve"> 2. SOCIAL SECURITY TAX</v>
          </cell>
          <cell r="C77" t="str">
            <v xml:space="preserve"> - INDICATE SUBJECT, TAXATION STANDARD, TAX RATES ETC.</v>
          </cell>
        </row>
        <row r="78">
          <cell r="B78" t="str">
            <v xml:space="preserve"> 3. OTHER</v>
          </cell>
          <cell r="C78" t="str">
            <v xml:space="preserve"> - TAXES OTHER THAN ABOVE 1,2 CLAUSE.</v>
          </cell>
        </row>
        <row r="80">
          <cell r="A80" t="str">
            <v xml:space="preserve"> 5. INSURANCE </v>
          </cell>
          <cell r="B80" t="str">
            <v xml:space="preserve"> 1. WORKMAN'S COMPENSATION</v>
          </cell>
          <cell r="C80" t="str">
            <v xml:space="preserve"> ⑴ SAUDI ARABIA</v>
          </cell>
        </row>
        <row r="81">
          <cell r="A81" t="str">
            <v xml:space="preserve">    PREMIUMS</v>
          </cell>
          <cell r="B81" t="str">
            <v xml:space="preserve">    INSURANCE</v>
          </cell>
          <cell r="C81" t="str">
            <v xml:space="preserve">  ① KOREAN STAFF : TOTAL STAFF'S U$ 750 MONTHLY PER PERSON X 5.25% = MONTHLY </v>
          </cell>
        </row>
        <row r="82">
          <cell r="C82" t="str">
            <v xml:space="preserve">                    INSURANCE PREMIUM.</v>
          </cell>
        </row>
        <row r="83">
          <cell r="C83" t="str">
            <v xml:space="preserve">  ② KOREAN WORKER : TATAL MONTHLY WAGE X 5.25% = MONTHLY INSURANCE PREMIUM.</v>
          </cell>
        </row>
        <row r="84">
          <cell r="C84" t="str">
            <v xml:space="preserve"> ⑵ OTHER AREAS (EXC. SAUDI ARABIA)</v>
          </cell>
        </row>
        <row r="85">
          <cell r="C85" t="str">
            <v xml:space="preserve">  ① KOREAN STAFF : TOTAL STAFF'S U$750 MONTHLY PER PERSON X 5.79% = MONTHLY</v>
          </cell>
        </row>
        <row r="86">
          <cell r="C86" t="str">
            <v xml:space="preserve">                    INSURANCE PREMIUM.</v>
          </cell>
        </row>
        <row r="87">
          <cell r="C87" t="str">
            <v xml:space="preserve">  ② KOREAN WORKER : TOTAL MONTHLY WAGE X 5.79% = MONTHLY INSURANCE PREMIUM.</v>
          </cell>
        </row>
        <row r="88">
          <cell r="C88" t="str">
            <v xml:space="preserve"> ⑶ INDICATE LOCAL INSURANCE PREMIUM DETAILS IF ANY.</v>
          </cell>
        </row>
        <row r="89">
          <cell r="C89" t="str">
            <v xml:space="preserve"> ⑷ THOUGH LOCAL STAFF/ TCN PAYS PREMIUMS AT HIS OWN EXPENSE IN PRINCIPLE,</v>
          </cell>
        </row>
        <row r="90">
          <cell r="C90" t="str">
            <v xml:space="preserve">    APPROPRIATE IF CONTRACT CONTAINS COMPANY PAY TERMS.</v>
          </cell>
        </row>
        <row r="92">
          <cell r="B92" t="str">
            <v xml:space="preserve"> 2. MEDICAL INSURANCE </v>
          </cell>
          <cell r="C92" t="str">
            <v xml:space="preserve"> ① SUBJECT : KOREAN STAFF/WORKER</v>
          </cell>
        </row>
        <row r="93">
          <cell r="B93" t="str">
            <v xml:space="preserve">    PREMIUM</v>
          </cell>
          <cell r="C93" t="str">
            <v xml:space="preserve"> ② INSURANCE PREMIUM : TOTAL MONTHLY SALARY (BONUS EXCLUDED) X 0.75% (CO'S EXP)</v>
          </cell>
        </row>
        <row r="94">
          <cell r="C94" t="str">
            <v xml:space="preserve">  ※ TOTAL MONTHLY SALARY MEANS GROSS SALARY PAID BY HEAD OFFICE</v>
          </cell>
        </row>
        <row r="95">
          <cell r="C95" t="str">
            <v xml:space="preserve">     EXCLUDING BONUS AND LOCAL ALLOWANCE.</v>
          </cell>
        </row>
        <row r="96">
          <cell r="B96" t="str">
            <v xml:space="preserve"> 3. NATIONAL PENSION</v>
          </cell>
          <cell r="C96" t="str">
            <v xml:space="preserve"> ① SUBJECT : KOREAN STAFF/WORKER</v>
          </cell>
        </row>
        <row r="97">
          <cell r="C97" t="str">
            <v xml:space="preserve"> ② PENSION : TOTAL MONTHLY SALARY (BONUS INCLUDED) X 3.0% (CO'S EXPENSE)</v>
          </cell>
        </row>
        <row r="98">
          <cell r="C98" t="str">
            <v xml:space="preserve">  ※ TOTAL MONTHLY SALARY MEANS GROSS SALARY PAID BY HEAD OFFICE</v>
          </cell>
        </row>
        <row r="99">
          <cell r="C99" t="str">
            <v xml:space="preserve">     EXCLUDING LOCAL ALLOWANCE ONLY.</v>
          </cell>
        </row>
        <row r="100">
          <cell r="B100" t="str">
            <v xml:space="preserve"> 4. VEHICLE INSURANCE </v>
          </cell>
          <cell r="C100" t="str">
            <v xml:space="preserve"> - INSURANCE PREMIUM BY VEHICLE TYPE AND NUMBERS.</v>
          </cell>
        </row>
        <row r="101">
          <cell r="B101" t="str">
            <v xml:space="preserve">    PREMIUM</v>
          </cell>
        </row>
        <row r="102">
          <cell r="B102" t="str">
            <v xml:space="preserve"> 5. FIRE INSURANCE PREMIUM</v>
          </cell>
          <cell r="C102" t="str">
            <v xml:space="preserve"> - INSURANCE PREMIUM INSURED AGAINST FIRE.</v>
          </cell>
          <cell r="F102" t="str">
            <v xml:space="preserve"> - TO ATTACH ONE COPY OF INSURANCE</v>
          </cell>
        </row>
        <row r="103">
          <cell r="F103" t="str">
            <v xml:space="preserve">   POLICY.</v>
          </cell>
        </row>
        <row r="104">
          <cell r="B104" t="str">
            <v xml:space="preserve"> 6. OTHERS</v>
          </cell>
          <cell r="C104" t="str">
            <v xml:space="preserve"> - APPROPRIATE OTHER INSURANCE PREMIUM IF ANY.</v>
          </cell>
        </row>
        <row r="105">
          <cell r="C105" t="str">
            <v xml:space="preserve"> - EMPLOYMENT INSURANCE : TOTAL MONTHLY SALARY(BONUS INCLUDED)×0.55%</v>
          </cell>
        </row>
        <row r="107">
          <cell r="A107" t="str">
            <v xml:space="preserve"> 6. DEPRECIATIONS</v>
          </cell>
          <cell r="B107" t="str">
            <v xml:space="preserve">    DEPRECIATIONS FOR </v>
          </cell>
          <cell r="C107" t="str">
            <v xml:space="preserve"> - APPROPRIATE EXP. BASED ON YEARLY DEPRECIATIONS RATE</v>
          </cell>
        </row>
        <row r="108">
          <cell r="B108" t="str">
            <v xml:space="preserve">    BUILDING AND VEHICLES</v>
          </cell>
          <cell r="C108" t="str">
            <v xml:space="preserve">   (SPECIFIED DERECIATION METHOD)</v>
          </cell>
        </row>
        <row r="110">
          <cell r="A110" t="str">
            <v xml:space="preserve"> 7. OTHERS</v>
          </cell>
          <cell r="B110" t="str">
            <v xml:space="preserve">    EQUIPMENT MAINTENANCE</v>
          </cell>
          <cell r="C110" t="str">
            <v xml:space="preserve"> - SET UP MONTHLY OPERATION PLAN AND REFLECT THE AMOUNTS SPECIFIED ITEM BY ITEM</v>
          </cell>
          <cell r="F110" t="str">
            <v xml:space="preserve"> - FOR BATAM-YARD, JOR-YARD ONLY</v>
          </cell>
        </row>
        <row r="111">
          <cell r="B111" t="str">
            <v xml:space="preserve">    EXP.</v>
          </cell>
          <cell r="C111" t="str">
            <v xml:space="preserve">   IN DETAILS.</v>
          </cell>
        </row>
        <row r="112">
          <cell r="C112" t="str">
            <v xml:space="preserve">  (REPAIRING/MAINTENANCE FOR EQUIPMENT AND FACILITIES, FUELS, CUSTOM CLEARANCE,</v>
          </cell>
        </row>
        <row r="113">
          <cell r="C113" t="str">
            <v xml:space="preserve">   TRANSPORTATION, SPARE PARTS AND OTHERS)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세금관련집계표"/>
      <sheetName val="환율"/>
      <sheetName val="간접비총괄"/>
      <sheetName val="간접비내역서"/>
      <sheetName val="간접비-화폐단위별"/>
      <sheetName val="가설인원"/>
      <sheetName val="가설건물-당사"/>
      <sheetName val="용전"/>
      <sheetName val="용수"/>
      <sheetName val="직원급료(본사)"/>
      <sheetName val="직원급료(현장)"/>
      <sheetName val="임금인상"/>
      <sheetName val="비품"/>
      <sheetName val="차량동원계획"/>
      <sheetName val="차량동원계획(2)"/>
      <sheetName val="버스임대계획"/>
      <sheetName val="차량가격"/>
      <sheetName val="Bond"/>
      <sheetName val="Local Tax"/>
      <sheetName val="가설관세"/>
      <sheetName val="개인소득세"/>
      <sheetName val="사회보장세"/>
      <sheetName val="종합소득세"/>
      <sheetName val="Stamp Duty"/>
    </sheetNames>
    <sheetDataSet>
      <sheetData sheetId="0" refreshError="1"/>
      <sheetData sheetId="1" refreshError="1"/>
      <sheetData sheetId="2">
        <row r="15">
          <cell r="B15">
            <v>50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서표지"/>
      <sheetName val="설계서"/>
      <sheetName val="원가계산서"/>
      <sheetName val="순공사비"/>
      <sheetName val="일위대가목록"/>
      <sheetName val="식재일위대가"/>
      <sheetName val="식재수량산출"/>
      <sheetName val="단가비교표"/>
      <sheetName val="인쇄용노임"/>
      <sheetName val="2000하반기노임기준"/>
      <sheetName val="간접비계산"/>
      <sheetName val="소방사항"/>
      <sheetName val="Sheet5"/>
      <sheetName val="BID"/>
      <sheetName val="토목내역"/>
      <sheetName val="집계"/>
      <sheetName val="DATE"/>
      <sheetName val="내역"/>
      <sheetName val="목록"/>
      <sheetName val="중기"/>
      <sheetName val="내역서"/>
      <sheetName val="BSD (2)"/>
      <sheetName val="갑지(추정)"/>
      <sheetName val="식재인부"/>
      <sheetName val="일위대가"/>
      <sheetName val="기본자료입력"/>
      <sheetName val="변경내역서간지"/>
      <sheetName val="토목주소"/>
      <sheetName val="녹화사업-시립박물관"/>
      <sheetName val="4차원가계산서"/>
      <sheetName val="단가표"/>
      <sheetName val="확약서"/>
      <sheetName val="6호기"/>
      <sheetName val="기자재수량"/>
      <sheetName val="45,46"/>
      <sheetName val="밸브설치"/>
      <sheetName val="일위_파일"/>
      <sheetName val="2002하반기노임기준"/>
      <sheetName val="평가데이터"/>
      <sheetName val="노임단가"/>
      <sheetName val="기본일위"/>
      <sheetName val="기초대가"/>
      <sheetName val="산출내역서집계표"/>
      <sheetName val="영업소실적"/>
      <sheetName val="소화배관"/>
      <sheetName val="공조배관"/>
      <sheetName val="Sheet7(ㅅ)"/>
    </sheetNames>
    <sheetDataSet>
      <sheetData sheetId="0" refreshError="1"/>
      <sheetData sheetId="1" refreshError="1"/>
      <sheetData sheetId="2" refreshError="1"/>
      <sheetData sheetId="3"/>
      <sheetData sheetId="4"/>
      <sheetData sheetId="5"/>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OKUN"/>
      <sheetName val="GAEYO"/>
      <sheetName val="갑지(추정)"/>
      <sheetName val="갑지_추정_"/>
      <sheetName val="콘크리트타설집계표"/>
      <sheetName val="소방사항"/>
      <sheetName val="Eq. Mobilization"/>
    </sheetNames>
    <sheetDataSet>
      <sheetData sheetId="0" refreshError="1"/>
      <sheetData sheetId="1" refreshError="1"/>
      <sheetData sheetId="2"/>
      <sheetData sheetId="3"/>
      <sheetData sheetId="4" refreshError="1"/>
      <sheetData sheetId="5" refreshError="1"/>
      <sheetData sheetId="6"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2)"/>
      <sheetName val="배경"/>
      <sheetName val="지역도"/>
      <sheetName val="관할구역"/>
      <sheetName val="판단기준"/>
      <sheetName val="수익성검토"/>
      <sheetName val="유첨"/>
      <sheetName val="특약점"/>
      <sheetName val="현대"/>
      <sheetName val="DATA"/>
      <sheetName val="전국"/>
      <sheetName val="MACRO2"/>
      <sheetName val="공통"/>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DATA"/>
      <sheetName val="일위대가"/>
      <sheetName val="개요"/>
      <sheetName val="터파기및재료"/>
      <sheetName val="건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당진화력석탄설비CABLE포설공사내역서-갑지"/>
      <sheetName val="당진화력석탄설비CABLE포설공사집계표"/>
      <sheetName val="당진화력석탄설비CABLE포설공사내역서-을지"/>
      <sheetName val="당진1,2호기전선관설치및접지4차공사내역서-갑지"/>
      <sheetName val="당진화력1,2호기전선관설치및접지공사집계표"/>
      <sheetName val="당진1,2호기전선관설치및접지4차공사내역서-을지"/>
      <sheetName val="당진1,2호기전기설비기초분중전기공사내역서-갑지"/>
      <sheetName val="당진1,2호기전기설비기초분중전기공사집계표"/>
      <sheetName val="당진1,2호기전기설비기초분중전기공사내역서-을지"/>
      <sheetName val="당진3,4호기CABLE포설2차공사내역서-갑지"/>
      <sheetName val="당진3,4호기CABLE포설2차공사내역서-을지"/>
      <sheetName val="당진화력1,2전선관접지4차공사내역서(갑)"/>
      <sheetName val="당진화력석탄취급설비전기공사(1차변경)집계표"/>
      <sheetName val="당진화력석탄취급설비전기공사내역서(1차변경)-을지"/>
      <sheetName val="당진화력석탄취급설비전기공사(2차변경)내역서-갑지"/>
      <sheetName val="당진화력석탄취급설비전기공사(2차변경)집계표"/>
      <sheetName val="당진화력석탄취급설비전기공사내역서(2차변경)-을지"/>
      <sheetName val="당진화력석탄취급설비전기공사(완차)내역서-갑지"/>
      <sheetName val="당진1,2호기전선관설치및접지4차공사내역서(1차변경)-갑지"/>
      <sheetName val="당진1,2호기전선관설치및접지4차공사(1차변경)집계표"/>
      <sheetName val="당진1,2호기전선관설치및접지4차공사내역서(1차)-을지"/>
      <sheetName val="당진화력석탄취급설비전기공사(완차)내역서-갑"/>
      <sheetName val="당진화력석탄취급설비전기공사내역서(완차)-을지"/>
      <sheetName val="당진화력석탄취급설비전기공사(완차)집계표"/>
      <sheetName val="B1(반포1차)"/>
      <sheetName val="spc 배관견적"/>
      <sheetName val="BREAKDOWN(철거설치)"/>
      <sheetName val="General Data"/>
      <sheetName val="갑지"/>
      <sheetName val="실행(1)"/>
      <sheetName val="노임9월"/>
      <sheetName val="전기내역서(총계)"/>
      <sheetName val="설계서"/>
      <sheetName val="BQ_Utl_Off"/>
      <sheetName val="unit 4"/>
      <sheetName val="투찰가"/>
      <sheetName val="견적서"/>
      <sheetName val="기술부 VENDOR LIST"/>
      <sheetName val="견"/>
      <sheetName val="6호기"/>
      <sheetName val="당진화력1.2전선관접지4차공사내역서(갑)"/>
      <sheetName val="실행내역서 "/>
      <sheetName val="원가총괄"/>
      <sheetName val="MIJIBI"/>
      <sheetName val="#2_일위대가목록"/>
      <sheetName val="예산M6-B"/>
      <sheetName val="#REF"/>
      <sheetName val="갑지(추정)"/>
      <sheetName val="단가산출"/>
      <sheetName val="견적"/>
      <sheetName val="data"/>
      <sheetName val="노임단가"/>
      <sheetName val="운반"/>
      <sheetName val="경비2내역"/>
      <sheetName val="현장업무"/>
      <sheetName val="일일"/>
      <sheetName val="사업관리"/>
      <sheetName val="sheet1"/>
      <sheetName val="단면가정"/>
      <sheetName val="기계내역서"/>
      <sheetName val="제경비"/>
      <sheetName val="자재단가"/>
      <sheetName val="집계표"/>
      <sheetName val="합계"/>
      <sheetName val="자재단가비교표"/>
      <sheetName val="교통대책내역"/>
      <sheetName val="총괄표"/>
      <sheetName val="2.1  노무비 평균단가산출"/>
      <sheetName val="추가예산"/>
      <sheetName val="STAND20"/>
      <sheetName val="26.자재단가율 및 Sourcing비율 입력"/>
      <sheetName val="34.자재LIST"/>
      <sheetName val="18.자재 단가율입력"/>
      <sheetName val="15100"/>
      <sheetName val="산출근거#2-3"/>
      <sheetName val="INSTR"/>
      <sheetName val="MATERIAL"/>
      <sheetName val="인원동원계획표"/>
      <sheetName val="입력"/>
      <sheetName val="MP SUMMARY"/>
      <sheetName val="인원계획"/>
      <sheetName val="산근"/>
      <sheetName val="공사비_NDE"/>
      <sheetName val="CAT_5"/>
      <sheetName val="덤프트럭계수"/>
      <sheetName val="교량"/>
      <sheetName val="단가대비표"/>
      <sheetName val="전체"/>
      <sheetName val="Y-WORK"/>
      <sheetName val="실행철강하도"/>
      <sheetName val="자판실행"/>
      <sheetName val="작성방법"/>
      <sheetName val="계수시트"/>
      <sheetName val="현장관리비참조"/>
      <sheetName val="재료비"/>
      <sheetName val="산출내역서"/>
      <sheetName val="2000년1차"/>
      <sheetName val="2000전체분"/>
      <sheetName val="공통가설"/>
      <sheetName val="DHEQSUPT"/>
      <sheetName val="전기일위목록"/>
      <sheetName val="간접비 총괄표"/>
      <sheetName val="양식_자재단가조사표"/>
      <sheetName val="일반공사"/>
      <sheetName val="내역서"/>
      <sheetName val="95신규호표"/>
      <sheetName val="Baby일위대가"/>
      <sheetName val="일위대가"/>
      <sheetName val="내역(100%)"/>
      <sheetName val="내역"/>
      <sheetName val="Wt of Mod."/>
      <sheetName val="자재일람"/>
      <sheetName val="단가조사"/>
      <sheetName val="DATE"/>
      <sheetName val="12CGOU"/>
      <sheetName val="환율change"/>
      <sheetName val="가열로SW"/>
      <sheetName val="영업소실적"/>
      <sheetName val=" 갑지"/>
      <sheetName val="설계명세"/>
      <sheetName val="토목주소"/>
      <sheetName val="을-ATYPE"/>
      <sheetName val="건축공사"/>
      <sheetName val="기흥하도용"/>
      <sheetName val="검토"/>
      <sheetName val="정산서 "/>
      <sheetName val="증감내역서"/>
      <sheetName val="단가비교"/>
      <sheetName val="배수내역"/>
      <sheetName val="노임"/>
      <sheetName val="시운전연료비"/>
      <sheetName val="골조시행"/>
      <sheetName val="시운전연료"/>
      <sheetName val="소비자가"/>
      <sheetName val="일반부표"/>
      <sheetName val="건축내역"/>
      <sheetName val="배관공사"/>
      <sheetName val="spc_배관견적"/>
      <sheetName val="unit_4"/>
      <sheetName val="노무비"/>
      <sheetName val="내역서 "/>
      <sheetName val="General_Data"/>
      <sheetName val="실행내역서_"/>
      <sheetName val="기술부_VENDOR_LIST"/>
      <sheetName val="당진화력1_2전선관접지4차공사내역서(갑)"/>
      <sheetName val="Wt_of_Mod_"/>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 val="인원계획 (2)"/>
      <sheetName val="인원계획 (3)"/>
      <sheetName val="인원차이"/>
      <sheetName val="인원차이 (2)"/>
      <sheetName val="IT-BAT"/>
      <sheetName val="9-1차이내역"/>
      <sheetName val="영업소실적"/>
      <sheetName val=" 갑지"/>
      <sheetName val="SubCon"/>
      <sheetName val="세금자료"/>
      <sheetName val="소화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결산대책 "/>
      <sheetName val="표지"/>
      <sheetName val="1총괄(上)"/>
      <sheetName val="1총괄(下)"/>
      <sheetName val="2손익"/>
      <sheetName val="3대차"/>
      <sheetName val="4법인세(上)"/>
      <sheetName val="4법인세(下)"/>
      <sheetName val="5잉여금"/>
      <sheetName val="6준비금"/>
      <sheetName val="7여신"/>
      <sheetName val="8주평"/>
      <sheetName val="8-1순자산액계산서"/>
      <sheetName val="8-2평가차액계산명세서"/>
      <sheetName val="8-3순손익액계산서"/>
      <sheetName val="8-4영업권평가조서"/>
      <sheetName val="9확정실적"/>
      <sheetName val="상반기손익차2총괄"/>
      <sheetName val="인원계획"/>
      <sheetName val="영업소실적"/>
      <sheetName val="간접비 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3)"/>
      <sheetName val="7.3.1A(INPUT)"/>
      <sheetName val="7.3.1.B(BREAKDN)"/>
      <sheetName val="7.3.1.C(SCOPE)"/>
      <sheetName val="7.3.1.D(TECH)"/>
      <sheetName val="7.3.1.E(ALLOW)"/>
      <sheetName val="7.3.2.1(SUMARY)"/>
      <sheetName val="7.3.2.2(SUMARY)"/>
      <sheetName val="7.3.3.BOQ"/>
      <sheetName val="7.3.3.A BOQ TOTAIL (SUMARY) "/>
      <sheetName val="7.3.3.B BOQ OF UNIT 500 "/>
      <sheetName val="7.3.3.C BOQ OF UNIT 501"/>
      <sheetName val="7.3.3.D BOQ OF UNIT 502 "/>
      <sheetName val="7.3.3.E BOQ OF UNIT 503"/>
      <sheetName val="7.3.3.F BOQ OF UNIT 506 "/>
      <sheetName val="7.3.3.G BOQ OF UNIT 508 "/>
      <sheetName val="7.3.3.H BOQ OF UNIT 521 "/>
      <sheetName val="7.3.3.I BOQ OF UNIT 525"/>
      <sheetName val="7.3.3.J BOQ OF UNIT 526 "/>
      <sheetName val="7.3.3.K BOQ OF UNIT 560 "/>
      <sheetName val="7.3.3.L BOQ OF PR500 "/>
      <sheetName val="7.3.3.M BOQ OF OFF-SITE"/>
      <sheetName val="7.3.4.A(REF-INTER)"/>
      <sheetName val="1) INCOMING "/>
      <sheetName val="2) OUTGOING "/>
      <sheetName val="7.3.4.B(REF-BOQ)"/>
      <sheetName val="7.3.4.C(REF-SHIP)"/>
      <sheetName val="7.3.5(CHECK)"/>
      <sheetName val="간접비 총괄표"/>
      <sheetName val="배수내역"/>
      <sheetName val="2.대외공문"/>
      <sheetName val="인원계획"/>
      <sheetName val="증감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Data"/>
      <sheetName val="Summary"/>
      <sheetName val="1.1 가설공사1"/>
      <sheetName val="1.2 토목공사1"/>
      <sheetName val="1.3 건축공사1"/>
      <sheetName val="1.4 철골공사1"/>
      <sheetName val="2.1 기기설치공사"/>
      <sheetName val="2.2 배관공사1"/>
      <sheetName val="2.3 보온공사1"/>
      <sheetName val="2.4 도장공사1"/>
      <sheetName val="3.1 전기공사1"/>
      <sheetName val="계장공사1"/>
      <sheetName val="당진1,2호기전선관설치및접지4차공사내역서-을지"/>
      <sheetName val="갑지"/>
      <sheetName val="간접비 총괄표"/>
      <sheetName val="배수내역"/>
      <sheetName val="SHL"/>
    </sheetNames>
    <sheetDataSet>
      <sheetData sheetId="0">
        <row r="14">
          <cell r="B14" t="str">
            <v>2003년7월22일</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집계표"/>
      <sheetName val="내역서"/>
      <sheetName val="총괄표"/>
      <sheetName val="CB"/>
      <sheetName val="경비"/>
      <sheetName val="Sheet3"/>
      <sheetName val="General Data"/>
      <sheetName val="간접비 총괄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REF"/>
      <sheetName val="갑지"/>
      <sheetName val="원가계산서"/>
      <sheetName val="소방사항"/>
      <sheetName val="Sheet5"/>
      <sheetName val="방수"/>
      <sheetName val="중기"/>
      <sheetName val="심의위원명단"/>
      <sheetName val="실행간접비"/>
      <sheetName val="내역"/>
      <sheetName val="손익분석"/>
      <sheetName val="실행내역"/>
      <sheetName val="소화실적"/>
      <sheetName val="재료"/>
      <sheetName val="램머"/>
      <sheetName val="평3"/>
      <sheetName val="직노"/>
      <sheetName val="금액내역서"/>
      <sheetName val="조명율표"/>
      <sheetName val="220 (2)"/>
      <sheetName val="Total"/>
      <sheetName val="교통대책내역"/>
      <sheetName val="일위대가표"/>
      <sheetName val="물량표"/>
      <sheetName val="Customer Databas"/>
      <sheetName val="품셈TABLE"/>
      <sheetName val="200"/>
      <sheetName val="주요기준"/>
      <sheetName val="조명시설"/>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년하반기"/>
      <sheetName val="99년하반기(1~6월)"/>
      <sheetName val="99년하반기(1~7월)"/>
      <sheetName val="토목2000"/>
      <sheetName val="플랜트2000"/>
      <sheetName val="조명율표"/>
      <sheetName val="손익차9월2"/>
      <sheetName val="상반기손익차2총괄"/>
      <sheetName val="인원계획"/>
      <sheetName val="1.취수장"/>
      <sheetName val="소화실적"/>
      <sheetName val="97 사업추정(WEKI)"/>
      <sheetName val="3-구교-오리지날"/>
      <sheetName val="내역"/>
      <sheetName val="2000년1차"/>
      <sheetName val="2000전체분"/>
      <sheetName val="공종별예산조서"/>
      <sheetName val="97년 SEACO예산"/>
      <sheetName val="건축내역"/>
      <sheetName val="제경비계산"/>
      <sheetName val="배수내역"/>
      <sheetName val="현금"/>
      <sheetName val="간접비 총괄표"/>
      <sheetName val="4.6. 장비동원-REF"/>
      <sheetName val="정산표"/>
      <sheetName val="년말집계"/>
      <sheetName val="운반"/>
      <sheetName val="노임단가"/>
      <sheetName val="부표총괄"/>
      <sheetName val="환율"/>
      <sheetName val="토목"/>
      <sheetName val="99년하반기수주계획"/>
      <sheetName val="입찰안"/>
      <sheetName val="조건표"/>
      <sheetName val="#REF"/>
      <sheetName val="BH-1 (2)"/>
      <sheetName val="호표"/>
      <sheetName val="자재일람"/>
      <sheetName val="기존단가 (2)"/>
      <sheetName val="세금자료"/>
      <sheetName val="Indirect Cost"/>
      <sheetName val="TOWER 12TON"/>
      <sheetName val="JIB CRANE,HOIST"/>
      <sheetName val="TOWER 10TON"/>
      <sheetName val="간접1"/>
      <sheetName val="9-1차이내역"/>
      <sheetName val="일위대가"/>
      <sheetName val="산근"/>
      <sheetName val="VST재료산출"/>
      <sheetName val="앉음벽 (2)"/>
      <sheetName val="4.일위대가집계"/>
      <sheetName val="실행(1)"/>
      <sheetName val="천방교접속"/>
      <sheetName val="대포2교접속"/>
      <sheetName val="직접경비호표"/>
      <sheetName val="임대동호배치"/>
      <sheetName val="98지급계획"/>
      <sheetName val="STAND20"/>
      <sheetName val="7. 매출 투입 취하"/>
      <sheetName val="수주현황2월"/>
      <sheetName val="납부내역"/>
      <sheetName val="영업소실적"/>
      <sheetName val="RCF CLAIMED"/>
      <sheetName val="조사번호"/>
      <sheetName val="이름표"/>
      <sheetName val="일괄자료"/>
      <sheetName val="임테블"/>
      <sheetName val="총원가.24"/>
      <sheetName val="Sheet1"/>
      <sheetName val="조서원본"/>
      <sheetName val="2009 마송지구 비교표준지"/>
      <sheetName val="제품CODE"/>
      <sheetName val="정율표"/>
      <sheetName val="안산기계장치"/>
      <sheetName val="회사정보"/>
      <sheetName val="데이타"/>
      <sheetName val="변수"/>
      <sheetName val="구조물수량집계표"/>
      <sheetName val="101125"/>
      <sheetName val="안전사고"/>
      <sheetName val="실행내역"/>
      <sheetName val="담당자"/>
      <sheetName val="영흥TL(UP,DOWN) "/>
      <sheetName val="준검 내역서"/>
      <sheetName val="Macro1"/>
      <sheetName val="1_취수장"/>
      <sheetName val="97_사업추정(WEKI)"/>
      <sheetName val="97년_SEACO예산"/>
      <sheetName val="간접비_총괄표"/>
      <sheetName val="4_6__장비동원-REF"/>
      <sheetName val="BH-1_(2)"/>
      <sheetName val="기존단가_(2)"/>
      <sheetName val="Indirect_Cost"/>
      <sheetName val="TOWER_12TON"/>
      <sheetName val="JIB_CRANE,HOIST"/>
      <sheetName val="TOWER_10TON"/>
      <sheetName val="지질조사"/>
      <sheetName val="Macro2"/>
      <sheetName val="조경일람"/>
      <sheetName val="총원가_24"/>
      <sheetName val="RE9604"/>
      <sheetName val="집계표"/>
      <sheetName val="확인"/>
      <sheetName val="점유현황"/>
      <sheetName val="신대방33(적용)"/>
      <sheetName val="보차도경계석"/>
      <sheetName val="유림골조"/>
      <sheetName val="담보"/>
      <sheetName val="지급자재"/>
      <sheetName val="현금및현금등가물1"/>
      <sheetName val="단자차입일별"/>
      <sheetName val="24분기"/>
      <sheetName val="한계이익(연습) "/>
      <sheetName val="FM"/>
      <sheetName val="제안서"/>
      <sheetName val="행정표준(1)"/>
      <sheetName val="행정표준(2)"/>
      <sheetName val="VC2 8.98"/>
      <sheetName val="본지점중"/>
      <sheetName val="MEED"/>
      <sheetName val="공사착공계"/>
      <sheetName val="3.공통공사대비"/>
      <sheetName val="실행철강하도"/>
      <sheetName val="증감내역서"/>
      <sheetName val="코드표"/>
      <sheetName val="2.대외공문"/>
      <sheetName val="선급법인세"/>
      <sheetName val="기흥하도용"/>
      <sheetName val="단가"/>
      <sheetName val="리 스 트"/>
      <sheetName val="증감대비"/>
      <sheetName val="수리결과"/>
      <sheetName val="전체"/>
      <sheetName val="단가일람"/>
      <sheetName val="관급자재"/>
      <sheetName val="단위단가"/>
      <sheetName val="분양설계데이타"/>
      <sheetName val="기타요인"/>
      <sheetName val="저산리"/>
      <sheetName val="갑지"/>
      <sheetName val="Total"/>
      <sheetName val="자료"/>
      <sheetName val="토지조서(원본)"/>
      <sheetName val="새로이 설치할 정비기반시설 조서 나번 (2)"/>
      <sheetName val="대처방안"/>
      <sheetName val="현장"/>
      <sheetName val="guard(mac)"/>
      <sheetName val="접수명부"/>
      <sheetName val="교각1"/>
      <sheetName val="비준표"/>
      <sheetName val="SHL"/>
      <sheetName val="성과급지급기준"/>
      <sheetName val="Sheet11"/>
      <sheetName val="휴일check"/>
      <sheetName val="DATA"/>
      <sheetName val="1번"/>
      <sheetName val="절대지우지말것"/>
      <sheetName val="백호우계수"/>
      <sheetName val="Sheet2"/>
      <sheetName val="General Data"/>
      <sheetName val="자금입금"/>
      <sheetName val="제경비"/>
      <sheetName val="세부내역"/>
      <sheetName val="가로등기초"/>
      <sheetName val="PAD TR보호대기초"/>
      <sheetName val="1공구원가계산서"/>
      <sheetName val="1공구산출내역서"/>
      <sheetName val="당진1,2호기전선관설치및접지4차공사내역서-을지"/>
      <sheetName val="전공코드"/>
      <sheetName val="02년채용시스템자료"/>
      <sheetName val="YKSFRT_1"/>
      <sheetName val="장비 (2)"/>
      <sheetName val="DHEQSUPT"/>
      <sheetName val="전입"/>
      <sheetName val="Breakdown sum"/>
    </sheetNames>
    <sheetDataSet>
      <sheetData sheetId="0" refreshError="1">
        <row r="12">
          <cell r="G12">
            <v>182</v>
          </cell>
        </row>
        <row r="13">
          <cell r="E13">
            <v>64</v>
          </cell>
          <cell r="G13">
            <v>2500</v>
          </cell>
          <cell r="I13">
            <v>2619</v>
          </cell>
        </row>
        <row r="14">
          <cell r="C14">
            <v>1350</v>
          </cell>
          <cell r="E14">
            <v>256</v>
          </cell>
          <cell r="G14">
            <v>244</v>
          </cell>
          <cell r="I14">
            <v>5480</v>
          </cell>
          <cell r="K14">
            <v>41</v>
          </cell>
        </row>
        <row r="15">
          <cell r="C15">
            <v>74</v>
          </cell>
          <cell r="E15">
            <v>100</v>
          </cell>
          <cell r="G15">
            <v>1265</v>
          </cell>
          <cell r="I15">
            <v>343</v>
          </cell>
          <cell r="K15">
            <v>164</v>
          </cell>
          <cell r="M15">
            <v>1000</v>
          </cell>
        </row>
        <row r="16">
          <cell r="E16">
            <v>41</v>
          </cell>
          <cell r="G16">
            <v>276</v>
          </cell>
          <cell r="I16">
            <v>7200</v>
          </cell>
        </row>
        <row r="17">
          <cell r="G17">
            <v>667</v>
          </cell>
          <cell r="I17">
            <v>43</v>
          </cell>
        </row>
        <row r="18">
          <cell r="G18">
            <v>7</v>
          </cell>
        </row>
        <row r="30">
          <cell r="M30">
            <v>2000</v>
          </cell>
        </row>
        <row r="31">
          <cell r="M31">
            <v>7000</v>
          </cell>
        </row>
        <row r="32">
          <cell r="I32">
            <v>5000</v>
          </cell>
          <cell r="M32">
            <v>20000</v>
          </cell>
        </row>
        <row r="33">
          <cell r="C33">
            <v>5000</v>
          </cell>
          <cell r="E33">
            <v>3000</v>
          </cell>
          <cell r="I33">
            <v>20000</v>
          </cell>
          <cell r="K33">
            <v>9000</v>
          </cell>
          <cell r="M33">
            <v>10000</v>
          </cell>
        </row>
        <row r="34">
          <cell r="M34">
            <v>6000</v>
          </cell>
        </row>
        <row r="35">
          <cell r="M35">
            <v>2000</v>
          </cell>
        </row>
        <row r="36">
          <cell r="M36">
            <v>1084</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1. 5월 임금현황(기아부품)"/>
      <sheetName val="1-1. 5월 임금현황(기아부품) (2)"/>
      <sheetName val="1-2. 4월 임금현황(기아부품)"/>
      <sheetName val="1-2.인원변동"/>
      <sheetName val="①MT"/>
      <sheetName val="②직급코드"/>
      <sheetName val="③인원피벗"/>
      <sheetName val="④DT"/>
      <sheetName val="⑤수당코드"/>
      <sheetName val="⑥금액피벗"/>
      <sheetName val="1-1. 5월 임금현황(보고용)"/>
      <sheetName val="색있는부분은 피벗에서 끌어올 데이타임"/>
      <sheetName val="인원현황총괄"/>
      <sheetName val="소속순"/>
      <sheetName val="간접비 총괄표"/>
    </sheetNames>
    <sheetDataSet>
      <sheetData sheetId="0"/>
      <sheetData sheetId="1"/>
      <sheetData sheetId="2"/>
      <sheetData sheetId="3"/>
      <sheetData sheetId="4" refreshError="1"/>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비교"/>
      <sheetName val="인원"/>
      <sheetName val="간접비 총괄표"/>
      <sheetName val="간접비 내역"/>
      <sheetName val="세금자료"/>
      <sheetName val="인원계획"/>
      <sheetName val="소화실적"/>
      <sheetName val="base"/>
      <sheetName val="매각(6)"/>
      <sheetName val="1100-1200-1300-1910-2140-LEV 2"/>
      <sheetName val="갑지"/>
      <sheetName val="당진1,2호기전선관설치및접지4차공사내역서-을지"/>
      <sheetName val="inter"/>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 val="IT-BAT"/>
      <sheetName val="단가산출"/>
      <sheetName val="h-013211-2"/>
      <sheetName val="을지"/>
      <sheetName val="STAND20"/>
      <sheetName val="산근"/>
      <sheetName val="Sheet1"/>
      <sheetName val="Sheet2"/>
      <sheetName val="공사비 내역 (가)"/>
      <sheetName val="1-11조직표"/>
      <sheetName val="10현장조직"/>
      <sheetName val="General Data"/>
      <sheetName val="당초"/>
      <sheetName val="eq_data"/>
      <sheetName val="공사설계서"/>
      <sheetName val="Indirect Cost"/>
      <sheetName val="97 사업추정(WEKI)"/>
      <sheetName val="NYS"/>
      <sheetName val="SHL"/>
      <sheetName val="내역"/>
      <sheetName val="상반기손익차2총괄"/>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RCF CLAIMED"/>
      <sheetName val="손익차9월2"/>
      <sheetName val="사업부배부A"/>
      <sheetName val="99년하반기"/>
      <sheetName val="입찰"/>
      <sheetName val="현경"/>
      <sheetName val="DATE"/>
      <sheetName val="공사비PK5월"/>
      <sheetName val="토목"/>
      <sheetName val="RFP009"/>
      <sheetName val="RFP007"/>
      <sheetName val="변수데이타"/>
      <sheetName val="집계표"/>
      <sheetName val="개시대사 (2)"/>
      <sheetName val="STAND98"/>
      <sheetName val="간접비총괄"/>
      <sheetName val="Unit 49_분개표"/>
      <sheetName val="Unit 76_분개표"/>
      <sheetName val="UnitList"/>
      <sheetName val="ANALYSER"/>
      <sheetName val="INPUT DATA"/>
      <sheetName val="CIVIL WORK"/>
      <sheetName val="96.12"/>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산출근거#2-3"/>
      <sheetName val="작업년월"/>
      <sheetName val="WORKER"/>
      <sheetName val="15100"/>
      <sheetName val="수입"/>
      <sheetName val="9-1차이내역"/>
      <sheetName val="노임단가"/>
      <sheetName val="금융비용"/>
      <sheetName val="일위대가"/>
      <sheetName val="직원동원SCH"/>
      <sheetName val="자구계획db"/>
      <sheetName val="공사비_NDE"/>
      <sheetName val="BOJUNGGM"/>
      <sheetName val="Weld, NDE (Pipe)"/>
      <sheetName val="예산M11A"/>
      <sheetName val="유림콘도"/>
      <sheetName val="CAT_5"/>
      <sheetName val="DHEQSUPT"/>
      <sheetName val="함수"/>
      <sheetName val="연수원"/>
      <sheetName val="차량(구)"/>
      <sheetName val="b_balju-단가단가단가"/>
      <sheetName val="EXCHANGE_RATE"/>
      <sheetName val="2.대외공문"/>
      <sheetName val="전입"/>
      <sheetName val="6호기"/>
      <sheetName val="카메라"/>
      <sheetName val="소속순"/>
      <sheetName val="사업정리"/>
      <sheetName val="사업별"/>
      <sheetName val="Eq. Mobilization"/>
      <sheetName val="Report"/>
      <sheetName val="Weld, NDE (Piၰe)"/>
      <sheetName val="①MT"/>
      <sheetName val="기계공사비집계(원안)"/>
      <sheetName val="입찰안"/>
      <sheetName val=" 갑지"/>
      <sheetName val="요약"/>
      <sheetName val="INSPECTOR (PKG-1)"/>
      <sheetName val="Consumables"/>
      <sheetName val="Benchmark"/>
      <sheetName val="10월사업별"/>
      <sheetName val="PI"/>
      <sheetName val="실행내역서 "/>
      <sheetName val="설계명세서"/>
      <sheetName val="Units"/>
      <sheetName val="Instructions"/>
      <sheetName val="HRSG PRINT"/>
      <sheetName val="기초자료입력"/>
      <sheetName val="노임이"/>
      <sheetName val="코드표"/>
      <sheetName val="Macro(MCC)"/>
      <sheetName val="교수설계"/>
      <sheetName val="입찰개요"/>
      <sheetName val="적용근거"/>
      <sheetName val="공장집계표"/>
      <sheetName val="일반배전반-7.2KV 2단적"/>
      <sheetName val="LV 표준_민수(85KA_3P)"/>
      <sheetName val="DB_수출용"/>
      <sheetName val="MCCB COST"/>
      <sheetName val="SPARE_MV_PRO"/>
      <sheetName val="SPARE_MV_NOR"/>
      <sheetName val="SPECIAL_MV_COM"/>
      <sheetName val="SPARE_LV_COM"/>
      <sheetName val="SPECIAL_LV_COM"/>
      <sheetName val="DATA"/>
      <sheetName val="간접비"/>
      <sheetName val="동결보온"/>
      <sheetName val="골조"/>
      <sheetName val="LOAD 5 Wind "/>
      <sheetName val="실행철강하도"/>
      <sheetName val="Cash2"/>
      <sheetName val="Z"/>
      <sheetName val="#2_일위대가목록"/>
      <sheetName val="실행예산SHEET도장재검토"/>
      <sheetName val="MS"/>
      <sheetName val="2009--"/>
      <sheetName val="배수내역"/>
      <sheetName val="TD_3_一次高圧過熱器"/>
      <sheetName val="Salary(해외)"/>
      <sheetName val="간접비_총괄표"/>
      <sheetName val="간접비_내역"/>
      <sheetName val="지점A_"/>
      <sheetName val="A급지보_"/>
      <sheetName val="C급지보_"/>
      <sheetName val="C급보_"/>
      <sheetName val="LABTOTAL"/>
      <sheetName val="N賃率-職"/>
      <sheetName val="연습"/>
      <sheetName val="설비비4"/>
      <sheetName val="콘크리트타설집계표"/>
      <sheetName val="실행(1)"/>
      <sheetName val="unit 4"/>
      <sheetName val="2.1  노무비 평균단가산출"/>
      <sheetName val="UNIT 3"/>
      <sheetName val="TABLE-A"/>
      <sheetName val="BM"/>
      <sheetName val="Chart"/>
      <sheetName val="예총"/>
      <sheetName val="차액보증"/>
      <sheetName val="95신규호표"/>
      <sheetName val="8.PILE  (돌출)"/>
      <sheetName val="U_A Input"/>
      <sheetName val="인사자료총집계"/>
      <sheetName val="날개벽수량표"/>
      <sheetName val="수주현황2월"/>
      <sheetName val="비품"/>
      <sheetName val="GFA"/>
      <sheetName val="Stl-B"/>
      <sheetName val="예산작성기준(전기)"/>
      <sheetName val="eqpmt"/>
      <sheetName val="A.1.1(e)"/>
      <sheetName val="BOQ segment2 (PartB)"/>
      <sheetName val="A.1.4"/>
      <sheetName val="A.1.1(d)"/>
      <sheetName val="A.1.3"/>
      <sheetName val="A.1.2(a)"/>
      <sheetName val="A.1.1(a)"/>
      <sheetName val="단가결정"/>
      <sheetName val="TTL"/>
      <sheetName val="cal1"/>
      <sheetName val="C.배수관공"/>
      <sheetName val="Terbilang"/>
      <sheetName val="내역(한신APT)"/>
      <sheetName val="Galian batu"/>
      <sheetName val="대비표"/>
      <sheetName val="FAB별"/>
      <sheetName val="정부노임단가"/>
      <sheetName val="현장업무"/>
      <sheetName val="TABLE DB"/>
      <sheetName val="쌍용 data base"/>
      <sheetName val="예산"/>
      <sheetName val="ABUT수량-A1"/>
      <sheetName val="설계내역서"/>
      <sheetName val="출력X"/>
      <sheetName val="물량표"/>
      <sheetName val="개설과정현황"/>
      <sheetName val="97_사업추정(WEKI)"/>
      <sheetName val="1.설계조건"/>
      <sheetName val="주beam"/>
      <sheetName val="코드관리"/>
      <sheetName val="공사비_내역_(가)"/>
      <sheetName val="General_Data"/>
      <sheetName val="Indirect_Cost"/>
      <sheetName val="Flaer_Area"/>
      <sheetName val="RCF_CLAIMED"/>
      <sheetName val="1100-1200-1300-1910-2140-LEV_2"/>
      <sheetName val="Unit_49_분개표"/>
      <sheetName val="Unit_76_분개표"/>
      <sheetName val="INPUT_DATA"/>
      <sheetName val="CIVIL_WORK"/>
      <sheetName val="96_12"/>
      <sheetName val="OFFER_RATE"/>
      <sheetName val="Mech_CIF"/>
      <sheetName val="COVERSHEET_PAGE"/>
      <sheetName val="TABLE2-2_OSBL-(SITE_PREP)"/>
      <sheetName val="OSBL-TOTAL_(OTHER_WORK)"/>
      <sheetName val="OSBL-TOTAL_(SEA_WATER)"/>
      <sheetName val="OSBL-TOTAL_(CIVIL_WORK)"/>
      <sheetName val="개시대사_(2)"/>
      <sheetName val="NP"/>
      <sheetName val="BREAKDOWN(철거설치)"/>
      <sheetName val="RAB"/>
      <sheetName val="토목주소"/>
      <sheetName val="프랜트면허"/>
      <sheetName val="BID"/>
      <sheetName val="Resume"/>
      <sheetName val="jj"/>
      <sheetName val="임율 Data"/>
      <sheetName val="단가조사"/>
      <sheetName val="내역서"/>
    </sheetNames>
    <sheetDataSet>
      <sheetData sheetId="0" refreshError="1"/>
      <sheetData sheetId="1" refreshError="1"/>
      <sheetData sheetId="2" refreshError="1"/>
      <sheetData sheetId="3">
        <row r="1">
          <cell r="B1" t="str">
            <v>간 접 비 I (총 괄 표)</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ow r="10">
          <cell r="I10">
            <v>0</v>
          </cell>
        </row>
      </sheetData>
      <sheetData sheetId="173">
        <row r="10">
          <cell r="I10">
            <v>0</v>
          </cell>
        </row>
      </sheetData>
      <sheetData sheetId="174">
        <row r="10">
          <cell r="I10">
            <v>0</v>
          </cell>
        </row>
      </sheetData>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C r1"/>
      <sheetName val="Senior"/>
      <sheetName val="Junior"/>
      <sheetName val="Labour"/>
      <sheetName val="전기 소모량"/>
      <sheetName val="동원계획"/>
      <sheetName val="당초"/>
      <sheetName val="간접비 총괄표"/>
    </sheetNames>
    <sheetDataSet>
      <sheetData sheetId="0" refreshError="1"/>
      <sheetData sheetId="1" refreshError="1"/>
      <sheetData sheetId="2" refreshError="1"/>
      <sheetData sheetId="3" refreshError="1"/>
      <sheetData sheetId="4" refreshError="1"/>
      <sheetData sheetId="5">
        <row r="7">
          <cell r="I7">
            <v>2196</v>
          </cell>
        </row>
      </sheetData>
      <sheetData sheetId="6" refreshError="1"/>
      <sheetData sheetId="7"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
      <sheetName val="작성양식"/>
      <sheetName val="직원신상"/>
      <sheetName val="신규DEP"/>
      <sheetName val="59130-25200"/>
      <sheetName val="존4"/>
      <sheetName val="XGPROD"/>
      <sheetName val="2월"/>
      <sheetName val="진급관련DATA"/>
      <sheetName val="Macro1"/>
      <sheetName val="ML"/>
      <sheetName val="부서CODE"/>
      <sheetName val="CR CODE"/>
      <sheetName val="THEME CODE"/>
      <sheetName val="2-2. 구체자재 직도보급현황"/>
      <sheetName val="2.대외공문"/>
      <sheetName val="참고"/>
      <sheetName val="구동"/>
      <sheetName val="鞤원신상"/>
      <sheetName val="사양"/>
      <sheetName val="대외공문"/>
      <sheetName val="이익"/>
      <sheetName val="Sheet3"/>
      <sheetName val="①MT"/>
      <sheetName val="GRACE"/>
      <sheetName val="미결업무"/>
      <sheetName val="소속순"/>
      <sheetName val="간접비 총괄표"/>
      <sheetName val="전입"/>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특수"/>
      <sheetName val="참고"/>
      <sheetName val="현장"/>
      <sheetName val="계획대비"/>
      <sheetName val="골조시행"/>
      <sheetName val="출자한도"/>
      <sheetName val="건축내역"/>
      <sheetName val="예산"/>
      <sheetName val="손익차9월2"/>
      <sheetName val="Sheet2"/>
      <sheetName val="부재리스트"/>
      <sheetName val="양식0202"/>
      <sheetName val="현장명"/>
      <sheetName val="내역"/>
      <sheetName val="경영혁신본부"/>
      <sheetName val="#REF"/>
      <sheetName val="할증 "/>
      <sheetName val="차액보증"/>
      <sheetName val="사업부배부A"/>
      <sheetName val="당진1,2호기전선관설치및접지4차공사내역서-을지"/>
      <sheetName val="입찰안"/>
      <sheetName val="1001"/>
      <sheetName val="내역서"/>
      <sheetName val="12CGOU"/>
      <sheetName val="특외대"/>
      <sheetName val="첨부1"/>
      <sheetName val="95년12월말"/>
      <sheetName val="기준액"/>
      <sheetName val="리비아전체장비200306"/>
      <sheetName val="BID"/>
      <sheetName val="경산"/>
      <sheetName val="BOJUNGGM"/>
      <sheetName val="MIJIBI"/>
      <sheetName val="손익9801"/>
      <sheetName val="가로등내역서"/>
      <sheetName val="구분"/>
      <sheetName val="목창호"/>
      <sheetName val="실행철강하도"/>
      <sheetName val="도급양식"/>
      <sheetName val="기성현황"/>
      <sheetName val="사업전망"/>
      <sheetName val="원가현황"/>
      <sheetName val="당초"/>
      <sheetName val="SG"/>
      <sheetName val="기성수금(단단위)"/>
      <sheetName val="원가매출(단단위)"/>
      <sheetName val="인수공규격"/>
      <sheetName val="현금"/>
      <sheetName val="감가상각"/>
      <sheetName val="누계12"/>
      <sheetName val="RECIMAKE"/>
      <sheetName val="NYS"/>
      <sheetName val="대,유,램"/>
      <sheetName val="2.예금"/>
      <sheetName val="경비"/>
      <sheetName val="EACT10"/>
      <sheetName val="보증수수료산출"/>
      <sheetName val="200"/>
      <sheetName val="집계표"/>
      <sheetName val="인건-측정"/>
      <sheetName val="실행"/>
      <sheetName val="내역서2안"/>
      <sheetName val="매출원가"/>
      <sheetName val="일위대가"/>
      <sheetName val="준검 내역서"/>
      <sheetName val="지질조사"/>
      <sheetName val="Input"/>
      <sheetName val="도급견적가"/>
      <sheetName val="남양시작동자105노65기1.3화1.2"/>
      <sheetName val="조명시설"/>
      <sheetName val="중기"/>
      <sheetName val="데리네이타현황"/>
      <sheetName val="2000년1차"/>
      <sheetName val="남대문빌딩"/>
      <sheetName val="2공구산출내역"/>
      <sheetName val="토공(우물통,기타) "/>
      <sheetName val="원가"/>
      <sheetName val="미지급금"/>
      <sheetName val="산출근거"/>
      <sheetName val="견적서"/>
      <sheetName val="단가조사"/>
      <sheetName val="패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Sheet5"/>
      <sheetName val="개요"/>
      <sheetName val="BSD (2)"/>
      <sheetName val="INPUT"/>
      <sheetName val="Ext. Stone-P"/>
      <sheetName val="FURNITURE-01"/>
      <sheetName val="천안IP공장자100노100물량110할증"/>
      <sheetName val="시화점실행"/>
      <sheetName val="ETC"/>
      <sheetName val="기본DATA"/>
      <sheetName val="갑지(추정)"/>
      <sheetName val="플랜트 설치"/>
      <sheetName val="공문"/>
      <sheetName val="정부노임단가"/>
      <sheetName val="토목주소"/>
      <sheetName val="프랜트면허"/>
      <sheetName val="갑지"/>
      <sheetName val="DATE"/>
      <sheetName val="입찰안"/>
      <sheetName val="CAT_5"/>
      <sheetName val="내역서"/>
      <sheetName val="노임이"/>
      <sheetName val="#REF"/>
      <sheetName val="ABUT수량-A1"/>
      <sheetName val="Girder"/>
      <sheetName val="인사자료총집계"/>
      <sheetName val="I一般比"/>
      <sheetName val="GAEYOXLS"/>
      <sheetName val="ITEM"/>
      <sheetName val="집행갑지"/>
      <sheetName val="Parts"/>
      <sheetName val="Menu A"/>
      <sheetName val="TOTAL1"/>
      <sheetName val="간접경상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필리핀"/>
      <sheetName val="상품입고집계"/>
      <sheetName val="인도"/>
      <sheetName val="인도네시"/>
      <sheetName val="일본"/>
      <sheetName val="요르단"/>
      <sheetName val="중국"/>
      <sheetName val="카타르"/>
      <sheetName val="캄보디아"/>
      <sheetName val="쿠웨이트"/>
      <sheetName val="태국"/>
      <sheetName val="파키스탄"/>
      <sheetName val="Sheet1"/>
      <sheetName val="조직표"/>
    </sheetNames>
    <sheetDataSet>
      <sheetData sheetId="0">
        <row r="1">
          <cell r="A1" t="str">
            <v>file=c:\worksht\itb\필리핀입.wd1</v>
          </cell>
        </row>
      </sheetData>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9-1차이내역"/>
      <sheetName val="설계"/>
      <sheetName val="품셈TABLE"/>
      <sheetName val="국내"/>
      <sheetName val="수입"/>
      <sheetName val="당초"/>
      <sheetName val="보온자재단가표"/>
      <sheetName val="삼보지질"/>
      <sheetName val="단가표"/>
      <sheetName val="경비_원본"/>
      <sheetName val="노임단가"/>
      <sheetName val="Sheet1"/>
      <sheetName val="STAND20"/>
      <sheetName val="공사비PK5월"/>
      <sheetName val="부표총괄"/>
      <sheetName val="품셈1-"/>
      <sheetName val="DB"/>
      <sheetName val="BID"/>
      <sheetName val="기계사급자재"/>
      <sheetName val="Paint,Fire-Proof,Insul(48)"/>
      <sheetName val="VXXXXXXX"/>
      <sheetName val="#3E1_GCR"/>
      <sheetName val="BRICK"/>
      <sheetName val="배수내역"/>
      <sheetName val="합계잔액시산표"/>
      <sheetName val="95년12월말"/>
      <sheetName val="설 계"/>
      <sheetName val="품셈표"/>
      <sheetName val="15.도급예산대비표"/>
      <sheetName val="97 사업추정(WEKI)"/>
      <sheetName val="필리핀"/>
      <sheetName val="현금"/>
      <sheetName val="지사인원사무실"/>
      <sheetName val="상품입고집계"/>
      <sheetName val="조직표"/>
      <sheetName val="SCH"/>
      <sheetName val="Tension"/>
      <sheetName val="적용토목"/>
      <sheetName val="평자재단가"/>
      <sheetName val="상반기손익차2총괄"/>
      <sheetName val="Summary Sheets"/>
      <sheetName val="B31.1"/>
      <sheetName val="PSIZE"/>
      <sheetName val="COVER-P"/>
      <sheetName val="평균인원"/>
      <sheetName val="집계표"/>
      <sheetName val="협력업체전기요금"/>
      <sheetName val="차량별점검"/>
      <sheetName val="수문일1"/>
      <sheetName val="일위대가"/>
      <sheetName val="표지"/>
      <sheetName val="토적계산"/>
      <sheetName val="1차배부(JB포함)"/>
      <sheetName val="돈"/>
      <sheetName val="기본단가"/>
      <sheetName val="신대방33(적용)"/>
      <sheetName val="수주실적0709"/>
      <sheetName val="96 능제취입"/>
      <sheetName val="실행철강하도"/>
      <sheetName val="청산공사"/>
      <sheetName val="10현장조직"/>
      <sheetName val="토목"/>
      <sheetName val="마케팅"/>
      <sheetName val="WORKER"/>
      <sheetName val="9GNG운반"/>
      <sheetName val="99년하반기"/>
      <sheetName val="공사비내역"/>
      <sheetName val="W42  "/>
      <sheetName val="한화건설"/>
      <sheetName val="P.M 별"/>
      <sheetName val="입찰안"/>
      <sheetName val="하조서"/>
      <sheetName val="실행내역"/>
      <sheetName val="경상"/>
      <sheetName val="경비공통"/>
      <sheetName val="VXXXXX"/>
      <sheetName val="내역서"/>
      <sheetName val="NYS"/>
      <sheetName val="인건-측정"/>
      <sheetName val="자재단가"/>
      <sheetName val="Sheet5"/>
      <sheetName val="계정보고_(2)"/>
      <sheetName val="요약배부_(보고)"/>
      <sheetName val="요약배부_(보고)_(2)"/>
      <sheetName val="기타매출_(2)"/>
      <sheetName val="기타매출_(3)"/>
      <sheetName val="1.취수장"/>
      <sheetName val="수성페인트도장 내역서"/>
      <sheetName val="도급"/>
      <sheetName val="견적대비"/>
      <sheetName val="기안"/>
      <sheetName val="총괄-1"/>
      <sheetName val="토공사"/>
      <sheetName val="단가"/>
      <sheetName val="기초자료입력및 K치 확인"/>
      <sheetName val="직노"/>
      <sheetName val="재료"/>
      <sheetName val="내역_ver1.0"/>
      <sheetName val="내역서1"/>
      <sheetName val="ysn"/>
      <sheetName val="교각1"/>
      <sheetName val="총괄표"/>
      <sheetName val="Sheet6"/>
      <sheetName val="CAT_5"/>
      <sheetName val="INPUT"/>
      <sheetName val="기계"/>
      <sheetName val="토량산출서"/>
      <sheetName val="토목주소"/>
      <sheetName val="프랜트면허"/>
      <sheetName val="입찰보고"/>
      <sheetName val="세부기준"/>
      <sheetName val="2003.02월수금계획"/>
      <sheetName val="2002_건설용역비미수금현황"/>
      <sheetName val="Piping Design Data"/>
      <sheetName val="현장"/>
      <sheetName val="MOKDONG(1)"/>
      <sheetName val="회사99"/>
      <sheetName val="손익차9월2"/>
      <sheetName val="손익차총괄2"/>
      <sheetName val="공통"/>
      <sheetName val="공통비총괄표"/>
      <sheetName val="Sheet2"/>
      <sheetName val="삭제금지단가"/>
      <sheetName val="공문"/>
      <sheetName val="95삼성급(본사)"/>
      <sheetName val="집계표(OPTION)"/>
      <sheetName val="合成単価作成表-BLDG"/>
      <sheetName val="유림골조"/>
      <sheetName val="정산표"/>
      <sheetName val="부안일위"/>
      <sheetName val="와동25-3(변경)"/>
      <sheetName val="정산표2"/>
      <sheetName val="2003_02월수금계획"/>
      <sheetName val="Piping_Design_Data"/>
      <sheetName val="97_사업추정(WEKI)"/>
      <sheetName val="P_M_별"/>
      <sheetName val="일위_파일"/>
      <sheetName val="M-EQPT-Z"/>
      <sheetName val="소화실적"/>
      <sheetName val="개시대사 (2)"/>
      <sheetName val="보증금(전신전화가입권)"/>
      <sheetName val="Equipment (5)"/>
      <sheetName val="#REF"/>
      <sheetName val="RCF CLAIMED"/>
      <sheetName val="KP1590_E"/>
      <sheetName val="JOB Assign"/>
      <sheetName val="예가표"/>
      <sheetName val="Total"/>
      <sheetName val="Customer Databas"/>
      <sheetName val="EACT10"/>
      <sheetName val="가격조사서"/>
      <sheetName val="금액내역서"/>
      <sheetName val="원가계산서"/>
      <sheetName val="적용대가"/>
      <sheetName val="3.바닥판설계"/>
      <sheetName val="주형"/>
      <sheetName val="INPUT DATA"/>
      <sheetName val="B"/>
      <sheetName val="Doha WBS Clean"/>
      <sheetName val="토사(PE)"/>
      <sheetName val="건축"/>
      <sheetName val="CB"/>
      <sheetName val="new급여T(4을-운전)"/>
      <sheetName val="Peralatan (2)"/>
      <sheetName val="DCS"/>
      <sheetName val="ANALYSER"/>
      <sheetName val="Sheet11"/>
      <sheetName val="BATCH"/>
      <sheetName val="인원계획"/>
      <sheetName val="구의33고"/>
      <sheetName val="직S"/>
      <sheetName val="사업부배부A"/>
      <sheetName val="eq_data"/>
      <sheetName val="카메라"/>
      <sheetName val="제작비추산총괄표"/>
      <sheetName val="물가자료"/>
      <sheetName val="Sheet3"/>
      <sheetName val="2003_02월수금계획1"/>
      <sheetName val="Piping_Design_Data1"/>
      <sheetName val="97_사업추정(WEKI)1"/>
      <sheetName val="P_M_별1"/>
      <sheetName val="개시대사_(2)"/>
      <sheetName val="RCF_CLAIMED"/>
      <sheetName val="Equipment_(5)"/>
      <sheetName val="JOB_Assign"/>
      <sheetName val="INPUT_DATA"/>
      <sheetName val="Customer_Databas"/>
      <sheetName val="Doha_WBS_Clean"/>
      <sheetName val="Peralatan_(2)"/>
      <sheetName val="3_바닥판설계"/>
      <sheetName val="약품설비"/>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건설성적"/>
      <sheetName val="정부노임단가"/>
      <sheetName val="예산M2"/>
      <sheetName val="예산M12A"/>
      <sheetName val="예산M6-B"/>
      <sheetName val="Regenerator  Concrete Structure"/>
      <sheetName val="공통가설"/>
      <sheetName val="노무비단가"/>
      <sheetName val="cable-data"/>
      <sheetName val="수안보-MBR1"/>
      <sheetName val="간접"/>
      <sheetName val="전기혼잡제경비(45)"/>
      <sheetName val="6PILE  (돌출)"/>
      <sheetName val="sum"/>
      <sheetName val="1월"/>
      <sheetName val="터널조도"/>
      <sheetName val="산출서"/>
      <sheetName val="설_계"/>
      <sheetName val="15_도급예산대비표"/>
      <sheetName val="Summary_Sheets"/>
      <sheetName val="B31_1"/>
      <sheetName val="96_능제취입"/>
      <sheetName val="평형공사비"/>
      <sheetName val="2.대외공문"/>
      <sheetName val="견적서"/>
      <sheetName val="직원동원SCH"/>
      <sheetName val="년말집계"/>
      <sheetName val="VENDOR LIST"/>
      <sheetName val="OD5000"/>
      <sheetName val="95하U$가격"/>
      <sheetName val="내역표지"/>
      <sheetName val="VV보온LINK"/>
      <sheetName val="FIT보온LINK"/>
      <sheetName val="간접비 총괄표"/>
      <sheetName val="갑지"/>
      <sheetName val="IT-BAT"/>
      <sheetName val="lab"/>
      <sheetName val="지사인원"/>
      <sheetName val="새공통"/>
      <sheetName val="BLIND FLANGE"/>
      <sheetName val="CAP"/>
      <sheetName val="ELBOW"/>
      <sheetName val="FLANGE"/>
      <sheetName val="PIPE NPS OD"/>
      <sheetName val="OLET"/>
      <sheetName val="REDUCER"/>
      <sheetName val="TEE"/>
      <sheetName val="DATE"/>
      <sheetName val="토 적 표"/>
      <sheetName val="Cash"/>
      <sheetName val="금리계산"/>
      <sheetName val="단가산출"/>
      <sheetName val="BLDG_DCI"/>
      <sheetName val="BLDG_MCI"/>
      <sheetName val="용소리교"/>
      <sheetName val="ACUNIT"/>
      <sheetName val="구조물공"/>
      <sheetName val="주beam"/>
      <sheetName val="Weld, NDE (Pipe)"/>
      <sheetName val="선수금반제"/>
      <sheetName val="배수내역 (2)"/>
      <sheetName val="월별인건비현황"/>
      <sheetName val="data"/>
      <sheetName val="공통비"/>
      <sheetName val="부대내역"/>
      <sheetName val="XL4Poppy"/>
      <sheetName val="WIND"/>
      <sheetName val="COMPRESSOR"/>
      <sheetName val="배수공 주요자재 집계표"/>
      <sheetName val="WIND-EQ"/>
      <sheetName val="HORI. VESSEL"/>
      <sheetName val="2003_02월수금계획2"/>
      <sheetName val="Piping_Design_Data2"/>
      <sheetName val="97_사업추정(WEKI)2"/>
      <sheetName val="P_M_별2"/>
      <sheetName val="계정보고_(2)1"/>
      <sheetName val="요약배부_(보고)1"/>
      <sheetName val="요약배부_(보고)_(2)1"/>
      <sheetName val="기타매출_(2)1"/>
      <sheetName val="기타매출_(3)1"/>
      <sheetName val="개시대사_(2)1"/>
      <sheetName val="RCF_CLAIMED1"/>
      <sheetName val="BOROUGE2"/>
      <sheetName val="CBE-VSL"/>
      <sheetName val="TTL"/>
      <sheetName val="수주추정"/>
      <sheetName val="공정회의자료(월요일 10시까지)"/>
      <sheetName val="공사비 내역 (가)"/>
      <sheetName val="INPUT DATA OF SCHEDULE"/>
      <sheetName val="Equipment_(5)1"/>
      <sheetName val="JOB_Assign1"/>
      <sheetName val="Customer_Databas1"/>
      <sheetName val="3_바닥판설계1"/>
      <sheetName val="INPUT_DATA1"/>
      <sheetName val="Doha_WBS_Clean1"/>
      <sheetName val="Peralatan_(2)1"/>
      <sheetName val="공통부대비"/>
      <sheetName val="제출내역 (2)"/>
      <sheetName val="사급자재"/>
      <sheetName val="FWBS7000,8000"/>
      <sheetName val="8"/>
      <sheetName val="10"/>
      <sheetName val="12"/>
      <sheetName val="9"/>
      <sheetName val="11"/>
      <sheetName val="2"/>
      <sheetName val="실적"/>
      <sheetName val="세금자료"/>
      <sheetName val="경제지표"/>
      <sheetName val="6PILE__(돌출)"/>
      <sheetName val="BLIND_FLANGE"/>
      <sheetName val="PIPE_NPS_OD"/>
      <sheetName val="현대본사"/>
      <sheetName val="저"/>
      <sheetName val="단가비교"/>
      <sheetName val="조경일람"/>
      <sheetName val="내역"/>
      <sheetName val="공정코드"/>
      <sheetName val="BQ"/>
      <sheetName val="IMP(MAIN)"/>
      <sheetName val="IMP (REACTOR)"/>
      <sheetName val="ANX3A65"/>
      <sheetName val="할증 "/>
      <sheetName val="Manmonth(입력)"/>
      <sheetName val="list"/>
      <sheetName val="부속동"/>
      <sheetName val="총괄집계 "/>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P_M 별"/>
      <sheetName val="내역(전력)"/>
      <sheetName val="98수문일위"/>
      <sheetName val="Container항차정리"/>
      <sheetName val="외화금융(97-03)"/>
      <sheetName val="조정전"/>
      <sheetName val="tjexcel"/>
      <sheetName val="Prices"/>
      <sheetName val="내역서(당초변경)"/>
      <sheetName val="점수계산1-2"/>
      <sheetName val="품조정율(97-99)"/>
      <sheetName val="포장공"/>
      <sheetName val="재료율"/>
      <sheetName val="PRO_A"/>
      <sheetName val="ELEC_MCI"/>
      <sheetName val="MAIN"/>
      <sheetName val="INST_MCI"/>
      <sheetName val="MECH_MCI"/>
      <sheetName val="PRO"/>
      <sheetName val="D-623D"/>
      <sheetName val="평3"/>
      <sheetName val="견적단가"/>
      <sheetName val=""/>
      <sheetName val="원가"/>
      <sheetName val="작성기준"/>
      <sheetName val="남양내역"/>
      <sheetName val="공사설계서"/>
      <sheetName val="AS복구"/>
      <sheetName val="중기터파기"/>
      <sheetName val="변수값"/>
      <sheetName val="중기상차"/>
      <sheetName val="단위가격"/>
      <sheetName val="적용단가"/>
      <sheetName val="Malaysia incl. RET"/>
      <sheetName val="을"/>
      <sheetName val=" 냉각수펌프"/>
      <sheetName val="공조기휀"/>
      <sheetName val="AHU집계"/>
      <sheetName val="5사남"/>
      <sheetName val="기계내역"/>
      <sheetName val="대전-교대(A1-A2)"/>
      <sheetName val="변동률산출"/>
      <sheetName val="tcm_bq_MH"/>
      <sheetName val="PRO_DCI"/>
      <sheetName val="INST_DCI"/>
      <sheetName val="HVAC_DCI"/>
      <sheetName val="PIPE_DCI"/>
      <sheetName val="신표지1"/>
      <sheetName val="¼ÕÀÍÂ÷9¿ù2"/>
      <sheetName val="Y-MOV2011"/>
      <sheetName val="관급"/>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산근터빈"/>
      <sheetName val="FAB별"/>
      <sheetName val="6호기"/>
      <sheetName val="MEED"/>
      <sheetName val="ÁÖ°ü»ç¾÷"/>
      <sheetName val="0고과평균 및 편차조정 (2)"/>
      <sheetName val="98지급계획"/>
      <sheetName val="N賃率-職"/>
      <sheetName val="지급자재"/>
      <sheetName val="97 사업추정_WEKI_"/>
      <sheetName val="jobhist"/>
      <sheetName val="97"/>
      <sheetName val="DWG"/>
      <sheetName val="ELEC_DCI"/>
      <sheetName val="982월원안"/>
      <sheetName val="TOT-SUM"/>
      <sheetName val="BREAKDOWN(철거설치)"/>
      <sheetName val="공사비예산서(토목분)"/>
      <sheetName val="반포2차"/>
      <sheetName val="General Data"/>
      <sheetName val="EQUIP"/>
      <sheetName val="무전표"/>
      <sheetName val=" "/>
      <sheetName val="insulation"/>
      <sheetName val="PRICE-COMP"/>
      <sheetName val="할증_"/>
      <sheetName val="전기단가조사서"/>
      <sheetName val="시공집계"/>
      <sheetName val="TABLE-A"/>
      <sheetName val="CAL(1)."/>
      <sheetName val="입찰"/>
      <sheetName val="현경"/>
      <sheetName val="식재인부"/>
      <sheetName val="경비2내역"/>
      <sheetName val="시설물일위"/>
      <sheetName val="금액"/>
      <sheetName val="노임"/>
      <sheetName val="일위대가표"/>
      <sheetName val="품셈1-26"/>
      <sheetName val="처리목록"/>
      <sheetName val="Basic"/>
      <sheetName val="2공구산출내역"/>
      <sheetName val="BLR-S"/>
      <sheetName val="공정산출"/>
      <sheetName val="공사진행"/>
      <sheetName val="문학간접"/>
      <sheetName val="뜃맟뭁돽띿맟?-BLDG"/>
      <sheetName val="산출근거#2-3"/>
      <sheetName val="GAEYO"/>
      <sheetName val="음료실행"/>
      <sheetName val="L V Separator"/>
      <sheetName val="Proposal"/>
      <sheetName val="#13_Electrical"/>
      <sheetName val="DPRKMHDT"/>
      <sheetName val="광통신 견적내역서1"/>
      <sheetName val="15"/>
      <sheetName val="노무비"/>
      <sheetName val="BOLT"/>
      <sheetName val="Sheet17"/>
      <sheetName val="참고1"/>
      <sheetName val="MOTOR"/>
      <sheetName val="뜃맟뭁돽띿맟_-BLDG"/>
      <sheetName val="TB-내역서"/>
      <sheetName val="MACRO(전선관)"/>
      <sheetName val="매체인지도분석"/>
      <sheetName val="Asset9809CAK"/>
      <sheetName val="200"/>
      <sheetName val="설계내역서"/>
      <sheetName val="간선계산"/>
      <sheetName val="B2BERP"/>
      <sheetName val="6동"/>
      <sheetName val="LEGEND"/>
      <sheetName val="Quantity"/>
      <sheetName val="ANX3A11"/>
      <sheetName val="bolts"/>
      <sheetName val="신우"/>
      <sheetName val="Curves"/>
      <sheetName val="Tables"/>
      <sheetName val="info"/>
      <sheetName val="에너지동"/>
      <sheetName val="명세서"/>
      <sheetName val="단가(LP)"/>
      <sheetName val="휴일check"/>
      <sheetName val="차액보증"/>
      <sheetName val="Code_Magics"/>
      <sheetName val="Code"/>
      <sheetName val="1련,2련"/>
      <sheetName val="변품8-37"/>
      <sheetName val="우수"/>
      <sheetName val="매립"/>
      <sheetName val="대차대조표"/>
      <sheetName val="적금및발행어음계산"/>
      <sheetName val="참고"/>
      <sheetName val="해외 연수비용 계산-삭제"/>
      <sheetName val="해외 기술훈련비 (합계)"/>
      <sheetName val="환산매출"/>
      <sheetName val="일반자료"/>
      <sheetName val="이름표"/>
      <sheetName val="회사정보"/>
      <sheetName val="guard(mac)"/>
      <sheetName val="마스터"/>
      <sheetName val="2003_02월수금계획3"/>
      <sheetName val="Piping_Design_Data3"/>
      <sheetName val="97_사업추정(WEKI)3"/>
      <sheetName val="P_M_별3"/>
      <sheetName val="Equipment_(5)2"/>
      <sheetName val="개시대사_(2)2"/>
      <sheetName val="RCF_CLAIMED2"/>
      <sheetName val="JOB_Assign2"/>
      <sheetName val="INPUT_DATA2"/>
      <sheetName val="Customer_Databas2"/>
      <sheetName val="Peralatan_(2)2"/>
      <sheetName val="Doha_WBS_Clean2"/>
      <sheetName val="3_바닥판설계2"/>
      <sheetName val="공정회의자료(월요일_10시까지)"/>
      <sheetName val="6PILE__(돌출)1"/>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BLIND_FLANGE1"/>
      <sheetName val="PIPE_NPS_OD1"/>
      <sheetName val="배수공_주요자재_집계표"/>
      <sheetName val="HORI__VESSEL"/>
      <sheetName val="IMP_(REACTOR)"/>
      <sheetName val="공사비_내역_(가)"/>
      <sheetName val="INPUT_DATA_OF_SCHEDULE"/>
      <sheetName val="Malaysia_incl__RET"/>
      <sheetName val="제출내역_(2)"/>
      <sheetName val="플랜트 설치"/>
      <sheetName val="Control"/>
      <sheetName val="경"/>
      <sheetName val="소상 &quot;1&quot;"/>
      <sheetName val="-15.0"/>
      <sheetName val="sheet4"/>
      <sheetName val="F-1,2"/>
      <sheetName val="손익계산서(管理)"/>
      <sheetName val="Data_인원계획"/>
      <sheetName val="관계주식"/>
      <sheetName val="Config"/>
      <sheetName val="영지실적"/>
      <sheetName val="교통대책내역"/>
      <sheetName val="맨홀수량산출"/>
      <sheetName val="가감수량"/>
      <sheetName val="자료"/>
      <sheetName val="Z- GENERAL PRICE SUMMARY"/>
      <sheetName val=" Estimate  "/>
      <sheetName val="데이타"/>
      <sheetName val="MIJIBI"/>
      <sheetName val="을지"/>
      <sheetName val="BASIC (2)"/>
      <sheetName val="포장복구집계"/>
      <sheetName val="Eq. Mobilization"/>
      <sheetName val="공사개요"/>
      <sheetName val="ITB COST"/>
      <sheetName val="제잡비"/>
      <sheetName val="??-BLDG"/>
      <sheetName val="DAF-2"/>
      <sheetName val="설비"/>
      <sheetName val="공비대비"/>
      <sheetName val="BOX 본체"/>
      <sheetName val="입출재고현황 (2)"/>
      <sheetName val="날개벽"/>
      <sheetName val="예정(3)"/>
      <sheetName val="견적대비표"/>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인력정보"/>
      <sheetName val="data_dci"/>
      <sheetName val="data_mci"/>
      <sheetName val="behind"/>
      <sheetName val="TACE"/>
      <sheetName val="inter"/>
      <sheetName val="영동(D)"/>
      <sheetName val="부재치수입력"/>
      <sheetName val="재료집계"/>
      <sheetName val="총괄"/>
      <sheetName val="별표 "/>
      <sheetName val="Resource"/>
      <sheetName val="Exrate"/>
      <sheetName val="설계명세서"/>
      <sheetName val="지수적용공사비내역서"/>
      <sheetName val="진주방향"/>
      <sheetName val="마산방향"/>
      <sheetName val="남양시작동자105노65기1.3화1.2"/>
      <sheetName val="TOT"/>
      <sheetName val="내역(자100%,노100%)기아화성UD동"/>
      <sheetName val="EF &amp; PF"/>
      <sheetName val="3-1-12"/>
      <sheetName val="노무산출서"/>
      <sheetName val="과천MAIN"/>
      <sheetName val="간접비"/>
      <sheetName val="기기리스트"/>
      <sheetName val="백분율"/>
      <sheetName val="DHEQSUPT"/>
      <sheetName val="기계내역서"/>
      <sheetName val="Steel-Main Work"/>
      <sheetName val="라이닝보강"/>
      <sheetName val="h-013211-2"/>
      <sheetName val="Du toan"/>
      <sheetName val="단면검토"/>
      <sheetName val="계정보고_(2)3"/>
      <sheetName val="요약배부_(보고)3"/>
      <sheetName val="요약배부_(보고)_(2)3"/>
      <sheetName val="기타매출_(2)3"/>
      <sheetName val="기타매출_(3)3"/>
      <sheetName val="설_계3"/>
      <sheetName val="15_도급예산대비표3"/>
      <sheetName val="Summary_Sheets3"/>
      <sheetName val="B31_13"/>
      <sheetName val="96_능제취입1"/>
      <sheetName val="W42__1"/>
      <sheetName val="Regenerator__Concrete_Structure"/>
      <sheetName val="간접비_총괄표"/>
      <sheetName val="BOX_본체"/>
      <sheetName val="입출재고현황_(2)"/>
      <sheetName val="화재_탐지_설비"/>
      <sheetName val="G_R300경비"/>
      <sheetName val="AS포장복구_"/>
      <sheetName val="Sheet1_(2)"/>
      <sheetName val="수성페인트도장_내역서"/>
      <sheetName val="1_취수장"/>
      <sheetName val="기초자료입력및_K치_확인"/>
      <sheetName val="내역_ver1_0"/>
      <sheetName val="_냉각수펌프"/>
      <sheetName val="Weld,_NDE_(Pipe)"/>
      <sheetName val="할증_1"/>
      <sheetName val="VENDOR_LIST"/>
      <sheetName val="2_대외공문"/>
      <sheetName val="97_사업추정_WEKI_"/>
      <sheetName val="토_적_표"/>
      <sheetName val="General_Data"/>
      <sheetName val="총괄집계_"/>
      <sheetName val="배수내역_(2)"/>
      <sheetName val="_"/>
      <sheetName val="CAL(1)_"/>
      <sheetName val="P_M_별4"/>
      <sheetName val="L_V_Separator"/>
      <sheetName val="BT"/>
      <sheetName val="화물기"/>
      <sheetName val="철거산출근거"/>
      <sheetName val="매입세율"/>
      <sheetName val="보일러"/>
      <sheetName val="Process Piping"/>
      <sheetName val="현장지지물물량"/>
      <sheetName val="Large_ISO BOM"/>
      <sheetName val="Sub-Activity"/>
      <sheetName val="AILC004"/>
      <sheetName val="조명시설"/>
      <sheetName val="대운산출"/>
      <sheetName val="안정계산"/>
      <sheetName val="범례"/>
      <sheetName val="암거공"/>
      <sheetName val="0226"/>
      <sheetName val="조직"/>
      <sheetName val="CJI3"/>
      <sheetName val="이자율"/>
      <sheetName val="투입실적"/>
      <sheetName val="증감내역서"/>
      <sheetName val="삼성전기"/>
      <sheetName val="PIPE"/>
      <sheetName val="VALVE"/>
      <sheetName val="목표세부명세"/>
      <sheetName val="NNV"/>
      <sheetName val="검색표"/>
      <sheetName val="물량투입계획"/>
      <sheetName val="간접경상비"/>
      <sheetName val="건축내역"/>
      <sheetName val="부대단위수량"/>
      <sheetName val="유림콘도"/>
      <sheetName val="물량산출(철콘)"/>
      <sheetName val="갑지(추정)"/>
      <sheetName val="20-25"/>
      <sheetName val="LO"/>
      <sheetName val="DAF_2"/>
      <sheetName val="Bhn"/>
      <sheetName val="평균터파기고(1-2,ASP)"/>
      <sheetName val="투찰(하수)"/>
      <sheetName val="토공"/>
      <sheetName val="참조"/>
      <sheetName val="DPRKM_x0000__x0000__x0005_"/>
      <sheetName val="암거날개벽"/>
      <sheetName val="토지조서(원본)"/>
      <sheetName val="차수"/>
      <sheetName val="당진1,2호기전선관설치및접지4차공사내역서-을지"/>
      <sheetName val="적점"/>
      <sheetName val="예산서"/>
      <sheetName val="특수선일위대가"/>
      <sheetName val="도근좌표"/>
      <sheetName val="배수통관(좌)"/>
      <sheetName val="날개벽수량표"/>
      <sheetName val="대포2교접속"/>
      <sheetName val="천방교접속"/>
      <sheetName val="말뚝지지력산정"/>
      <sheetName val="인명부"/>
      <sheetName val="2003_02월수금계획4"/>
      <sheetName val="Piping_Design_Data4"/>
      <sheetName val="97_사업추정(WEKI)4"/>
      <sheetName val="개시대사_(2)3"/>
      <sheetName val="RCF_CLAIMED3"/>
      <sheetName val="Equipment_(5)3"/>
      <sheetName val="JOB_Assign3"/>
      <sheetName val="INPUT_DATA3"/>
      <sheetName val="Customer_Databas3"/>
      <sheetName val="Doha_WBS_Clean3"/>
      <sheetName val="Peralatan_(2)3"/>
      <sheetName val="3_바닥판설계3"/>
      <sheetName val="6PILE__(돌출)2"/>
      <sheetName val="BLIND_FLANGE2"/>
      <sheetName val="PIPE_NPS_OD2"/>
      <sheetName val="공정회의자료(월요일_10시까지)1"/>
      <sheetName val="7_4_1_A(input)1"/>
      <sheetName val="7_4_1(B)_BOQ_Breakdown1"/>
      <sheetName val="7_4_1_C(scope)1"/>
      <sheetName val="7_4_1_D(Basis)1"/>
      <sheetName val="7_4_1_E(allow)1"/>
      <sheetName val="7_4_2_A-Build(list)1"/>
      <sheetName val="7_4_3_B-BOQ-SUM1"/>
      <sheetName val="7_4_3(BOQ_각표지)1"/>
      <sheetName val="7_4_3_A(Shelter)1"/>
      <sheetName val="7_4_3_B(Module)1"/>
      <sheetName val="7_4_3_C(Shelter-FLB)1"/>
      <sheetName val="7_4_3_D(Brief_Spec_)1"/>
      <sheetName val="공사비_내역_(가)1"/>
      <sheetName val="INPUT_DATA_OF_SCHEDULE1"/>
      <sheetName val="배수공_주요자재_집계표1"/>
      <sheetName val="HORI__VESSEL1"/>
      <sheetName val="IMP_(REACTOR)1"/>
      <sheetName val="제출내역_(2)1"/>
      <sheetName val="Malaysia_incl__RET1"/>
      <sheetName val="P_M_별5"/>
      <sheetName val="0고과평균_및_편차조정_(2)"/>
      <sheetName val="광통신_견적내역서1"/>
      <sheetName val="플랜트_설치"/>
      <sheetName val="소상_&quot;1&quot;"/>
      <sheetName val="-15_0"/>
      <sheetName val="Z-_GENERAL_PRICE_SUMMARY"/>
      <sheetName val="_Estimate__"/>
      <sheetName val="해외_연수비용_계산-삭제"/>
      <sheetName val="해외_기술훈련비_(합계)"/>
      <sheetName val="ITB_COST"/>
      <sheetName val="2003_02월수금계획5"/>
      <sheetName val="Piping_Design_Data5"/>
      <sheetName val="97_사업추정(WEKI)5"/>
      <sheetName val="P_M_별6"/>
      <sheetName val="계정보고_(2)4"/>
      <sheetName val="요약배부_(보고)4"/>
      <sheetName val="요약배부_(보고)_(2)4"/>
      <sheetName val="기타매출_(2)4"/>
      <sheetName val="기타매출_(3)4"/>
      <sheetName val="개시대사_(2)4"/>
      <sheetName val="RCF_CLAIMED4"/>
      <sheetName val="Equipment_(5)4"/>
      <sheetName val="JOB_Assign4"/>
      <sheetName val="INPUT_DATA4"/>
      <sheetName val="Customer_Databas4"/>
      <sheetName val="Doha_WBS_Clean4"/>
      <sheetName val="Peralatan_(2)4"/>
      <sheetName val="3_바닥판설계4"/>
      <sheetName val="6PILE__(돌출)3"/>
      <sheetName val="설_계4"/>
      <sheetName val="15_도급예산대비표4"/>
      <sheetName val="Summary_Sheets4"/>
      <sheetName val="B31_14"/>
      <sheetName val="BLIND_FLANGE3"/>
      <sheetName val="PIPE_NPS_OD3"/>
      <sheetName val="공정회의자료(월요일_10시까지)2"/>
      <sheetName val="96_능제취입2"/>
      <sheetName val="7_4_1_A(input)2"/>
      <sheetName val="7_4_1(B)_BOQ_Breakdown2"/>
      <sheetName val="7_4_1_C(scope)2"/>
      <sheetName val="7_4_1_D(Basis)2"/>
      <sheetName val="7_4_1_E(allow)2"/>
      <sheetName val="7_4_2_A-Build(list)2"/>
      <sheetName val="7_4_3_B-BOQ-SUM2"/>
      <sheetName val="7_4_3(BOQ_각표지)2"/>
      <sheetName val="7_4_3_A(Shelter)2"/>
      <sheetName val="7_4_3_B(Module)2"/>
      <sheetName val="7_4_3_C(Shelter-FLB)2"/>
      <sheetName val="7_4_3_D(Brief_Spec_)2"/>
      <sheetName val="공사비_내역_(가)2"/>
      <sheetName val="INPUT_DATA_OF_SCHEDULE2"/>
      <sheetName val="배수공_주요자재_집계표2"/>
      <sheetName val="HORI__VESSEL2"/>
      <sheetName val="IMP_(REACTOR)2"/>
      <sheetName val="제출내역_(2)2"/>
      <sheetName val="W42__2"/>
      <sheetName val="간접비_총괄표1"/>
      <sheetName val="Weld,_NDE_(Pipe)1"/>
      <sheetName val="할증_2"/>
      <sheetName val="Malaysia_incl__RET2"/>
      <sheetName val="Regenerator__Concrete_Structur1"/>
      <sheetName val="수성페인트도장_내역서1"/>
      <sheetName val="1_취수장1"/>
      <sheetName val="기초자료입력및_K치_확인1"/>
      <sheetName val="내역_ver1_01"/>
      <sheetName val="_냉각수펌프1"/>
      <sheetName val="97_사업추정_WEKI_1"/>
      <sheetName val="VENDOR_LIST1"/>
      <sheetName val="2_대외공문1"/>
      <sheetName val="General_Data1"/>
      <sheetName val="_1"/>
      <sheetName val="토_적_표1"/>
      <sheetName val="CAL(1)_1"/>
      <sheetName val="총괄집계_1"/>
      <sheetName val="배수내역_(2)1"/>
      <sheetName val="P_M_별7"/>
      <sheetName val="L_V_Separator1"/>
      <sheetName val="0고과평균_및_편차조정_(2)1"/>
      <sheetName val="광통신_견적내역서11"/>
      <sheetName val="플랜트_설치1"/>
      <sheetName val="소상_&quot;1&quot;1"/>
      <sheetName val="-15_01"/>
      <sheetName val="Z-_GENERAL_PRICE_SUMMARY1"/>
      <sheetName val="_Estimate__1"/>
      <sheetName val="해외_연수비용_계산-삭제1"/>
      <sheetName val="해외_기술훈련비_(합계)1"/>
      <sheetName val="BOX_본체1"/>
      <sheetName val="입출재고현황_(2)1"/>
      <sheetName val="화재_탐지_설비1"/>
      <sheetName val="ITB_COST1"/>
      <sheetName val="G_R300경비1"/>
      <sheetName val="AS포장복구_1"/>
      <sheetName val="Sheet1_(2)1"/>
      <sheetName val="급식예산"/>
      <sheetName val="SRC-B3U2"/>
      <sheetName val="재료비"/>
      <sheetName val="7.4.3.D(Brief Spᵥc.)"/>
      <sheetName val="Malaysia_incl__R౅T"/>
      <sheetName val="Z- GENERAL PRICEРSUMMARY"/>
      <sheetName val="RV미수수익보정"/>
      <sheetName val="불균등-거치외(미수)"/>
      <sheetName val="불균등-TOP(선수)"/>
      <sheetName val="일반경비"/>
      <sheetName val="발생집계"/>
      <sheetName val="협조전"/>
      <sheetName val="수량산출서 갑지"/>
      <sheetName val="3월"/>
      <sheetName val="NOMUBI"/>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DATA LISTS"/>
      <sheetName val="__-BLDG"/>
      <sheetName val="STD"/>
      <sheetName val="Soil Parameter"/>
      <sheetName val="99총공사내역서"/>
      <sheetName val="D_AWG"/>
      <sheetName val="T_Cu_ASTM"/>
      <sheetName val="보고"/>
      <sheetName val="wall"/>
      <sheetName val="Front"/>
      <sheetName val="건축2"/>
      <sheetName val="현황CODE"/>
      <sheetName val="손익현황"/>
      <sheetName val="6.3.2"/>
      <sheetName val="4.1구조설계"/>
      <sheetName val="DESIGN"/>
      <sheetName val="BM DATA SHEET"/>
      <sheetName val="Rates"/>
      <sheetName val="NPV"/>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取费基准"/>
      <sheetName val="DRUM"/>
      <sheetName val="산근"/>
      <sheetName val="ARP2"/>
      <sheetName val="FJK_01"/>
      <sheetName val="지급어음"/>
      <sheetName val="BASIC_(2)"/>
      <sheetName val="Eq__Mobilization"/>
      <sheetName val="별표_"/>
      <sheetName val="남양시작동자105노65기1_3화1_2"/>
      <sheetName val="EF_&amp;_PF"/>
      <sheetName val="Steel-Main_Work"/>
      <sheetName val="Du_toan"/>
      <sheetName val="Process_Piping"/>
      <sheetName val="Large_ISO_BOM"/>
      <sheetName val="Voucher"/>
      <sheetName val="안산기계장치"/>
      <sheetName val="Assumption"/>
      <sheetName val="옵션DB(단계3)"/>
      <sheetName val="EJ"/>
      <sheetName val="89평단가"/>
      <sheetName val="84평단가"/>
      <sheetName val="FORM1"/>
      <sheetName val="FINISHING"/>
      <sheetName val="목차"/>
      <sheetName val="H.Satuan"/>
      <sheetName val="8. Arch."/>
      <sheetName val="S-Curve"/>
      <sheetName val="0. PM"/>
      <sheetName val="2. Piping"/>
      <sheetName val="choose"/>
      <sheetName val="역T형"/>
      <sheetName val="지변률공시지가"/>
      <sheetName val="지질조사"/>
      <sheetName val="Demolition"/>
      <sheetName val="건물"/>
      <sheetName val="2003_02월수금계획6"/>
      <sheetName val="Piping_Design_Data6"/>
      <sheetName val="97_사업추정(WEKI)6"/>
      <sheetName val="P_M_별8"/>
      <sheetName val="계정보고_(2)5"/>
      <sheetName val="요약배부_(보고)5"/>
      <sheetName val="요약배부_(보고)_(2)5"/>
      <sheetName val="기타매출_(2)5"/>
      <sheetName val="기타매출_(3)5"/>
      <sheetName val="개시대사_(2)5"/>
      <sheetName val="RCF_CLAIMED5"/>
      <sheetName val="Equipment_(5)5"/>
      <sheetName val="JOB_Assign5"/>
      <sheetName val="INPUT_DATA5"/>
      <sheetName val="Customer_Databas5"/>
      <sheetName val="Doha_WBS_Clean5"/>
      <sheetName val="3_바닥판설계5"/>
      <sheetName val="Peralatan_(2)5"/>
      <sheetName val="설_계5"/>
      <sheetName val="15_도급예산대비표5"/>
      <sheetName val="Summary_Sheets5"/>
      <sheetName val="B31_15"/>
      <sheetName val="6PILE__(돌출)4"/>
      <sheetName val="BLIND_FLANGE4"/>
      <sheetName val="PIPE_NPS_OD4"/>
      <sheetName val="배수공_주요자재_집계표3"/>
      <sheetName val="HORI__VESSEL3"/>
      <sheetName val="공정회의자료(월요일_10시까지)3"/>
      <sheetName val="96_능제취입3"/>
      <sheetName val="7_4_1_A(input)3"/>
      <sheetName val="7_4_1(B)_BOQ_Breakdown3"/>
      <sheetName val="7_4_1_C(scope)3"/>
      <sheetName val="7_4_1_D(Basis)3"/>
      <sheetName val="7_4_1_E(allow)3"/>
      <sheetName val="7_4_2_A-Build(list)3"/>
      <sheetName val="7_4_3_B-BOQ-SUM3"/>
      <sheetName val="7_4_3(BOQ_각표지)3"/>
      <sheetName val="7_4_3_A(Shelter)3"/>
      <sheetName val="7_4_3_B(Module)3"/>
      <sheetName val="7_4_3_C(Shelter-FLB)3"/>
      <sheetName val="7_4_3_D(Brief_Spec_)3"/>
      <sheetName val="공사비_내역_(가)3"/>
      <sheetName val="INPUT_DATA_OF_SCHEDULE3"/>
      <sheetName val="제출내역_(2)3"/>
      <sheetName val="W42__3"/>
      <sheetName val="Regenerator__Concrete_Structur2"/>
      <sheetName val="간접비_총괄표2"/>
      <sheetName val="IMP_(REACTOR)3"/>
      <sheetName val="Weld,_NDE_(Pipe)2"/>
      <sheetName val="할증_3"/>
      <sheetName val="Malaysia_incl__RET3"/>
      <sheetName val="수성페인트도장_내역서2"/>
      <sheetName val="1_취수장2"/>
      <sheetName val="기초자료입력및_K치_확인2"/>
      <sheetName val="내역_ver1_02"/>
      <sheetName val="_냉각수펌프2"/>
      <sheetName val="VENDOR_LIST2"/>
      <sheetName val="2_대외공문2"/>
      <sheetName val="General_Data2"/>
      <sheetName val="97_사업추정_WEKI_2"/>
      <sheetName val="_2"/>
      <sheetName val="토_적_표2"/>
      <sheetName val="CAL(1)_2"/>
      <sheetName val="총괄집계_2"/>
      <sheetName val="배수내역_(2)2"/>
      <sheetName val="P_M_별9"/>
      <sheetName val="L_V_Separator2"/>
      <sheetName val="0고과평균_및_편차조정_(2)2"/>
      <sheetName val="광통신_견적내역서12"/>
      <sheetName val="플랜트_설치2"/>
      <sheetName val="소상_&quot;1&quot;2"/>
      <sheetName val="-15_02"/>
      <sheetName val="Z-_GENERAL_PRICE_SUMMARY2"/>
      <sheetName val="_Estimate__2"/>
      <sheetName val="해외_연수비용_계산-삭제2"/>
      <sheetName val="해외_기술훈련비_(합계)2"/>
      <sheetName val="ITB_COST2"/>
      <sheetName val="BOX_본체2"/>
      <sheetName val="입출재고현황_(2)2"/>
      <sheetName val="화재_탐지_설비2"/>
      <sheetName val="G_R300경비2"/>
      <sheetName val="AS포장복구_2"/>
      <sheetName val="Sheet1_(2)2"/>
      <sheetName val="C_1"/>
      <sheetName val="C_10"/>
      <sheetName val="C_11"/>
      <sheetName val="C_12"/>
      <sheetName val="C_13"/>
      <sheetName val="C_14"/>
      <sheetName val="C_15"/>
      <sheetName val="C_16"/>
      <sheetName val="C_17"/>
      <sheetName val="C_19"/>
      <sheetName val="C_20"/>
      <sheetName val="C_21"/>
      <sheetName val="C_22"/>
      <sheetName val="C_23"/>
      <sheetName val="C_24"/>
      <sheetName val="C_25"/>
      <sheetName val="C_6"/>
      <sheetName val="C_7"/>
      <sheetName val="C_8"/>
      <sheetName val="C_9"/>
      <sheetName val="Index"/>
      <sheetName val="노임이"/>
      <sheetName val="화해(함평)"/>
      <sheetName val="화해(장성)"/>
      <sheetName val="CERTIFICATE"/>
      <sheetName val="C9901"/>
      <sheetName val="단가기준"/>
      <sheetName val="PCSUM"/>
      <sheetName val="VARNS"/>
      <sheetName val="2.주요계수총괄"/>
      <sheetName val="인사자료총집계"/>
      <sheetName val="재무가정"/>
      <sheetName val="수량산출"/>
      <sheetName val="월별cashflow"/>
      <sheetName val="PipWT"/>
      <sheetName val="UPRI"/>
      <sheetName val="Volume"/>
      <sheetName val="Penjumlahan"/>
      <sheetName val="Currency Rate"/>
      <sheetName val="Salesdata01-10 2004"/>
      <sheetName val="BP"/>
      <sheetName val="REKAP A BESAR"/>
      <sheetName val="PNT-QUOT-#3"/>
      <sheetName val="COAT&amp;WRAP-QIOT-#3"/>
      <sheetName val="BAG_2"/>
      <sheetName val="7-2"/>
      <sheetName val="CS_SS892"/>
      <sheetName val="CS_SS191"/>
      <sheetName val="CS_SS192"/>
      <sheetName val="CS_SS961"/>
      <sheetName val="CS_SS391"/>
      <sheetName val="CS_SS791"/>
      <sheetName val="CS_SS491"/>
      <sheetName val="CS_SS492"/>
      <sheetName val="MVCable"/>
      <sheetName val="COCable"/>
      <sheetName val="Div2"/>
      <sheetName val="항목(1)"/>
      <sheetName val="BOOK4"/>
      <sheetName val="sal"/>
      <sheetName val="UPAH DAN BAHAN"/>
      <sheetName val="4-Basic Price"/>
      <sheetName val="D8(1)"/>
      <sheetName val="HRG DSR UPAH &amp; BAHAN"/>
      <sheetName val="5-ALAT (2)"/>
      <sheetName val="D10 LS-Rutin"/>
      <sheetName val="D9"/>
      <sheetName val="BOQ"/>
      <sheetName val="Analisa"/>
      <sheetName val="DAF-5"/>
      <sheetName val="SPT vs PHI"/>
      <sheetName val="member design"/>
      <sheetName val="design criteria"/>
      <sheetName val="working load at the btm ft."/>
      <sheetName val="plan&amp;section of foundation"/>
      <sheetName val="Bill 1 - 9"/>
      <sheetName val="Bill 12"/>
      <sheetName val="Bill 10"/>
      <sheetName val="harsat"/>
      <sheetName val="rab - persiapan &amp; lantai-1"/>
      <sheetName val="dongia (2)"/>
      <sheetName val="giathanh1"/>
      <sheetName val="THPDMoi  (2)"/>
      <sheetName val="lam-moi"/>
      <sheetName val="gtrinh"/>
      <sheetName val="thao-go"/>
      <sheetName val="CHITIET VL-NC-TT -1p"/>
      <sheetName val="VC"/>
      <sheetName val="TH XL"/>
      <sheetName val="chitiet"/>
      <sheetName val="CHITIET VL-NC-TT-3p"/>
      <sheetName val="TONGKE-HT"/>
      <sheetName val="t-h HA THE"/>
      <sheetName val="TDTKP1"/>
      <sheetName val="KPVC-BD "/>
      <sheetName val="TOTAL 2"/>
      <sheetName val="pw&amp;shs"/>
      <sheetName val="일위대가(가설)"/>
      <sheetName val="2Angles"/>
      <sheetName val="struktur"/>
      <sheetName val="월간"/>
      <sheetName val="DPRKM"/>
      <sheetName val="7_4_3_D(Brief_Spᵥc_)"/>
      <sheetName val="Z-_GENERAL_PRICEРSUMMARY"/>
      <sheetName val="수량산출서_갑지"/>
      <sheetName val="DATA_LISTS"/>
      <sheetName val="Soil_Parameter"/>
      <sheetName val="CTEMCOST"/>
      <sheetName val="FAB4생산"/>
      <sheetName val="단양 00 아파트-세부내역"/>
      <sheetName val="장비 (2)"/>
      <sheetName val="골조"/>
      <sheetName val="직종표"/>
      <sheetName val="Sheet389"/>
      <sheetName val="Material"/>
      <sheetName val="REMUNERASISTANDAR"/>
      <sheetName val="TABEL-DETASIR"/>
      <sheetName val="DESCRIPTION"/>
      <sheetName val="Anls"/>
      <sheetName val="Alat"/>
      <sheetName val="Persiapan"/>
      <sheetName val="rap rinci"/>
      <sheetName val="Tender Info"/>
      <sheetName val="H-Bahan"/>
      <sheetName val="3-DIV4"/>
      <sheetName val="DAFTAR HARGA"/>
      <sheetName val="HRG BHN"/>
      <sheetName val="REF.ONLY"/>
      <sheetName val="Cover"/>
      <sheetName val="EQ_an"/>
      <sheetName val="bhn FINAL"/>
      <sheetName val="H-BHN"/>
      <sheetName val="EQ"/>
      <sheetName val="MTa"/>
      <sheetName val="villa"/>
      <sheetName val="Bank"/>
      <sheetName val="6-AGREGAT"/>
      <sheetName val="온도cycle"/>
      <sheetName val="TYPE-A"/>
      <sheetName val="Cost Proposal (lyn)"/>
      <sheetName val="4-Lane bridge"/>
      <sheetName val="worksheet"/>
      <sheetName val="RATES G-5"/>
      <sheetName val="RC Tabulation"/>
      <sheetName val="Cost_Proposal_(lyn)"/>
      <sheetName val="4-Lane_bridge"/>
      <sheetName val="RATES_G-5"/>
      <sheetName val="RC_Tabulation"/>
      <sheetName val="4.boq-site(o)"/>
      <sheetName val="revised#1"/>
      <sheetName val="Project list"/>
      <sheetName val="BILLING SUMMARY"/>
      <sheetName val="Others"/>
      <sheetName val="sum mdc"/>
      <sheetName val="Arch"/>
      <sheetName val="D-3"/>
      <sheetName val="PumpSpec"/>
      <sheetName val="6_3_2"/>
      <sheetName val="4_1구조설계"/>
      <sheetName val="BM_DATA_SHEET"/>
      <sheetName val="SKEDUL AV-05"/>
      <sheetName val="WL"/>
      <sheetName val="CONCRETE"/>
      <sheetName val="trf(36%)"/>
      <sheetName val="반응조"/>
      <sheetName val="A:\평균인원.95"/>
      <sheetName val="ABUT수량-A1"/>
      <sheetName val="품목"/>
      <sheetName val="CBL_SIZE"/>
      <sheetName val="CBL_OD"/>
      <sheetName val="공조기"/>
      <sheetName val="계정보고_(2)6"/>
      <sheetName val="요약배부_(보고)6"/>
      <sheetName val="요약배부_(보고)_(2)6"/>
      <sheetName val="기타매출_(2)6"/>
      <sheetName val="기타매출_(3)6"/>
      <sheetName val="할증_4"/>
      <sheetName val="잡철물"/>
      <sheetName val="설_계6"/>
      <sheetName val="15_도급예산대비표6"/>
      <sheetName val="Summary_Sheets6"/>
      <sheetName val="B31_16"/>
      <sheetName val="96_능제취입4"/>
      <sheetName val="1_취수장3"/>
      <sheetName val="W42__4"/>
      <sheetName val="수성페인트도장_내역서3"/>
      <sheetName val="기초자료입력및_K치_확인3"/>
      <sheetName val="내역_ver1_03"/>
      <sheetName val="Regenerator__Concrete_Structur3"/>
      <sheetName val="2_대외공문3"/>
      <sheetName val="토_적_표3"/>
      <sheetName val="VENDOR_LIST3"/>
      <sheetName val="간접비_총괄표3"/>
      <sheetName val="총괄집계_3"/>
      <sheetName val="Weld,_NDE_(Pipe)3"/>
      <sheetName val="배수내역_(2)3"/>
      <sheetName val="P_M_별10"/>
      <sheetName val="_냉각수펌프3"/>
      <sheetName val="97_사업추정_WEKI_3"/>
      <sheetName val="General_Data3"/>
      <sheetName val="_3"/>
      <sheetName val="CAL(1)_3"/>
      <sheetName val="L_V_Separator3"/>
      <sheetName val="BASIC_(2)2"/>
      <sheetName val="Eq__Mobilization2"/>
      <sheetName val="BOX_본체3"/>
      <sheetName val="입출재고현황_(2)3"/>
      <sheetName val="화재_탐지_설비3"/>
      <sheetName val="G_R300경비3"/>
      <sheetName val="AS포장복구_3"/>
      <sheetName val="Sheet1_(2)3"/>
      <sheetName val="별표_2"/>
      <sheetName val="남양시작동자105노65기1_3화1_22"/>
      <sheetName val="EF_&amp;_PF2"/>
      <sheetName val="Steel-Main_Work2"/>
      <sheetName val="Du_toan2"/>
      <sheetName val="Process_Piping2"/>
      <sheetName val="Large_ISO_BOM2"/>
      <sheetName val="BASIC_(2)1"/>
      <sheetName val="Eq__Mobilization1"/>
      <sheetName val="별표_1"/>
      <sheetName val="남양시작동자105노65기1_3화1_21"/>
      <sheetName val="EF_&amp;_PF1"/>
      <sheetName val="Steel-Main_Work1"/>
      <sheetName val="Du_toan1"/>
      <sheetName val="Process_Piping1"/>
      <sheetName val="Large_ISO_BOM1"/>
      <sheetName val="자재단가비교표"/>
      <sheetName val="VS배관내역서"/>
      <sheetName val="경비"/>
      <sheetName val="example (2)"/>
      <sheetName val="PMfee산정"/>
      <sheetName val="임대사례선정"/>
      <sheetName val="거래사례선정"/>
      <sheetName val="구분1"/>
      <sheetName val="구분2"/>
      <sheetName val="동명"/>
      <sheetName val="동_임대"/>
      <sheetName val="블럭명"/>
      <sheetName val="Home"/>
      <sheetName val="소재지"/>
      <sheetName val="소재지_임대"/>
      <sheetName val="10매출"/>
      <sheetName val="조건표"/>
      <sheetName val="DPRKMß_x0000_Ԁ"/>
      <sheetName val="터파기및재료"/>
      <sheetName val="정렬"/>
      <sheetName val="총원"/>
      <sheetName val="품셈총괄표"/>
      <sheetName val="시설물기초"/>
      <sheetName val="co-no.2"/>
      <sheetName val="Building"/>
      <sheetName val="Schedule_Sheet"/>
      <sheetName val="Calculation"/>
      <sheetName val="Civil"/>
      <sheetName val="Electrical"/>
      <sheetName val="Equipment"/>
      <sheetName val="Instrument"/>
      <sheetName val="Overall"/>
      <sheetName val="Painting"/>
      <sheetName val="Progress_Data"/>
      <sheetName val="Pipe Fabrication"/>
      <sheetName val="Steel"/>
      <sheetName val="대공종"/>
      <sheetName val="전체내역 (2)"/>
      <sheetName val="2003_02월수금계획8"/>
      <sheetName val="Piping_Design_Data8"/>
      <sheetName val="97_사업추정(WEKI)8"/>
      <sheetName val="계정보고_(2)7"/>
      <sheetName val="요약배부_(보고)7"/>
      <sheetName val="요약배부_(보고)_(2)7"/>
      <sheetName val="기타매출_(2)7"/>
      <sheetName val="기타매출_(3)7"/>
      <sheetName val="Equipment_(5)7"/>
      <sheetName val="개시대사_(2)7"/>
      <sheetName val="RCF_CLAIMED7"/>
      <sheetName val="JOB_Assign7"/>
      <sheetName val="INPUT_DATA7"/>
      <sheetName val="Customer_Databas7"/>
      <sheetName val="Doha_WBS_Clean7"/>
      <sheetName val="3_바닥판설계7"/>
      <sheetName val="Peralatan_(2)7"/>
      <sheetName val="6PILE__(돌출)6"/>
      <sheetName val="BLIND_FLANGE6"/>
      <sheetName val="PIPE_NPS_OD6"/>
      <sheetName val="배수공_주요자재_집계표6"/>
      <sheetName val="HORI__VESSEL6"/>
      <sheetName val="공정회의자료(월요일_10시까지)6"/>
      <sheetName val="96_능제취입6"/>
      <sheetName val="7_4_1_A(input)6"/>
      <sheetName val="7_4_1(B)_BOQ_Breakdown6"/>
      <sheetName val="7_4_1_C(scope)6"/>
      <sheetName val="7_4_1_D(Basis)6"/>
      <sheetName val="7_4_1_E(allow)6"/>
      <sheetName val="7_4_2_A-Build(list)6"/>
      <sheetName val="7_4_3_B-BOQ-SUM6"/>
      <sheetName val="7_4_3(BOQ_각표지)6"/>
      <sheetName val="7_4_3_A(Shelter)6"/>
      <sheetName val="7_4_3_B(Module)6"/>
      <sheetName val="7_4_3_C(Shelter-FLB)6"/>
      <sheetName val="7_4_3_D(Brief_Spec_)6"/>
      <sheetName val="배수공_주요자재_집계표4"/>
      <sheetName val="HORI__VESSEL4"/>
      <sheetName val="공정회의자료(월요일_10시까지)4"/>
      <sheetName val="7_4_1_A(input)4"/>
      <sheetName val="7_4_1(B)_BOQ_Breakdown4"/>
      <sheetName val="7_4_1_C(scope)4"/>
      <sheetName val="7_4_1_D(Basis)4"/>
      <sheetName val="7_4_1_E(allow)4"/>
      <sheetName val="7_4_2_A-Build(list)4"/>
      <sheetName val="7_4_3_B-BOQ-SUM4"/>
      <sheetName val="7_4_3(BOQ_각표지)4"/>
      <sheetName val="7_4_3_A(Shelter)4"/>
      <sheetName val="7_4_3_B(Module)4"/>
      <sheetName val="7_4_3_C(Shelter-FLB)4"/>
      <sheetName val="7_4_3_D(Brief_Spec_)4"/>
      <sheetName val="2003_02월수금계획7"/>
      <sheetName val="Piping_Design_Data7"/>
      <sheetName val="97_사업추정(WEKI)7"/>
      <sheetName val="Equipment_(5)6"/>
      <sheetName val="개시대사_(2)6"/>
      <sheetName val="RCF_CLAIMED6"/>
      <sheetName val="JOB_Assign6"/>
      <sheetName val="INPUT_DATA6"/>
      <sheetName val="Customer_Databas6"/>
      <sheetName val="Doha_WBS_Clean6"/>
      <sheetName val="3_바닥판설계6"/>
      <sheetName val="Peralatan_(2)6"/>
      <sheetName val="6PILE__(돌출)5"/>
      <sheetName val="BLIND_FLANGE5"/>
      <sheetName val="PIPE_NPS_OD5"/>
      <sheetName val="배수공_주요자재_집계표5"/>
      <sheetName val="HORI__VESSEL5"/>
      <sheetName val="공정회의자료(월요일_10시까지)5"/>
      <sheetName val="96_능제취입5"/>
      <sheetName val="7_4_1_A(input)5"/>
      <sheetName val="7_4_1(B)_BOQ_Breakdown5"/>
      <sheetName val="7_4_1_C(scope)5"/>
      <sheetName val="7_4_1_D(Basis)5"/>
      <sheetName val="7_4_1_E(allow)5"/>
      <sheetName val="7_4_2_A-Build(list)5"/>
      <sheetName val="7_4_3_B-BOQ-SUM5"/>
      <sheetName val="7_4_3(BOQ_각표지)5"/>
      <sheetName val="7_4_3_A(Shelter)5"/>
      <sheetName val="7_4_3_B(Module)5"/>
      <sheetName val="7_4_3_C(Shelter-FLB)5"/>
      <sheetName val="7_4_3_D(Brief_Spec_)5"/>
      <sheetName val="QPL"/>
      <sheetName val="EPC Summary"/>
      <sheetName val="Macro-Dexterne"/>
      <sheetName val="Macro-cons"/>
      <sheetName val="Macro-Epaisseur"/>
      <sheetName val="Macro-Diam-interne"/>
      <sheetName val="Macro-press"/>
      <sheetName val="Macro-Long"/>
      <sheetName val="AN2"/>
      <sheetName val="50  Equipment Pricing xxx"/>
      <sheetName val="업무처리전"/>
      <sheetName val="가공비"/>
      <sheetName val="DB BIDDER"/>
      <sheetName val="Data Table"/>
      <sheetName val="SUMMARY"/>
      <sheetName val="tabel berat"/>
      <sheetName val="TJ1Q47"/>
      <sheetName val="N-AC"/>
      <sheetName val="L 1"/>
      <sheetName val="기준정보"/>
      <sheetName val="[평균인원.95]A:\평균인원.95"/>
      <sheetName val="신림APT"/>
      <sheetName val="골조시행"/>
      <sheetName val="WING3"/>
      <sheetName val="5_1_1 Cut-off SS install"/>
      <sheetName val="Sheet3 (2)"/>
      <sheetName val="E_Summary"/>
      <sheetName val="D_Cntnts"/>
      <sheetName val="공내역"/>
      <sheetName val="DPRKM劬_x0010__x0000_"/>
      <sheetName val="9-1차이내역."/>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sheetData sheetId="43"/>
      <sheetData sheetId="44"/>
      <sheetData sheetId="45" refreshError="1"/>
      <sheetData sheetId="46"/>
      <sheetData sheetId="47" refreshError="1"/>
      <sheetData sheetId="48"/>
      <sheetData sheetId="49"/>
      <sheetData sheetId="50"/>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sheetData sheetId="580" refreshError="1"/>
      <sheetData sheetId="581" refreshError="1"/>
      <sheetData sheetId="582" refreshError="1"/>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refreshError="1"/>
      <sheetData sheetId="1191" refreshError="1"/>
      <sheetData sheetId="1192"/>
      <sheetData sheetId="1193" refreshError="1"/>
      <sheetData sheetId="1194" refreshError="1"/>
      <sheetData sheetId="1195" refreshError="1"/>
      <sheetData sheetId="1196"/>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sheetData sheetId="1229"/>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refreshError="1"/>
      <sheetData sheetId="1244" refreshError="1"/>
      <sheetData sheetId="1245" refreshError="1"/>
      <sheetData sheetId="1246" refreshError="1"/>
      <sheetData sheetId="1247" refreshError="1"/>
      <sheetData sheetId="1248"/>
      <sheetData sheetId="1249" refreshError="1"/>
      <sheetData sheetId="1250" refreshError="1"/>
      <sheetData sheetId="1251" refreshError="1"/>
      <sheetData sheetId="1252" refreshError="1"/>
      <sheetData sheetId="1253" refreshError="1"/>
      <sheetData sheetId="1254"/>
      <sheetData sheetId="1255"/>
      <sheetData sheetId="1256"/>
      <sheetData sheetId="1257"/>
      <sheetData sheetId="1258"/>
      <sheetData sheetId="1259"/>
      <sheetData sheetId="1260" refreshError="1"/>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sheetData sheetId="1451" refreshError="1"/>
      <sheetData sheetId="1452" refreshError="1"/>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계약고&amp;환율"/>
      <sheetName val="1. 가설Sum"/>
      <sheetName val="가설인원"/>
      <sheetName val="1.1 가설 예산"/>
      <sheetName val="부대공통Sum"/>
      <sheetName val="부대공통"/>
      <sheetName val="가설전기"/>
      <sheetName val="가설전기사용"/>
      <sheetName val="용전용수"/>
      <sheetName val="가설용수"/>
      <sheetName val="공사개발비"/>
      <sheetName val="발주처제공분"/>
      <sheetName val="인원동원계획"/>
      <sheetName val="인원동원계획(참조용)"/>
      <sheetName val="Sheet1"/>
      <sheetName val="환율"/>
    </sheetNames>
    <sheetDataSet>
      <sheetData sheetId="0" refreshError="1"/>
      <sheetData sheetId="1" refreshError="1">
        <row r="11">
          <cell r="B11">
            <v>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kin.naver.com/qna/detail.nhn?d1id=6&amp;dirId=60223&amp;docId=309242153&amp;qb=7Iug6rec7JWE7YyM7Yq4IOuTseq4sOu5hOyaqQ==&amp;enc=utf8&amp;section=kin&amp;rank=1&amp;search_sort=0&amp;spq=0&amp;pid=TJN4IwpVuEhssbtwjcGssssstZG-104276&amp;sid=wFhfBTfTw4UuJV/owWahRw%3D%3D"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22397-5888-49C4-BD21-92F09FA7DECC}">
  <dimension ref="A1:AF176"/>
  <sheetViews>
    <sheetView zoomScale="85" zoomScaleNormal="85" zoomScaleSheetLayoutView="55" workbookViewId="0">
      <selection activeCell="E33" sqref="E33"/>
    </sheetView>
  </sheetViews>
  <sheetFormatPr defaultColWidth="9" defaultRowHeight="12.75"/>
  <cols>
    <col min="1" max="1" width="2.625" style="127" customWidth="1"/>
    <col min="2" max="2" width="4.25" style="119" customWidth="1"/>
    <col min="3" max="3" width="12.125" style="119" customWidth="1"/>
    <col min="4" max="4" width="27.375" style="119" customWidth="1"/>
    <col min="5" max="5" width="28" style="119" customWidth="1"/>
    <col min="6" max="6" width="12.375" style="119" customWidth="1"/>
    <col min="7" max="7" width="14.375" style="127" customWidth="1"/>
    <col min="8" max="8" width="33.75" style="127" customWidth="1"/>
    <col min="9" max="9" width="21.625" style="127" customWidth="1"/>
    <col min="10" max="12" width="9" style="127"/>
    <col min="13" max="13" width="11.375" style="127" customWidth="1"/>
    <col min="14" max="14" width="25.625" style="119" customWidth="1"/>
    <col min="15" max="15" width="22.25" style="119" customWidth="1"/>
    <col min="16" max="16" width="13" style="119" bestFit="1" customWidth="1"/>
    <col min="17" max="17" width="27.125" style="119" customWidth="1"/>
    <col min="18" max="18" width="9" style="119"/>
    <col min="19" max="19" width="12.125" style="119" customWidth="1"/>
    <col min="20" max="21" width="13.25" style="119" customWidth="1"/>
    <col min="22" max="22" width="52.25" style="119" customWidth="1"/>
    <col min="23" max="24" width="9" style="119"/>
    <col min="25" max="26" width="11.125" style="119" customWidth="1"/>
    <col min="27" max="27" width="9.5" style="119" customWidth="1"/>
    <col min="28" max="29" width="11.125" style="119" customWidth="1"/>
    <col min="30" max="31" width="12.75" style="119" customWidth="1"/>
    <col min="32" max="32" width="9.5" style="119" customWidth="1"/>
    <col min="33" max="16384" width="9" style="119"/>
  </cols>
  <sheetData>
    <row r="1" spans="1:24" ht="33" customHeight="1">
      <c r="A1" s="558" t="s">
        <v>2367</v>
      </c>
      <c r="B1" s="558"/>
      <c r="C1" s="558"/>
      <c r="D1" s="558"/>
      <c r="E1" s="558"/>
      <c r="F1" s="558"/>
      <c r="G1" s="558"/>
      <c r="H1" s="558"/>
      <c r="I1" s="558"/>
      <c r="J1" s="558"/>
      <c r="K1" s="558"/>
      <c r="L1" s="558"/>
      <c r="M1" s="118"/>
      <c r="N1" s="118"/>
      <c r="O1" s="118"/>
      <c r="P1" s="118"/>
      <c r="Q1" s="118"/>
      <c r="R1" s="118"/>
      <c r="S1" s="118"/>
      <c r="T1" s="118"/>
      <c r="U1" s="118"/>
      <c r="V1" s="118"/>
      <c r="W1" s="118"/>
      <c r="X1" s="118"/>
    </row>
    <row r="2" spans="1:24" ht="16.5" customHeight="1">
      <c r="A2" s="118"/>
      <c r="B2" s="118"/>
      <c r="C2" s="118"/>
      <c r="D2" s="118"/>
      <c r="E2" s="118"/>
      <c r="F2" s="118"/>
      <c r="G2" s="118"/>
      <c r="H2" s="118"/>
      <c r="I2" s="118"/>
      <c r="J2" s="118"/>
      <c r="K2" s="118"/>
      <c r="L2" s="120"/>
      <c r="M2" s="120"/>
      <c r="N2" s="118"/>
      <c r="O2" s="118"/>
      <c r="P2" s="118"/>
      <c r="Q2" s="118"/>
      <c r="R2" s="118"/>
      <c r="S2" s="118"/>
      <c r="T2" s="118"/>
      <c r="U2" s="118"/>
      <c r="V2" s="118"/>
      <c r="W2" s="118"/>
      <c r="X2" s="118"/>
    </row>
    <row r="3" spans="1:24" ht="13.5">
      <c r="A3" s="118"/>
      <c r="B3" s="123" t="s">
        <v>810</v>
      </c>
      <c r="C3" s="123" t="s">
        <v>811</v>
      </c>
      <c r="D3" s="123" t="s">
        <v>812</v>
      </c>
      <c r="E3" s="123" t="s">
        <v>813</v>
      </c>
      <c r="F3" s="123" t="s">
        <v>814</v>
      </c>
      <c r="G3" s="135" t="s">
        <v>815</v>
      </c>
      <c r="H3" s="118"/>
      <c r="I3" s="118"/>
      <c r="J3" s="118"/>
      <c r="K3" s="118"/>
      <c r="L3" s="120"/>
      <c r="M3" s="120"/>
      <c r="N3" s="118"/>
      <c r="O3" s="118"/>
      <c r="P3" s="118"/>
      <c r="Q3" s="118"/>
      <c r="R3" s="118"/>
      <c r="S3" s="118"/>
      <c r="T3" s="118"/>
      <c r="U3" s="118"/>
      <c r="V3" s="118"/>
      <c r="W3" s="118"/>
      <c r="X3" s="118"/>
    </row>
    <row r="4" spans="1:24" ht="13.5">
      <c r="A4" s="118"/>
      <c r="B4" s="123">
        <f>ROW()-3</f>
        <v>1</v>
      </c>
      <c r="C4" s="124">
        <v>42286</v>
      </c>
      <c r="D4" s="121" t="s">
        <v>816</v>
      </c>
      <c r="E4" s="121" t="s">
        <v>2368</v>
      </c>
      <c r="F4" s="122">
        <v>5000000</v>
      </c>
      <c r="G4" s="122" t="s">
        <v>841</v>
      </c>
      <c r="H4" s="118"/>
      <c r="I4" s="118"/>
      <c r="J4" s="118"/>
      <c r="K4" s="118"/>
      <c r="L4" s="120"/>
      <c r="M4" s="120"/>
      <c r="N4" s="118"/>
      <c r="O4" s="118"/>
      <c r="P4" s="118"/>
      <c r="Q4" s="118"/>
      <c r="R4" s="118"/>
      <c r="S4" s="118"/>
      <c r="T4" s="118"/>
      <c r="U4" s="118"/>
      <c r="V4" s="118"/>
      <c r="W4" s="118"/>
      <c r="X4" s="118"/>
    </row>
    <row r="5" spans="1:24" ht="13.5">
      <c r="A5" s="118"/>
      <c r="B5" s="123">
        <f t="shared" ref="B5:B35" si="0">ROW()-3</f>
        <v>2</v>
      </c>
      <c r="C5" s="124">
        <v>42287</v>
      </c>
      <c r="D5" s="121" t="s">
        <v>816</v>
      </c>
      <c r="E5" s="121" t="s">
        <v>2368</v>
      </c>
      <c r="F5" s="122">
        <v>20000000</v>
      </c>
      <c r="G5" s="122" t="s">
        <v>841</v>
      </c>
      <c r="H5" s="118"/>
      <c r="I5" s="118"/>
      <c r="J5" s="118"/>
      <c r="K5" s="118"/>
      <c r="L5" s="120"/>
      <c r="M5" s="120"/>
      <c r="N5" s="118"/>
      <c r="O5" s="118"/>
      <c r="P5" s="118"/>
      <c r="Q5" s="118"/>
      <c r="R5" s="118"/>
      <c r="S5" s="118"/>
      <c r="T5" s="118"/>
      <c r="U5" s="118"/>
      <c r="V5" s="118"/>
      <c r="W5" s="118"/>
      <c r="X5" s="118"/>
    </row>
    <row r="6" spans="1:24" ht="13.5">
      <c r="A6" s="118"/>
      <c r="B6" s="123">
        <f t="shared" si="0"/>
        <v>3</v>
      </c>
      <c r="C6" s="124">
        <v>42290</v>
      </c>
      <c r="D6" s="121" t="s">
        <v>816</v>
      </c>
      <c r="E6" s="121" t="s">
        <v>2369</v>
      </c>
      <c r="F6" s="122">
        <v>50000000</v>
      </c>
      <c r="G6" s="122" t="s">
        <v>841</v>
      </c>
      <c r="H6" s="118"/>
      <c r="I6" s="118"/>
      <c r="J6" s="118"/>
      <c r="K6" s="118"/>
      <c r="L6" s="120"/>
      <c r="M6" s="120"/>
      <c r="N6" s="118"/>
      <c r="O6" s="118"/>
      <c r="P6" s="118"/>
      <c r="Q6" s="118"/>
      <c r="R6" s="118"/>
      <c r="S6" s="118"/>
      <c r="T6" s="118"/>
      <c r="U6" s="118"/>
      <c r="V6" s="118"/>
      <c r="W6" s="118"/>
      <c r="X6" s="118"/>
    </row>
    <row r="7" spans="1:24" ht="13.5">
      <c r="A7" s="118"/>
      <c r="B7" s="123">
        <f t="shared" si="0"/>
        <v>4</v>
      </c>
      <c r="C7" s="124">
        <v>42298</v>
      </c>
      <c r="D7" s="121" t="s">
        <v>816</v>
      </c>
      <c r="E7" s="121" t="s">
        <v>838</v>
      </c>
      <c r="F7" s="122">
        <v>114000000</v>
      </c>
      <c r="G7" s="122" t="s">
        <v>841</v>
      </c>
      <c r="H7" s="118"/>
      <c r="I7" s="118"/>
      <c r="J7" s="118"/>
      <c r="K7" s="118"/>
      <c r="L7" s="120"/>
      <c r="M7" s="120"/>
      <c r="N7" s="118"/>
      <c r="O7" s="118"/>
      <c r="P7" s="118"/>
      <c r="Q7" s="118"/>
      <c r="R7" s="118"/>
      <c r="S7" s="118"/>
      <c r="T7" s="118"/>
      <c r="U7" s="118"/>
      <c r="V7" s="118"/>
      <c r="W7" s="118"/>
      <c r="X7" s="118"/>
    </row>
    <row r="8" spans="1:24" ht="13.5">
      <c r="A8" s="118"/>
      <c r="B8" s="123">
        <f t="shared" si="0"/>
        <v>5</v>
      </c>
      <c r="C8" s="124" t="s">
        <v>817</v>
      </c>
      <c r="D8" s="121" t="s">
        <v>816</v>
      </c>
      <c r="E8" s="121" t="s">
        <v>818</v>
      </c>
      <c r="F8" s="122">
        <v>9600000</v>
      </c>
      <c r="G8" s="122" t="s">
        <v>841</v>
      </c>
      <c r="H8" s="118"/>
      <c r="I8" s="118"/>
      <c r="J8" s="118"/>
      <c r="K8" s="118"/>
      <c r="L8" s="120"/>
      <c r="M8" s="120"/>
      <c r="N8" s="118"/>
      <c r="O8" s="118"/>
      <c r="P8" s="118"/>
      <c r="Q8" s="118"/>
      <c r="R8" s="118"/>
      <c r="S8" s="118"/>
      <c r="T8" s="118"/>
      <c r="U8" s="118"/>
      <c r="V8" s="118"/>
      <c r="W8" s="118"/>
      <c r="X8" s="118"/>
    </row>
    <row r="9" spans="1:24" ht="13.5">
      <c r="A9" s="118"/>
      <c r="B9" s="123">
        <f t="shared" si="0"/>
        <v>6</v>
      </c>
      <c r="C9" s="124" t="s">
        <v>817</v>
      </c>
      <c r="D9" s="121" t="s">
        <v>816</v>
      </c>
      <c r="E9" s="121" t="s">
        <v>819</v>
      </c>
      <c r="F9" s="122">
        <v>880000</v>
      </c>
      <c r="G9" s="122" t="s">
        <v>841</v>
      </c>
      <c r="H9" s="118"/>
      <c r="I9" s="118"/>
      <c r="J9" s="118"/>
      <c r="K9" s="118"/>
      <c r="L9" s="120"/>
      <c r="M9" s="120"/>
      <c r="N9" s="118"/>
      <c r="O9" s="118"/>
      <c r="P9" s="118"/>
      <c r="Q9" s="118"/>
      <c r="R9" s="118"/>
      <c r="S9" s="118"/>
      <c r="T9" s="118"/>
      <c r="U9" s="118"/>
      <c r="V9" s="118"/>
      <c r="W9" s="118"/>
      <c r="X9" s="118"/>
    </row>
    <row r="10" spans="1:24" ht="13.5">
      <c r="A10" s="118"/>
      <c r="B10" s="123">
        <f t="shared" si="0"/>
        <v>7</v>
      </c>
      <c r="C10" s="124">
        <v>42690</v>
      </c>
      <c r="D10" s="121" t="s">
        <v>820</v>
      </c>
      <c r="E10" s="121" t="s">
        <v>821</v>
      </c>
      <c r="F10" s="122">
        <v>83600000</v>
      </c>
      <c r="G10" s="122" t="s">
        <v>841</v>
      </c>
      <c r="H10" s="118"/>
      <c r="I10" s="118"/>
      <c r="J10" s="118"/>
      <c r="K10" s="118"/>
      <c r="L10" s="120"/>
      <c r="M10" s="120"/>
      <c r="N10" s="118"/>
      <c r="O10" s="118"/>
      <c r="P10" s="118"/>
      <c r="Q10" s="118"/>
      <c r="R10" s="118"/>
      <c r="S10" s="118"/>
      <c r="T10" s="118"/>
      <c r="U10" s="118"/>
      <c r="V10" s="118"/>
      <c r="W10" s="118"/>
      <c r="X10" s="118"/>
    </row>
    <row r="11" spans="1:24" ht="13.5">
      <c r="A11" s="120"/>
      <c r="B11" s="123">
        <f t="shared" si="0"/>
        <v>8</v>
      </c>
      <c r="C11" s="124">
        <v>42690</v>
      </c>
      <c r="D11" s="121" t="s">
        <v>820</v>
      </c>
      <c r="E11" s="121" t="s">
        <v>822</v>
      </c>
      <c r="F11" s="122">
        <v>330000</v>
      </c>
      <c r="G11" s="122" t="s">
        <v>2370</v>
      </c>
      <c r="H11" s="118"/>
      <c r="I11" s="120"/>
      <c r="J11" s="118"/>
      <c r="K11" s="118"/>
      <c r="L11" s="120"/>
      <c r="M11" s="120"/>
      <c r="N11" s="118"/>
      <c r="O11" s="118"/>
      <c r="P11" s="118"/>
      <c r="Q11" s="118"/>
      <c r="R11" s="118"/>
      <c r="S11" s="118"/>
      <c r="T11" s="118"/>
      <c r="U11" s="118"/>
      <c r="V11" s="118"/>
      <c r="W11" s="118"/>
      <c r="X11" s="118"/>
    </row>
    <row r="12" spans="1:24" ht="13.5">
      <c r="A12" s="120"/>
      <c r="B12" s="123">
        <f t="shared" si="0"/>
        <v>9</v>
      </c>
      <c r="C12" s="124">
        <v>42723</v>
      </c>
      <c r="D12" s="121" t="s">
        <v>820</v>
      </c>
      <c r="E12" s="121" t="s">
        <v>823</v>
      </c>
      <c r="F12" s="122">
        <v>41800000</v>
      </c>
      <c r="G12" s="122" t="s">
        <v>841</v>
      </c>
      <c r="H12" s="118"/>
      <c r="I12" s="120"/>
      <c r="J12" s="118"/>
      <c r="K12" s="118"/>
      <c r="L12" s="120"/>
      <c r="M12" s="120"/>
      <c r="N12" s="118"/>
      <c r="O12" s="118"/>
      <c r="P12" s="118"/>
      <c r="Q12" s="118"/>
      <c r="R12" s="118"/>
      <c r="S12" s="118"/>
      <c r="T12" s="118"/>
      <c r="U12" s="118"/>
      <c r="V12" s="118"/>
      <c r="W12" s="118"/>
      <c r="X12" s="118"/>
    </row>
    <row r="13" spans="1:24" ht="13.5">
      <c r="A13" s="120"/>
      <c r="B13" s="123">
        <f t="shared" si="0"/>
        <v>10</v>
      </c>
      <c r="C13" s="124">
        <v>42723</v>
      </c>
      <c r="D13" s="121" t="s">
        <v>820</v>
      </c>
      <c r="E13" s="121" t="s">
        <v>824</v>
      </c>
      <c r="F13" s="122">
        <v>510000</v>
      </c>
      <c r="G13" s="122" t="s">
        <v>2370</v>
      </c>
      <c r="H13" s="118"/>
      <c r="I13" s="120"/>
      <c r="J13" s="118"/>
      <c r="K13" s="118"/>
      <c r="L13" s="120"/>
      <c r="M13" s="120"/>
      <c r="N13" s="118"/>
      <c r="O13" s="118"/>
      <c r="P13" s="118"/>
      <c r="Q13" s="118"/>
      <c r="R13" s="118"/>
      <c r="S13" s="118"/>
      <c r="T13" s="118"/>
      <c r="U13" s="118"/>
      <c r="V13" s="118"/>
      <c r="W13" s="118"/>
      <c r="X13" s="118"/>
    </row>
    <row r="14" spans="1:24" ht="13.5">
      <c r="A14" s="120"/>
      <c r="B14" s="123">
        <f t="shared" si="0"/>
        <v>11</v>
      </c>
      <c r="C14" s="124">
        <v>42810</v>
      </c>
      <c r="D14" s="121" t="s">
        <v>820</v>
      </c>
      <c r="E14" s="121" t="s">
        <v>825</v>
      </c>
      <c r="F14" s="122">
        <f>41800000+3000</f>
        <v>41803000</v>
      </c>
      <c r="G14" s="122" t="s">
        <v>841</v>
      </c>
      <c r="H14" s="118"/>
      <c r="I14" s="120"/>
      <c r="J14" s="118"/>
      <c r="K14" s="118"/>
      <c r="L14" s="120"/>
      <c r="M14" s="120"/>
      <c r="N14" s="118"/>
      <c r="O14" s="118"/>
      <c r="P14" s="118"/>
      <c r="Q14" s="118"/>
      <c r="R14" s="118"/>
      <c r="S14" s="118"/>
      <c r="T14" s="118"/>
      <c r="U14" s="118"/>
      <c r="V14" s="118"/>
      <c r="W14" s="118"/>
      <c r="X14" s="118"/>
    </row>
    <row r="15" spans="1:24" ht="13.5">
      <c r="A15" s="120"/>
      <c r="B15" s="123">
        <f t="shared" si="0"/>
        <v>12</v>
      </c>
      <c r="C15" s="124">
        <v>42928</v>
      </c>
      <c r="D15" s="121" t="s">
        <v>820</v>
      </c>
      <c r="E15" s="121" t="s">
        <v>826</v>
      </c>
      <c r="F15" s="122">
        <v>41800000</v>
      </c>
      <c r="G15" s="122" t="s">
        <v>841</v>
      </c>
      <c r="H15" s="118"/>
      <c r="I15" s="120"/>
      <c r="J15" s="118"/>
      <c r="K15" s="118"/>
      <c r="L15" s="120"/>
      <c r="M15" s="120"/>
      <c r="N15" s="118"/>
      <c r="O15" s="118"/>
      <c r="P15" s="118"/>
      <c r="Q15" s="118"/>
      <c r="R15" s="118"/>
      <c r="S15" s="118"/>
      <c r="T15" s="118"/>
      <c r="U15" s="118"/>
      <c r="V15" s="118"/>
      <c r="W15" s="118"/>
      <c r="X15" s="118"/>
    </row>
    <row r="16" spans="1:24" ht="13.5">
      <c r="A16" s="120"/>
      <c r="B16" s="123">
        <f t="shared" si="0"/>
        <v>13</v>
      </c>
      <c r="C16" s="124">
        <v>43052</v>
      </c>
      <c r="D16" s="121" t="s">
        <v>820</v>
      </c>
      <c r="E16" s="121" t="s">
        <v>827</v>
      </c>
      <c r="F16" s="122">
        <v>41800000</v>
      </c>
      <c r="G16" s="122" t="s">
        <v>841</v>
      </c>
      <c r="H16" s="118"/>
      <c r="I16" s="120"/>
      <c r="J16" s="118"/>
      <c r="K16" s="118"/>
      <c r="L16" s="120"/>
      <c r="M16" s="120"/>
      <c r="N16" s="118"/>
      <c r="O16" s="118"/>
      <c r="P16" s="118"/>
      <c r="Q16" s="118"/>
      <c r="R16" s="118"/>
      <c r="S16" s="118"/>
      <c r="T16" s="118"/>
      <c r="U16" s="118"/>
      <c r="V16" s="118"/>
      <c r="W16" s="118"/>
      <c r="X16" s="118"/>
    </row>
    <row r="17" spans="1:24" ht="13.5">
      <c r="A17" s="120"/>
      <c r="B17" s="123">
        <f t="shared" si="0"/>
        <v>14</v>
      </c>
      <c r="C17" s="124">
        <v>43141</v>
      </c>
      <c r="D17" s="121" t="s">
        <v>820</v>
      </c>
      <c r="E17" s="121" t="s">
        <v>828</v>
      </c>
      <c r="F17" s="122">
        <v>85000</v>
      </c>
      <c r="G17" s="122" t="s">
        <v>844</v>
      </c>
      <c r="H17" s="118"/>
      <c r="I17" s="120"/>
      <c r="J17" s="118"/>
      <c r="K17" s="118"/>
      <c r="L17" s="120"/>
      <c r="M17" s="120"/>
      <c r="N17" s="118"/>
      <c r="O17" s="118"/>
      <c r="P17" s="118"/>
      <c r="Q17" s="118"/>
      <c r="R17" s="118"/>
      <c r="S17" s="118"/>
      <c r="T17" s="118"/>
      <c r="U17" s="118"/>
      <c r="V17" s="118"/>
      <c r="W17" s="118"/>
      <c r="X17" s="118"/>
    </row>
    <row r="18" spans="1:24" ht="13.5">
      <c r="A18" s="120"/>
      <c r="B18" s="123">
        <f t="shared" si="0"/>
        <v>15</v>
      </c>
      <c r="C18" s="124">
        <v>43168</v>
      </c>
      <c r="D18" s="121" t="s">
        <v>820</v>
      </c>
      <c r="E18" s="121" t="s">
        <v>829</v>
      </c>
      <c r="F18" s="122">
        <v>41800000</v>
      </c>
      <c r="G18" s="122" t="s">
        <v>841</v>
      </c>
      <c r="H18" s="118"/>
      <c r="I18" s="120"/>
      <c r="J18" s="118"/>
      <c r="K18" s="118"/>
      <c r="L18" s="120"/>
      <c r="M18" s="120"/>
      <c r="N18" s="118"/>
      <c r="O18" s="118"/>
      <c r="P18" s="118"/>
      <c r="Q18" s="118"/>
      <c r="R18" s="118"/>
      <c r="S18" s="118"/>
      <c r="T18" s="118"/>
      <c r="U18" s="118"/>
      <c r="V18" s="118"/>
      <c r="W18" s="118"/>
      <c r="X18" s="118"/>
    </row>
    <row r="19" spans="1:24" ht="13.5">
      <c r="A19" s="120"/>
      <c r="B19" s="123">
        <f t="shared" si="0"/>
        <v>16</v>
      </c>
      <c r="C19" s="124">
        <v>43198</v>
      </c>
      <c r="D19" s="121" t="s">
        <v>820</v>
      </c>
      <c r="E19" s="121" t="s">
        <v>830</v>
      </c>
      <c r="F19" s="122">
        <v>170000</v>
      </c>
      <c r="G19" s="122" t="s">
        <v>844</v>
      </c>
      <c r="H19" s="118"/>
      <c r="I19" s="120"/>
      <c r="J19" s="118"/>
      <c r="K19" s="118"/>
      <c r="L19" s="120"/>
      <c r="M19" s="120"/>
      <c r="N19" s="118"/>
      <c r="O19" s="118"/>
      <c r="P19" s="118"/>
      <c r="Q19" s="118"/>
      <c r="R19" s="118"/>
      <c r="S19" s="118"/>
      <c r="T19" s="118"/>
      <c r="U19" s="118"/>
      <c r="V19" s="118"/>
      <c r="W19" s="118"/>
      <c r="X19" s="118"/>
    </row>
    <row r="20" spans="1:24" ht="13.5">
      <c r="A20" s="120"/>
      <c r="B20" s="123">
        <f t="shared" si="0"/>
        <v>17</v>
      </c>
      <c r="C20" s="124">
        <v>43292</v>
      </c>
      <c r="D20" s="121" t="s">
        <v>820</v>
      </c>
      <c r="E20" s="121" t="s">
        <v>831</v>
      </c>
      <c r="F20" s="122">
        <v>41800000</v>
      </c>
      <c r="G20" s="122" t="s">
        <v>841</v>
      </c>
      <c r="H20" s="118"/>
      <c r="I20" s="120"/>
      <c r="J20" s="118"/>
      <c r="K20" s="118"/>
      <c r="L20" s="120"/>
      <c r="M20" s="120"/>
      <c r="N20" s="118"/>
      <c r="O20" s="118"/>
      <c r="P20" s="118"/>
      <c r="Q20" s="118"/>
      <c r="R20" s="118"/>
      <c r="S20" s="118"/>
      <c r="T20" s="118"/>
      <c r="U20" s="118"/>
      <c r="V20" s="118"/>
      <c r="W20" s="118"/>
      <c r="X20" s="118"/>
    </row>
    <row r="21" spans="1:24" ht="13.5">
      <c r="A21" s="120"/>
      <c r="B21" s="123">
        <f t="shared" si="0"/>
        <v>18</v>
      </c>
      <c r="C21" s="124">
        <v>43395</v>
      </c>
      <c r="D21" s="121" t="s">
        <v>820</v>
      </c>
      <c r="E21" s="121" t="s">
        <v>832</v>
      </c>
      <c r="F21" s="122">
        <v>84063853</v>
      </c>
      <c r="G21" s="122" t="s">
        <v>841</v>
      </c>
      <c r="H21" s="118"/>
      <c r="I21" s="120"/>
      <c r="J21" s="118"/>
      <c r="K21" s="118"/>
      <c r="L21" s="120"/>
      <c r="M21" s="120"/>
      <c r="N21" s="118"/>
      <c r="O21" s="118"/>
      <c r="P21" s="118"/>
      <c r="Q21" s="118"/>
      <c r="R21" s="118"/>
      <c r="S21" s="118"/>
      <c r="T21" s="118"/>
      <c r="U21" s="118"/>
      <c r="V21" s="118"/>
      <c r="W21" s="118"/>
      <c r="X21" s="118"/>
    </row>
    <row r="22" spans="1:24" ht="13.5">
      <c r="A22" s="120"/>
      <c r="B22" s="123">
        <f t="shared" si="0"/>
        <v>19</v>
      </c>
      <c r="C22" s="124">
        <v>43401</v>
      </c>
      <c r="D22" s="121" t="s">
        <v>820</v>
      </c>
      <c r="E22" s="121" t="s">
        <v>833</v>
      </c>
      <c r="F22" s="122">
        <v>595000</v>
      </c>
      <c r="G22" s="122" t="s">
        <v>844</v>
      </c>
      <c r="H22" s="118"/>
      <c r="I22" s="120"/>
      <c r="J22" s="118"/>
      <c r="K22" s="118"/>
      <c r="L22" s="120"/>
      <c r="M22" s="120"/>
      <c r="N22" s="118"/>
      <c r="O22" s="118"/>
      <c r="P22" s="118"/>
      <c r="Q22" s="118"/>
      <c r="R22" s="118"/>
      <c r="S22" s="118"/>
      <c r="T22" s="118"/>
      <c r="U22" s="118"/>
      <c r="V22" s="118"/>
      <c r="W22" s="118"/>
      <c r="X22" s="118"/>
    </row>
    <row r="23" spans="1:24" ht="13.5">
      <c r="A23" s="120"/>
      <c r="B23" s="123">
        <f t="shared" si="0"/>
        <v>20</v>
      </c>
      <c r="C23" s="124">
        <v>43401</v>
      </c>
      <c r="D23" s="121" t="s">
        <v>820</v>
      </c>
      <c r="E23" s="121" t="s">
        <v>834</v>
      </c>
      <c r="F23" s="122">
        <v>1960000</v>
      </c>
      <c r="G23" s="122" t="s">
        <v>844</v>
      </c>
      <c r="H23" s="118"/>
      <c r="I23" s="120"/>
      <c r="J23" s="118"/>
      <c r="K23" s="118"/>
      <c r="L23" s="120"/>
      <c r="M23" s="120"/>
      <c r="N23" s="118"/>
      <c r="O23" s="118"/>
      <c r="P23" s="118"/>
      <c r="Q23" s="118"/>
      <c r="R23" s="118"/>
      <c r="S23" s="118"/>
      <c r="T23" s="118"/>
      <c r="U23" s="118"/>
      <c r="V23" s="118"/>
      <c r="W23" s="118"/>
      <c r="X23" s="118"/>
    </row>
    <row r="24" spans="1:24" ht="13.5">
      <c r="A24" s="120"/>
      <c r="B24" s="123">
        <f t="shared" si="0"/>
        <v>21</v>
      </c>
      <c r="C24" s="124">
        <v>43434</v>
      </c>
      <c r="D24" s="121" t="s">
        <v>820</v>
      </c>
      <c r="E24" s="121" t="s">
        <v>2372</v>
      </c>
      <c r="F24" s="122">
        <v>10000000</v>
      </c>
      <c r="G24" s="122" t="s">
        <v>841</v>
      </c>
      <c r="H24" s="118"/>
      <c r="I24" s="120"/>
      <c r="J24" s="118"/>
      <c r="K24" s="118"/>
      <c r="L24" s="120"/>
      <c r="M24" s="120"/>
      <c r="N24" s="118"/>
      <c r="O24" s="118"/>
      <c r="P24" s="118"/>
      <c r="Q24" s="118"/>
      <c r="R24" s="118"/>
      <c r="S24" s="118"/>
      <c r="T24" s="118"/>
      <c r="U24" s="118"/>
      <c r="V24" s="118"/>
      <c r="W24" s="118"/>
      <c r="X24" s="118"/>
    </row>
    <row r="25" spans="1:24" ht="13.5">
      <c r="A25" s="120"/>
      <c r="B25" s="123">
        <f t="shared" si="0"/>
        <v>22</v>
      </c>
      <c r="C25" s="124">
        <v>43434</v>
      </c>
      <c r="D25" s="121" t="s">
        <v>820</v>
      </c>
      <c r="E25" s="121" t="s">
        <v>2373</v>
      </c>
      <c r="F25" s="122">
        <v>320000</v>
      </c>
      <c r="G25" s="122" t="s">
        <v>2371</v>
      </c>
      <c r="H25" s="118"/>
      <c r="I25" s="120"/>
      <c r="J25" s="118"/>
      <c r="K25" s="118"/>
      <c r="L25" s="120"/>
      <c r="M25" s="120"/>
      <c r="N25" s="118"/>
      <c r="O25" s="118"/>
      <c r="P25" s="118"/>
      <c r="Q25" s="118"/>
      <c r="R25" s="118"/>
      <c r="S25" s="118"/>
      <c r="T25" s="118"/>
      <c r="U25" s="118"/>
      <c r="V25" s="118"/>
      <c r="W25" s="118"/>
      <c r="X25" s="118"/>
    </row>
    <row r="26" spans="1:24" ht="13.5">
      <c r="A26" s="120"/>
      <c r="B26" s="123">
        <f t="shared" si="0"/>
        <v>23</v>
      </c>
      <c r="C26" s="124">
        <v>43445</v>
      </c>
      <c r="D26" s="121" t="s">
        <v>820</v>
      </c>
      <c r="E26" s="121" t="s">
        <v>2374</v>
      </c>
      <c r="F26" s="122">
        <v>-216110</v>
      </c>
      <c r="G26" s="122" t="s">
        <v>2371</v>
      </c>
      <c r="H26" s="118"/>
      <c r="I26" s="120"/>
      <c r="J26" s="118"/>
      <c r="K26" s="118"/>
      <c r="L26" s="120"/>
      <c r="M26" s="120"/>
      <c r="N26" s="118"/>
      <c r="O26" s="118"/>
      <c r="P26" s="118"/>
      <c r="Q26" s="118"/>
      <c r="R26" s="118"/>
      <c r="S26" s="118"/>
      <c r="T26" s="118"/>
      <c r="U26" s="118"/>
      <c r="V26" s="118"/>
      <c r="W26" s="118"/>
      <c r="X26" s="118"/>
    </row>
    <row r="27" spans="1:24" ht="13.5">
      <c r="A27" s="120"/>
      <c r="B27" s="123">
        <f t="shared" si="0"/>
        <v>24</v>
      </c>
      <c r="C27" s="124">
        <v>43470</v>
      </c>
      <c r="D27" s="121" t="s">
        <v>820</v>
      </c>
      <c r="E27" s="121" t="s">
        <v>835</v>
      </c>
      <c r="F27" s="122">
        <v>8173130</v>
      </c>
      <c r="G27" s="122" t="s">
        <v>2371</v>
      </c>
      <c r="H27" s="118"/>
      <c r="I27" s="120"/>
      <c r="J27" s="118"/>
      <c r="K27" s="118"/>
      <c r="L27" s="120"/>
      <c r="M27" s="120"/>
      <c r="N27" s="118"/>
      <c r="O27" s="118"/>
      <c r="P27" s="118"/>
      <c r="Q27" s="118"/>
      <c r="R27" s="118"/>
      <c r="S27" s="118"/>
      <c r="T27" s="118"/>
      <c r="U27" s="118"/>
      <c r="V27" s="118"/>
      <c r="W27" s="118"/>
      <c r="X27" s="118"/>
    </row>
    <row r="28" spans="1:24" ht="13.5">
      <c r="A28" s="120"/>
      <c r="B28" s="123">
        <f t="shared" si="0"/>
        <v>25</v>
      </c>
      <c r="C28" s="124">
        <v>43753</v>
      </c>
      <c r="D28" s="121" t="s">
        <v>820</v>
      </c>
      <c r="E28" s="121" t="s">
        <v>2375</v>
      </c>
      <c r="F28" s="122">
        <v>-50000</v>
      </c>
      <c r="G28" s="122" t="s">
        <v>2371</v>
      </c>
      <c r="H28" s="118"/>
      <c r="I28" s="120"/>
      <c r="J28" s="118"/>
      <c r="K28" s="118"/>
      <c r="L28" s="120"/>
      <c r="M28" s="120"/>
      <c r="N28" s="118"/>
      <c r="O28" s="118"/>
      <c r="P28" s="118"/>
      <c r="Q28" s="118"/>
      <c r="R28" s="118"/>
      <c r="S28" s="118"/>
      <c r="T28" s="118"/>
      <c r="U28" s="118"/>
      <c r="V28" s="118"/>
      <c r="W28" s="118"/>
      <c r="X28" s="118"/>
    </row>
    <row r="29" spans="1:24" ht="13.5">
      <c r="A29" s="120"/>
      <c r="B29" s="123">
        <f t="shared" si="0"/>
        <v>26</v>
      </c>
      <c r="C29" s="124">
        <v>44098</v>
      </c>
      <c r="D29" s="121" t="s">
        <v>820</v>
      </c>
      <c r="E29" s="121" t="s">
        <v>2376</v>
      </c>
      <c r="F29" s="122">
        <v>-744545</v>
      </c>
      <c r="G29" s="122" t="s">
        <v>2371</v>
      </c>
      <c r="H29" s="118"/>
      <c r="I29" s="120"/>
      <c r="J29" s="118"/>
      <c r="K29" s="118"/>
      <c r="L29" s="120"/>
      <c r="M29" s="120"/>
      <c r="N29" s="118"/>
      <c r="O29" s="118"/>
      <c r="P29" s="118"/>
      <c r="Q29" s="118"/>
      <c r="R29" s="118"/>
      <c r="S29" s="118"/>
      <c r="T29" s="118"/>
      <c r="U29" s="118"/>
      <c r="V29" s="118"/>
      <c r="W29" s="118"/>
      <c r="X29" s="118"/>
    </row>
    <row r="30" spans="1:24" ht="13.5">
      <c r="A30" s="120"/>
      <c r="B30" s="123">
        <f t="shared" si="0"/>
        <v>27</v>
      </c>
      <c r="C30" s="124">
        <v>44176</v>
      </c>
      <c r="D30" s="121" t="s">
        <v>820</v>
      </c>
      <c r="E30" s="121" t="s">
        <v>2377</v>
      </c>
      <c r="F30" s="122">
        <f>-195318+30079</f>
        <v>-165239</v>
      </c>
      <c r="G30" s="122" t="s">
        <v>2371</v>
      </c>
      <c r="H30" s="118"/>
      <c r="I30" s="120"/>
      <c r="J30" s="118"/>
      <c r="K30" s="118"/>
      <c r="L30" s="120"/>
      <c r="M30" s="120"/>
      <c r="N30" s="118"/>
      <c r="O30" s="118"/>
      <c r="P30" s="118"/>
      <c r="Q30" s="118"/>
      <c r="R30" s="118"/>
      <c r="S30" s="118"/>
      <c r="T30" s="118"/>
      <c r="U30" s="118"/>
      <c r="V30" s="118"/>
      <c r="W30" s="118"/>
      <c r="X30" s="118"/>
    </row>
    <row r="31" spans="1:24" ht="13.5">
      <c r="A31" s="120"/>
      <c r="B31" s="123">
        <f t="shared" si="0"/>
        <v>28</v>
      </c>
      <c r="C31" s="124">
        <v>45245</v>
      </c>
      <c r="D31" s="121" t="s">
        <v>820</v>
      </c>
      <c r="E31" s="121" t="s">
        <v>2377</v>
      </c>
      <c r="F31" s="122">
        <v>-775514</v>
      </c>
      <c r="G31" s="122" t="s">
        <v>2371</v>
      </c>
      <c r="H31" s="118"/>
      <c r="I31" s="120"/>
      <c r="J31" s="118"/>
      <c r="K31" s="118"/>
      <c r="L31" s="120"/>
      <c r="M31" s="120"/>
      <c r="N31" s="118"/>
      <c r="O31" s="118"/>
      <c r="P31" s="118"/>
      <c r="Q31" s="118"/>
      <c r="R31" s="118"/>
      <c r="S31" s="118"/>
      <c r="T31" s="118"/>
      <c r="U31" s="118"/>
      <c r="V31" s="118"/>
      <c r="W31" s="118"/>
      <c r="X31" s="118"/>
    </row>
    <row r="32" spans="1:24" ht="13.5">
      <c r="A32" s="120"/>
      <c r="B32" s="123">
        <f t="shared" si="0"/>
        <v>29</v>
      </c>
      <c r="C32" s="124">
        <v>45254</v>
      </c>
      <c r="D32" s="121" t="s">
        <v>820</v>
      </c>
      <c r="E32" s="121" t="s">
        <v>2377</v>
      </c>
      <c r="F32" s="122">
        <v>-102119</v>
      </c>
      <c r="G32" s="122" t="s">
        <v>2371</v>
      </c>
      <c r="H32" s="118"/>
      <c r="I32" s="120"/>
      <c r="J32" s="118"/>
      <c r="K32" s="118"/>
      <c r="L32" s="120"/>
      <c r="M32" s="120"/>
      <c r="N32" s="118"/>
      <c r="O32" s="118"/>
      <c r="P32" s="118"/>
      <c r="Q32" s="118"/>
      <c r="R32" s="118"/>
      <c r="S32" s="118"/>
      <c r="T32" s="118"/>
      <c r="U32" s="118"/>
      <c r="V32" s="118"/>
      <c r="W32" s="118"/>
      <c r="X32" s="118"/>
    </row>
    <row r="33" spans="1:24" ht="13.5">
      <c r="A33" s="120"/>
      <c r="B33" s="123">
        <f t="shared" si="0"/>
        <v>30</v>
      </c>
      <c r="C33" s="124">
        <v>45289</v>
      </c>
      <c r="D33" s="121" t="s">
        <v>820</v>
      </c>
      <c r="E33" s="121" t="s">
        <v>2378</v>
      </c>
      <c r="F33" s="122">
        <v>3681280</v>
      </c>
      <c r="G33" s="122" t="s">
        <v>2371</v>
      </c>
      <c r="H33" s="118"/>
      <c r="I33" s="120"/>
      <c r="J33" s="118"/>
      <c r="K33" s="118"/>
      <c r="L33" s="120"/>
      <c r="M33" s="120"/>
      <c r="N33" s="118"/>
      <c r="O33" s="118"/>
      <c r="P33" s="118"/>
      <c r="Q33" s="118"/>
      <c r="R33" s="118"/>
      <c r="S33" s="118"/>
      <c r="T33" s="118"/>
      <c r="U33" s="118"/>
      <c r="V33" s="118"/>
      <c r="W33" s="118"/>
      <c r="X33" s="118"/>
    </row>
    <row r="34" spans="1:24" ht="13.5">
      <c r="A34" s="120"/>
      <c r="B34" s="123">
        <f t="shared" si="0"/>
        <v>31</v>
      </c>
      <c r="C34" s="124">
        <v>46063</v>
      </c>
      <c r="D34" s="121" t="s">
        <v>820</v>
      </c>
      <c r="E34" s="121" t="s">
        <v>2376</v>
      </c>
      <c r="F34" s="122">
        <v>-659187</v>
      </c>
      <c r="G34" s="122" t="s">
        <v>2371</v>
      </c>
      <c r="H34" s="118"/>
      <c r="I34" s="120"/>
      <c r="J34" s="118"/>
      <c r="K34" s="118"/>
      <c r="L34" s="120"/>
      <c r="M34" s="120"/>
      <c r="N34" s="118"/>
      <c r="O34" s="118"/>
      <c r="P34" s="118"/>
      <c r="Q34" s="118"/>
      <c r="R34" s="118"/>
      <c r="S34" s="118"/>
      <c r="T34" s="118"/>
      <c r="U34" s="118"/>
      <c r="V34" s="118"/>
      <c r="W34" s="118"/>
      <c r="X34" s="118"/>
    </row>
    <row r="35" spans="1:24" ht="13.5">
      <c r="A35" s="120"/>
      <c r="B35" s="312">
        <f t="shared" si="0"/>
        <v>32</v>
      </c>
      <c r="C35" s="313" t="s">
        <v>1045</v>
      </c>
      <c r="D35" s="314" t="s">
        <v>820</v>
      </c>
      <c r="E35" s="314" t="s">
        <v>836</v>
      </c>
      <c r="F35" s="315">
        <v>48000000</v>
      </c>
      <c r="G35" s="315" t="s">
        <v>2379</v>
      </c>
      <c r="H35" s="118"/>
      <c r="I35" s="120"/>
      <c r="J35" s="118"/>
      <c r="K35" s="118"/>
      <c r="L35" s="120"/>
      <c r="M35" s="120"/>
      <c r="N35" s="118"/>
      <c r="O35" s="118"/>
      <c r="P35" s="118"/>
      <c r="Q35" s="118"/>
      <c r="R35" s="118"/>
      <c r="S35" s="118"/>
      <c r="T35" s="118"/>
      <c r="U35" s="118"/>
      <c r="V35" s="118"/>
      <c r="W35" s="118"/>
      <c r="X35" s="118"/>
    </row>
    <row r="36" spans="1:24">
      <c r="A36" s="120"/>
      <c r="B36" s="118"/>
      <c r="C36" s="118"/>
      <c r="D36" s="118"/>
      <c r="E36" s="118"/>
      <c r="F36" s="118"/>
      <c r="G36" s="120"/>
      <c r="H36" s="118"/>
      <c r="I36" s="120"/>
      <c r="J36" s="118"/>
      <c r="K36" s="118"/>
      <c r="L36" s="120"/>
      <c r="M36" s="120"/>
      <c r="N36" s="118"/>
      <c r="O36" s="118"/>
      <c r="P36" s="118"/>
      <c r="Q36" s="118"/>
      <c r="R36" s="118"/>
      <c r="S36" s="118"/>
      <c r="T36" s="118"/>
      <c r="U36" s="118"/>
      <c r="V36" s="118"/>
      <c r="W36" s="118"/>
      <c r="X36" s="118"/>
    </row>
    <row r="37" spans="1:24">
      <c r="A37" s="120"/>
      <c r="B37" s="118"/>
      <c r="C37" s="118"/>
      <c r="D37" s="118"/>
      <c r="E37" s="118"/>
      <c r="F37" s="118"/>
      <c r="G37" s="120"/>
      <c r="H37" s="118"/>
      <c r="I37" s="120"/>
      <c r="J37" s="118"/>
      <c r="K37" s="118"/>
      <c r="L37" s="120"/>
      <c r="M37" s="120"/>
      <c r="N37" s="118"/>
      <c r="O37" s="118"/>
      <c r="P37" s="118"/>
      <c r="Q37" s="118"/>
      <c r="R37" s="118"/>
      <c r="S37" s="118"/>
      <c r="T37" s="118"/>
      <c r="U37" s="118"/>
      <c r="V37" s="118"/>
      <c r="W37" s="118"/>
      <c r="X37" s="118"/>
    </row>
    <row r="38" spans="1:24">
      <c r="A38" s="120"/>
      <c r="B38" s="118"/>
      <c r="C38" s="118"/>
      <c r="D38" s="118"/>
      <c r="E38" s="118"/>
      <c r="F38" s="118"/>
      <c r="G38" s="120"/>
      <c r="H38" s="118"/>
      <c r="I38" s="120"/>
      <c r="J38" s="118"/>
      <c r="K38" s="118"/>
      <c r="L38" s="120"/>
      <c r="M38" s="120"/>
      <c r="N38" s="118"/>
      <c r="O38" s="118"/>
      <c r="P38" s="118"/>
      <c r="Q38" s="118"/>
      <c r="R38" s="118"/>
      <c r="S38" s="118"/>
      <c r="T38" s="118"/>
      <c r="U38" s="118"/>
      <c r="V38" s="118"/>
      <c r="W38" s="118"/>
      <c r="X38" s="118"/>
    </row>
    <row r="39" spans="1:24">
      <c r="A39" s="120"/>
      <c r="B39" s="118"/>
      <c r="C39" s="118"/>
      <c r="D39" s="118"/>
      <c r="E39" s="118"/>
      <c r="F39" s="118"/>
      <c r="G39" s="120"/>
      <c r="H39" s="118"/>
      <c r="I39" s="120"/>
      <c r="J39" s="118"/>
      <c r="K39" s="118"/>
      <c r="L39" s="120"/>
      <c r="M39" s="120"/>
      <c r="N39" s="118"/>
      <c r="O39" s="118"/>
      <c r="P39" s="118"/>
      <c r="Q39" s="118"/>
      <c r="R39" s="118"/>
      <c r="S39" s="118"/>
      <c r="T39" s="118"/>
      <c r="U39" s="118"/>
      <c r="V39" s="118"/>
      <c r="W39" s="118"/>
      <c r="X39" s="118"/>
    </row>
    <row r="40" spans="1:24">
      <c r="A40" s="118"/>
      <c r="B40" s="118"/>
      <c r="C40" s="118"/>
      <c r="D40" s="118"/>
      <c r="E40" s="118"/>
      <c r="F40" s="118"/>
      <c r="G40" s="120"/>
      <c r="H40" s="118"/>
      <c r="I40" s="118"/>
      <c r="J40" s="118"/>
      <c r="K40" s="118"/>
      <c r="L40" s="120"/>
      <c r="M40" s="120"/>
      <c r="N40" s="118"/>
      <c r="O40" s="118"/>
      <c r="P40" s="118"/>
      <c r="Q40" s="118"/>
      <c r="R40" s="118"/>
      <c r="S40" s="118"/>
      <c r="T40" s="118"/>
      <c r="U40" s="118"/>
      <c r="V40" s="118"/>
      <c r="W40" s="118"/>
      <c r="X40" s="118"/>
    </row>
    <row r="41" spans="1:24">
      <c r="A41" s="120"/>
      <c r="B41" s="118"/>
      <c r="C41" s="118"/>
      <c r="D41" s="118"/>
      <c r="E41" s="118"/>
      <c r="F41" s="118"/>
      <c r="G41" s="120"/>
      <c r="H41" s="120"/>
      <c r="I41" s="120"/>
      <c r="J41" s="120"/>
      <c r="K41" s="120"/>
      <c r="L41" s="120"/>
      <c r="M41" s="120"/>
      <c r="N41" s="118"/>
      <c r="O41" s="118"/>
      <c r="P41" s="118"/>
      <c r="Q41" s="118"/>
      <c r="R41" s="118"/>
      <c r="S41" s="118"/>
      <c r="T41" s="118"/>
      <c r="U41" s="118"/>
      <c r="V41" s="118"/>
      <c r="W41" s="118"/>
      <c r="X41" s="118"/>
    </row>
    <row r="42" spans="1:24">
      <c r="A42" s="120"/>
      <c r="B42" s="118"/>
      <c r="C42" s="118"/>
      <c r="D42" s="118"/>
      <c r="E42" s="118"/>
      <c r="F42" s="118"/>
      <c r="G42" s="120"/>
      <c r="H42" s="120"/>
      <c r="I42" s="120"/>
      <c r="J42" s="120"/>
      <c r="K42" s="120"/>
      <c r="L42" s="120"/>
      <c r="M42" s="120"/>
      <c r="N42" s="118"/>
      <c r="O42" s="118"/>
      <c r="P42" s="118"/>
      <c r="Q42" s="118"/>
      <c r="R42" s="118"/>
      <c r="S42" s="118"/>
      <c r="T42" s="118"/>
      <c r="U42" s="118"/>
      <c r="V42" s="118"/>
      <c r="W42" s="118"/>
      <c r="X42" s="118"/>
    </row>
    <row r="43" spans="1:24">
      <c r="A43" s="120"/>
      <c r="B43" s="118"/>
      <c r="C43" s="118"/>
      <c r="D43" s="118"/>
      <c r="E43" s="118"/>
      <c r="F43" s="118"/>
      <c r="G43" s="120"/>
      <c r="H43" s="120"/>
      <c r="I43" s="120"/>
      <c r="J43" s="120"/>
      <c r="K43" s="120"/>
      <c r="L43" s="120"/>
      <c r="M43" s="120"/>
      <c r="N43" s="118"/>
      <c r="O43" s="118"/>
      <c r="P43" s="118"/>
      <c r="Q43" s="118"/>
      <c r="R43" s="118"/>
      <c r="S43" s="118"/>
      <c r="T43" s="118"/>
      <c r="U43" s="118"/>
      <c r="V43" s="118"/>
      <c r="W43" s="118"/>
      <c r="X43" s="118"/>
    </row>
    <row r="44" spans="1:24">
      <c r="A44" s="120"/>
      <c r="B44" s="118"/>
      <c r="C44" s="118"/>
      <c r="D44" s="118"/>
      <c r="E44" s="118"/>
      <c r="F44" s="118"/>
      <c r="G44" s="120"/>
      <c r="H44" s="120"/>
      <c r="I44" s="120"/>
      <c r="J44" s="120"/>
      <c r="K44" s="120"/>
      <c r="L44" s="120"/>
      <c r="M44" s="120"/>
      <c r="N44" s="118"/>
      <c r="O44" s="118"/>
      <c r="P44" s="118"/>
      <c r="Q44" s="118"/>
      <c r="R44" s="118"/>
      <c r="S44" s="118"/>
      <c r="T44" s="118"/>
      <c r="U44" s="118"/>
      <c r="V44" s="118"/>
      <c r="W44" s="118"/>
      <c r="X44" s="118"/>
    </row>
    <row r="45" spans="1:24">
      <c r="A45" s="120"/>
      <c r="B45" s="118"/>
      <c r="C45" s="118"/>
      <c r="D45" s="118"/>
      <c r="E45" s="118"/>
      <c r="F45" s="118"/>
      <c r="G45" s="120"/>
      <c r="H45" s="120"/>
      <c r="I45" s="120"/>
      <c r="J45" s="120"/>
      <c r="K45" s="120"/>
      <c r="L45" s="120"/>
      <c r="M45" s="120"/>
      <c r="N45" s="118"/>
      <c r="O45" s="118"/>
      <c r="P45" s="118"/>
      <c r="Q45" s="118"/>
      <c r="R45" s="118"/>
      <c r="S45" s="118"/>
      <c r="T45" s="118"/>
      <c r="U45" s="118"/>
      <c r="V45" s="118"/>
      <c r="W45" s="118"/>
      <c r="X45" s="118"/>
    </row>
    <row r="46" spans="1:24">
      <c r="A46" s="120"/>
      <c r="B46" s="118"/>
      <c r="C46" s="118"/>
      <c r="D46" s="118"/>
      <c r="E46" s="118"/>
      <c r="F46" s="118"/>
      <c r="G46" s="120"/>
      <c r="H46" s="120"/>
      <c r="I46" s="120"/>
      <c r="J46" s="120"/>
      <c r="K46" s="120"/>
      <c r="L46" s="120"/>
      <c r="M46" s="120"/>
      <c r="N46" s="118"/>
      <c r="O46" s="118"/>
      <c r="P46" s="118"/>
      <c r="Q46" s="118"/>
      <c r="R46" s="118"/>
      <c r="S46" s="118"/>
      <c r="T46" s="118"/>
      <c r="U46" s="118"/>
      <c r="V46" s="118"/>
      <c r="W46" s="118"/>
      <c r="X46" s="118"/>
    </row>
    <row r="47" spans="1:24">
      <c r="A47" s="120"/>
      <c r="B47" s="118"/>
      <c r="C47" s="118"/>
      <c r="D47" s="118"/>
      <c r="E47" s="118"/>
      <c r="F47" s="118"/>
      <c r="G47" s="120"/>
      <c r="H47" s="120"/>
      <c r="I47" s="120"/>
      <c r="J47" s="120"/>
      <c r="K47" s="120"/>
      <c r="L47" s="120"/>
      <c r="M47" s="120"/>
      <c r="N47" s="118"/>
      <c r="O47" s="118"/>
      <c r="P47" s="118"/>
      <c r="Q47" s="118"/>
      <c r="R47" s="118"/>
      <c r="S47" s="118"/>
      <c r="T47" s="118"/>
      <c r="U47" s="118"/>
      <c r="V47" s="118"/>
      <c r="W47" s="118"/>
      <c r="X47" s="118"/>
    </row>
    <row r="48" spans="1:24">
      <c r="A48" s="120"/>
      <c r="B48" s="118"/>
      <c r="C48" s="118"/>
      <c r="D48" s="118"/>
      <c r="E48" s="118"/>
      <c r="F48" s="118"/>
      <c r="G48" s="120"/>
      <c r="H48" s="120"/>
      <c r="I48" s="120"/>
      <c r="J48" s="120"/>
      <c r="K48" s="120"/>
      <c r="L48" s="120"/>
      <c r="M48" s="120"/>
      <c r="N48" s="118"/>
      <c r="O48" s="118"/>
      <c r="P48" s="118"/>
      <c r="Q48" s="118"/>
      <c r="R48" s="118"/>
      <c r="S48" s="118"/>
      <c r="T48" s="118"/>
      <c r="U48" s="118"/>
      <c r="V48" s="118"/>
      <c r="W48" s="118"/>
      <c r="X48" s="118"/>
    </row>
    <row r="49" spans="1:24">
      <c r="A49" s="120"/>
      <c r="B49" s="118"/>
      <c r="C49" s="118"/>
      <c r="D49" s="118"/>
      <c r="E49" s="118"/>
      <c r="F49" s="118"/>
      <c r="G49" s="120"/>
      <c r="H49" s="120"/>
      <c r="I49" s="120"/>
      <c r="J49" s="120"/>
      <c r="K49" s="120"/>
      <c r="L49" s="120"/>
      <c r="M49" s="120"/>
      <c r="N49" s="118"/>
      <c r="O49" s="118"/>
      <c r="P49" s="118"/>
      <c r="Q49" s="118"/>
      <c r="R49" s="118"/>
      <c r="S49" s="118"/>
      <c r="T49" s="118"/>
      <c r="U49" s="118"/>
      <c r="V49" s="118"/>
      <c r="W49" s="118"/>
      <c r="X49" s="118"/>
    </row>
    <row r="50" spans="1:24">
      <c r="A50" s="120"/>
      <c r="B50" s="118"/>
      <c r="C50" s="118"/>
      <c r="D50" s="118"/>
      <c r="E50" s="118"/>
      <c r="F50" s="118"/>
      <c r="G50" s="120"/>
      <c r="H50" s="120"/>
      <c r="I50" s="120"/>
      <c r="J50" s="120"/>
      <c r="K50" s="120"/>
      <c r="L50" s="120"/>
      <c r="M50" s="120"/>
      <c r="N50" s="118"/>
      <c r="O50" s="118"/>
      <c r="P50" s="118"/>
      <c r="Q50" s="118"/>
      <c r="R50" s="118"/>
      <c r="S50" s="118"/>
      <c r="T50" s="118"/>
      <c r="U50" s="118"/>
      <c r="V50" s="118"/>
      <c r="W50" s="118"/>
      <c r="X50" s="118"/>
    </row>
    <row r="51" spans="1:24">
      <c r="A51" s="120"/>
      <c r="B51" s="118"/>
      <c r="C51" s="118"/>
      <c r="D51" s="118"/>
      <c r="E51" s="118"/>
      <c r="F51" s="118"/>
      <c r="G51" s="120"/>
      <c r="H51" s="120"/>
      <c r="I51" s="120"/>
      <c r="J51" s="120"/>
      <c r="K51" s="120"/>
      <c r="L51" s="120"/>
      <c r="M51" s="120"/>
      <c r="N51" s="118"/>
      <c r="O51" s="118"/>
      <c r="P51" s="118"/>
      <c r="Q51" s="118"/>
      <c r="R51" s="118"/>
      <c r="S51" s="118"/>
      <c r="T51" s="118"/>
      <c r="U51" s="118"/>
      <c r="V51" s="118"/>
      <c r="W51" s="118"/>
      <c r="X51" s="118"/>
    </row>
    <row r="52" spans="1:24">
      <c r="A52" s="120"/>
      <c r="B52" s="118"/>
      <c r="C52" s="118"/>
      <c r="D52" s="118"/>
      <c r="E52" s="118"/>
      <c r="F52" s="118"/>
      <c r="G52" s="120"/>
      <c r="H52" s="120"/>
      <c r="I52" s="120"/>
      <c r="J52" s="120"/>
      <c r="K52" s="120"/>
      <c r="L52" s="120"/>
      <c r="M52" s="120"/>
      <c r="N52" s="118"/>
      <c r="O52" s="118"/>
      <c r="P52" s="118"/>
      <c r="Q52" s="118"/>
      <c r="R52" s="118"/>
      <c r="S52" s="118"/>
      <c r="T52" s="118"/>
      <c r="U52" s="118"/>
      <c r="V52" s="118"/>
      <c r="W52" s="118"/>
      <c r="X52" s="118"/>
    </row>
    <row r="53" spans="1:24">
      <c r="A53" s="120"/>
      <c r="B53" s="118"/>
      <c r="C53" s="118"/>
      <c r="D53" s="118"/>
      <c r="E53" s="118"/>
      <c r="F53" s="118"/>
      <c r="G53" s="120"/>
      <c r="H53" s="120"/>
      <c r="I53" s="120"/>
      <c r="J53" s="120"/>
      <c r="K53" s="120"/>
      <c r="L53" s="120"/>
      <c r="M53" s="120"/>
      <c r="N53" s="118"/>
      <c r="O53" s="118"/>
      <c r="P53" s="118"/>
      <c r="Q53" s="118"/>
      <c r="R53" s="118"/>
      <c r="S53" s="118"/>
      <c r="T53" s="118"/>
      <c r="U53" s="118"/>
      <c r="V53" s="118"/>
      <c r="W53" s="118"/>
      <c r="X53" s="118"/>
    </row>
    <row r="54" spans="1:24">
      <c r="A54" s="120"/>
      <c r="B54" s="118"/>
      <c r="C54" s="118"/>
      <c r="D54" s="118"/>
      <c r="E54" s="118"/>
      <c r="F54" s="118"/>
      <c r="G54" s="120"/>
      <c r="H54" s="120"/>
      <c r="I54" s="120"/>
      <c r="J54" s="120"/>
      <c r="K54" s="120"/>
      <c r="L54" s="120"/>
      <c r="M54" s="120"/>
      <c r="N54" s="118"/>
      <c r="O54" s="118"/>
      <c r="P54" s="118"/>
      <c r="Q54" s="118"/>
      <c r="R54" s="118"/>
      <c r="S54" s="118"/>
      <c r="T54" s="118"/>
      <c r="U54" s="118"/>
      <c r="V54" s="118"/>
      <c r="W54" s="118"/>
      <c r="X54" s="118"/>
    </row>
    <row r="55" spans="1:24">
      <c r="A55" s="120"/>
      <c r="B55" s="118"/>
      <c r="C55" s="118"/>
      <c r="D55" s="118"/>
      <c r="E55" s="118"/>
      <c r="F55" s="118"/>
      <c r="G55" s="120"/>
      <c r="H55" s="120"/>
      <c r="I55" s="120"/>
      <c r="J55" s="120"/>
      <c r="K55" s="120"/>
      <c r="L55" s="120"/>
      <c r="M55" s="120"/>
      <c r="N55" s="118"/>
      <c r="O55" s="118"/>
      <c r="P55" s="118"/>
      <c r="Q55" s="118"/>
      <c r="R55" s="118"/>
      <c r="S55" s="118"/>
      <c r="T55" s="118"/>
      <c r="U55" s="118"/>
      <c r="V55" s="118"/>
      <c r="W55" s="118"/>
      <c r="X55" s="118"/>
    </row>
    <row r="56" spans="1:24">
      <c r="A56" s="120"/>
      <c r="B56" s="118"/>
      <c r="C56" s="118"/>
      <c r="D56" s="118"/>
      <c r="E56" s="118"/>
      <c r="F56" s="118"/>
      <c r="G56" s="120"/>
      <c r="H56" s="120"/>
      <c r="I56" s="120"/>
      <c r="J56" s="120"/>
      <c r="K56" s="120"/>
      <c r="L56" s="120"/>
      <c r="M56" s="120"/>
      <c r="N56" s="118"/>
      <c r="O56" s="118"/>
      <c r="P56" s="118"/>
      <c r="Q56" s="118"/>
      <c r="R56" s="118"/>
      <c r="S56" s="118"/>
      <c r="T56" s="118"/>
      <c r="U56" s="118"/>
      <c r="V56" s="118"/>
      <c r="W56" s="118"/>
      <c r="X56" s="118"/>
    </row>
    <row r="57" spans="1:24">
      <c r="A57" s="120"/>
      <c r="B57" s="118"/>
      <c r="C57" s="118"/>
      <c r="D57" s="118"/>
      <c r="E57" s="118"/>
      <c r="F57" s="118"/>
      <c r="G57" s="120"/>
      <c r="H57" s="120"/>
      <c r="I57" s="120"/>
      <c r="J57" s="120"/>
      <c r="K57" s="120"/>
      <c r="L57" s="120"/>
      <c r="M57" s="120"/>
      <c r="N57" s="118"/>
      <c r="O57" s="118"/>
      <c r="P57" s="118"/>
      <c r="Q57" s="118"/>
      <c r="R57" s="118"/>
      <c r="S57" s="118"/>
      <c r="T57" s="118"/>
      <c r="U57" s="118"/>
      <c r="V57" s="118"/>
      <c r="W57" s="118"/>
      <c r="X57" s="118"/>
    </row>
    <row r="58" spans="1:24">
      <c r="A58" s="120"/>
      <c r="B58" s="118"/>
      <c r="C58" s="118"/>
      <c r="D58" s="118"/>
      <c r="E58" s="118"/>
      <c r="F58" s="118"/>
      <c r="G58" s="120"/>
      <c r="H58" s="120"/>
      <c r="I58" s="120"/>
      <c r="J58" s="120"/>
      <c r="K58" s="120"/>
      <c r="L58" s="120"/>
      <c r="M58" s="120"/>
      <c r="N58" s="118"/>
      <c r="O58" s="118"/>
      <c r="P58" s="118"/>
      <c r="Q58" s="118"/>
      <c r="R58" s="118"/>
      <c r="S58" s="118"/>
      <c r="T58" s="118"/>
      <c r="U58" s="118"/>
      <c r="V58" s="118"/>
      <c r="W58" s="118"/>
      <c r="X58" s="118"/>
    </row>
    <row r="59" spans="1:24">
      <c r="A59" s="120"/>
      <c r="B59" s="118"/>
      <c r="C59" s="118"/>
      <c r="D59" s="118"/>
      <c r="E59" s="118"/>
      <c r="F59" s="118"/>
      <c r="G59" s="120"/>
      <c r="H59" s="120"/>
      <c r="I59" s="120"/>
      <c r="J59" s="120"/>
      <c r="K59" s="120"/>
      <c r="L59" s="120"/>
      <c r="M59" s="120"/>
      <c r="N59" s="118"/>
      <c r="O59" s="118"/>
      <c r="P59" s="118"/>
      <c r="Q59" s="118"/>
      <c r="R59" s="118"/>
      <c r="S59" s="118"/>
      <c r="T59" s="118"/>
      <c r="U59" s="118"/>
      <c r="V59" s="118"/>
      <c r="W59" s="118"/>
      <c r="X59" s="118"/>
    </row>
    <row r="60" spans="1:24">
      <c r="A60" s="120"/>
      <c r="B60" s="118"/>
      <c r="C60" s="118"/>
      <c r="D60" s="118"/>
      <c r="E60" s="118"/>
      <c r="F60" s="118"/>
      <c r="G60" s="120"/>
      <c r="H60" s="120"/>
      <c r="I60" s="120"/>
      <c r="J60" s="120"/>
      <c r="K60" s="120"/>
      <c r="L60" s="120"/>
      <c r="M60" s="120"/>
      <c r="N60" s="118"/>
      <c r="O60" s="118"/>
      <c r="P60" s="118"/>
      <c r="Q60" s="118"/>
      <c r="R60" s="118"/>
      <c r="S60" s="118"/>
      <c r="T60" s="118"/>
      <c r="U60" s="118"/>
      <c r="V60" s="118"/>
      <c r="W60" s="118"/>
      <c r="X60" s="118"/>
    </row>
    <row r="61" spans="1:24">
      <c r="A61" s="120"/>
      <c r="B61" s="118"/>
      <c r="C61" s="118"/>
      <c r="D61" s="118"/>
      <c r="E61" s="118"/>
      <c r="F61" s="118"/>
      <c r="G61" s="120"/>
      <c r="H61" s="120"/>
      <c r="I61" s="120"/>
      <c r="J61" s="120"/>
      <c r="K61" s="120"/>
      <c r="L61" s="120"/>
      <c r="M61" s="120"/>
      <c r="N61" s="118"/>
      <c r="O61" s="118"/>
      <c r="P61" s="118"/>
      <c r="Q61" s="118"/>
      <c r="R61" s="118"/>
      <c r="S61" s="118"/>
      <c r="T61" s="118"/>
      <c r="U61" s="118"/>
      <c r="V61" s="118"/>
      <c r="W61" s="118"/>
      <c r="X61" s="118"/>
    </row>
    <row r="62" spans="1:24">
      <c r="A62" s="120"/>
      <c r="B62" s="118"/>
      <c r="C62" s="118"/>
      <c r="D62" s="118"/>
      <c r="E62" s="118"/>
      <c r="F62" s="118"/>
      <c r="G62" s="120"/>
      <c r="H62" s="120"/>
      <c r="I62" s="120"/>
      <c r="J62" s="120"/>
      <c r="K62" s="120"/>
      <c r="L62" s="120"/>
      <c r="M62" s="120"/>
      <c r="N62" s="118"/>
      <c r="O62" s="118"/>
      <c r="P62" s="118"/>
      <c r="Q62" s="118"/>
      <c r="R62" s="118"/>
      <c r="S62" s="118"/>
      <c r="T62" s="118"/>
      <c r="U62" s="118"/>
      <c r="V62" s="118"/>
      <c r="W62" s="118"/>
      <c r="X62" s="118"/>
    </row>
    <row r="63" spans="1:24" ht="13.5">
      <c r="A63" s="120"/>
      <c r="B63" s="118"/>
      <c r="C63" s="118"/>
      <c r="D63" s="118"/>
      <c r="E63" s="118"/>
      <c r="F63" s="118"/>
      <c r="G63" s="120"/>
      <c r="H63" s="120"/>
      <c r="I63" s="120"/>
      <c r="J63" s="120"/>
      <c r="K63" s="120"/>
      <c r="L63" s="120"/>
      <c r="M63" s="120"/>
      <c r="N63" s="125" t="s">
        <v>812</v>
      </c>
      <c r="O63" s="125" t="s">
        <v>813</v>
      </c>
      <c r="P63" s="125" t="s">
        <v>814</v>
      </c>
      <c r="Q63" s="125" t="s">
        <v>815</v>
      </c>
      <c r="R63" s="118"/>
      <c r="S63" s="125" t="s">
        <v>812</v>
      </c>
      <c r="T63" s="125" t="s">
        <v>837</v>
      </c>
      <c r="U63" s="125" t="s">
        <v>838</v>
      </c>
      <c r="V63" s="125" t="s">
        <v>815</v>
      </c>
      <c r="W63" s="118"/>
      <c r="X63" s="118"/>
    </row>
    <row r="64" spans="1:24" ht="13.5">
      <c r="A64" s="120"/>
      <c r="B64" s="118"/>
      <c r="C64" s="118"/>
      <c r="D64" s="118"/>
      <c r="E64" s="118"/>
      <c r="F64" s="118"/>
      <c r="G64" s="120"/>
      <c r="H64" s="120"/>
      <c r="I64" s="120"/>
      <c r="J64" s="120"/>
      <c r="K64" s="120"/>
      <c r="L64" s="120"/>
      <c r="M64" s="120"/>
      <c r="N64" s="559" t="s">
        <v>816</v>
      </c>
      <c r="O64" s="125" t="s">
        <v>839</v>
      </c>
      <c r="P64" s="126">
        <v>189000000</v>
      </c>
      <c r="Q64" s="125" t="s">
        <v>840</v>
      </c>
      <c r="R64" s="118"/>
      <c r="S64" s="125" t="s">
        <v>841</v>
      </c>
      <c r="T64" s="126">
        <f>627943853-48000000+3000</f>
        <v>579946853</v>
      </c>
      <c r="U64" s="126">
        <v>0</v>
      </c>
      <c r="V64" s="121" t="s">
        <v>842</v>
      </c>
      <c r="W64" s="118"/>
      <c r="X64" s="118"/>
    </row>
    <row r="65" spans="1:24" ht="13.5">
      <c r="A65" s="120"/>
      <c r="B65" s="118"/>
      <c r="C65" s="118"/>
      <c r="D65" s="118"/>
      <c r="E65" s="118"/>
      <c r="F65" s="118"/>
      <c r="G65" s="120"/>
      <c r="H65" s="120"/>
      <c r="I65" s="120"/>
      <c r="J65" s="120"/>
      <c r="K65" s="120"/>
      <c r="L65" s="120"/>
      <c r="M65" s="120"/>
      <c r="N65" s="559"/>
      <c r="O65" s="125" t="s">
        <v>818</v>
      </c>
      <c r="P65" s="126">
        <v>9600000</v>
      </c>
      <c r="Q65" s="125" t="s">
        <v>840</v>
      </c>
      <c r="R65" s="118"/>
      <c r="S65" s="125" t="s">
        <v>2371</v>
      </c>
      <c r="T65" s="126">
        <f>48000000+3681280-775514-102119-50000-165239-744545+8173130+320000-216110-659187</f>
        <v>57461696</v>
      </c>
      <c r="U65" s="126">
        <v>0</v>
      </c>
      <c r="V65" s="121" t="s">
        <v>843</v>
      </c>
      <c r="W65" s="118"/>
      <c r="X65" s="118"/>
    </row>
    <row r="66" spans="1:24" ht="13.5">
      <c r="A66" s="120"/>
      <c r="B66" s="118"/>
      <c r="C66" s="118"/>
      <c r="D66" s="118"/>
      <c r="E66" s="118"/>
      <c r="F66" s="118"/>
      <c r="G66" s="120"/>
      <c r="H66" s="120"/>
      <c r="I66" s="120"/>
      <c r="J66" s="120"/>
      <c r="K66" s="120"/>
      <c r="L66" s="120"/>
      <c r="M66" s="120"/>
      <c r="N66" s="559"/>
      <c r="O66" s="125" t="s">
        <v>819</v>
      </c>
      <c r="P66" s="126">
        <v>880000</v>
      </c>
      <c r="Q66" s="125" t="s">
        <v>840</v>
      </c>
      <c r="R66" s="118"/>
      <c r="S66" s="125" t="s">
        <v>844</v>
      </c>
      <c r="T66" s="126">
        <v>3650000</v>
      </c>
      <c r="U66" s="126">
        <v>0</v>
      </c>
      <c r="V66" s="125" t="s">
        <v>845</v>
      </c>
      <c r="W66" s="118"/>
      <c r="X66" s="118"/>
    </row>
    <row r="67" spans="1:24" ht="13.5">
      <c r="A67" s="120"/>
      <c r="B67" s="118"/>
      <c r="C67" s="118"/>
      <c r="D67" s="118"/>
      <c r="E67" s="118"/>
      <c r="F67" s="118"/>
      <c r="G67" s="120"/>
      <c r="H67" s="120"/>
      <c r="I67" s="120"/>
      <c r="J67" s="120"/>
      <c r="K67" s="120"/>
      <c r="L67" s="120"/>
      <c r="M67" s="120"/>
      <c r="N67" s="559" t="s">
        <v>820</v>
      </c>
      <c r="O67" s="125" t="s">
        <v>846</v>
      </c>
      <c r="P67" s="126">
        <f>418463853+3000</f>
        <v>418466853</v>
      </c>
      <c r="Q67" s="125" t="s">
        <v>2380</v>
      </c>
      <c r="R67" s="118"/>
      <c r="S67" s="311" t="s">
        <v>847</v>
      </c>
      <c r="T67" s="316">
        <f>SUM(T64:T66)</f>
        <v>641058549</v>
      </c>
      <c r="U67" s="316">
        <f>SUM(U64:U66)</f>
        <v>0</v>
      </c>
      <c r="V67" s="311"/>
      <c r="W67" s="118"/>
      <c r="X67" s="118"/>
    </row>
    <row r="68" spans="1:24" ht="13.5">
      <c r="A68" s="120"/>
      <c r="B68" s="118"/>
      <c r="C68" s="118"/>
      <c r="D68" s="118"/>
      <c r="E68" s="118"/>
      <c r="F68" s="118"/>
      <c r="G68" s="120"/>
      <c r="H68" s="120"/>
      <c r="I68" s="120"/>
      <c r="J68" s="120"/>
      <c r="K68" s="120"/>
      <c r="L68" s="120"/>
      <c r="M68" s="120"/>
      <c r="N68" s="559"/>
      <c r="O68" s="125" t="s">
        <v>848</v>
      </c>
      <c r="P68" s="126">
        <v>2800000</v>
      </c>
      <c r="Q68" s="125" t="s">
        <v>840</v>
      </c>
      <c r="R68" s="118"/>
      <c r="S68" s="118"/>
      <c r="T68" s="118"/>
      <c r="U68" s="118"/>
      <c r="V68" s="118"/>
      <c r="W68" s="118"/>
      <c r="X68" s="118"/>
    </row>
    <row r="69" spans="1:24" ht="13.5">
      <c r="A69" s="120"/>
      <c r="B69" s="118"/>
      <c r="C69" s="118"/>
      <c r="D69" s="118"/>
      <c r="E69" s="118"/>
      <c r="F69" s="118"/>
      <c r="G69" s="120"/>
      <c r="H69" s="120"/>
      <c r="I69" s="120"/>
      <c r="J69" s="120"/>
      <c r="K69" s="120"/>
      <c r="L69" s="120"/>
      <c r="M69" s="120"/>
      <c r="N69" s="559"/>
      <c r="O69" s="125" t="s">
        <v>849</v>
      </c>
      <c r="P69" s="126">
        <v>850000</v>
      </c>
      <c r="Q69" s="125" t="s">
        <v>840</v>
      </c>
      <c r="R69" s="118"/>
      <c r="S69" s="118"/>
      <c r="T69" s="118"/>
      <c r="U69" s="118"/>
      <c r="V69" s="118"/>
      <c r="W69" s="118"/>
      <c r="X69" s="118"/>
    </row>
    <row r="70" spans="1:24" ht="13.5">
      <c r="A70" s="120"/>
      <c r="B70" s="118"/>
      <c r="C70" s="118"/>
      <c r="D70" s="118"/>
      <c r="E70" s="118"/>
      <c r="F70" s="118"/>
      <c r="G70" s="120"/>
      <c r="H70" s="120"/>
      <c r="I70" s="120"/>
      <c r="J70" s="120"/>
      <c r="K70" s="120"/>
      <c r="L70" s="120"/>
      <c r="M70" s="120"/>
      <c r="N70" s="559"/>
      <c r="O70" s="125" t="s">
        <v>835</v>
      </c>
      <c r="P70" s="126">
        <f>8173130+3681280</f>
        <v>11854410</v>
      </c>
      <c r="Q70" s="125" t="s">
        <v>840</v>
      </c>
      <c r="R70" s="118"/>
      <c r="S70" s="118"/>
      <c r="T70" s="118"/>
      <c r="U70" s="118"/>
      <c r="V70" s="118"/>
      <c r="W70" s="118"/>
      <c r="X70" s="118"/>
    </row>
    <row r="71" spans="1:24" ht="13.5">
      <c r="A71" s="120"/>
      <c r="B71" s="118"/>
      <c r="C71" s="118"/>
      <c r="D71" s="118"/>
      <c r="E71" s="118"/>
      <c r="F71" s="118"/>
      <c r="G71" s="120"/>
      <c r="H71" s="120"/>
      <c r="I71" s="120"/>
      <c r="J71" s="120"/>
      <c r="K71" s="120"/>
      <c r="L71" s="120"/>
      <c r="M71" s="120"/>
      <c r="N71" s="559"/>
      <c r="O71" s="125" t="s">
        <v>2373</v>
      </c>
      <c r="P71" s="126">
        <v>320000</v>
      </c>
      <c r="Q71" s="125" t="s">
        <v>840</v>
      </c>
      <c r="R71" s="118"/>
      <c r="S71" s="118"/>
      <c r="T71" s="118"/>
      <c r="U71" s="118"/>
      <c r="V71" s="118"/>
      <c r="W71" s="118"/>
      <c r="X71" s="118"/>
    </row>
    <row r="72" spans="1:24" ht="13.5">
      <c r="A72" s="120"/>
      <c r="B72" s="118"/>
      <c r="C72" s="118"/>
      <c r="D72" s="118"/>
      <c r="E72" s="118"/>
      <c r="F72" s="118"/>
      <c r="G72" s="120"/>
      <c r="H72" s="120"/>
      <c r="I72" s="120"/>
      <c r="J72" s="120"/>
      <c r="K72" s="120"/>
      <c r="L72" s="120"/>
      <c r="M72" s="120"/>
      <c r="N72" s="559"/>
      <c r="O72" s="125" t="s">
        <v>2372</v>
      </c>
      <c r="P72" s="126">
        <v>10000000</v>
      </c>
      <c r="Q72" s="125" t="s">
        <v>840</v>
      </c>
      <c r="R72" s="118"/>
      <c r="S72" s="118"/>
      <c r="T72" s="118"/>
      <c r="U72" s="118"/>
      <c r="V72" s="118"/>
      <c r="W72" s="118"/>
      <c r="X72" s="118"/>
    </row>
    <row r="73" spans="1:24" ht="13.5">
      <c r="A73" s="120"/>
      <c r="B73" s="118"/>
      <c r="C73" s="118"/>
      <c r="D73" s="118"/>
      <c r="E73" s="118"/>
      <c r="F73" s="118"/>
      <c r="G73" s="120"/>
      <c r="H73" s="120"/>
      <c r="I73" s="120"/>
      <c r="J73" s="120"/>
      <c r="K73" s="120"/>
      <c r="L73" s="120"/>
      <c r="M73" s="120"/>
      <c r="N73" s="559"/>
      <c r="O73" s="125" t="s">
        <v>2381</v>
      </c>
      <c r="P73" s="126">
        <v>-216110</v>
      </c>
      <c r="Q73" s="125" t="s">
        <v>2382</v>
      </c>
      <c r="R73" s="118"/>
      <c r="S73" s="118"/>
      <c r="T73" s="118"/>
      <c r="U73" s="118"/>
      <c r="V73" s="118"/>
      <c r="W73" s="118"/>
      <c r="X73" s="118"/>
    </row>
    <row r="74" spans="1:24" ht="13.5">
      <c r="A74" s="120"/>
      <c r="B74" s="118"/>
      <c r="C74" s="118"/>
      <c r="D74" s="118"/>
      <c r="E74" s="118"/>
      <c r="F74" s="118"/>
      <c r="G74" s="120"/>
      <c r="H74" s="120"/>
      <c r="I74" s="120"/>
      <c r="J74" s="120"/>
      <c r="K74" s="120"/>
      <c r="L74" s="120"/>
      <c r="M74" s="120"/>
      <c r="N74" s="560"/>
      <c r="O74" s="125" t="s">
        <v>2375</v>
      </c>
      <c r="P74" s="126">
        <v>-50000</v>
      </c>
      <c r="Q74" s="125" t="s">
        <v>2382</v>
      </c>
      <c r="R74" s="118"/>
      <c r="S74" s="118"/>
      <c r="T74" s="118"/>
      <c r="U74" s="118"/>
      <c r="V74" s="118"/>
      <c r="W74" s="118"/>
      <c r="X74" s="118"/>
    </row>
    <row r="75" spans="1:24" ht="13.5">
      <c r="A75" s="120"/>
      <c r="B75" s="118"/>
      <c r="C75" s="118"/>
      <c r="D75" s="118"/>
      <c r="E75" s="118"/>
      <c r="F75" s="118"/>
      <c r="G75" s="120"/>
      <c r="H75" s="120"/>
      <c r="I75" s="120"/>
      <c r="J75" s="120"/>
      <c r="K75" s="120"/>
      <c r="L75" s="120"/>
      <c r="M75" s="120"/>
      <c r="N75" s="559"/>
      <c r="O75" s="125" t="s">
        <v>2383</v>
      </c>
      <c r="P75" s="126">
        <f>-744545-659187</f>
        <v>-1403732</v>
      </c>
      <c r="Q75" s="125" t="s">
        <v>2382</v>
      </c>
      <c r="R75" s="118"/>
      <c r="S75" s="118"/>
      <c r="T75" s="118"/>
      <c r="U75" s="118"/>
      <c r="V75" s="118"/>
      <c r="W75" s="118"/>
      <c r="X75" s="118"/>
    </row>
    <row r="76" spans="1:24" ht="13.5">
      <c r="A76" s="120"/>
      <c r="B76" s="118"/>
      <c r="C76" s="118"/>
      <c r="D76" s="118"/>
      <c r="E76" s="118"/>
      <c r="F76" s="118"/>
      <c r="G76" s="120"/>
      <c r="H76" s="120"/>
      <c r="I76" s="120"/>
      <c r="J76" s="120"/>
      <c r="K76" s="120"/>
      <c r="L76" s="120"/>
      <c r="M76" s="120"/>
      <c r="N76" s="559"/>
      <c r="O76" s="125" t="s">
        <v>2377</v>
      </c>
      <c r="P76" s="126">
        <f>-195318+30079-775514-102119</f>
        <v>-1042872</v>
      </c>
      <c r="Q76" s="125" t="s">
        <v>2382</v>
      </c>
      <c r="R76" s="118"/>
      <c r="S76" s="118"/>
      <c r="T76" s="118"/>
      <c r="U76" s="118"/>
      <c r="V76" s="118"/>
      <c r="W76" s="118"/>
      <c r="X76" s="118"/>
    </row>
    <row r="77" spans="1:24" ht="13.5">
      <c r="A77" s="120"/>
      <c r="B77" s="118"/>
      <c r="C77" s="118"/>
      <c r="D77" s="118"/>
      <c r="E77" s="118"/>
      <c r="F77" s="118"/>
      <c r="G77" s="120"/>
      <c r="H77" s="120"/>
      <c r="I77" s="120"/>
      <c r="J77" s="120"/>
      <c r="K77" s="120"/>
      <c r="L77" s="120"/>
      <c r="M77" s="120"/>
      <c r="N77" s="561" t="s">
        <v>847</v>
      </c>
      <c r="O77" s="561"/>
      <c r="P77" s="310">
        <f>SUM(P64:P76)</f>
        <v>641058549</v>
      </c>
      <c r="Q77" s="311"/>
      <c r="R77" s="118"/>
      <c r="S77" s="118"/>
      <c r="T77" s="118"/>
      <c r="U77" s="118"/>
      <c r="V77" s="118"/>
      <c r="W77" s="118"/>
      <c r="X77" s="118"/>
    </row>
    <row r="78" spans="1:24">
      <c r="A78" s="120"/>
      <c r="B78" s="118"/>
      <c r="C78" s="118"/>
      <c r="D78" s="118"/>
      <c r="E78" s="118"/>
      <c r="F78" s="118"/>
      <c r="G78" s="120"/>
      <c r="H78" s="120"/>
      <c r="I78" s="120"/>
      <c r="J78" s="120"/>
      <c r="K78" s="120"/>
      <c r="L78" s="120"/>
      <c r="M78" s="120"/>
      <c r="N78" s="118"/>
      <c r="O78" s="118"/>
      <c r="P78" s="118"/>
      <c r="Q78" s="118"/>
      <c r="R78" s="118"/>
      <c r="S78" s="118"/>
      <c r="T78" s="118"/>
      <c r="U78" s="118"/>
      <c r="V78" s="118"/>
      <c r="W78" s="118"/>
      <c r="X78" s="118"/>
    </row>
    <row r="79" spans="1:24">
      <c r="A79" s="120"/>
      <c r="B79" s="118"/>
      <c r="C79" s="118"/>
      <c r="D79" s="118"/>
      <c r="E79" s="118"/>
      <c r="F79" s="118"/>
      <c r="G79" s="120"/>
      <c r="H79" s="120"/>
      <c r="I79" s="120"/>
      <c r="J79" s="120"/>
      <c r="K79" s="120"/>
      <c r="L79" s="120"/>
      <c r="M79" s="120"/>
      <c r="N79" s="118"/>
      <c r="O79" s="118"/>
      <c r="P79" s="118"/>
      <c r="Q79" s="118"/>
      <c r="R79" s="118"/>
      <c r="S79" s="118"/>
      <c r="T79" s="118"/>
      <c r="U79" s="118"/>
      <c r="V79" s="118"/>
      <c r="W79" s="118"/>
      <c r="X79" s="118"/>
    </row>
    <row r="80" spans="1:24">
      <c r="A80" s="120"/>
      <c r="B80" s="118"/>
      <c r="C80" s="118"/>
      <c r="D80" s="118"/>
      <c r="E80" s="118"/>
      <c r="F80" s="118"/>
      <c r="G80" s="120"/>
      <c r="H80" s="120"/>
      <c r="I80" s="120"/>
      <c r="J80" s="120"/>
      <c r="K80" s="120"/>
      <c r="L80" s="120"/>
      <c r="M80" s="120"/>
      <c r="N80" s="118"/>
      <c r="O80" s="118"/>
      <c r="P80" s="118"/>
      <c r="Q80" s="118"/>
      <c r="R80" s="118"/>
      <c r="S80" s="118"/>
      <c r="T80" s="118"/>
      <c r="U80" s="118"/>
      <c r="V80" s="118"/>
      <c r="W80" s="118"/>
      <c r="X80" s="118"/>
    </row>
    <row r="81" spans="1:32">
      <c r="A81" s="120"/>
      <c r="B81" s="118"/>
      <c r="C81" s="118"/>
      <c r="D81" s="118"/>
      <c r="E81" s="118"/>
      <c r="F81" s="118"/>
      <c r="G81" s="120"/>
      <c r="H81" s="120"/>
      <c r="I81" s="120"/>
      <c r="J81" s="120"/>
      <c r="K81" s="120"/>
      <c r="L81" s="120"/>
      <c r="M81" s="120"/>
      <c r="N81" s="118"/>
      <c r="O81" s="118"/>
      <c r="P81" s="118"/>
      <c r="Q81" s="118"/>
      <c r="R81" s="118"/>
      <c r="S81" s="118"/>
      <c r="T81" s="118"/>
      <c r="U81" s="118"/>
      <c r="V81" s="118"/>
      <c r="W81" s="118"/>
      <c r="X81" s="118"/>
    </row>
    <row r="82" spans="1:32">
      <c r="A82" s="120"/>
      <c r="B82" s="118"/>
      <c r="C82" s="118"/>
      <c r="D82" s="118"/>
      <c r="E82" s="118"/>
      <c r="F82" s="118"/>
      <c r="G82" s="120"/>
      <c r="H82" s="120"/>
      <c r="I82" s="120"/>
      <c r="J82" s="120"/>
      <c r="K82" s="120"/>
      <c r="L82" s="120"/>
      <c r="M82" s="120"/>
      <c r="N82" s="118"/>
      <c r="O82" s="118"/>
      <c r="P82" s="118"/>
      <c r="Q82" s="118"/>
      <c r="R82" s="118"/>
      <c r="S82" s="118"/>
      <c r="T82" s="118"/>
      <c r="U82" s="118"/>
      <c r="V82" s="118"/>
      <c r="W82" s="118"/>
      <c r="X82" s="118"/>
    </row>
    <row r="83" spans="1:32">
      <c r="A83" s="120"/>
      <c r="B83" s="118"/>
      <c r="C83" s="118"/>
      <c r="D83" s="118"/>
      <c r="E83" s="118"/>
      <c r="F83" s="118"/>
      <c r="G83" s="120"/>
      <c r="H83" s="120"/>
      <c r="I83" s="120"/>
      <c r="J83" s="120"/>
      <c r="K83" s="120"/>
      <c r="L83" s="120"/>
      <c r="M83" s="120"/>
      <c r="N83" s="118"/>
      <c r="O83" s="118"/>
      <c r="P83" s="118"/>
      <c r="Q83" s="118"/>
      <c r="R83" s="118"/>
      <c r="S83" s="118"/>
      <c r="T83" s="118"/>
      <c r="U83" s="118"/>
      <c r="V83" s="118"/>
      <c r="W83" s="118"/>
      <c r="X83" s="118"/>
    </row>
    <row r="84" spans="1:32">
      <c r="A84" s="120"/>
      <c r="B84" s="118"/>
      <c r="C84" s="118"/>
      <c r="D84" s="118"/>
      <c r="E84" s="118"/>
      <c r="F84" s="118"/>
      <c r="G84" s="120"/>
      <c r="H84" s="120"/>
      <c r="I84" s="120"/>
      <c r="J84" s="120"/>
      <c r="K84" s="120"/>
      <c r="L84" s="120"/>
      <c r="M84" s="120"/>
      <c r="N84" s="118"/>
      <c r="O84" s="118"/>
      <c r="P84" s="118"/>
      <c r="Q84" s="118"/>
      <c r="R84" s="118"/>
      <c r="S84" s="118"/>
      <c r="T84" s="118"/>
      <c r="U84" s="118"/>
      <c r="V84" s="118"/>
      <c r="W84" s="118"/>
      <c r="X84" s="118"/>
    </row>
    <row r="85" spans="1:32">
      <c r="A85" s="120"/>
      <c r="B85" s="118"/>
      <c r="C85" s="118"/>
      <c r="D85" s="118"/>
      <c r="E85" s="118"/>
      <c r="F85" s="118"/>
      <c r="G85" s="120"/>
      <c r="H85" s="120"/>
      <c r="I85" s="120"/>
      <c r="J85" s="120"/>
      <c r="K85" s="120"/>
      <c r="L85" s="120"/>
      <c r="M85" s="120"/>
      <c r="N85" s="118"/>
      <c r="O85" s="118"/>
      <c r="P85" s="118"/>
      <c r="Q85" s="118"/>
      <c r="R85" s="118"/>
      <c r="S85" s="118"/>
      <c r="T85" s="118"/>
      <c r="U85" s="118"/>
      <c r="V85" s="118"/>
      <c r="W85" s="118"/>
      <c r="X85" s="118"/>
    </row>
    <row r="86" spans="1:32">
      <c r="A86" s="120"/>
      <c r="B86" s="118"/>
      <c r="C86" s="118"/>
      <c r="D86" s="118"/>
      <c r="E86" s="118"/>
      <c r="F86" s="118"/>
      <c r="G86" s="120"/>
      <c r="H86" s="120"/>
      <c r="I86" s="120"/>
      <c r="J86" s="120"/>
      <c r="K86" s="120"/>
      <c r="L86" s="120"/>
      <c r="M86" s="120"/>
      <c r="N86" s="118"/>
      <c r="O86" s="118"/>
      <c r="P86" s="118"/>
      <c r="Q86" s="118"/>
      <c r="R86" s="118"/>
      <c r="S86" s="118"/>
      <c r="T86" s="118"/>
      <c r="U86" s="118"/>
      <c r="V86" s="118"/>
      <c r="W86" s="118"/>
      <c r="X86" s="118"/>
    </row>
    <row r="87" spans="1:32">
      <c r="A87" s="120"/>
      <c r="B87" s="118"/>
      <c r="C87" s="118"/>
      <c r="D87" s="118"/>
      <c r="E87" s="118"/>
      <c r="F87" s="118"/>
      <c r="G87" s="120"/>
      <c r="H87" s="120"/>
      <c r="I87" s="120"/>
      <c r="J87" s="120"/>
      <c r="K87" s="120"/>
      <c r="L87" s="120"/>
      <c r="M87" s="120"/>
      <c r="N87" s="118"/>
      <c r="O87" s="118"/>
      <c r="P87" s="118"/>
      <c r="Q87" s="118"/>
      <c r="R87" s="118"/>
      <c r="S87" s="118"/>
      <c r="T87" s="118"/>
      <c r="U87" s="118"/>
      <c r="V87" s="118"/>
      <c r="W87" s="118"/>
      <c r="X87" s="118"/>
    </row>
    <row r="88" spans="1:32" ht="13.5">
      <c r="A88" s="120"/>
      <c r="B88" s="118"/>
      <c r="C88" s="118"/>
      <c r="D88" s="118"/>
      <c r="E88" s="118"/>
      <c r="F88" s="118"/>
      <c r="G88" s="120"/>
      <c r="H88" s="120"/>
      <c r="I88" s="120"/>
      <c r="J88" s="120"/>
      <c r="K88" s="120"/>
      <c r="L88" s="120"/>
      <c r="M88" s="120"/>
      <c r="N88" s="118"/>
      <c r="O88" s="118"/>
      <c r="P88" s="118"/>
      <c r="Q88" s="118"/>
      <c r="R88" s="118"/>
      <c r="S88" s="118"/>
      <c r="T88" s="118"/>
      <c r="U88" s="118"/>
      <c r="V88" s="118"/>
      <c r="W88" s="118"/>
      <c r="X88" s="118"/>
      <c r="Y88" s="128" t="s">
        <v>1024</v>
      </c>
      <c r="Z88" s="128" t="s">
        <v>1025</v>
      </c>
      <c r="AA88" s="128" t="s">
        <v>1026</v>
      </c>
      <c r="AB88" s="128" t="s">
        <v>1027</v>
      </c>
      <c r="AC88" s="128" t="s">
        <v>1028</v>
      </c>
      <c r="AD88" s="128" t="s">
        <v>1029</v>
      </c>
      <c r="AE88" s="128" t="s">
        <v>1030</v>
      </c>
      <c r="AF88" s="128" t="s">
        <v>1031</v>
      </c>
    </row>
    <row r="89" spans="1:32" ht="13.5">
      <c r="A89" s="120"/>
      <c r="B89" s="118"/>
      <c r="C89" s="118"/>
      <c r="D89" s="118"/>
      <c r="E89" s="118"/>
      <c r="F89" s="118"/>
      <c r="G89" s="120"/>
      <c r="H89" s="120"/>
      <c r="I89" s="120"/>
      <c r="J89" s="120"/>
      <c r="K89" s="120"/>
      <c r="L89" s="120"/>
      <c r="M89" s="120"/>
      <c r="N89" s="118"/>
      <c r="O89" s="118"/>
      <c r="P89" s="118"/>
      <c r="Q89" s="118"/>
      <c r="R89" s="118"/>
      <c r="S89" s="118"/>
      <c r="T89" s="118"/>
      <c r="U89" s="118"/>
      <c r="V89" s="118"/>
      <c r="W89" s="118"/>
      <c r="X89" s="118"/>
      <c r="Y89" s="129" t="s">
        <v>850</v>
      </c>
      <c r="Z89" s="130" t="s">
        <v>851</v>
      </c>
      <c r="AA89" s="130" t="s">
        <v>1032</v>
      </c>
      <c r="AB89" s="131">
        <v>1000000</v>
      </c>
      <c r="AC89" s="132">
        <v>0</v>
      </c>
      <c r="AD89" s="130" t="s">
        <v>1033</v>
      </c>
      <c r="AE89" s="132">
        <v>3504294</v>
      </c>
      <c r="AF89" s="130" t="s">
        <v>1034</v>
      </c>
    </row>
    <row r="90" spans="1:32" ht="13.5">
      <c r="A90" s="120"/>
      <c r="B90" s="118"/>
      <c r="C90" s="118"/>
      <c r="D90" s="118"/>
      <c r="E90" s="118"/>
      <c r="F90" s="118"/>
      <c r="G90" s="120"/>
      <c r="H90" s="120"/>
      <c r="I90" s="120"/>
      <c r="J90" s="120"/>
      <c r="K90" s="120"/>
      <c r="L90" s="120"/>
      <c r="M90" s="120"/>
      <c r="N90" s="118"/>
      <c r="O90" s="118"/>
      <c r="P90" s="118"/>
      <c r="Q90" s="118"/>
      <c r="R90" s="118"/>
      <c r="S90" s="118"/>
      <c r="T90" s="118"/>
      <c r="U90" s="118"/>
      <c r="V90" s="118"/>
      <c r="W90" s="118"/>
      <c r="X90" s="118"/>
      <c r="Y90" s="129" t="s">
        <v>852</v>
      </c>
      <c r="Z90" s="130" t="s">
        <v>853</v>
      </c>
      <c r="AA90" s="130" t="s">
        <v>1032</v>
      </c>
      <c r="AB90" s="131">
        <v>1000000</v>
      </c>
      <c r="AC90" s="132">
        <v>0</v>
      </c>
      <c r="AD90" s="130" t="s">
        <v>1033</v>
      </c>
      <c r="AE90" s="132">
        <v>1142252</v>
      </c>
      <c r="AF90" s="130" t="s">
        <v>1034</v>
      </c>
    </row>
    <row r="91" spans="1:32" ht="13.5">
      <c r="A91" s="120"/>
      <c r="B91" s="118"/>
      <c r="C91" s="118"/>
      <c r="D91" s="118"/>
      <c r="E91" s="118"/>
      <c r="F91" s="118"/>
      <c r="G91" s="120"/>
      <c r="H91" s="120"/>
      <c r="I91" s="120"/>
      <c r="J91" s="120"/>
      <c r="K91" s="120"/>
      <c r="L91" s="120"/>
      <c r="M91" s="120"/>
      <c r="N91" s="118"/>
      <c r="O91" s="118"/>
      <c r="P91" s="118"/>
      <c r="Q91" s="118"/>
      <c r="R91" s="118"/>
      <c r="S91" s="118"/>
      <c r="T91" s="118"/>
      <c r="U91" s="118"/>
      <c r="V91" s="118"/>
      <c r="W91" s="118"/>
      <c r="X91" s="118"/>
      <c r="Y91" s="129" t="s">
        <v>854</v>
      </c>
      <c r="Z91" s="130" t="s">
        <v>855</v>
      </c>
      <c r="AA91" s="130" t="s">
        <v>1032</v>
      </c>
      <c r="AB91" s="131">
        <v>1000000</v>
      </c>
      <c r="AC91" s="132">
        <v>0</v>
      </c>
      <c r="AD91" s="130" t="s">
        <v>1033</v>
      </c>
      <c r="AE91" s="132">
        <v>1539606</v>
      </c>
      <c r="AF91" s="130" t="s">
        <v>1034</v>
      </c>
    </row>
    <row r="92" spans="1:32" ht="13.5">
      <c r="A92" s="120"/>
      <c r="B92" s="118"/>
      <c r="C92" s="118"/>
      <c r="D92" s="118"/>
      <c r="E92" s="118"/>
      <c r="F92" s="118"/>
      <c r="G92" s="120"/>
      <c r="H92" s="120"/>
      <c r="I92" s="120"/>
      <c r="J92" s="120"/>
      <c r="K92" s="120"/>
      <c r="L92" s="120"/>
      <c r="M92" s="120"/>
      <c r="N92" s="118"/>
      <c r="O92" s="118"/>
      <c r="P92" s="118"/>
      <c r="Q92" s="118"/>
      <c r="R92" s="118"/>
      <c r="S92" s="118"/>
      <c r="T92" s="118"/>
      <c r="U92" s="118"/>
      <c r="V92" s="118"/>
      <c r="W92" s="118"/>
      <c r="X92" s="118"/>
      <c r="Y92" s="129" t="s">
        <v>856</v>
      </c>
      <c r="Z92" s="130" t="s">
        <v>857</v>
      </c>
      <c r="AA92" s="130" t="s">
        <v>1032</v>
      </c>
      <c r="AB92" s="131">
        <v>1000000</v>
      </c>
      <c r="AC92" s="132">
        <v>0</v>
      </c>
      <c r="AD92" s="130" t="s">
        <v>1033</v>
      </c>
      <c r="AE92" s="132">
        <v>1390334</v>
      </c>
      <c r="AF92" s="130" t="s">
        <v>1034</v>
      </c>
    </row>
    <row r="93" spans="1:32" ht="13.5">
      <c r="A93" s="120"/>
      <c r="B93" s="118"/>
      <c r="C93" s="118"/>
      <c r="D93" s="118"/>
      <c r="E93" s="118"/>
      <c r="F93" s="118"/>
      <c r="G93" s="120"/>
      <c r="H93" s="120"/>
      <c r="I93" s="120"/>
      <c r="J93" s="120"/>
      <c r="K93" s="120"/>
      <c r="L93" s="120"/>
      <c r="M93" s="120"/>
      <c r="N93" s="118"/>
      <c r="O93" s="118"/>
      <c r="P93" s="118"/>
      <c r="Q93" s="118"/>
      <c r="R93" s="118"/>
      <c r="S93" s="118"/>
      <c r="T93" s="118"/>
      <c r="U93" s="118"/>
      <c r="V93" s="118"/>
      <c r="W93" s="118"/>
      <c r="X93" s="118"/>
      <c r="Y93" s="129" t="s">
        <v>858</v>
      </c>
      <c r="Z93" s="130" t="s">
        <v>859</v>
      </c>
      <c r="AA93" s="130" t="s">
        <v>1032</v>
      </c>
      <c r="AB93" s="131">
        <v>1000000</v>
      </c>
      <c r="AC93" s="132">
        <v>0</v>
      </c>
      <c r="AD93" s="130" t="s">
        <v>1033</v>
      </c>
      <c r="AE93" s="132">
        <v>963560</v>
      </c>
      <c r="AF93" s="130" t="s">
        <v>1034</v>
      </c>
    </row>
    <row r="94" spans="1:32" ht="13.5">
      <c r="A94" s="120"/>
      <c r="B94" s="118"/>
      <c r="C94" s="118"/>
      <c r="D94" s="118"/>
      <c r="E94" s="118"/>
      <c r="F94" s="118"/>
      <c r="G94" s="120"/>
      <c r="H94" s="120"/>
      <c r="I94" s="120"/>
      <c r="J94" s="120"/>
      <c r="K94" s="120"/>
      <c r="L94" s="120"/>
      <c r="M94" s="120"/>
      <c r="N94" s="118"/>
      <c r="O94" s="118"/>
      <c r="P94" s="118"/>
      <c r="Q94" s="118"/>
      <c r="R94" s="118"/>
      <c r="S94" s="118"/>
      <c r="T94" s="118"/>
      <c r="U94" s="118"/>
      <c r="V94" s="118"/>
      <c r="W94" s="118"/>
      <c r="X94" s="118"/>
      <c r="Y94" s="129" t="s">
        <v>860</v>
      </c>
      <c r="Z94" s="130" t="s">
        <v>861</v>
      </c>
      <c r="AA94" s="130" t="s">
        <v>1032</v>
      </c>
      <c r="AB94" s="131">
        <v>1000000</v>
      </c>
      <c r="AC94" s="132">
        <v>0</v>
      </c>
      <c r="AD94" s="130" t="s">
        <v>1033</v>
      </c>
      <c r="AE94" s="132">
        <v>1465977</v>
      </c>
      <c r="AF94" s="130" t="s">
        <v>1034</v>
      </c>
    </row>
    <row r="95" spans="1:32" ht="13.5">
      <c r="A95" s="120"/>
      <c r="B95" s="118"/>
      <c r="C95" s="118"/>
      <c r="D95" s="118"/>
      <c r="E95" s="118"/>
      <c r="F95" s="118"/>
      <c r="G95" s="120"/>
      <c r="H95" s="120"/>
      <c r="I95" s="120"/>
      <c r="J95" s="120"/>
      <c r="K95" s="120"/>
      <c r="L95" s="120"/>
      <c r="M95" s="120"/>
      <c r="N95" s="118"/>
      <c r="O95" s="118"/>
      <c r="P95" s="118"/>
      <c r="Q95" s="118"/>
      <c r="R95" s="118"/>
      <c r="S95" s="118"/>
      <c r="T95" s="118"/>
      <c r="U95" s="118"/>
      <c r="V95" s="118"/>
      <c r="W95" s="118"/>
      <c r="X95" s="118"/>
      <c r="Y95" s="129" t="s">
        <v>862</v>
      </c>
      <c r="Z95" s="130" t="s">
        <v>863</v>
      </c>
      <c r="AA95" s="130" t="s">
        <v>1032</v>
      </c>
      <c r="AB95" s="131">
        <v>1000000</v>
      </c>
      <c r="AC95" s="132">
        <v>0</v>
      </c>
      <c r="AD95" s="130" t="s">
        <v>1033</v>
      </c>
      <c r="AE95" s="132">
        <v>2367785</v>
      </c>
      <c r="AF95" s="130" t="s">
        <v>1034</v>
      </c>
    </row>
    <row r="96" spans="1:32" ht="13.5">
      <c r="A96" s="120"/>
      <c r="B96" s="118"/>
      <c r="C96" s="118"/>
      <c r="D96" s="118"/>
      <c r="E96" s="118"/>
      <c r="F96" s="118"/>
      <c r="G96" s="120"/>
      <c r="H96" s="120"/>
      <c r="I96" s="120"/>
      <c r="J96" s="120"/>
      <c r="K96" s="120"/>
      <c r="L96" s="120"/>
      <c r="M96" s="120"/>
      <c r="N96" s="118"/>
      <c r="O96" s="118"/>
      <c r="P96" s="118"/>
      <c r="Q96" s="118"/>
      <c r="R96" s="118"/>
      <c r="S96" s="118"/>
      <c r="T96" s="118"/>
      <c r="U96" s="118"/>
      <c r="V96" s="118"/>
      <c r="W96" s="118"/>
      <c r="X96" s="118"/>
      <c r="Y96" s="129" t="s">
        <v>864</v>
      </c>
      <c r="Z96" s="130" t="s">
        <v>865</v>
      </c>
      <c r="AA96" s="130" t="s">
        <v>1032</v>
      </c>
      <c r="AB96" s="131">
        <v>1000000</v>
      </c>
      <c r="AC96" s="132">
        <v>0</v>
      </c>
      <c r="AD96" s="130" t="s">
        <v>1033</v>
      </c>
      <c r="AE96" s="132">
        <v>1995236</v>
      </c>
      <c r="AF96" s="130" t="s">
        <v>1034</v>
      </c>
    </row>
    <row r="97" spans="1:32" ht="13.5">
      <c r="A97" s="120"/>
      <c r="B97" s="118"/>
      <c r="C97" s="118"/>
      <c r="D97" s="118"/>
      <c r="E97" s="118"/>
      <c r="F97" s="118"/>
      <c r="G97" s="120"/>
      <c r="H97" s="120"/>
      <c r="I97" s="120"/>
      <c r="J97" s="120"/>
      <c r="K97" s="120"/>
      <c r="L97" s="120"/>
      <c r="M97" s="120"/>
      <c r="N97" s="118"/>
      <c r="O97" s="118"/>
      <c r="P97" s="118"/>
      <c r="Q97" s="118"/>
      <c r="R97" s="118"/>
      <c r="S97" s="118"/>
      <c r="T97" s="118"/>
      <c r="U97" s="118"/>
      <c r="V97" s="118"/>
      <c r="W97" s="118"/>
      <c r="X97" s="118"/>
      <c r="Y97" s="129" t="s">
        <v>866</v>
      </c>
      <c r="Z97" s="130" t="s">
        <v>867</v>
      </c>
      <c r="AA97" s="130" t="s">
        <v>1032</v>
      </c>
      <c r="AB97" s="131">
        <v>1000000</v>
      </c>
      <c r="AC97" s="132">
        <v>0</v>
      </c>
      <c r="AD97" s="130" t="s">
        <v>1033</v>
      </c>
      <c r="AE97" s="132">
        <v>1043246</v>
      </c>
      <c r="AF97" s="130" t="s">
        <v>1034</v>
      </c>
    </row>
    <row r="98" spans="1:32" ht="13.5">
      <c r="A98" s="120"/>
      <c r="B98" s="118"/>
      <c r="C98" s="118"/>
      <c r="D98" s="118"/>
      <c r="E98" s="118"/>
      <c r="F98" s="118"/>
      <c r="G98" s="120"/>
      <c r="H98" s="120"/>
      <c r="I98" s="120"/>
      <c r="J98" s="120"/>
      <c r="K98" s="120"/>
      <c r="L98" s="120"/>
      <c r="M98" s="120"/>
      <c r="N98" s="118"/>
      <c r="O98" s="118"/>
      <c r="P98" s="118"/>
      <c r="Q98" s="118"/>
      <c r="R98" s="118"/>
      <c r="S98" s="118"/>
      <c r="T98" s="118"/>
      <c r="U98" s="118"/>
      <c r="V98" s="118"/>
      <c r="W98" s="118"/>
      <c r="X98" s="118"/>
      <c r="Y98" s="129" t="s">
        <v>868</v>
      </c>
      <c r="Z98" s="130" t="s">
        <v>869</v>
      </c>
      <c r="AA98" s="130" t="s">
        <v>1032</v>
      </c>
      <c r="AB98" s="131">
        <v>1000000</v>
      </c>
      <c r="AC98" s="132">
        <v>0</v>
      </c>
      <c r="AD98" s="130" t="s">
        <v>1033</v>
      </c>
      <c r="AE98" s="132">
        <v>2697055</v>
      </c>
      <c r="AF98" s="130" t="s">
        <v>1034</v>
      </c>
    </row>
    <row r="99" spans="1:32" ht="13.5">
      <c r="A99" s="120"/>
      <c r="B99" s="118"/>
      <c r="C99" s="118"/>
      <c r="D99" s="118"/>
      <c r="E99" s="118"/>
      <c r="F99" s="118"/>
      <c r="G99" s="120"/>
      <c r="H99" s="120"/>
      <c r="I99" s="120"/>
      <c r="J99" s="120"/>
      <c r="K99" s="120"/>
      <c r="L99" s="120"/>
      <c r="M99" s="120"/>
      <c r="N99" s="118"/>
      <c r="O99" s="118"/>
      <c r="P99" s="118"/>
      <c r="Q99" s="118"/>
      <c r="R99" s="118"/>
      <c r="S99" s="118"/>
      <c r="T99" s="118"/>
      <c r="U99" s="118"/>
      <c r="V99" s="118"/>
      <c r="W99" s="118"/>
      <c r="X99" s="118"/>
      <c r="Y99" s="129" t="s">
        <v>870</v>
      </c>
      <c r="Z99" s="130" t="s">
        <v>871</v>
      </c>
      <c r="AA99" s="130" t="s">
        <v>1032</v>
      </c>
      <c r="AB99" s="131">
        <v>1000000</v>
      </c>
      <c r="AC99" s="132">
        <v>0</v>
      </c>
      <c r="AD99" s="130" t="s">
        <v>1033</v>
      </c>
      <c r="AE99" s="132">
        <v>1362896</v>
      </c>
      <c r="AF99" s="130" t="s">
        <v>1034</v>
      </c>
    </row>
    <row r="100" spans="1:32" ht="13.5">
      <c r="A100" s="120"/>
      <c r="B100" s="118"/>
      <c r="C100" s="118"/>
      <c r="D100" s="118"/>
      <c r="E100" s="118"/>
      <c r="F100" s="118"/>
      <c r="G100" s="120"/>
      <c r="H100" s="120"/>
      <c r="I100" s="120"/>
      <c r="J100" s="120"/>
      <c r="K100" s="120"/>
      <c r="L100" s="120"/>
      <c r="M100" s="120"/>
      <c r="N100" s="118"/>
      <c r="O100" s="118"/>
      <c r="P100" s="118"/>
      <c r="Q100" s="118"/>
      <c r="R100" s="118"/>
      <c r="S100" s="118"/>
      <c r="T100" s="118"/>
      <c r="U100" s="118"/>
      <c r="V100" s="118"/>
      <c r="W100" s="118"/>
      <c r="X100" s="118"/>
      <c r="Y100" s="129" t="s">
        <v>872</v>
      </c>
      <c r="Z100" s="130" t="s">
        <v>873</v>
      </c>
      <c r="AA100" s="130" t="s">
        <v>1032</v>
      </c>
      <c r="AB100" s="131">
        <v>1000000</v>
      </c>
      <c r="AC100" s="132">
        <v>0</v>
      </c>
      <c r="AD100" s="130" t="s">
        <v>1035</v>
      </c>
      <c r="AE100" s="132">
        <v>2207494</v>
      </c>
      <c r="AF100" s="130" t="s">
        <v>1034</v>
      </c>
    </row>
    <row r="101" spans="1:32" ht="13.5">
      <c r="A101" s="120"/>
      <c r="B101" s="118"/>
      <c r="C101" s="118"/>
      <c r="D101" s="118"/>
      <c r="E101" s="118"/>
      <c r="F101" s="118"/>
      <c r="G101" s="120"/>
      <c r="H101" s="120"/>
      <c r="I101" s="120"/>
      <c r="J101" s="120"/>
      <c r="K101" s="120"/>
      <c r="L101" s="120"/>
      <c r="M101" s="120"/>
      <c r="N101" s="118"/>
      <c r="O101" s="118"/>
      <c r="P101" s="118"/>
      <c r="Q101" s="118"/>
      <c r="R101" s="118"/>
      <c r="S101" s="118"/>
      <c r="T101" s="118"/>
      <c r="U101" s="118"/>
      <c r="V101" s="118"/>
      <c r="W101" s="118"/>
      <c r="X101" s="118"/>
      <c r="Y101" s="129" t="s">
        <v>874</v>
      </c>
      <c r="Z101" s="130" t="s">
        <v>875</v>
      </c>
      <c r="AA101" s="130" t="s">
        <v>1036</v>
      </c>
      <c r="AB101" s="133">
        <v>2000000</v>
      </c>
      <c r="AC101" s="132">
        <v>0</v>
      </c>
      <c r="AD101" s="130" t="s">
        <v>1037</v>
      </c>
      <c r="AE101" s="132">
        <v>1350073</v>
      </c>
      <c r="AF101" s="130" t="s">
        <v>1038</v>
      </c>
    </row>
    <row r="102" spans="1:32" ht="13.5">
      <c r="A102" s="120"/>
      <c r="B102" s="118"/>
      <c r="C102" s="118"/>
      <c r="D102" s="118"/>
      <c r="E102" s="118"/>
      <c r="F102" s="118"/>
      <c r="G102" s="120"/>
      <c r="H102" s="120"/>
      <c r="I102" s="120"/>
      <c r="J102" s="120"/>
      <c r="K102" s="120"/>
      <c r="L102" s="120"/>
      <c r="M102" s="120"/>
      <c r="N102" s="118"/>
      <c r="O102" s="118"/>
      <c r="P102" s="118"/>
      <c r="Q102" s="118"/>
      <c r="R102" s="118"/>
      <c r="S102" s="118"/>
      <c r="T102" s="118"/>
      <c r="U102" s="118"/>
      <c r="V102" s="118"/>
      <c r="W102" s="118"/>
      <c r="X102" s="118"/>
      <c r="Y102" s="129" t="s">
        <v>876</v>
      </c>
      <c r="Z102" s="130" t="s">
        <v>877</v>
      </c>
      <c r="AA102" s="130" t="s">
        <v>1039</v>
      </c>
      <c r="AB102" s="132">
        <v>0</v>
      </c>
      <c r="AC102" s="134">
        <v>1000000</v>
      </c>
      <c r="AD102" s="130" t="s">
        <v>1040</v>
      </c>
      <c r="AE102" s="132">
        <v>2270093</v>
      </c>
      <c r="AF102" s="130" t="s">
        <v>1041</v>
      </c>
    </row>
    <row r="103" spans="1:32" ht="13.5">
      <c r="A103" s="120"/>
      <c r="B103" s="118"/>
      <c r="C103" s="118"/>
      <c r="D103" s="118"/>
      <c r="E103" s="118"/>
      <c r="F103" s="118"/>
      <c r="G103" s="120"/>
      <c r="H103" s="120"/>
      <c r="I103" s="120"/>
      <c r="J103" s="120"/>
      <c r="K103" s="120"/>
      <c r="L103" s="120"/>
      <c r="M103" s="120"/>
      <c r="N103" s="118"/>
      <c r="O103" s="118"/>
      <c r="P103" s="118"/>
      <c r="Q103" s="118"/>
      <c r="R103" s="118"/>
      <c r="S103" s="118"/>
      <c r="T103" s="118"/>
      <c r="U103" s="118"/>
      <c r="V103" s="118"/>
      <c r="W103" s="118"/>
      <c r="X103" s="118"/>
      <c r="Y103" s="129" t="s">
        <v>878</v>
      </c>
      <c r="Z103" s="130" t="s">
        <v>879</v>
      </c>
      <c r="AA103" s="130" t="s">
        <v>1036</v>
      </c>
      <c r="AB103" s="133">
        <v>2000000</v>
      </c>
      <c r="AC103" s="132">
        <v>0</v>
      </c>
      <c r="AD103" s="130" t="s">
        <v>1037</v>
      </c>
      <c r="AE103" s="132">
        <v>1851761</v>
      </c>
      <c r="AF103" s="130" t="s">
        <v>1038</v>
      </c>
    </row>
    <row r="104" spans="1:32" ht="13.5">
      <c r="A104" s="120"/>
      <c r="B104" s="118"/>
      <c r="C104" s="118"/>
      <c r="D104" s="118"/>
      <c r="E104" s="118"/>
      <c r="F104" s="118"/>
      <c r="G104" s="120"/>
      <c r="H104" s="120"/>
      <c r="I104" s="120"/>
      <c r="J104" s="120"/>
      <c r="K104" s="120"/>
      <c r="L104" s="120"/>
      <c r="M104" s="120"/>
      <c r="N104" s="118"/>
      <c r="O104" s="118"/>
      <c r="P104" s="118"/>
      <c r="Q104" s="118"/>
      <c r="R104" s="118"/>
      <c r="S104" s="118"/>
      <c r="T104" s="118"/>
      <c r="U104" s="118"/>
      <c r="V104" s="118"/>
      <c r="W104" s="118"/>
      <c r="X104" s="118"/>
      <c r="Y104" s="129" t="s">
        <v>880</v>
      </c>
      <c r="Z104" s="130" t="s">
        <v>881</v>
      </c>
      <c r="AA104" s="130" t="s">
        <v>1042</v>
      </c>
      <c r="AB104" s="132">
        <v>0</v>
      </c>
      <c r="AC104" s="134">
        <v>1000000</v>
      </c>
      <c r="AD104" s="130" t="s">
        <v>1040</v>
      </c>
      <c r="AE104" s="132">
        <v>1380451</v>
      </c>
      <c r="AF104" s="130" t="s">
        <v>1041</v>
      </c>
    </row>
    <row r="105" spans="1:32" ht="13.5">
      <c r="R105" s="118"/>
      <c r="S105" s="118"/>
      <c r="T105" s="118"/>
      <c r="U105" s="118"/>
      <c r="V105" s="118"/>
      <c r="W105" s="118"/>
      <c r="X105" s="118"/>
      <c r="Y105" s="129" t="s">
        <v>882</v>
      </c>
      <c r="Z105" s="130" t="s">
        <v>883</v>
      </c>
      <c r="AA105" s="130" t="s">
        <v>1036</v>
      </c>
      <c r="AB105" s="133">
        <v>2000000</v>
      </c>
      <c r="AC105" s="132">
        <v>0</v>
      </c>
      <c r="AD105" s="130" t="s">
        <v>1037</v>
      </c>
      <c r="AE105" s="132">
        <v>3526409</v>
      </c>
      <c r="AF105" s="130" t="s">
        <v>1043</v>
      </c>
    </row>
    <row r="106" spans="1:32" ht="13.5">
      <c r="Y106" s="129" t="s">
        <v>884</v>
      </c>
      <c r="Z106" s="130" t="s">
        <v>885</v>
      </c>
      <c r="AA106" s="130" t="s">
        <v>1042</v>
      </c>
      <c r="AB106" s="132">
        <v>0</v>
      </c>
      <c r="AC106" s="134">
        <v>1000000</v>
      </c>
      <c r="AD106" s="130" t="s">
        <v>1040</v>
      </c>
      <c r="AE106" s="132">
        <v>1204954</v>
      </c>
      <c r="AF106" s="130" t="s">
        <v>1041</v>
      </c>
    </row>
    <row r="107" spans="1:32" ht="13.5">
      <c r="Y107" s="129" t="s">
        <v>886</v>
      </c>
      <c r="Z107" s="130" t="s">
        <v>887</v>
      </c>
      <c r="AA107" s="130" t="s">
        <v>1036</v>
      </c>
      <c r="AB107" s="133">
        <v>2000000</v>
      </c>
      <c r="AC107" s="132">
        <v>0</v>
      </c>
      <c r="AD107" s="130" t="s">
        <v>1037</v>
      </c>
      <c r="AE107" s="132">
        <v>1690797</v>
      </c>
      <c r="AF107" s="130" t="s">
        <v>1043</v>
      </c>
    </row>
    <row r="108" spans="1:32" ht="13.5">
      <c r="Y108" s="129" t="s">
        <v>888</v>
      </c>
      <c r="Z108" s="130" t="s">
        <v>889</v>
      </c>
      <c r="AA108" s="130" t="s">
        <v>1042</v>
      </c>
      <c r="AB108" s="132">
        <v>0</v>
      </c>
      <c r="AC108" s="134">
        <v>1000000</v>
      </c>
      <c r="AD108" s="130" t="s">
        <v>1040</v>
      </c>
      <c r="AE108" s="132">
        <v>1253315</v>
      </c>
      <c r="AF108" s="130" t="s">
        <v>1041</v>
      </c>
    </row>
    <row r="109" spans="1:32" ht="13.5">
      <c r="Y109" s="129" t="s">
        <v>890</v>
      </c>
      <c r="Z109" s="130" t="s">
        <v>891</v>
      </c>
      <c r="AA109" s="130" t="s">
        <v>1036</v>
      </c>
      <c r="AB109" s="133">
        <v>2000000</v>
      </c>
      <c r="AC109" s="132">
        <v>0</v>
      </c>
      <c r="AD109" s="130" t="s">
        <v>1037</v>
      </c>
      <c r="AE109" s="132">
        <v>1119777</v>
      </c>
      <c r="AF109" s="130" t="s">
        <v>1043</v>
      </c>
    </row>
    <row r="110" spans="1:32" ht="13.5">
      <c r="Y110" s="129" t="s">
        <v>892</v>
      </c>
      <c r="Z110" s="130" t="s">
        <v>893</v>
      </c>
      <c r="AA110" s="130" t="s">
        <v>1042</v>
      </c>
      <c r="AB110" s="132">
        <v>0</v>
      </c>
      <c r="AC110" s="134">
        <v>1000000</v>
      </c>
      <c r="AD110" s="130" t="s">
        <v>1040</v>
      </c>
      <c r="AE110" s="132">
        <v>1330457</v>
      </c>
      <c r="AF110" s="130" t="s">
        <v>1041</v>
      </c>
    </row>
    <row r="111" spans="1:32" ht="13.5">
      <c r="Y111" s="129" t="s">
        <v>894</v>
      </c>
      <c r="Z111" s="130" t="s">
        <v>895</v>
      </c>
      <c r="AA111" s="130" t="s">
        <v>1036</v>
      </c>
      <c r="AB111" s="133">
        <v>2000000</v>
      </c>
      <c r="AC111" s="132">
        <v>0</v>
      </c>
      <c r="AD111" s="130" t="s">
        <v>1037</v>
      </c>
      <c r="AE111" s="132">
        <v>832590</v>
      </c>
      <c r="AF111" s="130" t="s">
        <v>1043</v>
      </c>
    </row>
    <row r="112" spans="1:32" ht="13.5">
      <c r="Y112" s="129" t="s">
        <v>896</v>
      </c>
      <c r="Z112" s="130" t="s">
        <v>897</v>
      </c>
      <c r="AA112" s="130" t="s">
        <v>1042</v>
      </c>
      <c r="AB112" s="132">
        <v>0</v>
      </c>
      <c r="AC112" s="134">
        <v>1000000</v>
      </c>
      <c r="AD112" s="130" t="s">
        <v>1040</v>
      </c>
      <c r="AE112" s="132">
        <v>1423250</v>
      </c>
      <c r="AF112" s="130" t="s">
        <v>1041</v>
      </c>
    </row>
    <row r="113" spans="25:32" ht="13.5">
      <c r="Y113" s="129" t="s">
        <v>898</v>
      </c>
      <c r="Z113" s="130" t="s">
        <v>899</v>
      </c>
      <c r="AA113" s="130" t="s">
        <v>1036</v>
      </c>
      <c r="AB113" s="133">
        <v>2000000</v>
      </c>
      <c r="AC113" s="132">
        <v>0</v>
      </c>
      <c r="AD113" s="130" t="s">
        <v>1037</v>
      </c>
      <c r="AE113" s="132">
        <v>2918104</v>
      </c>
      <c r="AF113" s="130" t="s">
        <v>1043</v>
      </c>
    </row>
    <row r="114" spans="25:32" ht="13.5">
      <c r="Y114" s="129" t="s">
        <v>900</v>
      </c>
      <c r="Z114" s="130" t="s">
        <v>901</v>
      </c>
      <c r="AA114" s="130" t="s">
        <v>1042</v>
      </c>
      <c r="AB114" s="132">
        <v>0</v>
      </c>
      <c r="AC114" s="134">
        <v>1000000</v>
      </c>
      <c r="AD114" s="130" t="s">
        <v>1040</v>
      </c>
      <c r="AE114" s="132">
        <v>1745116</v>
      </c>
      <c r="AF114" s="130" t="s">
        <v>1041</v>
      </c>
    </row>
    <row r="115" spans="25:32" ht="13.5">
      <c r="Y115" s="129" t="s">
        <v>902</v>
      </c>
      <c r="Z115" s="130" t="s">
        <v>903</v>
      </c>
      <c r="AA115" s="130" t="s">
        <v>1036</v>
      </c>
      <c r="AB115" s="133">
        <v>2000000</v>
      </c>
      <c r="AC115" s="132">
        <v>0</v>
      </c>
      <c r="AD115" s="130" t="s">
        <v>1037</v>
      </c>
      <c r="AE115" s="132">
        <v>1362196</v>
      </c>
      <c r="AF115" s="130" t="s">
        <v>1043</v>
      </c>
    </row>
    <row r="116" spans="25:32" ht="13.5">
      <c r="Y116" s="129" t="s">
        <v>904</v>
      </c>
      <c r="Z116" s="130" t="s">
        <v>905</v>
      </c>
      <c r="AA116" s="130" t="s">
        <v>1042</v>
      </c>
      <c r="AB116" s="132">
        <v>0</v>
      </c>
      <c r="AC116" s="134">
        <v>1000000</v>
      </c>
      <c r="AD116" s="130" t="s">
        <v>1040</v>
      </c>
      <c r="AE116" s="132">
        <v>3271892</v>
      </c>
      <c r="AF116" s="130" t="s">
        <v>1041</v>
      </c>
    </row>
    <row r="117" spans="25:32" ht="13.5">
      <c r="Y117" s="129" t="s">
        <v>906</v>
      </c>
      <c r="Z117" s="130" t="s">
        <v>907</v>
      </c>
      <c r="AA117" s="130" t="s">
        <v>1036</v>
      </c>
      <c r="AB117" s="133">
        <v>2000000</v>
      </c>
      <c r="AC117" s="132">
        <v>0</v>
      </c>
      <c r="AD117" s="130" t="s">
        <v>1037</v>
      </c>
      <c r="AE117" s="132">
        <v>1035580</v>
      </c>
      <c r="AF117" s="130" t="s">
        <v>1043</v>
      </c>
    </row>
    <row r="118" spans="25:32" ht="13.5">
      <c r="Y118" s="129" t="s">
        <v>908</v>
      </c>
      <c r="Z118" s="130" t="s">
        <v>909</v>
      </c>
      <c r="AA118" s="130" t="s">
        <v>1042</v>
      </c>
      <c r="AB118" s="132">
        <v>0</v>
      </c>
      <c r="AC118" s="134">
        <v>1000000</v>
      </c>
      <c r="AD118" s="130" t="s">
        <v>1040</v>
      </c>
      <c r="AE118" s="132">
        <v>1015431</v>
      </c>
      <c r="AF118" s="130" t="s">
        <v>1041</v>
      </c>
    </row>
    <row r="119" spans="25:32" ht="13.5">
      <c r="Y119" s="129" t="s">
        <v>910</v>
      </c>
      <c r="Z119" s="130" t="s">
        <v>911</v>
      </c>
      <c r="AA119" s="130" t="s">
        <v>1036</v>
      </c>
      <c r="AB119" s="133">
        <v>2000000</v>
      </c>
      <c r="AC119" s="132">
        <v>0</v>
      </c>
      <c r="AD119" s="130" t="s">
        <v>1037</v>
      </c>
      <c r="AE119" s="132">
        <v>1772084</v>
      </c>
      <c r="AF119" s="130" t="s">
        <v>1043</v>
      </c>
    </row>
    <row r="120" spans="25:32" ht="13.5">
      <c r="Y120" s="129" t="s">
        <v>912</v>
      </c>
      <c r="Z120" s="130" t="s">
        <v>913</v>
      </c>
      <c r="AA120" s="130" t="s">
        <v>1042</v>
      </c>
      <c r="AB120" s="132">
        <v>0</v>
      </c>
      <c r="AC120" s="134">
        <v>1000000</v>
      </c>
      <c r="AD120" s="130" t="s">
        <v>1040</v>
      </c>
      <c r="AE120" s="132">
        <v>1108440</v>
      </c>
      <c r="AF120" s="130" t="s">
        <v>1041</v>
      </c>
    </row>
    <row r="121" spans="25:32" ht="13.5">
      <c r="Y121" s="129" t="s">
        <v>914</v>
      </c>
      <c r="Z121" s="130" t="s">
        <v>915</v>
      </c>
      <c r="AA121" s="130" t="s">
        <v>1036</v>
      </c>
      <c r="AB121" s="133">
        <v>2000000</v>
      </c>
      <c r="AC121" s="132">
        <v>0</v>
      </c>
      <c r="AD121" s="130" t="s">
        <v>1037</v>
      </c>
      <c r="AE121" s="132">
        <v>2787552</v>
      </c>
      <c r="AF121" s="130" t="s">
        <v>1043</v>
      </c>
    </row>
    <row r="122" spans="25:32" ht="13.5">
      <c r="Y122" s="129" t="s">
        <v>916</v>
      </c>
      <c r="Z122" s="130" t="s">
        <v>917</v>
      </c>
      <c r="AA122" s="130" t="s">
        <v>1042</v>
      </c>
      <c r="AB122" s="132">
        <v>0</v>
      </c>
      <c r="AC122" s="134">
        <v>1000000</v>
      </c>
      <c r="AD122" s="130" t="s">
        <v>1040</v>
      </c>
      <c r="AE122" s="132">
        <v>1005647</v>
      </c>
      <c r="AF122" s="130" t="s">
        <v>1041</v>
      </c>
    </row>
    <row r="123" spans="25:32" ht="13.5">
      <c r="Y123" s="129" t="s">
        <v>918</v>
      </c>
      <c r="Z123" s="130" t="s">
        <v>919</v>
      </c>
      <c r="AA123" s="130" t="s">
        <v>1036</v>
      </c>
      <c r="AB123" s="133">
        <v>2000000</v>
      </c>
      <c r="AC123" s="132">
        <v>0</v>
      </c>
      <c r="AD123" s="130" t="s">
        <v>1037</v>
      </c>
      <c r="AE123" s="132">
        <v>1600699</v>
      </c>
      <c r="AF123" s="130" t="s">
        <v>1043</v>
      </c>
    </row>
    <row r="124" spans="25:32" ht="13.5">
      <c r="Y124" s="129" t="s">
        <v>920</v>
      </c>
      <c r="Z124" s="130" t="s">
        <v>921</v>
      </c>
      <c r="AA124" s="130" t="s">
        <v>1042</v>
      </c>
      <c r="AB124" s="132">
        <v>0</v>
      </c>
      <c r="AC124" s="134">
        <v>1000000</v>
      </c>
      <c r="AD124" s="130" t="s">
        <v>1040</v>
      </c>
      <c r="AE124" s="132">
        <v>1464188</v>
      </c>
      <c r="AF124" s="130" t="s">
        <v>1041</v>
      </c>
    </row>
    <row r="125" spans="25:32" ht="13.5">
      <c r="Y125" s="129" t="s">
        <v>922</v>
      </c>
      <c r="Z125" s="130" t="s">
        <v>923</v>
      </c>
      <c r="AA125" s="130" t="s">
        <v>1036</v>
      </c>
      <c r="AB125" s="133">
        <v>2000000</v>
      </c>
      <c r="AC125" s="132">
        <v>0</v>
      </c>
      <c r="AD125" s="130" t="s">
        <v>1037</v>
      </c>
      <c r="AE125" s="132">
        <v>1108426</v>
      </c>
      <c r="AF125" s="130" t="s">
        <v>1043</v>
      </c>
    </row>
    <row r="126" spans="25:32" ht="13.5">
      <c r="Y126" s="129" t="s">
        <v>924</v>
      </c>
      <c r="Z126" s="130" t="s">
        <v>925</v>
      </c>
      <c r="AA126" s="130" t="s">
        <v>1042</v>
      </c>
      <c r="AB126" s="132">
        <v>0</v>
      </c>
      <c r="AC126" s="134">
        <v>1000000</v>
      </c>
      <c r="AD126" s="130" t="s">
        <v>1040</v>
      </c>
      <c r="AE126" s="132">
        <v>1048439</v>
      </c>
      <c r="AF126" s="130" t="s">
        <v>1041</v>
      </c>
    </row>
    <row r="127" spans="25:32" ht="13.5">
      <c r="Y127" s="129" t="s">
        <v>926</v>
      </c>
      <c r="Z127" s="130" t="s">
        <v>927</v>
      </c>
      <c r="AA127" s="130" t="s">
        <v>1036</v>
      </c>
      <c r="AB127" s="133">
        <v>2000000</v>
      </c>
      <c r="AC127" s="132">
        <v>0</v>
      </c>
      <c r="AD127" s="130" t="s">
        <v>1037</v>
      </c>
      <c r="AE127" s="132">
        <v>792983</v>
      </c>
      <c r="AF127" s="130" t="s">
        <v>1043</v>
      </c>
    </row>
    <row r="128" spans="25:32" ht="13.5">
      <c r="Y128" s="129" t="s">
        <v>928</v>
      </c>
      <c r="Z128" s="130" t="s">
        <v>929</v>
      </c>
      <c r="AA128" s="130" t="s">
        <v>1042</v>
      </c>
      <c r="AB128" s="132">
        <v>0</v>
      </c>
      <c r="AC128" s="134">
        <v>1000000</v>
      </c>
      <c r="AD128" s="130" t="s">
        <v>1040</v>
      </c>
      <c r="AE128" s="132">
        <v>1177019</v>
      </c>
      <c r="AF128" s="130" t="s">
        <v>1041</v>
      </c>
    </row>
    <row r="129" spans="25:32" ht="13.5">
      <c r="Y129" s="129" t="s">
        <v>930</v>
      </c>
      <c r="Z129" s="130" t="s">
        <v>931</v>
      </c>
      <c r="AA129" s="130" t="s">
        <v>1036</v>
      </c>
      <c r="AB129" s="133">
        <v>2000000</v>
      </c>
      <c r="AC129" s="132">
        <v>0</v>
      </c>
      <c r="AD129" s="130" t="s">
        <v>1037</v>
      </c>
      <c r="AE129" s="132">
        <v>1289348</v>
      </c>
      <c r="AF129" s="130" t="s">
        <v>1043</v>
      </c>
    </row>
    <row r="130" spans="25:32" ht="13.5">
      <c r="Y130" s="129" t="s">
        <v>932</v>
      </c>
      <c r="Z130" s="130" t="s">
        <v>933</v>
      </c>
      <c r="AA130" s="130" t="s">
        <v>1042</v>
      </c>
      <c r="AB130" s="132">
        <v>0</v>
      </c>
      <c r="AC130" s="134">
        <v>1000000</v>
      </c>
      <c r="AD130" s="130" t="s">
        <v>1040</v>
      </c>
      <c r="AE130" s="132">
        <v>1526128</v>
      </c>
      <c r="AF130" s="130" t="s">
        <v>1041</v>
      </c>
    </row>
    <row r="131" spans="25:32" ht="13.5">
      <c r="Y131" s="129" t="s">
        <v>934</v>
      </c>
      <c r="Z131" s="130" t="s">
        <v>935</v>
      </c>
      <c r="AA131" s="130" t="s">
        <v>1036</v>
      </c>
      <c r="AB131" s="133">
        <v>2000000</v>
      </c>
      <c r="AC131" s="132">
        <v>0</v>
      </c>
      <c r="AD131" s="130" t="s">
        <v>1037</v>
      </c>
      <c r="AE131" s="132">
        <v>1774358</v>
      </c>
      <c r="AF131" s="130" t="s">
        <v>1043</v>
      </c>
    </row>
    <row r="132" spans="25:32" ht="13.5">
      <c r="Y132" s="129" t="s">
        <v>936</v>
      </c>
      <c r="Z132" s="130" t="s">
        <v>937</v>
      </c>
      <c r="AA132" s="130" t="s">
        <v>1042</v>
      </c>
      <c r="AB132" s="132">
        <v>0</v>
      </c>
      <c r="AC132" s="134">
        <v>1000000</v>
      </c>
      <c r="AD132" s="130" t="s">
        <v>1040</v>
      </c>
      <c r="AE132" s="132">
        <v>1073402</v>
      </c>
      <c r="AF132" s="130" t="s">
        <v>1041</v>
      </c>
    </row>
    <row r="133" spans="25:32" ht="13.5">
      <c r="Y133" s="129" t="s">
        <v>938</v>
      </c>
      <c r="Z133" s="130" t="s">
        <v>939</v>
      </c>
      <c r="AA133" s="130" t="s">
        <v>1036</v>
      </c>
      <c r="AB133" s="133">
        <v>2000000</v>
      </c>
      <c r="AC133" s="132">
        <v>0</v>
      </c>
      <c r="AD133" s="130" t="s">
        <v>1037</v>
      </c>
      <c r="AE133" s="132">
        <v>356192</v>
      </c>
      <c r="AF133" s="130" t="s">
        <v>1043</v>
      </c>
    </row>
    <row r="134" spans="25:32" ht="13.5">
      <c r="Y134" s="129" t="s">
        <v>940</v>
      </c>
      <c r="Z134" s="130" t="s">
        <v>941</v>
      </c>
      <c r="AA134" s="130" t="s">
        <v>1042</v>
      </c>
      <c r="AB134" s="132">
        <v>0</v>
      </c>
      <c r="AC134" s="134">
        <v>1000000</v>
      </c>
      <c r="AD134" s="130" t="s">
        <v>1040</v>
      </c>
      <c r="AE134" s="132">
        <v>1031500</v>
      </c>
      <c r="AF134" s="130" t="s">
        <v>1041</v>
      </c>
    </row>
    <row r="135" spans="25:32" ht="13.5">
      <c r="Y135" s="129" t="s">
        <v>942</v>
      </c>
      <c r="Z135" s="130" t="s">
        <v>943</v>
      </c>
      <c r="AA135" s="130" t="s">
        <v>1036</v>
      </c>
      <c r="AB135" s="133">
        <v>2000000</v>
      </c>
      <c r="AC135" s="132">
        <v>0</v>
      </c>
      <c r="AD135" s="130" t="s">
        <v>1037</v>
      </c>
      <c r="AE135" s="132">
        <v>971459</v>
      </c>
      <c r="AF135" s="130" t="s">
        <v>1043</v>
      </c>
    </row>
    <row r="136" spans="25:32" ht="13.5">
      <c r="Y136" s="129" t="s">
        <v>944</v>
      </c>
      <c r="Z136" s="130" t="s">
        <v>945</v>
      </c>
      <c r="AA136" s="130" t="s">
        <v>1042</v>
      </c>
      <c r="AB136" s="132">
        <v>0</v>
      </c>
      <c r="AC136" s="134">
        <v>1000000</v>
      </c>
      <c r="AD136" s="130" t="s">
        <v>1040</v>
      </c>
      <c r="AE136" s="132">
        <v>1119520</v>
      </c>
      <c r="AF136" s="130" t="s">
        <v>1041</v>
      </c>
    </row>
    <row r="137" spans="25:32" ht="13.5">
      <c r="Y137" s="129" t="s">
        <v>946</v>
      </c>
      <c r="Z137" s="130" t="s">
        <v>947</v>
      </c>
      <c r="AA137" s="130" t="s">
        <v>1036</v>
      </c>
      <c r="AB137" s="133">
        <v>2000000</v>
      </c>
      <c r="AC137" s="132">
        <v>0</v>
      </c>
      <c r="AD137" s="130" t="s">
        <v>1037</v>
      </c>
      <c r="AE137" s="132">
        <v>564840</v>
      </c>
      <c r="AF137" s="130" t="s">
        <v>1043</v>
      </c>
    </row>
    <row r="138" spans="25:32" ht="13.5">
      <c r="Y138" s="129" t="s">
        <v>948</v>
      </c>
      <c r="Z138" s="130" t="s">
        <v>949</v>
      </c>
      <c r="AA138" s="130" t="s">
        <v>1042</v>
      </c>
      <c r="AB138" s="132">
        <v>0</v>
      </c>
      <c r="AC138" s="134">
        <v>1000000</v>
      </c>
      <c r="AD138" s="130" t="s">
        <v>1040</v>
      </c>
      <c r="AE138" s="132">
        <v>1179705</v>
      </c>
      <c r="AF138" s="130" t="s">
        <v>1041</v>
      </c>
    </row>
    <row r="139" spans="25:32" ht="13.5">
      <c r="Y139" s="129" t="s">
        <v>950</v>
      </c>
      <c r="Z139" s="130" t="s">
        <v>951</v>
      </c>
      <c r="AA139" s="130" t="s">
        <v>1036</v>
      </c>
      <c r="AB139" s="133">
        <v>2000000</v>
      </c>
      <c r="AC139" s="132">
        <v>0</v>
      </c>
      <c r="AD139" s="130" t="s">
        <v>1037</v>
      </c>
      <c r="AE139" s="132">
        <v>2970835</v>
      </c>
      <c r="AF139" s="130" t="s">
        <v>1043</v>
      </c>
    </row>
    <row r="140" spans="25:32" ht="13.5">
      <c r="Y140" s="129" t="s">
        <v>952</v>
      </c>
      <c r="Z140" s="130" t="s">
        <v>953</v>
      </c>
      <c r="AA140" s="130" t="s">
        <v>1042</v>
      </c>
      <c r="AB140" s="132">
        <v>0</v>
      </c>
      <c r="AC140" s="134">
        <v>1000000</v>
      </c>
      <c r="AD140" s="130" t="s">
        <v>1040</v>
      </c>
      <c r="AE140" s="132">
        <v>4325216</v>
      </c>
      <c r="AF140" s="130" t="s">
        <v>1041</v>
      </c>
    </row>
    <row r="141" spans="25:32" ht="13.5">
      <c r="Y141" s="129" t="s">
        <v>954</v>
      </c>
      <c r="Z141" s="130" t="s">
        <v>955</v>
      </c>
      <c r="AA141" s="130" t="s">
        <v>1036</v>
      </c>
      <c r="AB141" s="133">
        <v>2000000</v>
      </c>
      <c r="AC141" s="132">
        <v>0</v>
      </c>
      <c r="AD141" s="130" t="s">
        <v>1037</v>
      </c>
      <c r="AE141" s="132">
        <v>712087</v>
      </c>
      <c r="AF141" s="130" t="s">
        <v>1043</v>
      </c>
    </row>
    <row r="142" spans="25:32" ht="13.5">
      <c r="Y142" s="129" t="s">
        <v>956</v>
      </c>
      <c r="Z142" s="130" t="s">
        <v>957</v>
      </c>
      <c r="AA142" s="130" t="s">
        <v>1042</v>
      </c>
      <c r="AB142" s="132">
        <v>0</v>
      </c>
      <c r="AC142" s="134">
        <v>1000000</v>
      </c>
      <c r="AD142" s="130" t="s">
        <v>1040</v>
      </c>
      <c r="AE142" s="132">
        <v>1192866</v>
      </c>
      <c r="AF142" s="130" t="s">
        <v>1041</v>
      </c>
    </row>
    <row r="143" spans="25:32" ht="13.5">
      <c r="Y143" s="129" t="s">
        <v>958</v>
      </c>
      <c r="Z143" s="130" t="s">
        <v>959</v>
      </c>
      <c r="AA143" s="130" t="s">
        <v>1036</v>
      </c>
      <c r="AB143" s="133">
        <v>2000000</v>
      </c>
      <c r="AC143" s="132">
        <v>0</v>
      </c>
      <c r="AD143" s="130" t="s">
        <v>1037</v>
      </c>
      <c r="AE143" s="132">
        <v>2522096</v>
      </c>
      <c r="AF143" s="130" t="s">
        <v>1043</v>
      </c>
    </row>
    <row r="144" spans="25:32" ht="13.5">
      <c r="Y144" s="129" t="s">
        <v>960</v>
      </c>
      <c r="Z144" s="130" t="s">
        <v>961</v>
      </c>
      <c r="AA144" s="130" t="s">
        <v>1042</v>
      </c>
      <c r="AB144" s="132">
        <v>0</v>
      </c>
      <c r="AC144" s="134">
        <v>1000000</v>
      </c>
      <c r="AD144" s="130" t="s">
        <v>1040</v>
      </c>
      <c r="AE144" s="132">
        <v>3055463</v>
      </c>
      <c r="AF144" s="130" t="s">
        <v>1041</v>
      </c>
    </row>
    <row r="145" spans="25:32" ht="13.5">
      <c r="Y145" s="129" t="s">
        <v>962</v>
      </c>
      <c r="Z145" s="130" t="s">
        <v>963</v>
      </c>
      <c r="AA145" s="130" t="s">
        <v>1036</v>
      </c>
      <c r="AB145" s="133">
        <v>2000000</v>
      </c>
      <c r="AC145" s="132">
        <v>0</v>
      </c>
      <c r="AD145" s="130" t="s">
        <v>1037</v>
      </c>
      <c r="AE145" s="132">
        <v>3290275</v>
      </c>
      <c r="AF145" s="130" t="s">
        <v>1043</v>
      </c>
    </row>
    <row r="146" spans="25:32" ht="13.5">
      <c r="Y146" s="129" t="s">
        <v>964</v>
      </c>
      <c r="Z146" s="130" t="s">
        <v>965</v>
      </c>
      <c r="AA146" s="130" t="s">
        <v>1042</v>
      </c>
      <c r="AB146" s="132">
        <v>0</v>
      </c>
      <c r="AC146" s="134">
        <v>1000000</v>
      </c>
      <c r="AD146" s="130" t="s">
        <v>1040</v>
      </c>
      <c r="AE146" s="132">
        <v>2221746</v>
      </c>
      <c r="AF146" s="130" t="s">
        <v>1041</v>
      </c>
    </row>
    <row r="147" spans="25:32" ht="13.5">
      <c r="Y147" s="129" t="s">
        <v>966</v>
      </c>
      <c r="Z147" s="130" t="s">
        <v>967</v>
      </c>
      <c r="AA147" s="130" t="s">
        <v>1036</v>
      </c>
      <c r="AB147" s="133">
        <v>2000000</v>
      </c>
      <c r="AC147" s="132">
        <v>0</v>
      </c>
      <c r="AD147" s="130" t="s">
        <v>1037</v>
      </c>
      <c r="AE147" s="132">
        <v>3929406</v>
      </c>
      <c r="AF147" s="130" t="s">
        <v>1043</v>
      </c>
    </row>
    <row r="148" spans="25:32" ht="13.5">
      <c r="Y148" s="129" t="s">
        <v>968</v>
      </c>
      <c r="Z148" s="130" t="s">
        <v>969</v>
      </c>
      <c r="AA148" s="130" t="s">
        <v>1042</v>
      </c>
      <c r="AB148" s="132">
        <v>0</v>
      </c>
      <c r="AC148" s="134">
        <v>1000000</v>
      </c>
      <c r="AD148" s="130" t="s">
        <v>1040</v>
      </c>
      <c r="AE148" s="132">
        <v>4291143</v>
      </c>
      <c r="AF148" s="130" t="s">
        <v>1041</v>
      </c>
    </row>
    <row r="149" spans="25:32" ht="13.5">
      <c r="Y149" s="129" t="s">
        <v>970</v>
      </c>
      <c r="Z149" s="130" t="s">
        <v>971</v>
      </c>
      <c r="AA149" s="130" t="s">
        <v>1036</v>
      </c>
      <c r="AB149" s="133">
        <v>2000000</v>
      </c>
      <c r="AC149" s="132">
        <v>0</v>
      </c>
      <c r="AD149" s="130" t="s">
        <v>1037</v>
      </c>
      <c r="AE149" s="132">
        <v>1588067</v>
      </c>
      <c r="AF149" s="130" t="s">
        <v>1043</v>
      </c>
    </row>
    <row r="150" spans="25:32" ht="13.5">
      <c r="Y150" s="129" t="s">
        <v>972</v>
      </c>
      <c r="Z150" s="130" t="s">
        <v>973</v>
      </c>
      <c r="AA150" s="130" t="s">
        <v>1042</v>
      </c>
      <c r="AB150" s="132">
        <v>0</v>
      </c>
      <c r="AC150" s="134">
        <v>1000000</v>
      </c>
      <c r="AD150" s="130" t="s">
        <v>1040</v>
      </c>
      <c r="AE150" s="132">
        <v>1262560</v>
      </c>
      <c r="AF150" s="130" t="s">
        <v>1041</v>
      </c>
    </row>
    <row r="151" spans="25:32" ht="13.5">
      <c r="Y151" s="129" t="s">
        <v>974</v>
      </c>
      <c r="Z151" s="130" t="s">
        <v>975</v>
      </c>
      <c r="AA151" s="130" t="s">
        <v>1036</v>
      </c>
      <c r="AB151" s="133">
        <v>2000000</v>
      </c>
      <c r="AC151" s="132">
        <v>0</v>
      </c>
      <c r="AD151" s="130" t="s">
        <v>1037</v>
      </c>
      <c r="AE151" s="132">
        <v>1335290</v>
      </c>
      <c r="AF151" s="130" t="s">
        <v>1043</v>
      </c>
    </row>
    <row r="152" spans="25:32" ht="13.5">
      <c r="Y152" s="129" t="s">
        <v>976</v>
      </c>
      <c r="Z152" s="130" t="s">
        <v>977</v>
      </c>
      <c r="AA152" s="130" t="s">
        <v>1042</v>
      </c>
      <c r="AB152" s="132">
        <v>0</v>
      </c>
      <c r="AC152" s="134">
        <v>1000000</v>
      </c>
      <c r="AD152" s="130" t="s">
        <v>1040</v>
      </c>
      <c r="AE152" s="132">
        <v>1204146</v>
      </c>
      <c r="AF152" s="130" t="s">
        <v>1041</v>
      </c>
    </row>
    <row r="153" spans="25:32" ht="13.5">
      <c r="Y153" s="129" t="s">
        <v>978</v>
      </c>
      <c r="Z153" s="130" t="s">
        <v>979</v>
      </c>
      <c r="AA153" s="130" t="s">
        <v>1036</v>
      </c>
      <c r="AB153" s="133">
        <v>2000000</v>
      </c>
      <c r="AC153" s="132">
        <v>0</v>
      </c>
      <c r="AD153" s="130" t="s">
        <v>1037</v>
      </c>
      <c r="AE153" s="132">
        <v>2264306</v>
      </c>
      <c r="AF153" s="130" t="s">
        <v>1043</v>
      </c>
    </row>
    <row r="154" spans="25:32" ht="13.5">
      <c r="Y154" s="129" t="s">
        <v>980</v>
      </c>
      <c r="Z154" s="130" t="s">
        <v>981</v>
      </c>
      <c r="AA154" s="130" t="s">
        <v>1042</v>
      </c>
      <c r="AB154" s="132">
        <v>0</v>
      </c>
      <c r="AC154" s="134">
        <v>1000000</v>
      </c>
      <c r="AD154" s="130" t="s">
        <v>1040</v>
      </c>
      <c r="AE154" s="132">
        <v>2071212</v>
      </c>
      <c r="AF154" s="130" t="s">
        <v>1041</v>
      </c>
    </row>
    <row r="155" spans="25:32" ht="13.5">
      <c r="Y155" s="129" t="s">
        <v>982</v>
      </c>
      <c r="Z155" s="130" t="s">
        <v>983</v>
      </c>
      <c r="AA155" s="130" t="s">
        <v>1036</v>
      </c>
      <c r="AB155" s="133">
        <v>2000000</v>
      </c>
      <c r="AC155" s="132">
        <v>0</v>
      </c>
      <c r="AD155" s="130" t="s">
        <v>1037</v>
      </c>
      <c r="AE155" s="132">
        <v>2823442</v>
      </c>
      <c r="AF155" s="130" t="s">
        <v>1043</v>
      </c>
    </row>
    <row r="156" spans="25:32" ht="13.5">
      <c r="Y156" s="129" t="s">
        <v>984</v>
      </c>
      <c r="Z156" s="130" t="s">
        <v>985</v>
      </c>
      <c r="AA156" s="130" t="s">
        <v>1042</v>
      </c>
      <c r="AB156" s="132">
        <v>0</v>
      </c>
      <c r="AC156" s="134">
        <v>1000000</v>
      </c>
      <c r="AD156" s="130" t="s">
        <v>1040</v>
      </c>
      <c r="AE156" s="132">
        <v>2243109</v>
      </c>
      <c r="AF156" s="130" t="s">
        <v>1041</v>
      </c>
    </row>
    <row r="157" spans="25:32" ht="13.5">
      <c r="Y157" s="129" t="s">
        <v>986</v>
      </c>
      <c r="Z157" s="130" t="s">
        <v>987</v>
      </c>
      <c r="AA157" s="130" t="s">
        <v>1036</v>
      </c>
      <c r="AB157" s="133">
        <v>2000000</v>
      </c>
      <c r="AC157" s="132">
        <v>0</v>
      </c>
      <c r="AD157" s="130" t="s">
        <v>1037</v>
      </c>
      <c r="AE157" s="132">
        <v>1490863</v>
      </c>
      <c r="AF157" s="130" t="s">
        <v>1043</v>
      </c>
    </row>
    <row r="158" spans="25:32" ht="13.5">
      <c r="Y158" s="129" t="s">
        <v>988</v>
      </c>
      <c r="Z158" s="130" t="s">
        <v>989</v>
      </c>
      <c r="AA158" s="130" t="s">
        <v>1042</v>
      </c>
      <c r="AB158" s="132">
        <v>0</v>
      </c>
      <c r="AC158" s="134">
        <v>1000000</v>
      </c>
      <c r="AD158" s="130" t="s">
        <v>1040</v>
      </c>
      <c r="AE158" s="132">
        <v>1085435</v>
      </c>
      <c r="AF158" s="130" t="s">
        <v>1041</v>
      </c>
    </row>
    <row r="159" spans="25:32" ht="13.5">
      <c r="Y159" s="129" t="s">
        <v>990</v>
      </c>
      <c r="Z159" s="130" t="s">
        <v>991</v>
      </c>
      <c r="AA159" s="130" t="s">
        <v>1036</v>
      </c>
      <c r="AB159" s="133">
        <v>2000000</v>
      </c>
      <c r="AC159" s="132">
        <v>0</v>
      </c>
      <c r="AD159" s="130" t="s">
        <v>1037</v>
      </c>
      <c r="AE159" s="132">
        <v>1203865</v>
      </c>
      <c r="AF159" s="130" t="s">
        <v>1043</v>
      </c>
    </row>
    <row r="160" spans="25:32" ht="13.5">
      <c r="Y160" s="129" t="s">
        <v>992</v>
      </c>
      <c r="Z160" s="130" t="s">
        <v>993</v>
      </c>
      <c r="AA160" s="130" t="s">
        <v>1042</v>
      </c>
      <c r="AB160" s="132">
        <v>0</v>
      </c>
      <c r="AC160" s="134">
        <v>1000000</v>
      </c>
      <c r="AD160" s="130" t="s">
        <v>1040</v>
      </c>
      <c r="AE160" s="132">
        <v>1234503</v>
      </c>
      <c r="AF160" s="130" t="s">
        <v>1041</v>
      </c>
    </row>
    <row r="161" spans="25:32" ht="13.5">
      <c r="Y161" s="129" t="s">
        <v>994</v>
      </c>
      <c r="Z161" s="130" t="s">
        <v>995</v>
      </c>
      <c r="AA161" s="130" t="s">
        <v>1036</v>
      </c>
      <c r="AB161" s="133">
        <v>2000000</v>
      </c>
      <c r="AC161" s="132">
        <v>0</v>
      </c>
      <c r="AD161" s="130" t="s">
        <v>1037</v>
      </c>
      <c r="AE161" s="132">
        <v>963923</v>
      </c>
      <c r="AF161" s="130" t="s">
        <v>1043</v>
      </c>
    </row>
    <row r="162" spans="25:32" ht="13.5">
      <c r="Y162" s="129" t="s">
        <v>996</v>
      </c>
      <c r="Z162" s="130" t="s">
        <v>997</v>
      </c>
      <c r="AA162" s="130" t="s">
        <v>1042</v>
      </c>
      <c r="AB162" s="132">
        <v>0</v>
      </c>
      <c r="AC162" s="134">
        <v>1000000</v>
      </c>
      <c r="AD162" s="130" t="s">
        <v>1040</v>
      </c>
      <c r="AE162" s="132">
        <v>2711453</v>
      </c>
      <c r="AF162" s="130" t="s">
        <v>1041</v>
      </c>
    </row>
    <row r="163" spans="25:32" ht="13.5">
      <c r="Y163" s="129" t="s">
        <v>998</v>
      </c>
      <c r="Z163" s="130" t="s">
        <v>999</v>
      </c>
      <c r="AA163" s="130" t="s">
        <v>1036</v>
      </c>
      <c r="AB163" s="133">
        <v>2000000</v>
      </c>
      <c r="AC163" s="132">
        <v>0</v>
      </c>
      <c r="AD163" s="130" t="s">
        <v>1037</v>
      </c>
      <c r="AE163" s="132">
        <v>5978863</v>
      </c>
      <c r="AF163" s="130" t="s">
        <v>1043</v>
      </c>
    </row>
    <row r="164" spans="25:32" ht="13.5">
      <c r="Y164" s="129" t="s">
        <v>1000</v>
      </c>
      <c r="Z164" s="130" t="s">
        <v>1001</v>
      </c>
      <c r="AA164" s="130" t="s">
        <v>1042</v>
      </c>
      <c r="AB164" s="132">
        <v>0</v>
      </c>
      <c r="AC164" s="134">
        <v>1000000</v>
      </c>
      <c r="AD164" s="130" t="s">
        <v>1040</v>
      </c>
      <c r="AE164" s="132">
        <v>1440457</v>
      </c>
      <c r="AF164" s="130" t="s">
        <v>1041</v>
      </c>
    </row>
    <row r="165" spans="25:32" ht="13.5">
      <c r="Y165" s="129" t="s">
        <v>1002</v>
      </c>
      <c r="Z165" s="130" t="s">
        <v>1003</v>
      </c>
      <c r="AA165" s="130" t="s">
        <v>1036</v>
      </c>
      <c r="AB165" s="133">
        <v>2000000</v>
      </c>
      <c r="AC165" s="132">
        <v>0</v>
      </c>
      <c r="AD165" s="130" t="s">
        <v>1037</v>
      </c>
      <c r="AE165" s="132">
        <v>2457355</v>
      </c>
      <c r="AF165" s="130" t="s">
        <v>1043</v>
      </c>
    </row>
    <row r="166" spans="25:32" ht="13.5">
      <c r="Y166" s="129" t="s">
        <v>1004</v>
      </c>
      <c r="Z166" s="130" t="s">
        <v>1005</v>
      </c>
      <c r="AA166" s="130" t="s">
        <v>1042</v>
      </c>
      <c r="AB166" s="132">
        <v>0</v>
      </c>
      <c r="AC166" s="134">
        <v>1000000</v>
      </c>
      <c r="AD166" s="130" t="s">
        <v>1040</v>
      </c>
      <c r="AE166" s="132">
        <v>1472334</v>
      </c>
      <c r="AF166" s="130" t="s">
        <v>1041</v>
      </c>
    </row>
    <row r="167" spans="25:32" ht="13.5">
      <c r="Y167" s="129" t="s">
        <v>1006</v>
      </c>
      <c r="Z167" s="130" t="s">
        <v>1007</v>
      </c>
      <c r="AA167" s="130" t="s">
        <v>1036</v>
      </c>
      <c r="AB167" s="133">
        <v>2000000</v>
      </c>
      <c r="AC167" s="132">
        <v>0</v>
      </c>
      <c r="AD167" s="130" t="s">
        <v>1037</v>
      </c>
      <c r="AE167" s="132">
        <v>1102674</v>
      </c>
      <c r="AF167" s="130" t="s">
        <v>1043</v>
      </c>
    </row>
    <row r="168" spans="25:32" ht="13.5">
      <c r="Y168" s="129" t="s">
        <v>1008</v>
      </c>
      <c r="Z168" s="130" t="s">
        <v>1009</v>
      </c>
      <c r="AA168" s="130" t="s">
        <v>1042</v>
      </c>
      <c r="AB168" s="132">
        <v>0</v>
      </c>
      <c r="AC168" s="134">
        <v>1000000</v>
      </c>
      <c r="AD168" s="130" t="s">
        <v>1040</v>
      </c>
      <c r="AE168" s="132">
        <v>1016037</v>
      </c>
      <c r="AF168" s="130" t="s">
        <v>1041</v>
      </c>
    </row>
    <row r="169" spans="25:32" ht="13.5">
      <c r="Y169" s="129" t="s">
        <v>1010</v>
      </c>
      <c r="Z169" s="130" t="s">
        <v>1011</v>
      </c>
      <c r="AA169" s="130" t="s">
        <v>1036</v>
      </c>
      <c r="AB169" s="133">
        <v>2000000</v>
      </c>
      <c r="AC169" s="132">
        <v>0</v>
      </c>
      <c r="AD169" s="130" t="s">
        <v>1037</v>
      </c>
      <c r="AE169" s="132">
        <v>3008009</v>
      </c>
      <c r="AF169" s="130" t="s">
        <v>1043</v>
      </c>
    </row>
    <row r="170" spans="25:32" ht="13.5">
      <c r="Y170" s="129" t="s">
        <v>1012</v>
      </c>
      <c r="Z170" s="130" t="s">
        <v>1013</v>
      </c>
      <c r="AA170" s="130" t="s">
        <v>1042</v>
      </c>
      <c r="AB170" s="132">
        <v>0</v>
      </c>
      <c r="AC170" s="134">
        <v>1000000</v>
      </c>
      <c r="AD170" s="130" t="s">
        <v>1040</v>
      </c>
      <c r="AE170" s="132">
        <v>2064594</v>
      </c>
      <c r="AF170" s="130" t="s">
        <v>1041</v>
      </c>
    </row>
    <row r="171" spans="25:32" ht="13.5">
      <c r="Y171" s="129" t="s">
        <v>1014</v>
      </c>
      <c r="Z171" s="130" t="s">
        <v>1015</v>
      </c>
      <c r="AA171" s="130" t="s">
        <v>1036</v>
      </c>
      <c r="AB171" s="133">
        <v>2000000</v>
      </c>
      <c r="AC171" s="132">
        <v>0</v>
      </c>
      <c r="AD171" s="130" t="s">
        <v>1037</v>
      </c>
      <c r="AE171" s="132">
        <v>2252304</v>
      </c>
      <c r="AF171" s="130" t="s">
        <v>1043</v>
      </c>
    </row>
    <row r="172" spans="25:32" ht="13.5">
      <c r="Y172" s="129" t="s">
        <v>1016</v>
      </c>
      <c r="Z172" s="130" t="s">
        <v>1005</v>
      </c>
      <c r="AA172" s="130" t="s">
        <v>1042</v>
      </c>
      <c r="AB172" s="132">
        <v>0</v>
      </c>
      <c r="AC172" s="134">
        <v>1000000</v>
      </c>
      <c r="AD172" s="130" t="s">
        <v>1040</v>
      </c>
      <c r="AE172" s="132">
        <v>1882943</v>
      </c>
      <c r="AF172" s="130" t="s">
        <v>1041</v>
      </c>
    </row>
    <row r="173" spans="25:32" ht="13.5">
      <c r="Y173" s="129" t="s">
        <v>1017</v>
      </c>
      <c r="Z173" s="130" t="s">
        <v>1018</v>
      </c>
      <c r="AA173" s="130" t="s">
        <v>1036</v>
      </c>
      <c r="AB173" s="133">
        <v>2000000</v>
      </c>
      <c r="AC173" s="132">
        <v>0</v>
      </c>
      <c r="AD173" s="130" t="s">
        <v>1037</v>
      </c>
      <c r="AE173" s="132">
        <v>2100123</v>
      </c>
      <c r="AF173" s="130" t="s">
        <v>1043</v>
      </c>
    </row>
    <row r="174" spans="25:32" ht="13.5">
      <c r="Y174" s="129" t="s">
        <v>1019</v>
      </c>
      <c r="Z174" s="130" t="s">
        <v>1020</v>
      </c>
      <c r="AA174" s="130" t="s">
        <v>1036</v>
      </c>
      <c r="AB174" s="133">
        <v>2000000</v>
      </c>
      <c r="AC174" s="132">
        <v>0</v>
      </c>
      <c r="AD174" s="130" t="s">
        <v>1037</v>
      </c>
      <c r="AE174" s="132">
        <v>5151275</v>
      </c>
      <c r="AF174" s="130" t="s">
        <v>1043</v>
      </c>
    </row>
    <row r="175" spans="25:32" ht="13.5">
      <c r="Y175" s="129" t="s">
        <v>1021</v>
      </c>
      <c r="Z175" s="130" t="s">
        <v>1022</v>
      </c>
      <c r="AA175" s="130" t="s">
        <v>1044</v>
      </c>
      <c r="AB175" s="132">
        <v>0</v>
      </c>
      <c r="AC175" s="134">
        <v>700000</v>
      </c>
      <c r="AD175" s="130"/>
      <c r="AE175" s="132">
        <v>4222054</v>
      </c>
      <c r="AF175" s="130" t="s">
        <v>1043</v>
      </c>
    </row>
    <row r="176" spans="25:32" ht="13.5">
      <c r="Y176" s="129" t="s">
        <v>1021</v>
      </c>
      <c r="Z176" s="130" t="s">
        <v>1023</v>
      </c>
      <c r="AA176" s="130" t="s">
        <v>1039</v>
      </c>
      <c r="AB176" s="132">
        <v>0</v>
      </c>
      <c r="AC176" s="134">
        <v>3300000</v>
      </c>
      <c r="AD176" s="130" t="s">
        <v>1040</v>
      </c>
      <c r="AE176" s="132">
        <v>3522054</v>
      </c>
      <c r="AF176" s="130" t="s">
        <v>1041</v>
      </c>
    </row>
  </sheetData>
  <autoFilter ref="B3:G35" xr:uid="{00000000-0009-0000-0000-000000000000}"/>
  <mergeCells count="4">
    <mergeCell ref="A1:L1"/>
    <mergeCell ref="N64:N66"/>
    <mergeCell ref="N67:N76"/>
    <mergeCell ref="N77:O77"/>
  </mergeCells>
  <phoneticPr fontId="5" type="noConversion"/>
  <hyperlinks>
    <hyperlink ref="Q16" r:id="rId1" display="링크 참조" xr:uid="{DB98A5B5-4DF3-4A7A-A7BC-776949CBCBCF}"/>
  </hyperlinks>
  <pageMargins left="0.7" right="0.7" top="0.75" bottom="0.75" header="0.3" footer="0.3"/>
  <pageSetup paperSize="9" scale="41" orientation="portrait" r:id="rId2"/>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303"/>
  <sheetViews>
    <sheetView zoomScale="85" zoomScaleNormal="85" workbookViewId="0">
      <pane ySplit="2" topLeftCell="A32" activePane="bottomLeft" state="frozen"/>
      <selection activeCell="E8" sqref="E8"/>
      <selection pane="bottomLeft" activeCell="E8" sqref="E8"/>
    </sheetView>
  </sheetViews>
  <sheetFormatPr defaultColWidth="9" defaultRowHeight="13.5"/>
  <cols>
    <col min="1" max="2" width="5.25" style="4" customWidth="1"/>
    <col min="3" max="3" width="13.75" style="114" customWidth="1"/>
    <col min="4" max="4" width="16.625" style="114" bestFit="1" customWidth="1"/>
    <col min="5" max="5" width="20" style="58" customWidth="1"/>
    <col min="6" max="7" width="12.875" style="115" customWidth="1"/>
    <col min="8" max="8" width="12.875" style="116" customWidth="1"/>
    <col min="9" max="9" width="28.125" style="117" bestFit="1" customWidth="1"/>
    <col min="10" max="16384" width="9" style="107"/>
  </cols>
  <sheetData>
    <row r="1" spans="1:9" ht="33" customHeight="1">
      <c r="A1" s="562" t="s">
        <v>489</v>
      </c>
      <c r="B1" s="562"/>
      <c r="C1" s="562"/>
      <c r="D1" s="562"/>
      <c r="E1" s="562"/>
      <c r="F1" s="562"/>
      <c r="G1" s="562"/>
      <c r="H1" s="562"/>
      <c r="I1" s="562"/>
    </row>
    <row r="2" spans="1:9" s="58" customFormat="1" ht="18" customHeight="1">
      <c r="A2" s="40" t="s">
        <v>490</v>
      </c>
      <c r="B2" s="108" t="s">
        <v>491</v>
      </c>
      <c r="C2" s="108" t="s">
        <v>492</v>
      </c>
      <c r="D2" s="109" t="s">
        <v>449</v>
      </c>
      <c r="E2" s="109" t="s">
        <v>493</v>
      </c>
      <c r="F2" s="110" t="s">
        <v>494</v>
      </c>
      <c r="G2" s="110" t="s">
        <v>495</v>
      </c>
      <c r="H2" s="111" t="s">
        <v>496</v>
      </c>
      <c r="I2" s="109" t="s">
        <v>153</v>
      </c>
    </row>
    <row r="3" spans="1:9" s="58" customFormat="1" ht="18" customHeight="1">
      <c r="A3" s="40">
        <f t="shared" ref="A3:A138" si="0">ROW()-2</f>
        <v>1</v>
      </c>
      <c r="B3" s="40" t="s">
        <v>3</v>
      </c>
      <c r="C3" s="50">
        <v>43237</v>
      </c>
      <c r="D3" s="109" t="s">
        <v>497</v>
      </c>
      <c r="E3" s="109" t="s">
        <v>498</v>
      </c>
      <c r="F3" s="112">
        <v>5</v>
      </c>
      <c r="G3" s="112">
        <f>F3</f>
        <v>5</v>
      </c>
      <c r="H3" s="111" t="s">
        <v>499</v>
      </c>
      <c r="I3" s="109"/>
    </row>
    <row r="4" spans="1:9" s="58" customFormat="1" ht="18" customHeight="1">
      <c r="A4" s="40">
        <f t="shared" si="0"/>
        <v>2</v>
      </c>
      <c r="B4" s="40" t="s">
        <v>3</v>
      </c>
      <c r="C4" s="50">
        <v>43239</v>
      </c>
      <c r="D4" s="109" t="s">
        <v>500</v>
      </c>
      <c r="E4" s="109" t="s">
        <v>501</v>
      </c>
      <c r="F4" s="112">
        <v>10</v>
      </c>
      <c r="G4" s="112">
        <f>F4+G3</f>
        <v>15</v>
      </c>
      <c r="H4" s="111" t="s">
        <v>502</v>
      </c>
      <c r="I4" s="109"/>
    </row>
    <row r="5" spans="1:9" s="58" customFormat="1" ht="18" customHeight="1">
      <c r="A5" s="40">
        <f t="shared" si="0"/>
        <v>3</v>
      </c>
      <c r="B5" s="40" t="s">
        <v>3</v>
      </c>
      <c r="C5" s="50">
        <v>43241</v>
      </c>
      <c r="D5" s="109" t="s">
        <v>497</v>
      </c>
      <c r="E5" s="109" t="s">
        <v>503</v>
      </c>
      <c r="F5" s="112">
        <v>5</v>
      </c>
      <c r="G5" s="112">
        <f t="shared" ref="G5:G68" si="1">F5+G4</f>
        <v>20</v>
      </c>
      <c r="H5" s="111" t="s">
        <v>499</v>
      </c>
      <c r="I5" s="109"/>
    </row>
    <row r="6" spans="1:9" s="58" customFormat="1" ht="18" customHeight="1">
      <c r="A6" s="40">
        <f t="shared" si="0"/>
        <v>4</v>
      </c>
      <c r="B6" s="40" t="s">
        <v>3</v>
      </c>
      <c r="C6" s="50">
        <v>43251</v>
      </c>
      <c r="D6" s="109" t="s">
        <v>504</v>
      </c>
      <c r="E6" s="113" t="s">
        <v>505</v>
      </c>
      <c r="F6" s="112">
        <v>20</v>
      </c>
      <c r="G6" s="112">
        <f t="shared" si="1"/>
        <v>40</v>
      </c>
      <c r="H6" s="111" t="s">
        <v>506</v>
      </c>
      <c r="I6" s="109"/>
    </row>
    <row r="7" spans="1:9" s="58" customFormat="1" ht="18" customHeight="1">
      <c r="A7" s="40">
        <f t="shared" si="0"/>
        <v>5</v>
      </c>
      <c r="B7" s="40" t="s">
        <v>3</v>
      </c>
      <c r="C7" s="50">
        <v>43251</v>
      </c>
      <c r="D7" s="109" t="s">
        <v>507</v>
      </c>
      <c r="E7" s="109" t="s">
        <v>508</v>
      </c>
      <c r="F7" s="112">
        <v>5</v>
      </c>
      <c r="G7" s="112">
        <f t="shared" si="1"/>
        <v>45</v>
      </c>
      <c r="H7" s="111" t="s">
        <v>506</v>
      </c>
      <c r="I7" s="109"/>
    </row>
    <row r="8" spans="1:9" s="58" customFormat="1" ht="18" customHeight="1">
      <c r="A8" s="40">
        <f t="shared" si="0"/>
        <v>6</v>
      </c>
      <c r="B8" s="40" t="s">
        <v>3</v>
      </c>
      <c r="C8" s="50">
        <v>43251</v>
      </c>
      <c r="D8" s="109" t="s">
        <v>497</v>
      </c>
      <c r="E8" s="109" t="s">
        <v>509</v>
      </c>
      <c r="F8" s="112">
        <v>10</v>
      </c>
      <c r="G8" s="112">
        <f t="shared" si="1"/>
        <v>55</v>
      </c>
      <c r="H8" s="111" t="s">
        <v>499</v>
      </c>
      <c r="I8" s="109"/>
    </row>
    <row r="9" spans="1:9" s="58" customFormat="1" ht="18" customHeight="1">
      <c r="A9" s="40">
        <f t="shared" si="0"/>
        <v>7</v>
      </c>
      <c r="B9" s="40" t="s">
        <v>3</v>
      </c>
      <c r="C9" s="50">
        <v>43251</v>
      </c>
      <c r="D9" s="109" t="s">
        <v>497</v>
      </c>
      <c r="E9" s="109" t="s">
        <v>510</v>
      </c>
      <c r="F9" s="112">
        <v>5</v>
      </c>
      <c r="G9" s="112">
        <f t="shared" si="1"/>
        <v>60</v>
      </c>
      <c r="H9" s="111" t="s">
        <v>499</v>
      </c>
      <c r="I9" s="109"/>
    </row>
    <row r="10" spans="1:9" s="58" customFormat="1" ht="18" customHeight="1">
      <c r="A10" s="40">
        <f t="shared" si="0"/>
        <v>8</v>
      </c>
      <c r="B10" s="40" t="s">
        <v>3</v>
      </c>
      <c r="C10" s="50">
        <v>43252</v>
      </c>
      <c r="D10" s="109" t="s">
        <v>497</v>
      </c>
      <c r="E10" s="109" t="s">
        <v>511</v>
      </c>
      <c r="F10" s="112">
        <v>5</v>
      </c>
      <c r="G10" s="112">
        <f t="shared" si="1"/>
        <v>65</v>
      </c>
      <c r="H10" s="111" t="s">
        <v>499</v>
      </c>
      <c r="I10" s="109"/>
    </row>
    <row r="11" spans="1:9" s="58" customFormat="1" ht="18" customHeight="1">
      <c r="A11" s="40">
        <f t="shared" si="0"/>
        <v>9</v>
      </c>
      <c r="B11" s="40" t="s">
        <v>3</v>
      </c>
      <c r="C11" s="50">
        <v>43252</v>
      </c>
      <c r="D11" s="109" t="s">
        <v>497</v>
      </c>
      <c r="E11" s="109" t="s">
        <v>512</v>
      </c>
      <c r="F11" s="112">
        <v>3</v>
      </c>
      <c r="G11" s="112">
        <f t="shared" si="1"/>
        <v>68</v>
      </c>
      <c r="H11" s="111" t="s">
        <v>499</v>
      </c>
      <c r="I11" s="109"/>
    </row>
    <row r="12" spans="1:9" s="58" customFormat="1" ht="18" customHeight="1">
      <c r="A12" s="40">
        <f t="shared" si="0"/>
        <v>10</v>
      </c>
      <c r="B12" s="40" t="s">
        <v>3</v>
      </c>
      <c r="C12" s="50">
        <v>43252</v>
      </c>
      <c r="D12" s="109" t="s">
        <v>504</v>
      </c>
      <c r="E12" s="109" t="s">
        <v>513</v>
      </c>
      <c r="F12" s="112">
        <v>5</v>
      </c>
      <c r="G12" s="112">
        <f t="shared" si="1"/>
        <v>73</v>
      </c>
      <c r="H12" s="111" t="s">
        <v>499</v>
      </c>
      <c r="I12" s="109"/>
    </row>
    <row r="13" spans="1:9" s="58" customFormat="1" ht="18" customHeight="1">
      <c r="A13" s="40">
        <f t="shared" si="0"/>
        <v>11</v>
      </c>
      <c r="B13" s="40" t="s">
        <v>3</v>
      </c>
      <c r="C13" s="50">
        <v>43252</v>
      </c>
      <c r="D13" s="109" t="s">
        <v>497</v>
      </c>
      <c r="E13" s="109" t="s">
        <v>514</v>
      </c>
      <c r="F13" s="112">
        <v>5</v>
      </c>
      <c r="G13" s="112">
        <f t="shared" si="1"/>
        <v>78</v>
      </c>
      <c r="H13" s="111" t="s">
        <v>499</v>
      </c>
      <c r="I13" s="109"/>
    </row>
    <row r="14" spans="1:9" s="58" customFormat="1" ht="18" customHeight="1">
      <c r="A14" s="40">
        <f t="shared" si="0"/>
        <v>12</v>
      </c>
      <c r="B14" s="40" t="s">
        <v>3</v>
      </c>
      <c r="C14" s="50">
        <v>43252</v>
      </c>
      <c r="D14" s="109" t="s">
        <v>497</v>
      </c>
      <c r="E14" s="109" t="s">
        <v>515</v>
      </c>
      <c r="F14" s="112">
        <v>5</v>
      </c>
      <c r="G14" s="112">
        <f t="shared" si="1"/>
        <v>83</v>
      </c>
      <c r="H14" s="111" t="s">
        <v>499</v>
      </c>
      <c r="I14" s="109"/>
    </row>
    <row r="15" spans="1:9" s="58" customFormat="1" ht="18" customHeight="1">
      <c r="A15" s="40">
        <f t="shared" si="0"/>
        <v>13</v>
      </c>
      <c r="B15" s="40" t="s">
        <v>3</v>
      </c>
      <c r="C15" s="50">
        <v>43252</v>
      </c>
      <c r="D15" s="109" t="s">
        <v>516</v>
      </c>
      <c r="E15" s="109" t="s">
        <v>517</v>
      </c>
      <c r="F15" s="112">
        <v>5</v>
      </c>
      <c r="G15" s="112">
        <f t="shared" si="1"/>
        <v>88</v>
      </c>
      <c r="H15" s="111" t="s">
        <v>502</v>
      </c>
      <c r="I15" s="109"/>
    </row>
    <row r="16" spans="1:9" s="58" customFormat="1" ht="18" customHeight="1">
      <c r="A16" s="40">
        <f t="shared" si="0"/>
        <v>14</v>
      </c>
      <c r="B16" s="40" t="s">
        <v>3</v>
      </c>
      <c r="C16" s="50">
        <v>43252</v>
      </c>
      <c r="D16" s="109" t="s">
        <v>518</v>
      </c>
      <c r="E16" s="113" t="s">
        <v>519</v>
      </c>
      <c r="F16" s="112">
        <v>30</v>
      </c>
      <c r="G16" s="112">
        <f t="shared" si="1"/>
        <v>118</v>
      </c>
      <c r="H16" s="111" t="s">
        <v>506</v>
      </c>
      <c r="I16" s="109"/>
    </row>
    <row r="17" spans="1:9" s="58" customFormat="1" ht="18" customHeight="1">
      <c r="A17" s="40">
        <f t="shared" si="0"/>
        <v>15</v>
      </c>
      <c r="B17" s="40" t="s">
        <v>3</v>
      </c>
      <c r="C17" s="50">
        <v>43252</v>
      </c>
      <c r="D17" s="109" t="s">
        <v>518</v>
      </c>
      <c r="E17" s="113" t="s">
        <v>520</v>
      </c>
      <c r="F17" s="112">
        <v>30</v>
      </c>
      <c r="G17" s="112">
        <f t="shared" si="1"/>
        <v>148</v>
      </c>
      <c r="H17" s="111" t="s">
        <v>506</v>
      </c>
      <c r="I17" s="109"/>
    </row>
    <row r="18" spans="1:9" s="58" customFormat="1" ht="18" customHeight="1">
      <c r="A18" s="40">
        <f t="shared" si="0"/>
        <v>16</v>
      </c>
      <c r="B18" s="40" t="s">
        <v>3</v>
      </c>
      <c r="C18" s="50">
        <v>43253</v>
      </c>
      <c r="D18" s="109" t="s">
        <v>497</v>
      </c>
      <c r="E18" s="109" t="s">
        <v>521</v>
      </c>
      <c r="F18" s="112">
        <v>5</v>
      </c>
      <c r="G18" s="112">
        <f t="shared" si="1"/>
        <v>153</v>
      </c>
      <c r="H18" s="111" t="s">
        <v>499</v>
      </c>
      <c r="I18" s="109"/>
    </row>
    <row r="19" spans="1:9" s="58" customFormat="1" ht="18" customHeight="1">
      <c r="A19" s="40">
        <f t="shared" si="0"/>
        <v>17</v>
      </c>
      <c r="B19" s="40" t="s">
        <v>3</v>
      </c>
      <c r="C19" s="50">
        <v>43253</v>
      </c>
      <c r="D19" s="109" t="s">
        <v>497</v>
      </c>
      <c r="E19" s="109" t="s">
        <v>522</v>
      </c>
      <c r="F19" s="112">
        <v>5</v>
      </c>
      <c r="G19" s="112">
        <f t="shared" si="1"/>
        <v>158</v>
      </c>
      <c r="H19" s="111" t="s">
        <v>499</v>
      </c>
      <c r="I19" s="109"/>
    </row>
    <row r="20" spans="1:9" s="58" customFormat="1" ht="18" customHeight="1">
      <c r="A20" s="40">
        <f t="shared" si="0"/>
        <v>18</v>
      </c>
      <c r="B20" s="40" t="s">
        <v>3</v>
      </c>
      <c r="C20" s="50">
        <v>43253</v>
      </c>
      <c r="D20" s="109" t="s">
        <v>497</v>
      </c>
      <c r="E20" s="109" t="s">
        <v>523</v>
      </c>
      <c r="F20" s="112">
        <v>5</v>
      </c>
      <c r="G20" s="112">
        <f t="shared" si="1"/>
        <v>163</v>
      </c>
      <c r="H20" s="111" t="s">
        <v>499</v>
      </c>
      <c r="I20" s="109"/>
    </row>
    <row r="21" spans="1:9" s="58" customFormat="1" ht="18" customHeight="1">
      <c r="A21" s="40">
        <f t="shared" si="0"/>
        <v>19</v>
      </c>
      <c r="B21" s="40" t="s">
        <v>3</v>
      </c>
      <c r="C21" s="50">
        <v>43253</v>
      </c>
      <c r="D21" s="109" t="s">
        <v>497</v>
      </c>
      <c r="E21" s="109" t="s">
        <v>524</v>
      </c>
      <c r="F21" s="112">
        <v>5</v>
      </c>
      <c r="G21" s="112">
        <f t="shared" si="1"/>
        <v>168</v>
      </c>
      <c r="H21" s="111" t="s">
        <v>499</v>
      </c>
      <c r="I21" s="109"/>
    </row>
    <row r="22" spans="1:9" s="58" customFormat="1" ht="18" customHeight="1">
      <c r="A22" s="40">
        <f t="shared" si="0"/>
        <v>20</v>
      </c>
      <c r="B22" s="40" t="s">
        <v>3</v>
      </c>
      <c r="C22" s="50">
        <v>43253</v>
      </c>
      <c r="D22" s="109" t="s">
        <v>507</v>
      </c>
      <c r="E22" s="109" t="s">
        <v>525</v>
      </c>
      <c r="F22" s="112">
        <v>10</v>
      </c>
      <c r="G22" s="112">
        <f t="shared" si="1"/>
        <v>178</v>
      </c>
      <c r="H22" s="111" t="s">
        <v>506</v>
      </c>
      <c r="I22" s="109"/>
    </row>
    <row r="23" spans="1:9" s="58" customFormat="1" ht="18" customHeight="1">
      <c r="A23" s="40">
        <f t="shared" si="0"/>
        <v>21</v>
      </c>
      <c r="B23" s="40" t="s">
        <v>3</v>
      </c>
      <c r="C23" s="50">
        <v>43253</v>
      </c>
      <c r="D23" s="109" t="s">
        <v>518</v>
      </c>
      <c r="E23" s="109" t="s">
        <v>526</v>
      </c>
      <c r="F23" s="112">
        <v>5</v>
      </c>
      <c r="G23" s="112">
        <f t="shared" si="1"/>
        <v>183</v>
      </c>
      <c r="H23" s="111" t="s">
        <v>506</v>
      </c>
      <c r="I23" s="109"/>
    </row>
    <row r="24" spans="1:9" s="58" customFormat="1" ht="18" customHeight="1">
      <c r="A24" s="40">
        <f t="shared" si="0"/>
        <v>22</v>
      </c>
      <c r="B24" s="40">
        <f>ROW()-12</f>
        <v>12</v>
      </c>
      <c r="C24" s="50">
        <v>43253</v>
      </c>
      <c r="D24" s="109"/>
      <c r="E24" s="109" t="s">
        <v>527</v>
      </c>
      <c r="F24" s="112">
        <v>5</v>
      </c>
      <c r="G24" s="112">
        <f t="shared" si="1"/>
        <v>188</v>
      </c>
      <c r="H24" s="111" t="s">
        <v>502</v>
      </c>
      <c r="I24" s="109"/>
    </row>
    <row r="25" spans="1:9" s="58" customFormat="1" ht="18" customHeight="1">
      <c r="A25" s="40">
        <f t="shared" si="0"/>
        <v>23</v>
      </c>
      <c r="B25" s="40">
        <f t="shared" ref="B25:B88" si="2">ROW()-12</f>
        <v>13</v>
      </c>
      <c r="C25" s="50">
        <v>43253</v>
      </c>
      <c r="D25" s="109" t="s">
        <v>497</v>
      </c>
      <c r="E25" s="109" t="s">
        <v>528</v>
      </c>
      <c r="F25" s="112">
        <v>5</v>
      </c>
      <c r="G25" s="112">
        <f t="shared" si="1"/>
        <v>193</v>
      </c>
      <c r="H25" s="111" t="s">
        <v>502</v>
      </c>
      <c r="I25" s="109"/>
    </row>
    <row r="26" spans="1:9" s="58" customFormat="1" ht="18" customHeight="1">
      <c r="A26" s="40">
        <f t="shared" si="0"/>
        <v>24</v>
      </c>
      <c r="B26" s="40">
        <f t="shared" si="2"/>
        <v>14</v>
      </c>
      <c r="C26" s="50">
        <v>43253</v>
      </c>
      <c r="D26" s="109" t="s">
        <v>518</v>
      </c>
      <c r="E26" s="113" t="s">
        <v>529</v>
      </c>
      <c r="F26" s="112">
        <v>15</v>
      </c>
      <c r="G26" s="112">
        <f t="shared" si="1"/>
        <v>208</v>
      </c>
      <c r="H26" s="111" t="s">
        <v>502</v>
      </c>
      <c r="I26" s="109"/>
    </row>
    <row r="27" spans="1:9" s="58" customFormat="1" ht="18" customHeight="1">
      <c r="A27" s="40">
        <f t="shared" si="0"/>
        <v>25</v>
      </c>
      <c r="B27" s="40">
        <f t="shared" si="2"/>
        <v>15</v>
      </c>
      <c r="C27" s="50">
        <v>43253</v>
      </c>
      <c r="D27" s="109" t="s">
        <v>518</v>
      </c>
      <c r="E27" s="113" t="s">
        <v>530</v>
      </c>
      <c r="F27" s="112">
        <v>15</v>
      </c>
      <c r="G27" s="112">
        <f t="shared" si="1"/>
        <v>223</v>
      </c>
      <c r="H27" s="111" t="s">
        <v>502</v>
      </c>
      <c r="I27" s="109"/>
    </row>
    <row r="28" spans="1:9" s="58" customFormat="1" ht="18" customHeight="1">
      <c r="A28" s="40">
        <f t="shared" si="0"/>
        <v>26</v>
      </c>
      <c r="B28" s="40">
        <f t="shared" si="2"/>
        <v>16</v>
      </c>
      <c r="C28" s="50">
        <v>43253</v>
      </c>
      <c r="D28" s="109" t="s">
        <v>497</v>
      </c>
      <c r="E28" s="109" t="s">
        <v>531</v>
      </c>
      <c r="F28" s="112">
        <v>10</v>
      </c>
      <c r="G28" s="112">
        <f t="shared" si="1"/>
        <v>233</v>
      </c>
      <c r="H28" s="111" t="s">
        <v>502</v>
      </c>
      <c r="I28" s="109"/>
    </row>
    <row r="29" spans="1:9" s="58" customFormat="1" ht="18" customHeight="1">
      <c r="A29" s="40">
        <f t="shared" si="0"/>
        <v>27</v>
      </c>
      <c r="B29" s="40">
        <f t="shared" si="2"/>
        <v>17</v>
      </c>
      <c r="C29" s="50">
        <v>43253</v>
      </c>
      <c r="D29" s="109" t="s">
        <v>518</v>
      </c>
      <c r="E29" s="109" t="s">
        <v>532</v>
      </c>
      <c r="F29" s="112">
        <v>5</v>
      </c>
      <c r="G29" s="112">
        <f t="shared" si="1"/>
        <v>238</v>
      </c>
      <c r="H29" s="111" t="s">
        <v>502</v>
      </c>
      <c r="I29" s="109"/>
    </row>
    <row r="30" spans="1:9" s="58" customFormat="1" ht="18" customHeight="1">
      <c r="A30" s="40">
        <f t="shared" si="0"/>
        <v>28</v>
      </c>
      <c r="B30" s="40">
        <f t="shared" si="2"/>
        <v>18</v>
      </c>
      <c r="C30" s="50">
        <v>43253</v>
      </c>
      <c r="D30" s="109" t="s">
        <v>518</v>
      </c>
      <c r="E30" s="109" t="s">
        <v>533</v>
      </c>
      <c r="F30" s="112">
        <v>5</v>
      </c>
      <c r="G30" s="112">
        <f t="shared" si="1"/>
        <v>243</v>
      </c>
      <c r="H30" s="111" t="s">
        <v>502</v>
      </c>
      <c r="I30" s="109"/>
    </row>
    <row r="31" spans="1:9" s="58" customFormat="1" ht="18" customHeight="1">
      <c r="A31" s="40">
        <f t="shared" si="0"/>
        <v>29</v>
      </c>
      <c r="B31" s="40">
        <f t="shared" si="2"/>
        <v>19</v>
      </c>
      <c r="C31" s="50">
        <v>43253</v>
      </c>
      <c r="D31" s="109" t="s">
        <v>534</v>
      </c>
      <c r="E31" s="109" t="s">
        <v>535</v>
      </c>
      <c r="F31" s="112">
        <v>5</v>
      </c>
      <c r="G31" s="112">
        <f t="shared" si="1"/>
        <v>248</v>
      </c>
      <c r="H31" s="111" t="s">
        <v>502</v>
      </c>
      <c r="I31" s="109"/>
    </row>
    <row r="32" spans="1:9" s="58" customFormat="1" ht="18" customHeight="1">
      <c r="A32" s="40">
        <f t="shared" si="0"/>
        <v>30</v>
      </c>
      <c r="B32" s="40">
        <f t="shared" si="2"/>
        <v>20</v>
      </c>
      <c r="C32" s="50">
        <v>43253</v>
      </c>
      <c r="D32" s="109" t="s">
        <v>518</v>
      </c>
      <c r="E32" s="109" t="s">
        <v>536</v>
      </c>
      <c r="F32" s="112">
        <v>5</v>
      </c>
      <c r="G32" s="112">
        <f t="shared" si="1"/>
        <v>253</v>
      </c>
      <c r="H32" s="111" t="s">
        <v>502</v>
      </c>
      <c r="I32" s="109"/>
    </row>
    <row r="33" spans="1:9" s="58" customFormat="1" ht="18" customHeight="1">
      <c r="A33" s="40">
        <f t="shared" si="0"/>
        <v>31</v>
      </c>
      <c r="B33" s="40">
        <f t="shared" si="2"/>
        <v>21</v>
      </c>
      <c r="C33" s="50">
        <v>43253</v>
      </c>
      <c r="D33" s="109" t="s">
        <v>500</v>
      </c>
      <c r="E33" s="113" t="s">
        <v>537</v>
      </c>
      <c r="F33" s="112">
        <v>30</v>
      </c>
      <c r="G33" s="112">
        <f t="shared" si="1"/>
        <v>283</v>
      </c>
      <c r="H33" s="111" t="s">
        <v>502</v>
      </c>
      <c r="I33" s="109"/>
    </row>
    <row r="34" spans="1:9" s="58" customFormat="1" ht="18" customHeight="1">
      <c r="A34" s="40">
        <f t="shared" si="0"/>
        <v>32</v>
      </c>
      <c r="B34" s="40">
        <f t="shared" si="2"/>
        <v>22</v>
      </c>
      <c r="C34" s="50">
        <v>43253</v>
      </c>
      <c r="D34" s="109" t="s">
        <v>534</v>
      </c>
      <c r="E34" s="109" t="s">
        <v>538</v>
      </c>
      <c r="F34" s="112">
        <v>5</v>
      </c>
      <c r="G34" s="112">
        <f t="shared" si="1"/>
        <v>288</v>
      </c>
      <c r="H34" s="111" t="s">
        <v>502</v>
      </c>
      <c r="I34" s="109"/>
    </row>
    <row r="35" spans="1:9" ht="18" customHeight="1">
      <c r="A35" s="40">
        <f t="shared" si="0"/>
        <v>33</v>
      </c>
      <c r="B35" s="40">
        <f t="shared" si="2"/>
        <v>23</v>
      </c>
      <c r="C35" s="50">
        <v>43253</v>
      </c>
      <c r="D35" s="109" t="s">
        <v>534</v>
      </c>
      <c r="E35" s="109" t="s">
        <v>539</v>
      </c>
      <c r="F35" s="112">
        <v>5</v>
      </c>
      <c r="G35" s="112">
        <f t="shared" si="1"/>
        <v>293</v>
      </c>
      <c r="H35" s="111" t="s">
        <v>502</v>
      </c>
      <c r="I35" s="109"/>
    </row>
    <row r="36" spans="1:9" ht="18" customHeight="1">
      <c r="A36" s="40">
        <f t="shared" si="0"/>
        <v>34</v>
      </c>
      <c r="B36" s="40">
        <f t="shared" si="2"/>
        <v>24</v>
      </c>
      <c r="C36" s="50">
        <v>43253</v>
      </c>
      <c r="D36" s="109" t="s">
        <v>518</v>
      </c>
      <c r="E36" s="109" t="s">
        <v>540</v>
      </c>
      <c r="F36" s="112">
        <v>5</v>
      </c>
      <c r="G36" s="112">
        <f t="shared" si="1"/>
        <v>298</v>
      </c>
      <c r="H36" s="111" t="s">
        <v>502</v>
      </c>
      <c r="I36" s="109"/>
    </row>
    <row r="37" spans="1:9" ht="18" customHeight="1">
      <c r="A37" s="40">
        <f t="shared" si="0"/>
        <v>35</v>
      </c>
      <c r="B37" s="40">
        <f t="shared" si="2"/>
        <v>25</v>
      </c>
      <c r="C37" s="50">
        <v>43253</v>
      </c>
      <c r="D37" s="109" t="s">
        <v>534</v>
      </c>
      <c r="E37" s="109" t="s">
        <v>541</v>
      </c>
      <c r="F37" s="112">
        <v>10</v>
      </c>
      <c r="G37" s="112">
        <f t="shared" si="1"/>
        <v>308</v>
      </c>
      <c r="H37" s="111" t="s">
        <v>502</v>
      </c>
      <c r="I37" s="109"/>
    </row>
    <row r="38" spans="1:9" ht="18" customHeight="1">
      <c r="A38" s="40">
        <f t="shared" si="0"/>
        <v>36</v>
      </c>
      <c r="B38" s="40">
        <f t="shared" si="2"/>
        <v>26</v>
      </c>
      <c r="C38" s="50">
        <v>43253</v>
      </c>
      <c r="D38" s="109"/>
      <c r="E38" s="109" t="s">
        <v>542</v>
      </c>
      <c r="F38" s="112">
        <v>5</v>
      </c>
      <c r="G38" s="112">
        <f t="shared" si="1"/>
        <v>313</v>
      </c>
      <c r="H38" s="111" t="s">
        <v>502</v>
      </c>
      <c r="I38" s="109"/>
    </row>
    <row r="39" spans="1:9" ht="18" customHeight="1">
      <c r="A39" s="40">
        <f t="shared" si="0"/>
        <v>37</v>
      </c>
      <c r="B39" s="40">
        <f t="shared" si="2"/>
        <v>27</v>
      </c>
      <c r="C39" s="50">
        <v>43253</v>
      </c>
      <c r="D39" s="109"/>
      <c r="E39" s="109" t="s">
        <v>543</v>
      </c>
      <c r="F39" s="112">
        <v>10</v>
      </c>
      <c r="G39" s="112">
        <f t="shared" si="1"/>
        <v>323</v>
      </c>
      <c r="H39" s="111" t="s">
        <v>502</v>
      </c>
      <c r="I39" s="109"/>
    </row>
    <row r="40" spans="1:9" ht="18" customHeight="1">
      <c r="A40" s="40">
        <f t="shared" si="0"/>
        <v>38</v>
      </c>
      <c r="B40" s="40">
        <f t="shared" si="2"/>
        <v>28</v>
      </c>
      <c r="C40" s="50">
        <v>43253</v>
      </c>
      <c r="D40" s="109"/>
      <c r="E40" s="109" t="s">
        <v>544</v>
      </c>
      <c r="F40" s="112">
        <v>5</v>
      </c>
      <c r="G40" s="112">
        <f t="shared" si="1"/>
        <v>328</v>
      </c>
      <c r="H40" s="111" t="s">
        <v>502</v>
      </c>
      <c r="I40" s="109"/>
    </row>
    <row r="41" spans="1:9" ht="18" customHeight="1">
      <c r="A41" s="40">
        <f t="shared" si="0"/>
        <v>39</v>
      </c>
      <c r="B41" s="40">
        <f t="shared" si="2"/>
        <v>29</v>
      </c>
      <c r="C41" s="50">
        <v>43253</v>
      </c>
      <c r="D41" s="109"/>
      <c r="E41" s="109" t="s">
        <v>545</v>
      </c>
      <c r="F41" s="112">
        <v>5</v>
      </c>
      <c r="G41" s="112">
        <f t="shared" si="1"/>
        <v>333</v>
      </c>
      <c r="H41" s="111" t="s">
        <v>502</v>
      </c>
      <c r="I41" s="109"/>
    </row>
    <row r="42" spans="1:9" ht="18" customHeight="1">
      <c r="A42" s="40">
        <f t="shared" si="0"/>
        <v>40</v>
      </c>
      <c r="B42" s="40">
        <f t="shared" si="2"/>
        <v>30</v>
      </c>
      <c r="C42" s="50">
        <v>43253</v>
      </c>
      <c r="D42" s="109" t="s">
        <v>534</v>
      </c>
      <c r="E42" s="109" t="s">
        <v>546</v>
      </c>
      <c r="F42" s="112">
        <v>10</v>
      </c>
      <c r="G42" s="112">
        <f t="shared" si="1"/>
        <v>343</v>
      </c>
      <c r="H42" s="111" t="s">
        <v>502</v>
      </c>
      <c r="I42" s="109"/>
    </row>
    <row r="43" spans="1:9" ht="18" customHeight="1">
      <c r="A43" s="40">
        <f t="shared" si="0"/>
        <v>41</v>
      </c>
      <c r="B43" s="40">
        <f t="shared" si="2"/>
        <v>31</v>
      </c>
      <c r="C43" s="50">
        <v>43253</v>
      </c>
      <c r="D43" s="109" t="s">
        <v>518</v>
      </c>
      <c r="E43" s="109" t="s">
        <v>547</v>
      </c>
      <c r="F43" s="112">
        <v>10</v>
      </c>
      <c r="G43" s="112">
        <f t="shared" si="1"/>
        <v>353</v>
      </c>
      <c r="H43" s="111" t="s">
        <v>502</v>
      </c>
      <c r="I43" s="109"/>
    </row>
    <row r="44" spans="1:9" ht="18" customHeight="1">
      <c r="A44" s="40">
        <f t="shared" si="0"/>
        <v>42</v>
      </c>
      <c r="B44" s="40">
        <f t="shared" si="2"/>
        <v>32</v>
      </c>
      <c r="C44" s="50">
        <v>43253</v>
      </c>
      <c r="D44" s="109" t="s">
        <v>534</v>
      </c>
      <c r="E44" s="109" t="s">
        <v>548</v>
      </c>
      <c r="F44" s="112">
        <v>7</v>
      </c>
      <c r="G44" s="112">
        <f t="shared" si="1"/>
        <v>360</v>
      </c>
      <c r="H44" s="111" t="s">
        <v>502</v>
      </c>
      <c r="I44" s="109"/>
    </row>
    <row r="45" spans="1:9" ht="18" customHeight="1">
      <c r="A45" s="40">
        <f t="shared" si="0"/>
        <v>43</v>
      </c>
      <c r="B45" s="40">
        <f t="shared" si="2"/>
        <v>33</v>
      </c>
      <c r="C45" s="50">
        <v>43253</v>
      </c>
      <c r="D45" s="109" t="s">
        <v>497</v>
      </c>
      <c r="E45" s="109" t="s">
        <v>549</v>
      </c>
      <c r="F45" s="112">
        <v>10</v>
      </c>
      <c r="G45" s="112">
        <f t="shared" si="1"/>
        <v>370</v>
      </c>
      <c r="H45" s="111" t="s">
        <v>502</v>
      </c>
      <c r="I45" s="109"/>
    </row>
    <row r="46" spans="1:9" ht="18" customHeight="1">
      <c r="A46" s="40">
        <f t="shared" si="0"/>
        <v>44</v>
      </c>
      <c r="B46" s="40">
        <f t="shared" si="2"/>
        <v>34</v>
      </c>
      <c r="C46" s="50">
        <v>43253</v>
      </c>
      <c r="D46" s="109" t="s">
        <v>497</v>
      </c>
      <c r="E46" s="109" t="s">
        <v>550</v>
      </c>
      <c r="F46" s="112">
        <v>10</v>
      </c>
      <c r="G46" s="112">
        <f t="shared" si="1"/>
        <v>380</v>
      </c>
      <c r="H46" s="111" t="s">
        <v>502</v>
      </c>
      <c r="I46" s="109"/>
    </row>
    <row r="47" spans="1:9" ht="18" customHeight="1">
      <c r="A47" s="40">
        <f t="shared" si="0"/>
        <v>45</v>
      </c>
      <c r="B47" s="40">
        <f t="shared" si="2"/>
        <v>35</v>
      </c>
      <c r="C47" s="50">
        <v>43253</v>
      </c>
      <c r="D47" s="109" t="s">
        <v>497</v>
      </c>
      <c r="E47" s="109" t="s">
        <v>551</v>
      </c>
      <c r="F47" s="112">
        <v>5</v>
      </c>
      <c r="G47" s="112">
        <f t="shared" si="1"/>
        <v>385</v>
      </c>
      <c r="H47" s="111" t="s">
        <v>502</v>
      </c>
      <c r="I47" s="109"/>
    </row>
    <row r="48" spans="1:9" ht="18" customHeight="1">
      <c r="A48" s="40">
        <f t="shared" si="0"/>
        <v>46</v>
      </c>
      <c r="B48" s="40">
        <f t="shared" si="2"/>
        <v>36</v>
      </c>
      <c r="C48" s="50">
        <v>43253</v>
      </c>
      <c r="D48" s="109" t="s">
        <v>497</v>
      </c>
      <c r="E48" s="109" t="s">
        <v>552</v>
      </c>
      <c r="F48" s="112">
        <v>5</v>
      </c>
      <c r="G48" s="112">
        <f t="shared" si="1"/>
        <v>390</v>
      </c>
      <c r="H48" s="111" t="s">
        <v>502</v>
      </c>
      <c r="I48" s="109"/>
    </row>
    <row r="49" spans="1:9" ht="18" customHeight="1">
      <c r="A49" s="40">
        <f t="shared" si="0"/>
        <v>47</v>
      </c>
      <c r="B49" s="40">
        <f t="shared" si="2"/>
        <v>37</v>
      </c>
      <c r="C49" s="50">
        <v>43253</v>
      </c>
      <c r="D49" s="109" t="s">
        <v>497</v>
      </c>
      <c r="E49" s="113" t="s">
        <v>553</v>
      </c>
      <c r="F49" s="112">
        <v>20</v>
      </c>
      <c r="G49" s="112">
        <f t="shared" si="1"/>
        <v>410</v>
      </c>
      <c r="H49" s="111" t="s">
        <v>502</v>
      </c>
      <c r="I49" s="109"/>
    </row>
    <row r="50" spans="1:9" ht="18" customHeight="1">
      <c r="A50" s="40">
        <f t="shared" si="0"/>
        <v>48</v>
      </c>
      <c r="B50" s="40">
        <f t="shared" si="2"/>
        <v>38</v>
      </c>
      <c r="C50" s="50">
        <v>43253</v>
      </c>
      <c r="D50" s="109" t="s">
        <v>518</v>
      </c>
      <c r="E50" s="109" t="s">
        <v>554</v>
      </c>
      <c r="F50" s="112">
        <v>15</v>
      </c>
      <c r="G50" s="112">
        <f t="shared" si="1"/>
        <v>425</v>
      </c>
      <c r="H50" s="111" t="s">
        <v>502</v>
      </c>
      <c r="I50" s="109"/>
    </row>
    <row r="51" spans="1:9" ht="18" customHeight="1">
      <c r="A51" s="40">
        <f t="shared" si="0"/>
        <v>49</v>
      </c>
      <c r="B51" s="40">
        <f t="shared" si="2"/>
        <v>39</v>
      </c>
      <c r="C51" s="50">
        <v>43253</v>
      </c>
      <c r="D51" s="109" t="s">
        <v>497</v>
      </c>
      <c r="E51" s="109" t="s">
        <v>555</v>
      </c>
      <c r="F51" s="112">
        <v>5</v>
      </c>
      <c r="G51" s="112">
        <f t="shared" si="1"/>
        <v>430</v>
      </c>
      <c r="H51" s="111" t="s">
        <v>502</v>
      </c>
      <c r="I51" s="109"/>
    </row>
    <row r="52" spans="1:9" ht="18" customHeight="1">
      <c r="A52" s="40">
        <f t="shared" si="0"/>
        <v>50</v>
      </c>
      <c r="B52" s="40">
        <f t="shared" si="2"/>
        <v>40</v>
      </c>
      <c r="C52" s="50">
        <v>43253</v>
      </c>
      <c r="D52" s="109" t="s">
        <v>497</v>
      </c>
      <c r="E52" s="109" t="s">
        <v>556</v>
      </c>
      <c r="F52" s="112">
        <v>5</v>
      </c>
      <c r="G52" s="112">
        <f t="shared" si="1"/>
        <v>435</v>
      </c>
      <c r="H52" s="111" t="s">
        <v>502</v>
      </c>
      <c r="I52" s="109"/>
    </row>
    <row r="53" spans="1:9" ht="18" customHeight="1">
      <c r="A53" s="40">
        <f t="shared" si="0"/>
        <v>51</v>
      </c>
      <c r="B53" s="40">
        <f t="shared" si="2"/>
        <v>41</v>
      </c>
      <c r="C53" s="50">
        <v>43253</v>
      </c>
      <c r="D53" s="109" t="s">
        <v>504</v>
      </c>
      <c r="E53" s="109" t="s">
        <v>557</v>
      </c>
      <c r="F53" s="112">
        <v>5</v>
      </c>
      <c r="G53" s="112">
        <f t="shared" si="1"/>
        <v>440</v>
      </c>
      <c r="H53" s="111" t="s">
        <v>502</v>
      </c>
      <c r="I53" s="109"/>
    </row>
    <row r="54" spans="1:9" ht="18" customHeight="1">
      <c r="A54" s="40">
        <f t="shared" si="0"/>
        <v>52</v>
      </c>
      <c r="B54" s="40">
        <f t="shared" si="2"/>
        <v>42</v>
      </c>
      <c r="C54" s="50">
        <v>43253</v>
      </c>
      <c r="D54" s="109" t="s">
        <v>504</v>
      </c>
      <c r="E54" s="109" t="s">
        <v>558</v>
      </c>
      <c r="F54" s="112">
        <v>5</v>
      </c>
      <c r="G54" s="112">
        <f t="shared" si="1"/>
        <v>445</v>
      </c>
      <c r="H54" s="111" t="s">
        <v>502</v>
      </c>
      <c r="I54" s="109"/>
    </row>
    <row r="55" spans="1:9" ht="18" customHeight="1">
      <c r="A55" s="40">
        <f t="shared" si="0"/>
        <v>53</v>
      </c>
      <c r="B55" s="40">
        <f t="shared" si="2"/>
        <v>43</v>
      </c>
      <c r="C55" s="50">
        <v>43253</v>
      </c>
      <c r="D55" s="109" t="s">
        <v>518</v>
      </c>
      <c r="E55" s="113" t="s">
        <v>559</v>
      </c>
      <c r="F55" s="112">
        <v>15</v>
      </c>
      <c r="G55" s="112">
        <f t="shared" si="1"/>
        <v>460</v>
      </c>
      <c r="H55" s="111" t="s">
        <v>502</v>
      </c>
      <c r="I55" s="109"/>
    </row>
    <row r="56" spans="1:9" ht="18" customHeight="1">
      <c r="A56" s="40">
        <f t="shared" si="0"/>
        <v>54</v>
      </c>
      <c r="B56" s="40">
        <f t="shared" si="2"/>
        <v>44</v>
      </c>
      <c r="C56" s="50">
        <v>43253</v>
      </c>
      <c r="D56" s="109" t="s">
        <v>518</v>
      </c>
      <c r="E56" s="109" t="s">
        <v>560</v>
      </c>
      <c r="F56" s="112">
        <v>5</v>
      </c>
      <c r="G56" s="112">
        <f t="shared" si="1"/>
        <v>465</v>
      </c>
      <c r="H56" s="111" t="s">
        <v>502</v>
      </c>
      <c r="I56" s="109"/>
    </row>
    <row r="57" spans="1:9" ht="18" customHeight="1">
      <c r="A57" s="40">
        <f t="shared" si="0"/>
        <v>55</v>
      </c>
      <c r="B57" s="40">
        <f t="shared" si="2"/>
        <v>45</v>
      </c>
      <c r="C57" s="50">
        <v>43253</v>
      </c>
      <c r="D57" s="109" t="s">
        <v>507</v>
      </c>
      <c r="E57" s="109" t="s">
        <v>561</v>
      </c>
      <c r="F57" s="112">
        <v>10</v>
      </c>
      <c r="G57" s="112">
        <f t="shared" si="1"/>
        <v>475</v>
      </c>
      <c r="H57" s="111" t="s">
        <v>502</v>
      </c>
      <c r="I57" s="109"/>
    </row>
    <row r="58" spans="1:9" ht="18" customHeight="1">
      <c r="A58" s="40">
        <f t="shared" si="0"/>
        <v>56</v>
      </c>
      <c r="B58" s="40">
        <f t="shared" si="2"/>
        <v>46</v>
      </c>
      <c r="C58" s="50">
        <v>43253</v>
      </c>
      <c r="D58" s="109" t="s">
        <v>500</v>
      </c>
      <c r="E58" s="109" t="s">
        <v>562</v>
      </c>
      <c r="F58" s="112">
        <v>5</v>
      </c>
      <c r="G58" s="112">
        <f t="shared" si="1"/>
        <v>480</v>
      </c>
      <c r="H58" s="111" t="s">
        <v>502</v>
      </c>
      <c r="I58" s="109"/>
    </row>
    <row r="59" spans="1:9" ht="18" customHeight="1">
      <c r="A59" s="40">
        <f t="shared" si="0"/>
        <v>57</v>
      </c>
      <c r="B59" s="40">
        <f t="shared" si="2"/>
        <v>47</v>
      </c>
      <c r="C59" s="50">
        <v>43253</v>
      </c>
      <c r="D59" s="109" t="s">
        <v>534</v>
      </c>
      <c r="E59" s="109" t="s">
        <v>563</v>
      </c>
      <c r="F59" s="112">
        <v>5</v>
      </c>
      <c r="G59" s="112">
        <f t="shared" si="1"/>
        <v>485</v>
      </c>
      <c r="H59" s="111" t="s">
        <v>502</v>
      </c>
      <c r="I59" s="109"/>
    </row>
    <row r="60" spans="1:9" ht="18" customHeight="1">
      <c r="A60" s="40">
        <f t="shared" si="0"/>
        <v>58</v>
      </c>
      <c r="B60" s="40">
        <f t="shared" si="2"/>
        <v>48</v>
      </c>
      <c r="C60" s="50">
        <v>43253</v>
      </c>
      <c r="D60" s="109" t="s">
        <v>507</v>
      </c>
      <c r="E60" s="113" t="s">
        <v>564</v>
      </c>
      <c r="F60" s="112">
        <v>20</v>
      </c>
      <c r="G60" s="112">
        <f t="shared" si="1"/>
        <v>505</v>
      </c>
      <c r="H60" s="111" t="s">
        <v>502</v>
      </c>
      <c r="I60" s="109"/>
    </row>
    <row r="61" spans="1:9" ht="18" customHeight="1">
      <c r="A61" s="40">
        <f t="shared" si="0"/>
        <v>59</v>
      </c>
      <c r="B61" s="40">
        <f t="shared" si="2"/>
        <v>49</v>
      </c>
      <c r="C61" s="50">
        <v>43253</v>
      </c>
      <c r="D61" s="109" t="s">
        <v>534</v>
      </c>
      <c r="E61" s="109" t="s">
        <v>565</v>
      </c>
      <c r="F61" s="112">
        <v>5</v>
      </c>
      <c r="G61" s="112">
        <f t="shared" si="1"/>
        <v>510</v>
      </c>
      <c r="H61" s="111" t="s">
        <v>502</v>
      </c>
      <c r="I61" s="109"/>
    </row>
    <row r="62" spans="1:9" ht="18" customHeight="1">
      <c r="A62" s="40">
        <f t="shared" si="0"/>
        <v>60</v>
      </c>
      <c r="B62" s="40">
        <f t="shared" si="2"/>
        <v>50</v>
      </c>
      <c r="C62" s="50">
        <v>43253</v>
      </c>
      <c r="D62" s="109" t="s">
        <v>534</v>
      </c>
      <c r="E62" s="109" t="s">
        <v>566</v>
      </c>
      <c r="F62" s="112">
        <v>5</v>
      </c>
      <c r="G62" s="112">
        <f t="shared" si="1"/>
        <v>515</v>
      </c>
      <c r="H62" s="111" t="s">
        <v>502</v>
      </c>
      <c r="I62" s="109"/>
    </row>
    <row r="63" spans="1:9" ht="18" customHeight="1">
      <c r="A63" s="40">
        <f t="shared" si="0"/>
        <v>61</v>
      </c>
      <c r="B63" s="40">
        <f t="shared" si="2"/>
        <v>51</v>
      </c>
      <c r="C63" s="50">
        <v>43253</v>
      </c>
      <c r="D63" s="109" t="s">
        <v>518</v>
      </c>
      <c r="E63" s="109" t="s">
        <v>567</v>
      </c>
      <c r="F63" s="112">
        <v>5</v>
      </c>
      <c r="G63" s="112">
        <f t="shared" si="1"/>
        <v>520</v>
      </c>
      <c r="H63" s="111" t="s">
        <v>502</v>
      </c>
      <c r="I63" s="109"/>
    </row>
    <row r="64" spans="1:9" ht="18" customHeight="1">
      <c r="A64" s="40">
        <f t="shared" si="0"/>
        <v>62</v>
      </c>
      <c r="B64" s="40">
        <f t="shared" si="2"/>
        <v>52</v>
      </c>
      <c r="C64" s="50">
        <v>43253</v>
      </c>
      <c r="D64" s="109"/>
      <c r="E64" s="109" t="s">
        <v>568</v>
      </c>
      <c r="F64" s="112">
        <v>5</v>
      </c>
      <c r="G64" s="112">
        <f t="shared" si="1"/>
        <v>525</v>
      </c>
      <c r="H64" s="111" t="s">
        <v>502</v>
      </c>
      <c r="I64" s="109"/>
    </row>
    <row r="65" spans="1:9" ht="18" customHeight="1">
      <c r="A65" s="40">
        <f t="shared" si="0"/>
        <v>63</v>
      </c>
      <c r="B65" s="40">
        <f t="shared" si="2"/>
        <v>53</v>
      </c>
      <c r="C65" s="50">
        <v>43253</v>
      </c>
      <c r="D65" s="109" t="s">
        <v>569</v>
      </c>
      <c r="E65" s="109" t="s">
        <v>570</v>
      </c>
      <c r="F65" s="112">
        <v>30</v>
      </c>
      <c r="G65" s="112">
        <f t="shared" si="1"/>
        <v>555</v>
      </c>
      <c r="H65" s="111" t="s">
        <v>502</v>
      </c>
      <c r="I65" s="109"/>
    </row>
    <row r="66" spans="1:9" ht="18" customHeight="1">
      <c r="A66" s="40">
        <f t="shared" si="0"/>
        <v>64</v>
      </c>
      <c r="B66" s="40">
        <f t="shared" si="2"/>
        <v>54</v>
      </c>
      <c r="C66" s="50">
        <v>43253</v>
      </c>
      <c r="D66" s="109" t="s">
        <v>569</v>
      </c>
      <c r="E66" s="109" t="s">
        <v>571</v>
      </c>
      <c r="F66" s="112">
        <v>10</v>
      </c>
      <c r="G66" s="112">
        <f t="shared" si="1"/>
        <v>565</v>
      </c>
      <c r="H66" s="111" t="s">
        <v>502</v>
      </c>
      <c r="I66" s="109"/>
    </row>
    <row r="67" spans="1:9" ht="18" customHeight="1">
      <c r="A67" s="40">
        <f t="shared" si="0"/>
        <v>65</v>
      </c>
      <c r="B67" s="40">
        <f t="shared" si="2"/>
        <v>55</v>
      </c>
      <c r="C67" s="50">
        <v>43253</v>
      </c>
      <c r="D67" s="109" t="s">
        <v>518</v>
      </c>
      <c r="E67" s="109" t="s">
        <v>572</v>
      </c>
      <c r="F67" s="112">
        <v>10</v>
      </c>
      <c r="G67" s="112">
        <f t="shared" si="1"/>
        <v>575</v>
      </c>
      <c r="H67" s="111" t="s">
        <v>502</v>
      </c>
      <c r="I67" s="109"/>
    </row>
    <row r="68" spans="1:9" ht="18" customHeight="1">
      <c r="A68" s="40">
        <f t="shared" si="0"/>
        <v>66</v>
      </c>
      <c r="B68" s="40">
        <f t="shared" si="2"/>
        <v>56</v>
      </c>
      <c r="C68" s="50">
        <v>43253</v>
      </c>
      <c r="D68" s="109"/>
      <c r="E68" s="109" t="s">
        <v>573</v>
      </c>
      <c r="F68" s="112">
        <v>5</v>
      </c>
      <c r="G68" s="112">
        <f t="shared" si="1"/>
        <v>580</v>
      </c>
      <c r="H68" s="111" t="s">
        <v>502</v>
      </c>
      <c r="I68" s="109"/>
    </row>
    <row r="69" spans="1:9" ht="18" customHeight="1">
      <c r="A69" s="40">
        <f t="shared" si="0"/>
        <v>67</v>
      </c>
      <c r="B69" s="40">
        <f t="shared" si="2"/>
        <v>57</v>
      </c>
      <c r="C69" s="50">
        <v>43253</v>
      </c>
      <c r="D69" s="109" t="s">
        <v>518</v>
      </c>
      <c r="E69" s="109" t="s">
        <v>574</v>
      </c>
      <c r="F69" s="112">
        <v>10</v>
      </c>
      <c r="G69" s="112">
        <f t="shared" ref="G69:G132" si="3">F69+G68</f>
        <v>590</v>
      </c>
      <c r="H69" s="111" t="s">
        <v>502</v>
      </c>
      <c r="I69" s="109"/>
    </row>
    <row r="70" spans="1:9" ht="18" customHeight="1">
      <c r="A70" s="40">
        <f t="shared" si="0"/>
        <v>68</v>
      </c>
      <c r="B70" s="40">
        <f t="shared" si="2"/>
        <v>58</v>
      </c>
      <c r="C70" s="50">
        <v>43253</v>
      </c>
      <c r="D70" s="109" t="s">
        <v>518</v>
      </c>
      <c r="E70" s="109" t="s">
        <v>575</v>
      </c>
      <c r="F70" s="112">
        <v>10</v>
      </c>
      <c r="G70" s="112">
        <f t="shared" si="3"/>
        <v>600</v>
      </c>
      <c r="H70" s="111" t="s">
        <v>502</v>
      </c>
      <c r="I70" s="109"/>
    </row>
    <row r="71" spans="1:9" ht="18" customHeight="1">
      <c r="A71" s="40">
        <f t="shared" si="0"/>
        <v>69</v>
      </c>
      <c r="B71" s="40">
        <f t="shared" si="2"/>
        <v>59</v>
      </c>
      <c r="C71" s="50">
        <v>43253</v>
      </c>
      <c r="D71" s="109" t="s">
        <v>518</v>
      </c>
      <c r="E71" s="109" t="s">
        <v>576</v>
      </c>
      <c r="F71" s="112">
        <v>5</v>
      </c>
      <c r="G71" s="112">
        <f t="shared" si="3"/>
        <v>605</v>
      </c>
      <c r="H71" s="111" t="s">
        <v>502</v>
      </c>
      <c r="I71" s="109"/>
    </row>
    <row r="72" spans="1:9" ht="18" customHeight="1">
      <c r="A72" s="40">
        <f t="shared" si="0"/>
        <v>70</v>
      </c>
      <c r="B72" s="40">
        <f t="shared" si="2"/>
        <v>60</v>
      </c>
      <c r="C72" s="50">
        <v>43253</v>
      </c>
      <c r="D72" s="109" t="s">
        <v>518</v>
      </c>
      <c r="E72" s="109" t="s">
        <v>577</v>
      </c>
      <c r="F72" s="112">
        <v>10</v>
      </c>
      <c r="G72" s="112">
        <f t="shared" si="3"/>
        <v>615</v>
      </c>
      <c r="H72" s="111" t="s">
        <v>502</v>
      </c>
      <c r="I72" s="109"/>
    </row>
    <row r="73" spans="1:9" ht="18" customHeight="1">
      <c r="A73" s="40">
        <f t="shared" si="0"/>
        <v>71</v>
      </c>
      <c r="B73" s="40">
        <f t="shared" si="2"/>
        <v>61</v>
      </c>
      <c r="C73" s="50">
        <v>43253</v>
      </c>
      <c r="D73" s="109" t="s">
        <v>518</v>
      </c>
      <c r="E73" s="109" t="s">
        <v>578</v>
      </c>
      <c r="F73" s="112">
        <v>10</v>
      </c>
      <c r="G73" s="112">
        <f t="shared" si="3"/>
        <v>625</v>
      </c>
      <c r="H73" s="111" t="s">
        <v>502</v>
      </c>
      <c r="I73" s="109"/>
    </row>
    <row r="74" spans="1:9" ht="18" customHeight="1">
      <c r="A74" s="40">
        <f t="shared" si="0"/>
        <v>72</v>
      </c>
      <c r="B74" s="40">
        <f t="shared" si="2"/>
        <v>62</v>
      </c>
      <c r="C74" s="50">
        <v>43253</v>
      </c>
      <c r="D74" s="109" t="s">
        <v>579</v>
      </c>
      <c r="E74" s="109" t="s">
        <v>580</v>
      </c>
      <c r="F74" s="112">
        <v>10</v>
      </c>
      <c r="G74" s="112">
        <f t="shared" si="3"/>
        <v>635</v>
      </c>
      <c r="H74" s="111" t="s">
        <v>502</v>
      </c>
      <c r="I74" s="109"/>
    </row>
    <row r="75" spans="1:9" ht="18" customHeight="1">
      <c r="A75" s="40">
        <f t="shared" si="0"/>
        <v>73</v>
      </c>
      <c r="B75" s="40">
        <f t="shared" si="2"/>
        <v>63</v>
      </c>
      <c r="C75" s="50">
        <v>43253</v>
      </c>
      <c r="D75" s="109" t="s">
        <v>500</v>
      </c>
      <c r="E75" s="109" t="s">
        <v>581</v>
      </c>
      <c r="F75" s="112">
        <v>10</v>
      </c>
      <c r="G75" s="112">
        <f t="shared" si="3"/>
        <v>645</v>
      </c>
      <c r="H75" s="111" t="s">
        <v>502</v>
      </c>
      <c r="I75" s="109"/>
    </row>
    <row r="76" spans="1:9" ht="18" customHeight="1">
      <c r="A76" s="40">
        <f t="shared" si="0"/>
        <v>74</v>
      </c>
      <c r="B76" s="40">
        <f t="shared" si="2"/>
        <v>64</v>
      </c>
      <c r="C76" s="50">
        <v>43253</v>
      </c>
      <c r="D76" s="109" t="s">
        <v>500</v>
      </c>
      <c r="E76" s="109" t="s">
        <v>582</v>
      </c>
      <c r="F76" s="112">
        <v>10</v>
      </c>
      <c r="G76" s="112">
        <f t="shared" si="3"/>
        <v>655</v>
      </c>
      <c r="H76" s="111" t="s">
        <v>502</v>
      </c>
      <c r="I76" s="109"/>
    </row>
    <row r="77" spans="1:9" ht="18" customHeight="1">
      <c r="A77" s="40">
        <f t="shared" si="0"/>
        <v>75</v>
      </c>
      <c r="B77" s="40">
        <f t="shared" si="2"/>
        <v>65</v>
      </c>
      <c r="C77" s="50">
        <v>43253</v>
      </c>
      <c r="D77" s="109" t="s">
        <v>497</v>
      </c>
      <c r="E77" s="109" t="s">
        <v>583</v>
      </c>
      <c r="F77" s="112">
        <v>10</v>
      </c>
      <c r="G77" s="112">
        <f t="shared" si="3"/>
        <v>665</v>
      </c>
      <c r="H77" s="111" t="s">
        <v>502</v>
      </c>
      <c r="I77" s="109"/>
    </row>
    <row r="78" spans="1:9" ht="18" customHeight="1">
      <c r="A78" s="40">
        <f t="shared" si="0"/>
        <v>76</v>
      </c>
      <c r="B78" s="40">
        <f t="shared" si="2"/>
        <v>66</v>
      </c>
      <c r="C78" s="50">
        <v>43253</v>
      </c>
      <c r="D78" s="109" t="s">
        <v>504</v>
      </c>
      <c r="E78" s="109" t="s">
        <v>584</v>
      </c>
      <c r="F78" s="112">
        <v>10</v>
      </c>
      <c r="G78" s="112">
        <f t="shared" si="3"/>
        <v>675</v>
      </c>
      <c r="H78" s="111" t="s">
        <v>502</v>
      </c>
      <c r="I78" s="109"/>
    </row>
    <row r="79" spans="1:9" ht="18" customHeight="1">
      <c r="A79" s="40">
        <f t="shared" si="0"/>
        <v>77</v>
      </c>
      <c r="B79" s="40">
        <f t="shared" si="2"/>
        <v>67</v>
      </c>
      <c r="C79" s="50">
        <v>43253</v>
      </c>
      <c r="D79" s="109" t="s">
        <v>518</v>
      </c>
      <c r="E79" s="109" t="s">
        <v>585</v>
      </c>
      <c r="F79" s="112">
        <v>5</v>
      </c>
      <c r="G79" s="112">
        <f t="shared" si="3"/>
        <v>680</v>
      </c>
      <c r="H79" s="111" t="s">
        <v>502</v>
      </c>
      <c r="I79" s="109"/>
    </row>
    <row r="80" spans="1:9" ht="18" customHeight="1">
      <c r="A80" s="40">
        <f t="shared" si="0"/>
        <v>78</v>
      </c>
      <c r="B80" s="40">
        <f t="shared" si="2"/>
        <v>68</v>
      </c>
      <c r="C80" s="50">
        <v>43253</v>
      </c>
      <c r="D80" s="109" t="s">
        <v>586</v>
      </c>
      <c r="E80" s="109" t="s">
        <v>587</v>
      </c>
      <c r="F80" s="112">
        <v>5</v>
      </c>
      <c r="G80" s="112">
        <f t="shared" si="3"/>
        <v>685</v>
      </c>
      <c r="H80" s="111" t="s">
        <v>502</v>
      </c>
      <c r="I80" s="109"/>
    </row>
    <row r="81" spans="1:9" ht="18" customHeight="1">
      <c r="A81" s="40">
        <f t="shared" si="0"/>
        <v>79</v>
      </c>
      <c r="B81" s="40">
        <f t="shared" si="2"/>
        <v>69</v>
      </c>
      <c r="C81" s="50">
        <v>43253</v>
      </c>
      <c r="D81" s="109"/>
      <c r="E81" s="109" t="s">
        <v>588</v>
      </c>
      <c r="F81" s="112">
        <v>30</v>
      </c>
      <c r="G81" s="112">
        <f t="shared" si="3"/>
        <v>715</v>
      </c>
      <c r="H81" s="111" t="s">
        <v>502</v>
      </c>
      <c r="I81" s="109"/>
    </row>
    <row r="82" spans="1:9" ht="18" customHeight="1">
      <c r="A82" s="40">
        <f t="shared" si="0"/>
        <v>80</v>
      </c>
      <c r="B82" s="40">
        <f t="shared" si="2"/>
        <v>70</v>
      </c>
      <c r="C82" s="50">
        <v>43253</v>
      </c>
      <c r="D82" s="109" t="s">
        <v>586</v>
      </c>
      <c r="E82" s="109" t="s">
        <v>589</v>
      </c>
      <c r="F82" s="112">
        <v>10</v>
      </c>
      <c r="G82" s="112">
        <f t="shared" si="3"/>
        <v>725</v>
      </c>
      <c r="H82" s="111" t="s">
        <v>502</v>
      </c>
      <c r="I82" s="109"/>
    </row>
    <row r="83" spans="1:9" ht="18" customHeight="1">
      <c r="A83" s="40">
        <f t="shared" si="0"/>
        <v>81</v>
      </c>
      <c r="B83" s="40">
        <f t="shared" si="2"/>
        <v>71</v>
      </c>
      <c r="C83" s="50">
        <v>43253</v>
      </c>
      <c r="D83" s="109"/>
      <c r="E83" s="109" t="s">
        <v>590</v>
      </c>
      <c r="F83" s="112">
        <v>30</v>
      </c>
      <c r="G83" s="112">
        <f t="shared" si="3"/>
        <v>755</v>
      </c>
      <c r="H83" s="111" t="s">
        <v>502</v>
      </c>
      <c r="I83" s="109"/>
    </row>
    <row r="84" spans="1:9" ht="18" customHeight="1">
      <c r="A84" s="40">
        <f t="shared" si="0"/>
        <v>82</v>
      </c>
      <c r="B84" s="40">
        <f t="shared" si="2"/>
        <v>72</v>
      </c>
      <c r="C84" s="50">
        <v>43253</v>
      </c>
      <c r="D84" s="109"/>
      <c r="E84" s="109" t="s">
        <v>591</v>
      </c>
      <c r="F84" s="112">
        <v>30</v>
      </c>
      <c r="G84" s="112">
        <f t="shared" si="3"/>
        <v>785</v>
      </c>
      <c r="H84" s="111" t="s">
        <v>502</v>
      </c>
      <c r="I84" s="109"/>
    </row>
    <row r="85" spans="1:9" ht="18" customHeight="1">
      <c r="A85" s="40">
        <f t="shared" si="0"/>
        <v>83</v>
      </c>
      <c r="B85" s="40">
        <f t="shared" si="2"/>
        <v>73</v>
      </c>
      <c r="C85" s="50">
        <v>43253</v>
      </c>
      <c r="D85" s="109" t="s">
        <v>569</v>
      </c>
      <c r="E85" s="109" t="s">
        <v>592</v>
      </c>
      <c r="F85" s="112">
        <v>30</v>
      </c>
      <c r="G85" s="112">
        <f t="shared" si="3"/>
        <v>815</v>
      </c>
      <c r="H85" s="111" t="s">
        <v>502</v>
      </c>
      <c r="I85" s="109"/>
    </row>
    <row r="86" spans="1:9" ht="18" customHeight="1">
      <c r="A86" s="40">
        <f t="shared" si="0"/>
        <v>84</v>
      </c>
      <c r="B86" s="40">
        <f t="shared" si="2"/>
        <v>74</v>
      </c>
      <c r="C86" s="50">
        <v>43253</v>
      </c>
      <c r="D86" s="109" t="s">
        <v>569</v>
      </c>
      <c r="E86" s="109" t="s">
        <v>593</v>
      </c>
      <c r="F86" s="112">
        <v>10</v>
      </c>
      <c r="G86" s="112">
        <f t="shared" si="3"/>
        <v>825</v>
      </c>
      <c r="H86" s="111" t="s">
        <v>502</v>
      </c>
      <c r="I86" s="109"/>
    </row>
    <row r="87" spans="1:9" ht="18" customHeight="1">
      <c r="A87" s="40">
        <f t="shared" si="0"/>
        <v>85</v>
      </c>
      <c r="B87" s="40">
        <f t="shared" si="2"/>
        <v>75</v>
      </c>
      <c r="C87" s="50">
        <v>43253</v>
      </c>
      <c r="D87" s="109" t="s">
        <v>569</v>
      </c>
      <c r="E87" s="109" t="s">
        <v>594</v>
      </c>
      <c r="F87" s="112">
        <v>10</v>
      </c>
      <c r="G87" s="112">
        <f t="shared" si="3"/>
        <v>835</v>
      </c>
      <c r="H87" s="111" t="s">
        <v>502</v>
      </c>
      <c r="I87" s="109"/>
    </row>
    <row r="88" spans="1:9" ht="18" customHeight="1">
      <c r="A88" s="40">
        <f t="shared" si="0"/>
        <v>86</v>
      </c>
      <c r="B88" s="40">
        <f t="shared" si="2"/>
        <v>76</v>
      </c>
      <c r="C88" s="50">
        <v>43253</v>
      </c>
      <c r="D88" s="109" t="s">
        <v>569</v>
      </c>
      <c r="E88" s="109" t="s">
        <v>595</v>
      </c>
      <c r="F88" s="112">
        <v>20</v>
      </c>
      <c r="G88" s="112">
        <f t="shared" si="3"/>
        <v>855</v>
      </c>
      <c r="H88" s="111" t="s">
        <v>502</v>
      </c>
      <c r="I88" s="109"/>
    </row>
    <row r="89" spans="1:9" ht="18" customHeight="1">
      <c r="A89" s="40">
        <f t="shared" si="0"/>
        <v>87</v>
      </c>
      <c r="B89" s="40">
        <f t="shared" ref="B89:B152" si="4">ROW()-12</f>
        <v>77</v>
      </c>
      <c r="C89" s="50">
        <v>43253</v>
      </c>
      <c r="D89" s="109" t="s">
        <v>586</v>
      </c>
      <c r="E89" s="109" t="s">
        <v>596</v>
      </c>
      <c r="F89" s="112">
        <v>5</v>
      </c>
      <c r="G89" s="112">
        <f t="shared" si="3"/>
        <v>860</v>
      </c>
      <c r="H89" s="111" t="s">
        <v>502</v>
      </c>
      <c r="I89" s="109"/>
    </row>
    <row r="90" spans="1:9" ht="18" customHeight="1">
      <c r="A90" s="40">
        <f t="shared" si="0"/>
        <v>88</v>
      </c>
      <c r="B90" s="40">
        <f t="shared" si="4"/>
        <v>78</v>
      </c>
      <c r="C90" s="50">
        <v>43253</v>
      </c>
      <c r="D90" s="109" t="s">
        <v>497</v>
      </c>
      <c r="E90" s="109" t="s">
        <v>597</v>
      </c>
      <c r="F90" s="112">
        <v>10</v>
      </c>
      <c r="G90" s="112">
        <f t="shared" si="3"/>
        <v>870</v>
      </c>
      <c r="H90" s="111" t="s">
        <v>502</v>
      </c>
      <c r="I90" s="109"/>
    </row>
    <row r="91" spans="1:9" ht="18" customHeight="1">
      <c r="A91" s="40">
        <f t="shared" si="0"/>
        <v>89</v>
      </c>
      <c r="B91" s="40">
        <f t="shared" si="4"/>
        <v>79</v>
      </c>
      <c r="C91" s="50">
        <v>43253</v>
      </c>
      <c r="D91" s="109" t="s">
        <v>579</v>
      </c>
      <c r="E91" s="109" t="s">
        <v>598</v>
      </c>
      <c r="F91" s="112">
        <v>10</v>
      </c>
      <c r="G91" s="112">
        <f t="shared" si="3"/>
        <v>880</v>
      </c>
      <c r="H91" s="111" t="s">
        <v>502</v>
      </c>
      <c r="I91" s="109"/>
    </row>
    <row r="92" spans="1:9" ht="18" customHeight="1">
      <c r="A92" s="40">
        <f t="shared" si="0"/>
        <v>90</v>
      </c>
      <c r="B92" s="40">
        <f t="shared" si="4"/>
        <v>80</v>
      </c>
      <c r="C92" s="50">
        <v>43253</v>
      </c>
      <c r="D92" s="109" t="s">
        <v>586</v>
      </c>
      <c r="E92" s="109" t="s">
        <v>599</v>
      </c>
      <c r="F92" s="112">
        <v>5</v>
      </c>
      <c r="G92" s="112">
        <f t="shared" si="3"/>
        <v>885</v>
      </c>
      <c r="H92" s="111" t="s">
        <v>502</v>
      </c>
      <c r="I92" s="109"/>
    </row>
    <row r="93" spans="1:9" ht="18" customHeight="1">
      <c r="A93" s="40">
        <f t="shared" si="0"/>
        <v>91</v>
      </c>
      <c r="B93" s="40">
        <f t="shared" si="4"/>
        <v>81</v>
      </c>
      <c r="C93" s="50">
        <v>43253</v>
      </c>
      <c r="D93" s="109" t="s">
        <v>586</v>
      </c>
      <c r="E93" s="109" t="s">
        <v>600</v>
      </c>
      <c r="F93" s="112">
        <v>5</v>
      </c>
      <c r="G93" s="112">
        <f t="shared" si="3"/>
        <v>890</v>
      </c>
      <c r="H93" s="111" t="s">
        <v>502</v>
      </c>
      <c r="I93" s="109"/>
    </row>
    <row r="94" spans="1:9" ht="18" customHeight="1">
      <c r="A94" s="40">
        <f t="shared" si="0"/>
        <v>92</v>
      </c>
      <c r="B94" s="40">
        <f t="shared" si="4"/>
        <v>82</v>
      </c>
      <c r="C94" s="50">
        <v>43253</v>
      </c>
      <c r="D94" s="109" t="s">
        <v>586</v>
      </c>
      <c r="E94" s="109" t="s">
        <v>601</v>
      </c>
      <c r="F94" s="112">
        <v>5</v>
      </c>
      <c r="G94" s="112">
        <f t="shared" si="3"/>
        <v>895</v>
      </c>
      <c r="H94" s="111" t="s">
        <v>502</v>
      </c>
      <c r="I94" s="109"/>
    </row>
    <row r="95" spans="1:9" ht="18" customHeight="1">
      <c r="A95" s="40">
        <f t="shared" si="0"/>
        <v>93</v>
      </c>
      <c r="B95" s="40">
        <f t="shared" si="4"/>
        <v>83</v>
      </c>
      <c r="C95" s="50">
        <v>43253</v>
      </c>
      <c r="D95" s="109" t="s">
        <v>586</v>
      </c>
      <c r="E95" s="109" t="s">
        <v>602</v>
      </c>
      <c r="F95" s="112">
        <v>5</v>
      </c>
      <c r="G95" s="112">
        <f t="shared" si="3"/>
        <v>900</v>
      </c>
      <c r="H95" s="111" t="s">
        <v>502</v>
      </c>
      <c r="I95" s="109"/>
    </row>
    <row r="96" spans="1:9" ht="18" customHeight="1">
      <c r="A96" s="40">
        <f t="shared" si="0"/>
        <v>94</v>
      </c>
      <c r="B96" s="40">
        <f t="shared" si="4"/>
        <v>84</v>
      </c>
      <c r="C96" s="50">
        <v>43253</v>
      </c>
      <c r="D96" s="109" t="s">
        <v>586</v>
      </c>
      <c r="E96" s="109" t="s">
        <v>603</v>
      </c>
      <c r="F96" s="112">
        <v>5</v>
      </c>
      <c r="G96" s="112">
        <f t="shared" si="3"/>
        <v>905</v>
      </c>
      <c r="H96" s="111" t="s">
        <v>502</v>
      </c>
      <c r="I96" s="109"/>
    </row>
    <row r="97" spans="1:9" ht="18" customHeight="1">
      <c r="A97" s="40">
        <f t="shared" si="0"/>
        <v>95</v>
      </c>
      <c r="B97" s="40">
        <f t="shared" si="4"/>
        <v>85</v>
      </c>
      <c r="C97" s="50">
        <v>43253</v>
      </c>
      <c r="D97" s="109" t="s">
        <v>500</v>
      </c>
      <c r="E97" s="109" t="s">
        <v>604</v>
      </c>
      <c r="F97" s="112">
        <v>10</v>
      </c>
      <c r="G97" s="112">
        <f t="shared" si="3"/>
        <v>915</v>
      </c>
      <c r="H97" s="111" t="s">
        <v>502</v>
      </c>
      <c r="I97" s="109"/>
    </row>
    <row r="98" spans="1:9" ht="18" customHeight="1">
      <c r="A98" s="40">
        <f t="shared" si="0"/>
        <v>96</v>
      </c>
      <c r="B98" s="40">
        <f t="shared" si="4"/>
        <v>86</v>
      </c>
      <c r="C98" s="50">
        <v>43253</v>
      </c>
      <c r="D98" s="109" t="s">
        <v>579</v>
      </c>
      <c r="E98" s="109" t="s">
        <v>605</v>
      </c>
      <c r="F98" s="112">
        <v>10</v>
      </c>
      <c r="G98" s="112">
        <f t="shared" si="3"/>
        <v>925</v>
      </c>
      <c r="H98" s="111" t="s">
        <v>502</v>
      </c>
      <c r="I98" s="109"/>
    </row>
    <row r="99" spans="1:9" ht="18" customHeight="1">
      <c r="A99" s="40">
        <f t="shared" si="0"/>
        <v>97</v>
      </c>
      <c r="B99" s="40">
        <f t="shared" si="4"/>
        <v>87</v>
      </c>
      <c r="C99" s="50">
        <v>43253</v>
      </c>
      <c r="D99" s="109" t="s">
        <v>579</v>
      </c>
      <c r="E99" s="109" t="s">
        <v>606</v>
      </c>
      <c r="F99" s="112">
        <v>10</v>
      </c>
      <c r="G99" s="112">
        <f t="shared" si="3"/>
        <v>935</v>
      </c>
      <c r="H99" s="111" t="s">
        <v>502</v>
      </c>
      <c r="I99" s="109"/>
    </row>
    <row r="100" spans="1:9" ht="18" customHeight="1">
      <c r="A100" s="40">
        <f t="shared" si="0"/>
        <v>98</v>
      </c>
      <c r="B100" s="40">
        <f t="shared" si="4"/>
        <v>88</v>
      </c>
      <c r="C100" s="50">
        <v>43253</v>
      </c>
      <c r="D100" s="109" t="s">
        <v>534</v>
      </c>
      <c r="E100" s="109" t="s">
        <v>607</v>
      </c>
      <c r="F100" s="112">
        <v>10</v>
      </c>
      <c r="G100" s="112">
        <f t="shared" si="3"/>
        <v>945</v>
      </c>
      <c r="H100" s="111" t="s">
        <v>502</v>
      </c>
      <c r="I100" s="109"/>
    </row>
    <row r="101" spans="1:9" ht="18" customHeight="1">
      <c r="A101" s="40">
        <f t="shared" si="0"/>
        <v>99</v>
      </c>
      <c r="B101" s="40">
        <f t="shared" si="4"/>
        <v>89</v>
      </c>
      <c r="C101" s="50">
        <v>43253</v>
      </c>
      <c r="D101" s="109" t="s">
        <v>569</v>
      </c>
      <c r="E101" s="109" t="s">
        <v>608</v>
      </c>
      <c r="F101" s="112">
        <v>10</v>
      </c>
      <c r="G101" s="112">
        <f t="shared" si="3"/>
        <v>955</v>
      </c>
      <c r="H101" s="111" t="s">
        <v>502</v>
      </c>
      <c r="I101" s="109"/>
    </row>
    <row r="102" spans="1:9" ht="18" customHeight="1">
      <c r="A102" s="40">
        <f t="shared" si="0"/>
        <v>100</v>
      </c>
      <c r="B102" s="40">
        <f t="shared" si="4"/>
        <v>90</v>
      </c>
      <c r="C102" s="50">
        <v>43253</v>
      </c>
      <c r="D102" s="109" t="s">
        <v>569</v>
      </c>
      <c r="E102" s="109" t="s">
        <v>609</v>
      </c>
      <c r="F102" s="112">
        <v>10</v>
      </c>
      <c r="G102" s="112">
        <f t="shared" si="3"/>
        <v>965</v>
      </c>
      <c r="H102" s="111" t="s">
        <v>502</v>
      </c>
      <c r="I102" s="109"/>
    </row>
    <row r="103" spans="1:9" ht="18" customHeight="1">
      <c r="A103" s="40">
        <f t="shared" si="0"/>
        <v>101</v>
      </c>
      <c r="B103" s="40">
        <f t="shared" si="4"/>
        <v>91</v>
      </c>
      <c r="C103" s="50">
        <v>43253</v>
      </c>
      <c r="D103" s="109" t="s">
        <v>569</v>
      </c>
      <c r="E103" s="109" t="s">
        <v>610</v>
      </c>
      <c r="F103" s="112">
        <v>10</v>
      </c>
      <c r="G103" s="112">
        <f t="shared" si="3"/>
        <v>975</v>
      </c>
      <c r="H103" s="111" t="s">
        <v>502</v>
      </c>
      <c r="I103" s="109"/>
    </row>
    <row r="104" spans="1:9" ht="18" customHeight="1">
      <c r="A104" s="40">
        <f t="shared" si="0"/>
        <v>102</v>
      </c>
      <c r="B104" s="40">
        <f t="shared" si="4"/>
        <v>92</v>
      </c>
      <c r="C104" s="50">
        <v>43253</v>
      </c>
      <c r="D104" s="109" t="s">
        <v>569</v>
      </c>
      <c r="E104" s="109" t="s">
        <v>611</v>
      </c>
      <c r="F104" s="112">
        <v>20</v>
      </c>
      <c r="G104" s="112">
        <f t="shared" si="3"/>
        <v>995</v>
      </c>
      <c r="H104" s="111" t="s">
        <v>502</v>
      </c>
      <c r="I104" s="109"/>
    </row>
    <row r="105" spans="1:9" ht="18" customHeight="1">
      <c r="A105" s="40">
        <f t="shared" si="0"/>
        <v>103</v>
      </c>
      <c r="B105" s="40">
        <f t="shared" si="4"/>
        <v>93</v>
      </c>
      <c r="C105" s="50">
        <v>43253</v>
      </c>
      <c r="D105" s="109" t="s">
        <v>586</v>
      </c>
      <c r="E105" s="109" t="s">
        <v>612</v>
      </c>
      <c r="F105" s="112">
        <v>5</v>
      </c>
      <c r="G105" s="112">
        <f t="shared" si="3"/>
        <v>1000</v>
      </c>
      <c r="H105" s="111" t="s">
        <v>502</v>
      </c>
      <c r="I105" s="109"/>
    </row>
    <row r="106" spans="1:9" ht="18" customHeight="1">
      <c r="A106" s="40">
        <f t="shared" si="0"/>
        <v>104</v>
      </c>
      <c r="B106" s="40">
        <f t="shared" si="4"/>
        <v>94</v>
      </c>
      <c r="C106" s="50">
        <v>43253</v>
      </c>
      <c r="D106" s="109" t="s">
        <v>586</v>
      </c>
      <c r="E106" s="109" t="s">
        <v>613</v>
      </c>
      <c r="F106" s="112">
        <v>5</v>
      </c>
      <c r="G106" s="112">
        <f t="shared" si="3"/>
        <v>1005</v>
      </c>
      <c r="H106" s="111" t="s">
        <v>502</v>
      </c>
      <c r="I106" s="109"/>
    </row>
    <row r="107" spans="1:9" ht="18" customHeight="1">
      <c r="A107" s="40">
        <f t="shared" si="0"/>
        <v>105</v>
      </c>
      <c r="B107" s="40">
        <f t="shared" si="4"/>
        <v>95</v>
      </c>
      <c r="C107" s="50">
        <v>43253</v>
      </c>
      <c r="D107" s="109" t="s">
        <v>586</v>
      </c>
      <c r="E107" s="109" t="s">
        <v>614</v>
      </c>
      <c r="F107" s="112">
        <v>5</v>
      </c>
      <c r="G107" s="112">
        <f t="shared" si="3"/>
        <v>1010</v>
      </c>
      <c r="H107" s="111" t="s">
        <v>502</v>
      </c>
      <c r="I107" s="109"/>
    </row>
    <row r="108" spans="1:9" ht="18" customHeight="1">
      <c r="A108" s="40">
        <f t="shared" si="0"/>
        <v>106</v>
      </c>
      <c r="B108" s="40">
        <f t="shared" si="4"/>
        <v>96</v>
      </c>
      <c r="C108" s="50">
        <v>43253</v>
      </c>
      <c r="D108" s="109" t="s">
        <v>586</v>
      </c>
      <c r="E108" s="109" t="s">
        <v>615</v>
      </c>
      <c r="F108" s="112">
        <v>10</v>
      </c>
      <c r="G108" s="112">
        <f t="shared" si="3"/>
        <v>1020</v>
      </c>
      <c r="H108" s="111" t="s">
        <v>502</v>
      </c>
      <c r="I108" s="109"/>
    </row>
    <row r="109" spans="1:9" ht="18" customHeight="1">
      <c r="A109" s="40">
        <f t="shared" si="0"/>
        <v>107</v>
      </c>
      <c r="B109" s="40">
        <f t="shared" si="4"/>
        <v>97</v>
      </c>
      <c r="C109" s="50">
        <v>43253</v>
      </c>
      <c r="D109" s="109" t="s">
        <v>586</v>
      </c>
      <c r="E109" s="109" t="s">
        <v>527</v>
      </c>
      <c r="F109" s="112">
        <v>5</v>
      </c>
      <c r="G109" s="112">
        <f t="shared" si="3"/>
        <v>1025</v>
      </c>
      <c r="H109" s="111" t="s">
        <v>502</v>
      </c>
      <c r="I109" s="109"/>
    </row>
    <row r="110" spans="1:9" ht="18" customHeight="1">
      <c r="A110" s="40">
        <f t="shared" si="0"/>
        <v>108</v>
      </c>
      <c r="B110" s="40">
        <f t="shared" si="4"/>
        <v>98</v>
      </c>
      <c r="C110" s="50">
        <v>43253</v>
      </c>
      <c r="D110" s="109" t="s">
        <v>586</v>
      </c>
      <c r="E110" s="109" t="s">
        <v>616</v>
      </c>
      <c r="F110" s="112">
        <v>5</v>
      </c>
      <c r="G110" s="112">
        <f t="shared" si="3"/>
        <v>1030</v>
      </c>
      <c r="H110" s="111" t="s">
        <v>502</v>
      </c>
      <c r="I110" s="109"/>
    </row>
    <row r="111" spans="1:9" ht="18" customHeight="1">
      <c r="A111" s="40">
        <f t="shared" si="0"/>
        <v>109</v>
      </c>
      <c r="B111" s="40">
        <f t="shared" si="4"/>
        <v>99</v>
      </c>
      <c r="C111" s="50">
        <v>43253</v>
      </c>
      <c r="D111" s="109" t="s">
        <v>586</v>
      </c>
      <c r="E111" s="109" t="s">
        <v>617</v>
      </c>
      <c r="F111" s="112">
        <v>5</v>
      </c>
      <c r="G111" s="112">
        <f t="shared" si="3"/>
        <v>1035</v>
      </c>
      <c r="H111" s="111" t="s">
        <v>502</v>
      </c>
      <c r="I111" s="109"/>
    </row>
    <row r="112" spans="1:9" ht="18" customHeight="1">
      <c r="A112" s="40">
        <f t="shared" si="0"/>
        <v>110</v>
      </c>
      <c r="B112" s="40">
        <f t="shared" si="4"/>
        <v>100</v>
      </c>
      <c r="C112" s="50">
        <v>43253</v>
      </c>
      <c r="D112" s="109" t="s">
        <v>586</v>
      </c>
      <c r="E112" s="109" t="s">
        <v>618</v>
      </c>
      <c r="F112" s="112">
        <v>5</v>
      </c>
      <c r="G112" s="112">
        <f t="shared" si="3"/>
        <v>1040</v>
      </c>
      <c r="H112" s="111" t="s">
        <v>502</v>
      </c>
      <c r="I112" s="109"/>
    </row>
    <row r="113" spans="1:9" ht="18" customHeight="1">
      <c r="A113" s="40">
        <f t="shared" si="0"/>
        <v>111</v>
      </c>
      <c r="B113" s="40">
        <f t="shared" si="4"/>
        <v>101</v>
      </c>
      <c r="C113" s="50">
        <v>43253</v>
      </c>
      <c r="D113" s="109" t="s">
        <v>586</v>
      </c>
      <c r="E113" s="109" t="s">
        <v>505</v>
      </c>
      <c r="F113" s="112">
        <v>5</v>
      </c>
      <c r="G113" s="112">
        <f t="shared" si="3"/>
        <v>1045</v>
      </c>
      <c r="H113" s="111" t="s">
        <v>502</v>
      </c>
      <c r="I113" s="109"/>
    </row>
    <row r="114" spans="1:9" ht="18" customHeight="1">
      <c r="A114" s="40">
        <f t="shared" si="0"/>
        <v>112</v>
      </c>
      <c r="B114" s="40">
        <f t="shared" si="4"/>
        <v>102</v>
      </c>
      <c r="C114" s="50">
        <v>43253</v>
      </c>
      <c r="D114" s="109" t="s">
        <v>586</v>
      </c>
      <c r="E114" s="109" t="s">
        <v>619</v>
      </c>
      <c r="F114" s="112">
        <v>5</v>
      </c>
      <c r="G114" s="112">
        <f t="shared" si="3"/>
        <v>1050</v>
      </c>
      <c r="H114" s="111" t="s">
        <v>502</v>
      </c>
      <c r="I114" s="109"/>
    </row>
    <row r="115" spans="1:9" ht="18" customHeight="1">
      <c r="A115" s="40">
        <f t="shared" si="0"/>
        <v>113</v>
      </c>
      <c r="B115" s="40">
        <f t="shared" si="4"/>
        <v>103</v>
      </c>
      <c r="C115" s="50">
        <v>43253</v>
      </c>
      <c r="D115" s="109" t="s">
        <v>586</v>
      </c>
      <c r="E115" s="109" t="s">
        <v>620</v>
      </c>
      <c r="F115" s="112">
        <v>5</v>
      </c>
      <c r="G115" s="112">
        <f t="shared" si="3"/>
        <v>1055</v>
      </c>
      <c r="H115" s="111" t="s">
        <v>502</v>
      </c>
      <c r="I115" s="109"/>
    </row>
    <row r="116" spans="1:9" ht="18" customHeight="1">
      <c r="A116" s="40">
        <f t="shared" si="0"/>
        <v>114</v>
      </c>
      <c r="B116" s="40">
        <f t="shared" si="4"/>
        <v>104</v>
      </c>
      <c r="C116" s="50">
        <v>43253</v>
      </c>
      <c r="D116" s="109" t="s">
        <v>586</v>
      </c>
      <c r="E116" s="109" t="s">
        <v>621</v>
      </c>
      <c r="F116" s="112">
        <v>5</v>
      </c>
      <c r="G116" s="112">
        <f t="shared" si="3"/>
        <v>1060</v>
      </c>
      <c r="H116" s="111" t="s">
        <v>502</v>
      </c>
      <c r="I116" s="109"/>
    </row>
    <row r="117" spans="1:9" ht="18" customHeight="1">
      <c r="A117" s="40">
        <f t="shared" si="0"/>
        <v>115</v>
      </c>
      <c r="B117" s="40">
        <f t="shared" si="4"/>
        <v>105</v>
      </c>
      <c r="C117" s="50">
        <v>43253</v>
      </c>
      <c r="D117" s="109" t="s">
        <v>586</v>
      </c>
      <c r="E117" s="109" t="s">
        <v>622</v>
      </c>
      <c r="F117" s="112">
        <v>5</v>
      </c>
      <c r="G117" s="112">
        <f t="shared" si="3"/>
        <v>1065</v>
      </c>
      <c r="H117" s="111" t="s">
        <v>502</v>
      </c>
      <c r="I117" s="109"/>
    </row>
    <row r="118" spans="1:9" ht="18" customHeight="1">
      <c r="A118" s="40">
        <f t="shared" si="0"/>
        <v>116</v>
      </c>
      <c r="B118" s="40">
        <f t="shared" si="4"/>
        <v>106</v>
      </c>
      <c r="C118" s="50">
        <v>43253</v>
      </c>
      <c r="D118" s="109" t="s">
        <v>586</v>
      </c>
      <c r="E118" s="109" t="s">
        <v>623</v>
      </c>
      <c r="F118" s="112">
        <v>5</v>
      </c>
      <c r="G118" s="112">
        <f t="shared" si="3"/>
        <v>1070</v>
      </c>
      <c r="H118" s="111" t="s">
        <v>502</v>
      </c>
      <c r="I118" s="109"/>
    </row>
    <row r="119" spans="1:9" ht="18" customHeight="1">
      <c r="A119" s="40">
        <f t="shared" si="0"/>
        <v>117</v>
      </c>
      <c r="B119" s="40">
        <f t="shared" si="4"/>
        <v>107</v>
      </c>
      <c r="C119" s="50">
        <v>43253</v>
      </c>
      <c r="D119" s="109" t="s">
        <v>586</v>
      </c>
      <c r="E119" s="109" t="s">
        <v>624</v>
      </c>
      <c r="F119" s="112">
        <v>5</v>
      </c>
      <c r="G119" s="112">
        <f t="shared" si="3"/>
        <v>1075</v>
      </c>
      <c r="H119" s="111" t="s">
        <v>502</v>
      </c>
      <c r="I119" s="109"/>
    </row>
    <row r="120" spans="1:9" ht="18" customHeight="1">
      <c r="A120" s="40">
        <f t="shared" si="0"/>
        <v>118</v>
      </c>
      <c r="B120" s="40">
        <f t="shared" si="4"/>
        <v>108</v>
      </c>
      <c r="C120" s="50">
        <v>43253</v>
      </c>
      <c r="D120" s="109" t="s">
        <v>586</v>
      </c>
      <c r="E120" s="109" t="s">
        <v>625</v>
      </c>
      <c r="F120" s="112">
        <v>10</v>
      </c>
      <c r="G120" s="112">
        <f t="shared" si="3"/>
        <v>1085</v>
      </c>
      <c r="H120" s="111" t="s">
        <v>502</v>
      </c>
      <c r="I120" s="109"/>
    </row>
    <row r="121" spans="1:9" ht="18" customHeight="1">
      <c r="A121" s="40">
        <f t="shared" si="0"/>
        <v>119</v>
      </c>
      <c r="B121" s="40">
        <f t="shared" si="4"/>
        <v>109</v>
      </c>
      <c r="C121" s="50">
        <v>43253</v>
      </c>
      <c r="D121" s="109" t="s">
        <v>586</v>
      </c>
      <c r="E121" s="109" t="s">
        <v>626</v>
      </c>
      <c r="F121" s="112">
        <v>10</v>
      </c>
      <c r="G121" s="112">
        <f t="shared" si="3"/>
        <v>1095</v>
      </c>
      <c r="H121" s="111" t="s">
        <v>502</v>
      </c>
      <c r="I121" s="109"/>
    </row>
    <row r="122" spans="1:9" ht="18" customHeight="1">
      <c r="A122" s="40">
        <f t="shared" si="0"/>
        <v>120</v>
      </c>
      <c r="B122" s="40">
        <f t="shared" si="4"/>
        <v>110</v>
      </c>
      <c r="C122" s="50">
        <v>43253</v>
      </c>
      <c r="D122" s="109" t="s">
        <v>586</v>
      </c>
      <c r="E122" s="109" t="s">
        <v>627</v>
      </c>
      <c r="F122" s="112">
        <v>5</v>
      </c>
      <c r="G122" s="112">
        <f t="shared" si="3"/>
        <v>1100</v>
      </c>
      <c r="H122" s="111" t="s">
        <v>502</v>
      </c>
      <c r="I122" s="109"/>
    </row>
    <row r="123" spans="1:9" ht="18" customHeight="1">
      <c r="A123" s="40">
        <f t="shared" si="0"/>
        <v>121</v>
      </c>
      <c r="B123" s="40">
        <f t="shared" si="4"/>
        <v>111</v>
      </c>
      <c r="C123" s="50">
        <v>43253</v>
      </c>
      <c r="D123" s="109" t="s">
        <v>586</v>
      </c>
      <c r="E123" s="109" t="s">
        <v>628</v>
      </c>
      <c r="F123" s="112">
        <v>10</v>
      </c>
      <c r="G123" s="112">
        <f t="shared" si="3"/>
        <v>1110</v>
      </c>
      <c r="H123" s="111" t="s">
        <v>502</v>
      </c>
      <c r="I123" s="109"/>
    </row>
    <row r="124" spans="1:9" ht="18" customHeight="1">
      <c r="A124" s="40">
        <f t="shared" si="0"/>
        <v>122</v>
      </c>
      <c r="B124" s="40">
        <f t="shared" si="4"/>
        <v>112</v>
      </c>
      <c r="C124" s="50">
        <v>43253</v>
      </c>
      <c r="D124" s="109" t="s">
        <v>586</v>
      </c>
      <c r="E124" s="109" t="s">
        <v>629</v>
      </c>
      <c r="F124" s="112">
        <v>10</v>
      </c>
      <c r="G124" s="112">
        <f t="shared" si="3"/>
        <v>1120</v>
      </c>
      <c r="H124" s="111" t="s">
        <v>502</v>
      </c>
      <c r="I124" s="109"/>
    </row>
    <row r="125" spans="1:9" ht="18" customHeight="1">
      <c r="A125" s="40">
        <f t="shared" si="0"/>
        <v>123</v>
      </c>
      <c r="B125" s="40">
        <f t="shared" si="4"/>
        <v>113</v>
      </c>
      <c r="C125" s="50">
        <v>43253</v>
      </c>
      <c r="D125" s="109" t="s">
        <v>586</v>
      </c>
      <c r="E125" s="109" t="s">
        <v>630</v>
      </c>
      <c r="F125" s="112">
        <v>5</v>
      </c>
      <c r="G125" s="112">
        <f t="shared" si="3"/>
        <v>1125</v>
      </c>
      <c r="H125" s="111" t="s">
        <v>502</v>
      </c>
      <c r="I125" s="109"/>
    </row>
    <row r="126" spans="1:9" ht="18" customHeight="1">
      <c r="A126" s="40">
        <f t="shared" si="0"/>
        <v>124</v>
      </c>
      <c r="B126" s="40">
        <f t="shared" si="4"/>
        <v>114</v>
      </c>
      <c r="C126" s="50">
        <v>43253</v>
      </c>
      <c r="D126" s="109" t="s">
        <v>586</v>
      </c>
      <c r="E126" s="109" t="s">
        <v>631</v>
      </c>
      <c r="F126" s="112">
        <v>5</v>
      </c>
      <c r="G126" s="112">
        <f t="shared" si="3"/>
        <v>1130</v>
      </c>
      <c r="H126" s="111" t="s">
        <v>502</v>
      </c>
      <c r="I126" s="109"/>
    </row>
    <row r="127" spans="1:9" ht="18" customHeight="1">
      <c r="A127" s="40">
        <f t="shared" si="0"/>
        <v>125</v>
      </c>
      <c r="B127" s="40">
        <f t="shared" si="4"/>
        <v>115</v>
      </c>
      <c r="C127" s="50">
        <v>43253</v>
      </c>
      <c r="D127" s="109" t="s">
        <v>518</v>
      </c>
      <c r="E127" s="109" t="s">
        <v>632</v>
      </c>
      <c r="F127" s="112">
        <v>5</v>
      </c>
      <c r="G127" s="112">
        <f t="shared" si="3"/>
        <v>1135</v>
      </c>
      <c r="H127" s="111" t="s">
        <v>502</v>
      </c>
      <c r="I127" s="109"/>
    </row>
    <row r="128" spans="1:9" ht="18" customHeight="1">
      <c r="A128" s="40">
        <f t="shared" si="0"/>
        <v>126</v>
      </c>
      <c r="B128" s="40">
        <f t="shared" si="4"/>
        <v>116</v>
      </c>
      <c r="C128" s="50">
        <v>43253</v>
      </c>
      <c r="D128" s="109" t="s">
        <v>633</v>
      </c>
      <c r="E128" s="109" t="s">
        <v>634</v>
      </c>
      <c r="F128" s="112">
        <v>5</v>
      </c>
      <c r="G128" s="112">
        <f t="shared" si="3"/>
        <v>1140</v>
      </c>
      <c r="H128" s="111" t="s">
        <v>502</v>
      </c>
      <c r="I128" s="109"/>
    </row>
    <row r="129" spans="1:9" ht="18" customHeight="1">
      <c r="A129" s="40">
        <f t="shared" si="0"/>
        <v>127</v>
      </c>
      <c r="B129" s="40">
        <f t="shared" si="4"/>
        <v>117</v>
      </c>
      <c r="C129" s="50">
        <v>43253</v>
      </c>
      <c r="D129" s="109" t="s">
        <v>635</v>
      </c>
      <c r="E129" s="109" t="s">
        <v>613</v>
      </c>
      <c r="F129" s="112">
        <v>5</v>
      </c>
      <c r="G129" s="112">
        <f t="shared" si="3"/>
        <v>1145</v>
      </c>
      <c r="H129" s="111" t="s">
        <v>502</v>
      </c>
      <c r="I129" s="109"/>
    </row>
    <row r="130" spans="1:9" ht="18" customHeight="1">
      <c r="A130" s="40">
        <f t="shared" si="0"/>
        <v>128</v>
      </c>
      <c r="B130" s="40">
        <f t="shared" si="4"/>
        <v>118</v>
      </c>
      <c r="C130" s="50">
        <v>43253</v>
      </c>
      <c r="D130" s="109" t="s">
        <v>636</v>
      </c>
      <c r="E130" s="109" t="s">
        <v>637</v>
      </c>
      <c r="F130" s="112">
        <v>5</v>
      </c>
      <c r="G130" s="112">
        <f t="shared" si="3"/>
        <v>1150</v>
      </c>
      <c r="H130" s="111" t="s">
        <v>502</v>
      </c>
      <c r="I130" s="109"/>
    </row>
    <row r="131" spans="1:9" ht="18" customHeight="1">
      <c r="A131" s="40">
        <f t="shared" si="0"/>
        <v>129</v>
      </c>
      <c r="B131" s="40">
        <f t="shared" si="4"/>
        <v>119</v>
      </c>
      <c r="C131" s="50">
        <v>43253</v>
      </c>
      <c r="D131" s="109" t="s">
        <v>516</v>
      </c>
      <c r="E131" s="109" t="s">
        <v>638</v>
      </c>
      <c r="F131" s="112">
        <v>5</v>
      </c>
      <c r="G131" s="112">
        <f t="shared" si="3"/>
        <v>1155</v>
      </c>
      <c r="H131" s="111" t="s">
        <v>502</v>
      </c>
      <c r="I131" s="109"/>
    </row>
    <row r="132" spans="1:9" ht="18" customHeight="1">
      <c r="A132" s="40">
        <f t="shared" si="0"/>
        <v>130</v>
      </c>
      <c r="B132" s="40">
        <f t="shared" si="4"/>
        <v>120</v>
      </c>
      <c r="C132" s="50">
        <v>43253</v>
      </c>
      <c r="D132" s="109" t="s">
        <v>636</v>
      </c>
      <c r="E132" s="109" t="s">
        <v>639</v>
      </c>
      <c r="F132" s="112">
        <v>5</v>
      </c>
      <c r="G132" s="112">
        <f t="shared" si="3"/>
        <v>1160</v>
      </c>
      <c r="H132" s="111" t="s">
        <v>502</v>
      </c>
      <c r="I132" s="109"/>
    </row>
    <row r="133" spans="1:9" ht="18" customHeight="1">
      <c r="A133" s="40">
        <f t="shared" si="0"/>
        <v>131</v>
      </c>
      <c r="B133" s="40">
        <f t="shared" si="4"/>
        <v>121</v>
      </c>
      <c r="C133" s="50">
        <v>43253</v>
      </c>
      <c r="D133" s="109" t="s">
        <v>497</v>
      </c>
      <c r="E133" s="109" t="s">
        <v>640</v>
      </c>
      <c r="F133" s="112">
        <v>5</v>
      </c>
      <c r="G133" s="112">
        <f t="shared" ref="G133:G196" si="5">F133+G132</f>
        <v>1165</v>
      </c>
      <c r="H133" s="111" t="s">
        <v>502</v>
      </c>
      <c r="I133" s="109"/>
    </row>
    <row r="134" spans="1:9" ht="18" customHeight="1">
      <c r="A134" s="40">
        <f t="shared" si="0"/>
        <v>132</v>
      </c>
      <c r="B134" s="40">
        <f t="shared" si="4"/>
        <v>122</v>
      </c>
      <c r="C134" s="50">
        <v>43253</v>
      </c>
      <c r="D134" s="109" t="s">
        <v>497</v>
      </c>
      <c r="E134" s="109" t="s">
        <v>641</v>
      </c>
      <c r="F134" s="112">
        <v>5</v>
      </c>
      <c r="G134" s="112">
        <f t="shared" si="5"/>
        <v>1170</v>
      </c>
      <c r="H134" s="111" t="s">
        <v>502</v>
      </c>
      <c r="I134" s="109"/>
    </row>
    <row r="135" spans="1:9" ht="18" customHeight="1">
      <c r="A135" s="40">
        <f t="shared" si="0"/>
        <v>133</v>
      </c>
      <c r="B135" s="40">
        <f t="shared" si="4"/>
        <v>123</v>
      </c>
      <c r="C135" s="50">
        <v>43253</v>
      </c>
      <c r="D135" s="109" t="s">
        <v>497</v>
      </c>
      <c r="E135" s="109" t="s">
        <v>642</v>
      </c>
      <c r="F135" s="112">
        <v>5</v>
      </c>
      <c r="G135" s="112">
        <f t="shared" si="5"/>
        <v>1175</v>
      </c>
      <c r="H135" s="111" t="s">
        <v>502</v>
      </c>
      <c r="I135" s="109"/>
    </row>
    <row r="136" spans="1:9" ht="18" customHeight="1">
      <c r="A136" s="40">
        <f t="shared" si="0"/>
        <v>134</v>
      </c>
      <c r="B136" s="40">
        <f t="shared" si="4"/>
        <v>124</v>
      </c>
      <c r="C136" s="50">
        <v>43253</v>
      </c>
      <c r="D136" s="109" t="s">
        <v>497</v>
      </c>
      <c r="E136" s="109" t="s">
        <v>166</v>
      </c>
      <c r="F136" s="112">
        <v>5</v>
      </c>
      <c r="G136" s="112">
        <f t="shared" si="5"/>
        <v>1180</v>
      </c>
      <c r="H136" s="111" t="s">
        <v>502</v>
      </c>
      <c r="I136" s="109"/>
    </row>
    <row r="137" spans="1:9" ht="18" customHeight="1">
      <c r="A137" s="40">
        <f t="shared" si="0"/>
        <v>135</v>
      </c>
      <c r="B137" s="40">
        <f t="shared" si="4"/>
        <v>125</v>
      </c>
      <c r="C137" s="50">
        <v>43253</v>
      </c>
      <c r="D137" s="109" t="s">
        <v>497</v>
      </c>
      <c r="E137" s="109" t="s">
        <v>643</v>
      </c>
      <c r="F137" s="112">
        <v>5</v>
      </c>
      <c r="G137" s="112">
        <f t="shared" si="5"/>
        <v>1185</v>
      </c>
      <c r="H137" s="111" t="s">
        <v>502</v>
      </c>
      <c r="I137" s="109"/>
    </row>
    <row r="138" spans="1:9" ht="18" customHeight="1">
      <c r="A138" s="40">
        <f t="shared" si="0"/>
        <v>136</v>
      </c>
      <c r="B138" s="40">
        <f t="shared" si="4"/>
        <v>126</v>
      </c>
      <c r="C138" s="50">
        <v>43253</v>
      </c>
      <c r="D138" s="109" t="s">
        <v>497</v>
      </c>
      <c r="E138" s="109" t="s">
        <v>644</v>
      </c>
      <c r="F138" s="112">
        <v>5</v>
      </c>
      <c r="G138" s="112">
        <f t="shared" si="5"/>
        <v>1190</v>
      </c>
      <c r="H138" s="111" t="s">
        <v>502</v>
      </c>
      <c r="I138" s="109"/>
    </row>
    <row r="139" spans="1:9" ht="18" customHeight="1">
      <c r="A139" s="40">
        <f t="shared" ref="A139:A202" si="6">ROW()-2</f>
        <v>137</v>
      </c>
      <c r="B139" s="40">
        <f t="shared" si="4"/>
        <v>127</v>
      </c>
      <c r="C139" s="50">
        <v>43253</v>
      </c>
      <c r="D139" s="109" t="s">
        <v>497</v>
      </c>
      <c r="E139" s="109" t="s">
        <v>645</v>
      </c>
      <c r="F139" s="112">
        <v>10</v>
      </c>
      <c r="G139" s="112">
        <f t="shared" si="5"/>
        <v>1200</v>
      </c>
      <c r="H139" s="111" t="s">
        <v>502</v>
      </c>
      <c r="I139" s="109"/>
    </row>
    <row r="140" spans="1:9" ht="18" customHeight="1">
      <c r="A140" s="40">
        <f t="shared" si="6"/>
        <v>138</v>
      </c>
      <c r="B140" s="40">
        <f t="shared" si="4"/>
        <v>128</v>
      </c>
      <c r="C140" s="50">
        <v>43253</v>
      </c>
      <c r="D140" s="109" t="s">
        <v>504</v>
      </c>
      <c r="E140" s="109" t="s">
        <v>646</v>
      </c>
      <c r="F140" s="112">
        <v>5</v>
      </c>
      <c r="G140" s="112">
        <f t="shared" si="5"/>
        <v>1205</v>
      </c>
      <c r="H140" s="111" t="s">
        <v>502</v>
      </c>
      <c r="I140" s="109"/>
    </row>
    <row r="141" spans="1:9" ht="18" customHeight="1">
      <c r="A141" s="40">
        <f t="shared" si="6"/>
        <v>139</v>
      </c>
      <c r="B141" s="40">
        <f t="shared" si="4"/>
        <v>129</v>
      </c>
      <c r="C141" s="50">
        <v>43253</v>
      </c>
      <c r="D141" s="109" t="s">
        <v>497</v>
      </c>
      <c r="E141" s="109" t="s">
        <v>647</v>
      </c>
      <c r="F141" s="112">
        <v>5</v>
      </c>
      <c r="G141" s="112">
        <f t="shared" si="5"/>
        <v>1210</v>
      </c>
      <c r="H141" s="111" t="s">
        <v>502</v>
      </c>
      <c r="I141" s="109"/>
    </row>
    <row r="142" spans="1:9" ht="18" customHeight="1">
      <c r="A142" s="40">
        <f t="shared" si="6"/>
        <v>140</v>
      </c>
      <c r="B142" s="40">
        <f t="shared" si="4"/>
        <v>130</v>
      </c>
      <c r="C142" s="50">
        <v>43253</v>
      </c>
      <c r="D142" s="109" t="s">
        <v>497</v>
      </c>
      <c r="E142" s="109" t="s">
        <v>648</v>
      </c>
      <c r="F142" s="112">
        <v>5</v>
      </c>
      <c r="G142" s="112">
        <f t="shared" si="5"/>
        <v>1215</v>
      </c>
      <c r="H142" s="111" t="s">
        <v>502</v>
      </c>
      <c r="I142" s="109"/>
    </row>
    <row r="143" spans="1:9" ht="18" customHeight="1">
      <c r="A143" s="40">
        <f t="shared" si="6"/>
        <v>141</v>
      </c>
      <c r="B143" s="40">
        <f t="shared" si="4"/>
        <v>131</v>
      </c>
      <c r="C143" s="50">
        <v>43253</v>
      </c>
      <c r="D143" s="109" t="s">
        <v>636</v>
      </c>
      <c r="E143" s="109" t="s">
        <v>649</v>
      </c>
      <c r="F143" s="112">
        <v>5</v>
      </c>
      <c r="G143" s="112">
        <f t="shared" si="5"/>
        <v>1220</v>
      </c>
      <c r="H143" s="111" t="s">
        <v>502</v>
      </c>
      <c r="I143" s="109"/>
    </row>
    <row r="144" spans="1:9" ht="18" customHeight="1">
      <c r="A144" s="40">
        <f t="shared" si="6"/>
        <v>142</v>
      </c>
      <c r="B144" s="40">
        <f t="shared" si="4"/>
        <v>132</v>
      </c>
      <c r="C144" s="50">
        <v>43253</v>
      </c>
      <c r="D144" s="109" t="s">
        <v>497</v>
      </c>
      <c r="E144" s="109" t="s">
        <v>650</v>
      </c>
      <c r="F144" s="112">
        <v>10</v>
      </c>
      <c r="G144" s="112">
        <f t="shared" si="5"/>
        <v>1230</v>
      </c>
      <c r="H144" s="111" t="s">
        <v>502</v>
      </c>
      <c r="I144" s="109"/>
    </row>
    <row r="145" spans="1:9" ht="18" customHeight="1">
      <c r="A145" s="40">
        <f t="shared" si="6"/>
        <v>143</v>
      </c>
      <c r="B145" s="40">
        <f t="shared" si="4"/>
        <v>133</v>
      </c>
      <c r="C145" s="50">
        <v>43253</v>
      </c>
      <c r="D145" s="109" t="s">
        <v>497</v>
      </c>
      <c r="E145" s="109" t="s">
        <v>651</v>
      </c>
      <c r="F145" s="112">
        <v>5</v>
      </c>
      <c r="G145" s="112">
        <f t="shared" si="5"/>
        <v>1235</v>
      </c>
      <c r="H145" s="111" t="s">
        <v>502</v>
      </c>
      <c r="I145" s="109"/>
    </row>
    <row r="146" spans="1:9" ht="18" customHeight="1">
      <c r="A146" s="40">
        <f t="shared" si="6"/>
        <v>144</v>
      </c>
      <c r="B146" s="40">
        <f t="shared" si="4"/>
        <v>134</v>
      </c>
      <c r="C146" s="50">
        <v>43253</v>
      </c>
      <c r="D146" s="109" t="s">
        <v>579</v>
      </c>
      <c r="E146" s="109" t="s">
        <v>652</v>
      </c>
      <c r="F146" s="112">
        <v>10</v>
      </c>
      <c r="G146" s="112">
        <f t="shared" si="5"/>
        <v>1245</v>
      </c>
      <c r="H146" s="111" t="s">
        <v>502</v>
      </c>
      <c r="I146" s="109"/>
    </row>
    <row r="147" spans="1:9" ht="18" customHeight="1">
      <c r="A147" s="40">
        <f t="shared" si="6"/>
        <v>145</v>
      </c>
      <c r="B147" s="40">
        <f t="shared" si="4"/>
        <v>135</v>
      </c>
      <c r="C147" s="50">
        <v>43253</v>
      </c>
      <c r="D147" s="109" t="s">
        <v>635</v>
      </c>
      <c r="E147" s="109" t="s">
        <v>653</v>
      </c>
      <c r="F147" s="112">
        <v>10</v>
      </c>
      <c r="G147" s="112">
        <f t="shared" si="5"/>
        <v>1255</v>
      </c>
      <c r="H147" s="111" t="s">
        <v>502</v>
      </c>
      <c r="I147" s="109"/>
    </row>
    <row r="148" spans="1:9" ht="18" customHeight="1">
      <c r="A148" s="40">
        <f t="shared" si="6"/>
        <v>146</v>
      </c>
      <c r="B148" s="40">
        <f t="shared" si="4"/>
        <v>136</v>
      </c>
      <c r="C148" s="50">
        <v>43253</v>
      </c>
      <c r="D148" s="109" t="s">
        <v>497</v>
      </c>
      <c r="E148" s="109" t="s">
        <v>654</v>
      </c>
      <c r="F148" s="112">
        <v>5</v>
      </c>
      <c r="G148" s="112">
        <f t="shared" si="5"/>
        <v>1260</v>
      </c>
      <c r="H148" s="111" t="s">
        <v>502</v>
      </c>
      <c r="I148" s="109"/>
    </row>
    <row r="149" spans="1:9" ht="18" customHeight="1">
      <c r="A149" s="40">
        <f t="shared" si="6"/>
        <v>147</v>
      </c>
      <c r="B149" s="40">
        <f t="shared" si="4"/>
        <v>137</v>
      </c>
      <c r="C149" s="50">
        <v>43253</v>
      </c>
      <c r="D149" s="109" t="s">
        <v>497</v>
      </c>
      <c r="E149" s="109" t="s">
        <v>655</v>
      </c>
      <c r="F149" s="112">
        <v>3</v>
      </c>
      <c r="G149" s="112">
        <f t="shared" si="5"/>
        <v>1263</v>
      </c>
      <c r="H149" s="111" t="s">
        <v>502</v>
      </c>
      <c r="I149" s="109"/>
    </row>
    <row r="150" spans="1:9" ht="18" customHeight="1">
      <c r="A150" s="40">
        <f t="shared" si="6"/>
        <v>148</v>
      </c>
      <c r="B150" s="40">
        <f t="shared" si="4"/>
        <v>138</v>
      </c>
      <c r="C150" s="50">
        <v>43253</v>
      </c>
      <c r="D150" s="109" t="s">
        <v>635</v>
      </c>
      <c r="E150" s="109" t="s">
        <v>635</v>
      </c>
      <c r="F150" s="112">
        <v>10</v>
      </c>
      <c r="G150" s="112">
        <f t="shared" si="5"/>
        <v>1273</v>
      </c>
      <c r="H150" s="111" t="s">
        <v>502</v>
      </c>
      <c r="I150" s="109"/>
    </row>
    <row r="151" spans="1:9" ht="18" customHeight="1">
      <c r="A151" s="40">
        <f t="shared" si="6"/>
        <v>149</v>
      </c>
      <c r="B151" s="40">
        <f t="shared" si="4"/>
        <v>139</v>
      </c>
      <c r="C151" s="50">
        <v>43253</v>
      </c>
      <c r="D151" s="109" t="s">
        <v>636</v>
      </c>
      <c r="E151" s="109" t="s">
        <v>656</v>
      </c>
      <c r="F151" s="112">
        <v>10</v>
      </c>
      <c r="G151" s="112">
        <f t="shared" si="5"/>
        <v>1283</v>
      </c>
      <c r="H151" s="111" t="s">
        <v>502</v>
      </c>
      <c r="I151" s="109"/>
    </row>
    <row r="152" spans="1:9" ht="18" customHeight="1">
      <c r="A152" s="40">
        <f t="shared" si="6"/>
        <v>150</v>
      </c>
      <c r="B152" s="40">
        <f t="shared" si="4"/>
        <v>140</v>
      </c>
      <c r="C152" s="50">
        <v>43253</v>
      </c>
      <c r="D152" s="109" t="s">
        <v>497</v>
      </c>
      <c r="E152" s="109" t="s">
        <v>657</v>
      </c>
      <c r="F152" s="112">
        <v>3</v>
      </c>
      <c r="G152" s="112">
        <f t="shared" si="5"/>
        <v>1286</v>
      </c>
      <c r="H152" s="111" t="s">
        <v>502</v>
      </c>
      <c r="I152" s="109"/>
    </row>
    <row r="153" spans="1:9" ht="18" customHeight="1">
      <c r="A153" s="40">
        <f t="shared" si="6"/>
        <v>151</v>
      </c>
      <c r="B153" s="40">
        <f t="shared" ref="B153:B216" si="7">ROW()-12</f>
        <v>141</v>
      </c>
      <c r="C153" s="50">
        <v>43253</v>
      </c>
      <c r="D153" s="109" t="s">
        <v>497</v>
      </c>
      <c r="E153" s="109" t="s">
        <v>658</v>
      </c>
      <c r="F153" s="112">
        <v>5</v>
      </c>
      <c r="G153" s="112">
        <f t="shared" si="5"/>
        <v>1291</v>
      </c>
      <c r="H153" s="111" t="s">
        <v>502</v>
      </c>
      <c r="I153" s="109"/>
    </row>
    <row r="154" spans="1:9" ht="18" customHeight="1">
      <c r="A154" s="40">
        <f t="shared" si="6"/>
        <v>152</v>
      </c>
      <c r="B154" s="40">
        <f t="shared" si="7"/>
        <v>142</v>
      </c>
      <c r="C154" s="50">
        <v>43253</v>
      </c>
      <c r="D154" s="109" t="s">
        <v>497</v>
      </c>
      <c r="E154" s="109" t="s">
        <v>659</v>
      </c>
      <c r="F154" s="112">
        <v>10</v>
      </c>
      <c r="G154" s="112">
        <f t="shared" si="5"/>
        <v>1301</v>
      </c>
      <c r="H154" s="111" t="s">
        <v>502</v>
      </c>
      <c r="I154" s="109"/>
    </row>
    <row r="155" spans="1:9" ht="18" customHeight="1">
      <c r="A155" s="40">
        <f t="shared" si="6"/>
        <v>153</v>
      </c>
      <c r="B155" s="40">
        <f t="shared" si="7"/>
        <v>143</v>
      </c>
      <c r="C155" s="50">
        <v>43253</v>
      </c>
      <c r="D155" s="109" t="s">
        <v>500</v>
      </c>
      <c r="E155" s="109" t="s">
        <v>660</v>
      </c>
      <c r="F155" s="112">
        <v>10</v>
      </c>
      <c r="G155" s="112">
        <f t="shared" si="5"/>
        <v>1311</v>
      </c>
      <c r="H155" s="111" t="s">
        <v>502</v>
      </c>
      <c r="I155" s="109"/>
    </row>
    <row r="156" spans="1:9" ht="18" customHeight="1">
      <c r="A156" s="40">
        <f t="shared" si="6"/>
        <v>154</v>
      </c>
      <c r="B156" s="40">
        <f t="shared" si="7"/>
        <v>144</v>
      </c>
      <c r="C156" s="50">
        <v>43253</v>
      </c>
      <c r="D156" s="109" t="s">
        <v>534</v>
      </c>
      <c r="E156" s="109" t="s">
        <v>661</v>
      </c>
      <c r="F156" s="112">
        <v>5</v>
      </c>
      <c r="G156" s="112">
        <f t="shared" si="5"/>
        <v>1316</v>
      </c>
      <c r="H156" s="111" t="s">
        <v>502</v>
      </c>
      <c r="I156" s="109"/>
    </row>
    <row r="157" spans="1:9" ht="18" customHeight="1">
      <c r="A157" s="40">
        <f t="shared" si="6"/>
        <v>155</v>
      </c>
      <c r="B157" s="40">
        <f t="shared" si="7"/>
        <v>145</v>
      </c>
      <c r="C157" s="50">
        <v>43253</v>
      </c>
      <c r="D157" s="109" t="s">
        <v>534</v>
      </c>
      <c r="E157" s="109" t="s">
        <v>662</v>
      </c>
      <c r="F157" s="112">
        <v>5</v>
      </c>
      <c r="G157" s="112">
        <f t="shared" si="5"/>
        <v>1321</v>
      </c>
      <c r="H157" s="111" t="s">
        <v>502</v>
      </c>
      <c r="I157" s="109"/>
    </row>
    <row r="158" spans="1:9" ht="18" customHeight="1">
      <c r="A158" s="40">
        <f t="shared" si="6"/>
        <v>156</v>
      </c>
      <c r="B158" s="40">
        <f t="shared" si="7"/>
        <v>146</v>
      </c>
      <c r="C158" s="50">
        <v>43253</v>
      </c>
      <c r="D158" s="109" t="s">
        <v>497</v>
      </c>
      <c r="E158" s="109" t="s">
        <v>663</v>
      </c>
      <c r="F158" s="112">
        <v>15</v>
      </c>
      <c r="G158" s="112">
        <f t="shared" si="5"/>
        <v>1336</v>
      </c>
      <c r="H158" s="111" t="s">
        <v>502</v>
      </c>
      <c r="I158" s="109"/>
    </row>
    <row r="159" spans="1:9" ht="18" customHeight="1">
      <c r="A159" s="40">
        <f t="shared" si="6"/>
        <v>157</v>
      </c>
      <c r="B159" s="40">
        <f t="shared" si="7"/>
        <v>147</v>
      </c>
      <c r="C159" s="50">
        <v>43253</v>
      </c>
      <c r="D159" s="109" t="s">
        <v>586</v>
      </c>
      <c r="E159" s="109" t="s">
        <v>664</v>
      </c>
      <c r="F159" s="112">
        <v>5</v>
      </c>
      <c r="G159" s="112">
        <f t="shared" si="5"/>
        <v>1341</v>
      </c>
      <c r="H159" s="111" t="s">
        <v>502</v>
      </c>
      <c r="I159" s="109"/>
    </row>
    <row r="160" spans="1:9" ht="18" customHeight="1">
      <c r="A160" s="40">
        <f t="shared" si="6"/>
        <v>158</v>
      </c>
      <c r="B160" s="40">
        <f t="shared" si="7"/>
        <v>148</v>
      </c>
      <c r="C160" s="50">
        <v>43253</v>
      </c>
      <c r="D160" s="109" t="s">
        <v>579</v>
      </c>
      <c r="E160" s="109" t="s">
        <v>665</v>
      </c>
      <c r="F160" s="112">
        <v>20</v>
      </c>
      <c r="G160" s="112">
        <f t="shared" si="5"/>
        <v>1361</v>
      </c>
      <c r="H160" s="111" t="s">
        <v>502</v>
      </c>
      <c r="I160" s="109"/>
    </row>
    <row r="161" spans="1:9" ht="18" customHeight="1">
      <c r="A161" s="40">
        <f t="shared" si="6"/>
        <v>159</v>
      </c>
      <c r="B161" s="40">
        <f t="shared" si="7"/>
        <v>149</v>
      </c>
      <c r="C161" s="50">
        <v>43253</v>
      </c>
      <c r="D161" s="109" t="s">
        <v>579</v>
      </c>
      <c r="E161" s="109" t="s">
        <v>666</v>
      </c>
      <c r="F161" s="112">
        <v>10</v>
      </c>
      <c r="G161" s="112">
        <f t="shared" si="5"/>
        <v>1371</v>
      </c>
      <c r="H161" s="111" t="s">
        <v>502</v>
      </c>
      <c r="I161" s="109"/>
    </row>
    <row r="162" spans="1:9" ht="18" customHeight="1">
      <c r="A162" s="40">
        <f t="shared" si="6"/>
        <v>160</v>
      </c>
      <c r="B162" s="40">
        <f t="shared" si="7"/>
        <v>150</v>
      </c>
      <c r="C162" s="50">
        <v>43253</v>
      </c>
      <c r="D162" s="109" t="s">
        <v>579</v>
      </c>
      <c r="E162" s="109" t="s">
        <v>667</v>
      </c>
      <c r="F162" s="112">
        <v>10</v>
      </c>
      <c r="G162" s="112">
        <f t="shared" si="5"/>
        <v>1381</v>
      </c>
      <c r="H162" s="111" t="s">
        <v>502</v>
      </c>
      <c r="I162" s="109"/>
    </row>
    <row r="163" spans="1:9" ht="18" customHeight="1">
      <c r="A163" s="40">
        <f t="shared" si="6"/>
        <v>161</v>
      </c>
      <c r="B163" s="40">
        <f t="shared" si="7"/>
        <v>151</v>
      </c>
      <c r="C163" s="50">
        <v>43253</v>
      </c>
      <c r="D163" s="109" t="s">
        <v>500</v>
      </c>
      <c r="E163" s="109" t="s">
        <v>668</v>
      </c>
      <c r="F163" s="112">
        <v>5</v>
      </c>
      <c r="G163" s="112">
        <f t="shared" si="5"/>
        <v>1386</v>
      </c>
      <c r="H163" s="111" t="s">
        <v>502</v>
      </c>
      <c r="I163" s="109"/>
    </row>
    <row r="164" spans="1:9" ht="18" customHeight="1">
      <c r="A164" s="40">
        <f t="shared" si="6"/>
        <v>162</v>
      </c>
      <c r="B164" s="40">
        <f t="shared" si="7"/>
        <v>152</v>
      </c>
      <c r="C164" s="50">
        <v>43253</v>
      </c>
      <c r="D164" s="109" t="s">
        <v>586</v>
      </c>
      <c r="E164" s="109" t="s">
        <v>669</v>
      </c>
      <c r="F164" s="112">
        <v>5</v>
      </c>
      <c r="G164" s="112">
        <f t="shared" si="5"/>
        <v>1391</v>
      </c>
      <c r="H164" s="111" t="s">
        <v>502</v>
      </c>
      <c r="I164" s="109"/>
    </row>
    <row r="165" spans="1:9" ht="18" customHeight="1">
      <c r="A165" s="40">
        <f t="shared" si="6"/>
        <v>163</v>
      </c>
      <c r="B165" s="40">
        <f t="shared" si="7"/>
        <v>153</v>
      </c>
      <c r="C165" s="50">
        <v>43253</v>
      </c>
      <c r="D165" s="109" t="s">
        <v>500</v>
      </c>
      <c r="E165" s="109" t="s">
        <v>670</v>
      </c>
      <c r="F165" s="112">
        <v>10</v>
      </c>
      <c r="G165" s="112">
        <f t="shared" si="5"/>
        <v>1401</v>
      </c>
      <c r="H165" s="111" t="s">
        <v>502</v>
      </c>
      <c r="I165" s="109"/>
    </row>
    <row r="166" spans="1:9" ht="18" customHeight="1">
      <c r="A166" s="40">
        <f t="shared" si="6"/>
        <v>164</v>
      </c>
      <c r="B166" s="40">
        <f t="shared" si="7"/>
        <v>154</v>
      </c>
      <c r="C166" s="50">
        <v>43253</v>
      </c>
      <c r="D166" s="109" t="s">
        <v>518</v>
      </c>
      <c r="E166" s="109" t="s">
        <v>671</v>
      </c>
      <c r="F166" s="112">
        <v>10</v>
      </c>
      <c r="G166" s="112">
        <f t="shared" si="5"/>
        <v>1411</v>
      </c>
      <c r="H166" s="111" t="s">
        <v>502</v>
      </c>
      <c r="I166" s="109"/>
    </row>
    <row r="167" spans="1:9" ht="18" customHeight="1">
      <c r="A167" s="40">
        <f t="shared" si="6"/>
        <v>165</v>
      </c>
      <c r="B167" s="40">
        <f t="shared" si="7"/>
        <v>155</v>
      </c>
      <c r="C167" s="50">
        <v>43253</v>
      </c>
      <c r="D167" s="109" t="s">
        <v>534</v>
      </c>
      <c r="E167" s="109" t="s">
        <v>672</v>
      </c>
      <c r="F167" s="112">
        <v>10</v>
      </c>
      <c r="G167" s="112">
        <f t="shared" si="5"/>
        <v>1421</v>
      </c>
      <c r="H167" s="111" t="s">
        <v>502</v>
      </c>
      <c r="I167" s="109"/>
    </row>
    <row r="168" spans="1:9" ht="18" customHeight="1">
      <c r="A168" s="40">
        <f t="shared" si="6"/>
        <v>166</v>
      </c>
      <c r="B168" s="40">
        <f t="shared" si="7"/>
        <v>156</v>
      </c>
      <c r="C168" s="50">
        <v>43253</v>
      </c>
      <c r="D168" s="109" t="s">
        <v>534</v>
      </c>
      <c r="E168" s="109" t="s">
        <v>673</v>
      </c>
      <c r="F168" s="112">
        <v>5</v>
      </c>
      <c r="G168" s="112">
        <f t="shared" si="5"/>
        <v>1426</v>
      </c>
      <c r="H168" s="111" t="s">
        <v>502</v>
      </c>
      <c r="I168" s="109"/>
    </row>
    <row r="169" spans="1:9" ht="18" customHeight="1">
      <c r="A169" s="40">
        <f t="shared" si="6"/>
        <v>167</v>
      </c>
      <c r="B169" s="40">
        <f t="shared" si="7"/>
        <v>157</v>
      </c>
      <c r="C169" s="50">
        <v>43253</v>
      </c>
      <c r="D169" s="109" t="s">
        <v>534</v>
      </c>
      <c r="E169" s="109" t="s">
        <v>674</v>
      </c>
      <c r="F169" s="112">
        <v>10</v>
      </c>
      <c r="G169" s="112">
        <f t="shared" si="5"/>
        <v>1436</v>
      </c>
      <c r="H169" s="111" t="s">
        <v>502</v>
      </c>
      <c r="I169" s="109"/>
    </row>
    <row r="170" spans="1:9" ht="18" customHeight="1">
      <c r="A170" s="40">
        <f t="shared" si="6"/>
        <v>168</v>
      </c>
      <c r="B170" s="40">
        <f t="shared" si="7"/>
        <v>158</v>
      </c>
      <c r="C170" s="50">
        <v>43253</v>
      </c>
      <c r="D170" s="109" t="s">
        <v>534</v>
      </c>
      <c r="E170" s="109" t="s">
        <v>675</v>
      </c>
      <c r="F170" s="112">
        <v>15</v>
      </c>
      <c r="G170" s="112">
        <f t="shared" si="5"/>
        <v>1451</v>
      </c>
      <c r="H170" s="111" t="s">
        <v>502</v>
      </c>
      <c r="I170" s="109"/>
    </row>
    <row r="171" spans="1:9" ht="18" customHeight="1">
      <c r="A171" s="40">
        <f t="shared" si="6"/>
        <v>169</v>
      </c>
      <c r="B171" s="40">
        <f t="shared" si="7"/>
        <v>159</v>
      </c>
      <c r="C171" s="50">
        <v>43253</v>
      </c>
      <c r="D171" s="109" t="s">
        <v>534</v>
      </c>
      <c r="E171" s="109" t="s">
        <v>676</v>
      </c>
      <c r="F171" s="112">
        <v>5</v>
      </c>
      <c r="G171" s="112">
        <f t="shared" si="5"/>
        <v>1456</v>
      </c>
      <c r="H171" s="111" t="s">
        <v>502</v>
      </c>
      <c r="I171" s="109"/>
    </row>
    <row r="172" spans="1:9" ht="18" customHeight="1">
      <c r="A172" s="40">
        <f t="shared" si="6"/>
        <v>170</v>
      </c>
      <c r="B172" s="40">
        <f t="shared" si="7"/>
        <v>160</v>
      </c>
      <c r="C172" s="50">
        <v>43253</v>
      </c>
      <c r="D172" s="109" t="s">
        <v>534</v>
      </c>
      <c r="E172" s="109" t="s">
        <v>677</v>
      </c>
      <c r="F172" s="112">
        <v>5</v>
      </c>
      <c r="G172" s="112">
        <f t="shared" si="5"/>
        <v>1461</v>
      </c>
      <c r="H172" s="111" t="s">
        <v>502</v>
      </c>
      <c r="I172" s="109"/>
    </row>
    <row r="173" spans="1:9" ht="18" customHeight="1">
      <c r="A173" s="40">
        <f t="shared" si="6"/>
        <v>171</v>
      </c>
      <c r="B173" s="40">
        <f t="shared" si="7"/>
        <v>161</v>
      </c>
      <c r="C173" s="50">
        <v>43253</v>
      </c>
      <c r="D173" s="109" t="s">
        <v>500</v>
      </c>
      <c r="E173" s="113" t="s">
        <v>678</v>
      </c>
      <c r="F173" s="112">
        <v>20</v>
      </c>
      <c r="G173" s="112">
        <f t="shared" si="5"/>
        <v>1481</v>
      </c>
      <c r="H173" s="111" t="s">
        <v>502</v>
      </c>
      <c r="I173" s="109"/>
    </row>
    <row r="174" spans="1:9" ht="18" customHeight="1">
      <c r="A174" s="40">
        <f t="shared" si="6"/>
        <v>172</v>
      </c>
      <c r="B174" s="40">
        <f t="shared" si="7"/>
        <v>162</v>
      </c>
      <c r="C174" s="50">
        <v>43253</v>
      </c>
      <c r="D174" s="109" t="s">
        <v>500</v>
      </c>
      <c r="E174" s="113" t="s">
        <v>679</v>
      </c>
      <c r="F174" s="112">
        <v>20</v>
      </c>
      <c r="G174" s="112">
        <f t="shared" si="5"/>
        <v>1501</v>
      </c>
      <c r="H174" s="111" t="s">
        <v>502</v>
      </c>
      <c r="I174" s="109"/>
    </row>
    <row r="175" spans="1:9" ht="18" customHeight="1">
      <c r="A175" s="40">
        <f t="shared" si="6"/>
        <v>173</v>
      </c>
      <c r="B175" s="40">
        <f t="shared" si="7"/>
        <v>163</v>
      </c>
      <c r="C175" s="50">
        <v>43253</v>
      </c>
      <c r="D175" s="109" t="s">
        <v>579</v>
      </c>
      <c r="E175" s="109" t="s">
        <v>680</v>
      </c>
      <c r="F175" s="112">
        <v>5</v>
      </c>
      <c r="G175" s="112">
        <f t="shared" si="5"/>
        <v>1506</v>
      </c>
      <c r="H175" s="111" t="s">
        <v>502</v>
      </c>
      <c r="I175" s="109"/>
    </row>
    <row r="176" spans="1:9" ht="18" customHeight="1">
      <c r="A176" s="40">
        <f t="shared" si="6"/>
        <v>174</v>
      </c>
      <c r="B176" s="40">
        <f t="shared" si="7"/>
        <v>164</v>
      </c>
      <c r="C176" s="50">
        <v>43253</v>
      </c>
      <c r="D176" s="109" t="s">
        <v>500</v>
      </c>
      <c r="E176" s="109" t="s">
        <v>681</v>
      </c>
      <c r="F176" s="112">
        <v>10</v>
      </c>
      <c r="G176" s="112">
        <f t="shared" si="5"/>
        <v>1516</v>
      </c>
      <c r="H176" s="111" t="s">
        <v>502</v>
      </c>
      <c r="I176" s="109"/>
    </row>
    <row r="177" spans="1:9" ht="18" customHeight="1">
      <c r="A177" s="40">
        <f t="shared" si="6"/>
        <v>175</v>
      </c>
      <c r="B177" s="40">
        <f t="shared" si="7"/>
        <v>165</v>
      </c>
      <c r="C177" s="50">
        <v>43253</v>
      </c>
      <c r="D177" s="109" t="s">
        <v>500</v>
      </c>
      <c r="E177" s="109" t="s">
        <v>682</v>
      </c>
      <c r="F177" s="112">
        <v>5</v>
      </c>
      <c r="G177" s="112">
        <f t="shared" si="5"/>
        <v>1521</v>
      </c>
      <c r="H177" s="111" t="s">
        <v>502</v>
      </c>
      <c r="I177" s="109"/>
    </row>
    <row r="178" spans="1:9" ht="18" customHeight="1">
      <c r="A178" s="40">
        <f t="shared" si="6"/>
        <v>176</v>
      </c>
      <c r="B178" s="40">
        <f t="shared" si="7"/>
        <v>166</v>
      </c>
      <c r="C178" s="50">
        <v>43253</v>
      </c>
      <c r="D178" s="109" t="s">
        <v>683</v>
      </c>
      <c r="E178" s="109" t="s">
        <v>684</v>
      </c>
      <c r="F178" s="112">
        <v>5</v>
      </c>
      <c r="G178" s="112">
        <f t="shared" si="5"/>
        <v>1526</v>
      </c>
      <c r="H178" s="111" t="s">
        <v>502</v>
      </c>
      <c r="I178" s="109"/>
    </row>
    <row r="179" spans="1:9" ht="18" customHeight="1">
      <c r="A179" s="40">
        <f t="shared" si="6"/>
        <v>177</v>
      </c>
      <c r="B179" s="40">
        <f t="shared" si="7"/>
        <v>167</v>
      </c>
      <c r="C179" s="50">
        <v>43253</v>
      </c>
      <c r="D179" s="109" t="s">
        <v>586</v>
      </c>
      <c r="E179" s="109" t="s">
        <v>685</v>
      </c>
      <c r="F179" s="112">
        <v>10</v>
      </c>
      <c r="G179" s="112">
        <f t="shared" si="5"/>
        <v>1536</v>
      </c>
      <c r="H179" s="111" t="s">
        <v>502</v>
      </c>
      <c r="I179" s="109"/>
    </row>
    <row r="180" spans="1:9" ht="18" customHeight="1">
      <c r="A180" s="40">
        <f t="shared" si="6"/>
        <v>178</v>
      </c>
      <c r="B180" s="40">
        <f t="shared" si="7"/>
        <v>168</v>
      </c>
      <c r="C180" s="50">
        <v>43253</v>
      </c>
      <c r="D180" s="109"/>
      <c r="E180" s="109" t="s">
        <v>686</v>
      </c>
      <c r="F180" s="112">
        <v>5</v>
      </c>
      <c r="G180" s="112">
        <f t="shared" si="5"/>
        <v>1541</v>
      </c>
      <c r="H180" s="111" t="s">
        <v>502</v>
      </c>
      <c r="I180" s="109"/>
    </row>
    <row r="181" spans="1:9" ht="18" customHeight="1">
      <c r="A181" s="40">
        <f t="shared" si="6"/>
        <v>179</v>
      </c>
      <c r="B181" s="40">
        <f t="shared" si="7"/>
        <v>169</v>
      </c>
      <c r="C181" s="50">
        <v>43253</v>
      </c>
      <c r="D181" s="109" t="s">
        <v>586</v>
      </c>
      <c r="E181" s="109" t="s">
        <v>643</v>
      </c>
      <c r="F181" s="112">
        <v>5</v>
      </c>
      <c r="G181" s="112">
        <f t="shared" si="5"/>
        <v>1546</v>
      </c>
      <c r="H181" s="111" t="s">
        <v>502</v>
      </c>
      <c r="I181" s="109"/>
    </row>
    <row r="182" spans="1:9" ht="18" customHeight="1">
      <c r="A182" s="40">
        <f t="shared" si="6"/>
        <v>180</v>
      </c>
      <c r="B182" s="40">
        <f t="shared" si="7"/>
        <v>170</v>
      </c>
      <c r="C182" s="50">
        <v>43253</v>
      </c>
      <c r="D182" s="109" t="s">
        <v>586</v>
      </c>
      <c r="E182" s="109" t="s">
        <v>687</v>
      </c>
      <c r="F182" s="112">
        <v>5</v>
      </c>
      <c r="G182" s="112">
        <f t="shared" si="5"/>
        <v>1551</v>
      </c>
      <c r="H182" s="111" t="s">
        <v>502</v>
      </c>
      <c r="I182" s="109"/>
    </row>
    <row r="183" spans="1:9" ht="18" customHeight="1">
      <c r="A183" s="40">
        <f t="shared" si="6"/>
        <v>181</v>
      </c>
      <c r="B183" s="40">
        <f t="shared" si="7"/>
        <v>171</v>
      </c>
      <c r="C183" s="50">
        <v>43253</v>
      </c>
      <c r="D183" s="109" t="s">
        <v>586</v>
      </c>
      <c r="E183" s="109" t="s">
        <v>688</v>
      </c>
      <c r="F183" s="112">
        <v>5</v>
      </c>
      <c r="G183" s="112">
        <f t="shared" si="5"/>
        <v>1556</v>
      </c>
      <c r="H183" s="111" t="s">
        <v>502</v>
      </c>
      <c r="I183" s="109"/>
    </row>
    <row r="184" spans="1:9" ht="18" customHeight="1">
      <c r="A184" s="40">
        <f t="shared" si="6"/>
        <v>182</v>
      </c>
      <c r="B184" s="40">
        <f t="shared" si="7"/>
        <v>172</v>
      </c>
      <c r="C184" s="50">
        <v>43253</v>
      </c>
      <c r="D184" s="109" t="s">
        <v>586</v>
      </c>
      <c r="E184" s="109" t="s">
        <v>689</v>
      </c>
      <c r="F184" s="112">
        <v>5</v>
      </c>
      <c r="G184" s="112">
        <f t="shared" si="5"/>
        <v>1561</v>
      </c>
      <c r="H184" s="111" t="s">
        <v>502</v>
      </c>
      <c r="I184" s="109"/>
    </row>
    <row r="185" spans="1:9" ht="18" customHeight="1">
      <c r="A185" s="40">
        <f t="shared" si="6"/>
        <v>183</v>
      </c>
      <c r="B185" s="40">
        <f t="shared" si="7"/>
        <v>173</v>
      </c>
      <c r="C185" s="50">
        <v>43253</v>
      </c>
      <c r="D185" s="109" t="s">
        <v>586</v>
      </c>
      <c r="E185" s="109" t="s">
        <v>690</v>
      </c>
      <c r="F185" s="112">
        <v>5</v>
      </c>
      <c r="G185" s="112">
        <f t="shared" si="5"/>
        <v>1566</v>
      </c>
      <c r="H185" s="111" t="s">
        <v>502</v>
      </c>
      <c r="I185" s="109"/>
    </row>
    <row r="186" spans="1:9" ht="18" customHeight="1">
      <c r="A186" s="40">
        <f t="shared" si="6"/>
        <v>184</v>
      </c>
      <c r="B186" s="40">
        <f t="shared" si="7"/>
        <v>174</v>
      </c>
      <c r="C186" s="50">
        <v>43253</v>
      </c>
      <c r="D186" s="109" t="s">
        <v>586</v>
      </c>
      <c r="E186" s="109" t="s">
        <v>691</v>
      </c>
      <c r="F186" s="112">
        <v>10</v>
      </c>
      <c r="G186" s="112">
        <f t="shared" si="5"/>
        <v>1576</v>
      </c>
      <c r="H186" s="111" t="s">
        <v>502</v>
      </c>
      <c r="I186" s="109"/>
    </row>
    <row r="187" spans="1:9" ht="18" customHeight="1">
      <c r="A187" s="40">
        <f t="shared" si="6"/>
        <v>185</v>
      </c>
      <c r="B187" s="40">
        <f t="shared" si="7"/>
        <v>175</v>
      </c>
      <c r="C187" s="50">
        <v>43253</v>
      </c>
      <c r="D187" s="109" t="s">
        <v>586</v>
      </c>
      <c r="E187" s="109" t="s">
        <v>692</v>
      </c>
      <c r="F187" s="112">
        <v>5</v>
      </c>
      <c r="G187" s="112">
        <f t="shared" si="5"/>
        <v>1581</v>
      </c>
      <c r="H187" s="111" t="s">
        <v>502</v>
      </c>
      <c r="I187" s="109"/>
    </row>
    <row r="188" spans="1:9" ht="18" customHeight="1">
      <c r="A188" s="40">
        <f t="shared" si="6"/>
        <v>186</v>
      </c>
      <c r="B188" s="40">
        <f t="shared" si="7"/>
        <v>176</v>
      </c>
      <c r="C188" s="50">
        <v>43253</v>
      </c>
      <c r="D188" s="109" t="s">
        <v>586</v>
      </c>
      <c r="E188" s="109" t="s">
        <v>693</v>
      </c>
      <c r="F188" s="112">
        <v>5</v>
      </c>
      <c r="G188" s="112">
        <f t="shared" si="5"/>
        <v>1586</v>
      </c>
      <c r="H188" s="111" t="s">
        <v>502</v>
      </c>
      <c r="I188" s="109"/>
    </row>
    <row r="189" spans="1:9" ht="18" customHeight="1">
      <c r="A189" s="40">
        <f t="shared" si="6"/>
        <v>187</v>
      </c>
      <c r="B189" s="40">
        <f t="shared" si="7"/>
        <v>177</v>
      </c>
      <c r="C189" s="50">
        <v>43253</v>
      </c>
      <c r="D189" s="109" t="s">
        <v>586</v>
      </c>
      <c r="E189" s="109" t="s">
        <v>694</v>
      </c>
      <c r="F189" s="112">
        <v>5</v>
      </c>
      <c r="G189" s="112">
        <f t="shared" si="5"/>
        <v>1591</v>
      </c>
      <c r="H189" s="111" t="s">
        <v>502</v>
      </c>
      <c r="I189" s="109"/>
    </row>
    <row r="190" spans="1:9" ht="18" customHeight="1">
      <c r="A190" s="40">
        <f t="shared" si="6"/>
        <v>188</v>
      </c>
      <c r="B190" s="40">
        <f t="shared" si="7"/>
        <v>178</v>
      </c>
      <c r="C190" s="50">
        <v>43253</v>
      </c>
      <c r="D190" s="109" t="s">
        <v>586</v>
      </c>
      <c r="E190" s="109" t="s">
        <v>695</v>
      </c>
      <c r="F190" s="112">
        <v>5</v>
      </c>
      <c r="G190" s="112">
        <f t="shared" si="5"/>
        <v>1596</v>
      </c>
      <c r="H190" s="111" t="s">
        <v>502</v>
      </c>
      <c r="I190" s="109"/>
    </row>
    <row r="191" spans="1:9" ht="18" customHeight="1">
      <c r="A191" s="40">
        <f t="shared" si="6"/>
        <v>189</v>
      </c>
      <c r="B191" s="40">
        <f t="shared" si="7"/>
        <v>179</v>
      </c>
      <c r="C191" s="50">
        <v>43253</v>
      </c>
      <c r="D191" s="109" t="s">
        <v>586</v>
      </c>
      <c r="E191" s="109" t="s">
        <v>696</v>
      </c>
      <c r="F191" s="112">
        <v>5</v>
      </c>
      <c r="G191" s="112">
        <f t="shared" si="5"/>
        <v>1601</v>
      </c>
      <c r="H191" s="111" t="s">
        <v>502</v>
      </c>
      <c r="I191" s="109"/>
    </row>
    <row r="192" spans="1:9" ht="18" customHeight="1">
      <c r="A192" s="40">
        <f t="shared" si="6"/>
        <v>190</v>
      </c>
      <c r="B192" s="40">
        <f t="shared" si="7"/>
        <v>180</v>
      </c>
      <c r="C192" s="50">
        <v>43253</v>
      </c>
      <c r="D192" s="109" t="s">
        <v>586</v>
      </c>
      <c r="E192" s="109" t="s">
        <v>697</v>
      </c>
      <c r="F192" s="112">
        <v>5</v>
      </c>
      <c r="G192" s="112">
        <f t="shared" si="5"/>
        <v>1606</v>
      </c>
      <c r="H192" s="111" t="s">
        <v>502</v>
      </c>
      <c r="I192" s="109"/>
    </row>
    <row r="193" spans="1:9" ht="18" customHeight="1">
      <c r="A193" s="40">
        <f t="shared" si="6"/>
        <v>191</v>
      </c>
      <c r="B193" s="40">
        <f t="shared" si="7"/>
        <v>181</v>
      </c>
      <c r="C193" s="50">
        <v>43253</v>
      </c>
      <c r="D193" s="109" t="s">
        <v>586</v>
      </c>
      <c r="E193" s="109" t="s">
        <v>698</v>
      </c>
      <c r="F193" s="112">
        <v>5</v>
      </c>
      <c r="G193" s="112">
        <f t="shared" si="5"/>
        <v>1611</v>
      </c>
      <c r="H193" s="111" t="s">
        <v>502</v>
      </c>
      <c r="I193" s="109"/>
    </row>
    <row r="194" spans="1:9" ht="18" customHeight="1">
      <c r="A194" s="40">
        <f t="shared" si="6"/>
        <v>192</v>
      </c>
      <c r="B194" s="40">
        <f t="shared" si="7"/>
        <v>182</v>
      </c>
      <c r="C194" s="50">
        <v>43253</v>
      </c>
      <c r="D194" s="109" t="s">
        <v>586</v>
      </c>
      <c r="E194" s="109" t="s">
        <v>699</v>
      </c>
      <c r="F194" s="112">
        <v>5</v>
      </c>
      <c r="G194" s="112">
        <f t="shared" si="5"/>
        <v>1616</v>
      </c>
      <c r="H194" s="111" t="s">
        <v>502</v>
      </c>
      <c r="I194" s="109"/>
    </row>
    <row r="195" spans="1:9" ht="18" customHeight="1">
      <c r="A195" s="40">
        <f t="shared" si="6"/>
        <v>193</v>
      </c>
      <c r="B195" s="40">
        <f t="shared" si="7"/>
        <v>183</v>
      </c>
      <c r="C195" s="50">
        <v>43253</v>
      </c>
      <c r="D195" s="109" t="s">
        <v>586</v>
      </c>
      <c r="E195" s="109" t="s">
        <v>700</v>
      </c>
      <c r="F195" s="112">
        <v>5</v>
      </c>
      <c r="G195" s="112">
        <f t="shared" si="5"/>
        <v>1621</v>
      </c>
      <c r="H195" s="111" t="s">
        <v>502</v>
      </c>
      <c r="I195" s="109"/>
    </row>
    <row r="196" spans="1:9" ht="18" customHeight="1">
      <c r="A196" s="40">
        <f t="shared" si="6"/>
        <v>194</v>
      </c>
      <c r="B196" s="40">
        <f t="shared" si="7"/>
        <v>184</v>
      </c>
      <c r="C196" s="50">
        <v>43253</v>
      </c>
      <c r="D196" s="109" t="s">
        <v>586</v>
      </c>
      <c r="E196" s="109" t="s">
        <v>701</v>
      </c>
      <c r="F196" s="112">
        <v>5</v>
      </c>
      <c r="G196" s="112">
        <f t="shared" si="5"/>
        <v>1626</v>
      </c>
      <c r="H196" s="111" t="s">
        <v>502</v>
      </c>
      <c r="I196" s="109"/>
    </row>
    <row r="197" spans="1:9" ht="18" customHeight="1">
      <c r="A197" s="40">
        <f t="shared" si="6"/>
        <v>195</v>
      </c>
      <c r="B197" s="40">
        <f t="shared" si="7"/>
        <v>185</v>
      </c>
      <c r="C197" s="50">
        <v>43253</v>
      </c>
      <c r="D197" s="109" t="s">
        <v>586</v>
      </c>
      <c r="E197" s="109" t="s">
        <v>702</v>
      </c>
      <c r="F197" s="112">
        <v>5</v>
      </c>
      <c r="G197" s="112">
        <f t="shared" ref="G197:G260" si="8">F197+G196</f>
        <v>1631</v>
      </c>
      <c r="H197" s="111" t="s">
        <v>502</v>
      </c>
      <c r="I197" s="109"/>
    </row>
    <row r="198" spans="1:9" ht="18" customHeight="1">
      <c r="A198" s="40">
        <f t="shared" si="6"/>
        <v>196</v>
      </c>
      <c r="B198" s="40">
        <f t="shared" si="7"/>
        <v>186</v>
      </c>
      <c r="C198" s="50">
        <v>43253</v>
      </c>
      <c r="D198" s="109" t="s">
        <v>586</v>
      </c>
      <c r="E198" s="109" t="s">
        <v>703</v>
      </c>
      <c r="F198" s="112">
        <v>5</v>
      </c>
      <c r="G198" s="112">
        <f t="shared" si="8"/>
        <v>1636</v>
      </c>
      <c r="H198" s="111" t="s">
        <v>502</v>
      </c>
      <c r="I198" s="109"/>
    </row>
    <row r="199" spans="1:9" ht="18" customHeight="1">
      <c r="A199" s="40">
        <f t="shared" si="6"/>
        <v>197</v>
      </c>
      <c r="B199" s="40">
        <f t="shared" si="7"/>
        <v>187</v>
      </c>
      <c r="C199" s="50">
        <v>43253</v>
      </c>
      <c r="D199" s="109" t="s">
        <v>586</v>
      </c>
      <c r="E199" s="109" t="s">
        <v>704</v>
      </c>
      <c r="F199" s="112">
        <v>5</v>
      </c>
      <c r="G199" s="112">
        <f t="shared" si="8"/>
        <v>1641</v>
      </c>
      <c r="H199" s="111" t="s">
        <v>502</v>
      </c>
      <c r="I199" s="109"/>
    </row>
    <row r="200" spans="1:9" ht="18" customHeight="1">
      <c r="A200" s="40">
        <f t="shared" si="6"/>
        <v>198</v>
      </c>
      <c r="B200" s="40">
        <f t="shared" si="7"/>
        <v>188</v>
      </c>
      <c r="C200" s="50">
        <v>43253</v>
      </c>
      <c r="D200" s="109" t="s">
        <v>586</v>
      </c>
      <c r="E200" s="109" t="s">
        <v>599</v>
      </c>
      <c r="F200" s="112">
        <v>5</v>
      </c>
      <c r="G200" s="112">
        <f t="shared" si="8"/>
        <v>1646</v>
      </c>
      <c r="H200" s="111" t="s">
        <v>502</v>
      </c>
      <c r="I200" s="109"/>
    </row>
    <row r="201" spans="1:9" ht="18" customHeight="1">
      <c r="A201" s="40">
        <f t="shared" si="6"/>
        <v>199</v>
      </c>
      <c r="B201" s="40">
        <f t="shared" si="7"/>
        <v>189</v>
      </c>
      <c r="C201" s="50">
        <v>43253</v>
      </c>
      <c r="D201" s="109" t="s">
        <v>586</v>
      </c>
      <c r="E201" s="109" t="s">
        <v>705</v>
      </c>
      <c r="F201" s="112">
        <v>5</v>
      </c>
      <c r="G201" s="112">
        <f t="shared" si="8"/>
        <v>1651</v>
      </c>
      <c r="H201" s="111" t="s">
        <v>502</v>
      </c>
      <c r="I201" s="109"/>
    </row>
    <row r="202" spans="1:9" ht="18" customHeight="1">
      <c r="A202" s="40">
        <f t="shared" si="6"/>
        <v>200</v>
      </c>
      <c r="B202" s="40">
        <f t="shared" si="7"/>
        <v>190</v>
      </c>
      <c r="C202" s="50">
        <v>43253</v>
      </c>
      <c r="D202" s="109" t="s">
        <v>586</v>
      </c>
      <c r="E202" s="109" t="s">
        <v>706</v>
      </c>
      <c r="F202" s="112">
        <v>5</v>
      </c>
      <c r="G202" s="112">
        <f t="shared" si="8"/>
        <v>1656</v>
      </c>
      <c r="H202" s="111" t="s">
        <v>502</v>
      </c>
      <c r="I202" s="109"/>
    </row>
    <row r="203" spans="1:9" ht="18" customHeight="1">
      <c r="A203" s="40">
        <f t="shared" ref="A203:A266" si="9">ROW()-2</f>
        <v>201</v>
      </c>
      <c r="B203" s="40">
        <f t="shared" si="7"/>
        <v>191</v>
      </c>
      <c r="C203" s="50">
        <v>43253</v>
      </c>
      <c r="D203" s="109" t="s">
        <v>586</v>
      </c>
      <c r="E203" s="109" t="s">
        <v>707</v>
      </c>
      <c r="F203" s="112">
        <v>5</v>
      </c>
      <c r="G203" s="112">
        <f t="shared" si="8"/>
        <v>1661</v>
      </c>
      <c r="H203" s="111" t="s">
        <v>502</v>
      </c>
      <c r="I203" s="109"/>
    </row>
    <row r="204" spans="1:9" ht="18" customHeight="1">
      <c r="A204" s="40">
        <f t="shared" si="9"/>
        <v>202</v>
      </c>
      <c r="B204" s="40">
        <f t="shared" si="7"/>
        <v>192</v>
      </c>
      <c r="C204" s="50">
        <v>43253</v>
      </c>
      <c r="D204" s="109" t="s">
        <v>586</v>
      </c>
      <c r="E204" s="109" t="s">
        <v>708</v>
      </c>
      <c r="F204" s="112">
        <v>10</v>
      </c>
      <c r="G204" s="112">
        <f t="shared" si="8"/>
        <v>1671</v>
      </c>
      <c r="H204" s="111" t="s">
        <v>502</v>
      </c>
      <c r="I204" s="109"/>
    </row>
    <row r="205" spans="1:9" ht="18" customHeight="1">
      <c r="A205" s="40">
        <f t="shared" si="9"/>
        <v>203</v>
      </c>
      <c r="B205" s="40">
        <f t="shared" si="7"/>
        <v>193</v>
      </c>
      <c r="C205" s="50">
        <v>43253</v>
      </c>
      <c r="D205" s="109" t="s">
        <v>586</v>
      </c>
      <c r="E205" s="109" t="s">
        <v>709</v>
      </c>
      <c r="F205" s="112">
        <v>5</v>
      </c>
      <c r="G205" s="112">
        <f t="shared" si="8"/>
        <v>1676</v>
      </c>
      <c r="H205" s="111" t="s">
        <v>502</v>
      </c>
      <c r="I205" s="109"/>
    </row>
    <row r="206" spans="1:9" ht="18" customHeight="1">
      <c r="A206" s="40">
        <f t="shared" si="9"/>
        <v>204</v>
      </c>
      <c r="B206" s="40">
        <f t="shared" si="7"/>
        <v>194</v>
      </c>
      <c r="C206" s="50">
        <v>43253</v>
      </c>
      <c r="D206" s="109" t="s">
        <v>586</v>
      </c>
      <c r="E206" s="109" t="s">
        <v>710</v>
      </c>
      <c r="F206" s="112">
        <v>10</v>
      </c>
      <c r="G206" s="112">
        <f t="shared" si="8"/>
        <v>1686</v>
      </c>
      <c r="H206" s="111" t="s">
        <v>502</v>
      </c>
      <c r="I206" s="109"/>
    </row>
    <row r="207" spans="1:9" ht="18" customHeight="1">
      <c r="A207" s="40">
        <f t="shared" si="9"/>
        <v>205</v>
      </c>
      <c r="B207" s="40">
        <f t="shared" si="7"/>
        <v>195</v>
      </c>
      <c r="C207" s="50">
        <v>43253</v>
      </c>
      <c r="D207" s="109" t="s">
        <v>586</v>
      </c>
      <c r="E207" s="109" t="s">
        <v>711</v>
      </c>
      <c r="F207" s="112">
        <v>5</v>
      </c>
      <c r="G207" s="112">
        <f t="shared" si="8"/>
        <v>1691</v>
      </c>
      <c r="H207" s="111" t="s">
        <v>502</v>
      </c>
      <c r="I207" s="109"/>
    </row>
    <row r="208" spans="1:9" ht="18" customHeight="1">
      <c r="A208" s="40">
        <f t="shared" si="9"/>
        <v>206</v>
      </c>
      <c r="B208" s="40">
        <f t="shared" si="7"/>
        <v>196</v>
      </c>
      <c r="C208" s="50">
        <v>43253</v>
      </c>
      <c r="D208" s="109" t="s">
        <v>586</v>
      </c>
      <c r="E208" s="109" t="s">
        <v>712</v>
      </c>
      <c r="F208" s="112">
        <v>10</v>
      </c>
      <c r="G208" s="112">
        <f t="shared" si="8"/>
        <v>1701</v>
      </c>
      <c r="H208" s="111" t="s">
        <v>502</v>
      </c>
      <c r="I208" s="109"/>
    </row>
    <row r="209" spans="1:9" ht="18" customHeight="1">
      <c r="A209" s="40">
        <f t="shared" si="9"/>
        <v>207</v>
      </c>
      <c r="B209" s="40">
        <f t="shared" si="7"/>
        <v>197</v>
      </c>
      <c r="C209" s="50">
        <v>43253</v>
      </c>
      <c r="D209" s="109" t="s">
        <v>586</v>
      </c>
      <c r="E209" s="109" t="s">
        <v>713</v>
      </c>
      <c r="F209" s="112">
        <v>5</v>
      </c>
      <c r="G209" s="112">
        <f t="shared" si="8"/>
        <v>1706</v>
      </c>
      <c r="H209" s="111" t="s">
        <v>502</v>
      </c>
      <c r="I209" s="109"/>
    </row>
    <row r="210" spans="1:9" ht="18" customHeight="1">
      <c r="A210" s="40">
        <f t="shared" si="9"/>
        <v>208</v>
      </c>
      <c r="B210" s="40">
        <f t="shared" si="7"/>
        <v>198</v>
      </c>
      <c r="C210" s="50">
        <v>43253</v>
      </c>
      <c r="D210" s="109" t="s">
        <v>586</v>
      </c>
      <c r="E210" s="109" t="s">
        <v>714</v>
      </c>
      <c r="F210" s="112">
        <v>10</v>
      </c>
      <c r="G210" s="112">
        <f t="shared" si="8"/>
        <v>1716</v>
      </c>
      <c r="H210" s="111" t="s">
        <v>502</v>
      </c>
      <c r="I210" s="109"/>
    </row>
    <row r="211" spans="1:9" ht="18" customHeight="1">
      <c r="A211" s="40">
        <f t="shared" si="9"/>
        <v>209</v>
      </c>
      <c r="B211" s="40">
        <f t="shared" si="7"/>
        <v>199</v>
      </c>
      <c r="C211" s="50">
        <v>43253</v>
      </c>
      <c r="D211" s="109" t="s">
        <v>586</v>
      </c>
      <c r="E211" s="109" t="s">
        <v>715</v>
      </c>
      <c r="F211" s="112">
        <v>10</v>
      </c>
      <c r="G211" s="112">
        <f t="shared" si="8"/>
        <v>1726</v>
      </c>
      <c r="H211" s="111" t="s">
        <v>502</v>
      </c>
      <c r="I211" s="109"/>
    </row>
    <row r="212" spans="1:9" ht="18" customHeight="1">
      <c r="A212" s="40">
        <f t="shared" si="9"/>
        <v>210</v>
      </c>
      <c r="B212" s="40">
        <f t="shared" si="7"/>
        <v>200</v>
      </c>
      <c r="C212" s="50">
        <v>43253</v>
      </c>
      <c r="D212" s="109" t="s">
        <v>586</v>
      </c>
      <c r="E212" s="109" t="s">
        <v>716</v>
      </c>
      <c r="F212" s="112">
        <v>10</v>
      </c>
      <c r="G212" s="112">
        <f t="shared" si="8"/>
        <v>1736</v>
      </c>
      <c r="H212" s="111" t="s">
        <v>502</v>
      </c>
      <c r="I212" s="109"/>
    </row>
    <row r="213" spans="1:9" ht="18" customHeight="1">
      <c r="A213" s="40">
        <f t="shared" si="9"/>
        <v>211</v>
      </c>
      <c r="B213" s="40">
        <f t="shared" si="7"/>
        <v>201</v>
      </c>
      <c r="C213" s="50">
        <v>43253</v>
      </c>
      <c r="D213" s="109" t="s">
        <v>586</v>
      </c>
      <c r="E213" s="109" t="s">
        <v>717</v>
      </c>
      <c r="F213" s="112">
        <v>5</v>
      </c>
      <c r="G213" s="112">
        <f t="shared" si="8"/>
        <v>1741</v>
      </c>
      <c r="H213" s="111" t="s">
        <v>502</v>
      </c>
      <c r="I213" s="109"/>
    </row>
    <row r="214" spans="1:9" ht="18" customHeight="1">
      <c r="A214" s="40">
        <f t="shared" si="9"/>
        <v>212</v>
      </c>
      <c r="B214" s="40">
        <f t="shared" si="7"/>
        <v>202</v>
      </c>
      <c r="C214" s="50">
        <v>43253</v>
      </c>
      <c r="D214" s="109" t="s">
        <v>586</v>
      </c>
      <c r="E214" s="109" t="s">
        <v>718</v>
      </c>
      <c r="F214" s="112">
        <v>5</v>
      </c>
      <c r="G214" s="112">
        <f t="shared" si="8"/>
        <v>1746</v>
      </c>
      <c r="H214" s="111" t="s">
        <v>502</v>
      </c>
      <c r="I214" s="109"/>
    </row>
    <row r="215" spans="1:9" ht="18" customHeight="1">
      <c r="A215" s="40">
        <f t="shared" si="9"/>
        <v>213</v>
      </c>
      <c r="B215" s="40">
        <f t="shared" si="7"/>
        <v>203</v>
      </c>
      <c r="C215" s="50">
        <v>43253</v>
      </c>
      <c r="D215" s="109" t="s">
        <v>586</v>
      </c>
      <c r="E215" s="109" t="s">
        <v>719</v>
      </c>
      <c r="F215" s="112">
        <v>5</v>
      </c>
      <c r="G215" s="112">
        <f t="shared" si="8"/>
        <v>1751</v>
      </c>
      <c r="H215" s="111" t="s">
        <v>502</v>
      </c>
      <c r="I215" s="109"/>
    </row>
    <row r="216" spans="1:9" ht="18" customHeight="1">
      <c r="A216" s="40">
        <f t="shared" si="9"/>
        <v>214</v>
      </c>
      <c r="B216" s="40">
        <f t="shared" si="7"/>
        <v>204</v>
      </c>
      <c r="C216" s="50">
        <v>43253</v>
      </c>
      <c r="D216" s="109" t="s">
        <v>586</v>
      </c>
      <c r="E216" s="109" t="s">
        <v>720</v>
      </c>
      <c r="F216" s="112">
        <v>5</v>
      </c>
      <c r="G216" s="112">
        <f t="shared" si="8"/>
        <v>1756</v>
      </c>
      <c r="H216" s="111" t="s">
        <v>502</v>
      </c>
      <c r="I216" s="109"/>
    </row>
    <row r="217" spans="1:9" ht="18" customHeight="1">
      <c r="A217" s="40">
        <f t="shared" si="9"/>
        <v>215</v>
      </c>
      <c r="B217" s="40">
        <f t="shared" ref="B217:B266" si="10">ROW()-12</f>
        <v>205</v>
      </c>
      <c r="C217" s="50">
        <v>43253</v>
      </c>
      <c r="D217" s="109" t="s">
        <v>586</v>
      </c>
      <c r="E217" s="109" t="s">
        <v>721</v>
      </c>
      <c r="F217" s="112">
        <v>10</v>
      </c>
      <c r="G217" s="112">
        <f t="shared" si="8"/>
        <v>1766</v>
      </c>
      <c r="H217" s="111" t="s">
        <v>502</v>
      </c>
      <c r="I217" s="109"/>
    </row>
    <row r="218" spans="1:9" ht="18" customHeight="1">
      <c r="A218" s="40">
        <f t="shared" si="9"/>
        <v>216</v>
      </c>
      <c r="B218" s="40">
        <f t="shared" si="10"/>
        <v>206</v>
      </c>
      <c r="C218" s="50">
        <v>43253</v>
      </c>
      <c r="D218" s="109" t="s">
        <v>586</v>
      </c>
      <c r="E218" s="109" t="s">
        <v>722</v>
      </c>
      <c r="F218" s="112">
        <v>10</v>
      </c>
      <c r="G218" s="112">
        <f t="shared" si="8"/>
        <v>1776</v>
      </c>
      <c r="H218" s="111" t="s">
        <v>502</v>
      </c>
      <c r="I218" s="109"/>
    </row>
    <row r="219" spans="1:9" ht="18" customHeight="1">
      <c r="A219" s="40">
        <f t="shared" si="9"/>
        <v>217</v>
      </c>
      <c r="B219" s="40">
        <f t="shared" si="10"/>
        <v>207</v>
      </c>
      <c r="C219" s="50">
        <v>43253</v>
      </c>
      <c r="D219" s="109" t="s">
        <v>586</v>
      </c>
      <c r="E219" s="109" t="s">
        <v>723</v>
      </c>
      <c r="F219" s="112">
        <v>5</v>
      </c>
      <c r="G219" s="112">
        <f t="shared" si="8"/>
        <v>1781</v>
      </c>
      <c r="H219" s="111" t="s">
        <v>502</v>
      </c>
      <c r="I219" s="109"/>
    </row>
    <row r="220" spans="1:9" ht="18" customHeight="1">
      <c r="A220" s="40">
        <f t="shared" si="9"/>
        <v>218</v>
      </c>
      <c r="B220" s="40">
        <f t="shared" si="10"/>
        <v>208</v>
      </c>
      <c r="C220" s="50">
        <v>43253</v>
      </c>
      <c r="D220" s="109" t="s">
        <v>586</v>
      </c>
      <c r="E220" s="109" t="s">
        <v>724</v>
      </c>
      <c r="F220" s="112">
        <v>5</v>
      </c>
      <c r="G220" s="112">
        <f t="shared" si="8"/>
        <v>1786</v>
      </c>
      <c r="H220" s="111" t="s">
        <v>502</v>
      </c>
      <c r="I220" s="109"/>
    </row>
    <row r="221" spans="1:9" ht="18" customHeight="1">
      <c r="A221" s="40">
        <f t="shared" si="9"/>
        <v>219</v>
      </c>
      <c r="B221" s="40">
        <f t="shared" si="10"/>
        <v>209</v>
      </c>
      <c r="C221" s="50">
        <v>43253</v>
      </c>
      <c r="D221" s="109" t="s">
        <v>586</v>
      </c>
      <c r="E221" s="109" t="s">
        <v>725</v>
      </c>
      <c r="F221" s="112">
        <v>5</v>
      </c>
      <c r="G221" s="112">
        <f t="shared" si="8"/>
        <v>1791</v>
      </c>
      <c r="H221" s="111" t="s">
        <v>502</v>
      </c>
      <c r="I221" s="109"/>
    </row>
    <row r="222" spans="1:9" ht="18" customHeight="1">
      <c r="A222" s="40">
        <f t="shared" si="9"/>
        <v>220</v>
      </c>
      <c r="B222" s="40">
        <f t="shared" si="10"/>
        <v>210</v>
      </c>
      <c r="C222" s="50">
        <v>43253</v>
      </c>
      <c r="D222" s="109" t="s">
        <v>586</v>
      </c>
      <c r="E222" s="109" t="s">
        <v>726</v>
      </c>
      <c r="F222" s="112">
        <v>10</v>
      </c>
      <c r="G222" s="112">
        <f t="shared" si="8"/>
        <v>1801</v>
      </c>
      <c r="H222" s="111" t="s">
        <v>502</v>
      </c>
      <c r="I222" s="109"/>
    </row>
    <row r="223" spans="1:9" ht="18" customHeight="1">
      <c r="A223" s="40">
        <f t="shared" si="9"/>
        <v>221</v>
      </c>
      <c r="B223" s="40">
        <f t="shared" si="10"/>
        <v>211</v>
      </c>
      <c r="C223" s="50">
        <v>43253</v>
      </c>
      <c r="D223" s="109" t="s">
        <v>586</v>
      </c>
      <c r="E223" s="109" t="s">
        <v>727</v>
      </c>
      <c r="F223" s="112">
        <v>5</v>
      </c>
      <c r="G223" s="112">
        <f t="shared" si="8"/>
        <v>1806</v>
      </c>
      <c r="H223" s="111" t="s">
        <v>502</v>
      </c>
      <c r="I223" s="109"/>
    </row>
    <row r="224" spans="1:9" ht="18" customHeight="1">
      <c r="A224" s="40">
        <f t="shared" si="9"/>
        <v>222</v>
      </c>
      <c r="B224" s="40">
        <f t="shared" si="10"/>
        <v>212</v>
      </c>
      <c r="C224" s="50">
        <v>43253</v>
      </c>
      <c r="D224" s="109" t="s">
        <v>586</v>
      </c>
      <c r="E224" s="109" t="s">
        <v>728</v>
      </c>
      <c r="F224" s="112">
        <v>10</v>
      </c>
      <c r="G224" s="112">
        <f t="shared" si="8"/>
        <v>1816</v>
      </c>
      <c r="H224" s="111" t="s">
        <v>502</v>
      </c>
      <c r="I224" s="109"/>
    </row>
    <row r="225" spans="1:9" ht="18" customHeight="1">
      <c r="A225" s="40">
        <f t="shared" si="9"/>
        <v>223</v>
      </c>
      <c r="B225" s="40">
        <f t="shared" si="10"/>
        <v>213</v>
      </c>
      <c r="C225" s="50">
        <v>43253</v>
      </c>
      <c r="D225" s="109" t="s">
        <v>586</v>
      </c>
      <c r="E225" s="109" t="s">
        <v>729</v>
      </c>
      <c r="F225" s="112">
        <v>5</v>
      </c>
      <c r="G225" s="112">
        <f t="shared" si="8"/>
        <v>1821</v>
      </c>
      <c r="H225" s="111" t="s">
        <v>502</v>
      </c>
      <c r="I225" s="109"/>
    </row>
    <row r="226" spans="1:9" ht="18" customHeight="1">
      <c r="A226" s="40">
        <f t="shared" si="9"/>
        <v>224</v>
      </c>
      <c r="B226" s="40">
        <f t="shared" si="10"/>
        <v>214</v>
      </c>
      <c r="C226" s="50">
        <v>43253</v>
      </c>
      <c r="D226" s="109" t="s">
        <v>518</v>
      </c>
      <c r="E226" s="109" t="s">
        <v>730</v>
      </c>
      <c r="F226" s="112">
        <v>5</v>
      </c>
      <c r="G226" s="112">
        <f t="shared" si="8"/>
        <v>1826</v>
      </c>
      <c r="H226" s="111" t="s">
        <v>502</v>
      </c>
      <c r="I226" s="109"/>
    </row>
    <row r="227" spans="1:9" ht="18" customHeight="1">
      <c r="A227" s="40">
        <f t="shared" si="9"/>
        <v>225</v>
      </c>
      <c r="B227" s="40">
        <f t="shared" si="10"/>
        <v>215</v>
      </c>
      <c r="C227" s="50">
        <v>43253</v>
      </c>
      <c r="D227" s="109" t="s">
        <v>497</v>
      </c>
      <c r="E227" s="109" t="s">
        <v>731</v>
      </c>
      <c r="F227" s="112">
        <v>5</v>
      </c>
      <c r="G227" s="112">
        <f t="shared" si="8"/>
        <v>1831</v>
      </c>
      <c r="H227" s="111" t="s">
        <v>502</v>
      </c>
      <c r="I227" s="109"/>
    </row>
    <row r="228" spans="1:9" ht="18" customHeight="1">
      <c r="A228" s="40">
        <f t="shared" si="9"/>
        <v>226</v>
      </c>
      <c r="B228" s="40">
        <f t="shared" si="10"/>
        <v>216</v>
      </c>
      <c r="C228" s="50">
        <v>43253</v>
      </c>
      <c r="D228" s="109" t="s">
        <v>497</v>
      </c>
      <c r="E228" s="109" t="s">
        <v>732</v>
      </c>
      <c r="F228" s="112">
        <v>5</v>
      </c>
      <c r="G228" s="112">
        <f t="shared" si="8"/>
        <v>1836</v>
      </c>
      <c r="H228" s="111" t="s">
        <v>502</v>
      </c>
      <c r="I228" s="109"/>
    </row>
    <row r="229" spans="1:9" ht="18" customHeight="1">
      <c r="A229" s="40">
        <f t="shared" si="9"/>
        <v>227</v>
      </c>
      <c r="B229" s="40">
        <f t="shared" si="10"/>
        <v>217</v>
      </c>
      <c r="C229" s="50">
        <v>43253</v>
      </c>
      <c r="D229" s="109" t="s">
        <v>586</v>
      </c>
      <c r="E229" s="109" t="s">
        <v>733</v>
      </c>
      <c r="F229" s="112">
        <v>10</v>
      </c>
      <c r="G229" s="112">
        <f t="shared" si="8"/>
        <v>1846</v>
      </c>
      <c r="H229" s="111" t="s">
        <v>502</v>
      </c>
      <c r="I229" s="109"/>
    </row>
    <row r="230" spans="1:9" ht="18" customHeight="1">
      <c r="A230" s="40">
        <f t="shared" si="9"/>
        <v>228</v>
      </c>
      <c r="B230" s="40">
        <f t="shared" si="10"/>
        <v>218</v>
      </c>
      <c r="C230" s="50">
        <v>43253</v>
      </c>
      <c r="D230" s="109" t="s">
        <v>586</v>
      </c>
      <c r="E230" s="109" t="s">
        <v>734</v>
      </c>
      <c r="F230" s="112">
        <v>10</v>
      </c>
      <c r="G230" s="112">
        <f t="shared" si="8"/>
        <v>1856</v>
      </c>
      <c r="H230" s="111" t="s">
        <v>502</v>
      </c>
      <c r="I230" s="109"/>
    </row>
    <row r="231" spans="1:9" ht="18" customHeight="1">
      <c r="A231" s="40">
        <f t="shared" si="9"/>
        <v>229</v>
      </c>
      <c r="B231" s="40">
        <f t="shared" si="10"/>
        <v>219</v>
      </c>
      <c r="C231" s="50">
        <v>43253</v>
      </c>
      <c r="D231" s="109" t="s">
        <v>586</v>
      </c>
      <c r="E231" s="109" t="s">
        <v>735</v>
      </c>
      <c r="F231" s="112">
        <v>20</v>
      </c>
      <c r="G231" s="112">
        <f t="shared" si="8"/>
        <v>1876</v>
      </c>
      <c r="H231" s="111" t="s">
        <v>502</v>
      </c>
      <c r="I231" s="109"/>
    </row>
    <row r="232" spans="1:9" ht="18" customHeight="1">
      <c r="A232" s="40">
        <f t="shared" si="9"/>
        <v>230</v>
      </c>
      <c r="B232" s="40">
        <f t="shared" si="10"/>
        <v>220</v>
      </c>
      <c r="C232" s="50">
        <v>43253</v>
      </c>
      <c r="D232" s="109" t="s">
        <v>586</v>
      </c>
      <c r="E232" s="109" t="s">
        <v>736</v>
      </c>
      <c r="F232" s="112">
        <v>5</v>
      </c>
      <c r="G232" s="112">
        <f t="shared" si="8"/>
        <v>1881</v>
      </c>
      <c r="H232" s="111" t="s">
        <v>502</v>
      </c>
      <c r="I232" s="109"/>
    </row>
    <row r="233" spans="1:9" ht="18" customHeight="1">
      <c r="A233" s="40">
        <f t="shared" si="9"/>
        <v>231</v>
      </c>
      <c r="B233" s="40">
        <f t="shared" si="10"/>
        <v>221</v>
      </c>
      <c r="C233" s="50">
        <v>43253</v>
      </c>
      <c r="D233" s="109" t="s">
        <v>586</v>
      </c>
      <c r="E233" s="109" t="s">
        <v>737</v>
      </c>
      <c r="F233" s="112">
        <v>5</v>
      </c>
      <c r="G233" s="112">
        <f t="shared" si="8"/>
        <v>1886</v>
      </c>
      <c r="H233" s="111" t="s">
        <v>502</v>
      </c>
      <c r="I233" s="109"/>
    </row>
    <row r="234" spans="1:9" ht="18" customHeight="1">
      <c r="A234" s="40">
        <f t="shared" si="9"/>
        <v>232</v>
      </c>
      <c r="B234" s="40">
        <f t="shared" si="10"/>
        <v>222</v>
      </c>
      <c r="C234" s="50">
        <v>43253</v>
      </c>
      <c r="D234" s="109" t="s">
        <v>586</v>
      </c>
      <c r="E234" s="109" t="s">
        <v>738</v>
      </c>
      <c r="F234" s="112">
        <v>10</v>
      </c>
      <c r="G234" s="112">
        <f t="shared" si="8"/>
        <v>1896</v>
      </c>
      <c r="H234" s="111" t="s">
        <v>502</v>
      </c>
      <c r="I234" s="109"/>
    </row>
    <row r="235" spans="1:9" ht="18" customHeight="1">
      <c r="A235" s="40">
        <f t="shared" si="9"/>
        <v>233</v>
      </c>
      <c r="B235" s="40">
        <f t="shared" si="10"/>
        <v>223</v>
      </c>
      <c r="C235" s="50">
        <v>43253</v>
      </c>
      <c r="D235" s="109"/>
      <c r="E235" s="109" t="s">
        <v>739</v>
      </c>
      <c r="F235" s="112">
        <v>5</v>
      </c>
      <c r="G235" s="112">
        <f t="shared" si="8"/>
        <v>1901</v>
      </c>
      <c r="H235" s="111" t="s">
        <v>502</v>
      </c>
      <c r="I235" s="109"/>
    </row>
    <row r="236" spans="1:9" ht="18" customHeight="1">
      <c r="A236" s="40">
        <f t="shared" si="9"/>
        <v>234</v>
      </c>
      <c r="B236" s="40">
        <f t="shared" si="10"/>
        <v>224</v>
      </c>
      <c r="C236" s="50">
        <v>43253</v>
      </c>
      <c r="D236" s="109" t="s">
        <v>586</v>
      </c>
      <c r="E236" s="109" t="s">
        <v>740</v>
      </c>
      <c r="F236" s="112">
        <v>5</v>
      </c>
      <c r="G236" s="112">
        <f t="shared" si="8"/>
        <v>1906</v>
      </c>
      <c r="H236" s="111" t="s">
        <v>502</v>
      </c>
      <c r="I236" s="109"/>
    </row>
    <row r="237" spans="1:9" ht="18" customHeight="1">
      <c r="A237" s="40">
        <f t="shared" si="9"/>
        <v>235</v>
      </c>
      <c r="B237" s="40">
        <f t="shared" si="10"/>
        <v>225</v>
      </c>
      <c r="C237" s="50">
        <v>43253</v>
      </c>
      <c r="D237" s="109" t="s">
        <v>586</v>
      </c>
      <c r="E237" s="109" t="s">
        <v>741</v>
      </c>
      <c r="F237" s="112">
        <v>5</v>
      </c>
      <c r="G237" s="112">
        <f t="shared" si="8"/>
        <v>1911</v>
      </c>
      <c r="H237" s="111" t="s">
        <v>502</v>
      </c>
      <c r="I237" s="109"/>
    </row>
    <row r="238" spans="1:9" ht="18" customHeight="1">
      <c r="A238" s="40">
        <f t="shared" si="9"/>
        <v>236</v>
      </c>
      <c r="B238" s="40">
        <f t="shared" si="10"/>
        <v>226</v>
      </c>
      <c r="C238" s="50">
        <v>43253</v>
      </c>
      <c r="D238" s="109"/>
      <c r="E238" s="109" t="s">
        <v>742</v>
      </c>
      <c r="F238" s="112">
        <v>5</v>
      </c>
      <c r="G238" s="112">
        <f t="shared" si="8"/>
        <v>1916</v>
      </c>
      <c r="H238" s="111" t="s">
        <v>502</v>
      </c>
      <c r="I238" s="109"/>
    </row>
    <row r="239" spans="1:9" ht="18" customHeight="1">
      <c r="A239" s="40">
        <f t="shared" si="9"/>
        <v>237</v>
      </c>
      <c r="B239" s="40">
        <f t="shared" si="10"/>
        <v>227</v>
      </c>
      <c r="C239" s="50">
        <v>43253</v>
      </c>
      <c r="D239" s="109"/>
      <c r="E239" s="109" t="s">
        <v>743</v>
      </c>
      <c r="F239" s="112">
        <v>5</v>
      </c>
      <c r="G239" s="112">
        <f t="shared" si="8"/>
        <v>1921</v>
      </c>
      <c r="H239" s="111" t="s">
        <v>502</v>
      </c>
      <c r="I239" s="109"/>
    </row>
    <row r="240" spans="1:9" ht="18" customHeight="1">
      <c r="A240" s="40">
        <f t="shared" si="9"/>
        <v>238</v>
      </c>
      <c r="B240" s="40">
        <f t="shared" si="10"/>
        <v>228</v>
      </c>
      <c r="C240" s="50">
        <v>43253</v>
      </c>
      <c r="D240" s="109" t="s">
        <v>586</v>
      </c>
      <c r="E240" s="109" t="s">
        <v>744</v>
      </c>
      <c r="F240" s="112">
        <v>10</v>
      </c>
      <c r="G240" s="112">
        <f t="shared" si="8"/>
        <v>1931</v>
      </c>
      <c r="H240" s="111" t="s">
        <v>502</v>
      </c>
      <c r="I240" s="109"/>
    </row>
    <row r="241" spans="1:9" ht="18" customHeight="1">
      <c r="A241" s="40">
        <f t="shared" si="9"/>
        <v>239</v>
      </c>
      <c r="B241" s="40">
        <f t="shared" si="10"/>
        <v>229</v>
      </c>
      <c r="C241" s="50">
        <v>43253</v>
      </c>
      <c r="D241" s="109"/>
      <c r="E241" s="109" t="s">
        <v>745</v>
      </c>
      <c r="F241" s="112">
        <v>10</v>
      </c>
      <c r="G241" s="112">
        <f t="shared" si="8"/>
        <v>1941</v>
      </c>
      <c r="H241" s="111" t="s">
        <v>502</v>
      </c>
      <c r="I241" s="109"/>
    </row>
    <row r="242" spans="1:9" ht="18" customHeight="1">
      <c r="A242" s="40">
        <f t="shared" si="9"/>
        <v>240</v>
      </c>
      <c r="B242" s="40">
        <f t="shared" si="10"/>
        <v>230</v>
      </c>
      <c r="C242" s="50">
        <v>43253</v>
      </c>
      <c r="D242" s="109" t="s">
        <v>500</v>
      </c>
      <c r="E242" s="109" t="s">
        <v>746</v>
      </c>
      <c r="F242" s="112">
        <v>10</v>
      </c>
      <c r="G242" s="112">
        <f t="shared" si="8"/>
        <v>1951</v>
      </c>
      <c r="H242" s="111" t="s">
        <v>502</v>
      </c>
      <c r="I242" s="109"/>
    </row>
    <row r="243" spans="1:9" ht="18" customHeight="1">
      <c r="A243" s="40">
        <f t="shared" si="9"/>
        <v>241</v>
      </c>
      <c r="B243" s="40">
        <f t="shared" si="10"/>
        <v>231</v>
      </c>
      <c r="C243" s="50">
        <v>43253</v>
      </c>
      <c r="D243" s="109" t="s">
        <v>586</v>
      </c>
      <c r="E243" s="109" t="s">
        <v>747</v>
      </c>
      <c r="F243" s="112">
        <v>5</v>
      </c>
      <c r="G243" s="112">
        <f t="shared" si="8"/>
        <v>1956</v>
      </c>
      <c r="H243" s="111" t="s">
        <v>502</v>
      </c>
      <c r="I243" s="109"/>
    </row>
    <row r="244" spans="1:9" ht="18" customHeight="1">
      <c r="A244" s="40">
        <f t="shared" si="9"/>
        <v>242</v>
      </c>
      <c r="B244" s="40">
        <f t="shared" si="10"/>
        <v>232</v>
      </c>
      <c r="C244" s="50">
        <v>43253</v>
      </c>
      <c r="D244" s="109" t="s">
        <v>586</v>
      </c>
      <c r="E244" s="109" t="s">
        <v>748</v>
      </c>
      <c r="F244" s="112">
        <v>10</v>
      </c>
      <c r="G244" s="112">
        <f t="shared" si="8"/>
        <v>1966</v>
      </c>
      <c r="H244" s="111" t="s">
        <v>502</v>
      </c>
      <c r="I244" s="109"/>
    </row>
    <row r="245" spans="1:9" ht="18" customHeight="1">
      <c r="A245" s="40">
        <f t="shared" si="9"/>
        <v>243</v>
      </c>
      <c r="B245" s="40">
        <f t="shared" si="10"/>
        <v>233</v>
      </c>
      <c r="C245" s="50">
        <v>43253</v>
      </c>
      <c r="D245" s="109" t="s">
        <v>586</v>
      </c>
      <c r="E245" s="109" t="s">
        <v>749</v>
      </c>
      <c r="F245" s="112">
        <v>30</v>
      </c>
      <c r="G245" s="112">
        <f t="shared" si="8"/>
        <v>1996</v>
      </c>
      <c r="H245" s="111" t="s">
        <v>502</v>
      </c>
      <c r="I245" s="109"/>
    </row>
    <row r="246" spans="1:9" ht="18" customHeight="1">
      <c r="A246" s="40">
        <f t="shared" si="9"/>
        <v>244</v>
      </c>
      <c r="B246" s="40">
        <f t="shared" si="10"/>
        <v>234</v>
      </c>
      <c r="C246" s="50">
        <v>43253</v>
      </c>
      <c r="D246" s="109" t="s">
        <v>586</v>
      </c>
      <c r="E246" s="109" t="s">
        <v>750</v>
      </c>
      <c r="F246" s="112">
        <v>10</v>
      </c>
      <c r="G246" s="112">
        <f t="shared" si="8"/>
        <v>2006</v>
      </c>
      <c r="H246" s="111" t="s">
        <v>502</v>
      </c>
      <c r="I246" s="109"/>
    </row>
    <row r="247" spans="1:9" ht="18" customHeight="1">
      <c r="A247" s="40">
        <f t="shared" si="9"/>
        <v>245</v>
      </c>
      <c r="B247" s="40">
        <f t="shared" si="10"/>
        <v>235</v>
      </c>
      <c r="C247" s="50">
        <v>43253</v>
      </c>
      <c r="D247" s="109" t="s">
        <v>586</v>
      </c>
      <c r="E247" s="109" t="s">
        <v>751</v>
      </c>
      <c r="F247" s="112">
        <v>10</v>
      </c>
      <c r="G247" s="112">
        <f t="shared" si="8"/>
        <v>2016</v>
      </c>
      <c r="H247" s="111" t="s">
        <v>502</v>
      </c>
      <c r="I247" s="109"/>
    </row>
    <row r="248" spans="1:9" ht="18" customHeight="1">
      <c r="A248" s="40">
        <f t="shared" si="9"/>
        <v>246</v>
      </c>
      <c r="B248" s="40">
        <f t="shared" si="10"/>
        <v>236</v>
      </c>
      <c r="C248" s="50">
        <v>43253</v>
      </c>
      <c r="D248" s="109"/>
      <c r="E248" s="109" t="s">
        <v>752</v>
      </c>
      <c r="F248" s="112">
        <v>30</v>
      </c>
      <c r="G248" s="112">
        <f t="shared" si="8"/>
        <v>2046</v>
      </c>
      <c r="H248" s="111" t="s">
        <v>502</v>
      </c>
      <c r="I248" s="109"/>
    </row>
    <row r="249" spans="1:9" ht="18" customHeight="1">
      <c r="A249" s="40">
        <f t="shared" si="9"/>
        <v>247</v>
      </c>
      <c r="B249" s="40">
        <f t="shared" si="10"/>
        <v>237</v>
      </c>
      <c r="C249" s="50">
        <v>43253</v>
      </c>
      <c r="D249" s="109" t="s">
        <v>518</v>
      </c>
      <c r="E249" s="113" t="s">
        <v>753</v>
      </c>
      <c r="F249" s="112">
        <v>15</v>
      </c>
      <c r="G249" s="112">
        <f t="shared" si="8"/>
        <v>2061</v>
      </c>
      <c r="H249" s="111" t="s">
        <v>502</v>
      </c>
      <c r="I249" s="109"/>
    </row>
    <row r="250" spans="1:9" ht="18" customHeight="1">
      <c r="A250" s="40">
        <f t="shared" si="9"/>
        <v>248</v>
      </c>
      <c r="B250" s="40">
        <f t="shared" si="10"/>
        <v>238</v>
      </c>
      <c r="C250" s="50">
        <v>43253</v>
      </c>
      <c r="D250" s="109" t="s">
        <v>518</v>
      </c>
      <c r="E250" s="109" t="s">
        <v>754</v>
      </c>
      <c r="F250" s="112">
        <v>7</v>
      </c>
      <c r="G250" s="112">
        <f t="shared" si="8"/>
        <v>2068</v>
      </c>
      <c r="H250" s="111" t="s">
        <v>502</v>
      </c>
      <c r="I250" s="109"/>
    </row>
    <row r="251" spans="1:9" ht="18" customHeight="1">
      <c r="A251" s="40">
        <f t="shared" si="9"/>
        <v>249</v>
      </c>
      <c r="B251" s="40">
        <f t="shared" si="10"/>
        <v>239</v>
      </c>
      <c r="C251" s="50">
        <v>43253</v>
      </c>
      <c r="D251" s="109" t="s">
        <v>518</v>
      </c>
      <c r="E251" s="113" t="s">
        <v>755</v>
      </c>
      <c r="F251" s="112">
        <v>15</v>
      </c>
      <c r="G251" s="112">
        <f t="shared" si="8"/>
        <v>2083</v>
      </c>
      <c r="H251" s="111" t="s">
        <v>502</v>
      </c>
      <c r="I251" s="109"/>
    </row>
    <row r="252" spans="1:9" ht="18" customHeight="1">
      <c r="A252" s="40">
        <f t="shared" si="9"/>
        <v>250</v>
      </c>
      <c r="B252" s="40">
        <f t="shared" si="10"/>
        <v>240</v>
      </c>
      <c r="C252" s="50">
        <v>43253</v>
      </c>
      <c r="D252" s="109" t="s">
        <v>500</v>
      </c>
      <c r="E252" s="113" t="s">
        <v>756</v>
      </c>
      <c r="F252" s="112">
        <v>20</v>
      </c>
      <c r="G252" s="112">
        <f t="shared" si="8"/>
        <v>2103</v>
      </c>
      <c r="H252" s="111" t="s">
        <v>502</v>
      </c>
      <c r="I252" s="109"/>
    </row>
    <row r="253" spans="1:9" ht="18" customHeight="1">
      <c r="A253" s="40">
        <f t="shared" si="9"/>
        <v>251</v>
      </c>
      <c r="B253" s="40">
        <f t="shared" si="10"/>
        <v>241</v>
      </c>
      <c r="C253" s="50">
        <v>43253</v>
      </c>
      <c r="D253" s="109" t="s">
        <v>518</v>
      </c>
      <c r="E253" s="109" t="s">
        <v>757</v>
      </c>
      <c r="F253" s="112">
        <v>10</v>
      </c>
      <c r="G253" s="112">
        <f t="shared" si="8"/>
        <v>2113</v>
      </c>
      <c r="H253" s="111" t="s">
        <v>502</v>
      </c>
      <c r="I253" s="109"/>
    </row>
    <row r="254" spans="1:9" ht="18" customHeight="1">
      <c r="A254" s="40">
        <f t="shared" si="9"/>
        <v>252</v>
      </c>
      <c r="B254" s="40">
        <f t="shared" si="10"/>
        <v>242</v>
      </c>
      <c r="C254" s="50">
        <v>43253</v>
      </c>
      <c r="D254" s="109" t="s">
        <v>586</v>
      </c>
      <c r="E254" s="109" t="s">
        <v>758</v>
      </c>
      <c r="F254" s="112">
        <v>50</v>
      </c>
      <c r="G254" s="112">
        <f t="shared" si="8"/>
        <v>2163</v>
      </c>
      <c r="H254" s="111" t="s">
        <v>502</v>
      </c>
      <c r="I254" s="109"/>
    </row>
    <row r="255" spans="1:9" ht="18" customHeight="1">
      <c r="A255" s="40">
        <f t="shared" si="9"/>
        <v>253</v>
      </c>
      <c r="B255" s="40">
        <f t="shared" si="10"/>
        <v>243</v>
      </c>
      <c r="C255" s="50">
        <v>43253</v>
      </c>
      <c r="D255" s="109" t="s">
        <v>586</v>
      </c>
      <c r="E255" s="109" t="s">
        <v>759</v>
      </c>
      <c r="F255" s="112">
        <v>5</v>
      </c>
      <c r="G255" s="112">
        <f t="shared" si="8"/>
        <v>2168</v>
      </c>
      <c r="H255" s="111" t="s">
        <v>502</v>
      </c>
      <c r="I255" s="109"/>
    </row>
    <row r="256" spans="1:9" ht="18" customHeight="1">
      <c r="A256" s="40">
        <f t="shared" si="9"/>
        <v>254</v>
      </c>
      <c r="B256" s="40">
        <f t="shared" si="10"/>
        <v>244</v>
      </c>
      <c r="C256" s="50">
        <v>43253</v>
      </c>
      <c r="D256" s="109" t="s">
        <v>586</v>
      </c>
      <c r="E256" s="109" t="s">
        <v>760</v>
      </c>
      <c r="F256" s="112">
        <v>5</v>
      </c>
      <c r="G256" s="112">
        <f t="shared" si="8"/>
        <v>2173</v>
      </c>
      <c r="H256" s="111" t="s">
        <v>502</v>
      </c>
      <c r="I256" s="109"/>
    </row>
    <row r="257" spans="1:9" ht="18" customHeight="1">
      <c r="A257" s="40">
        <f t="shared" si="9"/>
        <v>255</v>
      </c>
      <c r="B257" s="40">
        <f t="shared" si="10"/>
        <v>245</v>
      </c>
      <c r="C257" s="50">
        <v>43253</v>
      </c>
      <c r="D257" s="109" t="s">
        <v>586</v>
      </c>
      <c r="E257" s="109" t="s">
        <v>761</v>
      </c>
      <c r="F257" s="112">
        <v>5</v>
      </c>
      <c r="G257" s="112">
        <f t="shared" si="8"/>
        <v>2178</v>
      </c>
      <c r="H257" s="111" t="s">
        <v>502</v>
      </c>
      <c r="I257" s="109"/>
    </row>
    <row r="258" spans="1:9" ht="18" customHeight="1">
      <c r="A258" s="40">
        <f t="shared" si="9"/>
        <v>256</v>
      </c>
      <c r="B258" s="40">
        <f t="shared" si="10"/>
        <v>246</v>
      </c>
      <c r="C258" s="50">
        <v>43253</v>
      </c>
      <c r="D258" s="109" t="s">
        <v>586</v>
      </c>
      <c r="E258" s="109" t="s">
        <v>762</v>
      </c>
      <c r="F258" s="112">
        <v>5</v>
      </c>
      <c r="G258" s="112">
        <f t="shared" si="8"/>
        <v>2183</v>
      </c>
      <c r="H258" s="111" t="s">
        <v>502</v>
      </c>
      <c r="I258" s="109"/>
    </row>
    <row r="259" spans="1:9" ht="18" customHeight="1">
      <c r="A259" s="40">
        <f t="shared" si="9"/>
        <v>257</v>
      </c>
      <c r="B259" s="40">
        <f t="shared" si="10"/>
        <v>247</v>
      </c>
      <c r="C259" s="50">
        <v>43253</v>
      </c>
      <c r="D259" s="109" t="s">
        <v>586</v>
      </c>
      <c r="E259" s="109" t="s">
        <v>763</v>
      </c>
      <c r="F259" s="112">
        <v>10</v>
      </c>
      <c r="G259" s="112">
        <f t="shared" si="8"/>
        <v>2193</v>
      </c>
      <c r="H259" s="111" t="s">
        <v>502</v>
      </c>
      <c r="I259" s="109"/>
    </row>
    <row r="260" spans="1:9" ht="18" customHeight="1">
      <c r="A260" s="40">
        <f t="shared" si="9"/>
        <v>258</v>
      </c>
      <c r="B260" s="40">
        <f t="shared" si="10"/>
        <v>248</v>
      </c>
      <c r="C260" s="50">
        <v>43253</v>
      </c>
      <c r="D260" s="109" t="s">
        <v>586</v>
      </c>
      <c r="E260" s="109" t="s">
        <v>764</v>
      </c>
      <c r="F260" s="112">
        <v>5</v>
      </c>
      <c r="G260" s="112">
        <f t="shared" si="8"/>
        <v>2198</v>
      </c>
      <c r="H260" s="111" t="s">
        <v>502</v>
      </c>
      <c r="I260" s="109"/>
    </row>
    <row r="261" spans="1:9" ht="18" customHeight="1">
      <c r="A261" s="40">
        <f t="shared" si="9"/>
        <v>259</v>
      </c>
      <c r="B261" s="40">
        <f t="shared" si="10"/>
        <v>249</v>
      </c>
      <c r="C261" s="50">
        <v>43253</v>
      </c>
      <c r="D261" s="109" t="s">
        <v>586</v>
      </c>
      <c r="E261" s="109" t="s">
        <v>765</v>
      </c>
      <c r="F261" s="112">
        <v>5</v>
      </c>
      <c r="G261" s="112">
        <f t="shared" ref="G261:G303" si="11">F261+G260</f>
        <v>2203</v>
      </c>
      <c r="H261" s="111" t="s">
        <v>502</v>
      </c>
      <c r="I261" s="109"/>
    </row>
    <row r="262" spans="1:9" ht="18" customHeight="1">
      <c r="A262" s="40">
        <f t="shared" si="9"/>
        <v>260</v>
      </c>
      <c r="B262" s="40">
        <f t="shared" si="10"/>
        <v>250</v>
      </c>
      <c r="C262" s="50">
        <v>43253</v>
      </c>
      <c r="D262" s="109" t="s">
        <v>586</v>
      </c>
      <c r="E262" s="109" t="s">
        <v>766</v>
      </c>
      <c r="F262" s="112">
        <v>5</v>
      </c>
      <c r="G262" s="112">
        <f t="shared" si="11"/>
        <v>2208</v>
      </c>
      <c r="H262" s="111" t="s">
        <v>502</v>
      </c>
      <c r="I262" s="109"/>
    </row>
    <row r="263" spans="1:9" ht="18" customHeight="1">
      <c r="A263" s="40">
        <f t="shared" si="9"/>
        <v>261</v>
      </c>
      <c r="B263" s="40">
        <f t="shared" si="10"/>
        <v>251</v>
      </c>
      <c r="C263" s="50">
        <v>43253</v>
      </c>
      <c r="D263" s="109" t="s">
        <v>586</v>
      </c>
      <c r="E263" s="109" t="s">
        <v>767</v>
      </c>
      <c r="F263" s="112">
        <v>5</v>
      </c>
      <c r="G263" s="112">
        <f t="shared" si="11"/>
        <v>2213</v>
      </c>
      <c r="H263" s="111" t="s">
        <v>502</v>
      </c>
      <c r="I263" s="109"/>
    </row>
    <row r="264" spans="1:9" ht="18" customHeight="1">
      <c r="A264" s="40">
        <f t="shared" si="9"/>
        <v>262</v>
      </c>
      <c r="B264" s="40">
        <f t="shared" si="10"/>
        <v>252</v>
      </c>
      <c r="C264" s="50">
        <v>43253</v>
      </c>
      <c r="D264" s="109" t="s">
        <v>569</v>
      </c>
      <c r="E264" s="109" t="s">
        <v>768</v>
      </c>
      <c r="F264" s="112">
        <v>100</v>
      </c>
      <c r="G264" s="112">
        <f t="shared" si="11"/>
        <v>2313</v>
      </c>
      <c r="H264" s="111" t="s">
        <v>502</v>
      </c>
      <c r="I264" s="109"/>
    </row>
    <row r="265" spans="1:9" ht="18" customHeight="1">
      <c r="A265" s="40">
        <f t="shared" si="9"/>
        <v>263</v>
      </c>
      <c r="B265" s="40">
        <f t="shared" si="10"/>
        <v>253</v>
      </c>
      <c r="C265" s="50">
        <v>43253</v>
      </c>
      <c r="D265" s="109" t="s">
        <v>769</v>
      </c>
      <c r="E265" s="109" t="s">
        <v>770</v>
      </c>
      <c r="F265" s="112">
        <v>20</v>
      </c>
      <c r="G265" s="112">
        <f t="shared" si="11"/>
        <v>2333</v>
      </c>
      <c r="H265" s="111" t="s">
        <v>502</v>
      </c>
      <c r="I265" s="109"/>
    </row>
    <row r="266" spans="1:9" ht="18" customHeight="1">
      <c r="A266" s="40">
        <f t="shared" si="9"/>
        <v>264</v>
      </c>
      <c r="B266" s="40">
        <f t="shared" si="10"/>
        <v>254</v>
      </c>
      <c r="C266" s="50">
        <v>43253</v>
      </c>
      <c r="D266" s="109" t="s">
        <v>569</v>
      </c>
      <c r="E266" s="109" t="s">
        <v>771</v>
      </c>
      <c r="F266" s="112">
        <v>50</v>
      </c>
      <c r="G266" s="112">
        <f t="shared" si="11"/>
        <v>2383</v>
      </c>
      <c r="H266" s="111" t="s">
        <v>502</v>
      </c>
      <c r="I266" s="109"/>
    </row>
    <row r="267" spans="1:9" ht="18" customHeight="1">
      <c r="A267" s="40">
        <f t="shared" ref="A267:A303" si="12">ROW()-2</f>
        <v>265</v>
      </c>
      <c r="B267" s="40" t="s">
        <v>3</v>
      </c>
      <c r="C267" s="50">
        <v>43253</v>
      </c>
      <c r="D267" s="109" t="s">
        <v>569</v>
      </c>
      <c r="E267" s="109" t="s">
        <v>772</v>
      </c>
      <c r="F267" s="112">
        <v>20</v>
      </c>
      <c r="G267" s="112">
        <f t="shared" si="11"/>
        <v>2403</v>
      </c>
      <c r="H267" s="111" t="s">
        <v>502</v>
      </c>
      <c r="I267" s="109"/>
    </row>
    <row r="268" spans="1:9" ht="18" customHeight="1">
      <c r="A268" s="40">
        <f t="shared" si="12"/>
        <v>266</v>
      </c>
      <c r="B268" s="40">
        <f>ROW()-13</f>
        <v>255</v>
      </c>
      <c r="C268" s="50">
        <v>43253</v>
      </c>
      <c r="D268" s="109" t="s">
        <v>569</v>
      </c>
      <c r="E268" s="109" t="s">
        <v>773</v>
      </c>
      <c r="F268" s="112">
        <v>50</v>
      </c>
      <c r="G268" s="112">
        <f t="shared" si="11"/>
        <v>2453</v>
      </c>
      <c r="H268" s="111" t="s">
        <v>502</v>
      </c>
      <c r="I268" s="109"/>
    </row>
    <row r="269" spans="1:9" ht="18" customHeight="1">
      <c r="A269" s="40">
        <f t="shared" si="12"/>
        <v>267</v>
      </c>
      <c r="B269" s="40">
        <f t="shared" ref="B269:B279" si="13">ROW()-13</f>
        <v>256</v>
      </c>
      <c r="C269" s="50">
        <v>43253</v>
      </c>
      <c r="D269" s="109" t="s">
        <v>569</v>
      </c>
      <c r="E269" s="109" t="s">
        <v>774</v>
      </c>
      <c r="F269" s="112">
        <v>10</v>
      </c>
      <c r="G269" s="112">
        <f t="shared" si="11"/>
        <v>2463</v>
      </c>
      <c r="H269" s="111" t="s">
        <v>502</v>
      </c>
      <c r="I269" s="109"/>
    </row>
    <row r="270" spans="1:9" ht="18" customHeight="1">
      <c r="A270" s="40">
        <f t="shared" si="12"/>
        <v>268</v>
      </c>
      <c r="B270" s="40">
        <f t="shared" si="13"/>
        <v>257</v>
      </c>
      <c r="C270" s="50">
        <v>43253</v>
      </c>
      <c r="D270" s="109"/>
      <c r="E270" s="109" t="s">
        <v>775</v>
      </c>
      <c r="F270" s="112">
        <v>10</v>
      </c>
      <c r="G270" s="112">
        <f t="shared" si="11"/>
        <v>2473</v>
      </c>
      <c r="H270" s="111" t="s">
        <v>502</v>
      </c>
      <c r="I270" s="109"/>
    </row>
    <row r="271" spans="1:9" ht="18" customHeight="1">
      <c r="A271" s="40">
        <f t="shared" si="12"/>
        <v>269</v>
      </c>
      <c r="B271" s="40">
        <f t="shared" si="13"/>
        <v>258</v>
      </c>
      <c r="C271" s="50">
        <v>43253</v>
      </c>
      <c r="D271" s="109"/>
      <c r="E271" s="109" t="s">
        <v>776</v>
      </c>
      <c r="F271" s="112">
        <v>10</v>
      </c>
      <c r="G271" s="112">
        <f t="shared" si="11"/>
        <v>2483</v>
      </c>
      <c r="H271" s="111" t="s">
        <v>502</v>
      </c>
      <c r="I271" s="109"/>
    </row>
    <row r="272" spans="1:9" ht="18" customHeight="1">
      <c r="A272" s="40">
        <f t="shared" si="12"/>
        <v>270</v>
      </c>
      <c r="B272" s="40">
        <f t="shared" si="13"/>
        <v>259</v>
      </c>
      <c r="C272" s="50">
        <v>43253</v>
      </c>
      <c r="D272" s="109"/>
      <c r="E272" s="109" t="s">
        <v>777</v>
      </c>
      <c r="F272" s="112">
        <v>10</v>
      </c>
      <c r="G272" s="112">
        <f t="shared" si="11"/>
        <v>2493</v>
      </c>
      <c r="H272" s="111" t="s">
        <v>502</v>
      </c>
      <c r="I272" s="109"/>
    </row>
    <row r="273" spans="1:9" ht="18" customHeight="1">
      <c r="A273" s="40">
        <f t="shared" si="12"/>
        <v>271</v>
      </c>
      <c r="B273" s="40">
        <f t="shared" si="13"/>
        <v>260</v>
      </c>
      <c r="C273" s="50">
        <v>43253</v>
      </c>
      <c r="D273" s="109"/>
      <c r="E273" s="109" t="s">
        <v>778</v>
      </c>
      <c r="F273" s="112">
        <v>10</v>
      </c>
      <c r="G273" s="112">
        <f t="shared" si="11"/>
        <v>2503</v>
      </c>
      <c r="H273" s="111" t="s">
        <v>502</v>
      </c>
      <c r="I273" s="109"/>
    </row>
    <row r="274" spans="1:9" ht="18" customHeight="1">
      <c r="A274" s="40">
        <f t="shared" si="12"/>
        <v>272</v>
      </c>
      <c r="B274" s="40">
        <f t="shared" si="13"/>
        <v>261</v>
      </c>
      <c r="C274" s="50">
        <v>43253</v>
      </c>
      <c r="D274" s="109"/>
      <c r="E274" s="109" t="s">
        <v>779</v>
      </c>
      <c r="F274" s="112">
        <v>10</v>
      </c>
      <c r="G274" s="112">
        <f t="shared" si="11"/>
        <v>2513</v>
      </c>
      <c r="H274" s="111" t="s">
        <v>502</v>
      </c>
      <c r="I274" s="109"/>
    </row>
    <row r="275" spans="1:9" ht="18" customHeight="1">
      <c r="A275" s="40">
        <f t="shared" si="12"/>
        <v>273</v>
      </c>
      <c r="B275" s="40">
        <f t="shared" si="13"/>
        <v>262</v>
      </c>
      <c r="C275" s="50">
        <v>43253</v>
      </c>
      <c r="D275" s="109"/>
      <c r="E275" s="109" t="s">
        <v>780</v>
      </c>
      <c r="F275" s="112">
        <v>10</v>
      </c>
      <c r="G275" s="112">
        <f t="shared" si="11"/>
        <v>2523</v>
      </c>
      <c r="H275" s="111" t="s">
        <v>502</v>
      </c>
      <c r="I275" s="109"/>
    </row>
    <row r="276" spans="1:9" ht="18" customHeight="1">
      <c r="A276" s="40">
        <f t="shared" si="12"/>
        <v>274</v>
      </c>
      <c r="B276" s="40">
        <f t="shared" si="13"/>
        <v>263</v>
      </c>
      <c r="C276" s="50">
        <v>43253</v>
      </c>
      <c r="D276" s="109"/>
      <c r="E276" s="109" t="s">
        <v>781</v>
      </c>
      <c r="F276" s="112">
        <v>30</v>
      </c>
      <c r="G276" s="112">
        <f t="shared" si="11"/>
        <v>2553</v>
      </c>
      <c r="H276" s="111" t="s">
        <v>502</v>
      </c>
      <c r="I276" s="109"/>
    </row>
    <row r="277" spans="1:9" ht="18" customHeight="1">
      <c r="A277" s="40">
        <f t="shared" si="12"/>
        <v>275</v>
      </c>
      <c r="B277" s="40">
        <f t="shared" si="13"/>
        <v>264</v>
      </c>
      <c r="C277" s="50">
        <v>43253</v>
      </c>
      <c r="D277" s="109"/>
      <c r="E277" s="109" t="s">
        <v>782</v>
      </c>
      <c r="F277" s="112">
        <v>5</v>
      </c>
      <c r="G277" s="112">
        <f t="shared" si="11"/>
        <v>2558</v>
      </c>
      <c r="H277" s="111" t="s">
        <v>502</v>
      </c>
      <c r="I277" s="109"/>
    </row>
    <row r="278" spans="1:9" ht="18" customHeight="1">
      <c r="A278" s="40">
        <f t="shared" si="12"/>
        <v>276</v>
      </c>
      <c r="B278" s="40">
        <f t="shared" si="13"/>
        <v>265</v>
      </c>
      <c r="C278" s="50">
        <v>43253</v>
      </c>
      <c r="D278" s="109"/>
      <c r="E278" s="109" t="s">
        <v>783</v>
      </c>
      <c r="F278" s="112">
        <v>5</v>
      </c>
      <c r="G278" s="112">
        <f t="shared" si="11"/>
        <v>2563</v>
      </c>
      <c r="H278" s="111" t="s">
        <v>502</v>
      </c>
      <c r="I278" s="109"/>
    </row>
    <row r="279" spans="1:9" ht="18" customHeight="1">
      <c r="A279" s="40">
        <f t="shared" si="12"/>
        <v>277</v>
      </c>
      <c r="B279" s="40">
        <f t="shared" si="13"/>
        <v>266</v>
      </c>
      <c r="C279" s="50">
        <v>43253</v>
      </c>
      <c r="D279" s="109"/>
      <c r="E279" s="109" t="s">
        <v>784</v>
      </c>
      <c r="F279" s="112">
        <v>10</v>
      </c>
      <c r="G279" s="112">
        <f t="shared" si="11"/>
        <v>2573</v>
      </c>
      <c r="H279" s="111" t="s">
        <v>502</v>
      </c>
      <c r="I279" s="109"/>
    </row>
    <row r="280" spans="1:9" ht="18" customHeight="1">
      <c r="A280" s="40">
        <f t="shared" si="12"/>
        <v>278</v>
      </c>
      <c r="B280" s="40" t="s">
        <v>3</v>
      </c>
      <c r="C280" s="50">
        <v>43253</v>
      </c>
      <c r="D280" s="109" t="s">
        <v>534</v>
      </c>
      <c r="E280" s="109" t="s">
        <v>785</v>
      </c>
      <c r="F280" s="112">
        <v>5</v>
      </c>
      <c r="G280" s="112">
        <f t="shared" si="11"/>
        <v>2578</v>
      </c>
      <c r="H280" s="111" t="s">
        <v>502</v>
      </c>
      <c r="I280" s="109"/>
    </row>
    <row r="281" spans="1:9" ht="18" customHeight="1">
      <c r="A281" s="40">
        <f t="shared" si="12"/>
        <v>279</v>
      </c>
      <c r="B281" s="40" t="s">
        <v>3</v>
      </c>
      <c r="C281" s="50">
        <v>43253</v>
      </c>
      <c r="D281" s="109" t="s">
        <v>534</v>
      </c>
      <c r="E281" s="109" t="s">
        <v>786</v>
      </c>
      <c r="F281" s="112">
        <v>5</v>
      </c>
      <c r="G281" s="112">
        <f t="shared" si="11"/>
        <v>2583</v>
      </c>
      <c r="H281" s="111" t="s">
        <v>502</v>
      </c>
      <c r="I281" s="109"/>
    </row>
    <row r="282" spans="1:9" ht="18" customHeight="1">
      <c r="A282" s="40">
        <f t="shared" si="12"/>
        <v>280</v>
      </c>
      <c r="B282" s="40" t="s">
        <v>3</v>
      </c>
      <c r="C282" s="50">
        <v>43253</v>
      </c>
      <c r="D282" s="109" t="s">
        <v>497</v>
      </c>
      <c r="E282" s="109" t="s">
        <v>787</v>
      </c>
      <c r="F282" s="112">
        <v>10</v>
      </c>
      <c r="G282" s="112">
        <f t="shared" si="11"/>
        <v>2593</v>
      </c>
      <c r="H282" s="111" t="s">
        <v>502</v>
      </c>
      <c r="I282" s="109"/>
    </row>
    <row r="283" spans="1:9" ht="18" customHeight="1">
      <c r="A283" s="40">
        <f t="shared" si="12"/>
        <v>281</v>
      </c>
      <c r="B283" s="40" t="s">
        <v>3</v>
      </c>
      <c r="C283" s="50">
        <v>43253</v>
      </c>
      <c r="D283" s="109" t="s">
        <v>769</v>
      </c>
      <c r="E283" s="109" t="s">
        <v>788</v>
      </c>
      <c r="F283" s="112">
        <v>150</v>
      </c>
      <c r="G283" s="112">
        <f t="shared" si="11"/>
        <v>2743</v>
      </c>
      <c r="H283" s="111" t="s">
        <v>502</v>
      </c>
      <c r="I283" s="109"/>
    </row>
    <row r="284" spans="1:9" ht="18" customHeight="1">
      <c r="A284" s="40">
        <f t="shared" si="12"/>
        <v>282</v>
      </c>
      <c r="B284" s="40" t="s">
        <v>3</v>
      </c>
      <c r="C284" s="50">
        <v>43254</v>
      </c>
      <c r="D284" s="109" t="s">
        <v>497</v>
      </c>
      <c r="E284" s="109" t="s">
        <v>789</v>
      </c>
      <c r="F284" s="112">
        <v>5</v>
      </c>
      <c r="G284" s="112">
        <f t="shared" si="11"/>
        <v>2748</v>
      </c>
      <c r="H284" s="111" t="s">
        <v>499</v>
      </c>
      <c r="I284" s="109"/>
    </row>
    <row r="285" spans="1:9" ht="18" customHeight="1">
      <c r="A285" s="40">
        <f t="shared" si="12"/>
        <v>283</v>
      </c>
      <c r="B285" s="40" t="s">
        <v>3</v>
      </c>
      <c r="C285" s="50">
        <v>43254</v>
      </c>
      <c r="D285" s="109" t="s">
        <v>497</v>
      </c>
      <c r="E285" s="109" t="s">
        <v>790</v>
      </c>
      <c r="F285" s="112">
        <v>10</v>
      </c>
      <c r="G285" s="112">
        <f t="shared" si="11"/>
        <v>2758</v>
      </c>
      <c r="H285" s="111" t="s">
        <v>499</v>
      </c>
      <c r="I285" s="109"/>
    </row>
    <row r="286" spans="1:9" ht="18" customHeight="1">
      <c r="A286" s="40">
        <f t="shared" si="12"/>
        <v>284</v>
      </c>
      <c r="B286" s="40" t="s">
        <v>3</v>
      </c>
      <c r="C286" s="50">
        <v>43254</v>
      </c>
      <c r="D286" s="109" t="s">
        <v>497</v>
      </c>
      <c r="E286" s="109" t="s">
        <v>791</v>
      </c>
      <c r="F286" s="112">
        <v>10</v>
      </c>
      <c r="G286" s="112">
        <f t="shared" si="11"/>
        <v>2768</v>
      </c>
      <c r="H286" s="111" t="s">
        <v>499</v>
      </c>
      <c r="I286" s="109"/>
    </row>
    <row r="287" spans="1:9" ht="18" customHeight="1">
      <c r="A287" s="40">
        <f t="shared" si="12"/>
        <v>285</v>
      </c>
      <c r="B287" s="40" t="s">
        <v>3</v>
      </c>
      <c r="C287" s="50">
        <v>43254</v>
      </c>
      <c r="D287" s="109" t="s">
        <v>497</v>
      </c>
      <c r="E287" s="109" t="s">
        <v>792</v>
      </c>
      <c r="F287" s="112">
        <v>5</v>
      </c>
      <c r="G287" s="112">
        <f t="shared" si="11"/>
        <v>2773</v>
      </c>
      <c r="H287" s="111" t="s">
        <v>499</v>
      </c>
      <c r="I287" s="109"/>
    </row>
    <row r="288" spans="1:9" ht="18" customHeight="1">
      <c r="A288" s="40">
        <f t="shared" si="12"/>
        <v>286</v>
      </c>
      <c r="B288" s="40" t="s">
        <v>3</v>
      </c>
      <c r="C288" s="50">
        <v>43255</v>
      </c>
      <c r="D288" s="109" t="s">
        <v>497</v>
      </c>
      <c r="E288" s="109" t="s">
        <v>793</v>
      </c>
      <c r="F288" s="112">
        <v>5</v>
      </c>
      <c r="G288" s="112">
        <f t="shared" si="11"/>
        <v>2778</v>
      </c>
      <c r="H288" s="111" t="s">
        <v>499</v>
      </c>
      <c r="I288" s="109"/>
    </row>
    <row r="289" spans="1:9" ht="18" customHeight="1">
      <c r="A289" s="40">
        <f t="shared" si="12"/>
        <v>287</v>
      </c>
      <c r="B289" s="40" t="s">
        <v>3</v>
      </c>
      <c r="C289" s="50">
        <v>43255</v>
      </c>
      <c r="D289" s="109" t="s">
        <v>497</v>
      </c>
      <c r="E289" s="109" t="s">
        <v>794</v>
      </c>
      <c r="F289" s="112">
        <v>5</v>
      </c>
      <c r="G289" s="112">
        <f t="shared" si="11"/>
        <v>2783</v>
      </c>
      <c r="H289" s="111" t="s">
        <v>499</v>
      </c>
      <c r="I289" s="109"/>
    </row>
    <row r="290" spans="1:9" ht="18" customHeight="1">
      <c r="A290" s="40">
        <f t="shared" si="12"/>
        <v>288</v>
      </c>
      <c r="B290" s="40" t="s">
        <v>3</v>
      </c>
      <c r="C290" s="50">
        <v>43255</v>
      </c>
      <c r="D290" s="109" t="s">
        <v>504</v>
      </c>
      <c r="E290" s="109" t="s">
        <v>795</v>
      </c>
      <c r="F290" s="112">
        <v>5</v>
      </c>
      <c r="G290" s="112">
        <f t="shared" si="11"/>
        <v>2788</v>
      </c>
      <c r="H290" s="111" t="s">
        <v>499</v>
      </c>
      <c r="I290" s="109"/>
    </row>
    <row r="291" spans="1:9" ht="18" customHeight="1">
      <c r="A291" s="40">
        <f t="shared" si="12"/>
        <v>289</v>
      </c>
      <c r="B291" s="40" t="s">
        <v>3</v>
      </c>
      <c r="C291" s="50">
        <v>43255</v>
      </c>
      <c r="D291" s="109" t="s">
        <v>497</v>
      </c>
      <c r="E291" s="109" t="s">
        <v>796</v>
      </c>
      <c r="F291" s="112">
        <v>5</v>
      </c>
      <c r="G291" s="112">
        <f t="shared" si="11"/>
        <v>2793</v>
      </c>
      <c r="H291" s="111" t="s">
        <v>499</v>
      </c>
      <c r="I291" s="109"/>
    </row>
    <row r="292" spans="1:9" ht="18" customHeight="1">
      <c r="A292" s="40">
        <f t="shared" si="12"/>
        <v>290</v>
      </c>
      <c r="B292" s="40" t="s">
        <v>3</v>
      </c>
      <c r="C292" s="50">
        <v>43256</v>
      </c>
      <c r="D292" s="109" t="s">
        <v>500</v>
      </c>
      <c r="E292" s="113" t="s">
        <v>797</v>
      </c>
      <c r="F292" s="112">
        <v>30</v>
      </c>
      <c r="G292" s="112">
        <f t="shared" si="11"/>
        <v>2823</v>
      </c>
      <c r="H292" s="111" t="s">
        <v>502</v>
      </c>
      <c r="I292" s="109"/>
    </row>
    <row r="293" spans="1:9" ht="18" customHeight="1">
      <c r="A293" s="40">
        <f t="shared" si="12"/>
        <v>291</v>
      </c>
      <c r="B293" s="40" t="s">
        <v>3</v>
      </c>
      <c r="C293" s="50">
        <v>43256</v>
      </c>
      <c r="D293" s="109" t="s">
        <v>500</v>
      </c>
      <c r="E293" s="113" t="s">
        <v>798</v>
      </c>
      <c r="F293" s="112">
        <v>30</v>
      </c>
      <c r="G293" s="112">
        <f t="shared" si="11"/>
        <v>2853</v>
      </c>
      <c r="H293" s="111" t="s">
        <v>502</v>
      </c>
      <c r="I293" s="109"/>
    </row>
    <row r="294" spans="1:9" ht="18" customHeight="1">
      <c r="A294" s="40">
        <f t="shared" si="12"/>
        <v>292</v>
      </c>
      <c r="B294" s="40" t="s">
        <v>3</v>
      </c>
      <c r="C294" s="50">
        <v>43256</v>
      </c>
      <c r="D294" s="109" t="s">
        <v>500</v>
      </c>
      <c r="E294" s="113" t="s">
        <v>799</v>
      </c>
      <c r="F294" s="112">
        <v>30</v>
      </c>
      <c r="G294" s="112">
        <f t="shared" si="11"/>
        <v>2883</v>
      </c>
      <c r="H294" s="111" t="s">
        <v>502</v>
      </c>
      <c r="I294" s="109"/>
    </row>
    <row r="295" spans="1:9" ht="18" customHeight="1">
      <c r="A295" s="40">
        <f t="shared" si="12"/>
        <v>293</v>
      </c>
      <c r="B295" s="40" t="s">
        <v>3</v>
      </c>
      <c r="C295" s="50">
        <v>43258</v>
      </c>
      <c r="D295" s="109" t="s">
        <v>497</v>
      </c>
      <c r="E295" s="109" t="s">
        <v>800</v>
      </c>
      <c r="F295" s="112">
        <v>5</v>
      </c>
      <c r="G295" s="112">
        <f t="shared" si="11"/>
        <v>2888</v>
      </c>
      <c r="H295" s="111" t="s">
        <v>499</v>
      </c>
      <c r="I295" s="109"/>
    </row>
    <row r="296" spans="1:9" ht="18" customHeight="1">
      <c r="A296" s="40">
        <f t="shared" si="12"/>
        <v>294</v>
      </c>
      <c r="B296" s="40" t="s">
        <v>3</v>
      </c>
      <c r="C296" s="50">
        <v>43263</v>
      </c>
      <c r="D296" s="109" t="s">
        <v>497</v>
      </c>
      <c r="E296" s="109" t="s">
        <v>801</v>
      </c>
      <c r="F296" s="112">
        <v>5</v>
      </c>
      <c r="G296" s="112">
        <f t="shared" si="11"/>
        <v>2893</v>
      </c>
      <c r="H296" s="111" t="s">
        <v>499</v>
      </c>
      <c r="I296" s="109"/>
    </row>
    <row r="297" spans="1:9" ht="18" customHeight="1">
      <c r="A297" s="40">
        <f t="shared" si="12"/>
        <v>295</v>
      </c>
      <c r="B297" s="40" t="s">
        <v>3</v>
      </c>
      <c r="C297" s="50">
        <v>43263</v>
      </c>
      <c r="D297" s="109" t="s">
        <v>497</v>
      </c>
      <c r="E297" s="109" t="s">
        <v>802</v>
      </c>
      <c r="F297" s="112">
        <v>5</v>
      </c>
      <c r="G297" s="112">
        <f t="shared" si="11"/>
        <v>2898</v>
      </c>
      <c r="H297" s="111" t="s">
        <v>499</v>
      </c>
      <c r="I297" s="109"/>
    </row>
    <row r="298" spans="1:9" ht="18" customHeight="1">
      <c r="A298" s="40">
        <f t="shared" si="12"/>
        <v>296</v>
      </c>
      <c r="B298" s="40" t="s">
        <v>3</v>
      </c>
      <c r="C298" s="50">
        <v>43265</v>
      </c>
      <c r="D298" s="109" t="s">
        <v>518</v>
      </c>
      <c r="E298" s="113" t="s">
        <v>803</v>
      </c>
      <c r="F298" s="112">
        <v>20</v>
      </c>
      <c r="G298" s="112">
        <f t="shared" si="11"/>
        <v>2918</v>
      </c>
      <c r="H298" s="111" t="s">
        <v>506</v>
      </c>
      <c r="I298" s="109"/>
    </row>
    <row r="299" spans="1:9" ht="18" customHeight="1">
      <c r="A299" s="40">
        <f t="shared" si="12"/>
        <v>297</v>
      </c>
      <c r="B299" s="40" t="s">
        <v>3</v>
      </c>
      <c r="C299" s="50">
        <v>43265</v>
      </c>
      <c r="D299" s="109" t="s">
        <v>497</v>
      </c>
      <c r="E299" s="109" t="s">
        <v>804</v>
      </c>
      <c r="F299" s="112">
        <v>5</v>
      </c>
      <c r="G299" s="112">
        <f t="shared" si="11"/>
        <v>2923</v>
      </c>
      <c r="H299" s="111" t="s">
        <v>499</v>
      </c>
      <c r="I299" s="109"/>
    </row>
    <row r="300" spans="1:9" ht="18" customHeight="1">
      <c r="A300" s="40">
        <f t="shared" si="12"/>
        <v>298</v>
      </c>
      <c r="B300" s="40" t="s">
        <v>3</v>
      </c>
      <c r="C300" s="50">
        <v>43265</v>
      </c>
      <c r="D300" s="109" t="s">
        <v>497</v>
      </c>
      <c r="E300" s="109" t="s">
        <v>805</v>
      </c>
      <c r="F300" s="112">
        <v>5</v>
      </c>
      <c r="G300" s="112">
        <f t="shared" si="11"/>
        <v>2928</v>
      </c>
      <c r="H300" s="111" t="s">
        <v>499</v>
      </c>
      <c r="I300" s="109"/>
    </row>
    <row r="301" spans="1:9" ht="18" customHeight="1">
      <c r="A301" s="40">
        <f t="shared" si="12"/>
        <v>299</v>
      </c>
      <c r="B301" s="40" t="s">
        <v>3</v>
      </c>
      <c r="C301" s="50">
        <v>43269</v>
      </c>
      <c r="D301" s="109" t="s">
        <v>497</v>
      </c>
      <c r="E301" s="109" t="s">
        <v>756</v>
      </c>
      <c r="F301" s="112">
        <v>5</v>
      </c>
      <c r="G301" s="112">
        <f t="shared" si="11"/>
        <v>2933</v>
      </c>
      <c r="H301" s="111" t="s">
        <v>502</v>
      </c>
      <c r="I301" s="109"/>
    </row>
    <row r="302" spans="1:9" ht="18" customHeight="1">
      <c r="A302" s="40">
        <f t="shared" si="12"/>
        <v>300</v>
      </c>
      <c r="B302" s="40" t="s">
        <v>3</v>
      </c>
      <c r="C302" s="50">
        <v>43353</v>
      </c>
      <c r="D302" s="109" t="s">
        <v>500</v>
      </c>
      <c r="E302" s="109" t="s">
        <v>806</v>
      </c>
      <c r="F302" s="112">
        <v>5</v>
      </c>
      <c r="G302" s="112">
        <f t="shared" si="11"/>
        <v>2938</v>
      </c>
      <c r="H302" s="111" t="s">
        <v>807</v>
      </c>
      <c r="I302" s="109"/>
    </row>
    <row r="303" spans="1:9" ht="18" customHeight="1">
      <c r="A303" s="40">
        <f t="shared" si="12"/>
        <v>301</v>
      </c>
      <c r="B303" s="40" t="s">
        <v>3</v>
      </c>
      <c r="C303" s="50">
        <v>43438</v>
      </c>
      <c r="D303" s="109" t="s">
        <v>500</v>
      </c>
      <c r="E303" s="109" t="s">
        <v>808</v>
      </c>
      <c r="F303" s="112">
        <v>10</v>
      </c>
      <c r="G303" s="112">
        <f t="shared" si="11"/>
        <v>2948</v>
      </c>
      <c r="H303" s="111" t="s">
        <v>809</v>
      </c>
      <c r="I303" s="109"/>
    </row>
  </sheetData>
  <autoFilter ref="A2:I303" xr:uid="{00000000-0009-0000-0000-000001000000}">
    <sortState xmlns:xlrd2="http://schemas.microsoft.com/office/spreadsheetml/2017/richdata2" ref="A3:L54">
      <sortCondition ref="C2:C54"/>
    </sortState>
  </autoFilter>
  <mergeCells count="1">
    <mergeCell ref="A1:I1"/>
  </mergeCells>
  <phoneticPr fontId="5" type="noConversion"/>
  <pageMargins left="0.7" right="0.7" top="0.75" bottom="0.75" header="0.3" footer="0.3"/>
  <pageSetup paperSize="9" scale="63"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594A-3DD2-49BC-8421-D2C55076B90A}">
  <dimension ref="A1:AE211"/>
  <sheetViews>
    <sheetView zoomScale="85" zoomScaleNormal="85" workbookViewId="0">
      <pane ySplit="6" topLeftCell="A106" activePane="bottomLeft" state="frozen"/>
      <selection activeCell="E8" sqref="E8"/>
      <selection pane="bottomLeft" activeCell="H100" sqref="H100"/>
    </sheetView>
  </sheetViews>
  <sheetFormatPr defaultColWidth="9" defaultRowHeight="13.5"/>
  <cols>
    <col min="1" max="1" width="5.25" style="4" customWidth="1"/>
    <col min="2" max="2" width="13.75" style="114" customWidth="1"/>
    <col min="3" max="3" width="16.625" style="114" bestFit="1" customWidth="1"/>
    <col min="4" max="4" width="20" style="58" customWidth="1"/>
    <col min="5" max="6" width="12.875" style="115" customWidth="1"/>
    <col min="7" max="7" width="12.875" style="116" customWidth="1"/>
    <col min="8" max="8" width="28.125" style="117" bestFit="1" customWidth="1"/>
    <col min="9" max="16384" width="9" style="107"/>
  </cols>
  <sheetData>
    <row r="1" spans="1:31" ht="33" customHeight="1">
      <c r="A1" s="563" t="s">
        <v>1695</v>
      </c>
      <c r="B1" s="563"/>
      <c r="C1" s="563"/>
      <c r="D1" s="563"/>
      <c r="E1" s="563"/>
      <c r="F1" s="563"/>
      <c r="G1" s="563"/>
      <c r="H1" s="563"/>
      <c r="I1" s="208"/>
      <c r="J1" s="208"/>
      <c r="K1" s="208"/>
      <c r="L1" s="208"/>
      <c r="M1" s="208"/>
      <c r="N1" s="208"/>
      <c r="O1" s="208"/>
      <c r="P1" s="208"/>
      <c r="Q1" s="208"/>
      <c r="R1" s="208"/>
      <c r="S1" s="208"/>
      <c r="T1" s="208"/>
      <c r="U1" s="208"/>
      <c r="V1" s="208"/>
      <c r="W1" s="208"/>
      <c r="X1" s="208"/>
      <c r="Y1" s="208"/>
      <c r="Z1" s="208"/>
      <c r="AA1" s="208"/>
      <c r="AB1" s="208"/>
      <c r="AC1" s="208"/>
      <c r="AD1" s="208"/>
      <c r="AE1" s="208"/>
    </row>
    <row r="2" spans="1:31" s="58" customFormat="1" ht="18" customHeight="1">
      <c r="A2" s="204"/>
      <c r="B2" s="205"/>
      <c r="C2" s="206"/>
      <c r="D2" s="206"/>
      <c r="E2" s="207"/>
      <c r="F2" s="215">
        <f>SUM(E7:E111)</f>
        <v>1053</v>
      </c>
      <c r="G2" s="216" t="s">
        <v>1061</v>
      </c>
      <c r="H2" s="206"/>
      <c r="I2" s="209"/>
      <c r="J2" s="209"/>
      <c r="K2" s="209"/>
      <c r="L2" s="209"/>
      <c r="M2" s="209"/>
      <c r="N2" s="209"/>
      <c r="O2" s="209"/>
      <c r="P2" s="209"/>
      <c r="Q2" s="209"/>
      <c r="R2" s="209"/>
      <c r="S2" s="209"/>
      <c r="T2" s="209"/>
      <c r="U2" s="209"/>
      <c r="V2" s="209"/>
      <c r="W2" s="209"/>
      <c r="X2" s="209"/>
      <c r="Y2" s="209"/>
      <c r="Z2" s="209"/>
      <c r="AA2" s="209"/>
      <c r="AB2" s="209"/>
      <c r="AC2" s="209"/>
      <c r="AD2" s="209"/>
      <c r="AE2" s="209"/>
    </row>
    <row r="3" spans="1:31" s="58" customFormat="1" ht="18" customHeight="1">
      <c r="A3" s="204"/>
      <c r="B3" s="205"/>
      <c r="C3" s="206"/>
      <c r="D3" s="206"/>
      <c r="E3" s="207"/>
      <c r="F3" s="148">
        <f>SUMIF($G$7:$G$111,G3,$E$7:$E$111)</f>
        <v>650</v>
      </c>
      <c r="G3" s="203" t="s">
        <v>502</v>
      </c>
      <c r="H3" s="206"/>
      <c r="I3" s="209"/>
      <c r="J3" s="209"/>
      <c r="K3" s="209"/>
      <c r="L3" s="209"/>
      <c r="M3" s="209"/>
      <c r="N3" s="209"/>
      <c r="O3" s="209"/>
      <c r="P3" s="209"/>
      <c r="Q3" s="209"/>
      <c r="R3" s="209"/>
      <c r="S3" s="209"/>
      <c r="T3" s="209"/>
      <c r="U3" s="209"/>
      <c r="V3" s="209"/>
      <c r="W3" s="209"/>
      <c r="X3" s="209"/>
      <c r="Y3" s="209"/>
      <c r="Z3" s="209"/>
      <c r="AA3" s="209"/>
      <c r="AB3" s="209"/>
      <c r="AC3" s="209"/>
      <c r="AD3" s="209"/>
      <c r="AE3" s="209"/>
    </row>
    <row r="4" spans="1:31" s="58" customFormat="1" ht="18" customHeight="1">
      <c r="A4" s="204"/>
      <c r="B4" s="205"/>
      <c r="C4" s="206"/>
      <c r="D4" s="206"/>
      <c r="E4" s="207"/>
      <c r="F4" s="148">
        <f t="shared" ref="F4:F5" si="0">SUMIF($G$7:$G$111,G4,$E$7:$E$111)</f>
        <v>388</v>
      </c>
      <c r="G4" s="203" t="s">
        <v>506</v>
      </c>
      <c r="H4" s="206"/>
      <c r="I4" s="209"/>
      <c r="J4" s="209"/>
      <c r="K4" s="209"/>
      <c r="L4" s="209"/>
      <c r="M4" s="209"/>
      <c r="N4" s="209"/>
      <c r="O4" s="209"/>
      <c r="P4" s="209"/>
      <c r="Q4" s="209"/>
      <c r="R4" s="209"/>
      <c r="S4" s="209"/>
      <c r="T4" s="209"/>
      <c r="U4" s="209"/>
      <c r="V4" s="209"/>
      <c r="W4" s="209"/>
      <c r="X4" s="209"/>
      <c r="Y4" s="209"/>
      <c r="Z4" s="209"/>
      <c r="AA4" s="209"/>
      <c r="AB4" s="209"/>
      <c r="AC4" s="209"/>
      <c r="AD4" s="209"/>
      <c r="AE4" s="209"/>
    </row>
    <row r="5" spans="1:31" s="58" customFormat="1" ht="18" customHeight="1">
      <c r="A5" s="204"/>
      <c r="B5" s="205"/>
      <c r="C5" s="206"/>
      <c r="D5" s="206"/>
      <c r="E5" s="207"/>
      <c r="F5" s="148">
        <f t="shared" si="0"/>
        <v>15</v>
      </c>
      <c r="G5" s="203" t="s">
        <v>1696</v>
      </c>
      <c r="H5" s="206"/>
      <c r="I5" s="209"/>
      <c r="J5" s="209"/>
      <c r="K5" s="209"/>
      <c r="L5" s="209"/>
      <c r="M5" s="209"/>
      <c r="N5" s="209"/>
      <c r="O5" s="209"/>
      <c r="P5" s="209"/>
      <c r="Q5" s="209"/>
      <c r="R5" s="209"/>
      <c r="S5" s="209"/>
      <c r="T5" s="209"/>
      <c r="U5" s="209"/>
      <c r="V5" s="209"/>
      <c r="W5" s="209"/>
      <c r="X5" s="209"/>
      <c r="Y5" s="209"/>
      <c r="Z5" s="209"/>
      <c r="AA5" s="209"/>
      <c r="AB5" s="209"/>
      <c r="AC5" s="209"/>
      <c r="AD5" s="209"/>
      <c r="AE5" s="209"/>
    </row>
    <row r="6" spans="1:31" s="58" customFormat="1" ht="18" customHeight="1">
      <c r="A6" s="199" t="s">
        <v>490</v>
      </c>
      <c r="B6" s="200" t="s">
        <v>492</v>
      </c>
      <c r="C6" s="201" t="s">
        <v>449</v>
      </c>
      <c r="D6" s="201" t="s">
        <v>493</v>
      </c>
      <c r="E6" s="202" t="s">
        <v>494</v>
      </c>
      <c r="F6" s="202" t="s">
        <v>495</v>
      </c>
      <c r="G6" s="203" t="s">
        <v>496</v>
      </c>
      <c r="H6" s="201" t="s">
        <v>153</v>
      </c>
      <c r="I6" s="209"/>
      <c r="J6" s="209"/>
      <c r="K6" s="209"/>
      <c r="L6" s="209"/>
      <c r="M6" s="209"/>
      <c r="N6" s="209"/>
      <c r="O6" s="209"/>
      <c r="P6" s="209"/>
      <c r="Q6" s="209"/>
      <c r="R6" s="209"/>
      <c r="S6" s="209"/>
      <c r="T6" s="209"/>
      <c r="U6" s="209"/>
      <c r="V6" s="209"/>
      <c r="W6" s="209"/>
      <c r="X6" s="209"/>
      <c r="Y6" s="209"/>
      <c r="Z6" s="209"/>
      <c r="AA6" s="209"/>
      <c r="AB6" s="209"/>
      <c r="AC6" s="209"/>
      <c r="AD6" s="209"/>
      <c r="AE6" s="209"/>
    </row>
    <row r="7" spans="1:31" s="58" customFormat="1" ht="18" customHeight="1">
      <c r="A7" s="30">
        <f>ROW()-6</f>
        <v>1</v>
      </c>
      <c r="B7" s="34">
        <v>45126</v>
      </c>
      <c r="C7" s="33" t="s">
        <v>534</v>
      </c>
      <c r="D7" s="33" t="s">
        <v>675</v>
      </c>
      <c r="E7" s="174">
        <v>10</v>
      </c>
      <c r="F7" s="174">
        <f>E7</f>
        <v>10</v>
      </c>
      <c r="G7" s="175" t="s">
        <v>506</v>
      </c>
      <c r="H7" s="33"/>
      <c r="I7" s="209"/>
      <c r="J7" s="209"/>
      <c r="K7" s="209"/>
      <c r="L7" s="209"/>
      <c r="M7" s="209"/>
      <c r="N7" s="209"/>
      <c r="O7" s="209"/>
      <c r="P7" s="209"/>
      <c r="Q7" s="209"/>
      <c r="R7" s="209"/>
      <c r="S7" s="209"/>
      <c r="T7" s="209"/>
      <c r="U7" s="209"/>
      <c r="V7" s="209"/>
      <c r="W7" s="209"/>
      <c r="X7" s="209"/>
      <c r="Y7" s="209"/>
      <c r="Z7" s="209"/>
      <c r="AA7" s="209"/>
      <c r="AB7" s="209"/>
      <c r="AC7" s="209"/>
      <c r="AD7" s="209"/>
      <c r="AE7" s="209"/>
    </row>
    <row r="8" spans="1:31" s="58" customFormat="1" ht="18" customHeight="1">
      <c r="A8" s="30">
        <f t="shared" ref="A8:A71" si="1">ROW()-6</f>
        <v>2</v>
      </c>
      <c r="B8" s="34">
        <v>45126</v>
      </c>
      <c r="C8" s="33" t="s">
        <v>497</v>
      </c>
      <c r="D8" s="33" t="s">
        <v>1747</v>
      </c>
      <c r="E8" s="174">
        <v>10</v>
      </c>
      <c r="F8" s="174">
        <f>F7+E8</f>
        <v>20</v>
      </c>
      <c r="G8" s="175" t="s">
        <v>506</v>
      </c>
      <c r="H8" s="33"/>
      <c r="I8" s="209"/>
      <c r="J8" s="209"/>
      <c r="K8" s="209"/>
      <c r="L8" s="209"/>
      <c r="M8" s="209"/>
      <c r="N8" s="209"/>
      <c r="O8" s="209"/>
      <c r="P8" s="209"/>
      <c r="Q8" s="209"/>
      <c r="R8" s="209"/>
      <c r="S8" s="209"/>
      <c r="T8" s="209"/>
      <c r="U8" s="209"/>
      <c r="V8" s="209"/>
      <c r="W8" s="209"/>
      <c r="X8" s="209"/>
      <c r="Y8" s="209"/>
      <c r="Z8" s="209"/>
      <c r="AA8" s="209"/>
      <c r="AB8" s="209"/>
      <c r="AC8" s="209"/>
      <c r="AD8" s="209"/>
      <c r="AE8" s="209"/>
    </row>
    <row r="9" spans="1:31" s="58" customFormat="1" ht="18" customHeight="1">
      <c r="A9" s="30">
        <f t="shared" si="1"/>
        <v>3</v>
      </c>
      <c r="B9" s="34">
        <v>45126</v>
      </c>
      <c r="C9" s="33" t="s">
        <v>1748</v>
      </c>
      <c r="D9" s="33" t="s">
        <v>656</v>
      </c>
      <c r="E9" s="174">
        <v>5</v>
      </c>
      <c r="F9" s="174">
        <f t="shared" ref="F9:F72" si="2">F8+E9</f>
        <v>25</v>
      </c>
      <c r="G9" s="175" t="s">
        <v>506</v>
      </c>
      <c r="H9" s="33"/>
      <c r="I9" s="209"/>
      <c r="J9" s="209"/>
      <c r="K9" s="209"/>
      <c r="L9" s="209"/>
      <c r="M9" s="209"/>
      <c r="N9" s="209"/>
      <c r="O9" s="209"/>
      <c r="P9" s="209"/>
      <c r="Q9" s="209"/>
      <c r="R9" s="209"/>
      <c r="S9" s="209"/>
      <c r="T9" s="209"/>
      <c r="U9" s="209"/>
      <c r="V9" s="209"/>
      <c r="W9" s="209"/>
      <c r="X9" s="209"/>
      <c r="Y9" s="209"/>
      <c r="Z9" s="209"/>
      <c r="AA9" s="209"/>
      <c r="AB9" s="209"/>
      <c r="AC9" s="209"/>
      <c r="AD9" s="209"/>
      <c r="AE9" s="209"/>
    </row>
    <row r="10" spans="1:31" s="58" customFormat="1" ht="18" customHeight="1">
      <c r="A10" s="30">
        <f t="shared" si="1"/>
        <v>4</v>
      </c>
      <c r="B10" s="34">
        <v>45126</v>
      </c>
      <c r="C10" s="33" t="s">
        <v>497</v>
      </c>
      <c r="D10" s="33" t="s">
        <v>583</v>
      </c>
      <c r="E10" s="174">
        <v>20</v>
      </c>
      <c r="F10" s="174">
        <f t="shared" si="2"/>
        <v>45</v>
      </c>
      <c r="G10" s="175" t="s">
        <v>506</v>
      </c>
      <c r="H10" s="33"/>
      <c r="I10" s="209"/>
      <c r="J10" s="209"/>
      <c r="K10" s="209"/>
      <c r="L10" s="209"/>
      <c r="M10" s="209"/>
      <c r="N10" s="209"/>
      <c r="O10" s="209"/>
      <c r="P10" s="209"/>
      <c r="Q10" s="209"/>
      <c r="R10" s="209"/>
      <c r="S10" s="209"/>
      <c r="T10" s="209"/>
      <c r="U10" s="209"/>
      <c r="V10" s="209"/>
      <c r="W10" s="209"/>
      <c r="X10" s="209"/>
      <c r="Y10" s="209"/>
      <c r="Z10" s="209"/>
      <c r="AA10" s="209"/>
      <c r="AB10" s="209"/>
      <c r="AC10" s="209"/>
      <c r="AD10" s="209"/>
      <c r="AE10" s="209"/>
    </row>
    <row r="11" spans="1:31" s="58" customFormat="1" ht="18" customHeight="1">
      <c r="A11" s="30">
        <f t="shared" si="1"/>
        <v>5</v>
      </c>
      <c r="B11" s="34">
        <v>45126</v>
      </c>
      <c r="C11" s="33" t="s">
        <v>497</v>
      </c>
      <c r="D11" s="33" t="s">
        <v>644</v>
      </c>
      <c r="E11" s="174">
        <v>5</v>
      </c>
      <c r="F11" s="174">
        <f t="shared" si="2"/>
        <v>50</v>
      </c>
      <c r="G11" s="175" t="s">
        <v>506</v>
      </c>
      <c r="H11" s="33"/>
      <c r="I11" s="209"/>
      <c r="J11" s="209"/>
      <c r="K11" s="209"/>
      <c r="L11" s="209"/>
      <c r="M11" s="209"/>
      <c r="N11" s="209"/>
      <c r="O11" s="209"/>
      <c r="P11" s="209"/>
      <c r="Q11" s="209"/>
      <c r="R11" s="209"/>
      <c r="S11" s="209"/>
      <c r="T11" s="209"/>
      <c r="U11" s="209"/>
      <c r="V11" s="209"/>
      <c r="W11" s="209"/>
      <c r="X11" s="209"/>
      <c r="Y11" s="209"/>
      <c r="Z11" s="209"/>
      <c r="AA11" s="209"/>
      <c r="AB11" s="209"/>
      <c r="AC11" s="209"/>
      <c r="AD11" s="209"/>
      <c r="AE11" s="209"/>
    </row>
    <row r="12" spans="1:31" s="58" customFormat="1" ht="18" customHeight="1">
      <c r="A12" s="30">
        <f t="shared" si="1"/>
        <v>6</v>
      </c>
      <c r="B12" s="34">
        <v>45126</v>
      </c>
      <c r="C12" s="33" t="s">
        <v>497</v>
      </c>
      <c r="D12" s="33" t="s">
        <v>1749</v>
      </c>
      <c r="E12" s="174">
        <v>10</v>
      </c>
      <c r="F12" s="174">
        <f t="shared" si="2"/>
        <v>60</v>
      </c>
      <c r="G12" s="175" t="s">
        <v>506</v>
      </c>
      <c r="H12" s="33"/>
      <c r="I12" s="209"/>
      <c r="J12" s="209"/>
      <c r="K12" s="209"/>
      <c r="L12" s="209"/>
      <c r="M12" s="209"/>
      <c r="N12" s="209"/>
      <c r="O12" s="209"/>
      <c r="P12" s="209"/>
      <c r="Q12" s="209"/>
      <c r="R12" s="209"/>
      <c r="S12" s="209"/>
      <c r="T12" s="209"/>
      <c r="U12" s="209"/>
      <c r="V12" s="209"/>
      <c r="W12" s="209"/>
      <c r="X12" s="209"/>
      <c r="Y12" s="209"/>
      <c r="Z12" s="209"/>
      <c r="AA12" s="209"/>
      <c r="AB12" s="209"/>
      <c r="AC12" s="209"/>
      <c r="AD12" s="209"/>
      <c r="AE12" s="209"/>
    </row>
    <row r="13" spans="1:31" s="58" customFormat="1" ht="18" customHeight="1">
      <c r="A13" s="30">
        <f t="shared" si="1"/>
        <v>7</v>
      </c>
      <c r="B13" s="34">
        <v>45126</v>
      </c>
      <c r="C13" s="33" t="s">
        <v>497</v>
      </c>
      <c r="D13" s="33" t="s">
        <v>1750</v>
      </c>
      <c r="E13" s="174">
        <v>10</v>
      </c>
      <c r="F13" s="174">
        <f t="shared" si="2"/>
        <v>70</v>
      </c>
      <c r="G13" s="175" t="s">
        <v>506</v>
      </c>
      <c r="H13" s="33"/>
      <c r="I13" s="209"/>
      <c r="J13" s="209"/>
      <c r="K13" s="209"/>
      <c r="L13" s="209"/>
      <c r="M13" s="209"/>
      <c r="N13" s="209"/>
      <c r="O13" s="209"/>
      <c r="P13" s="209"/>
      <c r="Q13" s="209"/>
      <c r="R13" s="209"/>
      <c r="S13" s="209"/>
      <c r="T13" s="209"/>
      <c r="U13" s="209"/>
      <c r="V13" s="209"/>
      <c r="W13" s="209"/>
      <c r="X13" s="209"/>
      <c r="Y13" s="209"/>
      <c r="Z13" s="209"/>
      <c r="AA13" s="209"/>
      <c r="AB13" s="209"/>
      <c r="AC13" s="209"/>
      <c r="AD13" s="209"/>
      <c r="AE13" s="209"/>
    </row>
    <row r="14" spans="1:31" s="58" customFormat="1" ht="18" customHeight="1">
      <c r="A14" s="30">
        <f t="shared" si="1"/>
        <v>8</v>
      </c>
      <c r="B14" s="34">
        <v>45126</v>
      </c>
      <c r="C14" s="33" t="s">
        <v>497</v>
      </c>
      <c r="D14" s="33" t="s">
        <v>1751</v>
      </c>
      <c r="E14" s="174">
        <v>5</v>
      </c>
      <c r="F14" s="174">
        <f t="shared" si="2"/>
        <v>75</v>
      </c>
      <c r="G14" s="175" t="s">
        <v>506</v>
      </c>
      <c r="H14" s="33"/>
      <c r="I14" s="209"/>
      <c r="J14" s="209"/>
      <c r="K14" s="209"/>
      <c r="L14" s="209"/>
      <c r="M14" s="209"/>
      <c r="N14" s="209"/>
      <c r="O14" s="209"/>
      <c r="P14" s="209"/>
      <c r="Q14" s="209"/>
      <c r="R14" s="209"/>
      <c r="S14" s="209"/>
      <c r="T14" s="209"/>
      <c r="U14" s="209"/>
      <c r="V14" s="209"/>
      <c r="W14" s="209"/>
      <c r="X14" s="209"/>
      <c r="Y14" s="209"/>
      <c r="Z14" s="209"/>
      <c r="AA14" s="209"/>
      <c r="AB14" s="209"/>
      <c r="AC14" s="209"/>
      <c r="AD14" s="209"/>
      <c r="AE14" s="209"/>
    </row>
    <row r="15" spans="1:31" s="58" customFormat="1" ht="18" customHeight="1">
      <c r="A15" s="30">
        <f t="shared" si="1"/>
        <v>9</v>
      </c>
      <c r="B15" s="34">
        <v>45126</v>
      </c>
      <c r="C15" s="33" t="s">
        <v>534</v>
      </c>
      <c r="D15" s="33" t="s">
        <v>674</v>
      </c>
      <c r="E15" s="174">
        <v>5</v>
      </c>
      <c r="F15" s="174">
        <f t="shared" si="2"/>
        <v>80</v>
      </c>
      <c r="G15" s="175" t="s">
        <v>506</v>
      </c>
      <c r="H15" s="33"/>
      <c r="I15" s="209"/>
      <c r="J15" s="209"/>
      <c r="K15" s="209"/>
      <c r="L15" s="209"/>
      <c r="M15" s="209"/>
      <c r="N15" s="209"/>
      <c r="O15" s="209"/>
      <c r="P15" s="209"/>
      <c r="Q15" s="209"/>
      <c r="R15" s="209"/>
      <c r="S15" s="209"/>
      <c r="T15" s="209"/>
      <c r="U15" s="209"/>
      <c r="V15" s="209"/>
      <c r="W15" s="209"/>
      <c r="X15" s="209"/>
      <c r="Y15" s="209"/>
      <c r="Z15" s="209"/>
      <c r="AA15" s="209"/>
      <c r="AB15" s="209"/>
      <c r="AC15" s="209"/>
      <c r="AD15" s="209"/>
      <c r="AE15" s="209"/>
    </row>
    <row r="16" spans="1:31" s="58" customFormat="1" ht="18" customHeight="1">
      <c r="A16" s="30">
        <f t="shared" si="1"/>
        <v>10</v>
      </c>
      <c r="B16" s="34">
        <v>45126</v>
      </c>
      <c r="C16" s="33" t="s">
        <v>534</v>
      </c>
      <c r="D16" s="33" t="s">
        <v>1752</v>
      </c>
      <c r="E16" s="174">
        <v>10</v>
      </c>
      <c r="F16" s="174">
        <f t="shared" si="2"/>
        <v>90</v>
      </c>
      <c r="G16" s="175" t="s">
        <v>506</v>
      </c>
      <c r="H16" s="33"/>
      <c r="I16" s="209"/>
      <c r="J16" s="209"/>
      <c r="K16" s="209"/>
      <c r="L16" s="209"/>
      <c r="M16" s="209"/>
      <c r="N16" s="209"/>
      <c r="O16" s="209"/>
      <c r="P16" s="209"/>
      <c r="Q16" s="209"/>
      <c r="R16" s="209"/>
      <c r="S16" s="209"/>
      <c r="T16" s="209"/>
      <c r="U16" s="209"/>
      <c r="V16" s="209"/>
      <c r="W16" s="209"/>
      <c r="X16" s="209"/>
      <c r="Y16" s="209"/>
      <c r="Z16" s="209"/>
      <c r="AA16" s="209"/>
      <c r="AB16" s="209"/>
      <c r="AC16" s="209"/>
      <c r="AD16" s="209"/>
      <c r="AE16" s="209"/>
    </row>
    <row r="17" spans="1:31" s="58" customFormat="1" ht="18" customHeight="1">
      <c r="A17" s="30">
        <f t="shared" si="1"/>
        <v>11</v>
      </c>
      <c r="B17" s="34">
        <v>45126</v>
      </c>
      <c r="C17" s="33" t="s">
        <v>497</v>
      </c>
      <c r="D17" s="33" t="s">
        <v>1753</v>
      </c>
      <c r="E17" s="174">
        <v>5</v>
      </c>
      <c r="F17" s="174">
        <f t="shared" si="2"/>
        <v>95</v>
      </c>
      <c r="G17" s="175" t="s">
        <v>506</v>
      </c>
      <c r="H17" s="33"/>
      <c r="I17" s="209"/>
      <c r="J17" s="209"/>
      <c r="K17" s="209"/>
      <c r="L17" s="209"/>
      <c r="M17" s="209"/>
      <c r="N17" s="209"/>
      <c r="O17" s="209"/>
      <c r="P17" s="209"/>
      <c r="Q17" s="209"/>
      <c r="R17" s="209"/>
      <c r="S17" s="209"/>
      <c r="T17" s="209"/>
      <c r="U17" s="209"/>
      <c r="V17" s="209"/>
      <c r="W17" s="209"/>
      <c r="X17" s="209"/>
      <c r="Y17" s="209"/>
      <c r="Z17" s="209"/>
      <c r="AA17" s="209"/>
      <c r="AB17" s="209"/>
      <c r="AC17" s="209"/>
      <c r="AD17" s="209"/>
      <c r="AE17" s="209"/>
    </row>
    <row r="18" spans="1:31" s="58" customFormat="1" ht="18" customHeight="1">
      <c r="A18" s="30">
        <f t="shared" si="1"/>
        <v>12</v>
      </c>
      <c r="B18" s="34">
        <v>45126</v>
      </c>
      <c r="C18" s="33" t="s">
        <v>497</v>
      </c>
      <c r="D18" s="33" t="s">
        <v>1754</v>
      </c>
      <c r="E18" s="174">
        <v>5</v>
      </c>
      <c r="F18" s="174">
        <f t="shared" si="2"/>
        <v>100</v>
      </c>
      <c r="G18" s="175" t="s">
        <v>506</v>
      </c>
      <c r="H18" s="33"/>
      <c r="I18" s="209"/>
      <c r="J18" s="209"/>
      <c r="K18" s="209"/>
      <c r="L18" s="209"/>
      <c r="M18" s="209"/>
      <c r="N18" s="209"/>
      <c r="O18" s="209"/>
      <c r="P18" s="209"/>
      <c r="Q18" s="209"/>
      <c r="R18" s="209"/>
      <c r="S18" s="209"/>
      <c r="T18" s="209"/>
      <c r="U18" s="209"/>
      <c r="V18" s="209"/>
      <c r="W18" s="209"/>
      <c r="X18" s="209"/>
      <c r="Y18" s="209"/>
      <c r="Z18" s="209"/>
      <c r="AA18" s="209"/>
      <c r="AB18" s="209"/>
      <c r="AC18" s="209"/>
      <c r="AD18" s="209"/>
      <c r="AE18" s="209"/>
    </row>
    <row r="19" spans="1:31" s="58" customFormat="1" ht="18" customHeight="1">
      <c r="A19" s="30">
        <f t="shared" si="1"/>
        <v>13</v>
      </c>
      <c r="B19" s="34">
        <v>45126</v>
      </c>
      <c r="C19" s="33" t="s">
        <v>497</v>
      </c>
      <c r="D19" s="33" t="s">
        <v>1755</v>
      </c>
      <c r="E19" s="174">
        <v>5</v>
      </c>
      <c r="F19" s="174">
        <f t="shared" si="2"/>
        <v>105</v>
      </c>
      <c r="G19" s="175" t="s">
        <v>506</v>
      </c>
      <c r="H19" s="33"/>
      <c r="I19" s="209"/>
      <c r="J19" s="209"/>
      <c r="K19" s="209"/>
      <c r="L19" s="209"/>
      <c r="M19" s="209"/>
      <c r="N19" s="209"/>
      <c r="O19" s="209"/>
      <c r="P19" s="209"/>
      <c r="Q19" s="209"/>
      <c r="R19" s="209"/>
      <c r="S19" s="209"/>
      <c r="T19" s="209"/>
      <c r="U19" s="209"/>
      <c r="V19" s="209"/>
      <c r="W19" s="209"/>
      <c r="X19" s="209"/>
      <c r="Y19" s="209"/>
      <c r="Z19" s="209"/>
      <c r="AA19" s="209"/>
      <c r="AB19" s="209"/>
      <c r="AC19" s="209"/>
      <c r="AD19" s="209"/>
      <c r="AE19" s="209"/>
    </row>
    <row r="20" spans="1:31" s="58" customFormat="1" ht="18" customHeight="1">
      <c r="A20" s="30">
        <f t="shared" si="1"/>
        <v>14</v>
      </c>
      <c r="B20" s="34">
        <v>45126</v>
      </c>
      <c r="C20" s="33" t="s">
        <v>497</v>
      </c>
      <c r="D20" s="33" t="s">
        <v>1756</v>
      </c>
      <c r="E20" s="174">
        <v>5</v>
      </c>
      <c r="F20" s="174">
        <f t="shared" si="2"/>
        <v>110</v>
      </c>
      <c r="G20" s="175" t="s">
        <v>506</v>
      </c>
      <c r="H20" s="33"/>
      <c r="I20" s="209"/>
      <c r="J20" s="209"/>
      <c r="K20" s="209"/>
      <c r="L20" s="209"/>
      <c r="M20" s="209"/>
      <c r="N20" s="209"/>
      <c r="O20" s="209"/>
      <c r="P20" s="209"/>
      <c r="Q20" s="209"/>
      <c r="R20" s="209"/>
      <c r="S20" s="209"/>
      <c r="T20" s="209"/>
      <c r="U20" s="209"/>
      <c r="V20" s="209"/>
      <c r="W20" s="209"/>
      <c r="X20" s="209"/>
      <c r="Y20" s="209"/>
      <c r="Z20" s="209"/>
      <c r="AA20" s="209"/>
      <c r="AB20" s="209"/>
      <c r="AC20" s="209"/>
      <c r="AD20" s="209"/>
      <c r="AE20" s="209"/>
    </row>
    <row r="21" spans="1:31" s="58" customFormat="1" ht="18" customHeight="1">
      <c r="A21" s="30">
        <f t="shared" si="1"/>
        <v>15</v>
      </c>
      <c r="B21" s="34">
        <v>45126</v>
      </c>
      <c r="C21" s="33" t="s">
        <v>497</v>
      </c>
      <c r="D21" s="33" t="s">
        <v>1757</v>
      </c>
      <c r="E21" s="174">
        <v>15</v>
      </c>
      <c r="F21" s="174">
        <f t="shared" si="2"/>
        <v>125</v>
      </c>
      <c r="G21" s="175" t="s">
        <v>506</v>
      </c>
      <c r="H21" s="33"/>
      <c r="I21" s="209"/>
      <c r="J21" s="209"/>
      <c r="K21" s="209"/>
      <c r="L21" s="209"/>
      <c r="M21" s="209"/>
      <c r="N21" s="209"/>
      <c r="O21" s="209"/>
      <c r="P21" s="209"/>
      <c r="Q21" s="209"/>
      <c r="R21" s="209"/>
      <c r="S21" s="209"/>
      <c r="T21" s="209"/>
      <c r="U21" s="209"/>
      <c r="V21" s="209"/>
      <c r="W21" s="209"/>
      <c r="X21" s="209"/>
      <c r="Y21" s="209"/>
      <c r="Z21" s="209"/>
      <c r="AA21" s="209"/>
      <c r="AB21" s="209"/>
      <c r="AC21" s="209"/>
      <c r="AD21" s="209"/>
      <c r="AE21" s="209"/>
    </row>
    <row r="22" spans="1:31" s="58" customFormat="1" ht="18" customHeight="1">
      <c r="A22" s="30">
        <f t="shared" si="1"/>
        <v>16</v>
      </c>
      <c r="B22" s="34">
        <v>45127</v>
      </c>
      <c r="C22" s="33" t="s">
        <v>497</v>
      </c>
      <c r="D22" s="33" t="s">
        <v>1722</v>
      </c>
      <c r="E22" s="174">
        <v>5</v>
      </c>
      <c r="F22" s="174">
        <f t="shared" si="2"/>
        <v>130</v>
      </c>
      <c r="G22" s="175" t="s">
        <v>1696</v>
      </c>
      <c r="H22" s="33"/>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row>
    <row r="23" spans="1:31" s="58" customFormat="1" ht="18" customHeight="1">
      <c r="A23" s="30">
        <f t="shared" si="1"/>
        <v>17</v>
      </c>
      <c r="B23" s="34">
        <v>45127</v>
      </c>
      <c r="C23" s="33" t="s">
        <v>497</v>
      </c>
      <c r="D23" s="33" t="s">
        <v>1728</v>
      </c>
      <c r="E23" s="174">
        <v>5</v>
      </c>
      <c r="F23" s="174">
        <f t="shared" si="2"/>
        <v>135</v>
      </c>
      <c r="G23" s="175" t="s">
        <v>506</v>
      </c>
      <c r="H23" s="33"/>
      <c r="I23" s="209"/>
      <c r="J23" s="209"/>
      <c r="K23" s="209"/>
      <c r="L23" s="209"/>
      <c r="M23" s="209"/>
      <c r="N23" s="209"/>
      <c r="O23" s="209"/>
      <c r="P23" s="209"/>
      <c r="Q23" s="209"/>
      <c r="R23" s="209"/>
      <c r="S23" s="209"/>
      <c r="T23" s="209"/>
      <c r="U23" s="209"/>
      <c r="V23" s="209"/>
      <c r="W23" s="209"/>
      <c r="X23" s="209"/>
      <c r="Y23" s="209"/>
      <c r="Z23" s="209"/>
      <c r="AA23" s="209"/>
      <c r="AB23" s="209"/>
      <c r="AC23" s="209"/>
      <c r="AD23" s="209"/>
      <c r="AE23" s="209"/>
    </row>
    <row r="24" spans="1:31" s="58" customFormat="1" ht="18" customHeight="1">
      <c r="A24" s="30">
        <f t="shared" si="1"/>
        <v>18</v>
      </c>
      <c r="B24" s="34">
        <v>45127</v>
      </c>
      <c r="C24" s="33" t="s">
        <v>497</v>
      </c>
      <c r="D24" s="33" t="s">
        <v>1729</v>
      </c>
      <c r="E24" s="174">
        <v>10</v>
      </c>
      <c r="F24" s="174">
        <f t="shared" si="2"/>
        <v>145</v>
      </c>
      <c r="G24" s="175" t="s">
        <v>506</v>
      </c>
      <c r="H24" s="33"/>
      <c r="I24" s="209"/>
      <c r="J24" s="209"/>
      <c r="K24" s="209"/>
      <c r="L24" s="209"/>
      <c r="M24" s="209"/>
      <c r="N24" s="209"/>
      <c r="O24" s="209"/>
      <c r="P24" s="209"/>
      <c r="Q24" s="209"/>
      <c r="R24" s="209"/>
      <c r="S24" s="209"/>
      <c r="T24" s="209"/>
      <c r="U24" s="209"/>
      <c r="V24" s="209"/>
      <c r="W24" s="209"/>
      <c r="X24" s="209"/>
      <c r="Y24" s="209"/>
      <c r="Z24" s="209"/>
      <c r="AA24" s="209"/>
      <c r="AB24" s="209"/>
      <c r="AC24" s="209"/>
      <c r="AD24" s="209"/>
      <c r="AE24" s="209"/>
    </row>
    <row r="25" spans="1:31" s="58" customFormat="1" ht="18" customHeight="1">
      <c r="A25" s="30">
        <f t="shared" si="1"/>
        <v>19</v>
      </c>
      <c r="B25" s="34">
        <v>45127</v>
      </c>
      <c r="C25" s="33" t="s">
        <v>500</v>
      </c>
      <c r="D25" s="33" t="s">
        <v>660</v>
      </c>
      <c r="E25" s="174">
        <v>10</v>
      </c>
      <c r="F25" s="174">
        <f t="shared" si="2"/>
        <v>155</v>
      </c>
      <c r="G25" s="175" t="s">
        <v>506</v>
      </c>
      <c r="H25" s="33"/>
      <c r="I25" s="209"/>
      <c r="J25" s="209"/>
      <c r="K25" s="209"/>
      <c r="L25" s="209"/>
      <c r="M25" s="209"/>
      <c r="N25" s="209"/>
      <c r="O25" s="209"/>
      <c r="P25" s="209"/>
      <c r="Q25" s="209"/>
      <c r="R25" s="209"/>
      <c r="S25" s="209"/>
      <c r="T25" s="209"/>
      <c r="U25" s="209"/>
      <c r="V25" s="209"/>
      <c r="W25" s="209"/>
      <c r="X25" s="209"/>
      <c r="Y25" s="209"/>
      <c r="Z25" s="209"/>
      <c r="AA25" s="209"/>
      <c r="AB25" s="209"/>
      <c r="AC25" s="209"/>
      <c r="AD25" s="209"/>
      <c r="AE25" s="209"/>
    </row>
    <row r="26" spans="1:31" s="58" customFormat="1" ht="18" customHeight="1">
      <c r="A26" s="30">
        <f t="shared" si="1"/>
        <v>20</v>
      </c>
      <c r="B26" s="34">
        <v>45127</v>
      </c>
      <c r="C26" s="33" t="s">
        <v>497</v>
      </c>
      <c r="D26" s="33" t="s">
        <v>1730</v>
      </c>
      <c r="E26" s="174">
        <v>5</v>
      </c>
      <c r="F26" s="174">
        <f t="shared" si="2"/>
        <v>160</v>
      </c>
      <c r="G26" s="175" t="s">
        <v>506</v>
      </c>
      <c r="H26" s="33"/>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row>
    <row r="27" spans="1:31" s="58" customFormat="1" ht="18" customHeight="1">
      <c r="A27" s="30">
        <f t="shared" si="1"/>
        <v>21</v>
      </c>
      <c r="B27" s="34">
        <v>45127</v>
      </c>
      <c r="C27" s="33" t="s">
        <v>504</v>
      </c>
      <c r="D27" s="33" t="s">
        <v>505</v>
      </c>
      <c r="E27" s="174">
        <v>20</v>
      </c>
      <c r="F27" s="174">
        <f t="shared" si="2"/>
        <v>180</v>
      </c>
      <c r="G27" s="175" t="s">
        <v>506</v>
      </c>
      <c r="H27" s="33"/>
      <c r="I27" s="209"/>
      <c r="J27" s="209"/>
      <c r="K27" s="209"/>
      <c r="L27" s="209"/>
      <c r="M27" s="209"/>
      <c r="N27" s="209"/>
      <c r="O27" s="209"/>
      <c r="P27" s="209"/>
      <c r="Q27" s="209"/>
      <c r="R27" s="209"/>
      <c r="S27" s="209"/>
      <c r="T27" s="209"/>
      <c r="U27" s="209"/>
      <c r="V27" s="209"/>
      <c r="W27" s="209"/>
      <c r="X27" s="209"/>
      <c r="Y27" s="209"/>
      <c r="Z27" s="209"/>
      <c r="AA27" s="209"/>
      <c r="AB27" s="209"/>
      <c r="AC27" s="209"/>
      <c r="AD27" s="209"/>
      <c r="AE27" s="209"/>
    </row>
    <row r="28" spans="1:31" s="58" customFormat="1" ht="18" customHeight="1">
      <c r="A28" s="30">
        <f t="shared" si="1"/>
        <v>22</v>
      </c>
      <c r="B28" s="34">
        <v>45127</v>
      </c>
      <c r="C28" s="33" t="s">
        <v>497</v>
      </c>
      <c r="D28" s="33" t="s">
        <v>1731</v>
      </c>
      <c r="E28" s="174">
        <v>5</v>
      </c>
      <c r="F28" s="174">
        <f t="shared" si="2"/>
        <v>185</v>
      </c>
      <c r="G28" s="175" t="s">
        <v>506</v>
      </c>
      <c r="H28" s="33"/>
      <c r="I28" s="209"/>
      <c r="J28" s="209"/>
      <c r="K28" s="209"/>
      <c r="L28" s="209"/>
      <c r="M28" s="209"/>
      <c r="N28" s="209"/>
      <c r="O28" s="209"/>
      <c r="P28" s="209"/>
      <c r="Q28" s="209"/>
      <c r="R28" s="209"/>
      <c r="S28" s="209"/>
      <c r="T28" s="209"/>
      <c r="U28" s="209"/>
      <c r="V28" s="209"/>
      <c r="W28" s="209"/>
      <c r="X28" s="209"/>
      <c r="Y28" s="209"/>
      <c r="Z28" s="209"/>
      <c r="AA28" s="209"/>
      <c r="AB28" s="209"/>
      <c r="AC28" s="209"/>
      <c r="AD28" s="209"/>
      <c r="AE28" s="209"/>
    </row>
    <row r="29" spans="1:31" s="58" customFormat="1" ht="18" customHeight="1">
      <c r="A29" s="30">
        <f t="shared" si="1"/>
        <v>23</v>
      </c>
      <c r="B29" s="34">
        <v>45127</v>
      </c>
      <c r="C29" s="33" t="s">
        <v>497</v>
      </c>
      <c r="D29" s="33" t="s">
        <v>791</v>
      </c>
      <c r="E29" s="174">
        <v>5</v>
      </c>
      <c r="F29" s="174">
        <f t="shared" si="2"/>
        <v>190</v>
      </c>
      <c r="G29" s="175" t="s">
        <v>506</v>
      </c>
      <c r="H29" s="33"/>
      <c r="I29" s="209"/>
      <c r="J29" s="209"/>
      <c r="K29" s="209"/>
      <c r="L29" s="209"/>
      <c r="M29" s="209"/>
      <c r="N29" s="209"/>
      <c r="O29" s="209"/>
      <c r="P29" s="209"/>
      <c r="Q29" s="209"/>
      <c r="R29" s="209"/>
      <c r="S29" s="209"/>
      <c r="T29" s="209"/>
      <c r="U29" s="209"/>
      <c r="V29" s="209"/>
      <c r="W29" s="209"/>
      <c r="X29" s="209"/>
      <c r="Y29" s="209"/>
      <c r="Z29" s="209"/>
      <c r="AA29" s="209"/>
      <c r="AB29" s="209"/>
      <c r="AC29" s="209"/>
      <c r="AD29" s="209"/>
      <c r="AE29" s="209"/>
    </row>
    <row r="30" spans="1:31" s="58" customFormat="1" ht="18" customHeight="1">
      <c r="A30" s="30">
        <f t="shared" si="1"/>
        <v>24</v>
      </c>
      <c r="B30" s="34">
        <v>45127</v>
      </c>
      <c r="C30" s="33" t="s">
        <v>497</v>
      </c>
      <c r="D30" s="33" t="s">
        <v>1732</v>
      </c>
      <c r="E30" s="174">
        <v>5</v>
      </c>
      <c r="F30" s="174">
        <f t="shared" si="2"/>
        <v>195</v>
      </c>
      <c r="G30" s="175" t="s">
        <v>506</v>
      </c>
      <c r="H30" s="33"/>
      <c r="I30" s="209"/>
      <c r="J30" s="209"/>
      <c r="K30" s="209"/>
      <c r="L30" s="209"/>
      <c r="M30" s="209"/>
      <c r="N30" s="209"/>
      <c r="O30" s="209"/>
      <c r="P30" s="209"/>
      <c r="Q30" s="209"/>
      <c r="R30" s="209"/>
      <c r="S30" s="209"/>
      <c r="T30" s="209"/>
      <c r="U30" s="209"/>
      <c r="V30" s="209"/>
      <c r="W30" s="209"/>
      <c r="X30" s="209"/>
      <c r="Y30" s="209"/>
      <c r="Z30" s="209"/>
      <c r="AA30" s="209"/>
      <c r="AB30" s="209"/>
      <c r="AC30" s="209"/>
      <c r="AD30" s="209"/>
      <c r="AE30" s="209"/>
    </row>
    <row r="31" spans="1:31" s="58" customFormat="1" ht="18" customHeight="1">
      <c r="A31" s="30">
        <f t="shared" si="1"/>
        <v>25</v>
      </c>
      <c r="B31" s="34">
        <v>45127</v>
      </c>
      <c r="C31" s="33" t="s">
        <v>497</v>
      </c>
      <c r="D31" s="33" t="s">
        <v>1733</v>
      </c>
      <c r="E31" s="174">
        <v>10</v>
      </c>
      <c r="F31" s="174">
        <f t="shared" si="2"/>
        <v>205</v>
      </c>
      <c r="G31" s="175" t="s">
        <v>506</v>
      </c>
      <c r="H31" s="33"/>
      <c r="I31" s="209"/>
      <c r="J31" s="209"/>
      <c r="K31" s="209"/>
      <c r="L31" s="209"/>
      <c r="M31" s="209"/>
      <c r="N31" s="209"/>
      <c r="O31" s="209"/>
      <c r="P31" s="209"/>
      <c r="Q31" s="209"/>
      <c r="R31" s="209"/>
      <c r="S31" s="209"/>
      <c r="T31" s="209"/>
      <c r="U31" s="209"/>
      <c r="V31" s="209"/>
      <c r="W31" s="209"/>
      <c r="X31" s="209"/>
      <c r="Y31" s="209"/>
      <c r="Z31" s="209"/>
      <c r="AA31" s="209"/>
      <c r="AB31" s="209"/>
      <c r="AC31" s="209"/>
      <c r="AD31" s="209"/>
      <c r="AE31" s="209"/>
    </row>
    <row r="32" spans="1:31" s="58" customFormat="1" ht="18" customHeight="1">
      <c r="A32" s="30">
        <f t="shared" si="1"/>
        <v>26</v>
      </c>
      <c r="B32" s="34">
        <v>45127</v>
      </c>
      <c r="C32" s="33" t="s">
        <v>497</v>
      </c>
      <c r="D32" s="33" t="s">
        <v>1734</v>
      </c>
      <c r="E32" s="174">
        <v>10</v>
      </c>
      <c r="F32" s="174">
        <f t="shared" si="2"/>
        <v>215</v>
      </c>
      <c r="G32" s="175" t="s">
        <v>506</v>
      </c>
      <c r="H32" s="33"/>
      <c r="I32" s="209"/>
      <c r="J32" s="209"/>
      <c r="K32" s="209"/>
      <c r="L32" s="209"/>
      <c r="M32" s="209"/>
      <c r="N32" s="209"/>
      <c r="O32" s="209"/>
      <c r="P32" s="209"/>
      <c r="Q32" s="209"/>
      <c r="R32" s="209"/>
      <c r="S32" s="209"/>
      <c r="T32" s="209"/>
      <c r="U32" s="209"/>
      <c r="V32" s="209"/>
      <c r="W32" s="209"/>
      <c r="X32" s="209"/>
      <c r="Y32" s="209"/>
      <c r="Z32" s="209"/>
      <c r="AA32" s="209"/>
      <c r="AB32" s="209"/>
      <c r="AC32" s="209"/>
      <c r="AD32" s="209"/>
      <c r="AE32" s="209"/>
    </row>
    <row r="33" spans="1:31" s="58" customFormat="1" ht="18" customHeight="1">
      <c r="A33" s="30">
        <f t="shared" si="1"/>
        <v>27</v>
      </c>
      <c r="B33" s="34">
        <v>45127</v>
      </c>
      <c r="C33" s="33" t="s">
        <v>497</v>
      </c>
      <c r="D33" s="33" t="s">
        <v>1735</v>
      </c>
      <c r="E33" s="174">
        <v>5</v>
      </c>
      <c r="F33" s="174">
        <f t="shared" si="2"/>
        <v>220</v>
      </c>
      <c r="G33" s="175" t="s">
        <v>506</v>
      </c>
      <c r="H33" s="33"/>
      <c r="I33" s="209"/>
      <c r="J33" s="209"/>
      <c r="K33" s="209"/>
      <c r="L33" s="209"/>
      <c r="M33" s="209"/>
      <c r="N33" s="209"/>
      <c r="O33" s="209"/>
      <c r="P33" s="209"/>
      <c r="Q33" s="209"/>
      <c r="R33" s="209"/>
      <c r="S33" s="209"/>
      <c r="T33" s="209"/>
      <c r="U33" s="209"/>
      <c r="V33" s="209"/>
      <c r="W33" s="209"/>
      <c r="X33" s="209"/>
      <c r="Y33" s="209"/>
      <c r="Z33" s="209"/>
      <c r="AA33" s="209"/>
      <c r="AB33" s="209"/>
      <c r="AC33" s="209"/>
      <c r="AD33" s="209"/>
      <c r="AE33" s="209"/>
    </row>
    <row r="34" spans="1:31" s="58" customFormat="1" ht="18" customHeight="1">
      <c r="A34" s="30">
        <f t="shared" si="1"/>
        <v>28</v>
      </c>
      <c r="B34" s="34">
        <v>45127</v>
      </c>
      <c r="C34" s="33" t="s">
        <v>497</v>
      </c>
      <c r="D34" s="33" t="s">
        <v>1736</v>
      </c>
      <c r="E34" s="174">
        <v>5</v>
      </c>
      <c r="F34" s="174">
        <f t="shared" si="2"/>
        <v>225</v>
      </c>
      <c r="G34" s="175" t="s">
        <v>506</v>
      </c>
      <c r="H34" s="33"/>
      <c r="I34" s="209"/>
      <c r="J34" s="209"/>
      <c r="K34" s="209"/>
      <c r="L34" s="209"/>
      <c r="M34" s="209"/>
      <c r="N34" s="209"/>
      <c r="O34" s="209"/>
      <c r="P34" s="209"/>
      <c r="Q34" s="209"/>
      <c r="R34" s="209"/>
      <c r="S34" s="209"/>
      <c r="T34" s="209"/>
      <c r="U34" s="209"/>
      <c r="V34" s="209"/>
      <c r="W34" s="209"/>
      <c r="X34" s="209"/>
      <c r="Y34" s="209"/>
      <c r="Z34" s="209"/>
      <c r="AA34" s="209"/>
      <c r="AB34" s="209"/>
      <c r="AC34" s="209"/>
      <c r="AD34" s="209"/>
      <c r="AE34" s="209"/>
    </row>
    <row r="35" spans="1:31" s="58" customFormat="1" ht="18" customHeight="1">
      <c r="A35" s="30">
        <f t="shared" si="1"/>
        <v>29</v>
      </c>
      <c r="B35" s="34">
        <v>45127</v>
      </c>
      <c r="C35" s="33" t="s">
        <v>497</v>
      </c>
      <c r="D35" s="33" t="s">
        <v>1737</v>
      </c>
      <c r="E35" s="174">
        <v>10</v>
      </c>
      <c r="F35" s="174">
        <f t="shared" si="2"/>
        <v>235</v>
      </c>
      <c r="G35" s="175" t="s">
        <v>506</v>
      </c>
      <c r="H35" s="33"/>
      <c r="I35" s="209"/>
      <c r="J35" s="209"/>
      <c r="K35" s="209"/>
      <c r="L35" s="209"/>
      <c r="M35" s="209"/>
      <c r="N35" s="209"/>
      <c r="O35" s="209"/>
      <c r="P35" s="209"/>
      <c r="Q35" s="209"/>
      <c r="R35" s="209"/>
      <c r="S35" s="209"/>
      <c r="T35" s="209"/>
      <c r="U35" s="209"/>
      <c r="V35" s="209"/>
      <c r="W35" s="209"/>
      <c r="X35" s="209"/>
      <c r="Y35" s="209"/>
      <c r="Z35" s="209"/>
      <c r="AA35" s="209"/>
      <c r="AB35" s="209"/>
      <c r="AC35" s="209"/>
      <c r="AD35" s="209"/>
      <c r="AE35" s="209"/>
    </row>
    <row r="36" spans="1:31" s="58" customFormat="1" ht="18" customHeight="1">
      <c r="A36" s="30">
        <f t="shared" si="1"/>
        <v>30</v>
      </c>
      <c r="B36" s="34">
        <v>45127</v>
      </c>
      <c r="C36" s="33" t="s">
        <v>497</v>
      </c>
      <c r="D36" s="33" t="s">
        <v>1738</v>
      </c>
      <c r="E36" s="174">
        <v>5</v>
      </c>
      <c r="F36" s="174">
        <f t="shared" si="2"/>
        <v>240</v>
      </c>
      <c r="G36" s="175" t="s">
        <v>506</v>
      </c>
      <c r="H36" s="33"/>
      <c r="I36" s="209"/>
      <c r="J36" s="209"/>
      <c r="K36" s="209"/>
      <c r="L36" s="209"/>
      <c r="M36" s="209"/>
      <c r="N36" s="209"/>
      <c r="O36" s="209"/>
      <c r="P36" s="209"/>
      <c r="Q36" s="209"/>
      <c r="R36" s="209"/>
      <c r="S36" s="209"/>
      <c r="T36" s="209"/>
      <c r="U36" s="209"/>
      <c r="V36" s="209"/>
      <c r="W36" s="209"/>
      <c r="X36" s="209"/>
      <c r="Y36" s="209"/>
      <c r="Z36" s="209"/>
      <c r="AA36" s="209"/>
      <c r="AB36" s="209"/>
      <c r="AC36" s="209"/>
      <c r="AD36" s="209"/>
      <c r="AE36" s="209"/>
    </row>
    <row r="37" spans="1:31" s="58" customFormat="1" ht="18" customHeight="1">
      <c r="A37" s="30">
        <f t="shared" si="1"/>
        <v>31</v>
      </c>
      <c r="B37" s="34">
        <v>45127</v>
      </c>
      <c r="C37" s="33" t="s">
        <v>497</v>
      </c>
      <c r="D37" s="33" t="s">
        <v>549</v>
      </c>
      <c r="E37" s="174">
        <v>10</v>
      </c>
      <c r="F37" s="174">
        <f t="shared" si="2"/>
        <v>250</v>
      </c>
      <c r="G37" s="175" t="s">
        <v>506</v>
      </c>
      <c r="H37" s="33"/>
      <c r="I37" s="209"/>
      <c r="J37" s="209"/>
      <c r="K37" s="209"/>
      <c r="L37" s="209"/>
      <c r="M37" s="209"/>
      <c r="N37" s="209"/>
      <c r="O37" s="209"/>
      <c r="P37" s="209"/>
      <c r="Q37" s="209"/>
      <c r="R37" s="209"/>
      <c r="S37" s="209"/>
      <c r="T37" s="209"/>
      <c r="U37" s="209"/>
      <c r="V37" s="209"/>
      <c r="W37" s="209"/>
      <c r="X37" s="209"/>
      <c r="Y37" s="209"/>
      <c r="Z37" s="209"/>
      <c r="AA37" s="209"/>
      <c r="AB37" s="209"/>
      <c r="AC37" s="209"/>
      <c r="AD37" s="209"/>
      <c r="AE37" s="209"/>
    </row>
    <row r="38" spans="1:31" s="58" customFormat="1" ht="18" customHeight="1">
      <c r="A38" s="30">
        <f t="shared" si="1"/>
        <v>32</v>
      </c>
      <c r="B38" s="34">
        <v>45127</v>
      </c>
      <c r="C38" s="33" t="s">
        <v>497</v>
      </c>
      <c r="D38" s="33" t="s">
        <v>1739</v>
      </c>
      <c r="E38" s="174">
        <v>5</v>
      </c>
      <c r="F38" s="174">
        <f t="shared" si="2"/>
        <v>255</v>
      </c>
      <c r="G38" s="175" t="s">
        <v>506</v>
      </c>
      <c r="H38" s="33"/>
      <c r="I38" s="209"/>
      <c r="J38" s="209"/>
      <c r="K38" s="209"/>
      <c r="L38" s="209"/>
      <c r="M38" s="209"/>
      <c r="N38" s="209"/>
      <c r="O38" s="209"/>
      <c r="P38" s="209"/>
      <c r="Q38" s="209"/>
      <c r="R38" s="209"/>
      <c r="S38" s="209"/>
      <c r="T38" s="209"/>
      <c r="U38" s="209"/>
      <c r="V38" s="209"/>
      <c r="W38" s="209"/>
      <c r="X38" s="209"/>
      <c r="Y38" s="209"/>
      <c r="Z38" s="209"/>
      <c r="AA38" s="209"/>
      <c r="AB38" s="209"/>
      <c r="AC38" s="209"/>
      <c r="AD38" s="209"/>
      <c r="AE38" s="209"/>
    </row>
    <row r="39" spans="1:31" ht="18" customHeight="1">
      <c r="A39" s="30">
        <f t="shared" si="1"/>
        <v>33</v>
      </c>
      <c r="B39" s="34">
        <v>45127</v>
      </c>
      <c r="C39" s="33" t="s">
        <v>497</v>
      </c>
      <c r="D39" s="33" t="s">
        <v>1740</v>
      </c>
      <c r="E39" s="174">
        <v>10</v>
      </c>
      <c r="F39" s="174">
        <f t="shared" si="2"/>
        <v>265</v>
      </c>
      <c r="G39" s="175" t="s">
        <v>506</v>
      </c>
      <c r="H39" s="33"/>
      <c r="I39" s="208"/>
      <c r="J39" s="208"/>
      <c r="K39" s="208"/>
      <c r="L39" s="208"/>
      <c r="M39" s="208"/>
      <c r="N39" s="208"/>
      <c r="O39" s="208"/>
      <c r="P39" s="208"/>
      <c r="Q39" s="208"/>
      <c r="R39" s="208"/>
      <c r="S39" s="208"/>
      <c r="T39" s="208"/>
      <c r="U39" s="208"/>
      <c r="V39" s="208"/>
      <c r="W39" s="208"/>
      <c r="X39" s="208"/>
      <c r="Y39" s="208"/>
      <c r="Z39" s="208"/>
      <c r="AA39" s="208"/>
      <c r="AB39" s="208"/>
      <c r="AC39" s="208"/>
      <c r="AD39" s="208"/>
      <c r="AE39" s="208"/>
    </row>
    <row r="40" spans="1:31" ht="18" customHeight="1">
      <c r="A40" s="30">
        <f t="shared" si="1"/>
        <v>34</v>
      </c>
      <c r="B40" s="34">
        <v>45127</v>
      </c>
      <c r="C40" s="33" t="s">
        <v>497</v>
      </c>
      <c r="D40" s="33" t="s">
        <v>1741</v>
      </c>
      <c r="E40" s="174">
        <v>5</v>
      </c>
      <c r="F40" s="174">
        <f t="shared" si="2"/>
        <v>270</v>
      </c>
      <c r="G40" s="175" t="s">
        <v>506</v>
      </c>
      <c r="H40" s="33"/>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row>
    <row r="41" spans="1:31" ht="18" customHeight="1">
      <c r="A41" s="30">
        <f t="shared" si="1"/>
        <v>35</v>
      </c>
      <c r="B41" s="34">
        <v>45127</v>
      </c>
      <c r="C41" s="33" t="s">
        <v>497</v>
      </c>
      <c r="D41" s="33" t="s">
        <v>1742</v>
      </c>
      <c r="E41" s="174">
        <v>5</v>
      </c>
      <c r="F41" s="174">
        <f t="shared" si="2"/>
        <v>275</v>
      </c>
      <c r="G41" s="175" t="s">
        <v>506</v>
      </c>
      <c r="H41" s="33"/>
      <c r="I41" s="208"/>
      <c r="J41" s="208"/>
      <c r="K41" s="208"/>
      <c r="L41" s="208"/>
      <c r="M41" s="208"/>
      <c r="N41" s="208"/>
      <c r="O41" s="208"/>
      <c r="P41" s="208"/>
      <c r="Q41" s="208"/>
      <c r="R41" s="208"/>
      <c r="S41" s="208"/>
      <c r="T41" s="208"/>
      <c r="U41" s="208"/>
      <c r="V41" s="208"/>
      <c r="W41" s="208"/>
      <c r="X41" s="208"/>
      <c r="Y41" s="208"/>
      <c r="Z41" s="208"/>
      <c r="AA41" s="208"/>
      <c r="AB41" s="208"/>
      <c r="AC41" s="208"/>
      <c r="AD41" s="208"/>
      <c r="AE41" s="208"/>
    </row>
    <row r="42" spans="1:31" ht="18" customHeight="1">
      <c r="A42" s="30">
        <f t="shared" si="1"/>
        <v>36</v>
      </c>
      <c r="B42" s="34">
        <v>45127</v>
      </c>
      <c r="C42" s="33" t="s">
        <v>497</v>
      </c>
      <c r="D42" s="33" t="s">
        <v>1743</v>
      </c>
      <c r="E42" s="174">
        <v>5</v>
      </c>
      <c r="F42" s="174">
        <f t="shared" si="2"/>
        <v>280</v>
      </c>
      <c r="G42" s="175" t="s">
        <v>506</v>
      </c>
      <c r="H42" s="33"/>
      <c r="I42" s="208"/>
      <c r="J42" s="208"/>
      <c r="K42" s="208"/>
      <c r="L42" s="208"/>
      <c r="M42" s="208"/>
      <c r="N42" s="208"/>
      <c r="O42" s="208"/>
      <c r="P42" s="208"/>
      <c r="Q42" s="208"/>
      <c r="R42" s="208"/>
      <c r="S42" s="208"/>
      <c r="T42" s="208"/>
      <c r="U42" s="208"/>
      <c r="V42" s="208"/>
      <c r="W42" s="208"/>
      <c r="X42" s="208"/>
      <c r="Y42" s="208"/>
      <c r="Z42" s="208"/>
      <c r="AA42" s="208"/>
      <c r="AB42" s="208"/>
      <c r="AC42" s="208"/>
      <c r="AD42" s="208"/>
      <c r="AE42" s="208"/>
    </row>
    <row r="43" spans="1:31" ht="18" customHeight="1">
      <c r="A43" s="30">
        <f t="shared" si="1"/>
        <v>37</v>
      </c>
      <c r="B43" s="34">
        <v>45127</v>
      </c>
      <c r="C43" s="33" t="s">
        <v>497</v>
      </c>
      <c r="D43" s="33" t="s">
        <v>1744</v>
      </c>
      <c r="E43" s="174">
        <v>5</v>
      </c>
      <c r="F43" s="174">
        <f t="shared" si="2"/>
        <v>285</v>
      </c>
      <c r="G43" s="175" t="s">
        <v>506</v>
      </c>
      <c r="H43" s="33"/>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row>
    <row r="44" spans="1:31" ht="18" customHeight="1">
      <c r="A44" s="30">
        <f t="shared" si="1"/>
        <v>38</v>
      </c>
      <c r="B44" s="34">
        <v>45127</v>
      </c>
      <c r="C44" s="33" t="s">
        <v>497</v>
      </c>
      <c r="D44" s="33" t="s">
        <v>522</v>
      </c>
      <c r="E44" s="174">
        <v>5</v>
      </c>
      <c r="F44" s="174">
        <f t="shared" si="2"/>
        <v>290</v>
      </c>
      <c r="G44" s="175" t="s">
        <v>506</v>
      </c>
      <c r="H44" s="33"/>
      <c r="I44" s="208"/>
      <c r="J44" s="208"/>
      <c r="K44" s="208"/>
      <c r="L44" s="208"/>
      <c r="M44" s="208"/>
      <c r="N44" s="208"/>
      <c r="O44" s="208"/>
      <c r="P44" s="208"/>
      <c r="Q44" s="208"/>
      <c r="R44" s="208"/>
      <c r="S44" s="208"/>
      <c r="T44" s="208"/>
      <c r="U44" s="208"/>
      <c r="V44" s="208"/>
      <c r="W44" s="208"/>
      <c r="X44" s="208"/>
      <c r="Y44" s="208"/>
      <c r="Z44" s="208"/>
      <c r="AA44" s="208"/>
      <c r="AB44" s="208"/>
      <c r="AC44" s="208"/>
      <c r="AD44" s="208"/>
      <c r="AE44" s="208"/>
    </row>
    <row r="45" spans="1:31" ht="18" customHeight="1">
      <c r="A45" s="30">
        <f t="shared" si="1"/>
        <v>39</v>
      </c>
      <c r="B45" s="34">
        <v>45127</v>
      </c>
      <c r="C45" s="33" t="s">
        <v>497</v>
      </c>
      <c r="D45" s="33" t="s">
        <v>1745</v>
      </c>
      <c r="E45" s="174">
        <v>10</v>
      </c>
      <c r="F45" s="174">
        <f t="shared" si="2"/>
        <v>300</v>
      </c>
      <c r="G45" s="175" t="s">
        <v>506</v>
      </c>
      <c r="H45" s="33"/>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row>
    <row r="46" spans="1:31" ht="18" customHeight="1">
      <c r="A46" s="30">
        <f t="shared" si="1"/>
        <v>40</v>
      </c>
      <c r="B46" s="34">
        <v>45127</v>
      </c>
      <c r="C46" s="33" t="s">
        <v>497</v>
      </c>
      <c r="D46" s="33" t="s">
        <v>1746</v>
      </c>
      <c r="E46" s="174">
        <v>10</v>
      </c>
      <c r="F46" s="174">
        <f t="shared" si="2"/>
        <v>310</v>
      </c>
      <c r="G46" s="175" t="s">
        <v>506</v>
      </c>
      <c r="H46" s="33"/>
      <c r="I46" s="208"/>
      <c r="J46" s="208"/>
      <c r="K46" s="208"/>
      <c r="L46" s="208"/>
      <c r="M46" s="208"/>
      <c r="N46" s="208"/>
      <c r="O46" s="208"/>
      <c r="P46" s="208"/>
      <c r="Q46" s="208"/>
      <c r="R46" s="208"/>
      <c r="S46" s="208"/>
      <c r="T46" s="208"/>
      <c r="U46" s="208"/>
      <c r="V46" s="208"/>
      <c r="W46" s="208"/>
      <c r="X46" s="208"/>
      <c r="Y46" s="208"/>
      <c r="Z46" s="208"/>
      <c r="AA46" s="208"/>
      <c r="AB46" s="208"/>
      <c r="AC46" s="208"/>
      <c r="AD46" s="208"/>
      <c r="AE46" s="208"/>
    </row>
    <row r="47" spans="1:31" ht="18" customHeight="1">
      <c r="A47" s="30">
        <f t="shared" si="1"/>
        <v>41</v>
      </c>
      <c r="B47" s="34">
        <v>45127</v>
      </c>
      <c r="C47" s="33" t="s">
        <v>497</v>
      </c>
      <c r="D47" s="33" t="s">
        <v>641</v>
      </c>
      <c r="E47" s="174">
        <v>10</v>
      </c>
      <c r="F47" s="174">
        <f t="shared" si="2"/>
        <v>320</v>
      </c>
      <c r="G47" s="175" t="s">
        <v>506</v>
      </c>
      <c r="H47" s="33"/>
      <c r="I47" s="208"/>
      <c r="J47" s="208"/>
      <c r="K47" s="208"/>
      <c r="L47" s="208"/>
      <c r="M47" s="208"/>
      <c r="N47" s="208"/>
      <c r="O47" s="208"/>
      <c r="P47" s="208"/>
      <c r="Q47" s="208"/>
      <c r="R47" s="208"/>
      <c r="S47" s="208"/>
      <c r="T47" s="208"/>
      <c r="U47" s="208"/>
      <c r="V47" s="208"/>
      <c r="W47" s="208"/>
      <c r="X47" s="208"/>
      <c r="Y47" s="208"/>
      <c r="Z47" s="208"/>
      <c r="AA47" s="208"/>
      <c r="AB47" s="208"/>
      <c r="AC47" s="208"/>
      <c r="AD47" s="208"/>
      <c r="AE47" s="208"/>
    </row>
    <row r="48" spans="1:31" ht="18" customHeight="1">
      <c r="A48" s="30">
        <f t="shared" si="1"/>
        <v>42</v>
      </c>
      <c r="B48" s="34">
        <v>45127</v>
      </c>
      <c r="C48" s="33" t="s">
        <v>497</v>
      </c>
      <c r="D48" s="33" t="s">
        <v>509</v>
      </c>
      <c r="E48" s="174">
        <v>10</v>
      </c>
      <c r="F48" s="174">
        <f t="shared" si="2"/>
        <v>330</v>
      </c>
      <c r="G48" s="175" t="s">
        <v>506</v>
      </c>
      <c r="H48" s="33"/>
      <c r="I48" s="208"/>
      <c r="J48" s="208"/>
      <c r="K48" s="208"/>
      <c r="L48" s="208"/>
      <c r="M48" s="208"/>
      <c r="N48" s="208"/>
      <c r="O48" s="208"/>
      <c r="P48" s="208"/>
      <c r="Q48" s="208"/>
      <c r="R48" s="208"/>
      <c r="S48" s="208"/>
      <c r="T48" s="208"/>
      <c r="U48" s="208"/>
      <c r="V48" s="208"/>
      <c r="W48" s="208"/>
      <c r="X48" s="208"/>
      <c r="Y48" s="208"/>
      <c r="Z48" s="208"/>
      <c r="AA48" s="208"/>
      <c r="AB48" s="208"/>
      <c r="AC48" s="208"/>
      <c r="AD48" s="208"/>
      <c r="AE48" s="208"/>
    </row>
    <row r="49" spans="1:31" ht="18" customHeight="1">
      <c r="A49" s="30">
        <f t="shared" si="1"/>
        <v>43</v>
      </c>
      <c r="B49" s="34">
        <v>45127</v>
      </c>
      <c r="C49" s="33" t="s">
        <v>497</v>
      </c>
      <c r="D49" s="33" t="s">
        <v>524</v>
      </c>
      <c r="E49" s="174">
        <v>10</v>
      </c>
      <c r="F49" s="174">
        <f t="shared" si="2"/>
        <v>340</v>
      </c>
      <c r="G49" s="175" t="s">
        <v>506</v>
      </c>
      <c r="H49" s="33"/>
      <c r="I49" s="208"/>
      <c r="J49" s="208"/>
      <c r="K49" s="208"/>
      <c r="L49" s="208"/>
      <c r="M49" s="208"/>
      <c r="N49" s="208"/>
      <c r="O49" s="208"/>
      <c r="P49" s="208"/>
      <c r="Q49" s="208"/>
      <c r="R49" s="208"/>
      <c r="S49" s="208"/>
      <c r="T49" s="208"/>
      <c r="U49" s="208"/>
      <c r="V49" s="208"/>
      <c r="W49" s="208"/>
      <c r="X49" s="208"/>
      <c r="Y49" s="208"/>
      <c r="Z49" s="208"/>
      <c r="AA49" s="208"/>
      <c r="AB49" s="208"/>
      <c r="AC49" s="208"/>
      <c r="AD49" s="208"/>
      <c r="AE49" s="208"/>
    </row>
    <row r="50" spans="1:31" ht="18" customHeight="1">
      <c r="A50" s="30">
        <f t="shared" si="1"/>
        <v>44</v>
      </c>
      <c r="B50" s="34">
        <v>45127</v>
      </c>
      <c r="C50" s="33" t="s">
        <v>497</v>
      </c>
      <c r="D50" s="33" t="s">
        <v>640</v>
      </c>
      <c r="E50" s="174">
        <v>5</v>
      </c>
      <c r="F50" s="174">
        <f t="shared" si="2"/>
        <v>345</v>
      </c>
      <c r="G50" s="175" t="s">
        <v>506</v>
      </c>
      <c r="H50" s="33"/>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row>
    <row r="51" spans="1:31" ht="18" customHeight="1">
      <c r="A51" s="30">
        <f t="shared" si="1"/>
        <v>45</v>
      </c>
      <c r="B51" s="34">
        <v>45128</v>
      </c>
      <c r="C51" s="33" t="s">
        <v>534</v>
      </c>
      <c r="D51" s="33" t="s">
        <v>1697</v>
      </c>
      <c r="E51" s="174">
        <v>5</v>
      </c>
      <c r="F51" s="174">
        <f t="shared" si="2"/>
        <v>350</v>
      </c>
      <c r="G51" s="175" t="s">
        <v>502</v>
      </c>
      <c r="H51" s="33"/>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row>
    <row r="52" spans="1:31" ht="18" customHeight="1">
      <c r="A52" s="30">
        <f t="shared" si="1"/>
        <v>46</v>
      </c>
      <c r="B52" s="34">
        <v>45128</v>
      </c>
      <c r="C52" s="33" t="s">
        <v>497</v>
      </c>
      <c r="D52" s="33" t="s">
        <v>1698</v>
      </c>
      <c r="E52" s="174">
        <v>10</v>
      </c>
      <c r="F52" s="174">
        <f t="shared" si="2"/>
        <v>360</v>
      </c>
      <c r="G52" s="175" t="s">
        <v>502</v>
      </c>
      <c r="H52" s="33"/>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row>
    <row r="53" spans="1:31" ht="18" customHeight="1">
      <c r="A53" s="30">
        <f t="shared" si="1"/>
        <v>47</v>
      </c>
      <c r="B53" s="34">
        <v>45128</v>
      </c>
      <c r="C53" s="33" t="s">
        <v>497</v>
      </c>
      <c r="D53" s="33" t="s">
        <v>1699</v>
      </c>
      <c r="E53" s="174">
        <v>5</v>
      </c>
      <c r="F53" s="174">
        <f t="shared" si="2"/>
        <v>365</v>
      </c>
      <c r="G53" s="175" t="s">
        <v>502</v>
      </c>
      <c r="H53" s="33"/>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row>
    <row r="54" spans="1:31" ht="18" customHeight="1">
      <c r="A54" s="30">
        <f t="shared" si="1"/>
        <v>48</v>
      </c>
      <c r="B54" s="34">
        <v>45128</v>
      </c>
      <c r="C54" s="33" t="s">
        <v>497</v>
      </c>
      <c r="D54" s="33" t="s">
        <v>202</v>
      </c>
      <c r="E54" s="174">
        <v>10</v>
      </c>
      <c r="F54" s="174">
        <f t="shared" si="2"/>
        <v>375</v>
      </c>
      <c r="G54" s="175" t="s">
        <v>502</v>
      </c>
      <c r="H54" s="33"/>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row>
    <row r="55" spans="1:31" ht="18" customHeight="1">
      <c r="A55" s="30">
        <f t="shared" si="1"/>
        <v>49</v>
      </c>
      <c r="B55" s="34">
        <v>45128</v>
      </c>
      <c r="C55" s="33" t="s">
        <v>497</v>
      </c>
      <c r="D55" s="33" t="s">
        <v>1700</v>
      </c>
      <c r="E55" s="174">
        <v>10</v>
      </c>
      <c r="F55" s="174">
        <f t="shared" si="2"/>
        <v>385</v>
      </c>
      <c r="G55" s="175" t="s">
        <v>502</v>
      </c>
      <c r="H55" s="33"/>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row>
    <row r="56" spans="1:31" ht="18" customHeight="1">
      <c r="A56" s="30">
        <f t="shared" si="1"/>
        <v>50</v>
      </c>
      <c r="B56" s="34">
        <v>45128</v>
      </c>
      <c r="C56" s="33" t="s">
        <v>497</v>
      </c>
      <c r="D56" s="33" t="s">
        <v>166</v>
      </c>
      <c r="E56" s="174">
        <v>10</v>
      </c>
      <c r="F56" s="174">
        <f t="shared" si="2"/>
        <v>395</v>
      </c>
      <c r="G56" s="175" t="s">
        <v>502</v>
      </c>
      <c r="H56" s="33" t="s">
        <v>1788</v>
      </c>
      <c r="I56" s="208"/>
      <c r="J56" s="208"/>
      <c r="K56" s="208"/>
      <c r="L56" s="208"/>
      <c r="M56" s="208"/>
      <c r="N56" s="208"/>
      <c r="O56" s="208"/>
      <c r="P56" s="208"/>
      <c r="Q56" s="208"/>
      <c r="R56" s="208"/>
      <c r="S56" s="208"/>
      <c r="T56" s="208"/>
      <c r="U56" s="208"/>
      <c r="V56" s="208"/>
      <c r="W56" s="208"/>
      <c r="X56" s="208"/>
      <c r="Y56" s="208"/>
      <c r="Z56" s="208"/>
      <c r="AA56" s="208"/>
      <c r="AB56" s="208"/>
      <c r="AC56" s="208"/>
      <c r="AD56" s="208"/>
      <c r="AE56" s="208"/>
    </row>
    <row r="57" spans="1:31" ht="18" customHeight="1">
      <c r="A57" s="30">
        <f t="shared" si="1"/>
        <v>51</v>
      </c>
      <c r="B57" s="34">
        <v>45128</v>
      </c>
      <c r="C57" s="33" t="s">
        <v>497</v>
      </c>
      <c r="D57" s="33" t="s">
        <v>1701</v>
      </c>
      <c r="E57" s="174">
        <v>5</v>
      </c>
      <c r="F57" s="174">
        <f t="shared" si="2"/>
        <v>400</v>
      </c>
      <c r="G57" s="175" t="s">
        <v>502</v>
      </c>
      <c r="H57" s="33"/>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row>
    <row r="58" spans="1:31" ht="18" customHeight="1">
      <c r="A58" s="30">
        <f t="shared" si="1"/>
        <v>52</v>
      </c>
      <c r="B58" s="34">
        <v>45128</v>
      </c>
      <c r="C58" s="33" t="s">
        <v>497</v>
      </c>
      <c r="D58" s="33" t="s">
        <v>793</v>
      </c>
      <c r="E58" s="174">
        <v>5</v>
      </c>
      <c r="F58" s="174">
        <f t="shared" si="2"/>
        <v>405</v>
      </c>
      <c r="G58" s="175" t="s">
        <v>502</v>
      </c>
      <c r="H58" s="33"/>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row>
    <row r="59" spans="1:31" ht="18" customHeight="1">
      <c r="A59" s="30">
        <f t="shared" si="1"/>
        <v>53</v>
      </c>
      <c r="B59" s="34">
        <v>45128</v>
      </c>
      <c r="C59" s="33" t="s">
        <v>497</v>
      </c>
      <c r="D59" s="33" t="s">
        <v>1702</v>
      </c>
      <c r="E59" s="174">
        <v>5</v>
      </c>
      <c r="F59" s="174">
        <f t="shared" si="2"/>
        <v>410</v>
      </c>
      <c r="G59" s="175" t="s">
        <v>502</v>
      </c>
      <c r="H59" s="33"/>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row>
    <row r="60" spans="1:31" ht="18" customHeight="1">
      <c r="A60" s="30">
        <f t="shared" si="1"/>
        <v>54</v>
      </c>
      <c r="B60" s="34">
        <v>45128</v>
      </c>
      <c r="C60" s="33" t="s">
        <v>497</v>
      </c>
      <c r="D60" s="33" t="s">
        <v>1703</v>
      </c>
      <c r="E60" s="174">
        <v>5</v>
      </c>
      <c r="F60" s="174">
        <f t="shared" si="2"/>
        <v>415</v>
      </c>
      <c r="G60" s="175" t="s">
        <v>502</v>
      </c>
      <c r="H60" s="33"/>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row>
    <row r="61" spans="1:31" ht="18" customHeight="1">
      <c r="A61" s="30">
        <f t="shared" si="1"/>
        <v>55</v>
      </c>
      <c r="B61" s="34">
        <v>45128</v>
      </c>
      <c r="C61" s="33" t="s">
        <v>497</v>
      </c>
      <c r="D61" s="33" t="s">
        <v>1704</v>
      </c>
      <c r="E61" s="174">
        <v>10</v>
      </c>
      <c r="F61" s="174">
        <f t="shared" si="2"/>
        <v>425</v>
      </c>
      <c r="G61" s="175" t="s">
        <v>502</v>
      </c>
      <c r="H61" s="33"/>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row>
    <row r="62" spans="1:31" ht="18" customHeight="1">
      <c r="A62" s="30">
        <f t="shared" si="1"/>
        <v>56</v>
      </c>
      <c r="B62" s="34">
        <v>45128</v>
      </c>
      <c r="C62" s="33" t="s">
        <v>500</v>
      </c>
      <c r="D62" s="33" t="s">
        <v>678</v>
      </c>
      <c r="E62" s="174">
        <v>10</v>
      </c>
      <c r="F62" s="174">
        <f t="shared" si="2"/>
        <v>435</v>
      </c>
      <c r="G62" s="175" t="s">
        <v>502</v>
      </c>
      <c r="H62" s="33" t="s">
        <v>1788</v>
      </c>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row>
    <row r="63" spans="1:31" ht="18" customHeight="1">
      <c r="A63" s="30">
        <f t="shared" si="1"/>
        <v>57</v>
      </c>
      <c r="B63" s="34">
        <v>45128</v>
      </c>
      <c r="C63" s="33" t="s">
        <v>1721</v>
      </c>
      <c r="D63" s="33" t="s">
        <v>488</v>
      </c>
      <c r="E63" s="174">
        <v>20</v>
      </c>
      <c r="F63" s="174">
        <f t="shared" si="2"/>
        <v>455</v>
      </c>
      <c r="G63" s="175" t="s">
        <v>502</v>
      </c>
      <c r="H63" s="33" t="s">
        <v>1788</v>
      </c>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row>
    <row r="64" spans="1:31" ht="18" customHeight="1">
      <c r="A64" s="30">
        <f t="shared" si="1"/>
        <v>58</v>
      </c>
      <c r="B64" s="34">
        <v>45128</v>
      </c>
      <c r="C64" s="33" t="s">
        <v>500</v>
      </c>
      <c r="D64" s="33" t="s">
        <v>756</v>
      </c>
      <c r="E64" s="174">
        <v>20</v>
      </c>
      <c r="F64" s="174">
        <f t="shared" si="2"/>
        <v>475</v>
      </c>
      <c r="G64" s="175" t="s">
        <v>502</v>
      </c>
      <c r="H64" s="33" t="s">
        <v>1788</v>
      </c>
      <c r="I64" s="208"/>
      <c r="J64" s="208"/>
      <c r="K64" s="208"/>
      <c r="L64" s="208"/>
      <c r="M64" s="208"/>
      <c r="N64" s="208"/>
      <c r="O64" s="208"/>
      <c r="P64" s="208"/>
      <c r="Q64" s="208"/>
      <c r="R64" s="208"/>
      <c r="S64" s="208"/>
      <c r="T64" s="208"/>
      <c r="U64" s="208"/>
      <c r="V64" s="208"/>
      <c r="W64" s="208"/>
      <c r="X64" s="208"/>
      <c r="Y64" s="208"/>
      <c r="Z64" s="208"/>
      <c r="AA64" s="208"/>
      <c r="AB64" s="208"/>
      <c r="AC64" s="208"/>
      <c r="AD64" s="208"/>
      <c r="AE64" s="208"/>
    </row>
    <row r="65" spans="1:31" ht="18" customHeight="1">
      <c r="A65" s="30">
        <f t="shared" si="1"/>
        <v>59</v>
      </c>
      <c r="B65" s="34">
        <v>45128</v>
      </c>
      <c r="C65" s="33" t="s">
        <v>497</v>
      </c>
      <c r="D65" s="33" t="s">
        <v>1705</v>
      </c>
      <c r="E65" s="174">
        <v>10</v>
      </c>
      <c r="F65" s="174">
        <f t="shared" si="2"/>
        <v>485</v>
      </c>
      <c r="G65" s="175" t="s">
        <v>502</v>
      </c>
      <c r="H65" s="33" t="s">
        <v>1788</v>
      </c>
      <c r="I65" s="208"/>
      <c r="J65" s="208"/>
      <c r="K65" s="208"/>
      <c r="L65" s="208"/>
      <c r="M65" s="208"/>
      <c r="N65" s="208"/>
      <c r="O65" s="208"/>
      <c r="P65" s="208"/>
      <c r="Q65" s="208"/>
      <c r="R65" s="208"/>
      <c r="S65" s="208"/>
      <c r="T65" s="208"/>
      <c r="U65" s="208"/>
      <c r="V65" s="208"/>
      <c r="W65" s="208"/>
      <c r="X65" s="208"/>
      <c r="Y65" s="208"/>
      <c r="Z65" s="208"/>
      <c r="AA65" s="208"/>
      <c r="AB65" s="208"/>
      <c r="AC65" s="208"/>
      <c r="AD65" s="208"/>
      <c r="AE65" s="208"/>
    </row>
    <row r="66" spans="1:31" ht="18" customHeight="1">
      <c r="A66" s="30">
        <f t="shared" si="1"/>
        <v>60</v>
      </c>
      <c r="B66" s="34">
        <v>45128</v>
      </c>
      <c r="C66" s="33" t="s">
        <v>497</v>
      </c>
      <c r="D66" s="33" t="s">
        <v>1706</v>
      </c>
      <c r="E66" s="174">
        <v>5</v>
      </c>
      <c r="F66" s="174">
        <f t="shared" si="2"/>
        <v>490</v>
      </c>
      <c r="G66" s="175" t="s">
        <v>502</v>
      </c>
      <c r="H66" s="33" t="s">
        <v>1788</v>
      </c>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row>
    <row r="67" spans="1:31" ht="18" customHeight="1">
      <c r="A67" s="30">
        <f t="shared" si="1"/>
        <v>61</v>
      </c>
      <c r="B67" s="34">
        <v>45128</v>
      </c>
      <c r="C67" s="33" t="s">
        <v>518</v>
      </c>
      <c r="D67" s="33" t="s">
        <v>1707</v>
      </c>
      <c r="E67" s="174">
        <v>10</v>
      </c>
      <c r="F67" s="174">
        <f t="shared" si="2"/>
        <v>500</v>
      </c>
      <c r="G67" s="175" t="s">
        <v>502</v>
      </c>
      <c r="H67" s="33"/>
      <c r="I67" s="208"/>
      <c r="J67" s="208"/>
      <c r="K67" s="208"/>
      <c r="L67" s="208"/>
      <c r="M67" s="208"/>
      <c r="N67" s="208"/>
      <c r="O67" s="208"/>
      <c r="P67" s="208"/>
      <c r="Q67" s="208"/>
      <c r="R67" s="208"/>
      <c r="S67" s="208"/>
      <c r="T67" s="208"/>
      <c r="U67" s="208"/>
      <c r="V67" s="208"/>
      <c r="W67" s="208"/>
      <c r="X67" s="208"/>
      <c r="Y67" s="208"/>
      <c r="Z67" s="208"/>
      <c r="AA67" s="208"/>
      <c r="AB67" s="208"/>
      <c r="AC67" s="208"/>
      <c r="AD67" s="208"/>
      <c r="AE67" s="208"/>
    </row>
    <row r="68" spans="1:31" ht="18" customHeight="1">
      <c r="A68" s="30">
        <f t="shared" si="1"/>
        <v>62</v>
      </c>
      <c r="B68" s="34">
        <v>45128</v>
      </c>
      <c r="C68" s="33" t="s">
        <v>497</v>
      </c>
      <c r="D68" s="33" t="s">
        <v>1708</v>
      </c>
      <c r="E68" s="174">
        <v>10</v>
      </c>
      <c r="F68" s="174">
        <f t="shared" si="2"/>
        <v>510</v>
      </c>
      <c r="G68" s="175" t="s">
        <v>502</v>
      </c>
      <c r="H68" s="33"/>
      <c r="I68" s="208"/>
      <c r="J68" s="208"/>
      <c r="K68" s="208"/>
      <c r="L68" s="208"/>
      <c r="M68" s="208"/>
      <c r="N68" s="208"/>
      <c r="O68" s="208"/>
      <c r="P68" s="208"/>
      <c r="Q68" s="208"/>
      <c r="R68" s="208"/>
      <c r="S68" s="208"/>
      <c r="T68" s="208"/>
      <c r="U68" s="208"/>
      <c r="V68" s="208"/>
      <c r="W68" s="208"/>
      <c r="X68" s="208"/>
      <c r="Y68" s="208"/>
      <c r="Z68" s="208"/>
      <c r="AA68" s="208"/>
      <c r="AB68" s="208"/>
      <c r="AC68" s="208"/>
      <c r="AD68" s="208"/>
      <c r="AE68" s="208"/>
    </row>
    <row r="69" spans="1:31" ht="18" customHeight="1">
      <c r="A69" s="30">
        <f t="shared" si="1"/>
        <v>63</v>
      </c>
      <c r="B69" s="34">
        <v>45128</v>
      </c>
      <c r="C69" s="33" t="s">
        <v>518</v>
      </c>
      <c r="D69" s="33" t="s">
        <v>585</v>
      </c>
      <c r="E69" s="174">
        <v>10</v>
      </c>
      <c r="F69" s="174">
        <f t="shared" si="2"/>
        <v>520</v>
      </c>
      <c r="G69" s="175" t="s">
        <v>502</v>
      </c>
      <c r="H69" s="33"/>
      <c r="I69" s="208"/>
      <c r="J69" s="208"/>
      <c r="K69" s="208"/>
      <c r="L69" s="208"/>
      <c r="M69" s="208"/>
      <c r="N69" s="208"/>
      <c r="O69" s="208"/>
      <c r="P69" s="208"/>
      <c r="Q69" s="208"/>
      <c r="R69" s="208"/>
      <c r="S69" s="208"/>
      <c r="T69" s="208"/>
      <c r="U69" s="208"/>
      <c r="V69" s="208"/>
      <c r="W69" s="208"/>
      <c r="X69" s="208"/>
      <c r="Y69" s="208"/>
      <c r="Z69" s="208"/>
      <c r="AA69" s="208"/>
      <c r="AB69" s="208"/>
      <c r="AC69" s="208"/>
      <c r="AD69" s="208"/>
      <c r="AE69" s="208"/>
    </row>
    <row r="70" spans="1:31" ht="18" customHeight="1">
      <c r="A70" s="30">
        <f t="shared" si="1"/>
        <v>64</v>
      </c>
      <c r="B70" s="34">
        <v>45128</v>
      </c>
      <c r="C70" s="33" t="s">
        <v>497</v>
      </c>
      <c r="D70" s="33" t="s">
        <v>1709</v>
      </c>
      <c r="E70" s="174">
        <v>10</v>
      </c>
      <c r="F70" s="174">
        <f t="shared" si="2"/>
        <v>530</v>
      </c>
      <c r="G70" s="175" t="s">
        <v>502</v>
      </c>
      <c r="H70" s="33" t="s">
        <v>1788</v>
      </c>
      <c r="I70" s="208"/>
      <c r="J70" s="208"/>
      <c r="K70" s="208"/>
      <c r="L70" s="208"/>
      <c r="M70" s="208"/>
      <c r="N70" s="208"/>
      <c r="O70" s="208"/>
      <c r="P70" s="208"/>
      <c r="Q70" s="208"/>
      <c r="R70" s="208"/>
      <c r="S70" s="208"/>
      <c r="T70" s="208"/>
      <c r="U70" s="208"/>
      <c r="V70" s="208"/>
      <c r="W70" s="208"/>
      <c r="X70" s="208"/>
      <c r="Y70" s="208"/>
      <c r="Z70" s="208"/>
      <c r="AA70" s="208"/>
      <c r="AB70" s="208"/>
      <c r="AC70" s="208"/>
      <c r="AD70" s="208"/>
      <c r="AE70" s="208"/>
    </row>
    <row r="71" spans="1:31" ht="18" customHeight="1">
      <c r="A71" s="30">
        <f t="shared" si="1"/>
        <v>65</v>
      </c>
      <c r="B71" s="34">
        <v>45128</v>
      </c>
      <c r="C71" s="33" t="s">
        <v>518</v>
      </c>
      <c r="D71" s="33" t="s">
        <v>757</v>
      </c>
      <c r="E71" s="174">
        <v>10</v>
      </c>
      <c r="F71" s="174">
        <f t="shared" si="2"/>
        <v>540</v>
      </c>
      <c r="G71" s="175" t="s">
        <v>502</v>
      </c>
      <c r="H71" s="33" t="s">
        <v>1788</v>
      </c>
      <c r="I71" s="208"/>
      <c r="J71" s="208"/>
      <c r="K71" s="208"/>
      <c r="L71" s="208"/>
      <c r="M71" s="208"/>
      <c r="N71" s="208"/>
      <c r="O71" s="208"/>
      <c r="P71" s="208"/>
      <c r="Q71" s="208"/>
      <c r="R71" s="208"/>
      <c r="S71" s="208"/>
      <c r="T71" s="208"/>
      <c r="U71" s="208"/>
      <c r="V71" s="208"/>
      <c r="W71" s="208"/>
      <c r="X71" s="208"/>
      <c r="Y71" s="208"/>
      <c r="Z71" s="208"/>
      <c r="AA71" s="208"/>
      <c r="AB71" s="208"/>
      <c r="AC71" s="208"/>
      <c r="AD71" s="208"/>
      <c r="AE71" s="208"/>
    </row>
    <row r="72" spans="1:31" ht="18" customHeight="1">
      <c r="A72" s="30">
        <f t="shared" ref="A72:A111" si="3">ROW()-6</f>
        <v>66</v>
      </c>
      <c r="B72" s="34">
        <v>45128</v>
      </c>
      <c r="C72" s="33" t="s">
        <v>497</v>
      </c>
      <c r="D72" s="33" t="s">
        <v>659</v>
      </c>
      <c r="E72" s="174">
        <v>10</v>
      </c>
      <c r="F72" s="174">
        <f t="shared" si="2"/>
        <v>550</v>
      </c>
      <c r="G72" s="175" t="s">
        <v>502</v>
      </c>
      <c r="H72" s="33" t="s">
        <v>1788</v>
      </c>
      <c r="I72" s="208"/>
      <c r="J72" s="208"/>
      <c r="K72" s="208"/>
      <c r="L72" s="208"/>
      <c r="M72" s="208"/>
      <c r="N72" s="208"/>
      <c r="O72" s="208"/>
      <c r="P72" s="208"/>
      <c r="Q72" s="208"/>
      <c r="R72" s="208"/>
      <c r="S72" s="208"/>
      <c r="T72" s="208"/>
      <c r="U72" s="208"/>
      <c r="V72" s="208"/>
      <c r="W72" s="208"/>
      <c r="X72" s="208"/>
      <c r="Y72" s="208"/>
      <c r="Z72" s="208"/>
      <c r="AA72" s="208"/>
      <c r="AB72" s="208"/>
      <c r="AC72" s="208"/>
      <c r="AD72" s="208"/>
      <c r="AE72" s="208"/>
    </row>
    <row r="73" spans="1:31" ht="18" customHeight="1">
      <c r="A73" s="30">
        <f t="shared" si="3"/>
        <v>67</v>
      </c>
      <c r="B73" s="34">
        <v>45128</v>
      </c>
      <c r="C73" s="33" t="s">
        <v>518</v>
      </c>
      <c r="D73" s="33" t="s">
        <v>520</v>
      </c>
      <c r="E73" s="174">
        <v>10</v>
      </c>
      <c r="F73" s="174">
        <f t="shared" ref="F73:F111" si="4">F72+E73</f>
        <v>560</v>
      </c>
      <c r="G73" s="175" t="s">
        <v>502</v>
      </c>
      <c r="H73" s="33" t="s">
        <v>1788</v>
      </c>
      <c r="I73" s="208"/>
      <c r="J73" s="208"/>
      <c r="K73" s="208"/>
      <c r="L73" s="208"/>
      <c r="M73" s="208"/>
      <c r="N73" s="208"/>
      <c r="O73" s="208"/>
      <c r="P73" s="208"/>
      <c r="Q73" s="208"/>
      <c r="R73" s="208"/>
      <c r="S73" s="208"/>
      <c r="T73" s="208"/>
      <c r="U73" s="208"/>
      <c r="V73" s="208"/>
      <c r="W73" s="208"/>
      <c r="X73" s="208"/>
      <c r="Y73" s="208"/>
      <c r="Z73" s="208"/>
      <c r="AA73" s="208"/>
      <c r="AB73" s="208"/>
      <c r="AC73" s="208"/>
      <c r="AD73" s="208"/>
      <c r="AE73" s="208"/>
    </row>
    <row r="74" spans="1:31" ht="18" customHeight="1">
      <c r="A74" s="30">
        <f t="shared" si="3"/>
        <v>68</v>
      </c>
      <c r="B74" s="34">
        <v>45128</v>
      </c>
      <c r="C74" s="33" t="s">
        <v>497</v>
      </c>
      <c r="D74" s="33" t="s">
        <v>1710</v>
      </c>
      <c r="E74" s="174">
        <v>10</v>
      </c>
      <c r="F74" s="174">
        <f t="shared" si="4"/>
        <v>570</v>
      </c>
      <c r="G74" s="175" t="s">
        <v>502</v>
      </c>
      <c r="H74" s="33" t="s">
        <v>1788</v>
      </c>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row>
    <row r="75" spans="1:31" ht="18" customHeight="1">
      <c r="A75" s="30">
        <f t="shared" si="3"/>
        <v>69</v>
      </c>
      <c r="B75" s="34">
        <v>45128</v>
      </c>
      <c r="C75" s="33" t="s">
        <v>497</v>
      </c>
      <c r="D75" s="33" t="s">
        <v>1711</v>
      </c>
      <c r="E75" s="174">
        <v>10</v>
      </c>
      <c r="F75" s="174">
        <f t="shared" si="4"/>
        <v>580</v>
      </c>
      <c r="G75" s="175" t="s">
        <v>502</v>
      </c>
      <c r="H75" s="33"/>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row>
    <row r="76" spans="1:31" ht="18" customHeight="1">
      <c r="A76" s="30">
        <f t="shared" si="3"/>
        <v>70</v>
      </c>
      <c r="B76" s="34">
        <v>45128</v>
      </c>
      <c r="C76" s="33" t="s">
        <v>500</v>
      </c>
      <c r="D76" s="33" t="s">
        <v>1712</v>
      </c>
      <c r="E76" s="174">
        <v>5</v>
      </c>
      <c r="F76" s="174">
        <f t="shared" si="4"/>
        <v>585</v>
      </c>
      <c r="G76" s="175" t="s">
        <v>502</v>
      </c>
      <c r="H76" s="33"/>
      <c r="I76" s="208"/>
      <c r="J76" s="208"/>
      <c r="K76" s="208"/>
      <c r="L76" s="208"/>
      <c r="M76" s="208"/>
      <c r="N76" s="208"/>
      <c r="O76" s="208"/>
      <c r="P76" s="208"/>
      <c r="Q76" s="208"/>
      <c r="R76" s="208"/>
      <c r="S76" s="208"/>
      <c r="T76" s="208"/>
      <c r="U76" s="208"/>
      <c r="V76" s="208"/>
      <c r="W76" s="208"/>
      <c r="X76" s="208"/>
      <c r="Y76" s="208"/>
      <c r="Z76" s="208"/>
      <c r="AA76" s="208"/>
      <c r="AB76" s="208"/>
      <c r="AC76" s="208"/>
      <c r="AD76" s="208"/>
      <c r="AE76" s="208"/>
    </row>
    <row r="77" spans="1:31" ht="18" customHeight="1">
      <c r="A77" s="30">
        <f t="shared" si="3"/>
        <v>71</v>
      </c>
      <c r="B77" s="34">
        <v>45128</v>
      </c>
      <c r="C77" s="33" t="s">
        <v>497</v>
      </c>
      <c r="D77" s="33" t="s">
        <v>1713</v>
      </c>
      <c r="E77" s="174">
        <v>10</v>
      </c>
      <c r="F77" s="174">
        <f t="shared" si="4"/>
        <v>595</v>
      </c>
      <c r="G77" s="175" t="s">
        <v>502</v>
      </c>
      <c r="H77" s="33"/>
      <c r="I77" s="208"/>
      <c r="J77" s="208"/>
      <c r="K77" s="208"/>
      <c r="L77" s="208"/>
      <c r="M77" s="208"/>
      <c r="N77" s="208"/>
      <c r="O77" s="208"/>
      <c r="P77" s="208"/>
      <c r="Q77" s="208"/>
      <c r="R77" s="208"/>
      <c r="S77" s="208"/>
      <c r="T77" s="208"/>
      <c r="U77" s="208"/>
      <c r="V77" s="208"/>
      <c r="W77" s="208"/>
      <c r="X77" s="208"/>
      <c r="Y77" s="208"/>
      <c r="Z77" s="208"/>
      <c r="AA77" s="208"/>
      <c r="AB77" s="208"/>
      <c r="AC77" s="208"/>
      <c r="AD77" s="208"/>
      <c r="AE77" s="208"/>
    </row>
    <row r="78" spans="1:31" ht="18" customHeight="1">
      <c r="A78" s="30">
        <f t="shared" si="3"/>
        <v>72</v>
      </c>
      <c r="B78" s="34">
        <v>45128</v>
      </c>
      <c r="C78" s="33" t="s">
        <v>497</v>
      </c>
      <c r="D78" s="33" t="s">
        <v>1714</v>
      </c>
      <c r="E78" s="174">
        <v>10</v>
      </c>
      <c r="F78" s="174">
        <f t="shared" si="4"/>
        <v>605</v>
      </c>
      <c r="G78" s="175" t="s">
        <v>502</v>
      </c>
      <c r="H78" s="33" t="s">
        <v>1788</v>
      </c>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row>
    <row r="79" spans="1:31" ht="18" customHeight="1">
      <c r="A79" s="30">
        <f t="shared" si="3"/>
        <v>73</v>
      </c>
      <c r="B79" s="34">
        <v>45128</v>
      </c>
      <c r="C79" s="33" t="s">
        <v>497</v>
      </c>
      <c r="D79" s="33" t="s">
        <v>800</v>
      </c>
      <c r="E79" s="174">
        <v>10</v>
      </c>
      <c r="F79" s="174">
        <f t="shared" si="4"/>
        <v>615</v>
      </c>
      <c r="G79" s="175" t="s">
        <v>502</v>
      </c>
      <c r="H79" s="33"/>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row>
    <row r="80" spans="1:31" ht="18" customHeight="1">
      <c r="A80" s="30">
        <f t="shared" si="3"/>
        <v>74</v>
      </c>
      <c r="B80" s="34">
        <v>45128</v>
      </c>
      <c r="C80" s="33" t="s">
        <v>497</v>
      </c>
      <c r="D80" s="33" t="s">
        <v>173</v>
      </c>
      <c r="E80" s="174">
        <v>10</v>
      </c>
      <c r="F80" s="174">
        <f t="shared" si="4"/>
        <v>625</v>
      </c>
      <c r="G80" s="175" t="s">
        <v>502</v>
      </c>
      <c r="H80" s="33"/>
      <c r="I80" s="208"/>
      <c r="J80" s="208"/>
      <c r="K80" s="208"/>
      <c r="L80" s="208"/>
      <c r="M80" s="208"/>
      <c r="N80" s="208"/>
      <c r="O80" s="208"/>
      <c r="P80" s="208"/>
      <c r="Q80" s="208"/>
      <c r="R80" s="208"/>
      <c r="S80" s="208"/>
      <c r="T80" s="208"/>
      <c r="U80" s="208"/>
      <c r="V80" s="208"/>
      <c r="W80" s="208"/>
      <c r="X80" s="208"/>
      <c r="Y80" s="208"/>
      <c r="Z80" s="208"/>
      <c r="AA80" s="208"/>
      <c r="AB80" s="208"/>
      <c r="AC80" s="208"/>
      <c r="AD80" s="208"/>
      <c r="AE80" s="208"/>
    </row>
    <row r="81" spans="1:31" ht="18" customHeight="1">
      <c r="A81" s="30">
        <f t="shared" si="3"/>
        <v>75</v>
      </c>
      <c r="B81" s="34">
        <v>45128</v>
      </c>
      <c r="C81" s="33" t="s">
        <v>497</v>
      </c>
      <c r="D81" s="33" t="s">
        <v>1715</v>
      </c>
      <c r="E81" s="174">
        <v>10</v>
      </c>
      <c r="F81" s="174">
        <f t="shared" si="4"/>
        <v>635</v>
      </c>
      <c r="G81" s="175" t="s">
        <v>502</v>
      </c>
      <c r="H81" s="33"/>
      <c r="I81" s="208"/>
      <c r="J81" s="208"/>
      <c r="K81" s="208"/>
      <c r="L81" s="208"/>
      <c r="M81" s="208"/>
      <c r="N81" s="208"/>
      <c r="O81" s="208"/>
      <c r="P81" s="208"/>
      <c r="Q81" s="208"/>
      <c r="R81" s="208"/>
      <c r="S81" s="208"/>
      <c r="T81" s="208"/>
      <c r="U81" s="208"/>
      <c r="V81" s="208"/>
      <c r="W81" s="208"/>
      <c r="X81" s="208"/>
      <c r="Y81" s="208"/>
      <c r="Z81" s="208"/>
      <c r="AA81" s="208"/>
      <c r="AB81" s="208"/>
      <c r="AC81" s="208"/>
      <c r="AD81" s="208"/>
      <c r="AE81" s="208"/>
    </row>
    <row r="82" spans="1:31" ht="18" customHeight="1">
      <c r="A82" s="30">
        <f t="shared" si="3"/>
        <v>76</v>
      </c>
      <c r="B82" s="34">
        <v>45128</v>
      </c>
      <c r="C82" s="33" t="s">
        <v>497</v>
      </c>
      <c r="D82" s="33" t="s">
        <v>1716</v>
      </c>
      <c r="E82" s="174">
        <v>10</v>
      </c>
      <c r="F82" s="174">
        <f t="shared" si="4"/>
        <v>645</v>
      </c>
      <c r="G82" s="175" t="s">
        <v>502</v>
      </c>
      <c r="H82" s="33"/>
      <c r="I82" s="208"/>
      <c r="J82" s="208"/>
      <c r="K82" s="208"/>
      <c r="L82" s="208"/>
      <c r="M82" s="208"/>
      <c r="N82" s="208"/>
      <c r="O82" s="208"/>
      <c r="P82" s="208"/>
      <c r="Q82" s="208"/>
      <c r="R82" s="208"/>
      <c r="S82" s="208"/>
      <c r="T82" s="208"/>
      <c r="U82" s="208"/>
      <c r="V82" s="208"/>
      <c r="W82" s="208"/>
      <c r="X82" s="208"/>
      <c r="Y82" s="208"/>
      <c r="Z82" s="208"/>
      <c r="AA82" s="208"/>
      <c r="AB82" s="208"/>
      <c r="AC82" s="208"/>
      <c r="AD82" s="208"/>
      <c r="AE82" s="208"/>
    </row>
    <row r="83" spans="1:31" ht="18" customHeight="1">
      <c r="A83" s="30">
        <f t="shared" si="3"/>
        <v>77</v>
      </c>
      <c r="B83" s="34">
        <v>45128</v>
      </c>
      <c r="C83" s="33" t="s">
        <v>500</v>
      </c>
      <c r="D83" s="33" t="s">
        <v>746</v>
      </c>
      <c r="E83" s="174">
        <v>10</v>
      </c>
      <c r="F83" s="174">
        <f t="shared" si="4"/>
        <v>655</v>
      </c>
      <c r="G83" s="175" t="s">
        <v>502</v>
      </c>
      <c r="H83" s="33" t="s">
        <v>1788</v>
      </c>
      <c r="I83" s="208"/>
      <c r="J83" s="208"/>
      <c r="K83" s="208"/>
      <c r="L83" s="208"/>
      <c r="M83" s="208"/>
      <c r="N83" s="208"/>
      <c r="O83" s="208"/>
      <c r="P83" s="208"/>
      <c r="Q83" s="208"/>
      <c r="R83" s="208"/>
      <c r="S83" s="208"/>
      <c r="T83" s="208"/>
      <c r="U83" s="208"/>
      <c r="V83" s="208"/>
      <c r="W83" s="208"/>
      <c r="X83" s="208"/>
      <c r="Y83" s="208"/>
      <c r="Z83" s="208"/>
      <c r="AA83" s="208"/>
      <c r="AB83" s="208"/>
      <c r="AC83" s="208"/>
      <c r="AD83" s="208"/>
      <c r="AE83" s="208"/>
    </row>
    <row r="84" spans="1:31" ht="18" customHeight="1">
      <c r="A84" s="30">
        <f t="shared" si="3"/>
        <v>78</v>
      </c>
      <c r="B84" s="34">
        <v>45128</v>
      </c>
      <c r="C84" s="33" t="s">
        <v>1721</v>
      </c>
      <c r="D84" s="33" t="s">
        <v>485</v>
      </c>
      <c r="E84" s="174">
        <v>100</v>
      </c>
      <c r="F84" s="174">
        <f t="shared" si="4"/>
        <v>755</v>
      </c>
      <c r="G84" s="175" t="s">
        <v>502</v>
      </c>
      <c r="H84" s="33" t="s">
        <v>1788</v>
      </c>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row>
    <row r="85" spans="1:31" ht="18" customHeight="1">
      <c r="A85" s="30">
        <f t="shared" si="3"/>
        <v>79</v>
      </c>
      <c r="B85" s="34">
        <v>45128</v>
      </c>
      <c r="C85" s="33" t="s">
        <v>518</v>
      </c>
      <c r="D85" s="33" t="s">
        <v>671</v>
      </c>
      <c r="E85" s="174">
        <v>10</v>
      </c>
      <c r="F85" s="174">
        <f t="shared" si="4"/>
        <v>765</v>
      </c>
      <c r="G85" s="175" t="s">
        <v>502</v>
      </c>
      <c r="H85" s="33" t="s">
        <v>1788</v>
      </c>
      <c r="I85" s="208"/>
      <c r="J85" s="208"/>
      <c r="K85" s="208"/>
      <c r="L85" s="208"/>
      <c r="M85" s="208"/>
      <c r="N85" s="208"/>
      <c r="O85" s="208"/>
      <c r="P85" s="208"/>
      <c r="Q85" s="208"/>
      <c r="R85" s="208"/>
      <c r="S85" s="208"/>
      <c r="T85" s="208"/>
      <c r="U85" s="208"/>
      <c r="V85" s="208"/>
      <c r="W85" s="208"/>
      <c r="X85" s="208"/>
      <c r="Y85" s="208"/>
      <c r="Z85" s="208"/>
      <c r="AA85" s="208"/>
      <c r="AB85" s="208"/>
      <c r="AC85" s="208"/>
      <c r="AD85" s="208"/>
      <c r="AE85" s="208"/>
    </row>
    <row r="86" spans="1:31" ht="18" customHeight="1">
      <c r="A86" s="30">
        <f t="shared" si="3"/>
        <v>80</v>
      </c>
      <c r="B86" s="34">
        <v>45128</v>
      </c>
      <c r="C86" s="33" t="s">
        <v>518</v>
      </c>
      <c r="D86" s="33" t="s">
        <v>519</v>
      </c>
      <c r="E86" s="174">
        <v>10</v>
      </c>
      <c r="F86" s="174">
        <f t="shared" si="4"/>
        <v>775</v>
      </c>
      <c r="G86" s="175" t="s">
        <v>502</v>
      </c>
      <c r="H86" s="33" t="s">
        <v>1788</v>
      </c>
      <c r="I86" s="208"/>
      <c r="J86" s="208"/>
      <c r="K86" s="208"/>
      <c r="L86" s="208"/>
      <c r="M86" s="208"/>
      <c r="N86" s="208"/>
      <c r="O86" s="208"/>
      <c r="P86" s="208"/>
      <c r="Q86" s="208"/>
      <c r="R86" s="208"/>
      <c r="S86" s="208"/>
      <c r="T86" s="208"/>
      <c r="U86" s="208"/>
      <c r="V86" s="208"/>
      <c r="W86" s="208"/>
      <c r="X86" s="208"/>
      <c r="Y86" s="208"/>
      <c r="Z86" s="208"/>
      <c r="AA86" s="208"/>
      <c r="AB86" s="208"/>
      <c r="AC86" s="208"/>
      <c r="AD86" s="208"/>
      <c r="AE86" s="208"/>
    </row>
    <row r="87" spans="1:31" ht="18" customHeight="1">
      <c r="A87" s="30">
        <f t="shared" si="3"/>
        <v>81</v>
      </c>
      <c r="B87" s="34">
        <v>45128</v>
      </c>
      <c r="C87" s="33" t="s">
        <v>518</v>
      </c>
      <c r="D87" s="33" t="s">
        <v>547</v>
      </c>
      <c r="E87" s="174">
        <v>10</v>
      </c>
      <c r="F87" s="174">
        <f t="shared" si="4"/>
        <v>785</v>
      </c>
      <c r="G87" s="175" t="s">
        <v>502</v>
      </c>
      <c r="H87" s="33" t="s">
        <v>1788</v>
      </c>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row>
    <row r="88" spans="1:31" ht="18" customHeight="1">
      <c r="A88" s="30">
        <f t="shared" si="3"/>
        <v>82</v>
      </c>
      <c r="B88" s="34">
        <v>45128</v>
      </c>
      <c r="C88" s="33" t="s">
        <v>518</v>
      </c>
      <c r="D88" s="33" t="s">
        <v>575</v>
      </c>
      <c r="E88" s="174">
        <v>10</v>
      </c>
      <c r="F88" s="174">
        <f t="shared" si="4"/>
        <v>795</v>
      </c>
      <c r="G88" s="175" t="s">
        <v>502</v>
      </c>
      <c r="H88" s="33" t="s">
        <v>1788</v>
      </c>
      <c r="I88" s="208"/>
      <c r="J88" s="208"/>
      <c r="K88" s="208"/>
      <c r="L88" s="208"/>
      <c r="M88" s="208"/>
      <c r="N88" s="208"/>
      <c r="O88" s="208"/>
      <c r="P88" s="208"/>
      <c r="Q88" s="208"/>
      <c r="R88" s="208"/>
      <c r="S88" s="208"/>
      <c r="T88" s="208"/>
      <c r="U88" s="208"/>
      <c r="V88" s="208"/>
      <c r="W88" s="208"/>
      <c r="X88" s="208"/>
      <c r="Y88" s="208"/>
      <c r="Z88" s="208"/>
      <c r="AA88" s="208"/>
      <c r="AB88" s="208"/>
      <c r="AC88" s="208"/>
      <c r="AD88" s="208"/>
      <c r="AE88" s="208"/>
    </row>
    <row r="89" spans="1:31" ht="18" customHeight="1">
      <c r="A89" s="30">
        <f t="shared" si="3"/>
        <v>83</v>
      </c>
      <c r="B89" s="34">
        <v>45128</v>
      </c>
      <c r="C89" s="33" t="s">
        <v>518</v>
      </c>
      <c r="D89" s="33" t="s">
        <v>576</v>
      </c>
      <c r="E89" s="174">
        <v>5</v>
      </c>
      <c r="F89" s="174">
        <f t="shared" si="4"/>
        <v>800</v>
      </c>
      <c r="G89" s="175" t="s">
        <v>502</v>
      </c>
      <c r="H89" s="33"/>
      <c r="I89" s="208"/>
      <c r="J89" s="208"/>
      <c r="K89" s="208"/>
      <c r="L89" s="208"/>
      <c r="M89" s="208"/>
      <c r="N89" s="208"/>
      <c r="O89" s="208"/>
      <c r="P89" s="208"/>
      <c r="Q89" s="208"/>
      <c r="R89" s="208"/>
      <c r="S89" s="208"/>
      <c r="T89" s="208"/>
      <c r="U89" s="208"/>
      <c r="V89" s="208"/>
      <c r="W89" s="208"/>
      <c r="X89" s="208"/>
      <c r="Y89" s="208"/>
      <c r="Z89" s="208"/>
      <c r="AA89" s="208"/>
      <c r="AB89" s="208"/>
      <c r="AC89" s="208"/>
      <c r="AD89" s="208"/>
      <c r="AE89" s="208"/>
    </row>
    <row r="90" spans="1:31" ht="18" customHeight="1">
      <c r="A90" s="30">
        <f t="shared" si="3"/>
        <v>84</v>
      </c>
      <c r="B90" s="34">
        <v>45128</v>
      </c>
      <c r="C90" s="33" t="s">
        <v>1721</v>
      </c>
      <c r="D90" s="33" t="s">
        <v>470</v>
      </c>
      <c r="E90" s="174">
        <v>20</v>
      </c>
      <c r="F90" s="174">
        <f t="shared" si="4"/>
        <v>820</v>
      </c>
      <c r="G90" s="175" t="s">
        <v>502</v>
      </c>
      <c r="H90" s="33"/>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row>
    <row r="91" spans="1:31" ht="18" customHeight="1">
      <c r="A91" s="30">
        <f t="shared" si="3"/>
        <v>85</v>
      </c>
      <c r="B91" s="34">
        <v>45128</v>
      </c>
      <c r="C91" s="33" t="s">
        <v>500</v>
      </c>
      <c r="D91" s="33" t="s">
        <v>679</v>
      </c>
      <c r="E91" s="174">
        <v>10</v>
      </c>
      <c r="F91" s="174">
        <f t="shared" si="4"/>
        <v>830</v>
      </c>
      <c r="G91" s="175" t="s">
        <v>502</v>
      </c>
      <c r="H91" s="33" t="s">
        <v>1788</v>
      </c>
      <c r="I91" s="208"/>
      <c r="J91" s="208"/>
      <c r="K91" s="208"/>
      <c r="L91" s="208"/>
      <c r="M91" s="208"/>
      <c r="N91" s="208"/>
      <c r="O91" s="208"/>
      <c r="P91" s="208"/>
      <c r="Q91" s="208"/>
      <c r="R91" s="208"/>
      <c r="S91" s="208"/>
      <c r="T91" s="208"/>
      <c r="U91" s="208"/>
      <c r="V91" s="208"/>
      <c r="W91" s="208"/>
      <c r="X91" s="208"/>
      <c r="Y91" s="208"/>
      <c r="Z91" s="208"/>
      <c r="AA91" s="208"/>
      <c r="AB91" s="208"/>
      <c r="AC91" s="208"/>
      <c r="AD91" s="208"/>
      <c r="AE91" s="208"/>
    </row>
    <row r="92" spans="1:31" ht="18" customHeight="1">
      <c r="A92" s="30">
        <f t="shared" si="3"/>
        <v>86</v>
      </c>
      <c r="B92" s="34">
        <v>45128</v>
      </c>
      <c r="C92" s="33" t="s">
        <v>518</v>
      </c>
      <c r="D92" s="33" t="s">
        <v>559</v>
      </c>
      <c r="E92" s="174">
        <v>20</v>
      </c>
      <c r="F92" s="174">
        <f t="shared" si="4"/>
        <v>850</v>
      </c>
      <c r="G92" s="175" t="s">
        <v>502</v>
      </c>
      <c r="H92" s="33"/>
      <c r="I92" s="208"/>
      <c r="J92" s="208"/>
      <c r="K92" s="208"/>
      <c r="L92" s="208"/>
      <c r="M92" s="208"/>
      <c r="N92" s="208"/>
      <c r="O92" s="208"/>
      <c r="P92" s="208"/>
      <c r="Q92" s="208"/>
      <c r="R92" s="208"/>
      <c r="S92" s="208"/>
      <c r="T92" s="208"/>
      <c r="U92" s="208"/>
      <c r="V92" s="208"/>
      <c r="W92" s="208"/>
      <c r="X92" s="208"/>
      <c r="Y92" s="208"/>
      <c r="Z92" s="208"/>
      <c r="AA92" s="208"/>
      <c r="AB92" s="208"/>
      <c r="AC92" s="208"/>
      <c r="AD92" s="208"/>
      <c r="AE92" s="208"/>
    </row>
    <row r="93" spans="1:31" ht="18" customHeight="1">
      <c r="A93" s="30">
        <f t="shared" si="3"/>
        <v>87</v>
      </c>
      <c r="B93" s="34">
        <v>45128</v>
      </c>
      <c r="C93" s="33" t="s">
        <v>500</v>
      </c>
      <c r="D93" s="33" t="s">
        <v>1717</v>
      </c>
      <c r="E93" s="174">
        <v>10</v>
      </c>
      <c r="F93" s="174">
        <f t="shared" si="4"/>
        <v>860</v>
      </c>
      <c r="G93" s="175" t="s">
        <v>502</v>
      </c>
      <c r="H93" s="33" t="s">
        <v>1788</v>
      </c>
      <c r="I93" s="208"/>
      <c r="J93" s="208"/>
      <c r="K93" s="208"/>
      <c r="L93" s="208"/>
      <c r="M93" s="208"/>
      <c r="N93" s="208"/>
      <c r="O93" s="208"/>
      <c r="P93" s="208"/>
      <c r="Q93" s="208"/>
      <c r="R93" s="208"/>
      <c r="S93" s="208"/>
      <c r="T93" s="208"/>
      <c r="U93" s="208"/>
      <c r="V93" s="208"/>
      <c r="W93" s="208"/>
      <c r="X93" s="208"/>
      <c r="Y93" s="208"/>
      <c r="Z93" s="208"/>
      <c r="AA93" s="208"/>
      <c r="AB93" s="208"/>
      <c r="AC93" s="208"/>
      <c r="AD93" s="208"/>
      <c r="AE93" s="208"/>
    </row>
    <row r="94" spans="1:31" ht="18" customHeight="1">
      <c r="A94" s="30">
        <f t="shared" si="3"/>
        <v>88</v>
      </c>
      <c r="B94" s="34">
        <v>45128</v>
      </c>
      <c r="C94" s="33" t="s">
        <v>518</v>
      </c>
      <c r="D94" s="33" t="s">
        <v>755</v>
      </c>
      <c r="E94" s="174">
        <v>5</v>
      </c>
      <c r="F94" s="174">
        <f t="shared" si="4"/>
        <v>865</v>
      </c>
      <c r="G94" s="175" t="s">
        <v>502</v>
      </c>
      <c r="H94" s="33"/>
      <c r="I94" s="208"/>
      <c r="J94" s="208"/>
      <c r="K94" s="208"/>
      <c r="L94" s="208"/>
      <c r="M94" s="208"/>
      <c r="N94" s="208"/>
      <c r="O94" s="208"/>
      <c r="P94" s="208"/>
      <c r="Q94" s="208"/>
      <c r="R94" s="208"/>
      <c r="S94" s="208"/>
      <c r="T94" s="208"/>
      <c r="U94" s="208"/>
      <c r="V94" s="208"/>
      <c r="W94" s="208"/>
      <c r="X94" s="208"/>
      <c r="Y94" s="208"/>
      <c r="Z94" s="208"/>
      <c r="AA94" s="208"/>
      <c r="AB94" s="208"/>
      <c r="AC94" s="208"/>
      <c r="AD94" s="208"/>
      <c r="AE94" s="208"/>
    </row>
    <row r="95" spans="1:31" ht="18" customHeight="1">
      <c r="A95" s="30">
        <f t="shared" si="3"/>
        <v>89</v>
      </c>
      <c r="B95" s="34">
        <v>45128</v>
      </c>
      <c r="C95" s="33" t="s">
        <v>518</v>
      </c>
      <c r="D95" s="33" t="s">
        <v>530</v>
      </c>
      <c r="E95" s="174">
        <v>20</v>
      </c>
      <c r="F95" s="174">
        <f t="shared" si="4"/>
        <v>885</v>
      </c>
      <c r="G95" s="175" t="s">
        <v>502</v>
      </c>
      <c r="H95" s="33" t="s">
        <v>1788</v>
      </c>
      <c r="I95" s="208"/>
      <c r="J95" s="208"/>
      <c r="K95" s="208"/>
      <c r="L95" s="208"/>
      <c r="M95" s="208"/>
      <c r="N95" s="208"/>
      <c r="O95" s="208"/>
      <c r="P95" s="208"/>
      <c r="Q95" s="208"/>
      <c r="R95" s="208"/>
      <c r="S95" s="208"/>
      <c r="T95" s="208"/>
      <c r="U95" s="208"/>
      <c r="V95" s="208"/>
      <c r="W95" s="208"/>
      <c r="X95" s="208"/>
      <c r="Y95" s="208"/>
      <c r="Z95" s="208"/>
      <c r="AA95" s="208"/>
      <c r="AB95" s="208"/>
      <c r="AC95" s="208"/>
      <c r="AD95" s="208"/>
      <c r="AE95" s="208"/>
    </row>
    <row r="96" spans="1:31" ht="18" customHeight="1">
      <c r="A96" s="30">
        <f t="shared" si="3"/>
        <v>90</v>
      </c>
      <c r="B96" s="34">
        <v>45128</v>
      </c>
      <c r="C96" s="33" t="s">
        <v>500</v>
      </c>
      <c r="D96" s="33" t="s">
        <v>1718</v>
      </c>
      <c r="E96" s="174">
        <v>25</v>
      </c>
      <c r="F96" s="174">
        <f t="shared" si="4"/>
        <v>910</v>
      </c>
      <c r="G96" s="175" t="s">
        <v>502</v>
      </c>
      <c r="H96" s="33" t="s">
        <v>1788</v>
      </c>
      <c r="I96" s="208"/>
      <c r="J96" s="208"/>
      <c r="K96" s="208"/>
      <c r="L96" s="208"/>
      <c r="M96" s="208"/>
      <c r="N96" s="208"/>
      <c r="O96" s="208"/>
      <c r="P96" s="208"/>
      <c r="Q96" s="208"/>
      <c r="R96" s="208"/>
      <c r="S96" s="208"/>
      <c r="T96" s="208"/>
      <c r="U96" s="208"/>
      <c r="V96" s="208"/>
      <c r="W96" s="208"/>
      <c r="X96" s="208"/>
      <c r="Y96" s="208"/>
      <c r="Z96" s="208"/>
      <c r="AA96" s="208"/>
      <c r="AB96" s="208"/>
      <c r="AC96" s="208"/>
      <c r="AD96" s="208"/>
      <c r="AE96" s="208"/>
    </row>
    <row r="97" spans="1:31" ht="18" customHeight="1">
      <c r="A97" s="30">
        <f t="shared" si="3"/>
        <v>91</v>
      </c>
      <c r="B97" s="34">
        <v>45128</v>
      </c>
      <c r="C97" s="33" t="s">
        <v>500</v>
      </c>
      <c r="D97" s="33" t="s">
        <v>797</v>
      </c>
      <c r="E97" s="174">
        <v>25</v>
      </c>
      <c r="F97" s="174">
        <f t="shared" si="4"/>
        <v>935</v>
      </c>
      <c r="G97" s="175" t="s">
        <v>502</v>
      </c>
      <c r="H97" s="33" t="s">
        <v>1788</v>
      </c>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row>
    <row r="98" spans="1:31" ht="18" customHeight="1">
      <c r="A98" s="30">
        <f t="shared" si="3"/>
        <v>92</v>
      </c>
      <c r="B98" s="34">
        <v>45128</v>
      </c>
      <c r="C98" s="33" t="s">
        <v>500</v>
      </c>
      <c r="D98" s="33" t="s">
        <v>1719</v>
      </c>
      <c r="E98" s="174">
        <v>25</v>
      </c>
      <c r="F98" s="174">
        <f t="shared" si="4"/>
        <v>960</v>
      </c>
      <c r="G98" s="175" t="s">
        <v>502</v>
      </c>
      <c r="H98" s="33"/>
      <c r="I98" s="208"/>
      <c r="J98" s="208"/>
      <c r="K98" s="208"/>
      <c r="L98" s="208"/>
      <c r="M98" s="208"/>
      <c r="N98" s="208"/>
      <c r="O98" s="208"/>
      <c r="P98" s="208"/>
      <c r="Q98" s="208"/>
      <c r="R98" s="208"/>
      <c r="S98" s="208"/>
      <c r="T98" s="208"/>
      <c r="U98" s="208"/>
      <c r="V98" s="208"/>
      <c r="W98" s="208"/>
      <c r="X98" s="208"/>
      <c r="Y98" s="208"/>
      <c r="Z98" s="208"/>
      <c r="AA98" s="208"/>
      <c r="AB98" s="208"/>
      <c r="AC98" s="208"/>
      <c r="AD98" s="208"/>
      <c r="AE98" s="208"/>
    </row>
    <row r="99" spans="1:31" ht="18" customHeight="1">
      <c r="A99" s="30">
        <f t="shared" si="3"/>
        <v>93</v>
      </c>
      <c r="B99" s="34">
        <v>45128</v>
      </c>
      <c r="C99" s="33" t="s">
        <v>500</v>
      </c>
      <c r="D99" s="33" t="s">
        <v>808</v>
      </c>
      <c r="E99" s="174">
        <v>10</v>
      </c>
      <c r="F99" s="174">
        <f t="shared" si="4"/>
        <v>970</v>
      </c>
      <c r="G99" s="175" t="s">
        <v>502</v>
      </c>
      <c r="H99" s="33" t="s">
        <v>1788</v>
      </c>
      <c r="I99" s="208"/>
      <c r="J99" s="208"/>
      <c r="K99" s="208"/>
      <c r="L99" s="208"/>
      <c r="M99" s="208"/>
      <c r="N99" s="208"/>
      <c r="O99" s="208"/>
      <c r="P99" s="208"/>
      <c r="Q99" s="208"/>
      <c r="R99" s="208"/>
      <c r="S99" s="208"/>
      <c r="T99" s="208"/>
      <c r="U99" s="208"/>
      <c r="V99" s="208"/>
      <c r="W99" s="208"/>
      <c r="X99" s="208"/>
      <c r="Y99" s="208"/>
      <c r="Z99" s="208"/>
      <c r="AA99" s="208"/>
      <c r="AB99" s="208"/>
      <c r="AC99" s="208"/>
      <c r="AD99" s="208"/>
      <c r="AE99" s="208"/>
    </row>
    <row r="100" spans="1:31" ht="18" customHeight="1">
      <c r="A100" s="30">
        <f t="shared" si="3"/>
        <v>94</v>
      </c>
      <c r="B100" s="34">
        <v>45128</v>
      </c>
      <c r="C100" s="33" t="s">
        <v>500</v>
      </c>
      <c r="D100" s="33" t="s">
        <v>537</v>
      </c>
      <c r="E100" s="174">
        <v>20</v>
      </c>
      <c r="F100" s="174">
        <f t="shared" si="4"/>
        <v>990</v>
      </c>
      <c r="G100" s="175" t="s">
        <v>502</v>
      </c>
      <c r="H100" s="33" t="s">
        <v>1788</v>
      </c>
      <c r="I100" s="208"/>
      <c r="J100" s="208"/>
      <c r="K100" s="208"/>
      <c r="L100" s="208"/>
      <c r="M100" s="208"/>
      <c r="N100" s="208"/>
      <c r="O100" s="208"/>
      <c r="P100" s="208"/>
      <c r="Q100" s="208"/>
      <c r="R100" s="208"/>
      <c r="S100" s="208"/>
      <c r="T100" s="208"/>
      <c r="U100" s="208"/>
      <c r="V100" s="208"/>
      <c r="W100" s="208"/>
      <c r="X100" s="208"/>
      <c r="Y100" s="208"/>
      <c r="Z100" s="208"/>
      <c r="AA100" s="208"/>
      <c r="AB100" s="208"/>
      <c r="AC100" s="208"/>
      <c r="AD100" s="208"/>
      <c r="AE100" s="208"/>
    </row>
    <row r="101" spans="1:31" ht="18" customHeight="1">
      <c r="A101" s="30">
        <f t="shared" si="3"/>
        <v>95</v>
      </c>
      <c r="B101" s="34">
        <v>45128</v>
      </c>
      <c r="C101" s="33" t="s">
        <v>500</v>
      </c>
      <c r="D101" s="33" t="s">
        <v>1720</v>
      </c>
      <c r="E101" s="174">
        <v>5</v>
      </c>
      <c r="F101" s="174">
        <f t="shared" si="4"/>
        <v>995</v>
      </c>
      <c r="G101" s="175" t="s">
        <v>502</v>
      </c>
      <c r="H101" s="33"/>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8"/>
      <c r="AE101" s="208"/>
    </row>
    <row r="102" spans="1:31" ht="18" customHeight="1">
      <c r="A102" s="30">
        <f t="shared" si="3"/>
        <v>96</v>
      </c>
      <c r="B102" s="34">
        <v>45128</v>
      </c>
      <c r="C102" s="33" t="s">
        <v>497</v>
      </c>
      <c r="D102" s="33" t="s">
        <v>555</v>
      </c>
      <c r="E102" s="174">
        <v>5</v>
      </c>
      <c r="F102" s="174">
        <f t="shared" si="4"/>
        <v>1000</v>
      </c>
      <c r="G102" s="175" t="s">
        <v>506</v>
      </c>
      <c r="H102" s="33"/>
      <c r="I102" s="208"/>
      <c r="J102" s="208"/>
      <c r="K102" s="208"/>
      <c r="L102" s="208"/>
      <c r="M102" s="208"/>
      <c r="N102" s="208"/>
      <c r="O102" s="208"/>
      <c r="P102" s="208"/>
      <c r="Q102" s="208"/>
      <c r="R102" s="208"/>
      <c r="S102" s="208"/>
      <c r="T102" s="208"/>
      <c r="U102" s="208"/>
      <c r="V102" s="208"/>
      <c r="W102" s="208"/>
      <c r="X102" s="208"/>
      <c r="Y102" s="208"/>
      <c r="Z102" s="208"/>
      <c r="AA102" s="208"/>
      <c r="AB102" s="208"/>
      <c r="AC102" s="208"/>
      <c r="AD102" s="208"/>
      <c r="AE102" s="208"/>
    </row>
    <row r="103" spans="1:31" ht="18" customHeight="1">
      <c r="A103" s="30">
        <f t="shared" si="3"/>
        <v>97</v>
      </c>
      <c r="B103" s="34">
        <v>45128</v>
      </c>
      <c r="C103" s="33" t="s">
        <v>497</v>
      </c>
      <c r="D103" s="33" t="s">
        <v>552</v>
      </c>
      <c r="E103" s="174">
        <v>5</v>
      </c>
      <c r="F103" s="174">
        <f t="shared" si="4"/>
        <v>1005</v>
      </c>
      <c r="G103" s="175" t="s">
        <v>506</v>
      </c>
      <c r="H103" s="33"/>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8"/>
      <c r="AE103" s="208"/>
    </row>
    <row r="104" spans="1:31" ht="18" customHeight="1">
      <c r="A104" s="30">
        <f t="shared" si="3"/>
        <v>98</v>
      </c>
      <c r="B104" s="34">
        <v>45128</v>
      </c>
      <c r="C104" s="33" t="s">
        <v>500</v>
      </c>
      <c r="D104" s="33" t="s">
        <v>582</v>
      </c>
      <c r="E104" s="174">
        <v>5</v>
      </c>
      <c r="F104" s="174">
        <f t="shared" si="4"/>
        <v>1010</v>
      </c>
      <c r="G104" s="175" t="s">
        <v>506</v>
      </c>
      <c r="H104" s="33"/>
      <c r="I104" s="208"/>
      <c r="J104" s="208"/>
      <c r="K104" s="208"/>
      <c r="L104" s="208"/>
      <c r="M104" s="208"/>
      <c r="N104" s="208"/>
      <c r="O104" s="208"/>
      <c r="P104" s="208"/>
      <c r="Q104" s="208"/>
      <c r="R104" s="208"/>
      <c r="S104" s="208"/>
      <c r="T104" s="208"/>
      <c r="U104" s="208"/>
      <c r="V104" s="208"/>
      <c r="W104" s="208"/>
      <c r="X104" s="208"/>
      <c r="Y104" s="208"/>
      <c r="Z104" s="208"/>
      <c r="AA104" s="208"/>
      <c r="AB104" s="208"/>
      <c r="AC104" s="208"/>
      <c r="AD104" s="208"/>
      <c r="AE104" s="208"/>
    </row>
    <row r="105" spans="1:31" ht="18" customHeight="1">
      <c r="A105" s="30">
        <f t="shared" si="3"/>
        <v>99</v>
      </c>
      <c r="B105" s="34">
        <v>45128</v>
      </c>
      <c r="C105" s="33" t="s">
        <v>497</v>
      </c>
      <c r="D105" s="33" t="s">
        <v>1725</v>
      </c>
      <c r="E105" s="174">
        <v>10</v>
      </c>
      <c r="F105" s="174">
        <f t="shared" si="4"/>
        <v>1020</v>
      </c>
      <c r="G105" s="175" t="s">
        <v>506</v>
      </c>
      <c r="H105" s="33"/>
      <c r="I105" s="208"/>
      <c r="J105" s="208"/>
      <c r="K105" s="208"/>
      <c r="L105" s="208"/>
      <c r="M105" s="208"/>
      <c r="N105" s="208"/>
      <c r="O105" s="208"/>
      <c r="P105" s="208"/>
      <c r="Q105" s="208"/>
      <c r="R105" s="208"/>
      <c r="S105" s="208"/>
      <c r="T105" s="208"/>
      <c r="U105" s="208"/>
      <c r="V105" s="208"/>
      <c r="W105" s="208"/>
      <c r="X105" s="208"/>
      <c r="Y105" s="208"/>
      <c r="Z105" s="208"/>
      <c r="AA105" s="208"/>
      <c r="AB105" s="208"/>
      <c r="AC105" s="208"/>
      <c r="AD105" s="208"/>
      <c r="AE105" s="208"/>
    </row>
    <row r="106" spans="1:31" ht="18" customHeight="1">
      <c r="A106" s="30">
        <f t="shared" si="3"/>
        <v>100</v>
      </c>
      <c r="B106" s="34">
        <v>45128</v>
      </c>
      <c r="C106" s="33" t="s">
        <v>497</v>
      </c>
      <c r="D106" s="33" t="s">
        <v>1726</v>
      </c>
      <c r="E106" s="174">
        <v>5</v>
      </c>
      <c r="F106" s="174">
        <f t="shared" si="4"/>
        <v>1025</v>
      </c>
      <c r="G106" s="175" t="s">
        <v>506</v>
      </c>
      <c r="H106" s="33"/>
      <c r="I106" s="208"/>
      <c r="J106" s="208"/>
      <c r="K106" s="208"/>
      <c r="L106" s="208"/>
      <c r="M106" s="208"/>
      <c r="N106" s="208"/>
      <c r="O106" s="208"/>
      <c r="P106" s="208"/>
      <c r="Q106" s="208"/>
      <c r="R106" s="208"/>
      <c r="S106" s="208"/>
      <c r="T106" s="208"/>
      <c r="U106" s="208"/>
      <c r="V106" s="208"/>
      <c r="W106" s="208"/>
      <c r="X106" s="208"/>
      <c r="Y106" s="208"/>
      <c r="Z106" s="208"/>
      <c r="AA106" s="208"/>
      <c r="AB106" s="208"/>
      <c r="AC106" s="208"/>
      <c r="AD106" s="208"/>
      <c r="AE106" s="208"/>
    </row>
    <row r="107" spans="1:31" ht="18" customHeight="1">
      <c r="A107" s="30">
        <f t="shared" si="3"/>
        <v>101</v>
      </c>
      <c r="B107" s="34">
        <v>45128</v>
      </c>
      <c r="C107" s="33" t="s">
        <v>497</v>
      </c>
      <c r="D107" s="33" t="s">
        <v>1727</v>
      </c>
      <c r="E107" s="174">
        <v>3</v>
      </c>
      <c r="F107" s="174">
        <f t="shared" si="4"/>
        <v>1028</v>
      </c>
      <c r="G107" s="175" t="s">
        <v>506</v>
      </c>
      <c r="H107" s="33"/>
      <c r="I107" s="208"/>
      <c r="J107" s="208"/>
      <c r="K107" s="208"/>
      <c r="L107" s="208"/>
      <c r="M107" s="208"/>
      <c r="N107" s="208"/>
      <c r="O107" s="208"/>
      <c r="P107" s="208"/>
      <c r="Q107" s="208"/>
      <c r="R107" s="208"/>
      <c r="S107" s="208"/>
      <c r="T107" s="208"/>
      <c r="U107" s="208"/>
      <c r="V107" s="208"/>
      <c r="W107" s="208"/>
      <c r="X107" s="208"/>
      <c r="Y107" s="208"/>
      <c r="Z107" s="208"/>
      <c r="AA107" s="208"/>
      <c r="AB107" s="208"/>
      <c r="AC107" s="208"/>
      <c r="AD107" s="208"/>
      <c r="AE107" s="208"/>
    </row>
    <row r="108" spans="1:31" ht="18" customHeight="1">
      <c r="A108" s="30">
        <f t="shared" si="3"/>
        <v>102</v>
      </c>
      <c r="B108" s="34">
        <v>45129</v>
      </c>
      <c r="C108" s="33" t="s">
        <v>497</v>
      </c>
      <c r="D108" s="33" t="s">
        <v>514</v>
      </c>
      <c r="E108" s="174">
        <v>10</v>
      </c>
      <c r="F108" s="174">
        <f t="shared" si="4"/>
        <v>1038</v>
      </c>
      <c r="G108" s="175" t="s">
        <v>1696</v>
      </c>
      <c r="H108" s="33"/>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row>
    <row r="109" spans="1:31" ht="18" customHeight="1">
      <c r="A109" s="30">
        <f t="shared" si="3"/>
        <v>103</v>
      </c>
      <c r="B109" s="34">
        <v>45130</v>
      </c>
      <c r="C109" s="33" t="s">
        <v>534</v>
      </c>
      <c r="D109" s="33" t="s">
        <v>1724</v>
      </c>
      <c r="E109" s="174">
        <v>5</v>
      </c>
      <c r="F109" s="174">
        <f t="shared" si="4"/>
        <v>1043</v>
      </c>
      <c r="G109" s="175" t="s">
        <v>506</v>
      </c>
      <c r="H109" s="33"/>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208"/>
    </row>
    <row r="110" spans="1:31" ht="18" customHeight="1">
      <c r="A110" s="30">
        <f t="shared" si="3"/>
        <v>104</v>
      </c>
      <c r="B110" s="34">
        <v>45131</v>
      </c>
      <c r="C110" s="33" t="s">
        <v>518</v>
      </c>
      <c r="D110" s="33" t="s">
        <v>753</v>
      </c>
      <c r="E110" s="174">
        <v>5</v>
      </c>
      <c r="F110" s="174">
        <f t="shared" si="4"/>
        <v>1048</v>
      </c>
      <c r="G110" s="175" t="s">
        <v>506</v>
      </c>
      <c r="H110" s="33"/>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208"/>
    </row>
    <row r="111" spans="1:31" ht="18" customHeight="1">
      <c r="A111" s="30">
        <f t="shared" si="3"/>
        <v>105</v>
      </c>
      <c r="B111" s="34">
        <v>45131</v>
      </c>
      <c r="C111" s="33" t="s">
        <v>497</v>
      </c>
      <c r="D111" s="33" t="s">
        <v>1723</v>
      </c>
      <c r="E111" s="174">
        <v>5</v>
      </c>
      <c r="F111" s="174">
        <f t="shared" si="4"/>
        <v>1053</v>
      </c>
      <c r="G111" s="175" t="s">
        <v>506</v>
      </c>
      <c r="H111" s="33"/>
      <c r="I111" s="208"/>
      <c r="J111" s="208"/>
      <c r="K111" s="208"/>
      <c r="L111" s="208"/>
      <c r="M111" s="208"/>
      <c r="N111" s="208"/>
      <c r="O111" s="208"/>
      <c r="P111" s="208"/>
      <c r="Q111" s="208"/>
      <c r="R111" s="208"/>
      <c r="S111" s="208"/>
      <c r="T111" s="208"/>
      <c r="U111" s="208"/>
      <c r="V111" s="208"/>
      <c r="W111" s="208"/>
      <c r="X111" s="208"/>
      <c r="Y111" s="208"/>
      <c r="Z111" s="208"/>
      <c r="AA111" s="208"/>
      <c r="AB111" s="208"/>
      <c r="AC111" s="208"/>
      <c r="AD111" s="208"/>
      <c r="AE111" s="208"/>
    </row>
    <row r="112" spans="1:31">
      <c r="A112" s="210"/>
      <c r="B112" s="211"/>
      <c r="C112" s="211"/>
      <c r="D112" s="209"/>
      <c r="E112" s="212"/>
      <c r="F112" s="212"/>
      <c r="G112" s="213"/>
      <c r="H112" s="214"/>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row>
    <row r="113" spans="1:31">
      <c r="A113" s="210"/>
      <c r="B113" s="211"/>
      <c r="C113" s="211"/>
      <c r="D113" s="209"/>
      <c r="E113" s="212"/>
      <c r="F113" s="212"/>
      <c r="G113" s="213"/>
      <c r="H113" s="214"/>
      <c r="I113" s="208"/>
      <c r="J113" s="208"/>
      <c r="K113" s="208"/>
      <c r="L113" s="208"/>
      <c r="M113" s="208"/>
      <c r="N113" s="208"/>
      <c r="O113" s="208"/>
      <c r="P113" s="208"/>
      <c r="Q113" s="208"/>
      <c r="R113" s="208"/>
      <c r="S113" s="208"/>
      <c r="T113" s="208"/>
      <c r="U113" s="208"/>
      <c r="V113" s="208"/>
      <c r="W113" s="208"/>
      <c r="X113" s="208"/>
      <c r="Y113" s="208"/>
      <c r="Z113" s="208"/>
      <c r="AA113" s="208"/>
      <c r="AB113" s="208"/>
      <c r="AC113" s="208"/>
      <c r="AD113" s="208"/>
      <c r="AE113" s="208"/>
    </row>
    <row r="114" spans="1:31">
      <c r="A114" s="210"/>
      <c r="B114" s="211"/>
      <c r="C114" s="211"/>
      <c r="D114" s="209"/>
      <c r="E114" s="212"/>
      <c r="F114" s="212"/>
      <c r="G114" s="213"/>
      <c r="H114" s="214"/>
      <c r="I114" s="208"/>
      <c r="J114" s="208"/>
      <c r="K114" s="208"/>
      <c r="L114" s="208"/>
      <c r="M114" s="208"/>
      <c r="N114" s="208"/>
      <c r="O114" s="208"/>
      <c r="P114" s="208"/>
      <c r="Q114" s="208"/>
      <c r="R114" s="208"/>
      <c r="S114" s="208"/>
      <c r="T114" s="208"/>
      <c r="U114" s="208"/>
      <c r="V114" s="208"/>
      <c r="W114" s="208"/>
      <c r="X114" s="208"/>
      <c r="Y114" s="208"/>
      <c r="Z114" s="208"/>
      <c r="AA114" s="208"/>
      <c r="AB114" s="208"/>
      <c r="AC114" s="208"/>
      <c r="AD114" s="208"/>
      <c r="AE114" s="208"/>
    </row>
    <row r="115" spans="1:31">
      <c r="A115" s="210"/>
      <c r="B115" s="211"/>
      <c r="C115" s="211"/>
      <c r="D115" s="209"/>
      <c r="E115" s="212"/>
      <c r="F115" s="212"/>
      <c r="G115" s="213"/>
      <c r="H115" s="214"/>
      <c r="I115" s="208"/>
      <c r="J115" s="208"/>
      <c r="K115" s="208"/>
      <c r="L115" s="208"/>
      <c r="M115" s="208"/>
      <c r="N115" s="208"/>
      <c r="O115" s="208"/>
      <c r="P115" s="208"/>
      <c r="Q115" s="208"/>
      <c r="R115" s="208"/>
      <c r="S115" s="208"/>
      <c r="T115" s="208"/>
      <c r="U115" s="208"/>
      <c r="V115" s="208"/>
      <c r="W115" s="208"/>
      <c r="X115" s="208"/>
      <c r="Y115" s="208"/>
      <c r="Z115" s="208"/>
      <c r="AA115" s="208"/>
      <c r="AB115" s="208"/>
      <c r="AC115" s="208"/>
      <c r="AD115" s="208"/>
      <c r="AE115" s="208"/>
    </row>
    <row r="116" spans="1:31">
      <c r="A116" s="210"/>
      <c r="B116" s="211"/>
      <c r="C116" s="211"/>
      <c r="D116" s="209"/>
      <c r="E116" s="212"/>
      <c r="F116" s="212"/>
      <c r="G116" s="213"/>
      <c r="H116" s="214"/>
      <c r="I116" s="208"/>
      <c r="J116" s="208"/>
      <c r="K116" s="208"/>
      <c r="L116" s="208"/>
      <c r="M116" s="208"/>
      <c r="N116" s="208"/>
      <c r="O116" s="208"/>
      <c r="P116" s="208"/>
      <c r="Q116" s="208"/>
      <c r="R116" s="208"/>
      <c r="S116" s="208"/>
      <c r="T116" s="208"/>
      <c r="U116" s="208"/>
      <c r="V116" s="208"/>
      <c r="W116" s="208"/>
      <c r="X116" s="208"/>
      <c r="Y116" s="208"/>
      <c r="Z116" s="208"/>
      <c r="AA116" s="208"/>
      <c r="AB116" s="208"/>
      <c r="AC116" s="208"/>
      <c r="AD116" s="208"/>
      <c r="AE116" s="208"/>
    </row>
    <row r="117" spans="1:31">
      <c r="A117" s="210"/>
      <c r="B117" s="211"/>
      <c r="C117" s="211"/>
      <c r="D117" s="209"/>
      <c r="E117" s="212"/>
      <c r="F117" s="212"/>
      <c r="G117" s="213"/>
      <c r="H117" s="214"/>
      <c r="I117" s="208"/>
      <c r="J117" s="208"/>
      <c r="K117" s="208"/>
      <c r="L117" s="208"/>
      <c r="M117" s="208"/>
      <c r="N117" s="208"/>
      <c r="O117" s="208"/>
      <c r="P117" s="208"/>
      <c r="Q117" s="208"/>
      <c r="R117" s="208"/>
      <c r="S117" s="208"/>
      <c r="T117" s="208"/>
      <c r="U117" s="208"/>
      <c r="V117" s="208"/>
      <c r="W117" s="208"/>
      <c r="X117" s="208"/>
      <c r="Y117" s="208"/>
      <c r="Z117" s="208"/>
      <c r="AA117" s="208"/>
      <c r="AB117" s="208"/>
      <c r="AC117" s="208"/>
      <c r="AD117" s="208"/>
      <c r="AE117" s="208"/>
    </row>
    <row r="118" spans="1:31">
      <c r="A118" s="210"/>
      <c r="B118" s="211"/>
      <c r="C118" s="211"/>
      <c r="D118" s="209"/>
      <c r="E118" s="212"/>
      <c r="F118" s="212"/>
      <c r="G118" s="213"/>
      <c r="H118" s="214"/>
      <c r="I118" s="208"/>
      <c r="J118" s="208"/>
      <c r="K118" s="208"/>
      <c r="L118" s="208"/>
      <c r="M118" s="208"/>
      <c r="N118" s="208"/>
      <c r="O118" s="208"/>
      <c r="P118" s="208"/>
      <c r="Q118" s="208"/>
      <c r="R118" s="208"/>
      <c r="S118" s="208"/>
      <c r="T118" s="208"/>
      <c r="U118" s="208"/>
      <c r="V118" s="208"/>
      <c r="W118" s="208"/>
      <c r="X118" s="208"/>
      <c r="Y118" s="208"/>
      <c r="Z118" s="208"/>
      <c r="AA118" s="208"/>
      <c r="AB118" s="208"/>
      <c r="AC118" s="208"/>
      <c r="AD118" s="208"/>
      <c r="AE118" s="208"/>
    </row>
    <row r="119" spans="1:31">
      <c r="A119" s="210"/>
      <c r="B119" s="211"/>
      <c r="C119" s="211"/>
      <c r="D119" s="209"/>
      <c r="E119" s="212"/>
      <c r="F119" s="212"/>
      <c r="G119" s="213"/>
      <c r="H119" s="214"/>
      <c r="I119" s="208"/>
      <c r="J119" s="208"/>
      <c r="K119" s="208"/>
      <c r="L119" s="208"/>
      <c r="M119" s="208"/>
      <c r="N119" s="208"/>
      <c r="O119" s="208"/>
      <c r="P119" s="208"/>
      <c r="Q119" s="208"/>
      <c r="R119" s="208"/>
      <c r="S119" s="208"/>
      <c r="T119" s="208"/>
      <c r="U119" s="208"/>
      <c r="V119" s="208"/>
      <c r="W119" s="208"/>
      <c r="X119" s="208"/>
      <c r="Y119" s="208"/>
      <c r="Z119" s="208"/>
      <c r="AA119" s="208"/>
      <c r="AB119" s="208"/>
      <c r="AC119" s="208"/>
      <c r="AD119" s="208"/>
      <c r="AE119" s="208"/>
    </row>
    <row r="120" spans="1:31">
      <c r="A120" s="210"/>
      <c r="B120" s="211"/>
      <c r="C120" s="211"/>
      <c r="D120" s="209"/>
      <c r="E120" s="212"/>
      <c r="F120" s="212"/>
      <c r="G120" s="213"/>
      <c r="H120" s="214"/>
      <c r="I120" s="208"/>
      <c r="J120" s="208"/>
      <c r="K120" s="208"/>
      <c r="L120" s="208"/>
      <c r="M120" s="208"/>
      <c r="N120" s="208"/>
      <c r="O120" s="208"/>
      <c r="P120" s="208"/>
      <c r="Q120" s="208"/>
      <c r="R120" s="208"/>
      <c r="S120" s="208"/>
      <c r="T120" s="208"/>
      <c r="U120" s="208"/>
      <c r="V120" s="208"/>
      <c r="W120" s="208"/>
      <c r="X120" s="208"/>
      <c r="Y120" s="208"/>
      <c r="Z120" s="208"/>
      <c r="AA120" s="208"/>
      <c r="AB120" s="208"/>
      <c r="AC120" s="208"/>
      <c r="AD120" s="208"/>
      <c r="AE120" s="208"/>
    </row>
    <row r="121" spans="1:31">
      <c r="A121" s="210"/>
      <c r="B121" s="211"/>
      <c r="C121" s="211"/>
      <c r="D121" s="209"/>
      <c r="E121" s="212"/>
      <c r="F121" s="212"/>
      <c r="G121" s="213"/>
      <c r="H121" s="214"/>
      <c r="I121" s="208"/>
      <c r="J121" s="208"/>
      <c r="K121" s="208"/>
      <c r="L121" s="208"/>
      <c r="M121" s="208"/>
      <c r="N121" s="208"/>
      <c r="O121" s="208"/>
      <c r="P121" s="208"/>
      <c r="Q121" s="208"/>
      <c r="R121" s="208"/>
      <c r="S121" s="208"/>
      <c r="T121" s="208"/>
      <c r="U121" s="208"/>
      <c r="V121" s="208"/>
      <c r="W121" s="208"/>
      <c r="X121" s="208"/>
      <c r="Y121" s="208"/>
      <c r="Z121" s="208"/>
      <c r="AA121" s="208"/>
      <c r="AB121" s="208"/>
      <c r="AC121" s="208"/>
      <c r="AD121" s="208"/>
      <c r="AE121" s="208"/>
    </row>
    <row r="122" spans="1:31">
      <c r="A122" s="210"/>
      <c r="B122" s="211"/>
      <c r="C122" s="211"/>
      <c r="D122" s="209"/>
      <c r="E122" s="212"/>
      <c r="F122" s="212"/>
      <c r="G122" s="213"/>
      <c r="H122" s="214"/>
      <c r="I122" s="208"/>
      <c r="J122" s="208"/>
      <c r="K122" s="208"/>
      <c r="L122" s="208"/>
      <c r="M122" s="208"/>
      <c r="N122" s="208"/>
      <c r="O122" s="208"/>
      <c r="P122" s="208"/>
      <c r="Q122" s="208"/>
      <c r="R122" s="208"/>
      <c r="S122" s="208"/>
      <c r="T122" s="208"/>
      <c r="U122" s="208"/>
      <c r="V122" s="208"/>
      <c r="W122" s="208"/>
      <c r="X122" s="208"/>
      <c r="Y122" s="208"/>
      <c r="Z122" s="208"/>
      <c r="AA122" s="208"/>
      <c r="AB122" s="208"/>
      <c r="AC122" s="208"/>
      <c r="AD122" s="208"/>
      <c r="AE122" s="208"/>
    </row>
    <row r="123" spans="1:31">
      <c r="A123" s="210"/>
      <c r="B123" s="211"/>
      <c r="C123" s="211"/>
      <c r="D123" s="209"/>
      <c r="E123" s="212"/>
      <c r="F123" s="212"/>
      <c r="G123" s="213"/>
      <c r="H123" s="214"/>
      <c r="I123" s="208"/>
      <c r="J123" s="208"/>
      <c r="K123" s="208"/>
      <c r="L123" s="208"/>
      <c r="M123" s="208"/>
      <c r="N123" s="208"/>
      <c r="O123" s="208"/>
      <c r="P123" s="208"/>
      <c r="Q123" s="208"/>
      <c r="R123" s="208"/>
      <c r="S123" s="208"/>
      <c r="T123" s="208"/>
      <c r="U123" s="208"/>
      <c r="V123" s="208"/>
      <c r="W123" s="208"/>
      <c r="X123" s="208"/>
      <c r="Y123" s="208"/>
      <c r="Z123" s="208"/>
      <c r="AA123" s="208"/>
      <c r="AB123" s="208"/>
      <c r="AC123" s="208"/>
      <c r="AD123" s="208"/>
      <c r="AE123" s="208"/>
    </row>
    <row r="124" spans="1:31">
      <c r="A124" s="210"/>
      <c r="B124" s="211"/>
      <c r="C124" s="211"/>
      <c r="D124" s="209"/>
      <c r="E124" s="212"/>
      <c r="F124" s="212"/>
      <c r="G124" s="213"/>
      <c r="H124" s="214"/>
      <c r="I124" s="208"/>
      <c r="J124" s="208"/>
      <c r="K124" s="208"/>
      <c r="L124" s="208"/>
      <c r="M124" s="208"/>
      <c r="N124" s="208"/>
      <c r="O124" s="208"/>
      <c r="P124" s="208"/>
      <c r="Q124" s="208"/>
      <c r="R124" s="208"/>
      <c r="S124" s="208"/>
      <c r="T124" s="208"/>
      <c r="U124" s="208"/>
      <c r="V124" s="208"/>
      <c r="W124" s="208"/>
      <c r="X124" s="208"/>
      <c r="Y124" s="208"/>
      <c r="Z124" s="208"/>
      <c r="AA124" s="208"/>
      <c r="AB124" s="208"/>
      <c r="AC124" s="208"/>
      <c r="AD124" s="208"/>
      <c r="AE124" s="208"/>
    </row>
    <row r="125" spans="1:31">
      <c r="A125" s="210"/>
      <c r="B125" s="211"/>
      <c r="C125" s="211"/>
      <c r="D125" s="209"/>
      <c r="E125" s="212"/>
      <c r="F125" s="212"/>
      <c r="G125" s="213"/>
      <c r="H125" s="214"/>
      <c r="I125" s="208"/>
      <c r="J125" s="208"/>
      <c r="K125" s="208"/>
      <c r="L125" s="208"/>
      <c r="M125" s="208"/>
      <c r="N125" s="208"/>
      <c r="O125" s="208"/>
      <c r="P125" s="208"/>
      <c r="Q125" s="208"/>
      <c r="R125" s="208"/>
      <c r="S125" s="208"/>
      <c r="T125" s="208"/>
      <c r="U125" s="208"/>
      <c r="V125" s="208"/>
      <c r="W125" s="208"/>
      <c r="X125" s="208"/>
      <c r="Y125" s="208"/>
      <c r="Z125" s="208"/>
      <c r="AA125" s="208"/>
      <c r="AB125" s="208"/>
      <c r="AC125" s="208"/>
      <c r="AD125" s="208"/>
      <c r="AE125" s="208"/>
    </row>
    <row r="126" spans="1:31">
      <c r="A126" s="210"/>
      <c r="B126" s="211"/>
      <c r="C126" s="211"/>
      <c r="D126" s="209"/>
      <c r="E126" s="212"/>
      <c r="F126" s="212"/>
      <c r="G126" s="213"/>
      <c r="H126" s="214"/>
      <c r="I126" s="208"/>
      <c r="J126" s="208"/>
      <c r="K126" s="208"/>
      <c r="L126" s="208"/>
      <c r="M126" s="208"/>
      <c r="N126" s="208"/>
      <c r="O126" s="208"/>
      <c r="P126" s="208"/>
      <c r="Q126" s="208"/>
      <c r="R126" s="208"/>
      <c r="S126" s="208"/>
      <c r="T126" s="208"/>
      <c r="U126" s="208"/>
      <c r="V126" s="208"/>
      <c r="W126" s="208"/>
      <c r="X126" s="208"/>
      <c r="Y126" s="208"/>
      <c r="Z126" s="208"/>
      <c r="AA126" s="208"/>
      <c r="AB126" s="208"/>
      <c r="AC126" s="208"/>
      <c r="AD126" s="208"/>
      <c r="AE126" s="208"/>
    </row>
    <row r="127" spans="1:31">
      <c r="A127" s="210"/>
      <c r="B127" s="211"/>
      <c r="C127" s="211"/>
      <c r="D127" s="209"/>
      <c r="E127" s="212"/>
      <c r="F127" s="212"/>
      <c r="G127" s="213"/>
      <c r="H127" s="214"/>
      <c r="I127" s="208"/>
      <c r="J127" s="208"/>
      <c r="K127" s="208"/>
      <c r="L127" s="208"/>
      <c r="M127" s="208"/>
      <c r="N127" s="208"/>
      <c r="O127" s="208"/>
      <c r="P127" s="208"/>
      <c r="Q127" s="208"/>
      <c r="R127" s="208"/>
      <c r="S127" s="208"/>
      <c r="T127" s="208"/>
      <c r="U127" s="208"/>
      <c r="V127" s="208"/>
      <c r="W127" s="208"/>
      <c r="X127" s="208"/>
      <c r="Y127" s="208"/>
      <c r="Z127" s="208"/>
      <c r="AA127" s="208"/>
      <c r="AB127" s="208"/>
      <c r="AC127" s="208"/>
      <c r="AD127" s="208"/>
      <c r="AE127" s="208"/>
    </row>
    <row r="128" spans="1:31">
      <c r="A128" s="210"/>
      <c r="B128" s="211"/>
      <c r="C128" s="211"/>
      <c r="D128" s="209"/>
      <c r="E128" s="212"/>
      <c r="F128" s="212"/>
      <c r="G128" s="213"/>
      <c r="H128" s="214"/>
      <c r="I128" s="208"/>
      <c r="J128" s="208"/>
      <c r="K128" s="208"/>
      <c r="L128" s="208"/>
      <c r="M128" s="208"/>
      <c r="N128" s="208"/>
      <c r="O128" s="208"/>
      <c r="P128" s="208"/>
      <c r="Q128" s="208"/>
      <c r="R128" s="208"/>
      <c r="S128" s="208"/>
      <c r="T128" s="208"/>
      <c r="U128" s="208"/>
      <c r="V128" s="208"/>
      <c r="W128" s="208"/>
      <c r="X128" s="208"/>
      <c r="Y128" s="208"/>
      <c r="Z128" s="208"/>
      <c r="AA128" s="208"/>
      <c r="AB128" s="208"/>
      <c r="AC128" s="208"/>
      <c r="AD128" s="208"/>
      <c r="AE128" s="208"/>
    </row>
    <row r="129" spans="1:31">
      <c r="A129" s="210"/>
      <c r="B129" s="211"/>
      <c r="C129" s="211"/>
      <c r="D129" s="209"/>
      <c r="E129" s="212"/>
      <c r="F129" s="212"/>
      <c r="G129" s="213"/>
      <c r="H129" s="214"/>
      <c r="I129" s="208"/>
      <c r="J129" s="208"/>
      <c r="K129" s="208"/>
      <c r="L129" s="208"/>
      <c r="M129" s="208"/>
      <c r="N129" s="208"/>
      <c r="O129" s="208"/>
      <c r="P129" s="208"/>
      <c r="Q129" s="208"/>
      <c r="R129" s="208"/>
      <c r="S129" s="208"/>
      <c r="T129" s="208"/>
      <c r="U129" s="208"/>
      <c r="V129" s="208"/>
      <c r="W129" s="208"/>
      <c r="X129" s="208"/>
      <c r="Y129" s="208"/>
      <c r="Z129" s="208"/>
      <c r="AA129" s="208"/>
      <c r="AB129" s="208"/>
      <c r="AC129" s="208"/>
      <c r="AD129" s="208"/>
      <c r="AE129" s="208"/>
    </row>
    <row r="130" spans="1:31">
      <c r="A130" s="210"/>
      <c r="B130" s="211"/>
      <c r="C130" s="211"/>
      <c r="D130" s="209"/>
      <c r="E130" s="212"/>
      <c r="F130" s="212"/>
      <c r="G130" s="213"/>
      <c r="H130" s="214"/>
      <c r="I130" s="208"/>
      <c r="J130" s="208"/>
      <c r="K130" s="208"/>
      <c r="L130" s="208"/>
      <c r="M130" s="208"/>
      <c r="N130" s="208"/>
      <c r="O130" s="208"/>
      <c r="P130" s="208"/>
      <c r="Q130" s="208"/>
      <c r="R130" s="208"/>
      <c r="S130" s="208"/>
      <c r="T130" s="208"/>
      <c r="U130" s="208"/>
      <c r="V130" s="208"/>
      <c r="W130" s="208"/>
      <c r="X130" s="208"/>
      <c r="Y130" s="208"/>
      <c r="Z130" s="208"/>
      <c r="AA130" s="208"/>
      <c r="AB130" s="208"/>
      <c r="AC130" s="208"/>
      <c r="AD130" s="208"/>
      <c r="AE130" s="208"/>
    </row>
    <row r="131" spans="1:31">
      <c r="A131" s="210"/>
      <c r="B131" s="211"/>
      <c r="C131" s="211"/>
      <c r="D131" s="209"/>
      <c r="E131" s="212"/>
      <c r="F131" s="212"/>
      <c r="G131" s="213"/>
      <c r="H131" s="214"/>
      <c r="I131" s="208"/>
      <c r="J131" s="208"/>
      <c r="K131" s="208"/>
      <c r="L131" s="208"/>
      <c r="M131" s="208"/>
      <c r="N131" s="208"/>
      <c r="O131" s="208"/>
      <c r="P131" s="208"/>
      <c r="Q131" s="208"/>
      <c r="R131" s="208"/>
      <c r="S131" s="208"/>
      <c r="T131" s="208"/>
      <c r="U131" s="208"/>
      <c r="V131" s="208"/>
      <c r="W131" s="208"/>
      <c r="X131" s="208"/>
      <c r="Y131" s="208"/>
      <c r="Z131" s="208"/>
      <c r="AA131" s="208"/>
      <c r="AB131" s="208"/>
      <c r="AC131" s="208"/>
      <c r="AD131" s="208"/>
      <c r="AE131" s="208"/>
    </row>
    <row r="132" spans="1:31">
      <c r="A132" s="210"/>
      <c r="B132" s="211"/>
      <c r="C132" s="211"/>
      <c r="D132" s="209"/>
      <c r="E132" s="212"/>
      <c r="F132" s="212"/>
      <c r="G132" s="213"/>
      <c r="H132" s="214"/>
      <c r="I132" s="208"/>
      <c r="J132" s="208"/>
      <c r="K132" s="208"/>
      <c r="L132" s="208"/>
      <c r="M132" s="208"/>
      <c r="N132" s="208"/>
      <c r="O132" s="208"/>
      <c r="P132" s="208"/>
      <c r="Q132" s="208"/>
      <c r="R132" s="208"/>
      <c r="S132" s="208"/>
      <c r="T132" s="208"/>
      <c r="U132" s="208"/>
      <c r="V132" s="208"/>
      <c r="W132" s="208"/>
      <c r="X132" s="208"/>
      <c r="Y132" s="208"/>
      <c r="Z132" s="208"/>
      <c r="AA132" s="208"/>
      <c r="AB132" s="208"/>
      <c r="AC132" s="208"/>
      <c r="AD132" s="208"/>
      <c r="AE132" s="208"/>
    </row>
    <row r="133" spans="1:31">
      <c r="A133" s="210"/>
      <c r="B133" s="211"/>
      <c r="C133" s="211"/>
      <c r="D133" s="209"/>
      <c r="E133" s="212"/>
      <c r="F133" s="212"/>
      <c r="G133" s="213"/>
      <c r="H133" s="214"/>
      <c r="I133" s="208"/>
      <c r="J133" s="208"/>
      <c r="K133" s="208"/>
      <c r="L133" s="208"/>
      <c r="M133" s="208"/>
      <c r="N133" s="208"/>
      <c r="O133" s="208"/>
      <c r="P133" s="208"/>
      <c r="Q133" s="208"/>
      <c r="R133" s="208"/>
      <c r="S133" s="208"/>
      <c r="T133" s="208"/>
      <c r="U133" s="208"/>
      <c r="V133" s="208"/>
      <c r="W133" s="208"/>
      <c r="X133" s="208"/>
      <c r="Y133" s="208"/>
      <c r="Z133" s="208"/>
      <c r="AA133" s="208"/>
      <c r="AB133" s="208"/>
      <c r="AC133" s="208"/>
      <c r="AD133" s="208"/>
      <c r="AE133" s="208"/>
    </row>
    <row r="134" spans="1:31">
      <c r="A134" s="210"/>
      <c r="B134" s="211"/>
      <c r="C134" s="211"/>
      <c r="D134" s="209"/>
      <c r="E134" s="212"/>
      <c r="F134" s="212"/>
      <c r="G134" s="213"/>
      <c r="H134" s="214"/>
      <c r="I134" s="208"/>
      <c r="J134" s="208"/>
      <c r="K134" s="208"/>
      <c r="L134" s="208"/>
      <c r="M134" s="208"/>
      <c r="N134" s="208"/>
      <c r="O134" s="208"/>
      <c r="P134" s="208"/>
      <c r="Q134" s="208"/>
      <c r="R134" s="208"/>
      <c r="S134" s="208"/>
      <c r="T134" s="208"/>
      <c r="U134" s="208"/>
      <c r="V134" s="208"/>
      <c r="W134" s="208"/>
      <c r="X134" s="208"/>
      <c r="Y134" s="208"/>
      <c r="Z134" s="208"/>
      <c r="AA134" s="208"/>
      <c r="AB134" s="208"/>
      <c r="AC134" s="208"/>
      <c r="AD134" s="208"/>
      <c r="AE134" s="208"/>
    </row>
    <row r="135" spans="1:31">
      <c r="A135" s="210"/>
      <c r="B135" s="211"/>
      <c r="C135" s="211"/>
      <c r="D135" s="209"/>
      <c r="E135" s="212"/>
      <c r="F135" s="212"/>
      <c r="G135" s="213"/>
      <c r="H135" s="214"/>
      <c r="I135" s="208"/>
      <c r="J135" s="208"/>
      <c r="K135" s="208"/>
      <c r="L135" s="208"/>
      <c r="M135" s="208"/>
      <c r="N135" s="208"/>
      <c r="O135" s="208"/>
      <c r="P135" s="208"/>
      <c r="Q135" s="208"/>
      <c r="R135" s="208"/>
      <c r="S135" s="208"/>
      <c r="T135" s="208"/>
      <c r="U135" s="208"/>
      <c r="V135" s="208"/>
      <c r="W135" s="208"/>
      <c r="X135" s="208"/>
      <c r="Y135" s="208"/>
      <c r="Z135" s="208"/>
      <c r="AA135" s="208"/>
      <c r="AB135" s="208"/>
      <c r="AC135" s="208"/>
      <c r="AD135" s="208"/>
      <c r="AE135" s="208"/>
    </row>
    <row r="136" spans="1:31">
      <c r="A136" s="210"/>
      <c r="B136" s="211"/>
      <c r="C136" s="211"/>
      <c r="D136" s="209"/>
      <c r="E136" s="212"/>
      <c r="F136" s="212"/>
      <c r="G136" s="213"/>
      <c r="H136" s="214"/>
      <c r="I136" s="208"/>
      <c r="J136" s="208"/>
      <c r="K136" s="208"/>
      <c r="L136" s="208"/>
      <c r="M136" s="208"/>
      <c r="N136" s="208"/>
      <c r="O136" s="208"/>
      <c r="P136" s="208"/>
      <c r="Q136" s="208"/>
      <c r="R136" s="208"/>
      <c r="S136" s="208"/>
      <c r="T136" s="208"/>
      <c r="U136" s="208"/>
      <c r="V136" s="208"/>
      <c r="W136" s="208"/>
      <c r="X136" s="208"/>
      <c r="Y136" s="208"/>
      <c r="Z136" s="208"/>
      <c r="AA136" s="208"/>
      <c r="AB136" s="208"/>
      <c r="AC136" s="208"/>
      <c r="AD136" s="208"/>
      <c r="AE136" s="208"/>
    </row>
    <row r="137" spans="1:31">
      <c r="A137" s="210"/>
      <c r="B137" s="211"/>
      <c r="C137" s="211"/>
      <c r="D137" s="209"/>
      <c r="E137" s="212"/>
      <c r="F137" s="212"/>
      <c r="G137" s="213"/>
      <c r="H137" s="214"/>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8"/>
      <c r="AE137" s="208"/>
    </row>
    <row r="138" spans="1:31">
      <c r="A138" s="210"/>
      <c r="B138" s="211"/>
      <c r="C138" s="211"/>
      <c r="D138" s="209"/>
      <c r="E138" s="212"/>
      <c r="F138" s="212"/>
      <c r="G138" s="213"/>
      <c r="H138" s="214"/>
      <c r="I138" s="208"/>
      <c r="J138" s="208"/>
      <c r="K138" s="208"/>
      <c r="L138" s="208"/>
      <c r="M138" s="208"/>
      <c r="N138" s="208"/>
      <c r="O138" s="208"/>
      <c r="P138" s="208"/>
      <c r="Q138" s="208"/>
      <c r="R138" s="208"/>
      <c r="S138" s="208"/>
      <c r="T138" s="208"/>
      <c r="U138" s="208"/>
      <c r="V138" s="208"/>
      <c r="W138" s="208"/>
      <c r="X138" s="208"/>
      <c r="Y138" s="208"/>
      <c r="Z138" s="208"/>
      <c r="AA138" s="208"/>
      <c r="AB138" s="208"/>
      <c r="AC138" s="208"/>
      <c r="AD138" s="208"/>
      <c r="AE138" s="208"/>
    </row>
    <row r="139" spans="1:31">
      <c r="A139" s="210"/>
      <c r="B139" s="211"/>
      <c r="C139" s="211"/>
      <c r="D139" s="209"/>
      <c r="E139" s="212"/>
      <c r="F139" s="212"/>
      <c r="G139" s="213"/>
      <c r="H139" s="214"/>
      <c r="I139" s="208"/>
      <c r="J139" s="208"/>
      <c r="K139" s="208"/>
      <c r="L139" s="208"/>
      <c r="M139" s="208"/>
      <c r="N139" s="208"/>
      <c r="O139" s="208"/>
      <c r="P139" s="208"/>
      <c r="Q139" s="208"/>
      <c r="R139" s="208"/>
      <c r="S139" s="208"/>
      <c r="T139" s="208"/>
      <c r="U139" s="208"/>
      <c r="V139" s="208"/>
      <c r="W139" s="208"/>
      <c r="X139" s="208"/>
      <c r="Y139" s="208"/>
      <c r="Z139" s="208"/>
      <c r="AA139" s="208"/>
      <c r="AB139" s="208"/>
      <c r="AC139" s="208"/>
      <c r="AD139" s="208"/>
      <c r="AE139" s="208"/>
    </row>
    <row r="140" spans="1:31">
      <c r="A140" s="210"/>
      <c r="B140" s="211"/>
      <c r="C140" s="211"/>
      <c r="D140" s="209"/>
      <c r="E140" s="212"/>
      <c r="F140" s="212"/>
      <c r="G140" s="213"/>
      <c r="H140" s="214"/>
      <c r="I140" s="208"/>
      <c r="J140" s="208"/>
      <c r="K140" s="208"/>
      <c r="L140" s="208"/>
      <c r="M140" s="208"/>
      <c r="N140" s="208"/>
      <c r="O140" s="208"/>
      <c r="P140" s="208"/>
      <c r="Q140" s="208"/>
      <c r="R140" s="208"/>
      <c r="S140" s="208"/>
      <c r="T140" s="208"/>
      <c r="U140" s="208"/>
      <c r="V140" s="208"/>
      <c r="W140" s="208"/>
      <c r="X140" s="208"/>
      <c r="Y140" s="208"/>
      <c r="Z140" s="208"/>
      <c r="AA140" s="208"/>
      <c r="AB140" s="208"/>
      <c r="AC140" s="208"/>
      <c r="AD140" s="208"/>
      <c r="AE140" s="208"/>
    </row>
    <row r="141" spans="1:31">
      <c r="A141" s="210"/>
      <c r="B141" s="211"/>
      <c r="C141" s="211"/>
      <c r="D141" s="209"/>
      <c r="E141" s="212"/>
      <c r="F141" s="212"/>
      <c r="G141" s="213"/>
      <c r="H141" s="214"/>
      <c r="I141" s="208"/>
      <c r="J141" s="208"/>
      <c r="K141" s="208"/>
      <c r="L141" s="208"/>
      <c r="M141" s="208"/>
      <c r="N141" s="208"/>
      <c r="O141" s="208"/>
      <c r="P141" s="208"/>
      <c r="Q141" s="208"/>
      <c r="R141" s="208"/>
      <c r="S141" s="208"/>
      <c r="T141" s="208"/>
      <c r="U141" s="208"/>
      <c r="V141" s="208"/>
      <c r="W141" s="208"/>
      <c r="X141" s="208"/>
      <c r="Y141" s="208"/>
      <c r="Z141" s="208"/>
      <c r="AA141" s="208"/>
      <c r="AB141" s="208"/>
      <c r="AC141" s="208"/>
      <c r="AD141" s="208"/>
      <c r="AE141" s="208"/>
    </row>
    <row r="142" spans="1:31">
      <c r="A142" s="210"/>
      <c r="B142" s="211"/>
      <c r="C142" s="211"/>
      <c r="D142" s="209"/>
      <c r="E142" s="212"/>
      <c r="F142" s="212"/>
      <c r="G142" s="213"/>
      <c r="H142" s="214"/>
      <c r="I142" s="208"/>
      <c r="J142" s="208"/>
      <c r="K142" s="208"/>
      <c r="L142" s="208"/>
      <c r="M142" s="208"/>
      <c r="N142" s="208"/>
      <c r="O142" s="208"/>
      <c r="P142" s="208"/>
      <c r="Q142" s="208"/>
      <c r="R142" s="208"/>
      <c r="S142" s="208"/>
      <c r="T142" s="208"/>
      <c r="U142" s="208"/>
      <c r="V142" s="208"/>
      <c r="W142" s="208"/>
      <c r="X142" s="208"/>
      <c r="Y142" s="208"/>
      <c r="Z142" s="208"/>
      <c r="AA142" s="208"/>
      <c r="AB142" s="208"/>
      <c r="AC142" s="208"/>
      <c r="AD142" s="208"/>
      <c r="AE142" s="208"/>
    </row>
    <row r="143" spans="1:31">
      <c r="A143" s="210"/>
      <c r="B143" s="211"/>
      <c r="C143" s="211"/>
      <c r="D143" s="209"/>
      <c r="E143" s="212"/>
      <c r="F143" s="212"/>
      <c r="G143" s="213"/>
      <c r="H143" s="214"/>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8"/>
      <c r="AE143" s="208"/>
    </row>
    <row r="144" spans="1:31">
      <c r="A144" s="210"/>
      <c r="B144" s="211"/>
      <c r="C144" s="211"/>
      <c r="D144" s="209"/>
      <c r="E144" s="212"/>
      <c r="F144" s="212"/>
      <c r="G144" s="213"/>
      <c r="H144" s="214"/>
      <c r="I144" s="208"/>
      <c r="J144" s="208"/>
      <c r="K144" s="208"/>
      <c r="L144" s="208"/>
      <c r="M144" s="208"/>
      <c r="N144" s="208"/>
      <c r="O144" s="208"/>
      <c r="P144" s="208"/>
      <c r="Q144" s="208"/>
      <c r="R144" s="208"/>
      <c r="S144" s="208"/>
      <c r="T144" s="208"/>
      <c r="U144" s="208"/>
      <c r="V144" s="208"/>
      <c r="W144" s="208"/>
      <c r="X144" s="208"/>
      <c r="Y144" s="208"/>
      <c r="Z144" s="208"/>
      <c r="AA144" s="208"/>
      <c r="AB144" s="208"/>
      <c r="AC144" s="208"/>
      <c r="AD144" s="208"/>
      <c r="AE144" s="208"/>
    </row>
    <row r="145" spans="1:31">
      <c r="A145" s="210"/>
      <c r="B145" s="211"/>
      <c r="C145" s="211"/>
      <c r="D145" s="209"/>
      <c r="E145" s="212"/>
      <c r="F145" s="212"/>
      <c r="G145" s="213"/>
      <c r="H145" s="214"/>
      <c r="I145" s="208"/>
      <c r="J145" s="208"/>
      <c r="K145" s="208"/>
      <c r="L145" s="208"/>
      <c r="M145" s="208"/>
      <c r="N145" s="208"/>
      <c r="O145" s="208"/>
      <c r="P145" s="208"/>
      <c r="Q145" s="208"/>
      <c r="R145" s="208"/>
      <c r="S145" s="208"/>
      <c r="T145" s="208"/>
      <c r="U145" s="208"/>
      <c r="V145" s="208"/>
      <c r="W145" s="208"/>
      <c r="X145" s="208"/>
      <c r="Y145" s="208"/>
      <c r="Z145" s="208"/>
      <c r="AA145" s="208"/>
      <c r="AB145" s="208"/>
      <c r="AC145" s="208"/>
      <c r="AD145" s="208"/>
      <c r="AE145" s="208"/>
    </row>
    <row r="146" spans="1:31">
      <c r="A146" s="210"/>
      <c r="B146" s="211"/>
      <c r="C146" s="211"/>
      <c r="D146" s="209"/>
      <c r="E146" s="212"/>
      <c r="F146" s="212"/>
      <c r="G146" s="213"/>
      <c r="H146" s="214"/>
      <c r="I146" s="208"/>
      <c r="J146" s="208"/>
      <c r="K146" s="208"/>
      <c r="L146" s="208"/>
      <c r="M146" s="208"/>
      <c r="N146" s="208"/>
      <c r="O146" s="208"/>
      <c r="P146" s="208"/>
      <c r="Q146" s="208"/>
      <c r="R146" s="208"/>
      <c r="S146" s="208"/>
      <c r="T146" s="208"/>
      <c r="U146" s="208"/>
      <c r="V146" s="208"/>
      <c r="W146" s="208"/>
      <c r="X146" s="208"/>
      <c r="Y146" s="208"/>
      <c r="Z146" s="208"/>
      <c r="AA146" s="208"/>
      <c r="AB146" s="208"/>
      <c r="AC146" s="208"/>
      <c r="AD146" s="208"/>
      <c r="AE146" s="208"/>
    </row>
    <row r="147" spans="1:31">
      <c r="A147" s="210"/>
      <c r="B147" s="211"/>
      <c r="C147" s="211"/>
      <c r="D147" s="209"/>
      <c r="E147" s="212"/>
      <c r="F147" s="212"/>
      <c r="G147" s="213"/>
      <c r="H147" s="214"/>
      <c r="I147" s="208"/>
      <c r="J147" s="208"/>
      <c r="K147" s="208"/>
      <c r="L147" s="208"/>
      <c r="M147" s="208"/>
      <c r="N147" s="208"/>
      <c r="O147" s="208"/>
      <c r="P147" s="208"/>
      <c r="Q147" s="208"/>
      <c r="R147" s="208"/>
      <c r="S147" s="208"/>
      <c r="T147" s="208"/>
      <c r="U147" s="208"/>
      <c r="V147" s="208"/>
      <c r="W147" s="208"/>
      <c r="X147" s="208"/>
      <c r="Y147" s="208"/>
      <c r="Z147" s="208"/>
      <c r="AA147" s="208"/>
      <c r="AB147" s="208"/>
      <c r="AC147" s="208"/>
      <c r="AD147" s="208"/>
      <c r="AE147" s="208"/>
    </row>
    <row r="148" spans="1:31">
      <c r="A148" s="210"/>
      <c r="B148" s="211"/>
      <c r="C148" s="211"/>
      <c r="D148" s="209"/>
      <c r="E148" s="212"/>
      <c r="F148" s="212"/>
      <c r="G148" s="213"/>
      <c r="H148" s="214"/>
      <c r="I148" s="208"/>
      <c r="J148" s="208"/>
      <c r="K148" s="208"/>
      <c r="L148" s="208"/>
      <c r="M148" s="208"/>
      <c r="N148" s="208"/>
      <c r="O148" s="208"/>
      <c r="P148" s="208"/>
      <c r="Q148" s="208"/>
      <c r="R148" s="208"/>
      <c r="S148" s="208"/>
      <c r="T148" s="208"/>
      <c r="U148" s="208"/>
      <c r="V148" s="208"/>
      <c r="W148" s="208"/>
      <c r="X148" s="208"/>
      <c r="Y148" s="208"/>
      <c r="Z148" s="208"/>
      <c r="AA148" s="208"/>
      <c r="AB148" s="208"/>
      <c r="AC148" s="208"/>
      <c r="AD148" s="208"/>
      <c r="AE148" s="208"/>
    </row>
    <row r="149" spans="1:31">
      <c r="A149" s="210"/>
      <c r="B149" s="211"/>
      <c r="C149" s="211"/>
      <c r="D149" s="209"/>
      <c r="E149" s="212"/>
      <c r="F149" s="212"/>
      <c r="G149" s="213"/>
      <c r="H149" s="214"/>
      <c r="I149" s="208"/>
      <c r="J149" s="208"/>
      <c r="K149" s="208"/>
      <c r="L149" s="208"/>
      <c r="M149" s="208"/>
      <c r="N149" s="208"/>
      <c r="O149" s="208"/>
      <c r="P149" s="208"/>
      <c r="Q149" s="208"/>
      <c r="R149" s="208"/>
      <c r="S149" s="208"/>
      <c r="T149" s="208"/>
      <c r="U149" s="208"/>
      <c r="V149" s="208"/>
      <c r="W149" s="208"/>
      <c r="X149" s="208"/>
      <c r="Y149" s="208"/>
      <c r="Z149" s="208"/>
      <c r="AA149" s="208"/>
      <c r="AB149" s="208"/>
      <c r="AC149" s="208"/>
      <c r="AD149" s="208"/>
      <c r="AE149" s="208"/>
    </row>
    <row r="150" spans="1:31">
      <c r="A150" s="210"/>
      <c r="B150" s="211"/>
      <c r="C150" s="211"/>
      <c r="D150" s="209"/>
      <c r="E150" s="212"/>
      <c r="F150" s="212"/>
      <c r="G150" s="213"/>
      <c r="H150" s="214"/>
      <c r="I150" s="208"/>
      <c r="J150" s="208"/>
      <c r="K150" s="208"/>
      <c r="L150" s="208"/>
      <c r="M150" s="208"/>
      <c r="N150" s="208"/>
      <c r="O150" s="208"/>
      <c r="P150" s="208"/>
      <c r="Q150" s="208"/>
      <c r="R150" s="208"/>
      <c r="S150" s="208"/>
      <c r="T150" s="208"/>
      <c r="U150" s="208"/>
      <c r="V150" s="208"/>
      <c r="W150" s="208"/>
      <c r="X150" s="208"/>
      <c r="Y150" s="208"/>
      <c r="Z150" s="208"/>
      <c r="AA150" s="208"/>
      <c r="AB150" s="208"/>
      <c r="AC150" s="208"/>
      <c r="AD150" s="208"/>
      <c r="AE150" s="208"/>
    </row>
    <row r="151" spans="1:31">
      <c r="A151" s="210"/>
      <c r="B151" s="211"/>
      <c r="C151" s="211"/>
      <c r="D151" s="209"/>
      <c r="E151" s="212"/>
      <c r="F151" s="212"/>
      <c r="G151" s="213"/>
      <c r="H151" s="214"/>
      <c r="I151" s="208"/>
      <c r="J151" s="208"/>
      <c r="K151" s="208"/>
      <c r="L151" s="208"/>
      <c r="M151" s="208"/>
      <c r="N151" s="208"/>
      <c r="O151" s="208"/>
      <c r="P151" s="208"/>
      <c r="Q151" s="208"/>
      <c r="R151" s="208"/>
      <c r="S151" s="208"/>
      <c r="T151" s="208"/>
      <c r="U151" s="208"/>
      <c r="V151" s="208"/>
      <c r="W151" s="208"/>
      <c r="X151" s="208"/>
      <c r="Y151" s="208"/>
      <c r="Z151" s="208"/>
      <c r="AA151" s="208"/>
      <c r="AB151" s="208"/>
      <c r="AC151" s="208"/>
      <c r="AD151" s="208"/>
      <c r="AE151" s="208"/>
    </row>
    <row r="152" spans="1:31">
      <c r="A152" s="210"/>
      <c r="B152" s="211"/>
      <c r="C152" s="211"/>
      <c r="D152" s="209"/>
      <c r="E152" s="212"/>
      <c r="F152" s="212"/>
      <c r="G152" s="213"/>
      <c r="H152" s="214"/>
      <c r="I152" s="208"/>
      <c r="J152" s="208"/>
      <c r="K152" s="208"/>
      <c r="L152" s="208"/>
      <c r="M152" s="208"/>
      <c r="N152" s="208"/>
      <c r="O152" s="208"/>
      <c r="P152" s="208"/>
      <c r="Q152" s="208"/>
      <c r="R152" s="208"/>
      <c r="S152" s="208"/>
      <c r="T152" s="208"/>
      <c r="U152" s="208"/>
      <c r="V152" s="208"/>
      <c r="W152" s="208"/>
      <c r="X152" s="208"/>
      <c r="Y152" s="208"/>
      <c r="Z152" s="208"/>
      <c r="AA152" s="208"/>
      <c r="AB152" s="208"/>
      <c r="AC152" s="208"/>
      <c r="AD152" s="208"/>
      <c r="AE152" s="208"/>
    </row>
    <row r="153" spans="1:31">
      <c r="A153" s="210"/>
      <c r="B153" s="211"/>
      <c r="C153" s="211"/>
      <c r="D153" s="209"/>
      <c r="E153" s="212"/>
      <c r="F153" s="212"/>
      <c r="G153" s="213"/>
      <c r="H153" s="214"/>
      <c r="I153" s="208"/>
      <c r="J153" s="208"/>
      <c r="K153" s="208"/>
      <c r="L153" s="208"/>
      <c r="M153" s="208"/>
      <c r="N153" s="208"/>
      <c r="O153" s="208"/>
      <c r="P153" s="208"/>
      <c r="Q153" s="208"/>
      <c r="R153" s="208"/>
      <c r="S153" s="208"/>
      <c r="T153" s="208"/>
      <c r="U153" s="208"/>
      <c r="V153" s="208"/>
      <c r="W153" s="208"/>
      <c r="X153" s="208"/>
      <c r="Y153" s="208"/>
      <c r="Z153" s="208"/>
      <c r="AA153" s="208"/>
      <c r="AB153" s="208"/>
      <c r="AC153" s="208"/>
      <c r="AD153" s="208"/>
      <c r="AE153" s="208"/>
    </row>
    <row r="154" spans="1:31">
      <c r="A154" s="210"/>
      <c r="B154" s="211"/>
      <c r="C154" s="211"/>
      <c r="D154" s="209"/>
      <c r="E154" s="212"/>
      <c r="F154" s="212"/>
      <c r="G154" s="213"/>
      <c r="H154" s="214"/>
      <c r="I154" s="208"/>
      <c r="J154" s="208"/>
      <c r="K154" s="208"/>
      <c r="L154" s="208"/>
      <c r="M154" s="208"/>
      <c r="N154" s="208"/>
      <c r="O154" s="208"/>
      <c r="P154" s="208"/>
      <c r="Q154" s="208"/>
      <c r="R154" s="208"/>
      <c r="S154" s="208"/>
      <c r="T154" s="208"/>
      <c r="U154" s="208"/>
      <c r="V154" s="208"/>
      <c r="W154" s="208"/>
      <c r="X154" s="208"/>
      <c r="Y154" s="208"/>
      <c r="Z154" s="208"/>
      <c r="AA154" s="208"/>
      <c r="AB154" s="208"/>
      <c r="AC154" s="208"/>
      <c r="AD154" s="208"/>
      <c r="AE154" s="208"/>
    </row>
    <row r="155" spans="1:31">
      <c r="A155" s="210"/>
      <c r="B155" s="211"/>
      <c r="C155" s="211"/>
      <c r="D155" s="209"/>
      <c r="E155" s="212"/>
      <c r="F155" s="212"/>
      <c r="G155" s="213"/>
      <c r="H155" s="214"/>
      <c r="I155" s="208"/>
      <c r="J155" s="208"/>
      <c r="K155" s="208"/>
      <c r="L155" s="208"/>
      <c r="M155" s="208"/>
      <c r="N155" s="208"/>
      <c r="O155" s="208"/>
      <c r="P155" s="208"/>
      <c r="Q155" s="208"/>
      <c r="R155" s="208"/>
      <c r="S155" s="208"/>
      <c r="T155" s="208"/>
      <c r="U155" s="208"/>
      <c r="V155" s="208"/>
      <c r="W155" s="208"/>
      <c r="X155" s="208"/>
      <c r="Y155" s="208"/>
      <c r="Z155" s="208"/>
      <c r="AA155" s="208"/>
      <c r="AB155" s="208"/>
      <c r="AC155" s="208"/>
      <c r="AD155" s="208"/>
      <c r="AE155" s="208"/>
    </row>
    <row r="156" spans="1:31">
      <c r="A156" s="210"/>
      <c r="B156" s="211"/>
      <c r="C156" s="211"/>
      <c r="D156" s="209"/>
      <c r="E156" s="212"/>
      <c r="F156" s="212"/>
      <c r="G156" s="213"/>
      <c r="H156" s="214"/>
      <c r="I156" s="208"/>
      <c r="J156" s="208"/>
      <c r="K156" s="208"/>
      <c r="L156" s="208"/>
      <c r="M156" s="208"/>
      <c r="N156" s="208"/>
      <c r="O156" s="208"/>
      <c r="P156" s="208"/>
      <c r="Q156" s="208"/>
      <c r="R156" s="208"/>
      <c r="S156" s="208"/>
      <c r="T156" s="208"/>
      <c r="U156" s="208"/>
      <c r="V156" s="208"/>
      <c r="W156" s="208"/>
      <c r="X156" s="208"/>
      <c r="Y156" s="208"/>
      <c r="Z156" s="208"/>
      <c r="AA156" s="208"/>
      <c r="AB156" s="208"/>
      <c r="AC156" s="208"/>
      <c r="AD156" s="208"/>
      <c r="AE156" s="208"/>
    </row>
    <row r="157" spans="1:31">
      <c r="A157" s="210"/>
      <c r="B157" s="211"/>
      <c r="C157" s="211"/>
      <c r="D157" s="209"/>
      <c r="E157" s="212"/>
      <c r="F157" s="212"/>
      <c r="G157" s="213"/>
      <c r="H157" s="214"/>
      <c r="I157" s="208"/>
      <c r="J157" s="208"/>
      <c r="K157" s="208"/>
      <c r="L157" s="208"/>
      <c r="M157" s="208"/>
      <c r="N157" s="208"/>
      <c r="O157" s="208"/>
      <c r="P157" s="208"/>
      <c r="Q157" s="208"/>
      <c r="R157" s="208"/>
      <c r="S157" s="208"/>
      <c r="T157" s="208"/>
      <c r="U157" s="208"/>
      <c r="V157" s="208"/>
      <c r="W157" s="208"/>
      <c r="X157" s="208"/>
      <c r="Y157" s="208"/>
      <c r="Z157" s="208"/>
      <c r="AA157" s="208"/>
      <c r="AB157" s="208"/>
      <c r="AC157" s="208"/>
      <c r="AD157" s="208"/>
      <c r="AE157" s="208"/>
    </row>
    <row r="158" spans="1:31">
      <c r="A158" s="210"/>
      <c r="B158" s="211"/>
      <c r="C158" s="211"/>
      <c r="D158" s="209"/>
      <c r="E158" s="212"/>
      <c r="F158" s="212"/>
      <c r="G158" s="213"/>
      <c r="H158" s="214"/>
      <c r="I158" s="208"/>
      <c r="J158" s="208"/>
      <c r="K158" s="208"/>
      <c r="L158" s="208"/>
      <c r="M158" s="208"/>
      <c r="N158" s="208"/>
      <c r="O158" s="208"/>
      <c r="P158" s="208"/>
      <c r="Q158" s="208"/>
      <c r="R158" s="208"/>
      <c r="S158" s="208"/>
      <c r="T158" s="208"/>
      <c r="U158" s="208"/>
      <c r="V158" s="208"/>
      <c r="W158" s="208"/>
      <c r="X158" s="208"/>
      <c r="Y158" s="208"/>
      <c r="Z158" s="208"/>
      <c r="AA158" s="208"/>
      <c r="AB158" s="208"/>
      <c r="AC158" s="208"/>
      <c r="AD158" s="208"/>
      <c r="AE158" s="208"/>
    </row>
    <row r="159" spans="1:31">
      <c r="A159" s="210"/>
      <c r="B159" s="211"/>
      <c r="C159" s="211"/>
      <c r="D159" s="209"/>
      <c r="E159" s="212"/>
      <c r="F159" s="212"/>
      <c r="G159" s="213"/>
      <c r="H159" s="214"/>
      <c r="I159" s="208"/>
      <c r="J159" s="208"/>
      <c r="K159" s="208"/>
      <c r="L159" s="208"/>
      <c r="M159" s="208"/>
      <c r="N159" s="208"/>
      <c r="O159" s="208"/>
      <c r="P159" s="208"/>
      <c r="Q159" s="208"/>
      <c r="R159" s="208"/>
      <c r="S159" s="208"/>
      <c r="T159" s="208"/>
      <c r="U159" s="208"/>
      <c r="V159" s="208"/>
      <c r="W159" s="208"/>
      <c r="X159" s="208"/>
      <c r="Y159" s="208"/>
      <c r="Z159" s="208"/>
      <c r="AA159" s="208"/>
      <c r="AB159" s="208"/>
      <c r="AC159" s="208"/>
      <c r="AD159" s="208"/>
      <c r="AE159" s="208"/>
    </row>
    <row r="160" spans="1:31">
      <c r="A160" s="210"/>
      <c r="B160" s="211"/>
      <c r="C160" s="211"/>
      <c r="D160" s="209"/>
      <c r="E160" s="212"/>
      <c r="F160" s="212"/>
      <c r="G160" s="213"/>
      <c r="H160" s="214"/>
      <c r="I160" s="208"/>
      <c r="J160" s="208"/>
      <c r="K160" s="208"/>
      <c r="L160" s="208"/>
      <c r="M160" s="208"/>
      <c r="N160" s="208"/>
      <c r="O160" s="208"/>
      <c r="P160" s="208"/>
      <c r="Q160" s="208"/>
      <c r="R160" s="208"/>
      <c r="S160" s="208"/>
      <c r="T160" s="208"/>
      <c r="U160" s="208"/>
      <c r="V160" s="208"/>
      <c r="W160" s="208"/>
      <c r="X160" s="208"/>
      <c r="Y160" s="208"/>
      <c r="Z160" s="208"/>
      <c r="AA160" s="208"/>
      <c r="AB160" s="208"/>
      <c r="AC160" s="208"/>
      <c r="AD160" s="208"/>
      <c r="AE160" s="208"/>
    </row>
    <row r="161" spans="1:31">
      <c r="A161" s="210"/>
      <c r="B161" s="211"/>
      <c r="C161" s="211"/>
      <c r="D161" s="209"/>
      <c r="E161" s="212"/>
      <c r="F161" s="212"/>
      <c r="G161" s="213"/>
      <c r="H161" s="214"/>
      <c r="I161" s="208"/>
      <c r="J161" s="208"/>
      <c r="K161" s="208"/>
      <c r="L161" s="208"/>
      <c r="M161" s="208"/>
      <c r="N161" s="208"/>
      <c r="O161" s="208"/>
      <c r="P161" s="208"/>
      <c r="Q161" s="208"/>
      <c r="R161" s="208"/>
      <c r="S161" s="208"/>
      <c r="T161" s="208"/>
      <c r="U161" s="208"/>
      <c r="V161" s="208"/>
      <c r="W161" s="208"/>
      <c r="X161" s="208"/>
      <c r="Y161" s="208"/>
      <c r="Z161" s="208"/>
      <c r="AA161" s="208"/>
      <c r="AB161" s="208"/>
      <c r="AC161" s="208"/>
      <c r="AD161" s="208"/>
      <c r="AE161" s="208"/>
    </row>
    <row r="162" spans="1:31">
      <c r="A162" s="210"/>
      <c r="B162" s="211"/>
      <c r="C162" s="211"/>
      <c r="D162" s="209"/>
      <c r="E162" s="212"/>
      <c r="F162" s="212"/>
      <c r="G162" s="213"/>
      <c r="H162" s="214"/>
      <c r="I162" s="208"/>
      <c r="J162" s="208"/>
      <c r="K162" s="208"/>
      <c r="L162" s="208"/>
      <c r="M162" s="208"/>
      <c r="N162" s="208"/>
      <c r="O162" s="208"/>
      <c r="P162" s="208"/>
      <c r="Q162" s="208"/>
      <c r="R162" s="208"/>
      <c r="S162" s="208"/>
      <c r="T162" s="208"/>
      <c r="U162" s="208"/>
      <c r="V162" s="208"/>
      <c r="W162" s="208"/>
      <c r="X162" s="208"/>
      <c r="Y162" s="208"/>
      <c r="Z162" s="208"/>
      <c r="AA162" s="208"/>
      <c r="AB162" s="208"/>
      <c r="AC162" s="208"/>
      <c r="AD162" s="208"/>
      <c r="AE162" s="208"/>
    </row>
    <row r="163" spans="1:31">
      <c r="A163" s="210"/>
      <c r="B163" s="211"/>
      <c r="C163" s="211"/>
      <c r="D163" s="209"/>
      <c r="E163" s="212"/>
      <c r="F163" s="212"/>
      <c r="G163" s="213"/>
      <c r="H163" s="214"/>
      <c r="I163" s="208"/>
      <c r="J163" s="208"/>
      <c r="K163" s="208"/>
      <c r="L163" s="208"/>
      <c r="M163" s="208"/>
      <c r="N163" s="208"/>
      <c r="O163" s="208"/>
      <c r="P163" s="208"/>
      <c r="Q163" s="208"/>
      <c r="R163" s="208"/>
      <c r="S163" s="208"/>
      <c r="T163" s="208"/>
      <c r="U163" s="208"/>
      <c r="V163" s="208"/>
      <c r="W163" s="208"/>
      <c r="X163" s="208"/>
      <c r="Y163" s="208"/>
      <c r="Z163" s="208"/>
      <c r="AA163" s="208"/>
      <c r="AB163" s="208"/>
      <c r="AC163" s="208"/>
      <c r="AD163" s="208"/>
      <c r="AE163" s="208"/>
    </row>
    <row r="164" spans="1:31">
      <c r="A164" s="210"/>
      <c r="B164" s="211"/>
      <c r="C164" s="211"/>
      <c r="D164" s="209"/>
      <c r="E164" s="212"/>
      <c r="F164" s="212"/>
      <c r="G164" s="213"/>
      <c r="H164" s="214"/>
      <c r="I164" s="208"/>
      <c r="J164" s="208"/>
      <c r="K164" s="208"/>
      <c r="L164" s="208"/>
      <c r="M164" s="208"/>
      <c r="N164" s="208"/>
      <c r="O164" s="208"/>
      <c r="P164" s="208"/>
      <c r="Q164" s="208"/>
      <c r="R164" s="208"/>
      <c r="S164" s="208"/>
      <c r="T164" s="208"/>
      <c r="U164" s="208"/>
      <c r="V164" s="208"/>
      <c r="W164" s="208"/>
      <c r="X164" s="208"/>
      <c r="Y164" s="208"/>
      <c r="Z164" s="208"/>
      <c r="AA164" s="208"/>
      <c r="AB164" s="208"/>
      <c r="AC164" s="208"/>
      <c r="AD164" s="208"/>
      <c r="AE164" s="208"/>
    </row>
    <row r="165" spans="1:31">
      <c r="A165" s="210"/>
      <c r="B165" s="211"/>
      <c r="C165" s="211"/>
      <c r="D165" s="209"/>
      <c r="E165" s="212"/>
      <c r="F165" s="212"/>
      <c r="G165" s="213"/>
      <c r="H165" s="214"/>
      <c r="I165" s="208"/>
      <c r="J165" s="208"/>
      <c r="K165" s="208"/>
      <c r="L165" s="208"/>
      <c r="M165" s="208"/>
      <c r="N165" s="208"/>
      <c r="O165" s="208"/>
      <c r="P165" s="208"/>
      <c r="Q165" s="208"/>
      <c r="R165" s="208"/>
      <c r="S165" s="208"/>
      <c r="T165" s="208"/>
      <c r="U165" s="208"/>
      <c r="V165" s="208"/>
      <c r="W165" s="208"/>
      <c r="X165" s="208"/>
      <c r="Y165" s="208"/>
      <c r="Z165" s="208"/>
      <c r="AA165" s="208"/>
      <c r="AB165" s="208"/>
      <c r="AC165" s="208"/>
      <c r="AD165" s="208"/>
      <c r="AE165" s="208"/>
    </row>
    <row r="166" spans="1:31">
      <c r="A166" s="210"/>
      <c r="B166" s="211"/>
      <c r="C166" s="211"/>
      <c r="D166" s="209"/>
      <c r="E166" s="212"/>
      <c r="F166" s="212"/>
      <c r="G166" s="213"/>
      <c r="H166" s="214"/>
      <c r="I166" s="208"/>
      <c r="J166" s="208"/>
      <c r="K166" s="208"/>
      <c r="L166" s="208"/>
      <c r="M166" s="208"/>
      <c r="N166" s="208"/>
      <c r="O166" s="208"/>
      <c r="P166" s="208"/>
      <c r="Q166" s="208"/>
      <c r="R166" s="208"/>
      <c r="S166" s="208"/>
      <c r="T166" s="208"/>
      <c r="U166" s="208"/>
      <c r="V166" s="208"/>
      <c r="W166" s="208"/>
      <c r="X166" s="208"/>
      <c r="Y166" s="208"/>
      <c r="Z166" s="208"/>
      <c r="AA166" s="208"/>
      <c r="AB166" s="208"/>
      <c r="AC166" s="208"/>
      <c r="AD166" s="208"/>
      <c r="AE166" s="208"/>
    </row>
    <row r="167" spans="1:31">
      <c r="A167" s="210"/>
      <c r="B167" s="211"/>
      <c r="C167" s="211"/>
      <c r="D167" s="209"/>
      <c r="E167" s="212"/>
      <c r="F167" s="212"/>
      <c r="G167" s="213"/>
      <c r="H167" s="214"/>
      <c r="I167" s="208"/>
      <c r="J167" s="208"/>
      <c r="K167" s="208"/>
      <c r="L167" s="208"/>
      <c r="M167" s="208"/>
      <c r="N167" s="208"/>
      <c r="O167" s="208"/>
      <c r="P167" s="208"/>
      <c r="Q167" s="208"/>
      <c r="R167" s="208"/>
      <c r="S167" s="208"/>
      <c r="T167" s="208"/>
      <c r="U167" s="208"/>
      <c r="V167" s="208"/>
      <c r="W167" s="208"/>
      <c r="X167" s="208"/>
      <c r="Y167" s="208"/>
      <c r="Z167" s="208"/>
      <c r="AA167" s="208"/>
      <c r="AB167" s="208"/>
      <c r="AC167" s="208"/>
      <c r="AD167" s="208"/>
      <c r="AE167" s="208"/>
    </row>
    <row r="168" spans="1:31">
      <c r="A168" s="210"/>
      <c r="B168" s="211"/>
      <c r="C168" s="211"/>
      <c r="D168" s="209"/>
      <c r="E168" s="212"/>
      <c r="F168" s="212"/>
      <c r="G168" s="213"/>
      <c r="H168" s="214"/>
      <c r="I168" s="208"/>
      <c r="J168" s="208"/>
      <c r="K168" s="208"/>
      <c r="L168" s="208"/>
      <c r="M168" s="208"/>
      <c r="N168" s="208"/>
      <c r="O168" s="208"/>
      <c r="P168" s="208"/>
      <c r="Q168" s="208"/>
      <c r="R168" s="208"/>
      <c r="S168" s="208"/>
      <c r="T168" s="208"/>
      <c r="U168" s="208"/>
      <c r="V168" s="208"/>
      <c r="W168" s="208"/>
      <c r="X168" s="208"/>
      <c r="Y168" s="208"/>
      <c r="Z168" s="208"/>
      <c r="AA168" s="208"/>
      <c r="AB168" s="208"/>
      <c r="AC168" s="208"/>
      <c r="AD168" s="208"/>
      <c r="AE168" s="208"/>
    </row>
    <row r="169" spans="1:31">
      <c r="A169" s="210"/>
      <c r="B169" s="211"/>
      <c r="C169" s="211"/>
      <c r="D169" s="209"/>
      <c r="E169" s="212"/>
      <c r="F169" s="212"/>
      <c r="G169" s="213"/>
      <c r="H169" s="214"/>
      <c r="I169" s="208"/>
      <c r="J169" s="208"/>
      <c r="K169" s="208"/>
      <c r="L169" s="208"/>
      <c r="M169" s="208"/>
      <c r="N169" s="208"/>
      <c r="O169" s="208"/>
      <c r="P169" s="208"/>
      <c r="Q169" s="208"/>
      <c r="R169" s="208"/>
      <c r="S169" s="208"/>
      <c r="T169" s="208"/>
      <c r="U169" s="208"/>
      <c r="V169" s="208"/>
      <c r="W169" s="208"/>
      <c r="X169" s="208"/>
      <c r="Y169" s="208"/>
      <c r="Z169" s="208"/>
      <c r="AA169" s="208"/>
      <c r="AB169" s="208"/>
      <c r="AC169" s="208"/>
      <c r="AD169" s="208"/>
      <c r="AE169" s="208"/>
    </row>
    <row r="170" spans="1:31">
      <c r="A170" s="210"/>
      <c r="B170" s="211"/>
      <c r="C170" s="211"/>
      <c r="D170" s="209"/>
      <c r="E170" s="212"/>
      <c r="F170" s="212"/>
      <c r="G170" s="213"/>
      <c r="H170" s="214"/>
      <c r="I170" s="208"/>
      <c r="J170" s="208"/>
      <c r="K170" s="208"/>
      <c r="L170" s="208"/>
      <c r="M170" s="208"/>
      <c r="N170" s="208"/>
      <c r="O170" s="208"/>
      <c r="P170" s="208"/>
      <c r="Q170" s="208"/>
      <c r="R170" s="208"/>
      <c r="S170" s="208"/>
      <c r="T170" s="208"/>
      <c r="U170" s="208"/>
      <c r="V170" s="208"/>
      <c r="W170" s="208"/>
      <c r="X170" s="208"/>
      <c r="Y170" s="208"/>
      <c r="Z170" s="208"/>
      <c r="AA170" s="208"/>
      <c r="AB170" s="208"/>
      <c r="AC170" s="208"/>
      <c r="AD170" s="208"/>
      <c r="AE170" s="208"/>
    </row>
    <row r="171" spans="1:31">
      <c r="A171" s="210"/>
      <c r="B171" s="211"/>
      <c r="C171" s="211"/>
      <c r="D171" s="209"/>
      <c r="E171" s="212"/>
      <c r="F171" s="212"/>
      <c r="G171" s="213"/>
      <c r="H171" s="214"/>
      <c r="I171" s="208"/>
      <c r="J171" s="208"/>
      <c r="K171" s="208"/>
      <c r="L171" s="208"/>
      <c r="M171" s="208"/>
      <c r="N171" s="208"/>
      <c r="O171" s="208"/>
      <c r="P171" s="208"/>
      <c r="Q171" s="208"/>
      <c r="R171" s="208"/>
      <c r="S171" s="208"/>
      <c r="T171" s="208"/>
      <c r="U171" s="208"/>
      <c r="V171" s="208"/>
      <c r="W171" s="208"/>
      <c r="X171" s="208"/>
      <c r="Y171" s="208"/>
      <c r="Z171" s="208"/>
      <c r="AA171" s="208"/>
      <c r="AB171" s="208"/>
      <c r="AC171" s="208"/>
      <c r="AD171" s="208"/>
      <c r="AE171" s="208"/>
    </row>
    <row r="172" spans="1:31">
      <c r="A172" s="210"/>
      <c r="B172" s="211"/>
      <c r="C172" s="211"/>
      <c r="D172" s="209"/>
      <c r="E172" s="212"/>
      <c r="F172" s="212"/>
      <c r="G172" s="213"/>
      <c r="H172" s="214"/>
      <c r="I172" s="208"/>
      <c r="J172" s="208"/>
      <c r="K172" s="208"/>
      <c r="L172" s="208"/>
      <c r="M172" s="208"/>
      <c r="N172" s="208"/>
      <c r="O172" s="208"/>
      <c r="P172" s="208"/>
      <c r="Q172" s="208"/>
      <c r="R172" s="208"/>
      <c r="S172" s="208"/>
      <c r="T172" s="208"/>
      <c r="U172" s="208"/>
      <c r="V172" s="208"/>
      <c r="W172" s="208"/>
      <c r="X172" s="208"/>
      <c r="Y172" s="208"/>
      <c r="Z172" s="208"/>
      <c r="AA172" s="208"/>
      <c r="AB172" s="208"/>
      <c r="AC172" s="208"/>
      <c r="AD172" s="208"/>
      <c r="AE172" s="208"/>
    </row>
    <row r="173" spans="1:31">
      <c r="A173" s="210"/>
      <c r="B173" s="211"/>
      <c r="C173" s="211"/>
      <c r="D173" s="209"/>
      <c r="E173" s="212"/>
      <c r="F173" s="212"/>
      <c r="G173" s="213"/>
      <c r="H173" s="214"/>
      <c r="I173" s="208"/>
      <c r="J173" s="208"/>
      <c r="K173" s="208"/>
      <c r="L173" s="208"/>
      <c r="M173" s="208"/>
      <c r="N173" s="208"/>
      <c r="O173" s="208"/>
      <c r="P173" s="208"/>
      <c r="Q173" s="208"/>
      <c r="R173" s="208"/>
      <c r="S173" s="208"/>
      <c r="T173" s="208"/>
      <c r="U173" s="208"/>
      <c r="V173" s="208"/>
      <c r="W173" s="208"/>
      <c r="X173" s="208"/>
      <c r="Y173" s="208"/>
      <c r="Z173" s="208"/>
      <c r="AA173" s="208"/>
      <c r="AB173" s="208"/>
      <c r="AC173" s="208"/>
      <c r="AD173" s="208"/>
      <c r="AE173" s="208"/>
    </row>
    <row r="174" spans="1:31">
      <c r="A174" s="210"/>
      <c r="B174" s="211"/>
      <c r="C174" s="211"/>
      <c r="D174" s="209"/>
      <c r="E174" s="212"/>
      <c r="F174" s="212"/>
      <c r="G174" s="213"/>
      <c r="H174" s="214"/>
      <c r="I174" s="208"/>
      <c r="J174" s="208"/>
      <c r="K174" s="208"/>
      <c r="L174" s="208"/>
      <c r="M174" s="208"/>
      <c r="N174" s="208"/>
      <c r="O174" s="208"/>
      <c r="P174" s="208"/>
      <c r="Q174" s="208"/>
      <c r="R174" s="208"/>
      <c r="S174" s="208"/>
      <c r="T174" s="208"/>
      <c r="U174" s="208"/>
      <c r="V174" s="208"/>
      <c r="W174" s="208"/>
      <c r="X174" s="208"/>
      <c r="Y174" s="208"/>
      <c r="Z174" s="208"/>
      <c r="AA174" s="208"/>
      <c r="AB174" s="208"/>
      <c r="AC174" s="208"/>
      <c r="AD174" s="208"/>
      <c r="AE174" s="208"/>
    </row>
    <row r="175" spans="1:31">
      <c r="A175" s="210"/>
      <c r="B175" s="211"/>
      <c r="C175" s="211"/>
      <c r="D175" s="209"/>
      <c r="E175" s="212"/>
      <c r="F175" s="212"/>
      <c r="G175" s="213"/>
      <c r="H175" s="214"/>
      <c r="I175" s="208"/>
      <c r="J175" s="208"/>
      <c r="K175" s="208"/>
      <c r="L175" s="208"/>
      <c r="M175" s="208"/>
      <c r="N175" s="208"/>
      <c r="O175" s="208"/>
      <c r="P175" s="208"/>
      <c r="Q175" s="208"/>
      <c r="R175" s="208"/>
      <c r="S175" s="208"/>
      <c r="T175" s="208"/>
      <c r="U175" s="208"/>
      <c r="V175" s="208"/>
      <c r="W175" s="208"/>
      <c r="X175" s="208"/>
      <c r="Y175" s="208"/>
      <c r="Z175" s="208"/>
      <c r="AA175" s="208"/>
      <c r="AB175" s="208"/>
      <c r="AC175" s="208"/>
      <c r="AD175" s="208"/>
      <c r="AE175" s="208"/>
    </row>
    <row r="176" spans="1:31">
      <c r="A176" s="210"/>
      <c r="B176" s="211"/>
      <c r="C176" s="211"/>
      <c r="D176" s="209"/>
      <c r="E176" s="212"/>
      <c r="F176" s="212"/>
      <c r="G176" s="213"/>
      <c r="H176" s="214"/>
      <c r="I176" s="208"/>
      <c r="J176" s="208"/>
      <c r="K176" s="208"/>
      <c r="L176" s="208"/>
      <c r="M176" s="208"/>
      <c r="N176" s="208"/>
      <c r="O176" s="208"/>
      <c r="P176" s="208"/>
      <c r="Q176" s="208"/>
      <c r="R176" s="208"/>
      <c r="S176" s="208"/>
      <c r="T176" s="208"/>
      <c r="U176" s="208"/>
      <c r="V176" s="208"/>
      <c r="W176" s="208"/>
      <c r="X176" s="208"/>
      <c r="Y176" s="208"/>
      <c r="Z176" s="208"/>
      <c r="AA176" s="208"/>
      <c r="AB176" s="208"/>
      <c r="AC176" s="208"/>
      <c r="AD176" s="208"/>
      <c r="AE176" s="208"/>
    </row>
    <row r="177" spans="1:31">
      <c r="A177" s="210"/>
      <c r="B177" s="211"/>
      <c r="C177" s="211"/>
      <c r="D177" s="209"/>
      <c r="E177" s="212"/>
      <c r="F177" s="212"/>
      <c r="G177" s="213"/>
      <c r="H177" s="214"/>
      <c r="I177" s="208"/>
      <c r="J177" s="208"/>
      <c r="K177" s="208"/>
      <c r="L177" s="208"/>
      <c r="M177" s="208"/>
      <c r="N177" s="208"/>
      <c r="O177" s="208"/>
      <c r="P177" s="208"/>
      <c r="Q177" s="208"/>
      <c r="R177" s="208"/>
      <c r="S177" s="208"/>
      <c r="T177" s="208"/>
      <c r="U177" s="208"/>
      <c r="V177" s="208"/>
      <c r="W177" s="208"/>
      <c r="X177" s="208"/>
      <c r="Y177" s="208"/>
      <c r="Z177" s="208"/>
      <c r="AA177" s="208"/>
      <c r="AB177" s="208"/>
      <c r="AC177" s="208"/>
      <c r="AD177" s="208"/>
      <c r="AE177" s="208"/>
    </row>
    <row r="178" spans="1:31">
      <c r="A178" s="210"/>
      <c r="B178" s="211"/>
      <c r="C178" s="211"/>
      <c r="D178" s="209"/>
      <c r="E178" s="212"/>
      <c r="F178" s="212"/>
      <c r="G178" s="213"/>
      <c r="H178" s="214"/>
      <c r="I178" s="208"/>
      <c r="J178" s="208"/>
      <c r="K178" s="208"/>
      <c r="L178" s="208"/>
      <c r="M178" s="208"/>
      <c r="N178" s="208"/>
      <c r="O178" s="208"/>
      <c r="P178" s="208"/>
      <c r="Q178" s="208"/>
      <c r="R178" s="208"/>
      <c r="S178" s="208"/>
      <c r="T178" s="208"/>
      <c r="U178" s="208"/>
      <c r="V178" s="208"/>
      <c r="W178" s="208"/>
      <c r="X178" s="208"/>
      <c r="Y178" s="208"/>
      <c r="Z178" s="208"/>
      <c r="AA178" s="208"/>
      <c r="AB178" s="208"/>
      <c r="AC178" s="208"/>
      <c r="AD178" s="208"/>
      <c r="AE178" s="208"/>
    </row>
    <row r="179" spans="1:31">
      <c r="A179" s="210"/>
      <c r="B179" s="211"/>
      <c r="C179" s="211"/>
      <c r="D179" s="209"/>
      <c r="E179" s="212"/>
      <c r="F179" s="212"/>
      <c r="G179" s="213"/>
      <c r="H179" s="214"/>
      <c r="I179" s="208"/>
      <c r="J179" s="208"/>
      <c r="K179" s="208"/>
      <c r="L179" s="208"/>
      <c r="M179" s="208"/>
      <c r="N179" s="208"/>
      <c r="O179" s="208"/>
      <c r="P179" s="208"/>
      <c r="Q179" s="208"/>
      <c r="R179" s="208"/>
      <c r="S179" s="208"/>
      <c r="T179" s="208"/>
      <c r="U179" s="208"/>
      <c r="V179" s="208"/>
      <c r="W179" s="208"/>
      <c r="X179" s="208"/>
      <c r="Y179" s="208"/>
      <c r="Z179" s="208"/>
      <c r="AA179" s="208"/>
      <c r="AB179" s="208"/>
      <c r="AC179" s="208"/>
      <c r="AD179" s="208"/>
      <c r="AE179" s="208"/>
    </row>
    <row r="180" spans="1:31">
      <c r="A180" s="210"/>
      <c r="B180" s="211"/>
      <c r="C180" s="211"/>
      <c r="D180" s="209"/>
      <c r="E180" s="212"/>
      <c r="F180" s="212"/>
      <c r="G180" s="213"/>
      <c r="H180" s="214"/>
      <c r="I180" s="208"/>
      <c r="J180" s="208"/>
      <c r="K180" s="208"/>
      <c r="L180" s="208"/>
      <c r="M180" s="208"/>
      <c r="N180" s="208"/>
      <c r="O180" s="208"/>
      <c r="P180" s="208"/>
      <c r="Q180" s="208"/>
      <c r="R180" s="208"/>
      <c r="S180" s="208"/>
      <c r="T180" s="208"/>
      <c r="U180" s="208"/>
      <c r="V180" s="208"/>
      <c r="W180" s="208"/>
      <c r="X180" s="208"/>
      <c r="Y180" s="208"/>
      <c r="Z180" s="208"/>
      <c r="AA180" s="208"/>
      <c r="AB180" s="208"/>
      <c r="AC180" s="208"/>
      <c r="AD180" s="208"/>
      <c r="AE180" s="208"/>
    </row>
    <row r="181" spans="1:31">
      <c r="A181" s="210"/>
      <c r="B181" s="211"/>
      <c r="C181" s="211"/>
      <c r="D181" s="209"/>
      <c r="E181" s="212"/>
      <c r="F181" s="212"/>
      <c r="G181" s="213"/>
      <c r="H181" s="214"/>
      <c r="I181" s="208"/>
      <c r="J181" s="208"/>
      <c r="K181" s="208"/>
      <c r="L181" s="208"/>
      <c r="M181" s="208"/>
      <c r="N181" s="208"/>
      <c r="O181" s="208"/>
      <c r="P181" s="208"/>
      <c r="Q181" s="208"/>
      <c r="R181" s="208"/>
      <c r="S181" s="208"/>
      <c r="T181" s="208"/>
      <c r="U181" s="208"/>
      <c r="V181" s="208"/>
      <c r="W181" s="208"/>
      <c r="X181" s="208"/>
      <c r="Y181" s="208"/>
      <c r="Z181" s="208"/>
      <c r="AA181" s="208"/>
      <c r="AB181" s="208"/>
      <c r="AC181" s="208"/>
      <c r="AD181" s="208"/>
      <c r="AE181" s="208"/>
    </row>
    <row r="182" spans="1:31">
      <c r="A182" s="210"/>
      <c r="B182" s="211"/>
      <c r="C182" s="211"/>
      <c r="D182" s="209"/>
      <c r="E182" s="212"/>
      <c r="F182" s="212"/>
      <c r="G182" s="213"/>
      <c r="H182" s="214"/>
      <c r="I182" s="208"/>
      <c r="J182" s="208"/>
      <c r="K182" s="208"/>
      <c r="L182" s="208"/>
      <c r="M182" s="208"/>
      <c r="N182" s="208"/>
      <c r="O182" s="208"/>
      <c r="P182" s="208"/>
      <c r="Q182" s="208"/>
      <c r="R182" s="208"/>
      <c r="S182" s="208"/>
      <c r="T182" s="208"/>
      <c r="U182" s="208"/>
      <c r="V182" s="208"/>
      <c r="W182" s="208"/>
      <c r="X182" s="208"/>
      <c r="Y182" s="208"/>
      <c r="Z182" s="208"/>
      <c r="AA182" s="208"/>
      <c r="AB182" s="208"/>
      <c r="AC182" s="208"/>
      <c r="AD182" s="208"/>
      <c r="AE182" s="208"/>
    </row>
    <row r="183" spans="1:31">
      <c r="A183" s="210"/>
      <c r="B183" s="211"/>
      <c r="C183" s="211"/>
      <c r="D183" s="209"/>
      <c r="E183" s="212"/>
      <c r="F183" s="212"/>
      <c r="G183" s="213"/>
      <c r="H183" s="214"/>
      <c r="I183" s="208"/>
      <c r="J183" s="208"/>
      <c r="K183" s="208"/>
      <c r="L183" s="208"/>
      <c r="M183" s="208"/>
      <c r="N183" s="208"/>
      <c r="O183" s="208"/>
      <c r="P183" s="208"/>
      <c r="Q183" s="208"/>
      <c r="R183" s="208"/>
      <c r="S183" s="208"/>
      <c r="T183" s="208"/>
      <c r="U183" s="208"/>
      <c r="V183" s="208"/>
      <c r="W183" s="208"/>
      <c r="X183" s="208"/>
      <c r="Y183" s="208"/>
      <c r="Z183" s="208"/>
      <c r="AA183" s="208"/>
      <c r="AB183" s="208"/>
      <c r="AC183" s="208"/>
      <c r="AD183" s="208"/>
      <c r="AE183" s="208"/>
    </row>
    <row r="184" spans="1:31">
      <c r="A184" s="210"/>
      <c r="B184" s="211"/>
      <c r="C184" s="211"/>
      <c r="D184" s="209"/>
      <c r="E184" s="212"/>
      <c r="F184" s="212"/>
      <c r="G184" s="213"/>
      <c r="H184" s="214"/>
      <c r="I184" s="208"/>
      <c r="J184" s="208"/>
      <c r="K184" s="208"/>
      <c r="L184" s="208"/>
      <c r="M184" s="208"/>
      <c r="N184" s="208"/>
      <c r="O184" s="208"/>
      <c r="P184" s="208"/>
      <c r="Q184" s="208"/>
      <c r="R184" s="208"/>
      <c r="S184" s="208"/>
      <c r="T184" s="208"/>
      <c r="U184" s="208"/>
      <c r="V184" s="208"/>
      <c r="W184" s="208"/>
      <c r="X184" s="208"/>
      <c r="Y184" s="208"/>
      <c r="Z184" s="208"/>
      <c r="AA184" s="208"/>
      <c r="AB184" s="208"/>
      <c r="AC184" s="208"/>
      <c r="AD184" s="208"/>
      <c r="AE184" s="208"/>
    </row>
    <row r="185" spans="1:31">
      <c r="A185" s="210"/>
      <c r="B185" s="211"/>
      <c r="C185" s="211"/>
      <c r="D185" s="209"/>
      <c r="E185" s="212"/>
      <c r="F185" s="212"/>
      <c r="G185" s="213"/>
      <c r="H185" s="214"/>
      <c r="I185" s="208"/>
      <c r="J185" s="208"/>
      <c r="K185" s="208"/>
      <c r="L185" s="208"/>
      <c r="M185" s="208"/>
      <c r="N185" s="208"/>
      <c r="O185" s="208"/>
      <c r="P185" s="208"/>
      <c r="Q185" s="208"/>
      <c r="R185" s="208"/>
      <c r="S185" s="208"/>
      <c r="T185" s="208"/>
      <c r="U185" s="208"/>
      <c r="V185" s="208"/>
      <c r="W185" s="208"/>
      <c r="X185" s="208"/>
      <c r="Y185" s="208"/>
      <c r="Z185" s="208"/>
      <c r="AA185" s="208"/>
      <c r="AB185" s="208"/>
      <c r="AC185" s="208"/>
      <c r="AD185" s="208"/>
      <c r="AE185" s="208"/>
    </row>
    <row r="186" spans="1:31">
      <c r="A186" s="210"/>
      <c r="B186" s="211"/>
      <c r="C186" s="211"/>
      <c r="D186" s="209"/>
      <c r="E186" s="212"/>
      <c r="F186" s="212"/>
      <c r="G186" s="213"/>
      <c r="H186" s="214"/>
      <c r="I186" s="208"/>
      <c r="J186" s="208"/>
      <c r="K186" s="208"/>
      <c r="L186" s="208"/>
      <c r="M186" s="208"/>
      <c r="N186" s="208"/>
      <c r="O186" s="208"/>
      <c r="P186" s="208"/>
      <c r="Q186" s="208"/>
      <c r="R186" s="208"/>
      <c r="S186" s="208"/>
      <c r="T186" s="208"/>
      <c r="U186" s="208"/>
      <c r="V186" s="208"/>
      <c r="W186" s="208"/>
      <c r="X186" s="208"/>
      <c r="Y186" s="208"/>
      <c r="Z186" s="208"/>
      <c r="AA186" s="208"/>
      <c r="AB186" s="208"/>
      <c r="AC186" s="208"/>
      <c r="AD186" s="208"/>
      <c r="AE186" s="208"/>
    </row>
    <row r="187" spans="1:31">
      <c r="A187" s="210"/>
      <c r="B187" s="211"/>
      <c r="C187" s="211"/>
      <c r="D187" s="209"/>
      <c r="E187" s="212"/>
      <c r="F187" s="212"/>
      <c r="G187" s="213"/>
      <c r="H187" s="214"/>
      <c r="I187" s="208"/>
      <c r="J187" s="208"/>
      <c r="K187" s="208"/>
      <c r="L187" s="208"/>
      <c r="M187" s="208"/>
      <c r="N187" s="208"/>
      <c r="O187" s="208"/>
      <c r="P187" s="208"/>
      <c r="Q187" s="208"/>
      <c r="R187" s="208"/>
      <c r="S187" s="208"/>
      <c r="T187" s="208"/>
      <c r="U187" s="208"/>
      <c r="V187" s="208"/>
      <c r="W187" s="208"/>
      <c r="X187" s="208"/>
      <c r="Y187" s="208"/>
      <c r="Z187" s="208"/>
      <c r="AA187" s="208"/>
      <c r="AB187" s="208"/>
      <c r="AC187" s="208"/>
      <c r="AD187" s="208"/>
      <c r="AE187" s="208"/>
    </row>
    <row r="188" spans="1:31">
      <c r="A188" s="210"/>
      <c r="B188" s="211"/>
      <c r="C188" s="211"/>
      <c r="D188" s="209"/>
      <c r="E188" s="212"/>
      <c r="F188" s="212"/>
      <c r="G188" s="213"/>
      <c r="H188" s="214"/>
      <c r="I188" s="208"/>
      <c r="J188" s="208"/>
      <c r="K188" s="208"/>
      <c r="L188" s="208"/>
      <c r="M188" s="208"/>
      <c r="N188" s="208"/>
      <c r="O188" s="208"/>
      <c r="P188" s="208"/>
      <c r="Q188" s="208"/>
      <c r="R188" s="208"/>
      <c r="S188" s="208"/>
      <c r="T188" s="208"/>
      <c r="U188" s="208"/>
      <c r="V188" s="208"/>
      <c r="W188" s="208"/>
      <c r="X188" s="208"/>
      <c r="Y188" s="208"/>
      <c r="Z188" s="208"/>
      <c r="AA188" s="208"/>
      <c r="AB188" s="208"/>
      <c r="AC188" s="208"/>
      <c r="AD188" s="208"/>
      <c r="AE188" s="208"/>
    </row>
    <row r="189" spans="1:31">
      <c r="A189" s="210"/>
      <c r="B189" s="211"/>
      <c r="C189" s="211"/>
      <c r="D189" s="209"/>
      <c r="E189" s="212"/>
      <c r="F189" s="212"/>
      <c r="G189" s="213"/>
      <c r="H189" s="214"/>
      <c r="I189" s="208"/>
      <c r="J189" s="208"/>
      <c r="K189" s="208"/>
      <c r="L189" s="208"/>
      <c r="M189" s="208"/>
      <c r="N189" s="208"/>
      <c r="O189" s="208"/>
      <c r="P189" s="208"/>
      <c r="Q189" s="208"/>
      <c r="R189" s="208"/>
      <c r="S189" s="208"/>
      <c r="T189" s="208"/>
      <c r="U189" s="208"/>
      <c r="V189" s="208"/>
      <c r="W189" s="208"/>
      <c r="X189" s="208"/>
      <c r="Y189" s="208"/>
      <c r="Z189" s="208"/>
      <c r="AA189" s="208"/>
      <c r="AB189" s="208"/>
      <c r="AC189" s="208"/>
      <c r="AD189" s="208"/>
      <c r="AE189" s="208"/>
    </row>
    <row r="190" spans="1:31">
      <c r="A190" s="210"/>
      <c r="B190" s="211"/>
      <c r="C190" s="211"/>
      <c r="D190" s="209"/>
      <c r="E190" s="212"/>
      <c r="F190" s="212"/>
      <c r="G190" s="213"/>
      <c r="H190" s="214"/>
      <c r="I190" s="208"/>
      <c r="J190" s="208"/>
      <c r="K190" s="208"/>
      <c r="L190" s="208"/>
      <c r="M190" s="208"/>
      <c r="N190" s="208"/>
      <c r="O190" s="208"/>
      <c r="P190" s="208"/>
      <c r="Q190" s="208"/>
      <c r="R190" s="208"/>
      <c r="S190" s="208"/>
      <c r="T190" s="208"/>
      <c r="U190" s="208"/>
      <c r="V190" s="208"/>
      <c r="W190" s="208"/>
      <c r="X190" s="208"/>
      <c r="Y190" s="208"/>
      <c r="Z190" s="208"/>
      <c r="AA190" s="208"/>
      <c r="AB190" s="208"/>
      <c r="AC190" s="208"/>
      <c r="AD190" s="208"/>
      <c r="AE190" s="208"/>
    </row>
    <row r="191" spans="1:31">
      <c r="A191" s="210"/>
      <c r="B191" s="211"/>
      <c r="C191" s="211"/>
      <c r="D191" s="209"/>
      <c r="E191" s="212"/>
      <c r="F191" s="212"/>
      <c r="G191" s="213"/>
      <c r="H191" s="214"/>
      <c r="I191" s="208"/>
      <c r="J191" s="208"/>
      <c r="K191" s="208"/>
      <c r="L191" s="208"/>
      <c r="M191" s="208"/>
      <c r="N191" s="208"/>
      <c r="O191" s="208"/>
      <c r="P191" s="208"/>
      <c r="Q191" s="208"/>
      <c r="R191" s="208"/>
      <c r="S191" s="208"/>
      <c r="T191" s="208"/>
      <c r="U191" s="208"/>
      <c r="V191" s="208"/>
      <c r="W191" s="208"/>
      <c r="X191" s="208"/>
      <c r="Y191" s="208"/>
      <c r="Z191" s="208"/>
      <c r="AA191" s="208"/>
      <c r="AB191" s="208"/>
      <c r="AC191" s="208"/>
      <c r="AD191" s="208"/>
      <c r="AE191" s="208"/>
    </row>
    <row r="192" spans="1:31">
      <c r="A192" s="210"/>
      <c r="B192" s="211"/>
      <c r="C192" s="211"/>
      <c r="D192" s="209"/>
      <c r="E192" s="212"/>
      <c r="F192" s="212"/>
      <c r="G192" s="213"/>
      <c r="H192" s="214"/>
      <c r="I192" s="208"/>
      <c r="J192" s="208"/>
      <c r="K192" s="208"/>
      <c r="L192" s="208"/>
      <c r="M192" s="208"/>
      <c r="N192" s="208"/>
      <c r="O192" s="208"/>
      <c r="P192" s="208"/>
      <c r="Q192" s="208"/>
      <c r="R192" s="208"/>
      <c r="S192" s="208"/>
      <c r="T192" s="208"/>
      <c r="U192" s="208"/>
      <c r="V192" s="208"/>
      <c r="W192" s="208"/>
      <c r="X192" s="208"/>
      <c r="Y192" s="208"/>
      <c r="Z192" s="208"/>
      <c r="AA192" s="208"/>
      <c r="AB192" s="208"/>
      <c r="AC192" s="208"/>
      <c r="AD192" s="208"/>
      <c r="AE192" s="208"/>
    </row>
    <row r="193" spans="1:31">
      <c r="A193" s="210"/>
      <c r="B193" s="211"/>
      <c r="C193" s="211"/>
      <c r="D193" s="209"/>
      <c r="E193" s="212"/>
      <c r="F193" s="212"/>
      <c r="G193" s="213"/>
      <c r="H193" s="214"/>
      <c r="I193" s="208"/>
      <c r="J193" s="208"/>
      <c r="K193" s="208"/>
      <c r="L193" s="208"/>
      <c r="M193" s="208"/>
      <c r="N193" s="208"/>
      <c r="O193" s="208"/>
      <c r="P193" s="208"/>
      <c r="Q193" s="208"/>
      <c r="R193" s="208"/>
      <c r="S193" s="208"/>
      <c r="T193" s="208"/>
      <c r="U193" s="208"/>
      <c r="V193" s="208"/>
      <c r="W193" s="208"/>
      <c r="X193" s="208"/>
      <c r="Y193" s="208"/>
      <c r="Z193" s="208"/>
      <c r="AA193" s="208"/>
      <c r="AB193" s="208"/>
      <c r="AC193" s="208"/>
      <c r="AD193" s="208"/>
      <c r="AE193" s="208"/>
    </row>
    <row r="194" spans="1:31">
      <c r="A194" s="210"/>
      <c r="B194" s="211"/>
      <c r="C194" s="211"/>
      <c r="D194" s="209"/>
      <c r="E194" s="212"/>
      <c r="F194" s="212"/>
      <c r="G194" s="213"/>
      <c r="H194" s="214"/>
      <c r="I194" s="208"/>
      <c r="J194" s="208"/>
      <c r="K194" s="208"/>
      <c r="L194" s="208"/>
      <c r="M194" s="208"/>
      <c r="N194" s="208"/>
      <c r="O194" s="208"/>
      <c r="P194" s="208"/>
      <c r="Q194" s="208"/>
      <c r="R194" s="208"/>
      <c r="S194" s="208"/>
      <c r="T194" s="208"/>
      <c r="U194" s="208"/>
      <c r="V194" s="208"/>
      <c r="W194" s="208"/>
      <c r="X194" s="208"/>
      <c r="Y194" s="208"/>
      <c r="Z194" s="208"/>
      <c r="AA194" s="208"/>
      <c r="AB194" s="208"/>
      <c r="AC194" s="208"/>
      <c r="AD194" s="208"/>
      <c r="AE194" s="208"/>
    </row>
    <row r="195" spans="1:31">
      <c r="A195" s="210"/>
      <c r="B195" s="211"/>
      <c r="C195" s="211"/>
      <c r="D195" s="209"/>
      <c r="E195" s="212"/>
      <c r="F195" s="212"/>
      <c r="G195" s="213"/>
      <c r="H195" s="214"/>
      <c r="I195" s="208"/>
      <c r="J195" s="208"/>
      <c r="K195" s="208"/>
      <c r="L195" s="208"/>
      <c r="M195" s="208"/>
      <c r="N195" s="208"/>
      <c r="O195" s="208"/>
      <c r="P195" s="208"/>
      <c r="Q195" s="208"/>
      <c r="R195" s="208"/>
      <c r="S195" s="208"/>
      <c r="T195" s="208"/>
      <c r="U195" s="208"/>
      <c r="V195" s="208"/>
      <c r="W195" s="208"/>
      <c r="X195" s="208"/>
      <c r="Y195" s="208"/>
      <c r="Z195" s="208"/>
      <c r="AA195" s="208"/>
      <c r="AB195" s="208"/>
      <c r="AC195" s="208"/>
      <c r="AD195" s="208"/>
      <c r="AE195" s="208"/>
    </row>
    <row r="196" spans="1:31">
      <c r="A196" s="210"/>
      <c r="B196" s="211"/>
      <c r="C196" s="211"/>
      <c r="D196" s="209"/>
      <c r="E196" s="212"/>
      <c r="F196" s="212"/>
      <c r="G196" s="213"/>
      <c r="H196" s="214"/>
      <c r="I196" s="208"/>
      <c r="J196" s="208"/>
      <c r="K196" s="208"/>
      <c r="L196" s="208"/>
      <c r="M196" s="208"/>
      <c r="N196" s="208"/>
      <c r="O196" s="208"/>
      <c r="P196" s="208"/>
      <c r="Q196" s="208"/>
      <c r="R196" s="208"/>
      <c r="S196" s="208"/>
      <c r="T196" s="208"/>
      <c r="U196" s="208"/>
      <c r="V196" s="208"/>
      <c r="W196" s="208"/>
      <c r="X196" s="208"/>
      <c r="Y196" s="208"/>
      <c r="Z196" s="208"/>
      <c r="AA196" s="208"/>
      <c r="AB196" s="208"/>
      <c r="AC196" s="208"/>
      <c r="AD196" s="208"/>
      <c r="AE196" s="208"/>
    </row>
    <row r="197" spans="1:31">
      <c r="A197" s="210"/>
      <c r="B197" s="211"/>
      <c r="C197" s="211"/>
      <c r="D197" s="209"/>
      <c r="E197" s="212"/>
      <c r="F197" s="212"/>
      <c r="G197" s="213"/>
      <c r="H197" s="214"/>
      <c r="I197" s="208"/>
      <c r="J197" s="208"/>
      <c r="K197" s="208"/>
      <c r="L197" s="208"/>
      <c r="M197" s="208"/>
      <c r="N197" s="208"/>
      <c r="O197" s="208"/>
      <c r="P197" s="208"/>
      <c r="Q197" s="208"/>
      <c r="R197" s="208"/>
      <c r="S197" s="208"/>
      <c r="T197" s="208"/>
      <c r="U197" s="208"/>
      <c r="V197" s="208"/>
      <c r="W197" s="208"/>
      <c r="X197" s="208"/>
      <c r="Y197" s="208"/>
      <c r="Z197" s="208"/>
      <c r="AA197" s="208"/>
      <c r="AB197" s="208"/>
      <c r="AC197" s="208"/>
      <c r="AD197" s="208"/>
      <c r="AE197" s="208"/>
    </row>
    <row r="198" spans="1:31">
      <c r="A198" s="210"/>
      <c r="B198" s="211"/>
      <c r="C198" s="211"/>
      <c r="D198" s="209"/>
      <c r="E198" s="212"/>
      <c r="F198" s="212"/>
      <c r="G198" s="213"/>
      <c r="H198" s="214"/>
      <c r="I198" s="208"/>
      <c r="J198" s="208"/>
      <c r="K198" s="208"/>
      <c r="L198" s="208"/>
      <c r="M198" s="208"/>
      <c r="N198" s="208"/>
      <c r="O198" s="208"/>
      <c r="P198" s="208"/>
      <c r="Q198" s="208"/>
      <c r="R198" s="208"/>
      <c r="S198" s="208"/>
      <c r="T198" s="208"/>
      <c r="U198" s="208"/>
      <c r="V198" s="208"/>
      <c r="W198" s="208"/>
      <c r="X198" s="208"/>
      <c r="Y198" s="208"/>
      <c r="Z198" s="208"/>
      <c r="AA198" s="208"/>
      <c r="AB198" s="208"/>
      <c r="AC198" s="208"/>
      <c r="AD198" s="208"/>
      <c r="AE198" s="208"/>
    </row>
    <row r="199" spans="1:31">
      <c r="A199" s="210"/>
      <c r="B199" s="211"/>
      <c r="C199" s="211"/>
      <c r="D199" s="209"/>
      <c r="E199" s="212"/>
      <c r="F199" s="212"/>
      <c r="G199" s="213"/>
      <c r="H199" s="214"/>
      <c r="I199" s="208"/>
      <c r="J199" s="208"/>
      <c r="K199" s="208"/>
      <c r="L199" s="208"/>
      <c r="M199" s="208"/>
      <c r="N199" s="208"/>
      <c r="O199" s="208"/>
      <c r="P199" s="208"/>
      <c r="Q199" s="208"/>
      <c r="R199" s="208"/>
      <c r="S199" s="208"/>
      <c r="T199" s="208"/>
      <c r="U199" s="208"/>
      <c r="V199" s="208"/>
      <c r="W199" s="208"/>
      <c r="X199" s="208"/>
      <c r="Y199" s="208"/>
      <c r="Z199" s="208"/>
      <c r="AA199" s="208"/>
      <c r="AB199" s="208"/>
      <c r="AC199" s="208"/>
      <c r="AD199" s="208"/>
      <c r="AE199" s="208"/>
    </row>
    <row r="200" spans="1:31">
      <c r="A200" s="210"/>
      <c r="B200" s="211"/>
      <c r="C200" s="211"/>
      <c r="D200" s="209"/>
      <c r="E200" s="212"/>
      <c r="F200" s="212"/>
      <c r="G200" s="213"/>
      <c r="H200" s="214"/>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208"/>
    </row>
    <row r="201" spans="1:31">
      <c r="A201" s="210"/>
      <c r="B201" s="211"/>
      <c r="C201" s="211"/>
      <c r="D201" s="209"/>
      <c r="E201" s="212"/>
      <c r="F201" s="212"/>
      <c r="G201" s="213"/>
      <c r="H201" s="214"/>
      <c r="I201" s="208"/>
      <c r="J201" s="208"/>
      <c r="K201" s="208"/>
      <c r="L201" s="208"/>
      <c r="M201" s="208"/>
      <c r="N201" s="208"/>
      <c r="O201" s="208"/>
      <c r="P201" s="208"/>
      <c r="Q201" s="208"/>
      <c r="R201" s="208"/>
      <c r="S201" s="208"/>
      <c r="T201" s="208"/>
      <c r="U201" s="208"/>
      <c r="V201" s="208"/>
      <c r="W201" s="208"/>
      <c r="X201" s="208"/>
      <c r="Y201" s="208"/>
      <c r="Z201" s="208"/>
      <c r="AA201" s="208"/>
      <c r="AB201" s="208"/>
      <c r="AC201" s="208"/>
      <c r="AD201" s="208"/>
      <c r="AE201" s="208"/>
    </row>
    <row r="202" spans="1:31">
      <c r="A202" s="210"/>
      <c r="B202" s="211"/>
      <c r="C202" s="211"/>
      <c r="D202" s="209"/>
      <c r="E202" s="212"/>
      <c r="F202" s="212"/>
      <c r="G202" s="213"/>
      <c r="H202" s="214"/>
      <c r="I202" s="208"/>
      <c r="J202" s="208"/>
      <c r="K202" s="208"/>
      <c r="L202" s="208"/>
      <c r="M202" s="208"/>
      <c r="N202" s="208"/>
      <c r="O202" s="208"/>
      <c r="P202" s="208"/>
      <c r="Q202" s="208"/>
      <c r="R202" s="208"/>
      <c r="S202" s="208"/>
      <c r="T202" s="208"/>
      <c r="U202" s="208"/>
      <c r="V202" s="208"/>
      <c r="W202" s="208"/>
      <c r="X202" s="208"/>
      <c r="Y202" s="208"/>
      <c r="Z202" s="208"/>
      <c r="AA202" s="208"/>
      <c r="AB202" s="208"/>
      <c r="AC202" s="208"/>
      <c r="AD202" s="208"/>
      <c r="AE202" s="208"/>
    </row>
    <row r="203" spans="1:31">
      <c r="A203" s="210"/>
      <c r="B203" s="211"/>
      <c r="C203" s="211"/>
      <c r="D203" s="209"/>
      <c r="E203" s="212"/>
      <c r="F203" s="212"/>
      <c r="G203" s="213"/>
      <c r="H203" s="214"/>
      <c r="I203" s="208"/>
      <c r="J203" s="208"/>
      <c r="K203" s="208"/>
      <c r="L203" s="208"/>
      <c r="M203" s="208"/>
      <c r="N203" s="208"/>
      <c r="O203" s="208"/>
      <c r="P203" s="208"/>
      <c r="Q203" s="208"/>
      <c r="R203" s="208"/>
      <c r="S203" s="208"/>
      <c r="T203" s="208"/>
      <c r="U203" s="208"/>
      <c r="V203" s="208"/>
      <c r="W203" s="208"/>
      <c r="X203" s="208"/>
      <c r="Y203" s="208"/>
      <c r="Z203" s="208"/>
      <c r="AA203" s="208"/>
      <c r="AB203" s="208"/>
      <c r="AC203" s="208"/>
      <c r="AD203" s="208"/>
      <c r="AE203" s="208"/>
    </row>
    <row r="204" spans="1:31">
      <c r="A204" s="210"/>
      <c r="B204" s="211"/>
      <c r="C204" s="211"/>
      <c r="D204" s="209"/>
      <c r="E204" s="212"/>
      <c r="F204" s="212"/>
      <c r="G204" s="213"/>
      <c r="H204" s="214"/>
      <c r="I204" s="208"/>
      <c r="J204" s="208"/>
      <c r="K204" s="208"/>
      <c r="L204" s="208"/>
      <c r="M204" s="208"/>
      <c r="N204" s="208"/>
      <c r="O204" s="208"/>
      <c r="P204" s="208"/>
      <c r="Q204" s="208"/>
      <c r="R204" s="208"/>
      <c r="S204" s="208"/>
      <c r="T204" s="208"/>
      <c r="U204" s="208"/>
      <c r="V204" s="208"/>
      <c r="W204" s="208"/>
      <c r="X204" s="208"/>
      <c r="Y204" s="208"/>
      <c r="Z204" s="208"/>
      <c r="AA204" s="208"/>
      <c r="AB204" s="208"/>
      <c r="AC204" s="208"/>
      <c r="AD204" s="208"/>
      <c r="AE204" s="208"/>
    </row>
    <row r="205" spans="1:31">
      <c r="A205" s="210"/>
      <c r="B205" s="211"/>
      <c r="C205" s="211"/>
      <c r="D205" s="209"/>
      <c r="E205" s="212"/>
      <c r="F205" s="212"/>
      <c r="G205" s="213"/>
      <c r="H205" s="214"/>
      <c r="I205" s="208"/>
      <c r="J205" s="208"/>
      <c r="K205" s="208"/>
      <c r="L205" s="208"/>
      <c r="M205" s="208"/>
      <c r="N205" s="208"/>
      <c r="O205" s="208"/>
      <c r="P205" s="208"/>
      <c r="Q205" s="208"/>
      <c r="R205" s="208"/>
      <c r="S205" s="208"/>
      <c r="T205" s="208"/>
      <c r="U205" s="208"/>
      <c r="V205" s="208"/>
      <c r="W205" s="208"/>
      <c r="X205" s="208"/>
      <c r="Y205" s="208"/>
      <c r="Z205" s="208"/>
      <c r="AA205" s="208"/>
      <c r="AB205" s="208"/>
      <c r="AC205" s="208"/>
      <c r="AD205" s="208"/>
      <c r="AE205" s="208"/>
    </row>
    <row r="206" spans="1:31">
      <c r="A206" s="210"/>
      <c r="B206" s="211"/>
      <c r="C206" s="211"/>
      <c r="D206" s="209"/>
      <c r="E206" s="212"/>
      <c r="F206" s="212"/>
      <c r="G206" s="213"/>
      <c r="H206" s="214"/>
      <c r="I206" s="208"/>
      <c r="J206" s="208"/>
      <c r="K206" s="208"/>
      <c r="L206" s="208"/>
      <c r="M206" s="208"/>
      <c r="N206" s="208"/>
      <c r="O206" s="208"/>
      <c r="P206" s="208"/>
      <c r="Q206" s="208"/>
      <c r="R206" s="208"/>
      <c r="S206" s="208"/>
      <c r="T206" s="208"/>
      <c r="U206" s="208"/>
      <c r="V206" s="208"/>
      <c r="W206" s="208"/>
      <c r="X206" s="208"/>
      <c r="Y206" s="208"/>
      <c r="Z206" s="208"/>
      <c r="AA206" s="208"/>
      <c r="AB206" s="208"/>
      <c r="AC206" s="208"/>
      <c r="AD206" s="208"/>
      <c r="AE206" s="208"/>
    </row>
    <row r="207" spans="1:31">
      <c r="A207" s="210"/>
      <c r="B207" s="211"/>
      <c r="C207" s="211"/>
      <c r="D207" s="209"/>
      <c r="E207" s="212"/>
      <c r="F207" s="212"/>
      <c r="G207" s="213"/>
      <c r="H207" s="214"/>
      <c r="I207" s="208"/>
      <c r="J207" s="208"/>
      <c r="K207" s="208"/>
      <c r="L207" s="208"/>
      <c r="M207" s="208"/>
      <c r="N207" s="208"/>
      <c r="O207" s="208"/>
      <c r="P207" s="208"/>
      <c r="Q207" s="208"/>
      <c r="R207" s="208"/>
      <c r="S207" s="208"/>
      <c r="T207" s="208"/>
      <c r="U207" s="208"/>
      <c r="V207" s="208"/>
      <c r="W207" s="208"/>
      <c r="X207" s="208"/>
      <c r="Y207" s="208"/>
      <c r="Z207" s="208"/>
      <c r="AA207" s="208"/>
      <c r="AB207" s="208"/>
      <c r="AC207" s="208"/>
      <c r="AD207" s="208"/>
      <c r="AE207" s="208"/>
    </row>
    <row r="208" spans="1:31">
      <c r="A208" s="210"/>
      <c r="B208" s="211"/>
      <c r="C208" s="211"/>
      <c r="D208" s="209"/>
      <c r="E208" s="212"/>
      <c r="F208" s="212"/>
      <c r="G208" s="213"/>
      <c r="H208" s="214"/>
      <c r="I208" s="208"/>
      <c r="J208" s="208"/>
      <c r="K208" s="208"/>
      <c r="L208" s="208"/>
      <c r="M208" s="208"/>
      <c r="N208" s="208"/>
      <c r="O208" s="208"/>
      <c r="P208" s="208"/>
      <c r="Q208" s="208"/>
      <c r="R208" s="208"/>
      <c r="S208" s="208"/>
      <c r="T208" s="208"/>
      <c r="U208" s="208"/>
      <c r="V208" s="208"/>
      <c r="W208" s="208"/>
      <c r="X208" s="208"/>
      <c r="Y208" s="208"/>
      <c r="Z208" s="208"/>
      <c r="AA208" s="208"/>
      <c r="AB208" s="208"/>
      <c r="AC208" s="208"/>
      <c r="AD208" s="208"/>
      <c r="AE208" s="208"/>
    </row>
    <row r="209" spans="1:31">
      <c r="A209" s="210"/>
      <c r="B209" s="211"/>
      <c r="C209" s="211"/>
      <c r="D209" s="209"/>
      <c r="E209" s="212"/>
      <c r="F209" s="212"/>
      <c r="G209" s="213"/>
      <c r="H209" s="214"/>
      <c r="I209" s="208"/>
      <c r="J209" s="208"/>
      <c r="K209" s="208"/>
      <c r="L209" s="208"/>
      <c r="M209" s="208"/>
      <c r="N209" s="208"/>
      <c r="O209" s="208"/>
      <c r="P209" s="208"/>
      <c r="Q209" s="208"/>
      <c r="R209" s="208"/>
      <c r="S209" s="208"/>
      <c r="T209" s="208"/>
      <c r="U209" s="208"/>
      <c r="V209" s="208"/>
      <c r="W209" s="208"/>
      <c r="X209" s="208"/>
      <c r="Y209" s="208"/>
      <c r="Z209" s="208"/>
      <c r="AA209" s="208"/>
      <c r="AB209" s="208"/>
      <c r="AC209" s="208"/>
      <c r="AD209" s="208"/>
      <c r="AE209" s="208"/>
    </row>
    <row r="210" spans="1:31">
      <c r="A210" s="210"/>
      <c r="B210" s="211"/>
      <c r="C210" s="211"/>
      <c r="D210" s="209"/>
      <c r="E210" s="212"/>
      <c r="F210" s="212"/>
      <c r="G210" s="213"/>
      <c r="H210" s="214"/>
      <c r="I210" s="208"/>
      <c r="J210" s="208"/>
      <c r="K210" s="208"/>
      <c r="L210" s="208"/>
      <c r="M210" s="208"/>
      <c r="N210" s="208"/>
      <c r="O210" s="208"/>
      <c r="P210" s="208"/>
      <c r="Q210" s="208"/>
      <c r="R210" s="208"/>
      <c r="S210" s="208"/>
      <c r="T210" s="208"/>
      <c r="U210" s="208"/>
      <c r="V210" s="208"/>
      <c r="W210" s="208"/>
      <c r="X210" s="208"/>
      <c r="Y210" s="208"/>
      <c r="Z210" s="208"/>
      <c r="AA210" s="208"/>
      <c r="AB210" s="208"/>
      <c r="AC210" s="208"/>
      <c r="AD210" s="208"/>
      <c r="AE210" s="208"/>
    </row>
    <row r="211" spans="1:31">
      <c r="A211" s="210"/>
      <c r="B211" s="211"/>
      <c r="C211" s="211"/>
      <c r="D211" s="209"/>
      <c r="E211" s="212"/>
      <c r="F211" s="212"/>
      <c r="G211" s="213"/>
      <c r="H211" s="214"/>
      <c r="I211" s="208"/>
      <c r="J211" s="208"/>
      <c r="K211" s="208"/>
      <c r="L211" s="208"/>
      <c r="M211" s="208"/>
      <c r="N211" s="208"/>
      <c r="O211" s="208"/>
      <c r="P211" s="208"/>
      <c r="Q211" s="208"/>
      <c r="R211" s="208"/>
      <c r="S211" s="208"/>
      <c r="T211" s="208"/>
      <c r="U211" s="208"/>
      <c r="V211" s="208"/>
      <c r="W211" s="208"/>
      <c r="X211" s="208"/>
      <c r="Y211" s="208"/>
      <c r="Z211" s="208"/>
      <c r="AA211" s="208"/>
      <c r="AB211" s="208"/>
      <c r="AC211" s="208"/>
      <c r="AD211" s="208"/>
      <c r="AE211" s="208"/>
    </row>
  </sheetData>
  <autoFilter ref="A6:L111" xr:uid="{04DE594A-3DD2-49BC-8421-D2C55076B90A}"/>
  <mergeCells count="1">
    <mergeCell ref="A1:H1"/>
  </mergeCells>
  <phoneticPr fontId="5" type="noConversion"/>
  <pageMargins left="0.7" right="0.7" top="0.75" bottom="0.75" header="0.3" footer="0.3"/>
  <pageSetup paperSize="9" scale="63"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E48B-A9BE-4F46-AE43-0A0CC7843D7D}">
  <sheetPr>
    <pageSetUpPr fitToPage="1"/>
  </sheetPr>
  <dimension ref="A1:AS38"/>
  <sheetViews>
    <sheetView showGridLines="0" view="pageBreakPreview" zoomScale="70" zoomScaleNormal="40" zoomScaleSheetLayoutView="70" workbookViewId="0">
      <selection activeCell="O14" sqref="O14"/>
    </sheetView>
  </sheetViews>
  <sheetFormatPr defaultColWidth="9" defaultRowHeight="13.5"/>
  <cols>
    <col min="1" max="1" width="10.5" style="447" customWidth="1"/>
    <col min="2" max="2" width="2.875" style="447" customWidth="1"/>
    <col min="3" max="3" width="17.25" style="447" customWidth="1"/>
    <col min="4" max="11" width="7.75" style="448" customWidth="1"/>
    <col min="12" max="12" width="8" style="448" bestFit="1" customWidth="1"/>
    <col min="13" max="27" width="7.75" style="448" customWidth="1"/>
    <col min="28" max="28" width="6.875" style="448" bestFit="1" customWidth="1"/>
    <col min="29" max="29" width="6.25" style="448" bestFit="1" customWidth="1"/>
    <col min="30" max="31" width="15.125" style="448" bestFit="1" customWidth="1"/>
    <col min="32" max="32" width="14.375" style="448" customWidth="1"/>
    <col min="33" max="37" width="11.5" style="448" customWidth="1"/>
    <col min="38" max="45" width="9" style="448"/>
    <col min="46" max="16384" width="9" style="447"/>
  </cols>
  <sheetData>
    <row r="1" spans="1:36" s="448" customFormat="1" ht="30.75">
      <c r="A1" s="446" t="s">
        <v>2894</v>
      </c>
      <c r="B1" s="447"/>
      <c r="C1" s="447"/>
      <c r="AD1" s="448" t="s">
        <v>2864</v>
      </c>
    </row>
    <row r="2" spans="1:36">
      <c r="AB2" s="474">
        <v>2027</v>
      </c>
      <c r="AC2" s="448" t="s">
        <v>13</v>
      </c>
      <c r="AD2" s="448" t="s">
        <v>3090</v>
      </c>
      <c r="AE2" s="448">
        <f t="shared" ref="AE2:AE3" si="0">AF2*12</f>
        <v>164782728</v>
      </c>
      <c r="AF2" s="448">
        <f>SUM(AG2:AJ2)</f>
        <v>13731894</v>
      </c>
      <c r="AG2" s="448">
        <v>1200000</v>
      </c>
      <c r="AH2" s="448">
        <v>871000</v>
      </c>
      <c r="AI2" s="448">
        <v>2292000</v>
      </c>
      <c r="AJ2" s="448">
        <v>9368894</v>
      </c>
    </row>
    <row r="3" spans="1:36">
      <c r="AB3" s="474">
        <v>2027</v>
      </c>
      <c r="AC3" s="448" t="s">
        <v>13</v>
      </c>
      <c r="AD3" s="448" t="s">
        <v>3091</v>
      </c>
      <c r="AE3" s="448">
        <f t="shared" si="0"/>
        <v>150382728</v>
      </c>
      <c r="AF3" s="448">
        <f>SUM(AG3:AJ3)</f>
        <v>12531894</v>
      </c>
      <c r="AG3" s="448">
        <v>0</v>
      </c>
      <c r="AH3" s="448">
        <v>871000</v>
      </c>
      <c r="AI3" s="448">
        <v>2292000</v>
      </c>
      <c r="AJ3" s="448">
        <v>9368894</v>
      </c>
    </row>
    <row r="4" spans="1:36" s="448" customFormat="1" ht="27" customHeight="1">
      <c r="A4" s="447"/>
      <c r="B4" s="447"/>
      <c r="C4" s="447"/>
      <c r="AA4" s="449" t="s">
        <v>2895</v>
      </c>
      <c r="AB4" s="474">
        <v>2028</v>
      </c>
      <c r="AC4" s="448" t="s">
        <v>13</v>
      </c>
      <c r="AD4" s="448" t="s">
        <v>3090</v>
      </c>
      <c r="AE4" s="448">
        <f t="shared" ref="AE4:AE5" si="1">AF4*12</f>
        <v>172862808</v>
      </c>
      <c r="AF4" s="448">
        <f>SUM(AG4:AJ4)</f>
        <v>14405234</v>
      </c>
      <c r="AG4" s="448">
        <v>1200000</v>
      </c>
      <c r="AH4" s="448">
        <v>871000</v>
      </c>
      <c r="AI4" s="448">
        <v>2436000</v>
      </c>
      <c r="AJ4" s="448">
        <v>9898234</v>
      </c>
    </row>
    <row r="5" spans="1:36" s="448" customFormat="1" ht="44.25" customHeight="1">
      <c r="A5" s="632" t="s">
        <v>154</v>
      </c>
      <c r="B5" s="633"/>
      <c r="C5" s="634"/>
      <c r="D5" s="641" t="s">
        <v>2896</v>
      </c>
      <c r="E5" s="642"/>
      <c r="F5" s="643" t="s">
        <v>2897</v>
      </c>
      <c r="G5" s="644"/>
      <c r="H5" s="645" t="s">
        <v>2898</v>
      </c>
      <c r="I5" s="648" t="s">
        <v>2856</v>
      </c>
      <c r="J5" s="649"/>
      <c r="K5" s="649"/>
      <c r="L5" s="649"/>
      <c r="M5" s="649"/>
      <c r="N5" s="649"/>
      <c r="O5" s="649"/>
      <c r="P5" s="649"/>
      <c r="Q5" s="649"/>
      <c r="R5" s="649"/>
      <c r="S5" s="649"/>
      <c r="T5" s="649"/>
      <c r="U5" s="649"/>
      <c r="V5" s="649"/>
      <c r="W5" s="649"/>
      <c r="X5" s="649"/>
      <c r="Y5" s="649"/>
      <c r="Z5" s="649"/>
      <c r="AA5" s="650"/>
      <c r="AB5" s="474">
        <v>2028</v>
      </c>
      <c r="AC5" s="448" t="s">
        <v>13</v>
      </c>
      <c r="AD5" s="448" t="s">
        <v>3091</v>
      </c>
      <c r="AE5" s="448">
        <f t="shared" si="1"/>
        <v>158462808</v>
      </c>
      <c r="AF5" s="448">
        <f>SUM(AG5:AJ5)</f>
        <v>13205234</v>
      </c>
      <c r="AG5" s="448">
        <v>0</v>
      </c>
      <c r="AH5" s="448">
        <v>871000</v>
      </c>
      <c r="AI5" s="448">
        <v>2436000</v>
      </c>
      <c r="AJ5" s="448">
        <v>9898234</v>
      </c>
    </row>
    <row r="6" spans="1:36" s="448" customFormat="1" ht="19.5" customHeight="1">
      <c r="A6" s="635"/>
      <c r="B6" s="636"/>
      <c r="C6" s="637"/>
      <c r="D6" s="651" t="s">
        <v>2899</v>
      </c>
      <c r="E6" s="652"/>
      <c r="F6" s="653" t="s">
        <v>2900</v>
      </c>
      <c r="G6" s="655" t="s">
        <v>2901</v>
      </c>
      <c r="H6" s="646"/>
      <c r="I6" s="657" t="s">
        <v>2902</v>
      </c>
      <c r="J6" s="658"/>
      <c r="K6" s="658"/>
      <c r="L6" s="649"/>
      <c r="M6" s="658"/>
      <c r="N6" s="658"/>
      <c r="O6" s="658"/>
      <c r="P6" s="658"/>
      <c r="Q6" s="658"/>
      <c r="R6" s="659"/>
      <c r="S6" s="657" t="s">
        <v>2903</v>
      </c>
      <c r="T6" s="658"/>
      <c r="U6" s="658"/>
      <c r="V6" s="658"/>
      <c r="W6" s="658"/>
      <c r="X6" s="658"/>
      <c r="Y6" s="658"/>
      <c r="Z6" s="658"/>
      <c r="AA6" s="659"/>
    </row>
    <row r="7" spans="1:36" s="448" customFormat="1" ht="19.5" customHeight="1">
      <c r="A7" s="638"/>
      <c r="B7" s="639"/>
      <c r="C7" s="640"/>
      <c r="D7" s="450" t="s">
        <v>2902</v>
      </c>
      <c r="E7" s="451" t="s">
        <v>2903</v>
      </c>
      <c r="F7" s="654"/>
      <c r="G7" s="656"/>
      <c r="H7" s="647"/>
      <c r="I7" s="452" t="s">
        <v>2904</v>
      </c>
      <c r="J7" s="450" t="s">
        <v>2905</v>
      </c>
      <c r="K7" s="453" t="s">
        <v>2906</v>
      </c>
      <c r="L7" s="453" t="s">
        <v>2907</v>
      </c>
      <c r="M7" s="454" t="s">
        <v>2908</v>
      </c>
      <c r="N7" s="450" t="s">
        <v>2909</v>
      </c>
      <c r="O7" s="450" t="s">
        <v>2910</v>
      </c>
      <c r="P7" s="450" t="s">
        <v>2911</v>
      </c>
      <c r="Q7" s="450" t="s">
        <v>2912</v>
      </c>
      <c r="R7" s="451" t="s">
        <v>2913</v>
      </c>
      <c r="S7" s="455" t="s">
        <v>2890</v>
      </c>
      <c r="T7" s="450" t="s">
        <v>2892</v>
      </c>
      <c r="U7" s="450" t="s">
        <v>2891</v>
      </c>
      <c r="V7" s="450" t="s">
        <v>2889</v>
      </c>
      <c r="W7" s="450" t="s">
        <v>2914</v>
      </c>
      <c r="X7" s="450" t="s">
        <v>2915</v>
      </c>
      <c r="Y7" s="450" t="s">
        <v>2893</v>
      </c>
      <c r="Z7" s="450" t="s">
        <v>2916</v>
      </c>
      <c r="AA7" s="451" t="s">
        <v>2917</v>
      </c>
    </row>
    <row r="8" spans="1:36" s="448" customFormat="1" ht="26.25" customHeight="1">
      <c r="A8" s="591" t="s">
        <v>2918</v>
      </c>
      <c r="B8" s="594" t="s">
        <v>2919</v>
      </c>
      <c r="C8" s="595"/>
      <c r="D8" s="564" t="s">
        <v>2</v>
      </c>
      <c r="E8" s="567" t="s">
        <v>2</v>
      </c>
      <c r="F8" s="602">
        <v>1200</v>
      </c>
      <c r="G8" s="604">
        <v>1400</v>
      </c>
      <c r="H8" s="578">
        <v>3648</v>
      </c>
      <c r="I8" s="618">
        <v>5432</v>
      </c>
      <c r="J8" s="596">
        <v>4826</v>
      </c>
      <c r="K8" s="630">
        <v>4341</v>
      </c>
      <c r="L8" s="631">
        <f>(K8-M8)/1.8+M8</f>
        <v>4123.666666666667</v>
      </c>
      <c r="M8" s="629">
        <v>3852</v>
      </c>
      <c r="N8" s="596">
        <v>3594</v>
      </c>
      <c r="O8" s="596">
        <v>3378</v>
      </c>
      <c r="P8" s="596">
        <v>2998</v>
      </c>
      <c r="Q8" s="596">
        <v>2917</v>
      </c>
      <c r="R8" s="599">
        <v>2843</v>
      </c>
      <c r="S8" s="629">
        <v>4332</v>
      </c>
      <c r="T8" s="596">
        <v>3726</v>
      </c>
      <c r="U8" s="596">
        <v>3241</v>
      </c>
      <c r="V8" s="596">
        <v>2852</v>
      </c>
      <c r="W8" s="596">
        <v>2594</v>
      </c>
      <c r="X8" s="596">
        <v>2378</v>
      </c>
      <c r="Y8" s="596">
        <v>2198</v>
      </c>
      <c r="Z8" s="596">
        <v>2117</v>
      </c>
      <c r="AA8" s="599">
        <v>2043</v>
      </c>
    </row>
    <row r="9" spans="1:36" s="448" customFormat="1" ht="26.25" customHeight="1">
      <c r="A9" s="592"/>
      <c r="B9" s="611" t="s">
        <v>2920</v>
      </c>
      <c r="C9" s="612"/>
      <c r="D9" s="565"/>
      <c r="E9" s="568"/>
      <c r="F9" s="573"/>
      <c r="G9" s="576"/>
      <c r="H9" s="579"/>
      <c r="I9" s="619"/>
      <c r="J9" s="597"/>
      <c r="K9" s="625"/>
      <c r="L9" s="627"/>
      <c r="M9" s="622"/>
      <c r="N9" s="597"/>
      <c r="O9" s="597"/>
      <c r="P9" s="597"/>
      <c r="Q9" s="597"/>
      <c r="R9" s="600"/>
      <c r="S9" s="622"/>
      <c r="T9" s="597"/>
      <c r="U9" s="597"/>
      <c r="V9" s="597"/>
      <c r="W9" s="597"/>
      <c r="X9" s="597"/>
      <c r="Y9" s="597"/>
      <c r="Z9" s="597"/>
      <c r="AA9" s="600"/>
    </row>
    <row r="10" spans="1:36" s="448" customFormat="1" ht="26.25" customHeight="1">
      <c r="A10" s="592"/>
      <c r="B10" s="611" t="s">
        <v>2921</v>
      </c>
      <c r="C10" s="612"/>
      <c r="D10" s="565"/>
      <c r="E10" s="568"/>
      <c r="F10" s="573"/>
      <c r="G10" s="576"/>
      <c r="H10" s="579"/>
      <c r="I10" s="619">
        <v>5132</v>
      </c>
      <c r="J10" s="597">
        <v>4526</v>
      </c>
      <c r="K10" s="625">
        <v>4041</v>
      </c>
      <c r="L10" s="627">
        <f>(K10-M10)/1.8+M10</f>
        <v>3823.6666666666665</v>
      </c>
      <c r="M10" s="622">
        <v>3552</v>
      </c>
      <c r="N10" s="597">
        <v>3294</v>
      </c>
      <c r="O10" s="597">
        <v>3078</v>
      </c>
      <c r="P10" s="597">
        <v>2698</v>
      </c>
      <c r="Q10" s="597">
        <v>2617</v>
      </c>
      <c r="R10" s="600">
        <v>2543</v>
      </c>
      <c r="S10" s="622">
        <v>4032</v>
      </c>
      <c r="T10" s="597">
        <v>3426</v>
      </c>
      <c r="U10" s="597">
        <v>2941</v>
      </c>
      <c r="V10" s="597">
        <v>2552</v>
      </c>
      <c r="W10" s="597">
        <v>2294</v>
      </c>
      <c r="X10" s="597">
        <v>2078</v>
      </c>
      <c r="Y10" s="597">
        <v>1898</v>
      </c>
      <c r="Z10" s="597">
        <v>1817</v>
      </c>
      <c r="AA10" s="600">
        <v>1743</v>
      </c>
    </row>
    <row r="11" spans="1:36" s="448" customFormat="1" ht="26.25" customHeight="1">
      <c r="A11" s="593"/>
      <c r="B11" s="589" t="s">
        <v>2922</v>
      </c>
      <c r="C11" s="590"/>
      <c r="D11" s="566"/>
      <c r="E11" s="569"/>
      <c r="F11" s="574"/>
      <c r="G11" s="577"/>
      <c r="H11" s="610"/>
      <c r="I11" s="624"/>
      <c r="J11" s="598"/>
      <c r="K11" s="626"/>
      <c r="L11" s="628"/>
      <c r="M11" s="623"/>
      <c r="N11" s="598"/>
      <c r="O11" s="598"/>
      <c r="P11" s="598"/>
      <c r="Q11" s="598"/>
      <c r="R11" s="601"/>
      <c r="S11" s="623"/>
      <c r="T11" s="598"/>
      <c r="U11" s="598"/>
      <c r="V11" s="598"/>
      <c r="W11" s="598"/>
      <c r="X11" s="598"/>
      <c r="Y11" s="598"/>
      <c r="Z11" s="598"/>
      <c r="AA11" s="601"/>
    </row>
    <row r="12" spans="1:36" s="448" customFormat="1" ht="26.25" customHeight="1">
      <c r="A12" s="591" t="s">
        <v>2923</v>
      </c>
      <c r="B12" s="594" t="s">
        <v>2924</v>
      </c>
      <c r="C12" s="595"/>
      <c r="D12" s="596" t="s">
        <v>2925</v>
      </c>
      <c r="E12" s="599" t="s">
        <v>2926</v>
      </c>
      <c r="F12" s="618">
        <v>1200</v>
      </c>
      <c r="G12" s="599">
        <v>1700</v>
      </c>
      <c r="H12" s="620">
        <v>3318</v>
      </c>
      <c r="I12" s="456">
        <v>3011</v>
      </c>
      <c r="J12" s="457">
        <v>2405</v>
      </c>
      <c r="K12" s="458">
        <v>1920</v>
      </c>
      <c r="L12" s="459">
        <v>1560</v>
      </c>
      <c r="M12" s="460">
        <v>1431</v>
      </c>
      <c r="N12" s="457">
        <v>1173</v>
      </c>
      <c r="O12" s="457">
        <v>957</v>
      </c>
      <c r="P12" s="457">
        <v>577</v>
      </c>
      <c r="Q12" s="457">
        <v>496</v>
      </c>
      <c r="R12" s="461">
        <v>421</v>
      </c>
      <c r="S12" s="460">
        <v>2759</v>
      </c>
      <c r="T12" s="457">
        <v>2153</v>
      </c>
      <c r="U12" s="457">
        <v>1668</v>
      </c>
      <c r="V12" s="457">
        <v>1279</v>
      </c>
      <c r="W12" s="457">
        <v>1021</v>
      </c>
      <c r="X12" s="457">
        <v>805</v>
      </c>
      <c r="Y12" s="457">
        <v>625</v>
      </c>
      <c r="Z12" s="457">
        <v>544</v>
      </c>
      <c r="AA12" s="461">
        <v>469</v>
      </c>
    </row>
    <row r="13" spans="1:36" s="448" customFormat="1" ht="26.25" customHeight="1">
      <c r="A13" s="592"/>
      <c r="B13" s="611" t="s">
        <v>2927</v>
      </c>
      <c r="C13" s="612"/>
      <c r="D13" s="597"/>
      <c r="E13" s="600"/>
      <c r="F13" s="619"/>
      <c r="G13" s="600"/>
      <c r="H13" s="621"/>
      <c r="I13" s="462">
        <v>2765</v>
      </c>
      <c r="J13" s="463">
        <v>2208</v>
      </c>
      <c r="K13" s="464">
        <v>1763</v>
      </c>
      <c r="L13" s="465">
        <f t="shared" ref="L13:L15" si="2">(K13-M13)/1.8+M13</f>
        <v>1559.8888888888889</v>
      </c>
      <c r="M13" s="466">
        <v>1306</v>
      </c>
      <c r="N13" s="463">
        <v>1069</v>
      </c>
      <c r="O13" s="463">
        <v>871</v>
      </c>
      <c r="P13" s="463">
        <v>506</v>
      </c>
      <c r="Q13" s="463">
        <v>431</v>
      </c>
      <c r="R13" s="467">
        <v>363</v>
      </c>
      <c r="S13" s="466">
        <v>2444</v>
      </c>
      <c r="T13" s="463">
        <v>1887</v>
      </c>
      <c r="U13" s="463">
        <v>1442</v>
      </c>
      <c r="V13" s="463">
        <v>1085</v>
      </c>
      <c r="W13" s="463">
        <v>848</v>
      </c>
      <c r="X13" s="463">
        <v>650</v>
      </c>
      <c r="Y13" s="463">
        <v>485</v>
      </c>
      <c r="Z13" s="463">
        <v>410</v>
      </c>
      <c r="AA13" s="467">
        <v>342</v>
      </c>
    </row>
    <row r="14" spans="1:36" s="448" customFormat="1" ht="26.25" customHeight="1">
      <c r="A14" s="592"/>
      <c r="B14" s="611" t="s">
        <v>2928</v>
      </c>
      <c r="C14" s="612"/>
      <c r="D14" s="597"/>
      <c r="E14" s="600"/>
      <c r="F14" s="462">
        <v>1150</v>
      </c>
      <c r="G14" s="467">
        <v>1550</v>
      </c>
      <c r="H14" s="468">
        <v>2934</v>
      </c>
      <c r="I14" s="462">
        <v>2211</v>
      </c>
      <c r="J14" s="463">
        <v>1783</v>
      </c>
      <c r="K14" s="464">
        <v>1439</v>
      </c>
      <c r="L14" s="465">
        <f t="shared" si="2"/>
        <v>1272.7777777777778</v>
      </c>
      <c r="M14" s="466">
        <v>1065</v>
      </c>
      <c r="N14" s="463">
        <v>882</v>
      </c>
      <c r="O14" s="463">
        <v>729</v>
      </c>
      <c r="P14" s="463">
        <v>402</v>
      </c>
      <c r="Q14" s="463">
        <v>345</v>
      </c>
      <c r="R14" s="467">
        <v>292</v>
      </c>
      <c r="S14" s="466">
        <v>1711</v>
      </c>
      <c r="T14" s="463">
        <v>1283</v>
      </c>
      <c r="U14" s="463">
        <v>939</v>
      </c>
      <c r="V14" s="463">
        <v>665</v>
      </c>
      <c r="W14" s="463">
        <v>482</v>
      </c>
      <c r="X14" s="463">
        <v>329</v>
      </c>
      <c r="Y14" s="463">
        <v>202</v>
      </c>
      <c r="Z14" s="463">
        <v>145</v>
      </c>
      <c r="AA14" s="467">
        <v>123</v>
      </c>
    </row>
    <row r="15" spans="1:36" s="448" customFormat="1" ht="26.25" customHeight="1">
      <c r="A15" s="592"/>
      <c r="B15" s="611" t="s">
        <v>2929</v>
      </c>
      <c r="C15" s="612"/>
      <c r="D15" s="597"/>
      <c r="E15" s="600"/>
      <c r="F15" s="572">
        <v>1100</v>
      </c>
      <c r="G15" s="575">
        <v>1400</v>
      </c>
      <c r="H15" s="468">
        <v>2549</v>
      </c>
      <c r="I15" s="462">
        <v>1948</v>
      </c>
      <c r="J15" s="463">
        <v>1584</v>
      </c>
      <c r="K15" s="464">
        <v>1293</v>
      </c>
      <c r="L15" s="465">
        <f t="shared" si="2"/>
        <v>1145</v>
      </c>
      <c r="M15" s="466">
        <v>960</v>
      </c>
      <c r="N15" s="463">
        <v>804</v>
      </c>
      <c r="O15" s="463">
        <v>675</v>
      </c>
      <c r="P15" s="463">
        <v>367</v>
      </c>
      <c r="Q15" s="463">
        <v>318</v>
      </c>
      <c r="R15" s="467">
        <v>273</v>
      </c>
      <c r="S15" s="466">
        <v>1358</v>
      </c>
      <c r="T15" s="463">
        <v>994</v>
      </c>
      <c r="U15" s="463">
        <v>703</v>
      </c>
      <c r="V15" s="463">
        <v>470</v>
      </c>
      <c r="W15" s="463">
        <v>314</v>
      </c>
      <c r="X15" s="463">
        <v>185</v>
      </c>
      <c r="Y15" s="585">
        <v>100</v>
      </c>
      <c r="Z15" s="585">
        <v>100</v>
      </c>
      <c r="AA15" s="575">
        <v>100</v>
      </c>
    </row>
    <row r="16" spans="1:36" s="448" customFormat="1" ht="26.25" customHeight="1">
      <c r="A16" s="592"/>
      <c r="B16" s="611" t="s">
        <v>2930</v>
      </c>
      <c r="C16" s="612"/>
      <c r="D16" s="597"/>
      <c r="E16" s="600"/>
      <c r="F16" s="573"/>
      <c r="G16" s="576"/>
      <c r="H16" s="584">
        <v>1626</v>
      </c>
      <c r="I16" s="572">
        <v>1282</v>
      </c>
      <c r="J16" s="585">
        <v>1083</v>
      </c>
      <c r="K16" s="614">
        <v>923</v>
      </c>
      <c r="L16" s="616">
        <v>822</v>
      </c>
      <c r="M16" s="587">
        <v>695</v>
      </c>
      <c r="N16" s="585">
        <v>610</v>
      </c>
      <c r="O16" s="585">
        <v>539</v>
      </c>
      <c r="P16" s="585">
        <v>280</v>
      </c>
      <c r="Q16" s="585">
        <v>254</v>
      </c>
      <c r="R16" s="575">
        <v>229</v>
      </c>
      <c r="S16" s="572">
        <v>476</v>
      </c>
      <c r="T16" s="585">
        <v>277</v>
      </c>
      <c r="U16" s="585">
        <v>117</v>
      </c>
      <c r="V16" s="585">
        <v>100</v>
      </c>
      <c r="W16" s="585">
        <v>100</v>
      </c>
      <c r="X16" s="585">
        <v>100</v>
      </c>
      <c r="Y16" s="613"/>
      <c r="Z16" s="613"/>
      <c r="AA16" s="576"/>
    </row>
    <row r="17" spans="1:27" s="448" customFormat="1" ht="26.25" customHeight="1">
      <c r="A17" s="593"/>
      <c r="B17" s="589" t="s">
        <v>2931</v>
      </c>
      <c r="C17" s="590"/>
      <c r="D17" s="598"/>
      <c r="E17" s="601"/>
      <c r="F17" s="574"/>
      <c r="G17" s="577"/>
      <c r="H17" s="610"/>
      <c r="I17" s="574"/>
      <c r="J17" s="586"/>
      <c r="K17" s="615"/>
      <c r="L17" s="617"/>
      <c r="M17" s="588"/>
      <c r="N17" s="586"/>
      <c r="O17" s="586"/>
      <c r="P17" s="586"/>
      <c r="Q17" s="586"/>
      <c r="R17" s="577"/>
      <c r="S17" s="574"/>
      <c r="T17" s="586"/>
      <c r="U17" s="586"/>
      <c r="V17" s="586"/>
      <c r="W17" s="586"/>
      <c r="X17" s="586"/>
      <c r="Y17" s="586"/>
      <c r="Z17" s="586"/>
      <c r="AA17" s="577"/>
    </row>
    <row r="18" spans="1:27" s="448" customFormat="1" ht="26.25" customHeight="1">
      <c r="A18" s="591" t="s">
        <v>2932</v>
      </c>
      <c r="B18" s="594" t="s">
        <v>2933</v>
      </c>
      <c r="C18" s="595"/>
      <c r="D18" s="596" t="s">
        <v>2925</v>
      </c>
      <c r="E18" s="599" t="s">
        <v>2926</v>
      </c>
      <c r="F18" s="602">
        <v>1200</v>
      </c>
      <c r="G18" s="604">
        <v>1700</v>
      </c>
      <c r="H18" s="578">
        <v>3318</v>
      </c>
      <c r="I18" s="456">
        <v>3011</v>
      </c>
      <c r="J18" s="457">
        <v>2405</v>
      </c>
      <c r="K18" s="458">
        <v>1920</v>
      </c>
      <c r="L18" s="459">
        <v>1560</v>
      </c>
      <c r="M18" s="460">
        <v>1431</v>
      </c>
      <c r="N18" s="457">
        <v>1173</v>
      </c>
      <c r="O18" s="457">
        <v>957</v>
      </c>
      <c r="P18" s="457">
        <v>577</v>
      </c>
      <c r="Q18" s="457">
        <v>496</v>
      </c>
      <c r="R18" s="461">
        <v>421</v>
      </c>
      <c r="S18" s="460">
        <v>2759</v>
      </c>
      <c r="T18" s="457">
        <v>2153</v>
      </c>
      <c r="U18" s="457">
        <v>1668</v>
      </c>
      <c r="V18" s="457">
        <v>1279</v>
      </c>
      <c r="W18" s="457">
        <v>1021</v>
      </c>
      <c r="X18" s="457">
        <v>805</v>
      </c>
      <c r="Y18" s="457">
        <v>625</v>
      </c>
      <c r="Z18" s="457">
        <v>544</v>
      </c>
      <c r="AA18" s="461">
        <v>469</v>
      </c>
    </row>
    <row r="19" spans="1:27" s="448" customFormat="1" ht="26.25" customHeight="1">
      <c r="A19" s="592"/>
      <c r="B19" s="570" t="s">
        <v>2934</v>
      </c>
      <c r="C19" s="571"/>
      <c r="D19" s="597"/>
      <c r="E19" s="600"/>
      <c r="F19" s="573"/>
      <c r="G19" s="576"/>
      <c r="H19" s="579"/>
      <c r="I19" s="462">
        <v>2765</v>
      </c>
      <c r="J19" s="463">
        <v>2208</v>
      </c>
      <c r="K19" s="464">
        <v>1763</v>
      </c>
      <c r="L19" s="465">
        <v>1560</v>
      </c>
      <c r="M19" s="466">
        <v>1306</v>
      </c>
      <c r="N19" s="463">
        <v>1069</v>
      </c>
      <c r="O19" s="463">
        <v>871</v>
      </c>
      <c r="P19" s="463">
        <v>506</v>
      </c>
      <c r="Q19" s="463">
        <v>431</v>
      </c>
      <c r="R19" s="467">
        <v>363</v>
      </c>
      <c r="S19" s="466">
        <v>2444</v>
      </c>
      <c r="T19" s="463">
        <v>1887</v>
      </c>
      <c r="U19" s="463">
        <v>1442</v>
      </c>
      <c r="V19" s="463">
        <v>1085</v>
      </c>
      <c r="W19" s="463">
        <v>848</v>
      </c>
      <c r="X19" s="463">
        <v>650</v>
      </c>
      <c r="Y19" s="463">
        <v>485</v>
      </c>
      <c r="Z19" s="463">
        <v>410</v>
      </c>
      <c r="AA19" s="467">
        <v>342</v>
      </c>
    </row>
    <row r="20" spans="1:27" s="448" customFormat="1" ht="26.25" customHeight="1">
      <c r="A20" s="592"/>
      <c r="B20" s="570" t="s">
        <v>2935</v>
      </c>
      <c r="C20" s="571"/>
      <c r="D20" s="597"/>
      <c r="E20" s="600"/>
      <c r="F20" s="603"/>
      <c r="G20" s="605"/>
      <c r="H20" s="580"/>
      <c r="I20" s="462">
        <v>2519</v>
      </c>
      <c r="J20" s="463">
        <v>2016</v>
      </c>
      <c r="K20" s="464">
        <v>1614</v>
      </c>
      <c r="L20" s="465">
        <v>1426</v>
      </c>
      <c r="M20" s="466">
        <v>1192</v>
      </c>
      <c r="N20" s="463">
        <v>978</v>
      </c>
      <c r="O20" s="463">
        <v>799</v>
      </c>
      <c r="P20" s="463">
        <v>450</v>
      </c>
      <c r="Q20" s="463">
        <v>383</v>
      </c>
      <c r="R20" s="467">
        <v>321</v>
      </c>
      <c r="S20" s="466">
        <v>2122</v>
      </c>
      <c r="T20" s="463">
        <v>1619</v>
      </c>
      <c r="U20" s="463">
        <v>1217</v>
      </c>
      <c r="V20" s="463">
        <v>895</v>
      </c>
      <c r="W20" s="463">
        <v>681</v>
      </c>
      <c r="X20" s="463">
        <v>502</v>
      </c>
      <c r="Y20" s="463">
        <v>353</v>
      </c>
      <c r="Z20" s="463">
        <v>286</v>
      </c>
      <c r="AA20" s="467">
        <v>224</v>
      </c>
    </row>
    <row r="21" spans="1:27" s="448" customFormat="1" ht="26.25" customHeight="1">
      <c r="A21" s="592"/>
      <c r="B21" s="570" t="s">
        <v>2936</v>
      </c>
      <c r="C21" s="571"/>
      <c r="D21" s="597"/>
      <c r="E21" s="600"/>
      <c r="F21" s="462">
        <v>1150</v>
      </c>
      <c r="G21" s="467">
        <v>1550</v>
      </c>
      <c r="H21" s="468">
        <v>2934</v>
      </c>
      <c r="I21" s="462">
        <v>2211</v>
      </c>
      <c r="J21" s="463">
        <v>1783</v>
      </c>
      <c r="K21" s="464">
        <v>1439</v>
      </c>
      <c r="L21" s="465">
        <v>1273</v>
      </c>
      <c r="M21" s="466">
        <v>1065</v>
      </c>
      <c r="N21" s="463">
        <v>882</v>
      </c>
      <c r="O21" s="463">
        <v>729</v>
      </c>
      <c r="P21" s="463">
        <v>402</v>
      </c>
      <c r="Q21" s="463">
        <v>345</v>
      </c>
      <c r="R21" s="467">
        <v>292</v>
      </c>
      <c r="S21" s="466">
        <v>1711</v>
      </c>
      <c r="T21" s="463">
        <v>1283</v>
      </c>
      <c r="U21" s="463">
        <v>939</v>
      </c>
      <c r="V21" s="463">
        <v>665</v>
      </c>
      <c r="W21" s="463">
        <v>482</v>
      </c>
      <c r="X21" s="463">
        <v>329</v>
      </c>
      <c r="Y21" s="463">
        <v>202</v>
      </c>
      <c r="Z21" s="463">
        <v>145</v>
      </c>
      <c r="AA21" s="467">
        <v>123</v>
      </c>
    </row>
    <row r="22" spans="1:27" s="448" customFormat="1" ht="26.25" customHeight="1">
      <c r="A22" s="592"/>
      <c r="B22" s="570" t="s">
        <v>2937</v>
      </c>
      <c r="C22" s="571"/>
      <c r="D22" s="597"/>
      <c r="E22" s="600"/>
      <c r="F22" s="572">
        <v>1100</v>
      </c>
      <c r="G22" s="575">
        <v>1400</v>
      </c>
      <c r="H22" s="584">
        <v>2549</v>
      </c>
      <c r="I22" s="462">
        <v>1948</v>
      </c>
      <c r="J22" s="463">
        <v>1584</v>
      </c>
      <c r="K22" s="464">
        <v>1293</v>
      </c>
      <c r="L22" s="465">
        <v>1145</v>
      </c>
      <c r="M22" s="466">
        <v>960</v>
      </c>
      <c r="N22" s="463">
        <v>804</v>
      </c>
      <c r="O22" s="463">
        <v>675</v>
      </c>
      <c r="P22" s="463">
        <v>367</v>
      </c>
      <c r="Q22" s="463">
        <v>318</v>
      </c>
      <c r="R22" s="467">
        <v>273</v>
      </c>
      <c r="S22" s="466">
        <v>1358</v>
      </c>
      <c r="T22" s="463">
        <v>994</v>
      </c>
      <c r="U22" s="463">
        <v>703</v>
      </c>
      <c r="V22" s="463">
        <v>470</v>
      </c>
      <c r="W22" s="463">
        <v>314</v>
      </c>
      <c r="X22" s="463">
        <v>185</v>
      </c>
      <c r="Y22" s="585">
        <v>100</v>
      </c>
      <c r="Z22" s="585">
        <v>100</v>
      </c>
      <c r="AA22" s="575">
        <v>100</v>
      </c>
    </row>
    <row r="23" spans="1:27" s="448" customFormat="1" ht="26.25" customHeight="1">
      <c r="A23" s="592"/>
      <c r="B23" s="570" t="s">
        <v>2938</v>
      </c>
      <c r="C23" s="571"/>
      <c r="D23" s="597"/>
      <c r="E23" s="600"/>
      <c r="F23" s="573"/>
      <c r="G23" s="576"/>
      <c r="H23" s="580"/>
      <c r="I23" s="462">
        <v>1615</v>
      </c>
      <c r="J23" s="463">
        <v>1332</v>
      </c>
      <c r="K23" s="464">
        <v>1105</v>
      </c>
      <c r="L23" s="465">
        <v>980</v>
      </c>
      <c r="M23" s="466">
        <v>824</v>
      </c>
      <c r="N23" s="463">
        <v>703</v>
      </c>
      <c r="O23" s="463">
        <v>602</v>
      </c>
      <c r="P23" s="463">
        <v>318</v>
      </c>
      <c r="Q23" s="463">
        <v>280</v>
      </c>
      <c r="R23" s="467">
        <v>245</v>
      </c>
      <c r="S23" s="466">
        <v>917</v>
      </c>
      <c r="T23" s="463">
        <v>634</v>
      </c>
      <c r="U23" s="463">
        <v>407</v>
      </c>
      <c r="V23" s="463">
        <v>226</v>
      </c>
      <c r="W23" s="463">
        <v>105</v>
      </c>
      <c r="X23" s="585">
        <v>100</v>
      </c>
      <c r="Y23" s="613"/>
      <c r="Z23" s="613"/>
      <c r="AA23" s="576"/>
    </row>
    <row r="24" spans="1:27" s="448" customFormat="1" ht="26.25" customHeight="1">
      <c r="A24" s="592"/>
      <c r="B24" s="606" t="s">
        <v>2939</v>
      </c>
      <c r="C24" s="607"/>
      <c r="D24" s="597"/>
      <c r="E24" s="600"/>
      <c r="F24" s="573"/>
      <c r="G24" s="576"/>
      <c r="H24" s="584">
        <v>1626</v>
      </c>
      <c r="I24" s="572">
        <v>1282</v>
      </c>
      <c r="J24" s="585">
        <v>1083</v>
      </c>
      <c r="K24" s="614">
        <v>923</v>
      </c>
      <c r="L24" s="616">
        <v>822</v>
      </c>
      <c r="M24" s="587">
        <v>695</v>
      </c>
      <c r="N24" s="585">
        <v>610</v>
      </c>
      <c r="O24" s="585">
        <v>539</v>
      </c>
      <c r="P24" s="585">
        <v>280</v>
      </c>
      <c r="Q24" s="585">
        <v>254</v>
      </c>
      <c r="R24" s="575">
        <v>229</v>
      </c>
      <c r="S24" s="587">
        <v>476</v>
      </c>
      <c r="T24" s="585">
        <v>277</v>
      </c>
      <c r="U24" s="585">
        <v>117</v>
      </c>
      <c r="V24" s="585">
        <v>100</v>
      </c>
      <c r="W24" s="585">
        <v>100</v>
      </c>
      <c r="X24" s="613"/>
      <c r="Y24" s="613"/>
      <c r="Z24" s="613"/>
      <c r="AA24" s="576"/>
    </row>
    <row r="25" spans="1:27" s="448" customFormat="1" ht="26.25" customHeight="1">
      <c r="A25" s="593"/>
      <c r="B25" s="608"/>
      <c r="C25" s="609"/>
      <c r="D25" s="598"/>
      <c r="E25" s="601"/>
      <c r="F25" s="574"/>
      <c r="G25" s="577"/>
      <c r="H25" s="610"/>
      <c r="I25" s="574"/>
      <c r="J25" s="586"/>
      <c r="K25" s="615">
        <v>923</v>
      </c>
      <c r="L25" s="617"/>
      <c r="M25" s="588">
        <v>695</v>
      </c>
      <c r="N25" s="586">
        <v>610</v>
      </c>
      <c r="O25" s="586">
        <v>539</v>
      </c>
      <c r="P25" s="586">
        <v>280</v>
      </c>
      <c r="Q25" s="586">
        <v>254</v>
      </c>
      <c r="R25" s="577">
        <v>229</v>
      </c>
      <c r="S25" s="588">
        <v>476</v>
      </c>
      <c r="T25" s="586">
        <v>277</v>
      </c>
      <c r="U25" s="586">
        <v>117</v>
      </c>
      <c r="V25" s="586">
        <v>100</v>
      </c>
      <c r="W25" s="586">
        <v>100</v>
      </c>
      <c r="X25" s="586"/>
      <c r="Y25" s="586"/>
      <c r="Z25" s="586"/>
      <c r="AA25" s="577"/>
    </row>
    <row r="26" spans="1:27" s="448" customFormat="1" ht="26.25" customHeight="1">
      <c r="A26" s="591" t="s">
        <v>2940</v>
      </c>
      <c r="B26" s="594" t="s">
        <v>2941</v>
      </c>
      <c r="C26" s="595"/>
      <c r="D26" s="596" t="s">
        <v>2925</v>
      </c>
      <c r="E26" s="599" t="s">
        <v>2926</v>
      </c>
      <c r="F26" s="456">
        <v>1200</v>
      </c>
      <c r="G26" s="461">
        <v>1700</v>
      </c>
      <c r="H26" s="469">
        <v>3318</v>
      </c>
      <c r="I26" s="456">
        <v>1763</v>
      </c>
      <c r="J26" s="457">
        <v>1426</v>
      </c>
      <c r="K26" s="457">
        <v>1157</v>
      </c>
      <c r="L26" s="457">
        <f>(K26-M26)/1.8+M26</f>
        <v>1016.5555555555555</v>
      </c>
      <c r="M26" s="460">
        <v>841</v>
      </c>
      <c r="N26" s="457">
        <v>697</v>
      </c>
      <c r="O26" s="457">
        <v>578</v>
      </c>
      <c r="P26" s="457">
        <v>278</v>
      </c>
      <c r="Q26" s="457">
        <v>233</v>
      </c>
      <c r="R26" s="461">
        <v>191</v>
      </c>
      <c r="S26" s="581" t="s">
        <v>2</v>
      </c>
      <c r="T26" s="564" t="s">
        <v>2</v>
      </c>
      <c r="U26" s="564" t="s">
        <v>2</v>
      </c>
      <c r="V26" s="564" t="s">
        <v>2</v>
      </c>
      <c r="W26" s="564" t="s">
        <v>2</v>
      </c>
      <c r="X26" s="564" t="s">
        <v>2</v>
      </c>
      <c r="Y26" s="564" t="s">
        <v>2</v>
      </c>
      <c r="Z26" s="564" t="s">
        <v>2</v>
      </c>
      <c r="AA26" s="567" t="s">
        <v>2</v>
      </c>
    </row>
    <row r="27" spans="1:27" s="448" customFormat="1" ht="26.25" customHeight="1">
      <c r="A27" s="592"/>
      <c r="B27" s="611" t="s">
        <v>2942</v>
      </c>
      <c r="C27" s="612"/>
      <c r="D27" s="597"/>
      <c r="E27" s="600"/>
      <c r="F27" s="462">
        <v>1150</v>
      </c>
      <c r="G27" s="467">
        <v>1550</v>
      </c>
      <c r="H27" s="468">
        <v>2934</v>
      </c>
      <c r="I27" s="462">
        <v>1471</v>
      </c>
      <c r="J27" s="463">
        <v>1208</v>
      </c>
      <c r="K27" s="463">
        <v>997</v>
      </c>
      <c r="L27" s="463">
        <v>878</v>
      </c>
      <c r="M27" s="466">
        <v>729</v>
      </c>
      <c r="N27" s="463">
        <v>616</v>
      </c>
      <c r="O27" s="463">
        <v>527</v>
      </c>
      <c r="P27" s="463">
        <v>235</v>
      </c>
      <c r="Q27" s="463">
        <v>194</v>
      </c>
      <c r="R27" s="467">
        <v>155</v>
      </c>
      <c r="S27" s="582"/>
      <c r="T27" s="565"/>
      <c r="U27" s="565"/>
      <c r="V27" s="565"/>
      <c r="W27" s="565"/>
      <c r="X27" s="565"/>
      <c r="Y27" s="565"/>
      <c r="Z27" s="565"/>
      <c r="AA27" s="568"/>
    </row>
    <row r="28" spans="1:27" s="448" customFormat="1" ht="26.25" customHeight="1">
      <c r="A28" s="592"/>
      <c r="B28" s="611" t="s">
        <v>2943</v>
      </c>
      <c r="C28" s="612"/>
      <c r="D28" s="597"/>
      <c r="E28" s="600"/>
      <c r="F28" s="572">
        <v>1100</v>
      </c>
      <c r="G28" s="575">
        <v>1400</v>
      </c>
      <c r="H28" s="468">
        <v>2549</v>
      </c>
      <c r="I28" s="462">
        <v>1407</v>
      </c>
      <c r="J28" s="463">
        <v>1175</v>
      </c>
      <c r="K28" s="463">
        <v>990</v>
      </c>
      <c r="L28" s="463">
        <v>866</v>
      </c>
      <c r="M28" s="466">
        <v>712</v>
      </c>
      <c r="N28" s="463">
        <v>612</v>
      </c>
      <c r="O28" s="463">
        <v>509</v>
      </c>
      <c r="P28" s="463">
        <v>220</v>
      </c>
      <c r="Q28" s="463">
        <v>180</v>
      </c>
      <c r="R28" s="467">
        <v>143</v>
      </c>
      <c r="S28" s="582"/>
      <c r="T28" s="565"/>
      <c r="U28" s="565"/>
      <c r="V28" s="565"/>
      <c r="W28" s="565"/>
      <c r="X28" s="565"/>
      <c r="Y28" s="565"/>
      <c r="Z28" s="565"/>
      <c r="AA28" s="568"/>
    </row>
    <row r="29" spans="1:27" s="448" customFormat="1" ht="26.25" customHeight="1">
      <c r="A29" s="592"/>
      <c r="B29" s="611" t="s">
        <v>2944</v>
      </c>
      <c r="C29" s="612"/>
      <c r="D29" s="597"/>
      <c r="E29" s="600"/>
      <c r="F29" s="573"/>
      <c r="G29" s="576"/>
      <c r="H29" s="584">
        <v>1626</v>
      </c>
      <c r="I29" s="572">
        <v>1028</v>
      </c>
      <c r="J29" s="585">
        <v>887</v>
      </c>
      <c r="K29" s="585">
        <v>774</v>
      </c>
      <c r="L29" s="585">
        <v>691</v>
      </c>
      <c r="M29" s="587">
        <v>587</v>
      </c>
      <c r="N29" s="585">
        <v>528</v>
      </c>
      <c r="O29" s="585">
        <v>407</v>
      </c>
      <c r="P29" s="585">
        <v>169</v>
      </c>
      <c r="Q29" s="585">
        <v>145</v>
      </c>
      <c r="R29" s="575">
        <v>121</v>
      </c>
      <c r="S29" s="582"/>
      <c r="T29" s="565"/>
      <c r="U29" s="565"/>
      <c r="V29" s="565"/>
      <c r="W29" s="565"/>
      <c r="X29" s="565"/>
      <c r="Y29" s="565"/>
      <c r="Z29" s="565"/>
      <c r="AA29" s="568"/>
    </row>
    <row r="30" spans="1:27" s="448" customFormat="1" ht="26.25" customHeight="1">
      <c r="A30" s="593"/>
      <c r="B30" s="589" t="s">
        <v>2945</v>
      </c>
      <c r="C30" s="590"/>
      <c r="D30" s="598"/>
      <c r="E30" s="601"/>
      <c r="F30" s="574"/>
      <c r="G30" s="577"/>
      <c r="H30" s="610"/>
      <c r="I30" s="574"/>
      <c r="J30" s="586"/>
      <c r="K30" s="586"/>
      <c r="L30" s="586"/>
      <c r="M30" s="588"/>
      <c r="N30" s="586"/>
      <c r="O30" s="586"/>
      <c r="P30" s="586"/>
      <c r="Q30" s="586"/>
      <c r="R30" s="577"/>
      <c r="S30" s="583"/>
      <c r="T30" s="566"/>
      <c r="U30" s="566"/>
      <c r="V30" s="566"/>
      <c r="W30" s="566"/>
      <c r="X30" s="566"/>
      <c r="Y30" s="566"/>
      <c r="Z30" s="566"/>
      <c r="AA30" s="569"/>
    </row>
    <row r="31" spans="1:27" s="448" customFormat="1" ht="26.25" customHeight="1">
      <c r="A31" s="591" t="s">
        <v>2946</v>
      </c>
      <c r="B31" s="594" t="s">
        <v>2947</v>
      </c>
      <c r="C31" s="595"/>
      <c r="D31" s="596" t="s">
        <v>2925</v>
      </c>
      <c r="E31" s="599" t="s">
        <v>2926</v>
      </c>
      <c r="F31" s="602">
        <v>1200</v>
      </c>
      <c r="G31" s="604">
        <v>1700</v>
      </c>
      <c r="H31" s="578">
        <v>3318</v>
      </c>
      <c r="I31" s="456">
        <v>1982</v>
      </c>
      <c r="J31" s="457">
        <v>1604.9999999999995</v>
      </c>
      <c r="K31" s="457">
        <v>1305</v>
      </c>
      <c r="L31" s="457">
        <v>1017</v>
      </c>
      <c r="M31" s="460">
        <v>963.00000000000011</v>
      </c>
      <c r="N31" s="457">
        <v>803.00000000000011</v>
      </c>
      <c r="O31" s="457">
        <v>671.00000000000011</v>
      </c>
      <c r="P31" s="457">
        <v>358.99999999999989</v>
      </c>
      <c r="Q31" s="457">
        <v>308.99999999999989</v>
      </c>
      <c r="R31" s="461">
        <v>261.99999999999989</v>
      </c>
      <c r="S31" s="581" t="s">
        <v>2</v>
      </c>
      <c r="T31" s="564" t="s">
        <v>2</v>
      </c>
      <c r="U31" s="564" t="s">
        <v>2</v>
      </c>
      <c r="V31" s="564" t="s">
        <v>2</v>
      </c>
      <c r="W31" s="564" t="s">
        <v>2</v>
      </c>
      <c r="X31" s="564" t="s">
        <v>2</v>
      </c>
      <c r="Y31" s="564" t="s">
        <v>2</v>
      </c>
      <c r="Z31" s="564" t="s">
        <v>2</v>
      </c>
      <c r="AA31" s="567" t="s">
        <v>2</v>
      </c>
    </row>
    <row r="32" spans="1:27" s="448" customFormat="1" ht="26.25" customHeight="1">
      <c r="A32" s="592"/>
      <c r="B32" s="570" t="s">
        <v>2948</v>
      </c>
      <c r="C32" s="571"/>
      <c r="D32" s="597"/>
      <c r="E32" s="600"/>
      <c r="F32" s="573"/>
      <c r="G32" s="576"/>
      <c r="H32" s="579"/>
      <c r="I32" s="462">
        <v>1763</v>
      </c>
      <c r="J32" s="463">
        <v>1426</v>
      </c>
      <c r="K32" s="463">
        <v>1157</v>
      </c>
      <c r="L32" s="463">
        <f>(K32-M32)/1.8+M32</f>
        <v>1016.5555555555555</v>
      </c>
      <c r="M32" s="466">
        <v>841</v>
      </c>
      <c r="N32" s="463">
        <v>697</v>
      </c>
      <c r="O32" s="463">
        <v>578</v>
      </c>
      <c r="P32" s="463">
        <v>278</v>
      </c>
      <c r="Q32" s="463">
        <v>233</v>
      </c>
      <c r="R32" s="467">
        <v>191</v>
      </c>
      <c r="S32" s="582"/>
      <c r="T32" s="565"/>
      <c r="U32" s="565"/>
      <c r="V32" s="565"/>
      <c r="W32" s="565"/>
      <c r="X32" s="565"/>
      <c r="Y32" s="565"/>
      <c r="Z32" s="565"/>
      <c r="AA32" s="568"/>
    </row>
    <row r="33" spans="1:27" s="448" customFormat="1" ht="26.25" customHeight="1">
      <c r="A33" s="592"/>
      <c r="B33" s="570" t="s">
        <v>2949</v>
      </c>
      <c r="C33" s="571"/>
      <c r="D33" s="597"/>
      <c r="E33" s="600"/>
      <c r="F33" s="603"/>
      <c r="G33" s="605"/>
      <c r="H33" s="580"/>
      <c r="I33" s="462">
        <v>1578</v>
      </c>
      <c r="J33" s="463">
        <v>1277</v>
      </c>
      <c r="K33" s="463">
        <v>1037</v>
      </c>
      <c r="L33" s="463">
        <f t="shared" ref="L33:L36" si="3">(K33-M33)/1.8+M33</f>
        <v>907.22222222222217</v>
      </c>
      <c r="M33" s="466">
        <v>745</v>
      </c>
      <c r="N33" s="463">
        <v>655</v>
      </c>
      <c r="O33" s="463">
        <v>544</v>
      </c>
      <c r="P33" s="463">
        <v>249</v>
      </c>
      <c r="Q33" s="463">
        <v>207</v>
      </c>
      <c r="R33" s="467">
        <v>167</v>
      </c>
      <c r="S33" s="582"/>
      <c r="T33" s="565"/>
      <c r="U33" s="565"/>
      <c r="V33" s="565"/>
      <c r="W33" s="565"/>
      <c r="X33" s="565"/>
      <c r="Y33" s="565"/>
      <c r="Z33" s="565"/>
      <c r="AA33" s="568"/>
    </row>
    <row r="34" spans="1:27" s="448" customFormat="1" ht="26.25" customHeight="1">
      <c r="A34" s="592"/>
      <c r="B34" s="570" t="s">
        <v>2950</v>
      </c>
      <c r="C34" s="571"/>
      <c r="D34" s="597"/>
      <c r="E34" s="600"/>
      <c r="F34" s="462">
        <v>1150</v>
      </c>
      <c r="G34" s="467">
        <v>1550</v>
      </c>
      <c r="H34" s="468">
        <v>2934</v>
      </c>
      <c r="I34" s="462">
        <v>1471</v>
      </c>
      <c r="J34" s="463">
        <v>1208</v>
      </c>
      <c r="K34" s="463">
        <v>997</v>
      </c>
      <c r="L34" s="463">
        <f t="shared" si="3"/>
        <v>877.88888888888891</v>
      </c>
      <c r="M34" s="466">
        <v>729</v>
      </c>
      <c r="N34" s="463">
        <v>616</v>
      </c>
      <c r="O34" s="463">
        <v>527</v>
      </c>
      <c r="P34" s="463">
        <v>235</v>
      </c>
      <c r="Q34" s="463">
        <v>194</v>
      </c>
      <c r="R34" s="467">
        <v>155</v>
      </c>
      <c r="S34" s="582"/>
      <c r="T34" s="565"/>
      <c r="U34" s="565"/>
      <c r="V34" s="565"/>
      <c r="W34" s="565"/>
      <c r="X34" s="565"/>
      <c r="Y34" s="565"/>
      <c r="Z34" s="565"/>
      <c r="AA34" s="568"/>
    </row>
    <row r="35" spans="1:27" s="448" customFormat="1" ht="26.25" customHeight="1">
      <c r="A35" s="592"/>
      <c r="B35" s="570" t="s">
        <v>2951</v>
      </c>
      <c r="C35" s="571"/>
      <c r="D35" s="597"/>
      <c r="E35" s="600"/>
      <c r="F35" s="572">
        <v>1100</v>
      </c>
      <c r="G35" s="575">
        <v>1400</v>
      </c>
      <c r="H35" s="584">
        <v>2549</v>
      </c>
      <c r="I35" s="462">
        <v>1407</v>
      </c>
      <c r="J35" s="463">
        <v>1175</v>
      </c>
      <c r="K35" s="463">
        <v>990</v>
      </c>
      <c r="L35" s="463">
        <f t="shared" si="3"/>
        <v>866.44444444444446</v>
      </c>
      <c r="M35" s="466">
        <v>712</v>
      </c>
      <c r="N35" s="463">
        <v>612</v>
      </c>
      <c r="O35" s="463">
        <v>509</v>
      </c>
      <c r="P35" s="463">
        <v>220</v>
      </c>
      <c r="Q35" s="463">
        <v>180</v>
      </c>
      <c r="R35" s="467">
        <v>143</v>
      </c>
      <c r="S35" s="582"/>
      <c r="T35" s="565"/>
      <c r="U35" s="565"/>
      <c r="V35" s="565"/>
      <c r="W35" s="565"/>
      <c r="X35" s="565"/>
      <c r="Y35" s="565"/>
      <c r="Z35" s="565"/>
      <c r="AA35" s="568"/>
    </row>
    <row r="36" spans="1:27" s="448" customFormat="1" ht="26.25" customHeight="1">
      <c r="A36" s="592"/>
      <c r="B36" s="570" t="s">
        <v>2952</v>
      </c>
      <c r="C36" s="571"/>
      <c r="D36" s="597"/>
      <c r="E36" s="600"/>
      <c r="F36" s="573"/>
      <c r="G36" s="576"/>
      <c r="H36" s="580"/>
      <c r="I36" s="462">
        <v>1295</v>
      </c>
      <c r="J36" s="463">
        <v>1090</v>
      </c>
      <c r="K36" s="463">
        <v>926</v>
      </c>
      <c r="L36" s="463">
        <f t="shared" si="3"/>
        <v>823.33333333333337</v>
      </c>
      <c r="M36" s="466">
        <v>695</v>
      </c>
      <c r="N36" s="463">
        <v>608</v>
      </c>
      <c r="O36" s="463">
        <v>454</v>
      </c>
      <c r="P36" s="463">
        <v>191</v>
      </c>
      <c r="Q36" s="463">
        <v>159</v>
      </c>
      <c r="R36" s="467">
        <v>129</v>
      </c>
      <c r="S36" s="582"/>
      <c r="T36" s="565"/>
      <c r="U36" s="565"/>
      <c r="V36" s="565"/>
      <c r="W36" s="565"/>
      <c r="X36" s="565"/>
      <c r="Y36" s="565"/>
      <c r="Z36" s="565"/>
      <c r="AA36" s="568"/>
    </row>
    <row r="37" spans="1:27" s="448" customFormat="1" ht="26.25" customHeight="1">
      <c r="A37" s="592"/>
      <c r="B37" s="606" t="s">
        <v>2953</v>
      </c>
      <c r="C37" s="607"/>
      <c r="D37" s="597"/>
      <c r="E37" s="600"/>
      <c r="F37" s="573"/>
      <c r="G37" s="576"/>
      <c r="H37" s="584">
        <v>1626</v>
      </c>
      <c r="I37" s="572">
        <v>1028</v>
      </c>
      <c r="J37" s="585">
        <v>887</v>
      </c>
      <c r="K37" s="585">
        <v>774</v>
      </c>
      <c r="L37" s="585">
        <v>691</v>
      </c>
      <c r="M37" s="587">
        <v>587</v>
      </c>
      <c r="N37" s="585">
        <v>528</v>
      </c>
      <c r="O37" s="585">
        <v>407</v>
      </c>
      <c r="P37" s="585">
        <v>169</v>
      </c>
      <c r="Q37" s="585">
        <v>145</v>
      </c>
      <c r="R37" s="575">
        <v>121</v>
      </c>
      <c r="S37" s="582"/>
      <c r="T37" s="565"/>
      <c r="U37" s="565"/>
      <c r="V37" s="565"/>
      <c r="W37" s="565"/>
      <c r="X37" s="565"/>
      <c r="Y37" s="565"/>
      <c r="Z37" s="565"/>
      <c r="AA37" s="568"/>
    </row>
    <row r="38" spans="1:27" s="448" customFormat="1" ht="26.25" customHeight="1">
      <c r="A38" s="593"/>
      <c r="B38" s="608"/>
      <c r="C38" s="609"/>
      <c r="D38" s="598"/>
      <c r="E38" s="601"/>
      <c r="F38" s="574"/>
      <c r="G38" s="577"/>
      <c r="H38" s="610"/>
      <c r="I38" s="574"/>
      <c r="J38" s="586"/>
      <c r="K38" s="586"/>
      <c r="L38" s="586"/>
      <c r="M38" s="588"/>
      <c r="N38" s="586"/>
      <c r="O38" s="586"/>
      <c r="P38" s="586"/>
      <c r="Q38" s="586"/>
      <c r="R38" s="577"/>
      <c r="S38" s="583"/>
      <c r="T38" s="566"/>
      <c r="U38" s="566"/>
      <c r="V38" s="566"/>
      <c r="W38" s="566"/>
      <c r="X38" s="566"/>
      <c r="Y38" s="566"/>
      <c r="Z38" s="566"/>
      <c r="AA38" s="569"/>
    </row>
  </sheetData>
  <mergeCells count="194">
    <mergeCell ref="A5:C7"/>
    <mergeCell ref="D5:E5"/>
    <mergeCell ref="F5:G5"/>
    <mergeCell ref="H5:H7"/>
    <mergeCell ref="I5:AA5"/>
    <mergeCell ref="D6:E6"/>
    <mergeCell ref="F6:F7"/>
    <mergeCell ref="G6:G7"/>
    <mergeCell ref="I6:R6"/>
    <mergeCell ref="S6:AA6"/>
    <mergeCell ref="J8:J9"/>
    <mergeCell ref="K8:K9"/>
    <mergeCell ref="L8:L9"/>
    <mergeCell ref="M8:M9"/>
    <mergeCell ref="A8:A11"/>
    <mergeCell ref="B8:C8"/>
    <mergeCell ref="D8:D11"/>
    <mergeCell ref="E8:E11"/>
    <mergeCell ref="F8:F11"/>
    <mergeCell ref="G8:G11"/>
    <mergeCell ref="Z8:Z9"/>
    <mergeCell ref="AA8:AA9"/>
    <mergeCell ref="B9:C9"/>
    <mergeCell ref="B10:C10"/>
    <mergeCell ref="I10:I11"/>
    <mergeCell ref="J10:J11"/>
    <mergeCell ref="K10:K11"/>
    <mergeCell ref="L10:L11"/>
    <mergeCell ref="M10:M11"/>
    <mergeCell ref="N10:N11"/>
    <mergeCell ref="T8:T9"/>
    <mergeCell ref="U8:U9"/>
    <mergeCell ref="V8:V9"/>
    <mergeCell ref="W8:W9"/>
    <mergeCell ref="X8:X9"/>
    <mergeCell ref="Y8:Y9"/>
    <mergeCell ref="N8:N9"/>
    <mergeCell ref="O8:O9"/>
    <mergeCell ref="P8:P9"/>
    <mergeCell ref="Q8:Q9"/>
    <mergeCell ref="R8:R9"/>
    <mergeCell ref="S8:S9"/>
    <mergeCell ref="H8:H11"/>
    <mergeCell ref="I8:I9"/>
    <mergeCell ref="AA10:AA11"/>
    <mergeCell ref="B11:C11"/>
    <mergeCell ref="A12:A17"/>
    <mergeCell ref="B12:C12"/>
    <mergeCell ref="D12:D17"/>
    <mergeCell ref="E12:E17"/>
    <mergeCell ref="F12:F13"/>
    <mergeCell ref="G12:G13"/>
    <mergeCell ref="H12:H13"/>
    <mergeCell ref="B13:C13"/>
    <mergeCell ref="U10:U11"/>
    <mergeCell ref="V10:V11"/>
    <mergeCell ref="W10:W11"/>
    <mergeCell ref="X10:X11"/>
    <mergeCell ref="Y10:Y11"/>
    <mergeCell ref="Z10:Z11"/>
    <mergeCell ref="O10:O11"/>
    <mergeCell ref="P10:P11"/>
    <mergeCell ref="Q10:Q11"/>
    <mergeCell ref="R10:R11"/>
    <mergeCell ref="S10:S11"/>
    <mergeCell ref="T10:T11"/>
    <mergeCell ref="B14:C14"/>
    <mergeCell ref="B15:C15"/>
    <mergeCell ref="B17:C17"/>
    <mergeCell ref="AA15:AA17"/>
    <mergeCell ref="B16:C16"/>
    <mergeCell ref="H16:H17"/>
    <mergeCell ref="I16:I17"/>
    <mergeCell ref="J16:J17"/>
    <mergeCell ref="K16:K17"/>
    <mergeCell ref="L16:L17"/>
    <mergeCell ref="M16:M17"/>
    <mergeCell ref="N16:N17"/>
    <mergeCell ref="O16:O17"/>
    <mergeCell ref="F15:F17"/>
    <mergeCell ref="G15:G17"/>
    <mergeCell ref="Y15:Y17"/>
    <mergeCell ref="Z15:Z17"/>
    <mergeCell ref="P16:P17"/>
    <mergeCell ref="Q16:Q17"/>
    <mergeCell ref="R16:R17"/>
    <mergeCell ref="S16:S17"/>
    <mergeCell ref="T16:T17"/>
    <mergeCell ref="U16:U17"/>
    <mergeCell ref="V16:V17"/>
    <mergeCell ref="W16:W17"/>
    <mergeCell ref="X16:X17"/>
    <mergeCell ref="H18:H20"/>
    <mergeCell ref="B19:C19"/>
    <mergeCell ref="B20:C20"/>
    <mergeCell ref="B21:C21"/>
    <mergeCell ref="B22:C22"/>
    <mergeCell ref="F22:F25"/>
    <mergeCell ref="G22:G25"/>
    <mergeCell ref="H22:H23"/>
    <mergeCell ref="A18:A25"/>
    <mergeCell ref="B18:C18"/>
    <mergeCell ref="D18:D25"/>
    <mergeCell ref="E18:E25"/>
    <mergeCell ref="F18:F20"/>
    <mergeCell ref="G18:G20"/>
    <mergeCell ref="Y22:Y25"/>
    <mergeCell ref="Z22:Z25"/>
    <mergeCell ref="AA22:AA25"/>
    <mergeCell ref="B23:C23"/>
    <mergeCell ref="X23:X25"/>
    <mergeCell ref="B24:C25"/>
    <mergeCell ref="H24:H25"/>
    <mergeCell ref="I24:I25"/>
    <mergeCell ref="J24:J25"/>
    <mergeCell ref="K24:K25"/>
    <mergeCell ref="R24:R25"/>
    <mergeCell ref="S24:S25"/>
    <mergeCell ref="T24:T25"/>
    <mergeCell ref="U24:U25"/>
    <mergeCell ref="V24:V25"/>
    <mergeCell ref="W24:W25"/>
    <mergeCell ref="L24:L25"/>
    <mergeCell ref="M24:M25"/>
    <mergeCell ref="N24:N25"/>
    <mergeCell ref="O24:O25"/>
    <mergeCell ref="P24:P25"/>
    <mergeCell ref="Q24:Q25"/>
    <mergeCell ref="AA26:AA30"/>
    <mergeCell ref="B27:C27"/>
    <mergeCell ref="B28:C28"/>
    <mergeCell ref="F28:F30"/>
    <mergeCell ref="G28:G30"/>
    <mergeCell ref="B29:C29"/>
    <mergeCell ref="H29:H30"/>
    <mergeCell ref="I29:I30"/>
    <mergeCell ref="J29:J30"/>
    <mergeCell ref="K29:K30"/>
    <mergeCell ref="U26:U30"/>
    <mergeCell ref="V26:V30"/>
    <mergeCell ref="W26:W30"/>
    <mergeCell ref="X26:X30"/>
    <mergeCell ref="Y26:Y30"/>
    <mergeCell ref="Z26:Z30"/>
    <mergeCell ref="B26:C26"/>
    <mergeCell ref="D26:D30"/>
    <mergeCell ref="E26:E30"/>
    <mergeCell ref="S26:S30"/>
    <mergeCell ref="T26:T30"/>
    <mergeCell ref="L29:L30"/>
    <mergeCell ref="M29:M30"/>
    <mergeCell ref="N29:N30"/>
    <mergeCell ref="P29:P30"/>
    <mergeCell ref="Q29:Q30"/>
    <mergeCell ref="R29:R30"/>
    <mergeCell ref="B30:C30"/>
    <mergeCell ref="A31:A38"/>
    <mergeCell ref="B31:C31"/>
    <mergeCell ref="D31:D38"/>
    <mergeCell ref="E31:E38"/>
    <mergeCell ref="F31:F33"/>
    <mergeCell ref="G31:G33"/>
    <mergeCell ref="A26:A30"/>
    <mergeCell ref="O29:O30"/>
    <mergeCell ref="B36:C36"/>
    <mergeCell ref="B37:C38"/>
    <mergeCell ref="H37:H38"/>
    <mergeCell ref="I37:I38"/>
    <mergeCell ref="J37:J38"/>
    <mergeCell ref="K37:K38"/>
    <mergeCell ref="X31:X38"/>
    <mergeCell ref="Y31:Y38"/>
    <mergeCell ref="Z31:Z38"/>
    <mergeCell ref="AA31:AA38"/>
    <mergeCell ref="B32:C32"/>
    <mergeCell ref="B33:C33"/>
    <mergeCell ref="B34:C34"/>
    <mergeCell ref="B35:C35"/>
    <mergeCell ref="F35:F38"/>
    <mergeCell ref="G35:G38"/>
    <mergeCell ref="H31:H33"/>
    <mergeCell ref="S31:S38"/>
    <mergeCell ref="T31:T38"/>
    <mergeCell ref="U31:U38"/>
    <mergeCell ref="V31:V38"/>
    <mergeCell ref="W31:W38"/>
    <mergeCell ref="H35:H36"/>
    <mergeCell ref="L37:L38"/>
    <mergeCell ref="M37:M38"/>
    <mergeCell ref="N37:N38"/>
    <mergeCell ref="O37:O38"/>
    <mergeCell ref="P37:P38"/>
    <mergeCell ref="Q37:Q38"/>
    <mergeCell ref="R37:R38"/>
  </mergeCells>
  <phoneticPr fontId="5" type="noConversion"/>
  <pageMargins left="0.19685039370078741" right="0.19685039370078741" top="0.19685039370078741" bottom="0.19685039370078741" header="0.31496062992125984" footer="0.31496062992125984"/>
  <pageSetup paperSize="9" scale="56" orientation="landscape"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colBreaks count="1" manualBreakCount="1">
    <brk id="2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2B44-7A8E-453D-B94D-3231F159F903}">
  <sheetPr>
    <pageSetUpPr fitToPage="1"/>
  </sheetPr>
  <dimension ref="C1:R79"/>
  <sheetViews>
    <sheetView view="pageBreakPreview" zoomScaleNormal="100" zoomScaleSheetLayoutView="100" workbookViewId="0">
      <pane xSplit="4" ySplit="4" topLeftCell="E26" activePane="bottomRight" state="frozen"/>
      <selection activeCell="E8" sqref="E8"/>
      <selection pane="topRight" activeCell="E8" sqref="E8"/>
      <selection pane="bottomLeft" activeCell="E8" sqref="E8"/>
      <selection pane="bottomRight" activeCell="K5" sqref="K5"/>
    </sheetView>
  </sheetViews>
  <sheetFormatPr defaultColWidth="9" defaultRowHeight="16.5" customHeight="1"/>
  <cols>
    <col min="1" max="1" width="2.625" style="363" customWidth="1"/>
    <col min="2" max="2" width="0.875" style="363" customWidth="1"/>
    <col min="3" max="3" width="15.625" style="400" customWidth="1"/>
    <col min="4" max="4" width="8.625" style="363" customWidth="1"/>
    <col min="5" max="7" width="10.625" style="363" customWidth="1"/>
    <col min="8" max="8" width="12.875" style="363" customWidth="1"/>
    <col min="9" max="14" width="10.625" style="363" customWidth="1"/>
    <col min="15" max="15" width="0.875" style="363" customWidth="1"/>
    <col min="16" max="17" width="9" style="363"/>
    <col min="18" max="18" width="16.625" style="363" bestFit="1" customWidth="1"/>
    <col min="19" max="19" width="12.5" style="363" bestFit="1" customWidth="1"/>
    <col min="20" max="16384" width="9" style="363"/>
  </cols>
  <sheetData>
    <row r="1" spans="3:18" s="348" customFormat="1" ht="16.5" customHeight="1"/>
    <row r="2" spans="3:18" s="349" customFormat="1" ht="24.95" customHeight="1">
      <c r="C2" s="660" t="s">
        <v>2823</v>
      </c>
      <c r="D2" s="660"/>
      <c r="E2" s="660"/>
      <c r="F2" s="660"/>
      <c r="G2" s="660"/>
      <c r="H2" s="660"/>
      <c r="I2" s="660"/>
      <c r="J2" s="660"/>
      <c r="K2" s="660"/>
      <c r="L2" s="660"/>
      <c r="M2" s="660"/>
      <c r="N2" s="660"/>
      <c r="Q2" s="350" t="s">
        <v>2872</v>
      </c>
      <c r="R2" s="351">
        <f>L46+L47+1150000</f>
        <v>5521000</v>
      </c>
    </row>
    <row r="3" spans="3:18" s="348" customFormat="1" ht="16.5" customHeight="1" thickBot="1">
      <c r="C3" s="352" t="s">
        <v>2824</v>
      </c>
      <c r="Q3" s="350" t="s">
        <v>2873</v>
      </c>
      <c r="R3" s="351">
        <f>L67+L68</f>
        <v>2505000</v>
      </c>
    </row>
    <row r="4" spans="3:18" s="348" customFormat="1" ht="20.100000000000001" customHeight="1" thickBot="1">
      <c r="C4" s="353" t="s">
        <v>2825</v>
      </c>
      <c r="D4" s="354" t="s">
        <v>1905</v>
      </c>
      <c r="E4" s="355" t="s">
        <v>1917</v>
      </c>
      <c r="F4" s="356" t="s">
        <v>2077</v>
      </c>
      <c r="G4" s="356" t="s">
        <v>2826</v>
      </c>
      <c r="H4" s="356" t="s">
        <v>2827</v>
      </c>
      <c r="I4" s="356" t="s">
        <v>2828</v>
      </c>
      <c r="J4" s="356" t="s">
        <v>2829</v>
      </c>
      <c r="K4" s="356" t="s">
        <v>2830</v>
      </c>
      <c r="L4" s="356" t="s">
        <v>2831</v>
      </c>
      <c r="M4" s="356" t="s">
        <v>2832</v>
      </c>
      <c r="N4" s="357" t="s">
        <v>2833</v>
      </c>
    </row>
    <row r="5" spans="3:18" ht="16.5" customHeight="1">
      <c r="C5" s="358" t="s">
        <v>2834</v>
      </c>
      <c r="D5" s="359">
        <v>2016</v>
      </c>
      <c r="E5" s="360">
        <v>30875000</v>
      </c>
      <c r="F5" s="361">
        <v>21612500</v>
      </c>
      <c r="G5" s="361">
        <v>18703125</v>
      </c>
      <c r="H5" s="361">
        <v>15793750</v>
      </c>
      <c r="I5" s="361">
        <v>7867720</v>
      </c>
      <c r="J5" s="361">
        <v>7210560</v>
      </c>
      <c r="K5" s="361">
        <v>6512940</v>
      </c>
      <c r="L5" s="361">
        <v>5660760</v>
      </c>
      <c r="M5" s="361">
        <v>4821180</v>
      </c>
      <c r="N5" s="362">
        <v>3815840</v>
      </c>
    </row>
    <row r="6" spans="3:18" ht="16.5" customHeight="1">
      <c r="C6" s="364"/>
      <c r="D6" s="365">
        <v>2017</v>
      </c>
      <c r="E6" s="366">
        <f t="shared" ref="E6:N14" si="0">E5*(1+$D$77)</f>
        <v>32264374.999999996</v>
      </c>
      <c r="F6" s="367">
        <f t="shared" si="0"/>
        <v>22585062.5</v>
      </c>
      <c r="G6" s="367">
        <f t="shared" si="0"/>
        <v>19544765.625</v>
      </c>
      <c r="H6" s="367">
        <f t="shared" si="0"/>
        <v>16504468.749999998</v>
      </c>
      <c r="I6" s="367">
        <f t="shared" si="0"/>
        <v>8221767.3999999994</v>
      </c>
      <c r="J6" s="367">
        <f t="shared" si="0"/>
        <v>7535035.1999999993</v>
      </c>
      <c r="K6" s="367">
        <f t="shared" si="0"/>
        <v>6806022.2999999998</v>
      </c>
      <c r="L6" s="367">
        <f t="shared" si="0"/>
        <v>5915494.1999999993</v>
      </c>
      <c r="M6" s="367">
        <f t="shared" si="0"/>
        <v>5038133.0999999996</v>
      </c>
      <c r="N6" s="368">
        <f t="shared" si="0"/>
        <v>3987552.8</v>
      </c>
    </row>
    <row r="7" spans="3:18" ht="16.5" customHeight="1">
      <c r="C7" s="364"/>
      <c r="D7" s="365">
        <v>2018</v>
      </c>
      <c r="E7" s="366">
        <f t="shared" si="0"/>
        <v>33716271.874999993</v>
      </c>
      <c r="F7" s="367">
        <f t="shared" si="0"/>
        <v>23601390.3125</v>
      </c>
      <c r="G7" s="367">
        <f t="shared" si="0"/>
        <v>20424280.078125</v>
      </c>
      <c r="H7" s="367">
        <f t="shared" si="0"/>
        <v>17247169.843749996</v>
      </c>
      <c r="I7" s="367">
        <f t="shared" si="0"/>
        <v>8591746.9329999983</v>
      </c>
      <c r="J7" s="367">
        <f t="shared" si="0"/>
        <v>7874111.7839999991</v>
      </c>
      <c r="K7" s="367">
        <f t="shared" si="0"/>
        <v>7112293.3034999995</v>
      </c>
      <c r="L7" s="367">
        <f t="shared" si="0"/>
        <v>6181691.4389999984</v>
      </c>
      <c r="M7" s="367">
        <f t="shared" si="0"/>
        <v>5264849.0894999988</v>
      </c>
      <c r="N7" s="368">
        <f t="shared" si="0"/>
        <v>4166992.6759999995</v>
      </c>
    </row>
    <row r="8" spans="3:18" ht="16.5" customHeight="1">
      <c r="C8" s="364"/>
      <c r="D8" s="365">
        <v>2019</v>
      </c>
      <c r="E8" s="366">
        <f t="shared" si="0"/>
        <v>35233504.109374993</v>
      </c>
      <c r="F8" s="367">
        <f t="shared" si="0"/>
        <v>24663452.876562499</v>
      </c>
      <c r="G8" s="367">
        <f t="shared" si="0"/>
        <v>21343372.681640625</v>
      </c>
      <c r="H8" s="367">
        <f t="shared" si="0"/>
        <v>18023292.486718744</v>
      </c>
      <c r="I8" s="367">
        <f t="shared" si="0"/>
        <v>8978375.5449849982</v>
      </c>
      <c r="J8" s="367">
        <f t="shared" si="0"/>
        <v>8228446.8142799987</v>
      </c>
      <c r="K8" s="367">
        <f t="shared" si="0"/>
        <v>7432346.5021574991</v>
      </c>
      <c r="L8" s="367">
        <f t="shared" si="0"/>
        <v>6459867.5537549974</v>
      </c>
      <c r="M8" s="367">
        <f t="shared" si="0"/>
        <v>5501767.2985274987</v>
      </c>
      <c r="N8" s="368">
        <f t="shared" si="0"/>
        <v>4354507.3464199994</v>
      </c>
    </row>
    <row r="9" spans="3:18" ht="16.5" customHeight="1">
      <c r="C9" s="364"/>
      <c r="D9" s="365">
        <v>2020</v>
      </c>
      <c r="E9" s="366">
        <f t="shared" si="0"/>
        <v>36819011.794296868</v>
      </c>
      <c r="F9" s="367">
        <f t="shared" si="0"/>
        <v>25773308.256007809</v>
      </c>
      <c r="G9" s="367">
        <f t="shared" si="0"/>
        <v>22303824.452314451</v>
      </c>
      <c r="H9" s="367">
        <f t="shared" si="0"/>
        <v>18834340.648621086</v>
      </c>
      <c r="I9" s="367">
        <f t="shared" si="0"/>
        <v>9382402.4445093218</v>
      </c>
      <c r="J9" s="367">
        <f t="shared" si="0"/>
        <v>8598726.9209225979</v>
      </c>
      <c r="K9" s="367">
        <f t="shared" si="0"/>
        <v>7766802.094754586</v>
      </c>
      <c r="L9" s="367">
        <f t="shared" si="0"/>
        <v>6750561.5936739715</v>
      </c>
      <c r="M9" s="367">
        <f t="shared" si="0"/>
        <v>5749346.8269612361</v>
      </c>
      <c r="N9" s="368">
        <f t="shared" si="0"/>
        <v>4550460.1770088989</v>
      </c>
    </row>
    <row r="10" spans="3:18" ht="16.5" customHeight="1">
      <c r="C10" s="364"/>
      <c r="D10" s="365">
        <v>2021</v>
      </c>
      <c r="E10" s="366">
        <f t="shared" si="0"/>
        <v>38475867.325040221</v>
      </c>
      <c r="F10" s="367">
        <f t="shared" si="0"/>
        <v>26933107.127528157</v>
      </c>
      <c r="G10" s="367">
        <f t="shared" si="0"/>
        <v>23307496.552668601</v>
      </c>
      <c r="H10" s="367">
        <f t="shared" si="0"/>
        <v>19681885.977809034</v>
      </c>
      <c r="I10" s="367">
        <f t="shared" si="0"/>
        <v>9804610.55451224</v>
      </c>
      <c r="J10" s="367">
        <f t="shared" si="0"/>
        <v>8985669.6323641147</v>
      </c>
      <c r="K10" s="367">
        <f t="shared" si="0"/>
        <v>8116308.1890185419</v>
      </c>
      <c r="L10" s="367">
        <f t="shared" si="0"/>
        <v>7054336.8653892996</v>
      </c>
      <c r="M10" s="367">
        <f t="shared" si="0"/>
        <v>6008067.4341744911</v>
      </c>
      <c r="N10" s="368">
        <f t="shared" si="0"/>
        <v>4755230.884974299</v>
      </c>
    </row>
    <row r="11" spans="3:18" ht="16.5" customHeight="1">
      <c r="C11" s="364"/>
      <c r="D11" s="365">
        <v>2022</v>
      </c>
      <c r="E11" s="366">
        <f t="shared" si="0"/>
        <v>40207281.35466703</v>
      </c>
      <c r="F11" s="367">
        <f t="shared" si="0"/>
        <v>28145096.948266923</v>
      </c>
      <c r="G11" s="367">
        <f t="shared" si="0"/>
        <v>24356333.897538688</v>
      </c>
      <c r="H11" s="367">
        <f t="shared" si="0"/>
        <v>20567570.846810438</v>
      </c>
      <c r="I11" s="367">
        <f t="shared" si="0"/>
        <v>10245818.02946529</v>
      </c>
      <c r="J11" s="367">
        <f t="shared" si="0"/>
        <v>9390024.7658204995</v>
      </c>
      <c r="K11" s="367">
        <f t="shared" si="0"/>
        <v>8481542.0575243756</v>
      </c>
      <c r="L11" s="367">
        <f t="shared" si="0"/>
        <v>7371782.0243318174</v>
      </c>
      <c r="M11" s="367">
        <f t="shared" si="0"/>
        <v>6278430.4687123429</v>
      </c>
      <c r="N11" s="368">
        <f t="shared" si="0"/>
        <v>4969216.2747981418</v>
      </c>
    </row>
    <row r="12" spans="3:18" ht="16.5" customHeight="1">
      <c r="C12" s="364"/>
      <c r="D12" s="365">
        <v>2023</v>
      </c>
      <c r="E12" s="366">
        <f t="shared" si="0"/>
        <v>42016609.015627041</v>
      </c>
      <c r="F12" s="367">
        <f t="shared" si="0"/>
        <v>29411626.310938932</v>
      </c>
      <c r="G12" s="367">
        <f t="shared" si="0"/>
        <v>25452368.922927927</v>
      </c>
      <c r="H12" s="367">
        <f t="shared" si="0"/>
        <v>21493111.534916908</v>
      </c>
      <c r="I12" s="367">
        <f t="shared" si="0"/>
        <v>10706879.840791227</v>
      </c>
      <c r="J12" s="367">
        <f t="shared" si="0"/>
        <v>9812575.8802824207</v>
      </c>
      <c r="K12" s="367">
        <f t="shared" si="0"/>
        <v>8863211.4501129724</v>
      </c>
      <c r="L12" s="367">
        <f t="shared" si="0"/>
        <v>7703512.2154267486</v>
      </c>
      <c r="M12" s="367">
        <f t="shared" si="0"/>
        <v>6560959.8398043979</v>
      </c>
      <c r="N12" s="368">
        <f t="shared" si="0"/>
        <v>5192831.0071640583</v>
      </c>
    </row>
    <row r="13" spans="3:18" ht="16.5" customHeight="1">
      <c r="C13" s="364"/>
      <c r="D13" s="365">
        <v>2024</v>
      </c>
      <c r="E13" s="366">
        <f t="shared" si="0"/>
        <v>43907356.421330258</v>
      </c>
      <c r="F13" s="367">
        <f t="shared" si="0"/>
        <v>30735149.49493118</v>
      </c>
      <c r="G13" s="367">
        <f t="shared" si="0"/>
        <v>26597725.524459682</v>
      </c>
      <c r="H13" s="367">
        <f t="shared" si="0"/>
        <v>22460301.553988166</v>
      </c>
      <c r="I13" s="367">
        <f t="shared" si="0"/>
        <v>11188689.433626832</v>
      </c>
      <c r="J13" s="367">
        <f t="shared" si="0"/>
        <v>10254141.794895129</v>
      </c>
      <c r="K13" s="367">
        <f t="shared" si="0"/>
        <v>9262055.9653680548</v>
      </c>
      <c r="L13" s="367">
        <f t="shared" si="0"/>
        <v>8050170.2651209515</v>
      </c>
      <c r="M13" s="367">
        <f t="shared" si="0"/>
        <v>6856203.0325955953</v>
      </c>
      <c r="N13" s="368">
        <f t="shared" si="0"/>
        <v>5426508.4024864407</v>
      </c>
    </row>
    <row r="14" spans="3:18" ht="16.5" customHeight="1">
      <c r="C14" s="369"/>
      <c r="D14" s="370">
        <v>2025</v>
      </c>
      <c r="E14" s="371">
        <f t="shared" si="0"/>
        <v>45883187.460290119</v>
      </c>
      <c r="F14" s="372">
        <f t="shared" si="0"/>
        <v>32118231.22220308</v>
      </c>
      <c r="G14" s="372">
        <f t="shared" si="0"/>
        <v>27794623.173060365</v>
      </c>
      <c r="H14" s="372">
        <f t="shared" si="0"/>
        <v>23471015.123917632</v>
      </c>
      <c r="I14" s="372">
        <f t="shared" si="0"/>
        <v>11692180.45814004</v>
      </c>
      <c r="J14" s="372">
        <f t="shared" si="0"/>
        <v>10715578.17566541</v>
      </c>
      <c r="K14" s="372">
        <f t="shared" si="0"/>
        <v>9678848.4838096164</v>
      </c>
      <c r="L14" s="372">
        <f t="shared" si="0"/>
        <v>8412427.9270513933</v>
      </c>
      <c r="M14" s="372">
        <f t="shared" si="0"/>
        <v>7164732.1690623965</v>
      </c>
      <c r="N14" s="373">
        <f t="shared" si="0"/>
        <v>5670701.2805983303</v>
      </c>
    </row>
    <row r="15" spans="3:18" ht="16.5" customHeight="1">
      <c r="C15" s="374" t="s">
        <v>68</v>
      </c>
      <c r="D15" s="661" t="s">
        <v>2835</v>
      </c>
      <c r="E15" s="375"/>
      <c r="F15" s="376"/>
      <c r="G15" s="376"/>
      <c r="H15" s="376"/>
      <c r="I15" s="376">
        <v>100000</v>
      </c>
      <c r="J15" s="376">
        <v>100000</v>
      </c>
      <c r="K15" s="376">
        <v>80000</v>
      </c>
      <c r="L15" s="376">
        <v>80000</v>
      </c>
      <c r="M15" s="376">
        <v>70000</v>
      </c>
      <c r="N15" s="377">
        <v>70000</v>
      </c>
    </row>
    <row r="16" spans="3:18" ht="16.5" customHeight="1">
      <c r="C16" s="378" t="s">
        <v>2836</v>
      </c>
      <c r="D16" s="662"/>
      <c r="E16" s="366"/>
      <c r="F16" s="367"/>
      <c r="G16" s="367"/>
      <c r="H16" s="367"/>
      <c r="I16" s="367">
        <v>100000</v>
      </c>
      <c r="J16" s="367">
        <v>100000</v>
      </c>
      <c r="K16" s="367">
        <v>100000</v>
      </c>
      <c r="L16" s="367">
        <v>100000</v>
      </c>
      <c r="M16" s="367">
        <v>100000</v>
      </c>
      <c r="N16" s="368">
        <v>30000</v>
      </c>
    </row>
    <row r="17" spans="3:17" ht="16.5" customHeight="1">
      <c r="C17" s="378" t="s">
        <v>2837</v>
      </c>
      <c r="D17" s="662"/>
      <c r="E17" s="366"/>
      <c r="F17" s="367"/>
      <c r="G17" s="367"/>
      <c r="H17" s="367"/>
      <c r="I17" s="367">
        <v>25000</v>
      </c>
      <c r="J17" s="367">
        <v>25000</v>
      </c>
      <c r="K17" s="367">
        <v>25000</v>
      </c>
      <c r="L17" s="367">
        <v>25000</v>
      </c>
      <c r="M17" s="367">
        <v>25000</v>
      </c>
      <c r="N17" s="368">
        <v>25000</v>
      </c>
    </row>
    <row r="18" spans="3:17" ht="16.5" customHeight="1">
      <c r="C18" s="378" t="s">
        <v>2838</v>
      </c>
      <c r="D18" s="662"/>
      <c r="E18" s="366"/>
      <c r="F18" s="367"/>
      <c r="G18" s="367"/>
      <c r="H18" s="367"/>
      <c r="I18" s="367"/>
      <c r="J18" s="367"/>
      <c r="K18" s="367"/>
      <c r="L18" s="367"/>
      <c r="M18" s="367"/>
      <c r="N18" s="368"/>
    </row>
    <row r="19" spans="3:17" ht="16.5" customHeight="1">
      <c r="C19" s="379" t="s">
        <v>2839</v>
      </c>
      <c r="D19" s="663"/>
      <c r="E19" s="380"/>
      <c r="F19" s="381"/>
      <c r="G19" s="381"/>
      <c r="H19" s="381"/>
      <c r="I19" s="381"/>
      <c r="J19" s="381"/>
      <c r="K19" s="381"/>
      <c r="L19" s="381"/>
      <c r="M19" s="381"/>
      <c r="N19" s="382"/>
    </row>
    <row r="20" spans="3:17" ht="16.5" customHeight="1">
      <c r="C20" s="383" t="s">
        <v>2840</v>
      </c>
      <c r="D20" s="384">
        <v>2016</v>
      </c>
      <c r="E20" s="385">
        <f>E5+SUM(E$15:E$19)</f>
        <v>30875000</v>
      </c>
      <c r="F20" s="386">
        <f t="shared" ref="F20:N20" si="1">F5+SUM(F$15:F$19)</f>
        <v>21612500</v>
      </c>
      <c r="G20" s="386">
        <f t="shared" si="1"/>
        <v>18703125</v>
      </c>
      <c r="H20" s="386">
        <f t="shared" si="1"/>
        <v>15793750</v>
      </c>
      <c r="I20" s="386">
        <f t="shared" si="1"/>
        <v>8092720</v>
      </c>
      <c r="J20" s="386">
        <f t="shared" si="1"/>
        <v>7435560</v>
      </c>
      <c r="K20" s="386">
        <f t="shared" si="1"/>
        <v>6717940</v>
      </c>
      <c r="L20" s="386">
        <f t="shared" si="1"/>
        <v>5865760</v>
      </c>
      <c r="M20" s="386">
        <f t="shared" si="1"/>
        <v>5016180</v>
      </c>
      <c r="N20" s="387">
        <f t="shared" si="1"/>
        <v>3940840</v>
      </c>
      <c r="Q20" s="388"/>
    </row>
    <row r="21" spans="3:17" ht="16.5" customHeight="1">
      <c r="C21" s="389"/>
      <c r="D21" s="390">
        <v>2017</v>
      </c>
      <c r="E21" s="391">
        <f t="shared" ref="E21:N29" si="2">E6+SUM(E$15:E$19)</f>
        <v>32264374.999999996</v>
      </c>
      <c r="F21" s="392">
        <f t="shared" si="2"/>
        <v>22585062.5</v>
      </c>
      <c r="G21" s="392">
        <f t="shared" si="2"/>
        <v>19544765.625</v>
      </c>
      <c r="H21" s="392">
        <f t="shared" si="2"/>
        <v>16504468.749999998</v>
      </c>
      <c r="I21" s="392">
        <f t="shared" si="2"/>
        <v>8446767.3999999985</v>
      </c>
      <c r="J21" s="392">
        <f t="shared" si="2"/>
        <v>7760035.1999999993</v>
      </c>
      <c r="K21" s="392">
        <f t="shared" si="2"/>
        <v>7011022.2999999998</v>
      </c>
      <c r="L21" s="392">
        <f t="shared" si="2"/>
        <v>6120494.1999999993</v>
      </c>
      <c r="M21" s="392">
        <f t="shared" si="2"/>
        <v>5233133.0999999996</v>
      </c>
      <c r="N21" s="393">
        <f t="shared" si="2"/>
        <v>4112552.8</v>
      </c>
    </row>
    <row r="22" spans="3:17" ht="16.5" customHeight="1">
      <c r="C22" s="389"/>
      <c r="D22" s="390">
        <v>2018</v>
      </c>
      <c r="E22" s="391">
        <f t="shared" si="2"/>
        <v>33716271.874999993</v>
      </c>
      <c r="F22" s="392">
        <f t="shared" si="2"/>
        <v>23601390.3125</v>
      </c>
      <c r="G22" s="392">
        <f t="shared" si="2"/>
        <v>20424280.078125</v>
      </c>
      <c r="H22" s="392">
        <f t="shared" si="2"/>
        <v>17247169.843749996</v>
      </c>
      <c r="I22" s="392">
        <f t="shared" si="2"/>
        <v>8816746.9329999983</v>
      </c>
      <c r="J22" s="392">
        <f t="shared" si="2"/>
        <v>8099111.7839999991</v>
      </c>
      <c r="K22" s="392">
        <f t="shared" si="2"/>
        <v>7317293.3034999995</v>
      </c>
      <c r="L22" s="392">
        <f t="shared" si="2"/>
        <v>6386691.4389999984</v>
      </c>
      <c r="M22" s="392">
        <f t="shared" si="2"/>
        <v>5459849.0894999988</v>
      </c>
      <c r="N22" s="393">
        <f t="shared" si="2"/>
        <v>4291992.675999999</v>
      </c>
    </row>
    <row r="23" spans="3:17" ht="16.5" customHeight="1">
      <c r="C23" s="389"/>
      <c r="D23" s="390">
        <v>2019</v>
      </c>
      <c r="E23" s="391">
        <f t="shared" si="2"/>
        <v>35233504.109374993</v>
      </c>
      <c r="F23" s="392">
        <f t="shared" si="2"/>
        <v>24663452.876562499</v>
      </c>
      <c r="G23" s="392">
        <f t="shared" si="2"/>
        <v>21343372.681640625</v>
      </c>
      <c r="H23" s="392">
        <f t="shared" si="2"/>
        <v>18023292.486718744</v>
      </c>
      <c r="I23" s="392">
        <f t="shared" si="2"/>
        <v>9203375.5449849982</v>
      </c>
      <c r="J23" s="392">
        <f t="shared" si="2"/>
        <v>8453446.8142799996</v>
      </c>
      <c r="K23" s="392">
        <f t="shared" si="2"/>
        <v>7637346.5021574991</v>
      </c>
      <c r="L23" s="392">
        <f t="shared" si="2"/>
        <v>6664867.5537549974</v>
      </c>
      <c r="M23" s="392">
        <f t="shared" si="2"/>
        <v>5696767.2985274987</v>
      </c>
      <c r="N23" s="393">
        <f t="shared" si="2"/>
        <v>4479507.3464199994</v>
      </c>
    </row>
    <row r="24" spans="3:17" ht="16.5" customHeight="1">
      <c r="C24" s="389"/>
      <c r="D24" s="390">
        <v>2020</v>
      </c>
      <c r="E24" s="391">
        <f t="shared" si="2"/>
        <v>36819011.794296868</v>
      </c>
      <c r="F24" s="392">
        <f t="shared" si="2"/>
        <v>25773308.256007809</v>
      </c>
      <c r="G24" s="392">
        <f t="shared" si="2"/>
        <v>22303824.452314451</v>
      </c>
      <c r="H24" s="392">
        <f t="shared" si="2"/>
        <v>18834340.648621086</v>
      </c>
      <c r="I24" s="392">
        <f t="shared" si="2"/>
        <v>9607402.4445093218</v>
      </c>
      <c r="J24" s="392">
        <f t="shared" si="2"/>
        <v>8823726.9209225979</v>
      </c>
      <c r="K24" s="392">
        <f t="shared" si="2"/>
        <v>7971802.094754586</v>
      </c>
      <c r="L24" s="392">
        <f t="shared" si="2"/>
        <v>6955561.5936739715</v>
      </c>
      <c r="M24" s="392">
        <f t="shared" si="2"/>
        <v>5944346.8269612361</v>
      </c>
      <c r="N24" s="393">
        <f t="shared" si="2"/>
        <v>4675460.1770088989</v>
      </c>
    </row>
    <row r="25" spans="3:17" ht="16.5" customHeight="1">
      <c r="C25" s="389"/>
      <c r="D25" s="390">
        <v>2021</v>
      </c>
      <c r="E25" s="391">
        <f t="shared" si="2"/>
        <v>38475867.325040221</v>
      </c>
      <c r="F25" s="392">
        <f t="shared" si="2"/>
        <v>26933107.127528157</v>
      </c>
      <c r="G25" s="392">
        <f t="shared" si="2"/>
        <v>23307496.552668601</v>
      </c>
      <c r="H25" s="392">
        <f t="shared" si="2"/>
        <v>19681885.977809034</v>
      </c>
      <c r="I25" s="392">
        <f t="shared" si="2"/>
        <v>10029610.55451224</v>
      </c>
      <c r="J25" s="392">
        <f t="shared" si="2"/>
        <v>9210669.6323641147</v>
      </c>
      <c r="K25" s="392">
        <f t="shared" si="2"/>
        <v>8321308.1890185419</v>
      </c>
      <c r="L25" s="392">
        <f t="shared" si="2"/>
        <v>7259336.8653892996</v>
      </c>
      <c r="M25" s="392">
        <f t="shared" si="2"/>
        <v>6203067.4341744911</v>
      </c>
      <c r="N25" s="393">
        <f t="shared" si="2"/>
        <v>4880230.884974299</v>
      </c>
    </row>
    <row r="26" spans="3:17" ht="16.5" customHeight="1">
      <c r="C26" s="394"/>
      <c r="D26" s="390">
        <v>2022</v>
      </c>
      <c r="E26" s="391">
        <f t="shared" si="2"/>
        <v>40207281.35466703</v>
      </c>
      <c r="F26" s="392">
        <f t="shared" si="2"/>
        <v>28145096.948266923</v>
      </c>
      <c r="G26" s="392">
        <f t="shared" si="2"/>
        <v>24356333.897538688</v>
      </c>
      <c r="H26" s="392">
        <f t="shared" si="2"/>
        <v>20567570.846810438</v>
      </c>
      <c r="I26" s="392">
        <f t="shared" si="2"/>
        <v>10470818.02946529</v>
      </c>
      <c r="J26" s="392">
        <f t="shared" si="2"/>
        <v>9615024.7658204995</v>
      </c>
      <c r="K26" s="392">
        <f t="shared" si="2"/>
        <v>8686542.0575243756</v>
      </c>
      <c r="L26" s="392">
        <f t="shared" si="2"/>
        <v>7576782.0243318174</v>
      </c>
      <c r="M26" s="392">
        <f t="shared" si="2"/>
        <v>6473430.4687123429</v>
      </c>
      <c r="N26" s="393">
        <f t="shared" si="2"/>
        <v>5094216.2747981418</v>
      </c>
    </row>
    <row r="27" spans="3:17" ht="16.5" customHeight="1">
      <c r="C27" s="394"/>
      <c r="D27" s="390">
        <v>2023</v>
      </c>
      <c r="E27" s="391">
        <f t="shared" si="2"/>
        <v>42016609.015627041</v>
      </c>
      <c r="F27" s="392">
        <f t="shared" si="2"/>
        <v>29411626.310938932</v>
      </c>
      <c r="G27" s="392">
        <f t="shared" si="2"/>
        <v>25452368.922927927</v>
      </c>
      <c r="H27" s="392">
        <f t="shared" si="2"/>
        <v>21493111.534916908</v>
      </c>
      <c r="I27" s="392">
        <f t="shared" si="2"/>
        <v>10931879.840791227</v>
      </c>
      <c r="J27" s="392">
        <f t="shared" si="2"/>
        <v>10037575.880282421</v>
      </c>
      <c r="K27" s="392">
        <f t="shared" si="2"/>
        <v>9068211.4501129724</v>
      </c>
      <c r="L27" s="392">
        <f t="shared" si="2"/>
        <v>7908512.2154267486</v>
      </c>
      <c r="M27" s="392">
        <f t="shared" si="2"/>
        <v>6755959.8398043979</v>
      </c>
      <c r="N27" s="393">
        <f t="shared" si="2"/>
        <v>5317831.0071640583</v>
      </c>
    </row>
    <row r="28" spans="3:17" ht="16.5" customHeight="1">
      <c r="C28" s="394"/>
      <c r="D28" s="390">
        <v>2024</v>
      </c>
      <c r="E28" s="391">
        <f t="shared" si="2"/>
        <v>43907356.421330258</v>
      </c>
      <c r="F28" s="392">
        <f t="shared" si="2"/>
        <v>30735149.49493118</v>
      </c>
      <c r="G28" s="392">
        <f t="shared" si="2"/>
        <v>26597725.524459682</v>
      </c>
      <c r="H28" s="392">
        <f t="shared" si="2"/>
        <v>22460301.553988166</v>
      </c>
      <c r="I28" s="392">
        <f t="shared" si="2"/>
        <v>11413689.433626832</v>
      </c>
      <c r="J28" s="392">
        <f t="shared" si="2"/>
        <v>10479141.794895129</v>
      </c>
      <c r="K28" s="392">
        <f t="shared" si="2"/>
        <v>9467055.9653680548</v>
      </c>
      <c r="L28" s="392">
        <f t="shared" si="2"/>
        <v>8255170.2651209515</v>
      </c>
      <c r="M28" s="392">
        <f t="shared" si="2"/>
        <v>7051203.0325955953</v>
      </c>
      <c r="N28" s="393">
        <f t="shared" si="2"/>
        <v>5551508.4024864407</v>
      </c>
    </row>
    <row r="29" spans="3:17" ht="16.5" customHeight="1" thickBot="1">
      <c r="C29" s="395"/>
      <c r="D29" s="396">
        <v>2025</v>
      </c>
      <c r="E29" s="397">
        <f t="shared" si="2"/>
        <v>45883187.460290119</v>
      </c>
      <c r="F29" s="398">
        <f t="shared" si="2"/>
        <v>32118231.22220308</v>
      </c>
      <c r="G29" s="398">
        <f t="shared" si="2"/>
        <v>27794623.173060365</v>
      </c>
      <c r="H29" s="398">
        <f t="shared" si="2"/>
        <v>23471015.123917632</v>
      </c>
      <c r="I29" s="398">
        <f t="shared" si="2"/>
        <v>11917180.45814004</v>
      </c>
      <c r="J29" s="398">
        <f t="shared" si="2"/>
        <v>10940578.17566541</v>
      </c>
      <c r="K29" s="398">
        <f t="shared" si="2"/>
        <v>9883848.4838096164</v>
      </c>
      <c r="L29" s="398">
        <f t="shared" si="2"/>
        <v>8617427.9270513933</v>
      </c>
      <c r="M29" s="398">
        <f t="shared" si="2"/>
        <v>7359732.1690623965</v>
      </c>
      <c r="N29" s="399">
        <f t="shared" si="2"/>
        <v>5795701.2805983303</v>
      </c>
    </row>
    <row r="30" spans="3:17" ht="9.9499999999999993" customHeight="1"/>
    <row r="31" spans="3:17" ht="16.5" customHeight="1" thickBot="1">
      <c r="C31" s="352" t="s">
        <v>2841</v>
      </c>
    </row>
    <row r="32" spans="3:17" s="348" customFormat="1" ht="20.100000000000001" customHeight="1">
      <c r="C32" s="401" t="s">
        <v>2825</v>
      </c>
      <c r="D32" s="402" t="s">
        <v>1905</v>
      </c>
      <c r="E32" s="403" t="s">
        <v>1917</v>
      </c>
      <c r="F32" s="404" t="s">
        <v>2077</v>
      </c>
      <c r="G32" s="404" t="s">
        <v>2826</v>
      </c>
      <c r="H32" s="404" t="s">
        <v>2827</v>
      </c>
      <c r="I32" s="404" t="s">
        <v>2828</v>
      </c>
      <c r="J32" s="404" t="s">
        <v>2829</v>
      </c>
      <c r="K32" s="404" t="s">
        <v>2830</v>
      </c>
      <c r="L32" s="404" t="s">
        <v>2831</v>
      </c>
      <c r="M32" s="404" t="s">
        <v>2832</v>
      </c>
      <c r="N32" s="405" t="s">
        <v>2833</v>
      </c>
      <c r="Q32" s="406"/>
    </row>
    <row r="33" spans="3:14" ht="16.5" customHeight="1">
      <c r="C33" s="407" t="s">
        <v>2842</v>
      </c>
      <c r="D33" s="408">
        <v>2016</v>
      </c>
      <c r="E33" s="409">
        <f t="shared" ref="E33:N42" si="3">E5*$D$76</f>
        <v>4813412.5</v>
      </c>
      <c r="F33" s="410">
        <f t="shared" si="3"/>
        <v>3369388.7500000005</v>
      </c>
      <c r="G33" s="410">
        <f t="shared" si="3"/>
        <v>2915817.1875</v>
      </c>
      <c r="H33" s="410">
        <f t="shared" si="3"/>
        <v>2462245.625</v>
      </c>
      <c r="I33" s="410">
        <f t="shared" si="3"/>
        <v>1226577.5480000002</v>
      </c>
      <c r="J33" s="410">
        <f t="shared" si="3"/>
        <v>1124126.304</v>
      </c>
      <c r="K33" s="410">
        <f t="shared" si="3"/>
        <v>1015367.346</v>
      </c>
      <c r="L33" s="410">
        <f t="shared" si="3"/>
        <v>882512.48400000005</v>
      </c>
      <c r="M33" s="410">
        <f t="shared" si="3"/>
        <v>751621.96200000006</v>
      </c>
      <c r="N33" s="411">
        <f t="shared" si="3"/>
        <v>594889.45600000001</v>
      </c>
    </row>
    <row r="34" spans="3:14" ht="16.5" customHeight="1">
      <c r="C34" s="389"/>
      <c r="D34" s="390">
        <v>2017</v>
      </c>
      <c r="E34" s="391">
        <f t="shared" si="3"/>
        <v>5030016.0625</v>
      </c>
      <c r="F34" s="392">
        <f t="shared" si="3"/>
        <v>3521011.2437500004</v>
      </c>
      <c r="G34" s="392">
        <f t="shared" si="3"/>
        <v>3047028.9609375</v>
      </c>
      <c r="H34" s="392">
        <f t="shared" si="3"/>
        <v>2573046.6781250001</v>
      </c>
      <c r="I34" s="392">
        <f t="shared" si="3"/>
        <v>1281773.5376599999</v>
      </c>
      <c r="J34" s="392">
        <f t="shared" si="3"/>
        <v>1174711.98768</v>
      </c>
      <c r="K34" s="392">
        <f t="shared" si="3"/>
        <v>1061058.8765700001</v>
      </c>
      <c r="L34" s="392">
        <f t="shared" si="3"/>
        <v>922225.54577999993</v>
      </c>
      <c r="M34" s="392">
        <f t="shared" si="3"/>
        <v>785444.95028999995</v>
      </c>
      <c r="N34" s="393">
        <f t="shared" si="3"/>
        <v>621659.48152000003</v>
      </c>
    </row>
    <row r="35" spans="3:14" ht="16.5" customHeight="1">
      <c r="C35" s="389"/>
      <c r="D35" s="390">
        <v>2018</v>
      </c>
      <c r="E35" s="391">
        <f t="shared" si="3"/>
        <v>5256366.7853124989</v>
      </c>
      <c r="F35" s="392">
        <f t="shared" si="3"/>
        <v>3679456.7497187504</v>
      </c>
      <c r="G35" s="392">
        <f t="shared" si="3"/>
        <v>3184145.2641796879</v>
      </c>
      <c r="H35" s="392">
        <f t="shared" si="3"/>
        <v>2688833.7786406246</v>
      </c>
      <c r="I35" s="392">
        <f t="shared" si="3"/>
        <v>1339453.3468546998</v>
      </c>
      <c r="J35" s="392">
        <f t="shared" si="3"/>
        <v>1227574.0271256</v>
      </c>
      <c r="K35" s="392">
        <f t="shared" si="3"/>
        <v>1108806.52601565</v>
      </c>
      <c r="L35" s="392">
        <f t="shared" si="3"/>
        <v>963725.69534009986</v>
      </c>
      <c r="M35" s="392">
        <f t="shared" si="3"/>
        <v>820789.97305304988</v>
      </c>
      <c r="N35" s="393">
        <f t="shared" si="3"/>
        <v>649634.15818839998</v>
      </c>
    </row>
    <row r="36" spans="3:14" ht="16.5" customHeight="1">
      <c r="C36" s="389"/>
      <c r="D36" s="390">
        <v>2019</v>
      </c>
      <c r="E36" s="391">
        <f t="shared" si="3"/>
        <v>5492903.2906515617</v>
      </c>
      <c r="F36" s="392">
        <f t="shared" si="3"/>
        <v>3845032.3034560937</v>
      </c>
      <c r="G36" s="392">
        <f t="shared" si="3"/>
        <v>3327431.8010677737</v>
      </c>
      <c r="H36" s="392">
        <f t="shared" si="3"/>
        <v>2809831.2986794524</v>
      </c>
      <c r="I36" s="392">
        <f t="shared" si="3"/>
        <v>1399728.7474631614</v>
      </c>
      <c r="J36" s="392">
        <f t="shared" si="3"/>
        <v>1282814.8583462518</v>
      </c>
      <c r="K36" s="392">
        <f t="shared" si="3"/>
        <v>1158702.8196863541</v>
      </c>
      <c r="L36" s="392">
        <f t="shared" si="3"/>
        <v>1007093.3516304041</v>
      </c>
      <c r="M36" s="392">
        <f t="shared" si="3"/>
        <v>857725.52184043708</v>
      </c>
      <c r="N36" s="393">
        <f t="shared" si="3"/>
        <v>678867.69530687795</v>
      </c>
    </row>
    <row r="37" spans="3:14" ht="16.5" customHeight="1">
      <c r="C37" s="389"/>
      <c r="D37" s="390">
        <v>2020</v>
      </c>
      <c r="E37" s="391">
        <f t="shared" si="3"/>
        <v>5740083.9387308825</v>
      </c>
      <c r="F37" s="392">
        <f t="shared" si="3"/>
        <v>4018058.7571116178</v>
      </c>
      <c r="G37" s="392">
        <f t="shared" si="3"/>
        <v>3477166.2321158233</v>
      </c>
      <c r="H37" s="392">
        <f t="shared" si="3"/>
        <v>2936273.7071200274</v>
      </c>
      <c r="I37" s="392">
        <f t="shared" si="3"/>
        <v>1462716.5410990033</v>
      </c>
      <c r="J37" s="392">
        <f t="shared" si="3"/>
        <v>1340541.5269718331</v>
      </c>
      <c r="K37" s="392">
        <f t="shared" si="3"/>
        <v>1210844.44657224</v>
      </c>
      <c r="L37" s="392">
        <f t="shared" si="3"/>
        <v>1052412.5524537722</v>
      </c>
      <c r="M37" s="392">
        <f t="shared" si="3"/>
        <v>896323.17032325675</v>
      </c>
      <c r="N37" s="393">
        <f t="shared" si="3"/>
        <v>709416.74159568734</v>
      </c>
    </row>
    <row r="38" spans="3:14" ht="16.5" customHeight="1">
      <c r="C38" s="389"/>
      <c r="D38" s="390">
        <v>2021</v>
      </c>
      <c r="E38" s="391">
        <f t="shared" si="3"/>
        <v>5998387.7159737712</v>
      </c>
      <c r="F38" s="392">
        <f t="shared" si="3"/>
        <v>4198871.4011816401</v>
      </c>
      <c r="G38" s="392">
        <f t="shared" si="3"/>
        <v>3633638.7125610351</v>
      </c>
      <c r="H38" s="392">
        <f t="shared" si="3"/>
        <v>3068406.0239404286</v>
      </c>
      <c r="I38" s="392">
        <f t="shared" si="3"/>
        <v>1528538.7854484583</v>
      </c>
      <c r="J38" s="392">
        <f t="shared" si="3"/>
        <v>1400865.8956855657</v>
      </c>
      <c r="K38" s="392">
        <f t="shared" si="3"/>
        <v>1265332.4466679909</v>
      </c>
      <c r="L38" s="392">
        <f t="shared" si="3"/>
        <v>1099771.1173141918</v>
      </c>
      <c r="M38" s="392">
        <f t="shared" si="3"/>
        <v>936657.71298780327</v>
      </c>
      <c r="N38" s="393">
        <f t="shared" si="3"/>
        <v>741340.49496749323</v>
      </c>
    </row>
    <row r="39" spans="3:14" ht="16.5" customHeight="1">
      <c r="C39" s="394"/>
      <c r="D39" s="390">
        <v>2022</v>
      </c>
      <c r="E39" s="391">
        <f t="shared" si="3"/>
        <v>6268315.1631925907</v>
      </c>
      <c r="F39" s="392">
        <f t="shared" si="3"/>
        <v>4387820.6142348135</v>
      </c>
      <c r="G39" s="392">
        <f t="shared" si="3"/>
        <v>3797152.4546262817</v>
      </c>
      <c r="H39" s="392">
        <f t="shared" si="3"/>
        <v>3206484.2950177477</v>
      </c>
      <c r="I39" s="392">
        <f t="shared" si="3"/>
        <v>1597323.0307936389</v>
      </c>
      <c r="J39" s="392">
        <f t="shared" si="3"/>
        <v>1463904.860991416</v>
      </c>
      <c r="K39" s="392">
        <f t="shared" si="3"/>
        <v>1322272.4067680503</v>
      </c>
      <c r="L39" s="392">
        <f t="shared" si="3"/>
        <v>1149260.8175933305</v>
      </c>
      <c r="M39" s="392">
        <f t="shared" si="3"/>
        <v>978807.31007225427</v>
      </c>
      <c r="N39" s="393">
        <f t="shared" si="3"/>
        <v>774700.8172410304</v>
      </c>
    </row>
    <row r="40" spans="3:14" ht="16.5" customHeight="1">
      <c r="C40" s="394"/>
      <c r="D40" s="390">
        <v>2023</v>
      </c>
      <c r="E40" s="391">
        <f t="shared" si="3"/>
        <v>6550389.3455362562</v>
      </c>
      <c r="F40" s="392">
        <f t="shared" si="3"/>
        <v>4585272.5418753801</v>
      </c>
      <c r="G40" s="392">
        <f t="shared" si="3"/>
        <v>3968024.3150844639</v>
      </c>
      <c r="H40" s="392">
        <f t="shared" si="3"/>
        <v>3350776.0882935463</v>
      </c>
      <c r="I40" s="392">
        <f t="shared" si="3"/>
        <v>1669202.5671793525</v>
      </c>
      <c r="J40" s="392">
        <f t="shared" si="3"/>
        <v>1529780.5797360295</v>
      </c>
      <c r="K40" s="392">
        <f t="shared" si="3"/>
        <v>1381774.6650726125</v>
      </c>
      <c r="L40" s="392">
        <f t="shared" si="3"/>
        <v>1200977.5543850302</v>
      </c>
      <c r="M40" s="392">
        <f t="shared" si="3"/>
        <v>1022853.6390255057</v>
      </c>
      <c r="N40" s="393">
        <f t="shared" si="3"/>
        <v>809562.35401687678</v>
      </c>
    </row>
    <row r="41" spans="3:14" ht="16.5" customHeight="1">
      <c r="C41" s="394"/>
      <c r="D41" s="390">
        <v>2024</v>
      </c>
      <c r="E41" s="391">
        <f t="shared" si="3"/>
        <v>6845156.8660853878</v>
      </c>
      <c r="F41" s="392">
        <f t="shared" si="3"/>
        <v>4791609.8062597709</v>
      </c>
      <c r="G41" s="392">
        <f t="shared" si="3"/>
        <v>4146585.4092632649</v>
      </c>
      <c r="H41" s="392">
        <f t="shared" si="3"/>
        <v>3501561.0122667556</v>
      </c>
      <c r="I41" s="392">
        <f t="shared" si="3"/>
        <v>1744316.6827024233</v>
      </c>
      <c r="J41" s="392">
        <f t="shared" si="3"/>
        <v>1598620.7058241507</v>
      </c>
      <c r="K41" s="392">
        <f t="shared" si="3"/>
        <v>1443954.5250008798</v>
      </c>
      <c r="L41" s="392">
        <f t="shared" si="3"/>
        <v>1255021.5443323564</v>
      </c>
      <c r="M41" s="392">
        <f t="shared" si="3"/>
        <v>1068882.0527816534</v>
      </c>
      <c r="N41" s="393">
        <f t="shared" si="3"/>
        <v>845992.65994763619</v>
      </c>
    </row>
    <row r="42" spans="3:14" ht="16.5" customHeight="1" thickBot="1">
      <c r="C42" s="395"/>
      <c r="D42" s="396">
        <v>2025</v>
      </c>
      <c r="E42" s="397">
        <f t="shared" si="3"/>
        <v>7153188.9250592301</v>
      </c>
      <c r="F42" s="398">
        <f t="shared" si="3"/>
        <v>5007232.2475414602</v>
      </c>
      <c r="G42" s="398">
        <f t="shared" si="3"/>
        <v>4333181.7526801107</v>
      </c>
      <c r="H42" s="398">
        <f t="shared" si="3"/>
        <v>3659131.257818759</v>
      </c>
      <c r="I42" s="398">
        <f t="shared" si="3"/>
        <v>1822810.9334240323</v>
      </c>
      <c r="J42" s="398">
        <f t="shared" si="3"/>
        <v>1670558.6375862376</v>
      </c>
      <c r="K42" s="398">
        <f t="shared" si="3"/>
        <v>1508932.4786259192</v>
      </c>
      <c r="L42" s="398">
        <f t="shared" si="3"/>
        <v>1311497.5138273123</v>
      </c>
      <c r="M42" s="398">
        <f t="shared" si="3"/>
        <v>1116981.7451568276</v>
      </c>
      <c r="N42" s="399">
        <f t="shared" si="3"/>
        <v>884062.32964527979</v>
      </c>
    </row>
    <row r="43" spans="3:14" ht="9.9499999999999993" customHeight="1"/>
    <row r="44" spans="3:14" s="412" customFormat="1" ht="16.5" customHeight="1" thickBot="1">
      <c r="C44" s="352" t="s">
        <v>2843</v>
      </c>
    </row>
    <row r="45" spans="3:14" s="348" customFormat="1" ht="20.100000000000001" customHeight="1">
      <c r="C45" s="413" t="s">
        <v>2825</v>
      </c>
      <c r="D45" s="414" t="s">
        <v>2844</v>
      </c>
      <c r="E45" s="415" t="s">
        <v>2845</v>
      </c>
      <c r="F45" s="416" t="s">
        <v>2846</v>
      </c>
      <c r="G45" s="416" t="s">
        <v>2847</v>
      </c>
      <c r="H45" s="416" t="s">
        <v>2848</v>
      </c>
      <c r="I45" s="416" t="s">
        <v>2849</v>
      </c>
      <c r="J45" s="416" t="s">
        <v>2850</v>
      </c>
      <c r="K45" s="416" t="s">
        <v>2851</v>
      </c>
      <c r="L45" s="416" t="s">
        <v>2852</v>
      </c>
      <c r="M45" s="416" t="s">
        <v>2853</v>
      </c>
      <c r="N45" s="417" t="s">
        <v>2854</v>
      </c>
    </row>
    <row r="46" spans="3:14" ht="16.5" customHeight="1">
      <c r="C46" s="418" t="s">
        <v>2855</v>
      </c>
      <c r="D46" s="365"/>
      <c r="E46" s="366"/>
      <c r="F46" s="367"/>
      <c r="G46" s="367"/>
      <c r="H46" s="367"/>
      <c r="I46" s="367">
        <v>1684000</v>
      </c>
      <c r="J46" s="367">
        <v>1506000</v>
      </c>
      <c r="K46" s="367">
        <v>1334000</v>
      </c>
      <c r="L46" s="367">
        <v>1127000</v>
      </c>
      <c r="M46" s="367">
        <v>952000</v>
      </c>
      <c r="N46" s="368">
        <v>744000</v>
      </c>
    </row>
    <row r="47" spans="3:14" ht="16.5" customHeight="1" thickBot="1">
      <c r="C47" s="419" t="s">
        <v>2856</v>
      </c>
      <c r="D47" s="370"/>
      <c r="E47" s="371">
        <v>6032000</v>
      </c>
      <c r="F47" s="372">
        <v>6032000</v>
      </c>
      <c r="G47" s="372">
        <v>5732000</v>
      </c>
      <c r="H47" s="372">
        <v>5732000</v>
      </c>
      <c r="I47" s="372">
        <v>4132000</v>
      </c>
      <c r="J47" s="372">
        <v>3884000</v>
      </c>
      <c r="K47" s="372">
        <v>3613000</v>
      </c>
      <c r="L47" s="372">
        <v>3244000</v>
      </c>
      <c r="M47" s="372">
        <v>2921000</v>
      </c>
      <c r="N47" s="373">
        <v>2517000</v>
      </c>
    </row>
    <row r="48" spans="3:14" s="412" customFormat="1" ht="16.5" customHeight="1" thickTop="1">
      <c r="C48" s="420" t="s">
        <v>2857</v>
      </c>
      <c r="D48" s="421" t="s">
        <v>2858</v>
      </c>
      <c r="E48" s="422">
        <f>SUM(E46:E47)</f>
        <v>6032000</v>
      </c>
      <c r="F48" s="423">
        <f t="shared" ref="F48:N48" si="4">SUM(F46:F47)</f>
        <v>6032000</v>
      </c>
      <c r="G48" s="423">
        <f t="shared" si="4"/>
        <v>5732000</v>
      </c>
      <c r="H48" s="423">
        <f t="shared" si="4"/>
        <v>5732000</v>
      </c>
      <c r="I48" s="423">
        <f t="shared" si="4"/>
        <v>5816000</v>
      </c>
      <c r="J48" s="423">
        <f t="shared" si="4"/>
        <v>5390000</v>
      </c>
      <c r="K48" s="423">
        <f t="shared" si="4"/>
        <v>4947000</v>
      </c>
      <c r="L48" s="423">
        <f t="shared" si="4"/>
        <v>4371000</v>
      </c>
      <c r="M48" s="423">
        <f t="shared" si="4"/>
        <v>3873000</v>
      </c>
      <c r="N48" s="424">
        <f t="shared" si="4"/>
        <v>3261000</v>
      </c>
    </row>
    <row r="49" spans="3:14" ht="16.5" customHeight="1">
      <c r="C49" s="425" t="s">
        <v>2855</v>
      </c>
      <c r="D49" s="426"/>
      <c r="E49" s="375"/>
      <c r="F49" s="376"/>
      <c r="G49" s="376"/>
      <c r="H49" s="376"/>
      <c r="I49" s="376">
        <v>1684000</v>
      </c>
      <c r="J49" s="376">
        <v>1506000</v>
      </c>
      <c r="K49" s="376">
        <v>1334000</v>
      </c>
      <c r="L49" s="376">
        <v>1127000</v>
      </c>
      <c r="M49" s="376">
        <v>952000</v>
      </c>
      <c r="N49" s="377">
        <v>744000</v>
      </c>
    </row>
    <row r="50" spans="3:14" ht="16.5" customHeight="1" thickBot="1">
      <c r="C50" s="427" t="s">
        <v>2856</v>
      </c>
      <c r="D50" s="428"/>
      <c r="E50" s="429">
        <v>5426000</v>
      </c>
      <c r="F50" s="430">
        <v>5426000</v>
      </c>
      <c r="G50" s="430">
        <v>5126000</v>
      </c>
      <c r="H50" s="430">
        <v>5126000</v>
      </c>
      <c r="I50" s="430">
        <v>3526000</v>
      </c>
      <c r="J50" s="430">
        <v>3327000</v>
      </c>
      <c r="K50" s="430">
        <v>3110000</v>
      </c>
      <c r="L50" s="430">
        <v>2816000</v>
      </c>
      <c r="M50" s="430">
        <v>2557000</v>
      </c>
      <c r="N50" s="431">
        <v>2234000</v>
      </c>
    </row>
    <row r="51" spans="3:14" s="412" customFormat="1" ht="16.5" customHeight="1" thickTop="1">
      <c r="C51" s="432" t="s">
        <v>2857</v>
      </c>
      <c r="D51" s="433" t="s">
        <v>2859</v>
      </c>
      <c r="E51" s="434">
        <f>SUM(E49:E50)</f>
        <v>5426000</v>
      </c>
      <c r="F51" s="435">
        <f t="shared" ref="F51:N51" si="5">SUM(F49:F50)</f>
        <v>5426000</v>
      </c>
      <c r="G51" s="435">
        <f t="shared" si="5"/>
        <v>5126000</v>
      </c>
      <c r="H51" s="435">
        <f t="shared" si="5"/>
        <v>5126000</v>
      </c>
      <c r="I51" s="435">
        <f t="shared" si="5"/>
        <v>5210000</v>
      </c>
      <c r="J51" s="435">
        <f t="shared" si="5"/>
        <v>4833000</v>
      </c>
      <c r="K51" s="435">
        <f t="shared" si="5"/>
        <v>4444000</v>
      </c>
      <c r="L51" s="435">
        <f t="shared" si="5"/>
        <v>3943000</v>
      </c>
      <c r="M51" s="435">
        <f t="shared" si="5"/>
        <v>3509000</v>
      </c>
      <c r="N51" s="436">
        <f t="shared" si="5"/>
        <v>2978000</v>
      </c>
    </row>
    <row r="52" spans="3:14" ht="16.5" customHeight="1">
      <c r="C52" s="437" t="s">
        <v>2855</v>
      </c>
      <c r="D52" s="359"/>
      <c r="E52" s="360"/>
      <c r="F52" s="361"/>
      <c r="G52" s="361"/>
      <c r="H52" s="361"/>
      <c r="I52" s="361">
        <v>1684000</v>
      </c>
      <c r="J52" s="361">
        <v>1506000</v>
      </c>
      <c r="K52" s="361">
        <v>1334000</v>
      </c>
      <c r="L52" s="361">
        <v>1127000</v>
      </c>
      <c r="M52" s="361">
        <v>952000</v>
      </c>
      <c r="N52" s="362">
        <v>744000</v>
      </c>
    </row>
    <row r="53" spans="3:14" ht="16.5" customHeight="1" thickBot="1">
      <c r="C53" s="419" t="s">
        <v>2856</v>
      </c>
      <c r="D53" s="370"/>
      <c r="E53" s="371">
        <v>4941000</v>
      </c>
      <c r="F53" s="372">
        <v>4941000</v>
      </c>
      <c r="G53" s="372">
        <v>4641000</v>
      </c>
      <c r="H53" s="372">
        <v>4641000</v>
      </c>
      <c r="I53" s="372">
        <v>3041000</v>
      </c>
      <c r="J53" s="372">
        <v>2882000</v>
      </c>
      <c r="K53" s="372">
        <v>2708000</v>
      </c>
      <c r="L53" s="372">
        <v>2472000</v>
      </c>
      <c r="M53" s="372">
        <v>2266000</v>
      </c>
      <c r="N53" s="373">
        <v>2007000</v>
      </c>
    </row>
    <row r="54" spans="3:14" s="412" customFormat="1" ht="16.5" customHeight="1" thickTop="1">
      <c r="C54" s="420" t="s">
        <v>2857</v>
      </c>
      <c r="D54" s="421" t="s">
        <v>2860</v>
      </c>
      <c r="E54" s="422">
        <f>SUM(E52:E53)</f>
        <v>4941000</v>
      </c>
      <c r="F54" s="423">
        <f t="shared" ref="F54:N54" si="6">SUM(F52:F53)</f>
        <v>4941000</v>
      </c>
      <c r="G54" s="423">
        <f t="shared" si="6"/>
        <v>4641000</v>
      </c>
      <c r="H54" s="423">
        <f t="shared" si="6"/>
        <v>4641000</v>
      </c>
      <c r="I54" s="423">
        <f t="shared" si="6"/>
        <v>4725000</v>
      </c>
      <c r="J54" s="423">
        <f t="shared" si="6"/>
        <v>4388000</v>
      </c>
      <c r="K54" s="423">
        <f t="shared" si="6"/>
        <v>4042000</v>
      </c>
      <c r="L54" s="423">
        <f t="shared" si="6"/>
        <v>3599000</v>
      </c>
      <c r="M54" s="423">
        <f t="shared" si="6"/>
        <v>3218000</v>
      </c>
      <c r="N54" s="424">
        <f t="shared" si="6"/>
        <v>2751000</v>
      </c>
    </row>
    <row r="55" spans="3:14" ht="16.5" customHeight="1">
      <c r="C55" s="425" t="s">
        <v>2855</v>
      </c>
      <c r="D55" s="426"/>
      <c r="E55" s="375"/>
      <c r="F55" s="376"/>
      <c r="G55" s="376"/>
      <c r="H55" s="376"/>
      <c r="I55" s="376">
        <v>1684000</v>
      </c>
      <c r="J55" s="376">
        <v>1506000</v>
      </c>
      <c r="K55" s="376">
        <v>1334000</v>
      </c>
      <c r="L55" s="376">
        <v>1127000</v>
      </c>
      <c r="M55" s="376">
        <v>952000</v>
      </c>
      <c r="N55" s="377">
        <v>744000</v>
      </c>
    </row>
    <row r="56" spans="3:14" ht="16.5" customHeight="1" thickBot="1">
      <c r="C56" s="427" t="s">
        <v>2856</v>
      </c>
      <c r="D56" s="428"/>
      <c r="E56" s="429">
        <v>4452000</v>
      </c>
      <c r="F56" s="430">
        <v>4452000</v>
      </c>
      <c r="G56" s="430">
        <v>4152000</v>
      </c>
      <c r="H56" s="430">
        <v>4152000</v>
      </c>
      <c r="I56" s="430">
        <v>2552000</v>
      </c>
      <c r="J56" s="430">
        <v>2425000</v>
      </c>
      <c r="K56" s="430">
        <v>2286000</v>
      </c>
      <c r="L56" s="430">
        <v>2098000</v>
      </c>
      <c r="M56" s="430">
        <v>1933000</v>
      </c>
      <c r="N56" s="431">
        <v>1726000</v>
      </c>
    </row>
    <row r="57" spans="3:14" s="412" customFormat="1" ht="16.5" customHeight="1" thickTop="1">
      <c r="C57" s="432" t="s">
        <v>2857</v>
      </c>
      <c r="D57" s="433" t="s">
        <v>2861</v>
      </c>
      <c r="E57" s="434">
        <f>SUM(E55:E56)</f>
        <v>4452000</v>
      </c>
      <c r="F57" s="435">
        <f t="shared" ref="F57:N57" si="7">SUM(F55:F56)</f>
        <v>4452000</v>
      </c>
      <c r="G57" s="435">
        <f t="shared" si="7"/>
        <v>4152000</v>
      </c>
      <c r="H57" s="435">
        <f t="shared" si="7"/>
        <v>4152000</v>
      </c>
      <c r="I57" s="435">
        <f t="shared" si="7"/>
        <v>4236000</v>
      </c>
      <c r="J57" s="435">
        <f t="shared" si="7"/>
        <v>3931000</v>
      </c>
      <c r="K57" s="435">
        <f t="shared" si="7"/>
        <v>3620000</v>
      </c>
      <c r="L57" s="435">
        <f t="shared" si="7"/>
        <v>3225000</v>
      </c>
      <c r="M57" s="435">
        <f t="shared" si="7"/>
        <v>2885000</v>
      </c>
      <c r="N57" s="436">
        <f t="shared" si="7"/>
        <v>2470000</v>
      </c>
    </row>
    <row r="58" spans="3:14" ht="16.5" customHeight="1">
      <c r="C58" s="437" t="s">
        <v>2855</v>
      </c>
      <c r="D58" s="359"/>
      <c r="E58" s="360"/>
      <c r="F58" s="361"/>
      <c r="G58" s="361"/>
      <c r="H58" s="361"/>
      <c r="I58" s="361">
        <v>1684000</v>
      </c>
      <c r="J58" s="361">
        <v>1506000</v>
      </c>
      <c r="K58" s="361">
        <v>1334000</v>
      </c>
      <c r="L58" s="361">
        <v>1127000</v>
      </c>
      <c r="M58" s="361">
        <v>952000</v>
      </c>
      <c r="N58" s="362">
        <v>744000</v>
      </c>
    </row>
    <row r="59" spans="3:14" ht="16.5" customHeight="1" thickBot="1">
      <c r="C59" s="419" t="s">
        <v>2856</v>
      </c>
      <c r="D59" s="370"/>
      <c r="E59" s="371">
        <v>4194000</v>
      </c>
      <c r="F59" s="372">
        <v>4194000</v>
      </c>
      <c r="G59" s="372">
        <v>3894000</v>
      </c>
      <c r="H59" s="372">
        <v>3894000</v>
      </c>
      <c r="I59" s="372">
        <v>2294000</v>
      </c>
      <c r="J59" s="372">
        <v>2188000</v>
      </c>
      <c r="K59" s="372">
        <v>2072000</v>
      </c>
      <c r="L59" s="372">
        <v>1915000</v>
      </c>
      <c r="M59" s="372">
        <v>1777000</v>
      </c>
      <c r="N59" s="373">
        <v>1605000</v>
      </c>
    </row>
    <row r="60" spans="3:14" s="412" customFormat="1" ht="16.5" customHeight="1" thickTop="1">
      <c r="C60" s="420" t="s">
        <v>2857</v>
      </c>
      <c r="D60" s="421" t="s">
        <v>2862</v>
      </c>
      <c r="E60" s="422">
        <f>SUM(E58:E59)</f>
        <v>4194000</v>
      </c>
      <c r="F60" s="423">
        <f t="shared" ref="F60:N60" si="8">SUM(F58:F59)</f>
        <v>4194000</v>
      </c>
      <c r="G60" s="423">
        <f t="shared" si="8"/>
        <v>3894000</v>
      </c>
      <c r="H60" s="423">
        <f t="shared" si="8"/>
        <v>3894000</v>
      </c>
      <c r="I60" s="423">
        <f t="shared" si="8"/>
        <v>3978000</v>
      </c>
      <c r="J60" s="423">
        <f t="shared" si="8"/>
        <v>3694000</v>
      </c>
      <c r="K60" s="423">
        <f t="shared" si="8"/>
        <v>3406000</v>
      </c>
      <c r="L60" s="423">
        <f t="shared" si="8"/>
        <v>3042000</v>
      </c>
      <c r="M60" s="423">
        <f t="shared" si="8"/>
        <v>2729000</v>
      </c>
      <c r="N60" s="424">
        <f t="shared" si="8"/>
        <v>2349000</v>
      </c>
    </row>
    <row r="61" spans="3:14" ht="16.5" customHeight="1">
      <c r="C61" s="425" t="s">
        <v>2855</v>
      </c>
      <c r="D61" s="426"/>
      <c r="E61" s="375"/>
      <c r="F61" s="376"/>
      <c r="G61" s="376"/>
      <c r="H61" s="376"/>
      <c r="I61" s="376">
        <v>1684000</v>
      </c>
      <c r="J61" s="376">
        <v>1506000</v>
      </c>
      <c r="K61" s="376">
        <v>1334000</v>
      </c>
      <c r="L61" s="376">
        <v>1127000</v>
      </c>
      <c r="M61" s="376">
        <v>952000</v>
      </c>
      <c r="N61" s="377">
        <v>744000</v>
      </c>
    </row>
    <row r="62" spans="3:14" ht="16.5" customHeight="1" thickBot="1">
      <c r="C62" s="427" t="s">
        <v>2856</v>
      </c>
      <c r="D62" s="428"/>
      <c r="E62" s="429">
        <v>3978000</v>
      </c>
      <c r="F62" s="430">
        <v>3978000</v>
      </c>
      <c r="G62" s="430">
        <v>3678000</v>
      </c>
      <c r="H62" s="430">
        <v>3678000</v>
      </c>
      <c r="I62" s="430">
        <v>2078000</v>
      </c>
      <c r="J62" s="430">
        <v>1990000</v>
      </c>
      <c r="K62" s="430">
        <v>1893000</v>
      </c>
      <c r="L62" s="430">
        <v>1762000</v>
      </c>
      <c r="M62" s="430">
        <v>1648000</v>
      </c>
      <c r="N62" s="431">
        <v>1504000</v>
      </c>
    </row>
    <row r="63" spans="3:14" s="412" customFormat="1" ht="16.5" customHeight="1" thickTop="1">
      <c r="C63" s="432" t="s">
        <v>2857</v>
      </c>
      <c r="D63" s="433" t="s">
        <v>2863</v>
      </c>
      <c r="E63" s="434">
        <f>SUM(E61:E62)</f>
        <v>3978000</v>
      </c>
      <c r="F63" s="435">
        <f t="shared" ref="F63:N63" si="9">SUM(F61:F62)</f>
        <v>3978000</v>
      </c>
      <c r="G63" s="435">
        <f t="shared" si="9"/>
        <v>3678000</v>
      </c>
      <c r="H63" s="435">
        <f t="shared" si="9"/>
        <v>3678000</v>
      </c>
      <c r="I63" s="435">
        <f t="shared" si="9"/>
        <v>3762000</v>
      </c>
      <c r="J63" s="435">
        <f t="shared" si="9"/>
        <v>3496000</v>
      </c>
      <c r="K63" s="435">
        <f t="shared" si="9"/>
        <v>3227000</v>
      </c>
      <c r="L63" s="435">
        <f t="shared" si="9"/>
        <v>2889000</v>
      </c>
      <c r="M63" s="435">
        <f t="shared" si="9"/>
        <v>2600000</v>
      </c>
      <c r="N63" s="436">
        <f t="shared" si="9"/>
        <v>2248000</v>
      </c>
    </row>
    <row r="64" spans="3:14" ht="16.5" customHeight="1">
      <c r="C64" s="437" t="s">
        <v>2855</v>
      </c>
      <c r="D64" s="359"/>
      <c r="E64" s="360"/>
      <c r="F64" s="361"/>
      <c r="G64" s="361"/>
      <c r="H64" s="361"/>
      <c r="I64" s="361">
        <v>1684000</v>
      </c>
      <c r="J64" s="361">
        <v>1506000</v>
      </c>
      <c r="K64" s="361">
        <v>1334000</v>
      </c>
      <c r="L64" s="361">
        <v>1127000</v>
      </c>
      <c r="M64" s="361">
        <v>952000</v>
      </c>
      <c r="N64" s="362">
        <v>744000</v>
      </c>
    </row>
    <row r="65" spans="3:14" ht="16.5" customHeight="1" thickBot="1">
      <c r="C65" s="419" t="s">
        <v>2856</v>
      </c>
      <c r="D65" s="370"/>
      <c r="E65" s="371">
        <v>3598000</v>
      </c>
      <c r="F65" s="372">
        <v>3598000</v>
      </c>
      <c r="G65" s="372">
        <v>3298000</v>
      </c>
      <c r="H65" s="372">
        <v>3298000</v>
      </c>
      <c r="I65" s="372">
        <v>1698000</v>
      </c>
      <c r="J65" s="372">
        <v>1625000</v>
      </c>
      <c r="K65" s="372">
        <v>1544000</v>
      </c>
      <c r="L65" s="372">
        <v>1435000</v>
      </c>
      <c r="M65" s="372">
        <v>1340000</v>
      </c>
      <c r="N65" s="373">
        <v>1220000</v>
      </c>
    </row>
    <row r="66" spans="3:14" s="412" customFormat="1" ht="16.5" customHeight="1" thickTop="1">
      <c r="C66" s="420" t="s">
        <v>2857</v>
      </c>
      <c r="D66" s="421" t="s">
        <v>2864</v>
      </c>
      <c r="E66" s="422">
        <f>SUM(E64:E65)</f>
        <v>3598000</v>
      </c>
      <c r="F66" s="423">
        <f t="shared" ref="F66:N66" si="10">SUM(F64:F65)</f>
        <v>3598000</v>
      </c>
      <c r="G66" s="423">
        <f t="shared" si="10"/>
        <v>3298000</v>
      </c>
      <c r="H66" s="423">
        <f t="shared" si="10"/>
        <v>3298000</v>
      </c>
      <c r="I66" s="423">
        <f t="shared" si="10"/>
        <v>3382000</v>
      </c>
      <c r="J66" s="423">
        <f t="shared" si="10"/>
        <v>3131000</v>
      </c>
      <c r="K66" s="423">
        <f t="shared" si="10"/>
        <v>2878000</v>
      </c>
      <c r="L66" s="423">
        <f t="shared" si="10"/>
        <v>2562000</v>
      </c>
      <c r="M66" s="423">
        <f t="shared" si="10"/>
        <v>2292000</v>
      </c>
      <c r="N66" s="424">
        <f t="shared" si="10"/>
        <v>1964000</v>
      </c>
    </row>
    <row r="67" spans="3:14" ht="16.5" customHeight="1">
      <c r="C67" s="425" t="s">
        <v>2855</v>
      </c>
      <c r="D67" s="426"/>
      <c r="E67" s="375"/>
      <c r="F67" s="376"/>
      <c r="G67" s="376"/>
      <c r="H67" s="376"/>
      <c r="I67" s="376">
        <v>1684000</v>
      </c>
      <c r="J67" s="376">
        <v>1506000</v>
      </c>
      <c r="K67" s="376">
        <v>1334000</v>
      </c>
      <c r="L67" s="376">
        <v>1127000</v>
      </c>
      <c r="M67" s="376">
        <v>952000</v>
      </c>
      <c r="N67" s="377">
        <v>744000</v>
      </c>
    </row>
    <row r="68" spans="3:14" ht="16.5" customHeight="1" thickBot="1">
      <c r="C68" s="427" t="s">
        <v>2856</v>
      </c>
      <c r="D68" s="428"/>
      <c r="E68" s="429">
        <v>3517000</v>
      </c>
      <c r="F68" s="430">
        <v>3517000</v>
      </c>
      <c r="G68" s="430">
        <v>3217000</v>
      </c>
      <c r="H68" s="430">
        <v>3217000</v>
      </c>
      <c r="I68" s="430">
        <v>1617000</v>
      </c>
      <c r="J68" s="430">
        <v>1550000</v>
      </c>
      <c r="K68" s="430">
        <v>1477000</v>
      </c>
      <c r="L68" s="430">
        <v>1378000</v>
      </c>
      <c r="M68" s="430">
        <v>1291000</v>
      </c>
      <c r="N68" s="431">
        <v>1182000</v>
      </c>
    </row>
    <row r="69" spans="3:14" s="412" customFormat="1" ht="16.5" customHeight="1" thickTop="1">
      <c r="C69" s="432" t="s">
        <v>2857</v>
      </c>
      <c r="D69" s="433" t="s">
        <v>2865</v>
      </c>
      <c r="E69" s="434">
        <f>SUM(E67:E68)</f>
        <v>3517000</v>
      </c>
      <c r="F69" s="435">
        <f t="shared" ref="F69:N69" si="11">SUM(F67:F68)</f>
        <v>3517000</v>
      </c>
      <c r="G69" s="435">
        <f t="shared" si="11"/>
        <v>3217000</v>
      </c>
      <c r="H69" s="435">
        <f t="shared" si="11"/>
        <v>3217000</v>
      </c>
      <c r="I69" s="435">
        <f t="shared" si="11"/>
        <v>3301000</v>
      </c>
      <c r="J69" s="435">
        <f t="shared" si="11"/>
        <v>3056000</v>
      </c>
      <c r="K69" s="435">
        <f t="shared" si="11"/>
        <v>2811000</v>
      </c>
      <c r="L69" s="435">
        <f t="shared" si="11"/>
        <v>2505000</v>
      </c>
      <c r="M69" s="435">
        <f t="shared" si="11"/>
        <v>2243000</v>
      </c>
      <c r="N69" s="436">
        <f t="shared" si="11"/>
        <v>1926000</v>
      </c>
    </row>
    <row r="70" spans="3:14" ht="16.5" customHeight="1">
      <c r="C70" s="437" t="s">
        <v>2855</v>
      </c>
      <c r="D70" s="359"/>
      <c r="E70" s="360"/>
      <c r="F70" s="361"/>
      <c r="G70" s="361"/>
      <c r="H70" s="361"/>
      <c r="I70" s="361">
        <v>1684000</v>
      </c>
      <c r="J70" s="361">
        <v>1506000</v>
      </c>
      <c r="K70" s="361">
        <v>1334000</v>
      </c>
      <c r="L70" s="361">
        <v>1127000</v>
      </c>
      <c r="M70" s="361">
        <v>952000</v>
      </c>
      <c r="N70" s="362">
        <v>744000</v>
      </c>
    </row>
    <row r="71" spans="3:14" ht="16.5" customHeight="1" thickBot="1">
      <c r="C71" s="419" t="s">
        <v>2856</v>
      </c>
      <c r="D71" s="370"/>
      <c r="E71" s="371">
        <v>3443000</v>
      </c>
      <c r="F71" s="372">
        <v>3443000</v>
      </c>
      <c r="G71" s="372">
        <v>3143000</v>
      </c>
      <c r="H71" s="372">
        <v>3143000</v>
      </c>
      <c r="I71" s="372">
        <v>1542000</v>
      </c>
      <c r="J71" s="372">
        <v>1482000</v>
      </c>
      <c r="K71" s="372">
        <v>1415000</v>
      </c>
      <c r="L71" s="372">
        <v>1325000</v>
      </c>
      <c r="M71" s="372">
        <v>1246000</v>
      </c>
      <c r="N71" s="373">
        <v>1147000</v>
      </c>
    </row>
    <row r="72" spans="3:14" s="412" customFormat="1" ht="16.5" customHeight="1" thickTop="1" thickBot="1">
      <c r="C72" s="438" t="s">
        <v>2857</v>
      </c>
      <c r="D72" s="439" t="s">
        <v>2866</v>
      </c>
      <c r="E72" s="440">
        <f>SUM(E70:E71)</f>
        <v>3443000</v>
      </c>
      <c r="F72" s="441">
        <f t="shared" ref="F72:N72" si="12">SUM(F70:F71)</f>
        <v>3443000</v>
      </c>
      <c r="G72" s="441">
        <f t="shared" si="12"/>
        <v>3143000</v>
      </c>
      <c r="H72" s="441">
        <f t="shared" si="12"/>
        <v>3143000</v>
      </c>
      <c r="I72" s="441">
        <f t="shared" si="12"/>
        <v>3226000</v>
      </c>
      <c r="J72" s="441">
        <f t="shared" si="12"/>
        <v>2988000</v>
      </c>
      <c r="K72" s="441">
        <f t="shared" si="12"/>
        <v>2749000</v>
      </c>
      <c r="L72" s="441">
        <f t="shared" si="12"/>
        <v>2452000</v>
      </c>
      <c r="M72" s="441">
        <f t="shared" si="12"/>
        <v>2198000</v>
      </c>
      <c r="N72" s="442">
        <f t="shared" si="12"/>
        <v>1891000</v>
      </c>
    </row>
    <row r="74" spans="3:14" ht="16.5" customHeight="1">
      <c r="C74" s="443" t="s">
        <v>2867</v>
      </c>
    </row>
    <row r="75" spans="3:14" ht="16.5" customHeight="1">
      <c r="C75" s="444" t="s">
        <v>2868</v>
      </c>
      <c r="D75" s="363">
        <v>1100</v>
      </c>
      <c r="E75" s="444" t="s">
        <v>2869</v>
      </c>
    </row>
    <row r="76" spans="3:14" ht="16.5" customHeight="1">
      <c r="C76" s="444" t="s">
        <v>2870</v>
      </c>
      <c r="D76" s="445">
        <v>0.15590000000000001</v>
      </c>
      <c r="E76" s="444"/>
    </row>
    <row r="77" spans="3:14" ht="16.5" customHeight="1">
      <c r="C77" s="444" t="s">
        <v>2871</v>
      </c>
      <c r="D77" s="445">
        <v>4.4999999999999998E-2</v>
      </c>
      <c r="E77" s="444"/>
    </row>
    <row r="78" spans="3:14" ht="16.5" customHeight="1">
      <c r="C78" s="444"/>
    </row>
    <row r="79" spans="3:14" ht="16.5" customHeight="1">
      <c r="C79" s="444"/>
    </row>
  </sheetData>
  <mergeCells count="2">
    <mergeCell ref="C2:N2"/>
    <mergeCell ref="D15:D19"/>
  </mergeCells>
  <phoneticPr fontId="5" type="noConversion"/>
  <printOptions horizontalCentered="1"/>
  <pageMargins left="0.39370078740157483" right="0.39370078740157483" top="0.39370078740157483" bottom="0.39370078740157483" header="0.31496062992125984" footer="0.31496062992125984"/>
  <pageSetup paperSize="9" scale="65" fitToHeight="0"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A998-43C7-4D66-BB48-8914C2C22C64}">
  <dimension ref="A1:AF56"/>
  <sheetViews>
    <sheetView topLeftCell="O13" zoomScale="70" zoomScaleNormal="70" workbookViewId="0">
      <selection activeCell="Y31" sqref="Y31"/>
    </sheetView>
  </sheetViews>
  <sheetFormatPr defaultColWidth="8.75" defaultRowHeight="18" customHeight="1"/>
  <cols>
    <col min="1" max="1" width="7.875" style="241" customWidth="1"/>
    <col min="2" max="2" width="6.25" style="293" customWidth="1"/>
    <col min="3" max="4" width="10.875" style="241" customWidth="1"/>
    <col min="5" max="5" width="11.75" style="241" customWidth="1"/>
    <col min="6" max="6" width="7.875" style="241" customWidth="1"/>
    <col min="7" max="7" width="6.25" style="293" customWidth="1"/>
    <col min="8" max="8" width="10.875" style="241" customWidth="1"/>
    <col min="9" max="9" width="12.75" style="241" customWidth="1"/>
    <col min="10" max="10" width="11.75" style="241" customWidth="1"/>
    <col min="11" max="11" width="7.875" style="241" customWidth="1"/>
    <col min="12" max="12" width="16.125" style="241" customWidth="1"/>
    <col min="13" max="15" width="7.875" style="241" customWidth="1"/>
    <col min="16" max="22" width="7.125" style="293" customWidth="1"/>
    <col min="23" max="24" width="8.75" style="241" customWidth="1"/>
    <col min="25" max="26" width="13" style="241" customWidth="1"/>
    <col min="27" max="28" width="11.75" style="241" customWidth="1"/>
    <col min="29" max="29" width="11.75" style="250" customWidth="1"/>
    <col min="30" max="31" width="11.75" style="241" customWidth="1"/>
    <col min="32" max="32" width="11.75" style="250" customWidth="1"/>
    <col min="33" max="16384" width="8.75" style="241"/>
  </cols>
  <sheetData>
    <row r="1" spans="1:32" ht="18" customHeight="1">
      <c r="C1" s="241">
        <v>6416000</v>
      </c>
      <c r="D1" s="241">
        <v>2393000</v>
      </c>
      <c r="E1" s="241">
        <f>105708000*1.045</f>
        <v>110464859.99999999</v>
      </c>
      <c r="H1" s="241">
        <v>7704000</v>
      </c>
      <c r="I1" s="241">
        <f>119755200*1.06</f>
        <v>126940512</v>
      </c>
      <c r="J1" s="241">
        <f>I1-H1*12</f>
        <v>34492512</v>
      </c>
      <c r="L1" s="241" t="s">
        <v>3089</v>
      </c>
      <c r="W1" s="665" t="s">
        <v>1953</v>
      </c>
      <c r="X1" s="665"/>
      <c r="Y1" s="665"/>
      <c r="Z1" s="665"/>
      <c r="AA1" s="665" t="s">
        <v>1954</v>
      </c>
      <c r="AB1" s="665"/>
      <c r="AC1" s="665"/>
      <c r="AD1" s="665" t="s">
        <v>1957</v>
      </c>
      <c r="AE1" s="665"/>
      <c r="AF1" s="665"/>
    </row>
    <row r="2" spans="1:32" ht="18" customHeight="1">
      <c r="C2" s="241">
        <v>6705000</v>
      </c>
      <c r="D2" s="241">
        <f>E1-C2*12</f>
        <v>30004859.999999985</v>
      </c>
      <c r="E2" s="241">
        <f>D2/12</f>
        <v>2500404.9999999986</v>
      </c>
      <c r="H2" s="244"/>
      <c r="J2" s="241">
        <f>J1/12</f>
        <v>2874376</v>
      </c>
      <c r="M2" s="293" t="s">
        <v>1973</v>
      </c>
      <c r="N2" s="293" t="s">
        <v>1974</v>
      </c>
      <c r="O2" s="293" t="s">
        <v>1975</v>
      </c>
      <c r="Q2" s="293" t="s">
        <v>1959</v>
      </c>
      <c r="R2" s="293" t="s">
        <v>1960</v>
      </c>
      <c r="S2" s="293" t="s">
        <v>1063</v>
      </c>
      <c r="T2" s="293" t="s">
        <v>1961</v>
      </c>
      <c r="U2" s="293" t="s">
        <v>3643</v>
      </c>
      <c r="V2" s="293" t="s">
        <v>1962</v>
      </c>
      <c r="W2" s="665"/>
      <c r="X2" s="665"/>
      <c r="Y2" s="665"/>
      <c r="Z2" s="665"/>
      <c r="AA2" s="293" t="s">
        <v>1955</v>
      </c>
      <c r="AB2" s="293" t="s">
        <v>1956</v>
      </c>
      <c r="AC2" s="242" t="s">
        <v>1958</v>
      </c>
      <c r="AD2" s="293" t="s">
        <v>1955</v>
      </c>
      <c r="AE2" s="293" t="s">
        <v>1956</v>
      </c>
      <c r="AF2" s="242" t="s">
        <v>1958</v>
      </c>
    </row>
    <row r="3" spans="1:32" ht="18" customHeight="1">
      <c r="I3" s="241">
        <v>92842000</v>
      </c>
      <c r="J3" s="241">
        <v>95349000</v>
      </c>
      <c r="M3" s="664"/>
      <c r="N3" s="664"/>
      <c r="O3" s="664"/>
      <c r="P3" s="243">
        <v>1997</v>
      </c>
      <c r="Q3" s="244"/>
      <c r="R3" s="244"/>
      <c r="S3" s="244"/>
      <c r="T3" s="244"/>
      <c r="U3" s="244"/>
      <c r="V3" s="244"/>
      <c r="AA3" s="241">
        <v>9160122</v>
      </c>
      <c r="AB3" s="241">
        <v>677248</v>
      </c>
      <c r="AC3" s="244">
        <f>IF(AA3="","",AB3/AA3)</f>
        <v>7.393438646341173E-2</v>
      </c>
      <c r="AD3" s="241">
        <v>5607426</v>
      </c>
      <c r="AE3" s="241">
        <v>464870</v>
      </c>
      <c r="AF3" s="244">
        <f t="shared" ref="AF3:AF38" si="0">IF(AD3="","",AE3/AD3)</f>
        <v>8.2902565276831111E-2</v>
      </c>
    </row>
    <row r="4" spans="1:32" ht="18" customHeight="1">
      <c r="C4" s="241">
        <v>6431090</v>
      </c>
      <c r="D4" s="241">
        <v>6720489</v>
      </c>
      <c r="E4" s="244">
        <f>D4/C4</f>
        <v>1.0449999922252682</v>
      </c>
      <c r="G4" s="470"/>
      <c r="I4" s="241">
        <v>5787000</v>
      </c>
      <c r="J4" s="241">
        <v>2158750</v>
      </c>
      <c r="L4" s="241">
        <f>J14-J10</f>
        <v>13476000</v>
      </c>
      <c r="M4" s="664"/>
      <c r="N4" s="664"/>
      <c r="O4" s="664"/>
      <c r="P4" s="243">
        <v>1998</v>
      </c>
      <c r="Q4" s="244"/>
      <c r="R4" s="244"/>
      <c r="S4" s="244"/>
      <c r="T4" s="244"/>
      <c r="U4" s="244"/>
      <c r="V4" s="244"/>
      <c r="AA4" s="241">
        <v>5844379</v>
      </c>
      <c r="AB4" s="241">
        <v>503364</v>
      </c>
      <c r="AC4" s="244">
        <f t="shared" ref="AC4:AC38" si="1">IF(AA4="","",AB4/AA4)</f>
        <v>8.6127884587909168E-2</v>
      </c>
      <c r="AD4" s="241">
        <v>5826349</v>
      </c>
      <c r="AE4" s="241">
        <v>500219</v>
      </c>
      <c r="AF4" s="244">
        <f t="shared" si="0"/>
        <v>8.5854623538686059E-2</v>
      </c>
    </row>
    <row r="5" spans="1:32" ht="18" customHeight="1">
      <c r="C5" s="241">
        <v>6720489</v>
      </c>
      <c r="D5" s="241">
        <f>C5*E5</f>
        <v>7325333.0100000007</v>
      </c>
      <c r="E5" s="244">
        <v>1.0900000000000001</v>
      </c>
      <c r="G5" s="470"/>
      <c r="M5" s="664"/>
      <c r="N5" s="664"/>
      <c r="O5" s="664"/>
      <c r="P5" s="243">
        <v>1999</v>
      </c>
      <c r="Q5" s="244"/>
      <c r="R5" s="244"/>
      <c r="S5" s="244"/>
      <c r="T5" s="244"/>
      <c r="U5" s="244"/>
      <c r="V5" s="244"/>
      <c r="AA5" s="241">
        <v>5785177</v>
      </c>
      <c r="AB5" s="241">
        <v>320961</v>
      </c>
      <c r="AC5" s="244">
        <f t="shared" si="1"/>
        <v>5.5479892836468099E-2</v>
      </c>
      <c r="AD5" s="241">
        <v>5726956</v>
      </c>
      <c r="AE5" s="241">
        <v>313890</v>
      </c>
      <c r="AF5" s="244">
        <f t="shared" si="0"/>
        <v>5.4809221513138918E-2</v>
      </c>
    </row>
    <row r="6" spans="1:32" ht="18" customHeight="1">
      <c r="M6" s="664"/>
      <c r="N6" s="664"/>
      <c r="O6" s="664"/>
      <c r="P6" s="243">
        <v>2000</v>
      </c>
      <c r="Q6" s="244"/>
      <c r="R6" s="244"/>
      <c r="S6" s="244"/>
      <c r="T6" s="244"/>
      <c r="U6" s="244"/>
      <c r="V6" s="244"/>
      <c r="AA6" s="241">
        <v>6392246</v>
      </c>
      <c r="AB6" s="241">
        <v>22900</v>
      </c>
      <c r="AC6" s="244">
        <f t="shared" si="1"/>
        <v>3.5824653807128197E-3</v>
      </c>
      <c r="AD6" s="241">
        <v>6384858</v>
      </c>
      <c r="AE6" s="241">
        <v>24313</v>
      </c>
      <c r="AF6" s="244">
        <f t="shared" si="0"/>
        <v>3.8079155401733286E-3</v>
      </c>
    </row>
    <row r="7" spans="1:32" ht="18" customHeight="1">
      <c r="B7" s="666" t="s">
        <v>1992</v>
      </c>
      <c r="C7" s="666"/>
      <c r="D7" s="666"/>
      <c r="E7" s="666"/>
      <c r="F7" s="666"/>
      <c r="G7" s="666" t="s">
        <v>1993</v>
      </c>
      <c r="H7" s="666"/>
      <c r="I7" s="666"/>
      <c r="J7" s="666"/>
      <c r="K7" s="666"/>
      <c r="M7" s="664"/>
      <c r="N7" s="664"/>
      <c r="O7" s="664"/>
      <c r="P7" s="243">
        <v>2001</v>
      </c>
      <c r="Q7" s="244"/>
      <c r="R7" s="244"/>
      <c r="S7" s="244"/>
      <c r="T7" s="244"/>
      <c r="U7" s="244"/>
      <c r="V7" s="244"/>
      <c r="AA7" s="241">
        <v>6353361</v>
      </c>
      <c r="AB7" s="241">
        <v>-386012</v>
      </c>
      <c r="AC7" s="244">
        <f t="shared" si="1"/>
        <v>-6.0757133114268183E-2</v>
      </c>
      <c r="AD7" s="241">
        <v>6297303</v>
      </c>
      <c r="AE7" s="241">
        <v>-382616</v>
      </c>
      <c r="AF7" s="244">
        <f t="shared" si="0"/>
        <v>-6.0758708926662734E-2</v>
      </c>
    </row>
    <row r="8" spans="1:32" ht="18" customHeight="1">
      <c r="A8" s="471">
        <v>2023</v>
      </c>
      <c r="B8" s="293" t="s">
        <v>12</v>
      </c>
      <c r="C8" s="251">
        <v>4683000</v>
      </c>
      <c r="D8" s="251">
        <v>1748090</v>
      </c>
      <c r="E8" s="251">
        <f>12*SUM(C8:D8)</f>
        <v>77173080</v>
      </c>
      <c r="F8" s="472" t="s">
        <v>1984</v>
      </c>
      <c r="G8" s="293" t="s">
        <v>12</v>
      </c>
      <c r="H8" s="251">
        <v>4683000</v>
      </c>
      <c r="I8" s="251">
        <v>1748090</v>
      </c>
      <c r="J8" s="251">
        <f>12*SUM(H8:I8)</f>
        <v>77173080</v>
      </c>
      <c r="K8" s="472" t="s">
        <v>1984</v>
      </c>
      <c r="M8" s="664"/>
      <c r="N8" s="664"/>
      <c r="O8" s="664"/>
      <c r="P8" s="243">
        <v>2002</v>
      </c>
      <c r="Q8" s="244"/>
      <c r="R8" s="244"/>
      <c r="S8" s="244"/>
      <c r="T8" s="244"/>
      <c r="U8" s="244"/>
      <c r="V8" s="244"/>
      <c r="AA8" s="241">
        <v>5478998</v>
      </c>
      <c r="AB8" s="241">
        <v>175327</v>
      </c>
      <c r="AC8" s="244">
        <f t="shared" si="1"/>
        <v>3.1999829165843825E-2</v>
      </c>
      <c r="AD8" s="241">
        <v>5443359</v>
      </c>
      <c r="AE8" s="241">
        <v>195421</v>
      </c>
      <c r="AF8" s="244">
        <f t="shared" si="0"/>
        <v>3.5900810510568933E-2</v>
      </c>
    </row>
    <row r="9" spans="1:32" ht="18" customHeight="1">
      <c r="A9" s="471">
        <v>2024</v>
      </c>
      <c r="B9" s="473">
        <v>3.3000000000000002E-2</v>
      </c>
      <c r="C9" s="251">
        <v>4837000</v>
      </c>
      <c r="D9" s="251">
        <v>1806340</v>
      </c>
      <c r="E9" s="251">
        <f t="shared" ref="E9:E11" si="2">12*SUM(C9:D9)</f>
        <v>79720080</v>
      </c>
      <c r="F9" s="472" t="s">
        <v>1984</v>
      </c>
      <c r="G9" s="473">
        <v>3.3000000000000002E-2</v>
      </c>
      <c r="H9" s="251">
        <v>4837000</v>
      </c>
      <c r="I9" s="251">
        <v>1806340</v>
      </c>
      <c r="J9" s="251">
        <f t="shared" ref="J9:J11" si="3">12*SUM(H9:I9)</f>
        <v>79720080</v>
      </c>
      <c r="K9" s="472" t="s">
        <v>1984</v>
      </c>
      <c r="M9" s="664"/>
      <c r="N9" s="664"/>
      <c r="O9" s="664"/>
      <c r="P9" s="243">
        <v>2003</v>
      </c>
      <c r="Q9" s="244"/>
      <c r="R9" s="244"/>
      <c r="S9" s="244"/>
      <c r="T9" s="244"/>
      <c r="U9" s="244"/>
      <c r="V9" s="244"/>
      <c r="W9" s="245"/>
      <c r="X9" s="245"/>
      <c r="AA9" s="241">
        <v>5348327</v>
      </c>
      <c r="AB9" s="241">
        <v>318102</v>
      </c>
      <c r="AC9" s="244">
        <f t="shared" si="1"/>
        <v>5.9476916800337752E-2</v>
      </c>
      <c r="AD9" s="241">
        <v>5152272</v>
      </c>
      <c r="AE9" s="241">
        <v>307125</v>
      </c>
      <c r="AF9" s="244">
        <f t="shared" si="0"/>
        <v>5.9609624647145955E-2</v>
      </c>
    </row>
    <row r="10" spans="1:32" ht="18" customHeight="1">
      <c r="A10" s="471">
        <v>2025</v>
      </c>
      <c r="B10" s="473">
        <v>2.7E-2</v>
      </c>
      <c r="C10" s="251">
        <v>4968000</v>
      </c>
      <c r="D10" s="251">
        <v>1854750</v>
      </c>
      <c r="E10" s="251">
        <f t="shared" si="2"/>
        <v>81873000</v>
      </c>
      <c r="F10" s="471" t="s">
        <v>3343</v>
      </c>
      <c r="G10" s="473">
        <v>2.7E-2</v>
      </c>
      <c r="H10" s="251">
        <v>4968000</v>
      </c>
      <c r="I10" s="251">
        <v>1854750</v>
      </c>
      <c r="J10" s="251">
        <f t="shared" si="3"/>
        <v>81873000</v>
      </c>
      <c r="K10" s="472" t="s">
        <v>3343</v>
      </c>
      <c r="L10" s="293" t="s">
        <v>3344</v>
      </c>
      <c r="M10" s="664"/>
      <c r="N10" s="664"/>
      <c r="O10" s="664"/>
      <c r="P10" s="243">
        <v>2004</v>
      </c>
      <c r="Q10" s="244"/>
      <c r="R10" s="244"/>
      <c r="S10" s="244"/>
      <c r="T10" s="244"/>
      <c r="U10" s="244"/>
      <c r="V10" s="244"/>
      <c r="AA10" s="241">
        <v>4854095</v>
      </c>
      <c r="AB10" s="241">
        <v>329329</v>
      </c>
      <c r="AC10" s="244">
        <f t="shared" si="1"/>
        <v>6.7845602527350612E-2</v>
      </c>
      <c r="AD10" s="241">
        <v>4646116</v>
      </c>
      <c r="AE10" s="241">
        <v>316074</v>
      </c>
      <c r="AF10" s="244">
        <f t="shared" si="0"/>
        <v>6.8029726334856905E-2</v>
      </c>
    </row>
    <row r="11" spans="1:32" ht="18" customHeight="1">
      <c r="A11" s="471">
        <v>2026</v>
      </c>
      <c r="B11" s="473">
        <v>0.06</v>
      </c>
      <c r="C11" s="251">
        <v>5077000</v>
      </c>
      <c r="D11" s="251">
        <v>1895750</v>
      </c>
      <c r="E11" s="251">
        <f t="shared" si="2"/>
        <v>83673000</v>
      </c>
      <c r="F11" s="471"/>
      <c r="G11" s="473">
        <v>0.06</v>
      </c>
      <c r="H11" s="251">
        <v>5382000</v>
      </c>
      <c r="I11" s="251">
        <v>2009170</v>
      </c>
      <c r="J11" s="251">
        <f t="shared" si="3"/>
        <v>88694040</v>
      </c>
      <c r="K11" s="471" t="s">
        <v>1985</v>
      </c>
      <c r="M11" s="664"/>
      <c r="N11" s="664"/>
      <c r="O11" s="664"/>
      <c r="P11" s="243">
        <v>2005</v>
      </c>
      <c r="Q11" s="244"/>
      <c r="R11" s="244"/>
      <c r="S11" s="244"/>
      <c r="T11" s="244"/>
      <c r="U11" s="244"/>
      <c r="V11" s="244"/>
      <c r="AA11" s="241">
        <v>4547182</v>
      </c>
      <c r="AB11" s="241">
        <v>451490</v>
      </c>
      <c r="AC11" s="244">
        <f t="shared" si="1"/>
        <v>9.9290065803392086E-2</v>
      </c>
      <c r="AD11" s="241">
        <v>4285136</v>
      </c>
      <c r="AE11" s="241">
        <v>436220</v>
      </c>
      <c r="AF11" s="244">
        <f t="shared" si="0"/>
        <v>0.10179840266446619</v>
      </c>
    </row>
    <row r="12" spans="1:32" ht="18" customHeight="1">
      <c r="A12" s="510">
        <v>2023</v>
      </c>
      <c r="B12" s="511" t="s">
        <v>13</v>
      </c>
      <c r="C12" s="512">
        <v>5459000</v>
      </c>
      <c r="D12" s="512">
        <v>2037920</v>
      </c>
      <c r="E12" s="512">
        <f>12*SUM(C12:D12)</f>
        <v>89963040</v>
      </c>
      <c r="F12" s="510"/>
      <c r="G12" s="511" t="s">
        <v>13</v>
      </c>
      <c r="H12" s="512">
        <v>5459000</v>
      </c>
      <c r="I12" s="512">
        <v>2037920</v>
      </c>
      <c r="J12" s="512">
        <f>12*SUM(H12:I12)</f>
        <v>89963040</v>
      </c>
      <c r="K12" s="510"/>
      <c r="L12" s="513"/>
      <c r="M12" s="664"/>
      <c r="N12" s="664"/>
      <c r="O12" s="664"/>
      <c r="P12" s="243">
        <v>2006</v>
      </c>
      <c r="Q12" s="244"/>
      <c r="R12" s="244"/>
      <c r="S12" s="244"/>
      <c r="T12" s="244"/>
      <c r="U12" s="244"/>
      <c r="V12" s="244"/>
      <c r="AA12" s="241">
        <v>5449871</v>
      </c>
      <c r="AB12" s="241">
        <v>419123</v>
      </c>
      <c r="AC12" s="244">
        <f t="shared" si="1"/>
        <v>7.6905123075390228E-2</v>
      </c>
      <c r="AD12" s="241">
        <v>5084898</v>
      </c>
      <c r="AE12" s="241">
        <v>394386</v>
      </c>
      <c r="AF12" s="244">
        <f t="shared" si="0"/>
        <v>7.7560257845880096E-2</v>
      </c>
    </row>
    <row r="13" spans="1:32" ht="18" customHeight="1">
      <c r="A13" s="471">
        <v>2024</v>
      </c>
      <c r="B13" s="473">
        <v>3.2000000000000001E-2</v>
      </c>
      <c r="C13" s="251">
        <v>5634000</v>
      </c>
      <c r="D13" s="251">
        <v>2102840</v>
      </c>
      <c r="E13" s="251">
        <f t="shared" ref="E13:E23" si="4">12*SUM(C13:D13)</f>
        <v>92842080</v>
      </c>
      <c r="F13" s="471"/>
      <c r="G13" s="473">
        <v>3.2000000000000001E-2</v>
      </c>
      <c r="H13" s="251">
        <v>5634000</v>
      </c>
      <c r="I13" s="251">
        <v>2102840</v>
      </c>
      <c r="J13" s="251">
        <f t="shared" ref="J13:J23" si="5">12*SUM(H13:I13)</f>
        <v>92842080</v>
      </c>
      <c r="K13" s="471"/>
      <c r="M13" s="664"/>
      <c r="N13" s="664"/>
      <c r="O13" s="664"/>
      <c r="P13" s="243">
        <v>2007</v>
      </c>
      <c r="Q13" s="244"/>
      <c r="R13" s="244"/>
      <c r="S13" s="244"/>
      <c r="T13" s="244"/>
      <c r="U13" s="244"/>
      <c r="V13" s="244"/>
      <c r="W13" s="245"/>
      <c r="X13" s="245"/>
      <c r="AA13" s="241">
        <v>6076052</v>
      </c>
      <c r="AB13" s="241">
        <v>398289</v>
      </c>
      <c r="AC13" s="244">
        <f t="shared" si="1"/>
        <v>6.5550623990709753E-2</v>
      </c>
      <c r="AD13" s="241">
        <v>5649098</v>
      </c>
      <c r="AE13" s="241">
        <v>362055</v>
      </c>
      <c r="AF13" s="244">
        <f t="shared" si="0"/>
        <v>6.4090762808505009E-2</v>
      </c>
    </row>
    <row r="14" spans="1:32" ht="18" customHeight="1">
      <c r="A14" s="471">
        <v>2025</v>
      </c>
      <c r="B14" s="473">
        <v>2.7E-2</v>
      </c>
      <c r="C14" s="251">
        <v>5786000</v>
      </c>
      <c r="D14" s="251">
        <v>2159750</v>
      </c>
      <c r="E14" s="251">
        <f t="shared" si="4"/>
        <v>95349000</v>
      </c>
      <c r="F14" s="471"/>
      <c r="G14" s="473">
        <v>2.7E-2</v>
      </c>
      <c r="H14" s="251">
        <v>5786000</v>
      </c>
      <c r="I14" s="251">
        <v>2159750</v>
      </c>
      <c r="J14" s="251">
        <f t="shared" si="5"/>
        <v>95349000</v>
      </c>
      <c r="K14" s="471"/>
      <c r="M14" s="664"/>
      <c r="N14" s="664"/>
      <c r="O14" s="664"/>
      <c r="P14" s="243">
        <v>2008</v>
      </c>
      <c r="Q14" s="244"/>
      <c r="R14" s="244"/>
      <c r="S14" s="244"/>
      <c r="T14" s="244"/>
      <c r="U14" s="244"/>
      <c r="V14" s="244"/>
      <c r="W14" s="245"/>
      <c r="X14" s="245"/>
      <c r="AA14" s="241">
        <v>8036494</v>
      </c>
      <c r="AB14" s="241">
        <v>566903</v>
      </c>
      <c r="AC14" s="244">
        <f t="shared" si="1"/>
        <v>7.0541084209109095E-2</v>
      </c>
      <c r="AD14" s="241">
        <v>7271097</v>
      </c>
      <c r="AE14" s="241">
        <v>480206</v>
      </c>
      <c r="AF14" s="244">
        <f t="shared" si="0"/>
        <v>6.6043129392992561E-2</v>
      </c>
    </row>
    <row r="15" spans="1:32" ht="18" customHeight="1">
      <c r="A15" s="471">
        <v>2026</v>
      </c>
      <c r="B15" s="242"/>
      <c r="E15" s="241">
        <f t="shared" si="4"/>
        <v>0</v>
      </c>
      <c r="F15" s="471"/>
      <c r="G15" s="473">
        <v>0.04</v>
      </c>
      <c r="H15" s="251">
        <v>6017000</v>
      </c>
      <c r="I15" s="251">
        <v>2246590</v>
      </c>
      <c r="J15" s="251">
        <f t="shared" si="5"/>
        <v>99163080</v>
      </c>
      <c r="K15" s="471"/>
      <c r="M15" s="664"/>
      <c r="N15" s="664"/>
      <c r="O15" s="664"/>
      <c r="P15" s="243">
        <v>2009</v>
      </c>
      <c r="Q15" s="244"/>
      <c r="R15" s="244"/>
      <c r="S15" s="244"/>
      <c r="T15" s="244"/>
      <c r="U15" s="244"/>
      <c r="V15" s="244"/>
      <c r="W15" s="245"/>
      <c r="X15" s="245"/>
      <c r="AA15" s="241">
        <v>10390595</v>
      </c>
      <c r="AB15" s="241">
        <v>581041</v>
      </c>
      <c r="AC15" s="244">
        <f t="shared" si="1"/>
        <v>5.5919896791280961E-2</v>
      </c>
      <c r="AD15" s="241">
        <v>9278579</v>
      </c>
      <c r="AE15" s="241">
        <v>418861</v>
      </c>
      <c r="AF15" s="244">
        <f t="shared" si="0"/>
        <v>4.5142796111344204E-2</v>
      </c>
    </row>
    <row r="16" spans="1:32" ht="18" customHeight="1" thickBot="1">
      <c r="A16" s="471">
        <v>2027</v>
      </c>
      <c r="B16" s="242"/>
      <c r="E16" s="241">
        <f t="shared" si="4"/>
        <v>0</v>
      </c>
      <c r="F16" s="471"/>
      <c r="G16" s="242">
        <v>0.03</v>
      </c>
      <c r="H16" s="241">
        <v>6140000</v>
      </c>
      <c r="I16" s="241">
        <v>2289660</v>
      </c>
      <c r="J16" s="241">
        <f t="shared" si="5"/>
        <v>101155920</v>
      </c>
      <c r="K16" s="471" t="s">
        <v>3343</v>
      </c>
      <c r="L16" s="293" t="s">
        <v>3344</v>
      </c>
      <c r="M16" s="664"/>
      <c r="N16" s="664"/>
      <c r="O16" s="664"/>
      <c r="P16" s="246">
        <v>2010</v>
      </c>
      <c r="Q16" s="247"/>
      <c r="R16" s="247"/>
      <c r="S16" s="247"/>
      <c r="T16" s="247"/>
      <c r="U16" s="247"/>
      <c r="V16" s="247"/>
      <c r="W16" s="248"/>
      <c r="X16" s="248"/>
      <c r="Y16" s="249"/>
      <c r="Z16" s="249"/>
      <c r="AA16" s="249">
        <v>11217013</v>
      </c>
      <c r="AB16" s="249">
        <v>755302</v>
      </c>
      <c r="AC16" s="247">
        <f t="shared" si="1"/>
        <v>6.7335394904151399E-2</v>
      </c>
      <c r="AD16" s="249">
        <v>10004558</v>
      </c>
      <c r="AE16" s="249">
        <v>584269</v>
      </c>
      <c r="AF16" s="247">
        <f t="shared" si="0"/>
        <v>5.8400281151850988E-2</v>
      </c>
    </row>
    <row r="17" spans="1:32" ht="18" customHeight="1">
      <c r="A17" s="471">
        <v>2028</v>
      </c>
      <c r="B17" s="242"/>
      <c r="C17" s="241">
        <v>6249000</v>
      </c>
      <c r="D17" s="241">
        <v>2330660</v>
      </c>
      <c r="E17" s="241">
        <f t="shared" si="4"/>
        <v>102955920</v>
      </c>
      <c r="F17" s="471"/>
      <c r="G17" s="242">
        <v>4.4999999999999998E-2</v>
      </c>
      <c r="H17" s="241">
        <f>6416000+109000</f>
        <v>6525000</v>
      </c>
      <c r="I17" s="241">
        <f>2393000+41000</f>
        <v>2434000</v>
      </c>
      <c r="J17" s="241">
        <f t="shared" si="5"/>
        <v>107508000</v>
      </c>
      <c r="K17" s="471" t="s">
        <v>3343</v>
      </c>
      <c r="L17" s="293" t="s">
        <v>3344</v>
      </c>
      <c r="M17" s="664"/>
      <c r="N17" s="664"/>
      <c r="O17" s="664"/>
      <c r="P17" s="243">
        <v>2011</v>
      </c>
      <c r="Q17" s="244"/>
      <c r="R17" s="244"/>
      <c r="S17" s="244"/>
      <c r="T17" s="244"/>
      <c r="U17" s="244"/>
      <c r="V17" s="244"/>
      <c r="W17" s="245"/>
      <c r="X17" s="245"/>
      <c r="AA17" s="241">
        <v>11920167</v>
      </c>
      <c r="AB17" s="241">
        <v>735596</v>
      </c>
      <c r="AC17" s="244">
        <f t="shared" si="1"/>
        <v>6.171020926132998E-2</v>
      </c>
      <c r="AD17" s="241">
        <v>10104552</v>
      </c>
      <c r="AE17" s="241">
        <v>496979</v>
      </c>
      <c r="AF17" s="244">
        <f t="shared" si="0"/>
        <v>4.9183674842783728E-2</v>
      </c>
    </row>
    <row r="18" spans="1:32" ht="18" customHeight="1">
      <c r="A18" s="471">
        <v>2029</v>
      </c>
      <c r="B18" s="242"/>
      <c r="C18" s="241">
        <v>6634000</v>
      </c>
      <c r="D18" s="241">
        <v>2475000</v>
      </c>
      <c r="E18" s="241">
        <f t="shared" si="4"/>
        <v>109308000</v>
      </c>
      <c r="F18" s="471"/>
      <c r="G18" s="242">
        <v>4.4999999999999998E-2</v>
      </c>
      <c r="H18" s="241">
        <f>6819000+109000</f>
        <v>6928000</v>
      </c>
      <c r="I18" s="241">
        <f>2543160+41000</f>
        <v>2584160</v>
      </c>
      <c r="J18" s="241">
        <f t="shared" si="5"/>
        <v>114145920</v>
      </c>
      <c r="K18" s="471" t="s">
        <v>3439</v>
      </c>
      <c r="L18" s="293" t="s">
        <v>3447</v>
      </c>
      <c r="M18" s="664"/>
      <c r="N18" s="664"/>
      <c r="O18" s="664"/>
      <c r="P18" s="243">
        <v>2012</v>
      </c>
      <c r="Q18" s="244"/>
      <c r="R18" s="244"/>
      <c r="S18" s="244"/>
      <c r="T18" s="244"/>
      <c r="U18" s="244"/>
      <c r="V18" s="244"/>
      <c r="W18" s="245"/>
      <c r="X18" s="245"/>
      <c r="AA18" s="241">
        <v>13324821</v>
      </c>
      <c r="AB18" s="241">
        <v>760408</v>
      </c>
      <c r="AC18" s="244">
        <f t="shared" si="1"/>
        <v>5.706703302055615E-2</v>
      </c>
      <c r="AD18" s="241">
        <v>10433442</v>
      </c>
      <c r="AE18" s="241">
        <v>415634</v>
      </c>
      <c r="AF18" s="244">
        <f t="shared" si="0"/>
        <v>3.9836709687943825E-2</v>
      </c>
    </row>
    <row r="19" spans="1:32" ht="18" customHeight="1">
      <c r="A19" s="471">
        <v>2030</v>
      </c>
      <c r="B19" s="242"/>
      <c r="C19" s="241">
        <f>6928000+91000</f>
        <v>7019000</v>
      </c>
      <c r="D19" s="241">
        <f>2584160+34000</f>
        <v>2618160</v>
      </c>
      <c r="E19" s="241">
        <f t="shared" si="4"/>
        <v>115645920</v>
      </c>
      <c r="F19" s="471"/>
      <c r="G19" s="242">
        <v>3.5999999999999997E-2</v>
      </c>
      <c r="H19" s="241">
        <f>7177000+91000</f>
        <v>7268000</v>
      </c>
      <c r="I19" s="241">
        <f>2677600+34000</f>
        <v>2711600</v>
      </c>
      <c r="J19" s="241">
        <f t="shared" si="5"/>
        <v>119755200</v>
      </c>
      <c r="K19" s="471" t="s">
        <v>1985</v>
      </c>
      <c r="L19" s="241" t="s">
        <v>3448</v>
      </c>
      <c r="M19" s="664"/>
      <c r="N19" s="664"/>
      <c r="O19" s="664"/>
      <c r="P19" s="243">
        <v>2013</v>
      </c>
      <c r="Q19" s="244"/>
      <c r="R19" s="244"/>
      <c r="S19" s="244"/>
      <c r="T19" s="244"/>
      <c r="U19" s="244"/>
      <c r="V19" s="244"/>
      <c r="W19" s="245"/>
      <c r="X19" s="245"/>
      <c r="AA19" s="241">
        <v>13852042</v>
      </c>
      <c r="AB19" s="241">
        <v>704097</v>
      </c>
      <c r="AC19" s="244">
        <f t="shared" si="1"/>
        <v>5.0829834330562956E-2</v>
      </c>
      <c r="AD19" s="241">
        <v>10538677</v>
      </c>
      <c r="AE19" s="241">
        <v>423978</v>
      </c>
      <c r="AF19" s="244">
        <f t="shared" si="0"/>
        <v>4.0230666524839885E-2</v>
      </c>
    </row>
    <row r="20" spans="1:32" ht="18" customHeight="1">
      <c r="A20" s="471">
        <v>2031</v>
      </c>
      <c r="C20" s="241">
        <f>7268000+127000</f>
        <v>7395000</v>
      </c>
      <c r="D20" s="241">
        <f>2711600+48000</f>
        <v>2759600</v>
      </c>
      <c r="E20" s="241">
        <f t="shared" si="4"/>
        <v>121855200</v>
      </c>
      <c r="F20" s="471"/>
      <c r="G20" s="242">
        <v>0.06</v>
      </c>
      <c r="H20" s="241">
        <f>7704000+127000</f>
        <v>7831000</v>
      </c>
      <c r="I20" s="241">
        <f>2874380+48000</f>
        <v>2922380</v>
      </c>
      <c r="J20" s="241">
        <f t="shared" si="5"/>
        <v>129040560</v>
      </c>
      <c r="K20" s="471"/>
      <c r="M20" s="664">
        <v>2.3E-2</v>
      </c>
      <c r="N20" s="664"/>
      <c r="O20" s="664"/>
      <c r="P20" s="243">
        <v>2014</v>
      </c>
      <c r="Q20" s="244"/>
      <c r="R20" s="244"/>
      <c r="S20" s="244"/>
      <c r="T20" s="244"/>
      <c r="U20" s="244"/>
      <c r="V20" s="244"/>
      <c r="W20" s="245"/>
      <c r="X20" s="245"/>
      <c r="AA20" s="241">
        <v>17276480</v>
      </c>
      <c r="AB20" s="241">
        <v>829195</v>
      </c>
      <c r="AC20" s="244">
        <f t="shared" si="1"/>
        <v>4.79955986404638E-2</v>
      </c>
      <c r="AD20" s="241">
        <v>10667060</v>
      </c>
      <c r="AE20" s="241">
        <v>370242</v>
      </c>
      <c r="AF20" s="244">
        <f t="shared" si="0"/>
        <v>3.4708907609031919E-2</v>
      </c>
    </row>
    <row r="21" spans="1:32" ht="18" customHeight="1">
      <c r="A21" s="471">
        <v>2032</v>
      </c>
      <c r="E21" s="241">
        <f t="shared" si="4"/>
        <v>0</v>
      </c>
      <c r="F21" s="471"/>
      <c r="J21" s="241">
        <f t="shared" si="5"/>
        <v>0</v>
      </c>
      <c r="K21" s="471"/>
      <c r="M21" s="664">
        <v>0</v>
      </c>
      <c r="N21" s="664"/>
      <c r="O21" s="664"/>
      <c r="P21" s="243">
        <v>2015</v>
      </c>
      <c r="Q21" s="244"/>
      <c r="R21" s="244"/>
      <c r="S21" s="244"/>
      <c r="T21" s="244"/>
      <c r="U21" s="244"/>
      <c r="V21" s="244"/>
      <c r="W21" s="244">
        <f>Z21/Y21</f>
        <v>0.15090410185480341</v>
      </c>
      <c r="X21" s="244">
        <f>IF(Y21="","",Z21/Y21)</f>
        <v>0.15090410185480341</v>
      </c>
      <c r="Y21" s="241">
        <f>3701740*12</f>
        <v>44420880</v>
      </c>
      <c r="Z21" s="241">
        <v>6703293</v>
      </c>
      <c r="AA21" s="241">
        <v>19233180</v>
      </c>
      <c r="AB21" s="241">
        <v>1089328</v>
      </c>
      <c r="AC21" s="244">
        <f t="shared" si="1"/>
        <v>5.6637955865852657E-2</v>
      </c>
      <c r="AD21" s="241">
        <v>10716337</v>
      </c>
      <c r="AE21" s="241">
        <v>516166</v>
      </c>
      <c r="AF21" s="244">
        <f t="shared" si="0"/>
        <v>4.8166271740054459E-2</v>
      </c>
    </row>
    <row r="22" spans="1:32" ht="18" customHeight="1">
      <c r="A22" s="471">
        <v>2033</v>
      </c>
      <c r="E22" s="241">
        <f t="shared" si="4"/>
        <v>0</v>
      </c>
      <c r="F22" s="471"/>
      <c r="J22" s="241">
        <f t="shared" si="5"/>
        <v>0</v>
      </c>
      <c r="K22" s="471"/>
      <c r="M22" s="664">
        <v>0</v>
      </c>
      <c r="N22" s="664"/>
      <c r="O22" s="664"/>
      <c r="P22" s="243">
        <v>2016</v>
      </c>
      <c r="Q22" s="244"/>
      <c r="R22" s="244"/>
      <c r="S22" s="244"/>
      <c r="T22" s="244"/>
      <c r="U22" s="244"/>
      <c r="V22" s="244"/>
      <c r="W22" s="244">
        <f>Z22/Y22</f>
        <v>0.13437595112928874</v>
      </c>
      <c r="X22" s="244">
        <f t="shared" ref="X22:X32" si="6">IF(Y22="","",Z22/Y22)</f>
        <v>0.13437595112928874</v>
      </c>
      <c r="Y22" s="241">
        <f>3701740*12</f>
        <v>44420880</v>
      </c>
      <c r="Z22" s="241">
        <v>5969098</v>
      </c>
      <c r="AA22" s="241">
        <v>18825015</v>
      </c>
      <c r="AB22" s="241">
        <v>1158959</v>
      </c>
      <c r="AC22" s="244">
        <f t="shared" si="1"/>
        <v>6.1564838062546035E-2</v>
      </c>
      <c r="AD22" s="241">
        <v>11041077</v>
      </c>
      <c r="AE22" s="241">
        <v>589718</v>
      </c>
      <c r="AF22" s="244">
        <f t="shared" si="0"/>
        <v>5.341127500514669E-2</v>
      </c>
    </row>
    <row r="23" spans="1:32" ht="18" customHeight="1">
      <c r="A23" s="471">
        <v>2034</v>
      </c>
      <c r="E23" s="241">
        <f t="shared" si="4"/>
        <v>0</v>
      </c>
      <c r="F23" s="471"/>
      <c r="J23" s="241">
        <f t="shared" si="5"/>
        <v>0</v>
      </c>
      <c r="K23" s="471"/>
      <c r="M23" s="664">
        <v>0</v>
      </c>
      <c r="N23" s="664"/>
      <c r="O23" s="664"/>
      <c r="P23" s="243">
        <v>2017</v>
      </c>
      <c r="Q23" s="244"/>
      <c r="R23" s="244"/>
      <c r="S23" s="244"/>
      <c r="T23" s="244"/>
      <c r="U23" s="244"/>
      <c r="V23" s="244"/>
      <c r="W23" s="244">
        <f>Z23/Y23</f>
        <v>0.14589996866338534</v>
      </c>
      <c r="X23" s="244">
        <f t="shared" si="6"/>
        <v>0.14589996866338534</v>
      </c>
      <c r="Y23" s="241">
        <f>3701740*12</f>
        <v>44420880</v>
      </c>
      <c r="Z23" s="241">
        <v>6481005</v>
      </c>
      <c r="AA23" s="241">
        <v>16887090</v>
      </c>
      <c r="AB23" s="241">
        <v>986105</v>
      </c>
      <c r="AC23" s="244">
        <f t="shared" si="1"/>
        <v>5.839401578365485E-2</v>
      </c>
      <c r="AD23" s="241">
        <v>10167960</v>
      </c>
      <c r="AE23" s="241">
        <v>418815</v>
      </c>
      <c r="AF23" s="244">
        <f t="shared" si="0"/>
        <v>4.1189678165531728E-2</v>
      </c>
    </row>
    <row r="24" spans="1:32" ht="18" customHeight="1">
      <c r="M24" s="664">
        <v>0.02</v>
      </c>
      <c r="N24" s="664"/>
      <c r="O24" s="664"/>
      <c r="P24" s="243">
        <v>2018</v>
      </c>
      <c r="Q24" s="244"/>
      <c r="R24" s="244"/>
      <c r="S24" s="244"/>
      <c r="T24" s="244"/>
      <c r="U24" s="244"/>
      <c r="V24" s="244"/>
      <c r="W24" s="244">
        <v>0.16869999999999999</v>
      </c>
      <c r="X24" s="244">
        <f t="shared" si="6"/>
        <v>0.11519998976216222</v>
      </c>
      <c r="Y24" s="241">
        <f>4688490*12</f>
        <v>56261880</v>
      </c>
      <c r="Z24" s="241">
        <v>6481368</v>
      </c>
      <c r="AA24" s="241">
        <v>16730894</v>
      </c>
      <c r="AB24" s="241">
        <v>839989</v>
      </c>
      <c r="AC24" s="244">
        <f t="shared" si="1"/>
        <v>5.0205864671666676E-2</v>
      </c>
      <c r="AD24" s="241">
        <v>10016133</v>
      </c>
      <c r="AE24" s="241">
        <v>304923</v>
      </c>
      <c r="AF24" s="244">
        <f t="shared" si="0"/>
        <v>3.0443186008013271E-2</v>
      </c>
    </row>
    <row r="25" spans="1:32" ht="18" customHeight="1">
      <c r="M25" s="664">
        <v>1.4999999999999999E-2</v>
      </c>
      <c r="N25" s="664"/>
      <c r="O25" s="664"/>
      <c r="P25" s="243">
        <v>2019</v>
      </c>
      <c r="Q25" s="244"/>
      <c r="R25" s="244"/>
      <c r="S25" s="244"/>
      <c r="T25" s="244"/>
      <c r="U25" s="244"/>
      <c r="V25" s="244"/>
      <c r="W25" s="244">
        <v>0.1401</v>
      </c>
      <c r="X25" s="244">
        <f t="shared" si="6"/>
        <v>0.1119998090195734</v>
      </c>
      <c r="Y25" s="241">
        <f>4782340*12</f>
        <v>57388080</v>
      </c>
      <c r="Z25" s="241">
        <v>6427454</v>
      </c>
      <c r="AA25" s="241">
        <v>17278792</v>
      </c>
      <c r="AB25" s="241">
        <v>859667</v>
      </c>
      <c r="AC25" s="244">
        <f t="shared" si="1"/>
        <v>4.9752725769255164E-2</v>
      </c>
      <c r="AD25" s="241">
        <v>10014658</v>
      </c>
      <c r="AE25" s="241">
        <v>370564</v>
      </c>
      <c r="AF25" s="244">
        <f t="shared" si="0"/>
        <v>3.7002162230602383E-2</v>
      </c>
    </row>
    <row r="26" spans="1:32" ht="18" customHeight="1">
      <c r="H26" s="241">
        <f>H15*1.054</f>
        <v>6341918</v>
      </c>
      <c r="I26" s="241">
        <f>I15*1.054</f>
        <v>2367905.8600000003</v>
      </c>
      <c r="M26" s="664">
        <v>4.0000000000000001E-3</v>
      </c>
      <c r="N26" s="664"/>
      <c r="O26" s="664"/>
      <c r="P26" s="243">
        <v>2020</v>
      </c>
      <c r="Q26" s="244">
        <v>0.13600000000000001</v>
      </c>
      <c r="R26" s="244">
        <v>0.16400000000000001</v>
      </c>
      <c r="S26" s="244">
        <v>0.17699999999999999</v>
      </c>
      <c r="T26" s="244">
        <v>0.13800000000000001</v>
      </c>
      <c r="U26" s="244"/>
      <c r="V26" s="244">
        <v>0.154</v>
      </c>
      <c r="W26" s="244">
        <v>0.154</v>
      </c>
      <c r="X26" s="244">
        <f t="shared" si="6"/>
        <v>0.13808746850594036</v>
      </c>
      <c r="Y26" s="241">
        <f>4854090*12</f>
        <v>58249080</v>
      </c>
      <c r="Z26" s="241">
        <v>8043468</v>
      </c>
      <c r="AA26" s="241">
        <v>16970859</v>
      </c>
      <c r="AB26" s="241">
        <v>548972</v>
      </c>
      <c r="AC26" s="244">
        <f t="shared" si="1"/>
        <v>3.2347920632656249E-2</v>
      </c>
      <c r="AD26" s="241">
        <v>9320113</v>
      </c>
      <c r="AE26" s="241">
        <v>236363</v>
      </c>
      <c r="AF26" s="244">
        <f t="shared" si="0"/>
        <v>2.5360529427057375E-2</v>
      </c>
    </row>
    <row r="27" spans="1:32" ht="18" customHeight="1">
      <c r="H27" s="241">
        <v>6374000</v>
      </c>
      <c r="I27" s="241">
        <v>2378330</v>
      </c>
      <c r="M27" s="244">
        <v>2.3E-2</v>
      </c>
      <c r="N27" s="244">
        <v>2.1999999999999999E-2</v>
      </c>
      <c r="O27" s="244">
        <v>2.1000000000000001E-2</v>
      </c>
      <c r="P27" s="243">
        <v>2021</v>
      </c>
      <c r="Q27" s="244">
        <v>8.8999999999999996E-2</v>
      </c>
      <c r="R27" s="244">
        <v>0.11600000000000001</v>
      </c>
      <c r="S27" s="244">
        <v>0.122</v>
      </c>
      <c r="T27" s="244">
        <v>9.7000000000000003E-2</v>
      </c>
      <c r="U27" s="244"/>
      <c r="V27" s="244">
        <v>0.106</v>
      </c>
      <c r="W27" s="244">
        <v>0.106</v>
      </c>
      <c r="X27" s="244">
        <f t="shared" si="6"/>
        <v>0.106</v>
      </c>
      <c r="Y27" s="241">
        <f>4873500*12</f>
        <v>58482000</v>
      </c>
      <c r="Z27" s="241">
        <v>6199092</v>
      </c>
      <c r="AA27" s="241">
        <v>18065534</v>
      </c>
      <c r="AB27" s="241">
        <v>753504</v>
      </c>
      <c r="AC27" s="244">
        <f t="shared" si="1"/>
        <v>4.1709478391283646E-2</v>
      </c>
      <c r="AD27" s="241">
        <v>10246315</v>
      </c>
      <c r="AE27" s="241">
        <v>305119</v>
      </c>
      <c r="AF27" s="244">
        <f t="shared" si="0"/>
        <v>2.9778413019705133E-2</v>
      </c>
    </row>
    <row r="28" spans="1:32" ht="18" customHeight="1">
      <c r="M28" s="244">
        <v>4.9000000000000002E-2</v>
      </c>
      <c r="N28" s="244">
        <v>4.9000000000000002E-2</v>
      </c>
      <c r="O28" s="244">
        <v>4.7E-2</v>
      </c>
      <c r="P28" s="243">
        <v>2022</v>
      </c>
      <c r="Q28" s="244">
        <v>8.5000000000000006E-2</v>
      </c>
      <c r="R28" s="244">
        <v>0.13800000000000001</v>
      </c>
      <c r="S28" s="244">
        <v>0.158</v>
      </c>
      <c r="T28" s="244">
        <v>0.09</v>
      </c>
      <c r="U28" s="244"/>
      <c r="V28" s="244">
        <v>0.11799999999999999</v>
      </c>
      <c r="W28" s="244">
        <v>0.11799999999999999</v>
      </c>
      <c r="X28" s="244">
        <f t="shared" si="6"/>
        <v>0.11799992110722665</v>
      </c>
      <c r="Y28" s="241">
        <f>4985670*12</f>
        <v>59828040</v>
      </c>
      <c r="Z28" s="241">
        <v>7059704</v>
      </c>
      <c r="AA28" s="241">
        <v>21239082</v>
      </c>
      <c r="AB28" s="241">
        <v>574902</v>
      </c>
      <c r="AC28" s="244">
        <f t="shared" si="1"/>
        <v>2.7068119045823166E-2</v>
      </c>
      <c r="AD28" s="241">
        <v>11978479</v>
      </c>
      <c r="AE28" s="241">
        <v>346342</v>
      </c>
      <c r="AF28" s="244">
        <f t="shared" si="0"/>
        <v>2.8913687622610516E-2</v>
      </c>
    </row>
    <row r="29" spans="1:32" ht="18" customHeight="1">
      <c r="M29" s="244">
        <v>4.7E-2</v>
      </c>
      <c r="N29" s="244">
        <v>4.4999999999999998E-2</v>
      </c>
      <c r="O29" s="244">
        <v>4.2999999999999997E-2</v>
      </c>
      <c r="P29" s="243">
        <v>2023</v>
      </c>
      <c r="Q29" s="244">
        <v>7.1999999999999995E-2</v>
      </c>
      <c r="R29" s="244">
        <v>0.114</v>
      </c>
      <c r="S29" s="244">
        <v>0.13400000000000001</v>
      </c>
      <c r="T29" s="244">
        <v>7.9000000000000001E-2</v>
      </c>
      <c r="U29" s="244"/>
      <c r="V29" s="244">
        <v>0.10100000000000001</v>
      </c>
      <c r="W29" s="244">
        <v>0.10100000000000001</v>
      </c>
      <c r="X29" s="244">
        <f t="shared" si="6"/>
        <v>0.1009998905876688</v>
      </c>
      <c r="Y29" s="241">
        <f>6154090*12</f>
        <v>73849080</v>
      </c>
      <c r="Z29" s="241">
        <v>7458749</v>
      </c>
      <c r="AA29" s="241">
        <v>29651357</v>
      </c>
      <c r="AB29" s="241">
        <v>785430</v>
      </c>
      <c r="AC29" s="244">
        <f t="shared" si="1"/>
        <v>2.6488838268009116E-2</v>
      </c>
      <c r="AD29" s="253">
        <v>15778844</v>
      </c>
      <c r="AE29" s="253">
        <v>340527</v>
      </c>
      <c r="AF29" s="254">
        <f t="shared" si="0"/>
        <v>2.1581238777694994E-2</v>
      </c>
    </row>
    <row r="30" spans="1:32" ht="18" customHeight="1">
      <c r="B30" s="293" t="s">
        <v>12</v>
      </c>
      <c r="C30" s="241">
        <v>77</v>
      </c>
      <c r="D30" s="241">
        <v>21</v>
      </c>
      <c r="M30" s="244">
        <v>3.3000000000000002E-2</v>
      </c>
      <c r="N30" s="244">
        <v>3.3000000000000002E-2</v>
      </c>
      <c r="O30" s="244">
        <v>3.2000000000000001E-2</v>
      </c>
      <c r="P30" s="243">
        <v>2024</v>
      </c>
      <c r="Q30" s="244">
        <v>7.9000000000000001E-2</v>
      </c>
      <c r="R30" s="244">
        <v>9.9000000000000005E-2</v>
      </c>
      <c r="S30" s="244">
        <v>0.11600000000000001</v>
      </c>
      <c r="T30" s="244">
        <v>8.8999999999999996E-2</v>
      </c>
      <c r="U30" s="244"/>
      <c r="V30" s="244">
        <v>9.6000000000000002E-2</v>
      </c>
      <c r="W30" s="244">
        <v>9.6000000000000002E-2</v>
      </c>
      <c r="X30" s="244">
        <f t="shared" si="6"/>
        <v>9.2471144082884857E-2</v>
      </c>
      <c r="Y30" s="241">
        <f>6431090*12</f>
        <v>77173080</v>
      </c>
      <c r="Z30" s="241">
        <v>7136283</v>
      </c>
      <c r="AA30" s="253">
        <v>32670268</v>
      </c>
      <c r="AB30" s="253">
        <v>-1263420</v>
      </c>
      <c r="AC30" s="254">
        <f t="shared" si="1"/>
        <v>-3.8671859073822104E-2</v>
      </c>
      <c r="AD30" s="253">
        <v>16730103</v>
      </c>
      <c r="AE30" s="253">
        <v>-215525</v>
      </c>
      <c r="AF30" s="254">
        <f t="shared" si="0"/>
        <v>-1.2882467011709371E-2</v>
      </c>
    </row>
    <row r="31" spans="1:32" ht="18" customHeight="1">
      <c r="B31" s="293" t="s">
        <v>13</v>
      </c>
      <c r="C31" s="241">
        <v>90</v>
      </c>
      <c r="D31" s="241">
        <v>24</v>
      </c>
      <c r="M31" s="664">
        <v>2.7E-2</v>
      </c>
      <c r="N31" s="664"/>
      <c r="O31" s="664"/>
      <c r="P31" s="243">
        <v>2025</v>
      </c>
      <c r="Q31" s="244"/>
      <c r="R31" s="244"/>
      <c r="S31" s="244"/>
      <c r="T31" s="244"/>
      <c r="U31" s="244"/>
      <c r="V31" s="244"/>
      <c r="W31" s="245"/>
      <c r="X31" s="244">
        <f t="shared" si="6"/>
        <v>3.7631673224612923E-2</v>
      </c>
      <c r="Y31" s="241">
        <v>79720080</v>
      </c>
      <c r="Z31" s="241">
        <v>3000000</v>
      </c>
      <c r="AA31" s="253">
        <v>31100000</v>
      </c>
      <c r="AB31" s="253">
        <v>653000</v>
      </c>
      <c r="AC31" s="254">
        <f t="shared" si="1"/>
        <v>2.0996784565916398E-2</v>
      </c>
      <c r="AD31" s="253">
        <v>16500000</v>
      </c>
      <c r="AE31" s="253">
        <v>392600</v>
      </c>
      <c r="AF31" s="254">
        <f t="shared" si="0"/>
        <v>2.3793939393939395E-2</v>
      </c>
    </row>
    <row r="32" spans="1:32" ht="18" customHeight="1">
      <c r="M32" s="244"/>
      <c r="N32" s="244"/>
      <c r="O32" s="244"/>
      <c r="P32" s="243">
        <v>2026</v>
      </c>
      <c r="Q32" s="244">
        <v>7.3999999999999996E-2</v>
      </c>
      <c r="R32" s="244">
        <v>0.10100000000000001</v>
      </c>
      <c r="S32" s="244">
        <v>0.10100000000000001</v>
      </c>
      <c r="T32" s="244">
        <v>5.7000000000000002E-2</v>
      </c>
      <c r="U32" s="244">
        <v>7.8E-2</v>
      </c>
      <c r="V32" s="244">
        <v>7.8E-2</v>
      </c>
      <c r="W32" s="244">
        <v>7.1999999999999995E-2</v>
      </c>
      <c r="X32" s="244">
        <f t="shared" si="6"/>
        <v>5.3457537894055426E-2</v>
      </c>
      <c r="Y32" s="241">
        <v>81873000</v>
      </c>
      <c r="Z32" s="241">
        <v>4376729</v>
      </c>
      <c r="AA32" s="251">
        <v>27133100</v>
      </c>
      <c r="AB32" s="251">
        <v>828100</v>
      </c>
      <c r="AC32" s="252">
        <f t="shared" si="1"/>
        <v>3.0519918475957409E-2</v>
      </c>
      <c r="AD32" s="251">
        <v>15950800</v>
      </c>
      <c r="AE32" s="251">
        <v>473000</v>
      </c>
      <c r="AF32" s="252">
        <f t="shared" si="0"/>
        <v>2.9653685081626E-2</v>
      </c>
    </row>
    <row r="33" spans="2:32" ht="18" customHeight="1">
      <c r="B33" s="293" t="s">
        <v>2076</v>
      </c>
      <c r="C33" s="241">
        <v>325</v>
      </c>
      <c r="D33" s="241">
        <v>100</v>
      </c>
      <c r="M33" s="244"/>
      <c r="N33" s="244"/>
      <c r="O33" s="244"/>
      <c r="P33" s="243">
        <v>2027</v>
      </c>
      <c r="Q33" s="244"/>
      <c r="R33" s="244"/>
      <c r="S33" s="244"/>
      <c r="T33" s="244"/>
      <c r="U33" s="244"/>
      <c r="V33" s="244"/>
      <c r="W33" s="245"/>
      <c r="X33" s="244"/>
      <c r="AA33" s="251">
        <v>28593400</v>
      </c>
      <c r="AB33" s="251">
        <v>1118700</v>
      </c>
      <c r="AC33" s="252">
        <f t="shared" si="1"/>
        <v>3.9124413326152192E-2</v>
      </c>
      <c r="AD33" s="251">
        <v>17646300</v>
      </c>
      <c r="AE33" s="251">
        <v>708700</v>
      </c>
      <c r="AF33" s="252">
        <f t="shared" si="0"/>
        <v>4.0161393606591753E-2</v>
      </c>
    </row>
    <row r="34" spans="2:32" ht="18" customHeight="1">
      <c r="B34" s="293" t="s">
        <v>2077</v>
      </c>
      <c r="C34" s="241">
        <v>375</v>
      </c>
      <c r="D34" s="241">
        <v>100</v>
      </c>
      <c r="M34" s="244"/>
      <c r="N34" s="244"/>
      <c r="O34" s="244"/>
      <c r="P34" s="243">
        <v>2028</v>
      </c>
      <c r="Q34" s="244"/>
      <c r="R34" s="244"/>
      <c r="S34" s="244"/>
      <c r="T34" s="244"/>
      <c r="U34" s="244"/>
      <c r="V34" s="244"/>
      <c r="W34" s="245"/>
      <c r="X34" s="244"/>
      <c r="AA34" s="251">
        <v>30536900</v>
      </c>
      <c r="AB34" s="251">
        <v>1401400</v>
      </c>
      <c r="AC34" s="252">
        <f t="shared" si="1"/>
        <v>4.5892019163700309E-2</v>
      </c>
      <c r="AD34" s="251">
        <v>19371600</v>
      </c>
      <c r="AE34" s="251">
        <v>1245300</v>
      </c>
      <c r="AF34" s="252">
        <f t="shared" si="0"/>
        <v>6.4284829337793475E-2</v>
      </c>
    </row>
    <row r="35" spans="2:32" ht="18" customHeight="1">
      <c r="C35" s="241">
        <v>395</v>
      </c>
      <c r="D35" s="241">
        <v>100</v>
      </c>
      <c r="M35" s="244"/>
      <c r="N35" s="244"/>
      <c r="O35" s="244"/>
      <c r="P35" s="243">
        <v>2029</v>
      </c>
      <c r="Q35" s="244"/>
      <c r="R35" s="244"/>
      <c r="S35" s="244"/>
      <c r="T35" s="244"/>
      <c r="U35" s="244"/>
      <c r="V35" s="244"/>
      <c r="W35" s="245"/>
      <c r="X35" s="244"/>
      <c r="AC35" s="244" t="str">
        <f t="shared" si="1"/>
        <v/>
      </c>
      <c r="AF35" s="244" t="str">
        <f t="shared" si="0"/>
        <v/>
      </c>
    </row>
    <row r="36" spans="2:32" ht="18" customHeight="1">
      <c r="B36" s="293" t="s">
        <v>1917</v>
      </c>
      <c r="C36" s="241">
        <v>470</v>
      </c>
      <c r="D36" s="241">
        <v>100</v>
      </c>
      <c r="M36" s="244"/>
      <c r="N36" s="244"/>
      <c r="O36" s="244"/>
      <c r="P36" s="243">
        <v>2030</v>
      </c>
      <c r="Q36" s="244"/>
      <c r="R36" s="244"/>
      <c r="S36" s="244"/>
      <c r="T36" s="244"/>
      <c r="U36" s="244"/>
      <c r="V36" s="244"/>
      <c r="W36" s="245"/>
      <c r="X36" s="244"/>
      <c r="AC36" s="244" t="str">
        <f t="shared" si="1"/>
        <v/>
      </c>
      <c r="AF36" s="244" t="str">
        <f t="shared" si="0"/>
        <v/>
      </c>
    </row>
    <row r="37" spans="2:32" ht="18" customHeight="1">
      <c r="B37" s="293" t="s">
        <v>1918</v>
      </c>
      <c r="C37" s="241">
        <v>550</v>
      </c>
      <c r="D37" s="241">
        <v>200</v>
      </c>
      <c r="M37" s="244"/>
      <c r="N37" s="244"/>
      <c r="O37" s="244"/>
      <c r="P37" s="243">
        <v>2031</v>
      </c>
      <c r="Q37" s="244"/>
      <c r="R37" s="244"/>
      <c r="S37" s="244"/>
      <c r="T37" s="244"/>
      <c r="U37" s="244"/>
      <c r="V37" s="244"/>
      <c r="W37" s="245"/>
      <c r="X37" s="244"/>
      <c r="AC37" s="244" t="str">
        <f t="shared" si="1"/>
        <v/>
      </c>
      <c r="AF37" s="244" t="str">
        <f t="shared" si="0"/>
        <v/>
      </c>
    </row>
    <row r="38" spans="2:32" ht="18" customHeight="1">
      <c r="B38" s="293" t="s">
        <v>1937</v>
      </c>
      <c r="C38" s="241">
        <v>1012</v>
      </c>
      <c r="D38" s="241">
        <v>600</v>
      </c>
      <c r="P38" s="243">
        <v>2032</v>
      </c>
      <c r="Q38" s="244"/>
      <c r="R38" s="244"/>
      <c r="S38" s="244"/>
      <c r="T38" s="244"/>
      <c r="U38" s="244"/>
      <c r="V38" s="244"/>
      <c r="W38" s="245"/>
      <c r="X38" s="244"/>
      <c r="AC38" s="244" t="str">
        <f t="shared" si="1"/>
        <v/>
      </c>
      <c r="AF38" s="244" t="str">
        <f t="shared" si="0"/>
        <v/>
      </c>
    </row>
    <row r="39" spans="2:32" ht="18" customHeight="1">
      <c r="P39" s="243"/>
      <c r="Q39" s="243"/>
      <c r="R39" s="243"/>
      <c r="S39" s="243"/>
      <c r="T39" s="243"/>
      <c r="U39" s="243"/>
      <c r="V39" s="243"/>
      <c r="W39" s="245"/>
      <c r="X39" s="245"/>
      <c r="AC39" s="244"/>
      <c r="AF39" s="244"/>
    </row>
    <row r="40" spans="2:32" ht="18" customHeight="1">
      <c r="P40" s="243"/>
      <c r="Q40" s="243"/>
      <c r="R40" s="243"/>
      <c r="S40" s="243"/>
      <c r="T40" s="243"/>
      <c r="U40" s="243"/>
      <c r="V40" s="243"/>
      <c r="W40" s="245"/>
      <c r="X40" s="245"/>
      <c r="AC40" s="244"/>
      <c r="AF40" s="244"/>
    </row>
    <row r="41" spans="2:32" ht="18" customHeight="1">
      <c r="P41" s="243"/>
      <c r="Q41" s="243"/>
      <c r="R41" s="243"/>
      <c r="S41" s="243"/>
      <c r="T41" s="243"/>
      <c r="U41" s="243"/>
      <c r="V41" s="243"/>
      <c r="W41" s="245"/>
      <c r="X41" s="245"/>
      <c r="AC41" s="244"/>
      <c r="AF41" s="244"/>
    </row>
    <row r="42" spans="2:32" ht="18" customHeight="1">
      <c r="P42" s="243"/>
      <c r="Q42" s="243"/>
      <c r="R42" s="243"/>
      <c r="S42" s="243"/>
      <c r="T42" s="243"/>
      <c r="U42" s="243"/>
      <c r="V42" s="243"/>
      <c r="W42" s="245"/>
      <c r="X42" s="245"/>
      <c r="AC42" s="244"/>
      <c r="AF42" s="244"/>
    </row>
    <row r="43" spans="2:32" ht="18" customHeight="1">
      <c r="AC43" s="244"/>
      <c r="AF43" s="244"/>
    </row>
    <row r="44" spans="2:32" ht="18" customHeight="1">
      <c r="AC44" s="244"/>
      <c r="AF44" s="244"/>
    </row>
    <row r="45" spans="2:32" ht="18" customHeight="1">
      <c r="AC45" s="244"/>
      <c r="AF45" s="244"/>
    </row>
    <row r="46" spans="2:32" ht="18" customHeight="1">
      <c r="AC46" s="244"/>
      <c r="AF46" s="244"/>
    </row>
    <row r="47" spans="2:32" ht="18" customHeight="1">
      <c r="AC47" s="244"/>
      <c r="AF47" s="244"/>
    </row>
    <row r="48" spans="2:32" ht="18" customHeight="1">
      <c r="AC48" s="244"/>
      <c r="AF48" s="244"/>
    </row>
    <row r="49" spans="29:32" ht="18" customHeight="1">
      <c r="AC49" s="244"/>
      <c r="AF49" s="244"/>
    </row>
    <row r="50" spans="29:32" ht="18" customHeight="1">
      <c r="AC50" s="244"/>
      <c r="AF50" s="244"/>
    </row>
    <row r="51" spans="29:32" ht="18" customHeight="1">
      <c r="AC51" s="244"/>
      <c r="AF51" s="244"/>
    </row>
    <row r="52" spans="29:32" ht="18" customHeight="1">
      <c r="AC52" s="244"/>
      <c r="AF52" s="244"/>
    </row>
    <row r="53" spans="29:32" ht="18" customHeight="1">
      <c r="AC53" s="244"/>
      <c r="AF53" s="244"/>
    </row>
    <row r="54" spans="29:32" ht="18" customHeight="1">
      <c r="AC54" s="244"/>
      <c r="AF54" s="244"/>
    </row>
    <row r="55" spans="29:32" ht="18" customHeight="1">
      <c r="AC55" s="244"/>
      <c r="AF55" s="244"/>
    </row>
    <row r="56" spans="29:32" ht="18" customHeight="1">
      <c r="AC56" s="244"/>
      <c r="AF56" s="244"/>
    </row>
  </sheetData>
  <mergeCells count="30">
    <mergeCell ref="M8:O8"/>
    <mergeCell ref="B7:F7"/>
    <mergeCell ref="G7:K7"/>
    <mergeCell ref="M19:O19"/>
    <mergeCell ref="M14:O14"/>
    <mergeCell ref="M15:O15"/>
    <mergeCell ref="M16:O16"/>
    <mergeCell ref="M17:O17"/>
    <mergeCell ref="M18:O18"/>
    <mergeCell ref="M9:O9"/>
    <mergeCell ref="M10:O10"/>
    <mergeCell ref="M11:O11"/>
    <mergeCell ref="M12:O12"/>
    <mergeCell ref="M13:O13"/>
    <mergeCell ref="M31:O31"/>
    <mergeCell ref="AA1:AC1"/>
    <mergeCell ref="AD1:AF1"/>
    <mergeCell ref="W1:Z2"/>
    <mergeCell ref="M26:O26"/>
    <mergeCell ref="M25:O25"/>
    <mergeCell ref="M24:O24"/>
    <mergeCell ref="M20:O20"/>
    <mergeCell ref="M21:O21"/>
    <mergeCell ref="M22:O22"/>
    <mergeCell ref="M23:O23"/>
    <mergeCell ref="M3:O3"/>
    <mergeCell ref="M4:O4"/>
    <mergeCell ref="M5:O5"/>
    <mergeCell ref="M6:O6"/>
    <mergeCell ref="M7:O7"/>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BW306"/>
  <sheetViews>
    <sheetView topLeftCell="Q2" zoomScale="85" zoomScaleNormal="85" workbookViewId="0">
      <pane xSplit="4" ySplit="2" topLeftCell="U113" activePane="bottomRight" state="frozen"/>
      <selection activeCell="E8" sqref="E8"/>
      <selection pane="topRight" activeCell="E8" sqref="E8"/>
      <selection pane="bottomLeft" activeCell="E8" sqref="E8"/>
      <selection pane="bottomRight" activeCell="W126" sqref="R124:W126"/>
    </sheetView>
  </sheetViews>
  <sheetFormatPr defaultColWidth="8.75" defaultRowHeight="18" customHeight="1" outlineLevelRow="1"/>
  <cols>
    <col min="1" max="1" width="8.75" style="6"/>
    <col min="2" max="2" width="6.75" style="7" customWidth="1"/>
    <col min="3" max="3" width="4.75" style="8" customWidth="1"/>
    <col min="4" max="4" width="8.75" style="7"/>
    <col min="5" max="7" width="8.75" style="8"/>
    <col min="8" max="8" width="18.125" style="8" customWidth="1"/>
    <col min="9" max="9" width="8.75" style="8"/>
    <col min="10" max="14" width="8.75" style="5"/>
    <col min="15" max="16" width="8.75" style="4"/>
    <col min="17" max="17" width="6.75" style="4" customWidth="1"/>
    <col min="18" max="18" width="4.875" style="4" customWidth="1"/>
    <col min="19" max="19" width="6.875" style="4" customWidth="1"/>
    <col min="20" max="52" width="11.875" style="5" customWidth="1"/>
    <col min="53" max="53" width="2.75" style="5" customWidth="1"/>
    <col min="54" max="75" width="11.875" style="5" customWidth="1"/>
    <col min="76" max="16384" width="8.75" style="4"/>
  </cols>
  <sheetData>
    <row r="1" spans="1:75" ht="18" customHeight="1">
      <c r="K1" s="8">
        <v>2000</v>
      </c>
      <c r="L1" s="8">
        <f t="shared" ref="L1:L152" si="0">K1*12</f>
        <v>24000</v>
      </c>
      <c r="M1" s="8">
        <f t="shared" ref="M1:M152" si="1">L1*1.13</f>
        <v>27119.999999999996</v>
      </c>
      <c r="N1" s="8">
        <v>18055</v>
      </c>
      <c r="O1" s="9">
        <f t="shared" ref="O1:O152" si="2">N1/M1</f>
        <v>0.66574483775811222</v>
      </c>
    </row>
    <row r="2" spans="1:75" s="1" customFormat="1" ht="18" customHeight="1">
      <c r="A2" s="10"/>
      <c r="B2" s="11"/>
      <c r="C2" s="12"/>
      <c r="D2" s="11"/>
      <c r="E2" s="12"/>
      <c r="F2" s="12" t="s">
        <v>14</v>
      </c>
      <c r="G2" s="12" t="s">
        <v>15</v>
      </c>
      <c r="H2" s="12"/>
      <c r="I2" s="12"/>
      <c r="J2" s="3"/>
      <c r="K2" s="12">
        <v>2000</v>
      </c>
      <c r="L2" s="12">
        <f t="shared" si="0"/>
        <v>24000</v>
      </c>
      <c r="M2" s="12">
        <f t="shared" si="1"/>
        <v>27119.999999999996</v>
      </c>
      <c r="N2" s="12">
        <v>18055</v>
      </c>
      <c r="O2" s="13">
        <f t="shared" si="2"/>
        <v>0.66574483775811222</v>
      </c>
      <c r="Q2" s="3" t="s">
        <v>1640</v>
      </c>
      <c r="R2" s="3" t="s">
        <v>1641</v>
      </c>
      <c r="S2" s="3" t="s">
        <v>23</v>
      </c>
      <c r="T2" s="3" t="s">
        <v>24</v>
      </c>
      <c r="U2" s="3" t="s">
        <v>25</v>
      </c>
      <c r="V2" s="3" t="s">
        <v>26</v>
      </c>
      <c r="W2" s="3" t="s">
        <v>27</v>
      </c>
      <c r="X2" s="478" t="s">
        <v>3257</v>
      </c>
      <c r="Y2" s="17" t="s">
        <v>3478</v>
      </c>
      <c r="Z2" s="17" t="s">
        <v>3435</v>
      </c>
      <c r="AA2" s="17" t="s">
        <v>2856</v>
      </c>
      <c r="AB2" s="17" t="s">
        <v>2897</v>
      </c>
      <c r="AC2" s="3" t="s">
        <v>40</v>
      </c>
      <c r="AD2" s="3" t="s">
        <v>28</v>
      </c>
      <c r="AE2" s="3" t="s">
        <v>29</v>
      </c>
      <c r="AF2" s="3" t="s">
        <v>30</v>
      </c>
      <c r="AG2" s="517" t="s">
        <v>3529</v>
      </c>
      <c r="AH2" s="3" t="s">
        <v>31</v>
      </c>
      <c r="AI2" s="3" t="s">
        <v>32</v>
      </c>
      <c r="AJ2" s="3" t="s">
        <v>33</v>
      </c>
      <c r="AK2" s="3" t="s">
        <v>34</v>
      </c>
      <c r="AL2" s="3" t="s">
        <v>35</v>
      </c>
      <c r="AM2" s="17" t="s">
        <v>2798</v>
      </c>
      <c r="AN2" s="17" t="s">
        <v>68</v>
      </c>
      <c r="AO2" s="3" t="s">
        <v>36</v>
      </c>
      <c r="AP2" s="3" t="s">
        <v>37</v>
      </c>
      <c r="AQ2" s="3" t="s">
        <v>38</v>
      </c>
      <c r="AR2" s="3" t="s">
        <v>39</v>
      </c>
      <c r="AS2" s="17" t="s">
        <v>58</v>
      </c>
      <c r="AT2" s="17" t="s">
        <v>65</v>
      </c>
      <c r="AU2" s="17" t="s">
        <v>203</v>
      </c>
      <c r="AV2" s="17" t="s">
        <v>273</v>
      </c>
      <c r="AW2" s="17" t="s">
        <v>1976</v>
      </c>
      <c r="AX2" s="17" t="s">
        <v>1977</v>
      </c>
      <c r="AY2" s="17" t="s">
        <v>1978</v>
      </c>
      <c r="AZ2" s="17" t="s">
        <v>3258</v>
      </c>
      <c r="BA2" s="3"/>
      <c r="BB2" s="3" t="s">
        <v>41</v>
      </c>
      <c r="BC2" s="3" t="s">
        <v>42</v>
      </c>
      <c r="BD2" s="3" t="s">
        <v>43</v>
      </c>
      <c r="BE2" s="17" t="s">
        <v>3259</v>
      </c>
      <c r="BF2" s="3" t="s">
        <v>44</v>
      </c>
      <c r="BG2" s="17" t="s">
        <v>3260</v>
      </c>
      <c r="BH2" s="3" t="s">
        <v>45</v>
      </c>
      <c r="BI2" s="3" t="s">
        <v>46</v>
      </c>
      <c r="BJ2" s="3" t="s">
        <v>47</v>
      </c>
      <c r="BK2" s="3" t="s">
        <v>48</v>
      </c>
      <c r="BL2" s="17" t="s">
        <v>69</v>
      </c>
      <c r="BM2" s="3" t="s">
        <v>49</v>
      </c>
      <c r="BN2" s="3" t="s">
        <v>50</v>
      </c>
      <c r="BO2" s="3" t="s">
        <v>51</v>
      </c>
      <c r="BP2" s="3" t="s">
        <v>52</v>
      </c>
      <c r="BQ2" s="17" t="s">
        <v>59</v>
      </c>
      <c r="BR2" s="3" t="s">
        <v>53</v>
      </c>
      <c r="BS2" s="17" t="s">
        <v>64</v>
      </c>
      <c r="BT2" s="17" t="s">
        <v>57</v>
      </c>
      <c r="BU2" s="17" t="s">
        <v>203</v>
      </c>
      <c r="BV2" s="17" t="s">
        <v>1979</v>
      </c>
      <c r="BW2" s="17" t="s">
        <v>2465</v>
      </c>
    </row>
    <row r="3" spans="1:75" s="1" customFormat="1" ht="18" customHeight="1">
      <c r="A3" s="10"/>
      <c r="B3" s="11"/>
      <c r="C3" s="12"/>
      <c r="D3" s="11"/>
      <c r="E3" s="12"/>
      <c r="F3" s="12"/>
      <c r="G3" s="12"/>
      <c r="H3" s="12"/>
      <c r="I3" s="12"/>
      <c r="J3" s="3"/>
      <c r="K3" s="12"/>
      <c r="L3" s="12"/>
      <c r="M3" s="12"/>
      <c r="N3" s="12"/>
      <c r="O3" s="13"/>
      <c r="Q3" s="668" t="s">
        <v>60</v>
      </c>
      <c r="R3" s="668"/>
      <c r="S3" s="668"/>
      <c r="T3" s="24">
        <f t="shared" ref="T3:BW3" si="3">SUMIF($Q$130:$Q$787,"*TOTAL*",T$130:T$787)</f>
        <v>719838368</v>
      </c>
      <c r="U3" s="24">
        <f t="shared" si="3"/>
        <v>868819979</v>
      </c>
      <c r="V3" s="24">
        <f t="shared" si="3"/>
        <v>499594359</v>
      </c>
      <c r="W3" s="24">
        <f t="shared" si="3"/>
        <v>186578726</v>
      </c>
      <c r="X3" s="24">
        <f t="shared" si="3"/>
        <v>2705738</v>
      </c>
      <c r="Y3" s="24">
        <f t="shared" si="3"/>
        <v>0</v>
      </c>
      <c r="Z3" s="24">
        <f t="shared" si="3"/>
        <v>0</v>
      </c>
      <c r="AA3" s="24">
        <f t="shared" si="3"/>
        <v>0</v>
      </c>
      <c r="AB3" s="24">
        <f t="shared" si="3"/>
        <v>0</v>
      </c>
      <c r="AC3" s="24">
        <f t="shared" si="3"/>
        <v>4459100</v>
      </c>
      <c r="AD3" s="24">
        <f t="shared" si="3"/>
        <v>70959514</v>
      </c>
      <c r="AE3" s="24">
        <f t="shared" si="3"/>
        <v>13000000</v>
      </c>
      <c r="AF3" s="24">
        <f t="shared" si="3"/>
        <v>14734676</v>
      </c>
      <c r="AG3" s="24">
        <f t="shared" si="3"/>
        <v>0</v>
      </c>
      <c r="AH3" s="24">
        <f t="shared" si="3"/>
        <v>7687097</v>
      </c>
      <c r="AI3" s="24">
        <f t="shared" si="3"/>
        <v>29730000</v>
      </c>
      <c r="AJ3" s="24">
        <f t="shared" si="3"/>
        <v>6680000</v>
      </c>
      <c r="AK3" s="24">
        <f t="shared" si="3"/>
        <v>3600000</v>
      </c>
      <c r="AL3" s="24">
        <f t="shared" si="3"/>
        <v>8487097</v>
      </c>
      <c r="AM3" s="24">
        <f t="shared" si="3"/>
        <v>962904</v>
      </c>
      <c r="AN3" s="24">
        <f t="shared" si="3"/>
        <v>4104839</v>
      </c>
      <c r="AO3" s="24">
        <f t="shared" si="3"/>
        <v>3600000</v>
      </c>
      <c r="AP3" s="24">
        <f t="shared" si="3"/>
        <v>1650000</v>
      </c>
      <c r="AQ3" s="24">
        <f t="shared" si="3"/>
        <v>250000</v>
      </c>
      <c r="AR3" s="24">
        <f t="shared" si="3"/>
        <v>702765</v>
      </c>
      <c r="AS3" s="24">
        <f t="shared" si="3"/>
        <v>188688</v>
      </c>
      <c r="AT3" s="24">
        <f t="shared" si="3"/>
        <v>-22679</v>
      </c>
      <c r="AU3" s="24">
        <f t="shared" si="3"/>
        <v>935000</v>
      </c>
      <c r="AV3" s="24">
        <f t="shared" si="3"/>
        <v>5513000</v>
      </c>
      <c r="AW3" s="24">
        <f t="shared" si="3"/>
        <v>1887650</v>
      </c>
      <c r="AX3" s="24">
        <f t="shared" si="3"/>
        <v>300000</v>
      </c>
      <c r="AY3" s="24">
        <f t="shared" si="3"/>
        <v>474000</v>
      </c>
      <c r="AZ3" s="24">
        <f t="shared" si="3"/>
        <v>57505</v>
      </c>
      <c r="BA3" s="24">
        <f t="shared" si="3"/>
        <v>0</v>
      </c>
      <c r="BB3" s="24">
        <f t="shared" si="3"/>
        <v>148981611</v>
      </c>
      <c r="BC3" s="24">
        <f t="shared" si="3"/>
        <v>-9998720</v>
      </c>
      <c r="BD3" s="24">
        <f t="shared" si="3"/>
        <v>60678750</v>
      </c>
      <c r="BE3" s="24">
        <f t="shared" si="3"/>
        <v>11500</v>
      </c>
      <c r="BF3" s="24">
        <f t="shared" si="3"/>
        <v>6067140</v>
      </c>
      <c r="BG3" s="24">
        <f t="shared" si="3"/>
        <v>1150</v>
      </c>
      <c r="BH3" s="24">
        <f t="shared" si="3"/>
        <v>28207540</v>
      </c>
      <c r="BI3" s="24">
        <f t="shared" si="3"/>
        <v>30931710</v>
      </c>
      <c r="BJ3" s="24">
        <f t="shared" si="3"/>
        <v>6515147</v>
      </c>
      <c r="BK3" s="24">
        <f t="shared" si="3"/>
        <v>2320700</v>
      </c>
      <c r="BL3" s="24">
        <f t="shared" si="3"/>
        <v>8220000</v>
      </c>
      <c r="BM3" s="24">
        <f t="shared" si="3"/>
        <v>6680000</v>
      </c>
      <c r="BN3" s="24">
        <f t="shared" si="3"/>
        <v>3879700</v>
      </c>
      <c r="BO3" s="24">
        <f t="shared" si="3"/>
        <v>2425930</v>
      </c>
      <c r="BP3" s="24">
        <f t="shared" si="3"/>
        <v>51410</v>
      </c>
      <c r="BQ3" s="24">
        <f t="shared" si="3"/>
        <v>4</v>
      </c>
      <c r="BR3" s="24">
        <f t="shared" si="3"/>
        <v>60000</v>
      </c>
      <c r="BS3" s="24">
        <f t="shared" si="3"/>
        <v>8000</v>
      </c>
      <c r="BT3" s="24">
        <f t="shared" si="3"/>
        <v>134000</v>
      </c>
      <c r="BU3" s="24">
        <f t="shared" si="3"/>
        <v>900000</v>
      </c>
      <c r="BV3" s="24">
        <f t="shared" si="3"/>
        <v>1887650</v>
      </c>
      <c r="BW3" s="24">
        <f t="shared" si="3"/>
        <v>0</v>
      </c>
    </row>
    <row r="4" spans="1:75" s="1" customFormat="1" ht="18" customHeight="1">
      <c r="A4" s="10"/>
      <c r="B4" s="11"/>
      <c r="C4" s="12"/>
      <c r="D4" s="11"/>
      <c r="E4" s="12"/>
      <c r="F4" s="12"/>
      <c r="G4" s="12"/>
      <c r="H4" s="12"/>
      <c r="I4" s="12"/>
      <c r="J4" s="3"/>
      <c r="K4" s="12"/>
      <c r="L4" s="12"/>
      <c r="M4" s="12"/>
      <c r="N4" s="12"/>
      <c r="O4" s="13"/>
      <c r="Q4" s="667" t="s">
        <v>1988</v>
      </c>
      <c r="R4" s="667"/>
      <c r="S4" s="667"/>
      <c r="T4" s="23">
        <f t="shared" ref="T4:AZ4" si="4">SUMIF($Q$2:$Q$793,$Q5,T$2:T$793)</f>
        <v>0</v>
      </c>
      <c r="U4" s="23">
        <f t="shared" si="4"/>
        <v>0</v>
      </c>
      <c r="V4" s="23">
        <f t="shared" si="4"/>
        <v>0</v>
      </c>
      <c r="W4" s="23">
        <f t="shared" si="4"/>
        <v>0</v>
      </c>
      <c r="X4" s="23">
        <f t="shared" si="4"/>
        <v>0</v>
      </c>
      <c r="Y4" s="23">
        <f t="shared" si="4"/>
        <v>0</v>
      </c>
      <c r="Z4" s="23">
        <f t="shared" si="4"/>
        <v>0</v>
      </c>
      <c r="AA4" s="23">
        <f t="shared" si="4"/>
        <v>0</v>
      </c>
      <c r="AB4" s="23">
        <f t="shared" si="4"/>
        <v>0</v>
      </c>
      <c r="AC4" s="23">
        <f t="shared" si="4"/>
        <v>0</v>
      </c>
      <c r="AD4" s="23">
        <f t="shared" si="4"/>
        <v>0</v>
      </c>
      <c r="AE4" s="23">
        <f t="shared" si="4"/>
        <v>0</v>
      </c>
      <c r="AF4" s="23">
        <f t="shared" si="4"/>
        <v>0</v>
      </c>
      <c r="AG4" s="23">
        <f t="shared" si="4"/>
        <v>0</v>
      </c>
      <c r="AH4" s="23">
        <f t="shared" si="4"/>
        <v>0</v>
      </c>
      <c r="AI4" s="23">
        <f t="shared" si="4"/>
        <v>0</v>
      </c>
      <c r="AJ4" s="23">
        <f t="shared" si="4"/>
        <v>0</v>
      </c>
      <c r="AK4" s="23">
        <f t="shared" si="4"/>
        <v>0</v>
      </c>
      <c r="AL4" s="23">
        <f t="shared" si="4"/>
        <v>0</v>
      </c>
      <c r="AM4" s="23">
        <f t="shared" si="4"/>
        <v>0</v>
      </c>
      <c r="AN4" s="23">
        <f t="shared" si="4"/>
        <v>0</v>
      </c>
      <c r="AO4" s="23">
        <f t="shared" si="4"/>
        <v>0</v>
      </c>
      <c r="AP4" s="23">
        <f t="shared" si="4"/>
        <v>0</v>
      </c>
      <c r="AQ4" s="23">
        <f t="shared" si="4"/>
        <v>0</v>
      </c>
      <c r="AR4" s="23">
        <f t="shared" si="4"/>
        <v>0</v>
      </c>
      <c r="AS4" s="23">
        <f t="shared" si="4"/>
        <v>0</v>
      </c>
      <c r="AT4" s="23">
        <f t="shared" si="4"/>
        <v>0</v>
      </c>
      <c r="AU4" s="23">
        <f t="shared" si="4"/>
        <v>0</v>
      </c>
      <c r="AV4" s="23">
        <f t="shared" si="4"/>
        <v>0</v>
      </c>
      <c r="AW4" s="23">
        <f t="shared" si="4"/>
        <v>0</v>
      </c>
      <c r="AX4" s="23">
        <f t="shared" si="4"/>
        <v>0</v>
      </c>
      <c r="AY4" s="23">
        <f t="shared" si="4"/>
        <v>0</v>
      </c>
      <c r="AZ4" s="23">
        <f t="shared" si="4"/>
        <v>0</v>
      </c>
      <c r="BA4" s="23"/>
      <c r="BB4" s="23">
        <f t="shared" ref="BB4:BW4" si="5">SUMIF($Q$2:$Q$793,$Q5,BB$2:BB$793)</f>
        <v>0</v>
      </c>
      <c r="BC4" s="23">
        <f t="shared" si="5"/>
        <v>0</v>
      </c>
      <c r="BD4" s="23">
        <f t="shared" si="5"/>
        <v>0</v>
      </c>
      <c r="BE4" s="23">
        <f t="shared" si="5"/>
        <v>0</v>
      </c>
      <c r="BF4" s="23">
        <f t="shared" si="5"/>
        <v>0</v>
      </c>
      <c r="BG4" s="23">
        <f t="shared" si="5"/>
        <v>0</v>
      </c>
      <c r="BH4" s="23">
        <f t="shared" si="5"/>
        <v>0</v>
      </c>
      <c r="BI4" s="23">
        <f t="shared" si="5"/>
        <v>0</v>
      </c>
      <c r="BJ4" s="23">
        <f t="shared" si="5"/>
        <v>0</v>
      </c>
      <c r="BK4" s="23">
        <f t="shared" si="5"/>
        <v>0</v>
      </c>
      <c r="BL4" s="23">
        <f t="shared" si="5"/>
        <v>0</v>
      </c>
      <c r="BM4" s="23">
        <f t="shared" si="5"/>
        <v>0</v>
      </c>
      <c r="BN4" s="23">
        <f t="shared" si="5"/>
        <v>0</v>
      </c>
      <c r="BO4" s="23">
        <f t="shared" si="5"/>
        <v>0</v>
      </c>
      <c r="BP4" s="23">
        <f t="shared" si="5"/>
        <v>0</v>
      </c>
      <c r="BQ4" s="23">
        <f t="shared" si="5"/>
        <v>0</v>
      </c>
      <c r="BR4" s="23">
        <f t="shared" si="5"/>
        <v>0</v>
      </c>
      <c r="BS4" s="23">
        <f t="shared" si="5"/>
        <v>0</v>
      </c>
      <c r="BT4" s="23">
        <f t="shared" si="5"/>
        <v>0</v>
      </c>
      <c r="BU4" s="23">
        <f t="shared" si="5"/>
        <v>0</v>
      </c>
      <c r="BV4" s="23">
        <f t="shared" si="5"/>
        <v>0</v>
      </c>
      <c r="BW4" s="23">
        <f t="shared" si="5"/>
        <v>0</v>
      </c>
    </row>
    <row r="5" spans="1:75" ht="18" hidden="1" customHeight="1" outlineLevel="1">
      <c r="D5" s="7" t="s">
        <v>11</v>
      </c>
      <c r="F5" s="8">
        <v>4717</v>
      </c>
      <c r="G5" s="8">
        <v>5848</v>
      </c>
      <c r="K5" s="8">
        <v>2400</v>
      </c>
      <c r="L5" s="8">
        <f>K5*12</f>
        <v>28800</v>
      </c>
      <c r="M5" s="8">
        <f>L5*1.13</f>
        <v>32543.999999999996</v>
      </c>
      <c r="N5" s="8">
        <v>21014</v>
      </c>
      <c r="O5" s="9">
        <f>N5/M5</f>
        <v>0.64571042281219282</v>
      </c>
      <c r="Q5" s="5">
        <v>2034</v>
      </c>
      <c r="R5" s="5">
        <v>12</v>
      </c>
      <c r="S5" s="14" t="s">
        <v>54</v>
      </c>
      <c r="T5" s="15">
        <f t="shared" ref="T5:T17" si="6">IF(U5=U5-BB5,0,U5-BB5)</f>
        <v>0</v>
      </c>
      <c r="U5" s="15">
        <f t="shared" ref="U5:U17" si="7">SUM(V5:BA5)</f>
        <v>0</v>
      </c>
      <c r="V5" s="6"/>
      <c r="W5" s="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5">
        <f t="shared" ref="BB5:BB17" si="8">SUM(BC5:BW5)</f>
        <v>0</v>
      </c>
      <c r="BC5" s="15"/>
      <c r="BD5" s="16"/>
      <c r="BE5" s="16"/>
      <c r="BF5" s="16"/>
      <c r="BG5" s="16"/>
      <c r="BH5" s="16"/>
      <c r="BI5" s="16"/>
      <c r="BJ5" s="16"/>
      <c r="BK5" s="16"/>
      <c r="BL5" s="16"/>
      <c r="BM5" s="16"/>
      <c r="BN5" s="16"/>
      <c r="BO5" s="16"/>
      <c r="BP5" s="16"/>
      <c r="BQ5" s="16"/>
      <c r="BR5" s="16"/>
      <c r="BS5" s="16"/>
      <c r="BT5" s="16"/>
      <c r="BU5" s="16"/>
      <c r="BV5" s="16"/>
      <c r="BW5" s="16"/>
    </row>
    <row r="6" spans="1:75" ht="18" hidden="1" customHeight="1" outlineLevel="1">
      <c r="D6" s="7" t="s">
        <v>11</v>
      </c>
      <c r="F6" s="8">
        <v>4717</v>
      </c>
      <c r="G6" s="8">
        <v>5848</v>
      </c>
      <c r="K6" s="8">
        <v>2400</v>
      </c>
      <c r="L6" s="8">
        <f>K6*12</f>
        <v>28800</v>
      </c>
      <c r="M6" s="8">
        <f>L6*1.13</f>
        <v>32543.999999999996</v>
      </c>
      <c r="N6" s="8">
        <v>21014</v>
      </c>
      <c r="O6" s="9">
        <f>N6/M6</f>
        <v>0.64571042281219282</v>
      </c>
      <c r="Q6" s="5">
        <v>2034</v>
      </c>
      <c r="R6" s="5">
        <v>11</v>
      </c>
      <c r="S6" s="14" t="s">
        <v>54</v>
      </c>
      <c r="T6" s="15">
        <f t="shared" si="6"/>
        <v>0</v>
      </c>
      <c r="U6" s="15">
        <f t="shared" si="7"/>
        <v>0</v>
      </c>
      <c r="V6" s="6"/>
      <c r="W6" s="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5">
        <f t="shared" si="8"/>
        <v>0</v>
      </c>
      <c r="BC6" s="15"/>
      <c r="BD6" s="16"/>
      <c r="BE6" s="16"/>
      <c r="BF6" s="16"/>
      <c r="BG6" s="16"/>
      <c r="BH6" s="16"/>
      <c r="BI6" s="16"/>
      <c r="BJ6" s="16"/>
      <c r="BK6" s="16"/>
      <c r="BL6" s="16"/>
      <c r="BM6" s="16"/>
      <c r="BN6" s="16"/>
      <c r="BO6" s="16"/>
      <c r="BP6" s="16"/>
      <c r="BQ6" s="16"/>
      <c r="BR6" s="16"/>
      <c r="BS6" s="16"/>
      <c r="BT6" s="16"/>
      <c r="BU6" s="16"/>
      <c r="BV6" s="16"/>
      <c r="BW6" s="16"/>
    </row>
    <row r="7" spans="1:75" ht="18" hidden="1" customHeight="1" outlineLevel="1">
      <c r="D7" s="7" t="s">
        <v>11</v>
      </c>
      <c r="F7" s="8">
        <v>4717</v>
      </c>
      <c r="G7" s="8">
        <v>5848</v>
      </c>
      <c r="K7" s="8">
        <v>2400</v>
      </c>
      <c r="L7" s="8">
        <f t="shared" ref="L7:L10" si="9">K7*12</f>
        <v>28800</v>
      </c>
      <c r="M7" s="8">
        <f t="shared" ref="M7:M10" si="10">L7*1.13</f>
        <v>32543.999999999996</v>
      </c>
      <c r="N7" s="8">
        <v>21014</v>
      </c>
      <c r="O7" s="9">
        <f t="shared" ref="O7:O10" si="11">N7/M7</f>
        <v>0.64571042281219282</v>
      </c>
      <c r="Q7" s="5">
        <v>2034</v>
      </c>
      <c r="R7" s="5">
        <v>10</v>
      </c>
      <c r="S7" s="14" t="s">
        <v>54</v>
      </c>
      <c r="T7" s="15">
        <f t="shared" si="6"/>
        <v>0</v>
      </c>
      <c r="U7" s="15">
        <f t="shared" si="7"/>
        <v>0</v>
      </c>
      <c r="V7" s="6"/>
      <c r="W7" s="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5">
        <f t="shared" si="8"/>
        <v>0</v>
      </c>
      <c r="BC7" s="15"/>
      <c r="BD7" s="16"/>
      <c r="BE7" s="16"/>
      <c r="BF7" s="16"/>
      <c r="BG7" s="16"/>
      <c r="BH7" s="16"/>
      <c r="BI7" s="16"/>
      <c r="BJ7" s="16"/>
      <c r="BK7" s="16"/>
      <c r="BL7" s="16"/>
      <c r="BM7" s="16"/>
      <c r="BN7" s="16"/>
      <c r="BO7" s="16"/>
      <c r="BP7" s="16"/>
      <c r="BQ7" s="16"/>
      <c r="BR7" s="16"/>
      <c r="BS7" s="16"/>
      <c r="BT7" s="16"/>
      <c r="BU7" s="16"/>
      <c r="BV7" s="16"/>
      <c r="BW7" s="16"/>
    </row>
    <row r="8" spans="1:75" ht="18" hidden="1" customHeight="1" outlineLevel="1">
      <c r="D8" s="7" t="s">
        <v>12</v>
      </c>
      <c r="F8" s="8">
        <v>6867</v>
      </c>
      <c r="G8" s="8">
        <v>6867</v>
      </c>
      <c r="K8" s="8">
        <v>2400</v>
      </c>
      <c r="L8" s="8">
        <f t="shared" si="9"/>
        <v>28800</v>
      </c>
      <c r="M8" s="8">
        <f t="shared" si="10"/>
        <v>32543.999999999996</v>
      </c>
      <c r="N8" s="8">
        <v>21014</v>
      </c>
      <c r="O8" s="9">
        <f t="shared" si="11"/>
        <v>0.64571042281219282</v>
      </c>
      <c r="Q8" s="5">
        <v>2034</v>
      </c>
      <c r="R8" s="5">
        <v>9</v>
      </c>
      <c r="S8" s="14" t="s">
        <v>54</v>
      </c>
      <c r="T8" s="15">
        <f t="shared" si="6"/>
        <v>0</v>
      </c>
      <c r="U8" s="15">
        <f t="shared" si="7"/>
        <v>0</v>
      </c>
      <c r="V8" s="6"/>
      <c r="W8" s="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5">
        <f t="shared" si="8"/>
        <v>0</v>
      </c>
      <c r="BC8" s="15"/>
      <c r="BD8" s="16"/>
      <c r="BE8" s="16"/>
      <c r="BF8" s="16"/>
      <c r="BG8" s="16"/>
      <c r="BH8" s="16"/>
      <c r="BI8" s="16"/>
      <c r="BJ8" s="16"/>
      <c r="BK8" s="16"/>
      <c r="BL8" s="16"/>
      <c r="BM8" s="16"/>
      <c r="BN8" s="16"/>
      <c r="BO8" s="16"/>
      <c r="BP8" s="16"/>
      <c r="BQ8" s="16"/>
      <c r="BR8" s="16"/>
      <c r="BS8" s="16"/>
      <c r="BT8" s="16"/>
      <c r="BU8" s="16"/>
      <c r="BV8" s="16"/>
      <c r="BW8" s="16"/>
    </row>
    <row r="9" spans="1:75" ht="18" hidden="1" customHeight="1" outlineLevel="1">
      <c r="D9" s="7" t="s">
        <v>13</v>
      </c>
      <c r="F9" s="8">
        <v>7988</v>
      </c>
      <c r="G9" s="8" t="s">
        <v>2</v>
      </c>
      <c r="H9" s="8" t="s">
        <v>17</v>
      </c>
      <c r="I9" s="8">
        <v>171</v>
      </c>
      <c r="K9" s="8">
        <v>2400</v>
      </c>
      <c r="L9" s="8">
        <f t="shared" si="9"/>
        <v>28800</v>
      </c>
      <c r="M9" s="8">
        <f t="shared" si="10"/>
        <v>32543.999999999996</v>
      </c>
      <c r="N9" s="8">
        <v>21014</v>
      </c>
      <c r="O9" s="9">
        <f t="shared" si="11"/>
        <v>0.64571042281219282</v>
      </c>
      <c r="Q9" s="5">
        <v>2034</v>
      </c>
      <c r="R9" s="5">
        <v>8</v>
      </c>
      <c r="S9" s="14" t="s">
        <v>54</v>
      </c>
      <c r="T9" s="15">
        <f t="shared" si="6"/>
        <v>0</v>
      </c>
      <c r="U9" s="15">
        <f t="shared" si="7"/>
        <v>0</v>
      </c>
      <c r="V9" s="6"/>
      <c r="W9" s="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5">
        <f t="shared" si="8"/>
        <v>0</v>
      </c>
      <c r="BC9" s="15"/>
      <c r="BD9" s="16"/>
      <c r="BE9" s="16"/>
      <c r="BF9" s="16"/>
      <c r="BG9" s="16"/>
      <c r="BH9" s="16"/>
      <c r="BI9" s="16"/>
      <c r="BJ9" s="16"/>
      <c r="BK9" s="16"/>
      <c r="BL9" s="16"/>
      <c r="BM9" s="16"/>
      <c r="BN9" s="16"/>
      <c r="BO9" s="16"/>
      <c r="BP9" s="16"/>
      <c r="BQ9" s="16"/>
      <c r="BR9" s="16"/>
      <c r="BS9" s="16"/>
      <c r="BT9" s="16"/>
      <c r="BU9" s="16"/>
      <c r="BV9" s="16"/>
      <c r="BW9" s="16"/>
    </row>
    <row r="10" spans="1:75" ht="18" hidden="1" customHeight="1" outlineLevel="1">
      <c r="D10" s="7" t="s">
        <v>13</v>
      </c>
      <c r="F10" s="8">
        <v>7988</v>
      </c>
      <c r="G10" s="8" t="s">
        <v>2</v>
      </c>
      <c r="H10" s="8" t="s">
        <v>17</v>
      </c>
      <c r="I10" s="8">
        <v>171</v>
      </c>
      <c r="K10" s="8">
        <v>2400</v>
      </c>
      <c r="L10" s="8">
        <f t="shared" si="9"/>
        <v>28800</v>
      </c>
      <c r="M10" s="8">
        <f t="shared" si="10"/>
        <v>32543.999999999996</v>
      </c>
      <c r="N10" s="8">
        <v>21014</v>
      </c>
      <c r="O10" s="9">
        <f t="shared" si="11"/>
        <v>0.64571042281219282</v>
      </c>
      <c r="Q10" s="5">
        <v>2034</v>
      </c>
      <c r="R10" s="5">
        <v>7</v>
      </c>
      <c r="S10" s="14" t="s">
        <v>54</v>
      </c>
      <c r="T10" s="15">
        <f t="shared" si="6"/>
        <v>0</v>
      </c>
      <c r="U10" s="15">
        <f t="shared" si="7"/>
        <v>0</v>
      </c>
      <c r="V10" s="6"/>
      <c r="W10" s="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5">
        <f t="shared" si="8"/>
        <v>0</v>
      </c>
      <c r="BC10" s="15"/>
      <c r="BD10" s="16"/>
      <c r="BE10" s="16"/>
      <c r="BF10" s="16"/>
      <c r="BG10" s="16"/>
      <c r="BH10" s="16"/>
      <c r="BI10" s="16"/>
      <c r="BJ10" s="16"/>
      <c r="BK10" s="16"/>
      <c r="BL10" s="16"/>
      <c r="BM10" s="16"/>
      <c r="BN10" s="16"/>
      <c r="BO10" s="16"/>
      <c r="BP10" s="16"/>
      <c r="BQ10" s="16"/>
      <c r="BR10" s="16"/>
      <c r="BS10" s="16"/>
      <c r="BT10" s="16"/>
      <c r="BU10" s="16"/>
      <c r="BV10" s="16"/>
      <c r="BW10" s="16"/>
    </row>
    <row r="11" spans="1:75" ht="18" hidden="1" customHeight="1" outlineLevel="1">
      <c r="H11" s="8" t="s">
        <v>18</v>
      </c>
      <c r="I11" s="8">
        <v>122</v>
      </c>
      <c r="J11" s="9"/>
      <c r="Q11" s="5">
        <v>2034</v>
      </c>
      <c r="R11" s="5">
        <v>6</v>
      </c>
      <c r="S11" s="14" t="s">
        <v>54</v>
      </c>
      <c r="T11" s="15">
        <f t="shared" si="6"/>
        <v>0</v>
      </c>
      <c r="U11" s="15">
        <f t="shared" si="7"/>
        <v>0</v>
      </c>
      <c r="V11" s="6"/>
      <c r="W11" s="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5">
        <f t="shared" si="8"/>
        <v>0</v>
      </c>
      <c r="BC11" s="15"/>
      <c r="BD11" s="16"/>
      <c r="BE11" s="16"/>
      <c r="BF11" s="16"/>
      <c r="BG11" s="16"/>
      <c r="BH11" s="16"/>
      <c r="BI11" s="16"/>
      <c r="BJ11" s="16"/>
      <c r="BK11" s="16"/>
      <c r="BL11" s="16"/>
      <c r="BM11" s="16"/>
      <c r="BN11" s="16"/>
      <c r="BO11" s="16"/>
      <c r="BP11" s="16"/>
      <c r="BQ11" s="16"/>
      <c r="BR11" s="16"/>
      <c r="BS11" s="16"/>
      <c r="BT11" s="16"/>
      <c r="BU11" s="16"/>
      <c r="BV11" s="16"/>
      <c r="BW11" s="16"/>
    </row>
    <row r="12" spans="1:75" ht="18" hidden="1" customHeight="1" outlineLevel="1">
      <c r="J12" s="9"/>
      <c r="Q12" s="5">
        <v>2034</v>
      </c>
      <c r="R12" s="5">
        <v>5</v>
      </c>
      <c r="S12" s="14" t="s">
        <v>54</v>
      </c>
      <c r="T12" s="15">
        <f t="shared" si="6"/>
        <v>0</v>
      </c>
      <c r="U12" s="15">
        <f t="shared" si="7"/>
        <v>0</v>
      </c>
      <c r="V12" s="6"/>
      <c r="W12" s="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5">
        <f t="shared" si="8"/>
        <v>0</v>
      </c>
      <c r="BC12" s="15"/>
      <c r="BD12" s="16"/>
      <c r="BE12" s="16"/>
      <c r="BF12" s="16"/>
      <c r="BG12" s="16"/>
      <c r="BH12" s="16"/>
      <c r="BI12" s="16"/>
      <c r="BJ12" s="16"/>
      <c r="BK12" s="16"/>
      <c r="BL12" s="16"/>
      <c r="BM12" s="16"/>
      <c r="BN12" s="16"/>
      <c r="BO12" s="16"/>
      <c r="BP12" s="16"/>
      <c r="BQ12" s="16"/>
      <c r="BR12" s="16"/>
      <c r="BS12" s="16"/>
      <c r="BT12" s="16"/>
      <c r="BU12" s="16"/>
      <c r="BV12" s="16"/>
      <c r="BW12" s="16"/>
    </row>
    <row r="13" spans="1:75" ht="18" hidden="1" customHeight="1" outlineLevel="1">
      <c r="B13" s="7">
        <v>2021</v>
      </c>
      <c r="C13" s="8" t="s">
        <v>12</v>
      </c>
      <c r="E13" s="8">
        <v>6867</v>
      </c>
      <c r="J13" s="9"/>
      <c r="Q13" s="5">
        <v>2034</v>
      </c>
      <c r="R13" s="5">
        <v>4</v>
      </c>
      <c r="S13" s="14" t="s">
        <v>54</v>
      </c>
      <c r="T13" s="15">
        <f t="shared" si="6"/>
        <v>0</v>
      </c>
      <c r="U13" s="15">
        <f t="shared" si="7"/>
        <v>0</v>
      </c>
      <c r="V13" s="6"/>
      <c r="W13" s="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5">
        <f t="shared" si="8"/>
        <v>0</v>
      </c>
      <c r="BC13" s="15"/>
      <c r="BD13" s="16"/>
      <c r="BE13" s="16"/>
      <c r="BF13" s="16"/>
      <c r="BG13" s="16"/>
      <c r="BH13" s="16"/>
      <c r="BI13" s="16"/>
      <c r="BJ13" s="16"/>
      <c r="BK13" s="16"/>
      <c r="BL13" s="16"/>
      <c r="BM13" s="16"/>
      <c r="BN13" s="16"/>
      <c r="BO13" s="16"/>
      <c r="BP13" s="16"/>
      <c r="BQ13" s="16"/>
      <c r="BR13" s="16"/>
      <c r="BS13" s="16"/>
      <c r="BT13" s="16"/>
      <c r="BU13" s="16"/>
      <c r="BV13" s="16"/>
      <c r="BW13" s="16"/>
    </row>
    <row r="14" spans="1:75" ht="18" hidden="1" customHeight="1" outlineLevel="1">
      <c r="B14" s="7">
        <v>2021</v>
      </c>
      <c r="C14" s="8" t="s">
        <v>12</v>
      </c>
      <c r="E14" s="8">
        <v>6867</v>
      </c>
      <c r="J14" s="9"/>
      <c r="Q14" s="5">
        <v>2034</v>
      </c>
      <c r="R14" s="5">
        <v>4</v>
      </c>
      <c r="S14" s="14" t="s">
        <v>28</v>
      </c>
      <c r="T14" s="15">
        <f t="shared" si="6"/>
        <v>0</v>
      </c>
      <c r="U14" s="15">
        <f t="shared" si="7"/>
        <v>0</v>
      </c>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5">
        <f t="shared" si="8"/>
        <v>0</v>
      </c>
      <c r="BC14" s="15"/>
      <c r="BD14" s="16"/>
      <c r="BE14" s="16"/>
      <c r="BF14" s="16"/>
      <c r="BG14" s="16"/>
      <c r="BH14" s="16"/>
      <c r="BI14" s="16"/>
      <c r="BJ14" s="16"/>
      <c r="BK14" s="16"/>
      <c r="BL14" s="16"/>
      <c r="BM14" s="16"/>
      <c r="BN14" s="16"/>
      <c r="BO14" s="16"/>
      <c r="BP14" s="16"/>
      <c r="BQ14" s="16"/>
      <c r="BR14" s="16"/>
      <c r="BS14" s="16"/>
      <c r="BT14" s="16"/>
      <c r="BU14" s="16"/>
      <c r="BV14" s="16"/>
      <c r="BW14" s="16"/>
    </row>
    <row r="15" spans="1:75" ht="18" hidden="1" customHeight="1" outlineLevel="1">
      <c r="B15" s="7">
        <v>2022</v>
      </c>
      <c r="C15" s="8" t="s">
        <v>12</v>
      </c>
      <c r="E15" s="8">
        <v>6867</v>
      </c>
      <c r="J15" s="9"/>
      <c r="Q15" s="5">
        <v>2034</v>
      </c>
      <c r="R15" s="5">
        <v>3</v>
      </c>
      <c r="S15" s="14" t="s">
        <v>54</v>
      </c>
      <c r="T15" s="15">
        <f t="shared" si="6"/>
        <v>0</v>
      </c>
      <c r="U15" s="15">
        <f t="shared" si="7"/>
        <v>0</v>
      </c>
      <c r="V15" s="6"/>
      <c r="W15" s="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5">
        <f t="shared" si="8"/>
        <v>0</v>
      </c>
      <c r="BC15" s="15"/>
      <c r="BD15" s="16"/>
      <c r="BE15" s="16"/>
      <c r="BF15" s="16"/>
      <c r="BG15" s="16"/>
      <c r="BH15" s="16"/>
      <c r="BI15" s="16"/>
      <c r="BJ15" s="16"/>
      <c r="BK15" s="16"/>
      <c r="BL15" s="16"/>
      <c r="BM15" s="16"/>
      <c r="BN15" s="16"/>
      <c r="BO15" s="16"/>
      <c r="BP15" s="16"/>
      <c r="BQ15" s="16"/>
      <c r="BR15" s="16"/>
      <c r="BS15" s="16"/>
      <c r="BT15" s="16"/>
      <c r="BU15" s="16"/>
      <c r="BV15" s="16"/>
      <c r="BW15" s="16"/>
    </row>
    <row r="16" spans="1:75" ht="18" hidden="1" customHeight="1" outlineLevel="1">
      <c r="B16" s="7">
        <v>2023</v>
      </c>
      <c r="C16" s="8" t="s">
        <v>12</v>
      </c>
      <c r="E16" s="8">
        <v>6867</v>
      </c>
      <c r="J16" s="9"/>
      <c r="Q16" s="5">
        <v>2034</v>
      </c>
      <c r="R16" s="5">
        <v>2</v>
      </c>
      <c r="S16" s="14" t="s">
        <v>54</v>
      </c>
      <c r="T16" s="15">
        <f t="shared" si="6"/>
        <v>0</v>
      </c>
      <c r="U16" s="15">
        <f t="shared" si="7"/>
        <v>0</v>
      </c>
      <c r="V16" s="6"/>
      <c r="W16" s="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5">
        <f t="shared" si="8"/>
        <v>0</v>
      </c>
      <c r="BC16" s="15"/>
      <c r="BD16" s="16"/>
      <c r="BE16" s="16"/>
      <c r="BF16" s="16"/>
      <c r="BG16" s="16"/>
      <c r="BH16" s="16"/>
      <c r="BI16" s="16"/>
      <c r="BJ16" s="16"/>
      <c r="BK16" s="16"/>
      <c r="BL16" s="16"/>
      <c r="BM16" s="16"/>
      <c r="BN16" s="16"/>
      <c r="BO16" s="16"/>
      <c r="BP16" s="16"/>
      <c r="BQ16" s="16"/>
      <c r="BR16" s="16"/>
      <c r="BS16" s="16"/>
      <c r="BT16" s="16"/>
      <c r="BU16" s="16"/>
      <c r="BV16" s="16"/>
      <c r="BW16" s="16"/>
    </row>
    <row r="17" spans="1:75" ht="18" hidden="1" customHeight="1" outlineLevel="1">
      <c r="B17" s="7">
        <v>2024</v>
      </c>
      <c r="C17" s="8" t="s">
        <v>12</v>
      </c>
      <c r="E17" s="8">
        <v>6867</v>
      </c>
      <c r="J17" s="9"/>
      <c r="Q17" s="5">
        <v>2034</v>
      </c>
      <c r="R17" s="5">
        <v>1</v>
      </c>
      <c r="S17" s="14" t="s">
        <v>54</v>
      </c>
      <c r="T17" s="15">
        <f t="shared" si="6"/>
        <v>0</v>
      </c>
      <c r="U17" s="15">
        <f t="shared" si="7"/>
        <v>0</v>
      </c>
      <c r="V17" s="6"/>
      <c r="W17" s="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5">
        <f t="shared" si="8"/>
        <v>0</v>
      </c>
      <c r="BC17" s="15"/>
      <c r="BD17" s="16"/>
      <c r="BE17" s="16"/>
      <c r="BF17" s="16"/>
      <c r="BG17" s="16"/>
      <c r="BH17" s="16"/>
      <c r="BI17" s="16"/>
      <c r="BJ17" s="16"/>
      <c r="BK17" s="16"/>
      <c r="BL17" s="16"/>
      <c r="BM17" s="16"/>
      <c r="BN17" s="16"/>
      <c r="BO17" s="16"/>
      <c r="BP17" s="16"/>
      <c r="BQ17" s="16"/>
      <c r="BR17" s="16"/>
      <c r="BS17" s="16"/>
      <c r="BT17" s="16"/>
      <c r="BU17" s="16"/>
      <c r="BV17" s="16"/>
      <c r="BW17" s="16"/>
    </row>
    <row r="18" spans="1:75" s="1" customFormat="1" ht="18" customHeight="1" collapsed="1">
      <c r="A18" s="10"/>
      <c r="B18" s="11"/>
      <c r="C18" s="12"/>
      <c r="D18" s="11"/>
      <c r="E18" s="12"/>
      <c r="F18" s="12"/>
      <c r="G18" s="12"/>
      <c r="H18" s="12"/>
      <c r="I18" s="12"/>
      <c r="J18" s="3"/>
      <c r="K18" s="12"/>
      <c r="L18" s="12"/>
      <c r="M18" s="12"/>
      <c r="N18" s="12"/>
      <c r="O18" s="13"/>
      <c r="Q18" s="667" t="s">
        <v>1989</v>
      </c>
      <c r="R18" s="667"/>
      <c r="S18" s="667"/>
      <c r="T18" s="23">
        <f t="shared" ref="T18:AZ18" si="12">SUMIF($Q$2:$Q$793,$Q19,T$2:T$793)</f>
        <v>0</v>
      </c>
      <c r="U18" s="23">
        <f t="shared" si="12"/>
        <v>0</v>
      </c>
      <c r="V18" s="23">
        <f t="shared" si="12"/>
        <v>0</v>
      </c>
      <c r="W18" s="23">
        <f t="shared" si="12"/>
        <v>0</v>
      </c>
      <c r="X18" s="23">
        <f t="shared" si="12"/>
        <v>0</v>
      </c>
      <c r="Y18" s="23">
        <f t="shared" si="12"/>
        <v>0</v>
      </c>
      <c r="Z18" s="23">
        <f t="shared" si="12"/>
        <v>0</v>
      </c>
      <c r="AA18" s="23">
        <f t="shared" si="12"/>
        <v>0</v>
      </c>
      <c r="AB18" s="23">
        <f t="shared" si="12"/>
        <v>0</v>
      </c>
      <c r="AC18" s="23">
        <f t="shared" si="12"/>
        <v>0</v>
      </c>
      <c r="AD18" s="23">
        <f t="shared" si="12"/>
        <v>0</v>
      </c>
      <c r="AE18" s="23">
        <f t="shared" si="12"/>
        <v>0</v>
      </c>
      <c r="AF18" s="23">
        <f t="shared" si="12"/>
        <v>0</v>
      </c>
      <c r="AG18" s="23">
        <f t="shared" si="12"/>
        <v>0</v>
      </c>
      <c r="AH18" s="23">
        <f t="shared" si="12"/>
        <v>0</v>
      </c>
      <c r="AI18" s="23">
        <f t="shared" si="12"/>
        <v>0</v>
      </c>
      <c r="AJ18" s="23">
        <f t="shared" si="12"/>
        <v>0</v>
      </c>
      <c r="AK18" s="23">
        <f t="shared" si="12"/>
        <v>0</v>
      </c>
      <c r="AL18" s="23">
        <f t="shared" si="12"/>
        <v>0</v>
      </c>
      <c r="AM18" s="23">
        <f t="shared" si="12"/>
        <v>0</v>
      </c>
      <c r="AN18" s="23">
        <f t="shared" si="12"/>
        <v>0</v>
      </c>
      <c r="AO18" s="23">
        <f t="shared" si="12"/>
        <v>0</v>
      </c>
      <c r="AP18" s="23">
        <f t="shared" si="12"/>
        <v>0</v>
      </c>
      <c r="AQ18" s="23">
        <f t="shared" si="12"/>
        <v>0</v>
      </c>
      <c r="AR18" s="23">
        <f t="shared" si="12"/>
        <v>0</v>
      </c>
      <c r="AS18" s="23">
        <f t="shared" si="12"/>
        <v>0</v>
      </c>
      <c r="AT18" s="23">
        <f t="shared" si="12"/>
        <v>0</v>
      </c>
      <c r="AU18" s="23">
        <f t="shared" si="12"/>
        <v>0</v>
      </c>
      <c r="AV18" s="23">
        <f t="shared" si="12"/>
        <v>0</v>
      </c>
      <c r="AW18" s="23">
        <f t="shared" si="12"/>
        <v>0</v>
      </c>
      <c r="AX18" s="23">
        <f t="shared" si="12"/>
        <v>0</v>
      </c>
      <c r="AY18" s="23">
        <f t="shared" si="12"/>
        <v>0</v>
      </c>
      <c r="AZ18" s="23">
        <f t="shared" si="12"/>
        <v>0</v>
      </c>
      <c r="BA18" s="23"/>
      <c r="BB18" s="23">
        <f t="shared" ref="BB18:BW18" si="13">SUMIF($Q$2:$Q$793,$Q19,BB$2:BB$793)</f>
        <v>0</v>
      </c>
      <c r="BC18" s="23">
        <f t="shared" si="13"/>
        <v>0</v>
      </c>
      <c r="BD18" s="23">
        <f t="shared" si="13"/>
        <v>0</v>
      </c>
      <c r="BE18" s="23">
        <f t="shared" si="13"/>
        <v>0</v>
      </c>
      <c r="BF18" s="23">
        <f t="shared" si="13"/>
        <v>0</v>
      </c>
      <c r="BG18" s="23">
        <f t="shared" si="13"/>
        <v>0</v>
      </c>
      <c r="BH18" s="23">
        <f t="shared" si="13"/>
        <v>0</v>
      </c>
      <c r="BI18" s="23">
        <f t="shared" si="13"/>
        <v>0</v>
      </c>
      <c r="BJ18" s="23">
        <f t="shared" si="13"/>
        <v>0</v>
      </c>
      <c r="BK18" s="23">
        <f t="shared" si="13"/>
        <v>0</v>
      </c>
      <c r="BL18" s="23">
        <f t="shared" si="13"/>
        <v>0</v>
      </c>
      <c r="BM18" s="23">
        <f t="shared" si="13"/>
        <v>0</v>
      </c>
      <c r="BN18" s="23">
        <f t="shared" si="13"/>
        <v>0</v>
      </c>
      <c r="BO18" s="23">
        <f t="shared" si="13"/>
        <v>0</v>
      </c>
      <c r="BP18" s="23">
        <f t="shared" si="13"/>
        <v>0</v>
      </c>
      <c r="BQ18" s="23">
        <f t="shared" si="13"/>
        <v>0</v>
      </c>
      <c r="BR18" s="23">
        <f t="shared" si="13"/>
        <v>0</v>
      </c>
      <c r="BS18" s="23">
        <f t="shared" si="13"/>
        <v>0</v>
      </c>
      <c r="BT18" s="23">
        <f t="shared" si="13"/>
        <v>0</v>
      </c>
      <c r="BU18" s="23">
        <f t="shared" si="13"/>
        <v>0</v>
      </c>
      <c r="BV18" s="23">
        <f t="shared" si="13"/>
        <v>0</v>
      </c>
      <c r="BW18" s="23">
        <f t="shared" si="13"/>
        <v>0</v>
      </c>
    </row>
    <row r="19" spans="1:75" ht="18" hidden="1" customHeight="1" outlineLevel="1">
      <c r="D19" s="7" t="s">
        <v>11</v>
      </c>
      <c r="F19" s="8">
        <v>4717</v>
      </c>
      <c r="G19" s="8">
        <v>5848</v>
      </c>
      <c r="K19" s="8">
        <v>2400</v>
      </c>
      <c r="L19" s="8">
        <f>K19*12</f>
        <v>28800</v>
      </c>
      <c r="M19" s="8">
        <f>L19*1.13</f>
        <v>32543.999999999996</v>
      </c>
      <c r="N19" s="8">
        <v>21014</v>
      </c>
      <c r="O19" s="9">
        <f>N19/M19</f>
        <v>0.64571042281219282</v>
      </c>
      <c r="Q19" s="5">
        <v>2033</v>
      </c>
      <c r="R19" s="5">
        <v>12</v>
      </c>
      <c r="S19" s="14" t="s">
        <v>54</v>
      </c>
      <c r="T19" s="15">
        <f t="shared" ref="T19:T31" si="14">IF(U19=U19-BB19,0,U19-BB19)</f>
        <v>0</v>
      </c>
      <c r="U19" s="15">
        <f t="shared" ref="U19:U31" si="15">SUM(V19:BA19)</f>
        <v>0</v>
      </c>
      <c r="V19" s="6"/>
      <c r="W19" s="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5">
        <f t="shared" ref="BB19:BB31" si="16">SUM(BC19:BW19)</f>
        <v>0</v>
      </c>
      <c r="BC19" s="15"/>
      <c r="BD19" s="16"/>
      <c r="BE19" s="16"/>
      <c r="BF19" s="16"/>
      <c r="BG19" s="16"/>
      <c r="BH19" s="16"/>
      <c r="BI19" s="16"/>
      <c r="BJ19" s="16"/>
      <c r="BK19" s="16"/>
      <c r="BL19" s="16"/>
      <c r="BM19" s="16"/>
      <c r="BN19" s="16"/>
      <c r="BO19" s="16"/>
      <c r="BP19" s="16"/>
      <c r="BQ19" s="16"/>
      <c r="BR19" s="16"/>
      <c r="BS19" s="16"/>
      <c r="BT19" s="16"/>
      <c r="BU19" s="16"/>
      <c r="BV19" s="16"/>
      <c r="BW19" s="16"/>
    </row>
    <row r="20" spans="1:75" ht="18" hidden="1" customHeight="1" outlineLevel="1">
      <c r="D20" s="7" t="s">
        <v>11</v>
      </c>
      <c r="F20" s="8">
        <v>4717</v>
      </c>
      <c r="G20" s="8">
        <v>5848</v>
      </c>
      <c r="K20" s="8">
        <v>2400</v>
      </c>
      <c r="L20" s="8">
        <f>K20*12</f>
        <v>28800</v>
      </c>
      <c r="M20" s="8">
        <f>L20*1.13</f>
        <v>32543.999999999996</v>
      </c>
      <c r="N20" s="8">
        <v>21014</v>
      </c>
      <c r="O20" s="9">
        <f>N20/M20</f>
        <v>0.64571042281219282</v>
      </c>
      <c r="Q20" s="5">
        <v>2033</v>
      </c>
      <c r="R20" s="5">
        <v>11</v>
      </c>
      <c r="S20" s="14" t="s">
        <v>54</v>
      </c>
      <c r="T20" s="15">
        <f t="shared" si="14"/>
        <v>0</v>
      </c>
      <c r="U20" s="15">
        <f t="shared" si="15"/>
        <v>0</v>
      </c>
      <c r="V20" s="6"/>
      <c r="W20" s="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5">
        <f t="shared" si="16"/>
        <v>0</v>
      </c>
      <c r="BC20" s="15"/>
      <c r="BD20" s="16"/>
      <c r="BE20" s="16"/>
      <c r="BF20" s="16"/>
      <c r="BG20" s="16"/>
      <c r="BH20" s="16"/>
      <c r="BI20" s="16"/>
      <c r="BJ20" s="16"/>
      <c r="BK20" s="16"/>
      <c r="BL20" s="16"/>
      <c r="BM20" s="16"/>
      <c r="BN20" s="16"/>
      <c r="BO20" s="16"/>
      <c r="BP20" s="16"/>
      <c r="BQ20" s="16"/>
      <c r="BR20" s="16"/>
      <c r="BS20" s="16"/>
      <c r="BT20" s="16"/>
      <c r="BU20" s="16"/>
      <c r="BV20" s="16"/>
      <c r="BW20" s="16"/>
    </row>
    <row r="21" spans="1:75" ht="18" hidden="1" customHeight="1" outlineLevel="1">
      <c r="D21" s="7" t="s">
        <v>11</v>
      </c>
      <c r="F21" s="8">
        <v>4717</v>
      </c>
      <c r="G21" s="8">
        <v>5848</v>
      </c>
      <c r="K21" s="8">
        <v>2400</v>
      </c>
      <c r="L21" s="8">
        <f t="shared" ref="L21:L24" si="17">K21*12</f>
        <v>28800</v>
      </c>
      <c r="M21" s="8">
        <f t="shared" ref="M21:M24" si="18">L21*1.13</f>
        <v>32543.999999999996</v>
      </c>
      <c r="N21" s="8">
        <v>21014</v>
      </c>
      <c r="O21" s="9">
        <f t="shared" ref="O21:O24" si="19">N21/M21</f>
        <v>0.64571042281219282</v>
      </c>
      <c r="Q21" s="5">
        <v>2033</v>
      </c>
      <c r="R21" s="5">
        <v>10</v>
      </c>
      <c r="S21" s="14" t="s">
        <v>54</v>
      </c>
      <c r="T21" s="15">
        <f t="shared" si="14"/>
        <v>0</v>
      </c>
      <c r="U21" s="15">
        <f t="shared" si="15"/>
        <v>0</v>
      </c>
      <c r="V21" s="6"/>
      <c r="W21" s="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5">
        <f t="shared" si="16"/>
        <v>0</v>
      </c>
      <c r="BC21" s="15"/>
      <c r="BD21" s="16"/>
      <c r="BE21" s="16"/>
      <c r="BF21" s="16"/>
      <c r="BG21" s="16"/>
      <c r="BH21" s="16"/>
      <c r="BI21" s="16"/>
      <c r="BJ21" s="16"/>
      <c r="BK21" s="16"/>
      <c r="BL21" s="16"/>
      <c r="BM21" s="16"/>
      <c r="BN21" s="16"/>
      <c r="BO21" s="16"/>
      <c r="BP21" s="16"/>
      <c r="BQ21" s="16"/>
      <c r="BR21" s="16"/>
      <c r="BS21" s="16"/>
      <c r="BT21" s="16"/>
      <c r="BU21" s="16"/>
      <c r="BV21" s="16"/>
      <c r="BW21" s="16"/>
    </row>
    <row r="22" spans="1:75" ht="18" hidden="1" customHeight="1" outlineLevel="1">
      <c r="D22" s="7" t="s">
        <v>12</v>
      </c>
      <c r="F22" s="8">
        <v>6867</v>
      </c>
      <c r="G22" s="8">
        <v>6867</v>
      </c>
      <c r="K22" s="8">
        <v>2400</v>
      </c>
      <c r="L22" s="8">
        <f t="shared" si="17"/>
        <v>28800</v>
      </c>
      <c r="M22" s="8">
        <f t="shared" si="18"/>
        <v>32543.999999999996</v>
      </c>
      <c r="N22" s="8">
        <v>21014</v>
      </c>
      <c r="O22" s="9">
        <f t="shared" si="19"/>
        <v>0.64571042281219282</v>
      </c>
      <c r="Q22" s="5">
        <v>2033</v>
      </c>
      <c r="R22" s="5">
        <v>9</v>
      </c>
      <c r="S22" s="14" t="s">
        <v>54</v>
      </c>
      <c r="T22" s="15">
        <f t="shared" si="14"/>
        <v>0</v>
      </c>
      <c r="U22" s="15">
        <f t="shared" si="15"/>
        <v>0</v>
      </c>
      <c r="V22" s="6"/>
      <c r="W22" s="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5">
        <f t="shared" si="16"/>
        <v>0</v>
      </c>
      <c r="BC22" s="15"/>
      <c r="BD22" s="16"/>
      <c r="BE22" s="16"/>
      <c r="BF22" s="16"/>
      <c r="BG22" s="16"/>
      <c r="BH22" s="16"/>
      <c r="BI22" s="16"/>
      <c r="BJ22" s="16"/>
      <c r="BK22" s="16"/>
      <c r="BL22" s="16"/>
      <c r="BM22" s="16"/>
      <c r="BN22" s="16"/>
      <c r="BO22" s="16"/>
      <c r="BP22" s="16"/>
      <c r="BQ22" s="16"/>
      <c r="BR22" s="16"/>
      <c r="BS22" s="16"/>
      <c r="BT22" s="16"/>
      <c r="BU22" s="16"/>
      <c r="BV22" s="16"/>
      <c r="BW22" s="16"/>
    </row>
    <row r="23" spans="1:75" ht="18" hidden="1" customHeight="1" outlineLevel="1">
      <c r="D23" s="7" t="s">
        <v>13</v>
      </c>
      <c r="F23" s="8">
        <v>7988</v>
      </c>
      <c r="G23" s="8" t="s">
        <v>2</v>
      </c>
      <c r="H23" s="8" t="s">
        <v>17</v>
      </c>
      <c r="I23" s="8">
        <v>171</v>
      </c>
      <c r="K23" s="8">
        <v>2400</v>
      </c>
      <c r="L23" s="8">
        <f t="shared" si="17"/>
        <v>28800</v>
      </c>
      <c r="M23" s="8">
        <f t="shared" si="18"/>
        <v>32543.999999999996</v>
      </c>
      <c r="N23" s="8">
        <v>21014</v>
      </c>
      <c r="O23" s="9">
        <f t="shared" si="19"/>
        <v>0.64571042281219282</v>
      </c>
      <c r="Q23" s="5">
        <v>2033</v>
      </c>
      <c r="R23" s="5">
        <v>8</v>
      </c>
      <c r="S23" s="14" t="s">
        <v>54</v>
      </c>
      <c r="T23" s="15">
        <f t="shared" si="14"/>
        <v>0</v>
      </c>
      <c r="U23" s="15">
        <f t="shared" si="15"/>
        <v>0</v>
      </c>
      <c r="V23" s="6"/>
      <c r="W23" s="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5">
        <f t="shared" si="16"/>
        <v>0</v>
      </c>
      <c r="BC23" s="15"/>
      <c r="BD23" s="16"/>
      <c r="BE23" s="16"/>
      <c r="BF23" s="16"/>
      <c r="BG23" s="16"/>
      <c r="BH23" s="16"/>
      <c r="BI23" s="16"/>
      <c r="BJ23" s="16"/>
      <c r="BK23" s="16"/>
      <c r="BL23" s="16"/>
      <c r="BM23" s="16"/>
      <c r="BN23" s="16"/>
      <c r="BO23" s="16"/>
      <c r="BP23" s="16"/>
      <c r="BQ23" s="16"/>
      <c r="BR23" s="16"/>
      <c r="BS23" s="16"/>
      <c r="BT23" s="16"/>
      <c r="BU23" s="16"/>
      <c r="BV23" s="16"/>
      <c r="BW23" s="16"/>
    </row>
    <row r="24" spans="1:75" ht="18" hidden="1" customHeight="1" outlineLevel="1">
      <c r="D24" s="7" t="s">
        <v>13</v>
      </c>
      <c r="F24" s="8">
        <v>7988</v>
      </c>
      <c r="G24" s="8" t="s">
        <v>2</v>
      </c>
      <c r="H24" s="8" t="s">
        <v>17</v>
      </c>
      <c r="I24" s="8">
        <v>171</v>
      </c>
      <c r="K24" s="8">
        <v>2400</v>
      </c>
      <c r="L24" s="8">
        <f t="shared" si="17"/>
        <v>28800</v>
      </c>
      <c r="M24" s="8">
        <f t="shared" si="18"/>
        <v>32543.999999999996</v>
      </c>
      <c r="N24" s="8">
        <v>21014</v>
      </c>
      <c r="O24" s="9">
        <f t="shared" si="19"/>
        <v>0.64571042281219282</v>
      </c>
      <c r="Q24" s="5">
        <v>2033</v>
      </c>
      <c r="R24" s="5">
        <v>7</v>
      </c>
      <c r="S24" s="14" t="s">
        <v>54</v>
      </c>
      <c r="T24" s="15">
        <f t="shared" si="14"/>
        <v>0</v>
      </c>
      <c r="U24" s="15">
        <f t="shared" si="15"/>
        <v>0</v>
      </c>
      <c r="V24" s="6"/>
      <c r="W24" s="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5">
        <f t="shared" si="16"/>
        <v>0</v>
      </c>
      <c r="BC24" s="15"/>
      <c r="BD24" s="16"/>
      <c r="BE24" s="16"/>
      <c r="BF24" s="16"/>
      <c r="BG24" s="16"/>
      <c r="BH24" s="16"/>
      <c r="BI24" s="16"/>
      <c r="BJ24" s="16"/>
      <c r="BK24" s="16"/>
      <c r="BL24" s="16"/>
      <c r="BM24" s="16"/>
      <c r="BN24" s="16"/>
      <c r="BO24" s="16"/>
      <c r="BP24" s="16"/>
      <c r="BQ24" s="16"/>
      <c r="BR24" s="16"/>
      <c r="BS24" s="16"/>
      <c r="BT24" s="16"/>
      <c r="BU24" s="16"/>
      <c r="BV24" s="16"/>
      <c r="BW24" s="16"/>
    </row>
    <row r="25" spans="1:75" ht="18" hidden="1" customHeight="1" outlineLevel="1">
      <c r="H25" s="8" t="s">
        <v>18</v>
      </c>
      <c r="I25" s="8">
        <v>122</v>
      </c>
      <c r="J25" s="9"/>
      <c r="Q25" s="5">
        <v>2033</v>
      </c>
      <c r="R25" s="5">
        <v>6</v>
      </c>
      <c r="S25" s="14" t="s">
        <v>54</v>
      </c>
      <c r="T25" s="15">
        <f t="shared" si="14"/>
        <v>0</v>
      </c>
      <c r="U25" s="15">
        <f t="shared" si="15"/>
        <v>0</v>
      </c>
      <c r="V25" s="6"/>
      <c r="W25" s="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5">
        <f t="shared" si="16"/>
        <v>0</v>
      </c>
      <c r="BC25" s="15"/>
      <c r="BD25" s="16"/>
      <c r="BE25" s="16"/>
      <c r="BF25" s="16"/>
      <c r="BG25" s="16"/>
      <c r="BH25" s="16"/>
      <c r="BI25" s="16"/>
      <c r="BJ25" s="16"/>
      <c r="BK25" s="16"/>
      <c r="BL25" s="16"/>
      <c r="BM25" s="16"/>
      <c r="BN25" s="16"/>
      <c r="BO25" s="16"/>
      <c r="BP25" s="16"/>
      <c r="BQ25" s="16"/>
      <c r="BR25" s="16"/>
      <c r="BS25" s="16"/>
      <c r="BT25" s="16"/>
      <c r="BU25" s="16"/>
      <c r="BV25" s="16"/>
      <c r="BW25" s="16"/>
    </row>
    <row r="26" spans="1:75" ht="18" hidden="1" customHeight="1" outlineLevel="1">
      <c r="J26" s="9"/>
      <c r="Q26" s="5">
        <v>2033</v>
      </c>
      <c r="R26" s="5">
        <v>5</v>
      </c>
      <c r="S26" s="14" t="s">
        <v>54</v>
      </c>
      <c r="T26" s="15">
        <f t="shared" si="14"/>
        <v>0</v>
      </c>
      <c r="U26" s="15">
        <f t="shared" si="15"/>
        <v>0</v>
      </c>
      <c r="V26" s="6"/>
      <c r="W26" s="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5">
        <f t="shared" si="16"/>
        <v>0</v>
      </c>
      <c r="BC26" s="15"/>
      <c r="BD26" s="16"/>
      <c r="BE26" s="16"/>
      <c r="BF26" s="16"/>
      <c r="BG26" s="16"/>
      <c r="BH26" s="16"/>
      <c r="BI26" s="16"/>
      <c r="BJ26" s="16"/>
      <c r="BK26" s="16"/>
      <c r="BL26" s="16"/>
      <c r="BM26" s="16"/>
      <c r="BN26" s="16"/>
      <c r="BO26" s="16"/>
      <c r="BP26" s="16"/>
      <c r="BQ26" s="16"/>
      <c r="BR26" s="16"/>
      <c r="BS26" s="16"/>
      <c r="BT26" s="16"/>
      <c r="BU26" s="16"/>
      <c r="BV26" s="16"/>
      <c r="BW26" s="16"/>
    </row>
    <row r="27" spans="1:75" ht="18" hidden="1" customHeight="1" outlineLevel="1">
      <c r="B27" s="7">
        <v>2021</v>
      </c>
      <c r="C27" s="8" t="s">
        <v>12</v>
      </c>
      <c r="E27" s="8">
        <v>6867</v>
      </c>
      <c r="J27" s="9"/>
      <c r="Q27" s="5">
        <v>2033</v>
      </c>
      <c r="R27" s="5">
        <v>4</v>
      </c>
      <c r="S27" s="14" t="s">
        <v>54</v>
      </c>
      <c r="T27" s="15">
        <f t="shared" si="14"/>
        <v>0</v>
      </c>
      <c r="U27" s="15">
        <f t="shared" si="15"/>
        <v>0</v>
      </c>
      <c r="V27" s="6"/>
      <c r="W27" s="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5">
        <f t="shared" si="16"/>
        <v>0</v>
      </c>
      <c r="BC27" s="15"/>
      <c r="BD27" s="16"/>
      <c r="BE27" s="16"/>
      <c r="BF27" s="16"/>
      <c r="BG27" s="16"/>
      <c r="BH27" s="16"/>
      <c r="BI27" s="16"/>
      <c r="BJ27" s="16"/>
      <c r="BK27" s="16"/>
      <c r="BL27" s="16"/>
      <c r="BM27" s="16"/>
      <c r="BN27" s="16"/>
      <c r="BO27" s="16"/>
      <c r="BP27" s="16"/>
      <c r="BQ27" s="16"/>
      <c r="BR27" s="16"/>
      <c r="BS27" s="16"/>
      <c r="BT27" s="16"/>
      <c r="BU27" s="16"/>
      <c r="BV27" s="16"/>
      <c r="BW27" s="16"/>
    </row>
    <row r="28" spans="1:75" ht="18" hidden="1" customHeight="1" outlineLevel="1">
      <c r="B28" s="7">
        <v>2021</v>
      </c>
      <c r="C28" s="8" t="s">
        <v>12</v>
      </c>
      <c r="E28" s="8">
        <v>6867</v>
      </c>
      <c r="J28" s="9"/>
      <c r="Q28" s="5">
        <v>2033</v>
      </c>
      <c r="R28" s="5">
        <v>4</v>
      </c>
      <c r="S28" s="14" t="s">
        <v>28</v>
      </c>
      <c r="T28" s="15">
        <f t="shared" si="14"/>
        <v>0</v>
      </c>
      <c r="U28" s="15">
        <f t="shared" si="15"/>
        <v>0</v>
      </c>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5">
        <f t="shared" si="16"/>
        <v>0</v>
      </c>
      <c r="BC28" s="15"/>
      <c r="BD28" s="16"/>
      <c r="BE28" s="16"/>
      <c r="BF28" s="16"/>
      <c r="BG28" s="16"/>
      <c r="BH28" s="16"/>
      <c r="BI28" s="16"/>
      <c r="BJ28" s="16"/>
      <c r="BK28" s="16"/>
      <c r="BL28" s="16"/>
      <c r="BM28" s="16"/>
      <c r="BN28" s="16"/>
      <c r="BO28" s="16"/>
      <c r="BP28" s="16"/>
      <c r="BQ28" s="16"/>
      <c r="BR28" s="16"/>
      <c r="BS28" s="16"/>
      <c r="BT28" s="16"/>
      <c r="BU28" s="16"/>
      <c r="BV28" s="16"/>
      <c r="BW28" s="16"/>
    </row>
    <row r="29" spans="1:75" ht="18" hidden="1" customHeight="1" outlineLevel="1">
      <c r="B29" s="7">
        <v>2022</v>
      </c>
      <c r="C29" s="8" t="s">
        <v>12</v>
      </c>
      <c r="E29" s="8">
        <v>6867</v>
      </c>
      <c r="J29" s="9"/>
      <c r="Q29" s="5">
        <v>2033</v>
      </c>
      <c r="R29" s="5">
        <v>3</v>
      </c>
      <c r="S29" s="14" t="s">
        <v>54</v>
      </c>
      <c r="T29" s="15">
        <f t="shared" si="14"/>
        <v>0</v>
      </c>
      <c r="U29" s="15">
        <f t="shared" si="15"/>
        <v>0</v>
      </c>
      <c r="V29" s="6"/>
      <c r="W29" s="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5">
        <f t="shared" si="16"/>
        <v>0</v>
      </c>
      <c r="BC29" s="15"/>
      <c r="BD29" s="16"/>
      <c r="BE29" s="16"/>
      <c r="BF29" s="16"/>
      <c r="BG29" s="16"/>
      <c r="BH29" s="16"/>
      <c r="BI29" s="16"/>
      <c r="BJ29" s="16"/>
      <c r="BK29" s="16"/>
      <c r="BL29" s="16"/>
      <c r="BM29" s="16"/>
      <c r="BN29" s="16"/>
      <c r="BO29" s="16"/>
      <c r="BP29" s="16"/>
      <c r="BQ29" s="16"/>
      <c r="BR29" s="16"/>
      <c r="BS29" s="16"/>
      <c r="BT29" s="16"/>
      <c r="BU29" s="16"/>
      <c r="BV29" s="16"/>
      <c r="BW29" s="16"/>
    </row>
    <row r="30" spans="1:75" ht="18" hidden="1" customHeight="1" outlineLevel="1">
      <c r="B30" s="7">
        <v>2023</v>
      </c>
      <c r="C30" s="8" t="s">
        <v>12</v>
      </c>
      <c r="E30" s="8">
        <v>6867</v>
      </c>
      <c r="J30" s="9"/>
      <c r="Q30" s="5">
        <v>2033</v>
      </c>
      <c r="R30" s="5">
        <v>2</v>
      </c>
      <c r="S30" s="14" t="s">
        <v>54</v>
      </c>
      <c r="T30" s="15">
        <f t="shared" si="14"/>
        <v>0</v>
      </c>
      <c r="U30" s="15">
        <f t="shared" si="15"/>
        <v>0</v>
      </c>
      <c r="V30" s="6"/>
      <c r="W30" s="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5">
        <f t="shared" si="16"/>
        <v>0</v>
      </c>
      <c r="BC30" s="15"/>
      <c r="BD30" s="16"/>
      <c r="BE30" s="16"/>
      <c r="BF30" s="16"/>
      <c r="BG30" s="16"/>
      <c r="BH30" s="16"/>
      <c r="BI30" s="16"/>
      <c r="BJ30" s="16"/>
      <c r="BK30" s="16"/>
      <c r="BL30" s="16"/>
      <c r="BM30" s="16"/>
      <c r="BN30" s="16"/>
      <c r="BO30" s="16"/>
      <c r="BP30" s="16"/>
      <c r="BQ30" s="16"/>
      <c r="BR30" s="16"/>
      <c r="BS30" s="16"/>
      <c r="BT30" s="16"/>
      <c r="BU30" s="16"/>
      <c r="BV30" s="16"/>
      <c r="BW30" s="16"/>
    </row>
    <row r="31" spans="1:75" ht="18" hidden="1" customHeight="1" outlineLevel="1">
      <c r="B31" s="7">
        <v>2024</v>
      </c>
      <c r="C31" s="8" t="s">
        <v>12</v>
      </c>
      <c r="E31" s="8">
        <v>6867</v>
      </c>
      <c r="J31" s="9"/>
      <c r="Q31" s="5">
        <v>2033</v>
      </c>
      <c r="R31" s="5">
        <v>1</v>
      </c>
      <c r="S31" s="14" t="s">
        <v>54</v>
      </c>
      <c r="T31" s="15">
        <f t="shared" si="14"/>
        <v>0</v>
      </c>
      <c r="U31" s="15">
        <f t="shared" si="15"/>
        <v>0</v>
      </c>
      <c r="V31" s="6"/>
      <c r="W31" s="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5">
        <f t="shared" si="16"/>
        <v>0</v>
      </c>
      <c r="BC31" s="15"/>
      <c r="BD31" s="16"/>
      <c r="BE31" s="16"/>
      <c r="BF31" s="16"/>
      <c r="BG31" s="16"/>
      <c r="BH31" s="16"/>
      <c r="BI31" s="16"/>
      <c r="BJ31" s="16"/>
      <c r="BK31" s="16"/>
      <c r="BL31" s="16"/>
      <c r="BM31" s="16"/>
      <c r="BN31" s="16"/>
      <c r="BO31" s="16"/>
      <c r="BP31" s="16"/>
      <c r="BQ31" s="16"/>
      <c r="BR31" s="16"/>
      <c r="BS31" s="16"/>
      <c r="BT31" s="16"/>
      <c r="BU31" s="16"/>
      <c r="BV31" s="16"/>
      <c r="BW31" s="16"/>
    </row>
    <row r="32" spans="1:75" s="1" customFormat="1" ht="18" customHeight="1" collapsed="1">
      <c r="A32" s="10"/>
      <c r="B32" s="11"/>
      <c r="C32" s="12"/>
      <c r="D32" s="11"/>
      <c r="E32" s="12"/>
      <c r="F32" s="12"/>
      <c r="G32" s="12"/>
      <c r="H32" s="12"/>
      <c r="I32" s="12"/>
      <c r="J32" s="3"/>
      <c r="K32" s="12"/>
      <c r="L32" s="12"/>
      <c r="M32" s="12"/>
      <c r="N32" s="12"/>
      <c r="O32" s="13"/>
      <c r="Q32" s="667" t="s">
        <v>1990</v>
      </c>
      <c r="R32" s="667"/>
      <c r="S32" s="667"/>
      <c r="T32" s="23">
        <f t="shared" ref="T32:AZ32" si="20">SUMIF($Q$2:$Q$793,$Q33,T$2:T$793)</f>
        <v>0</v>
      </c>
      <c r="U32" s="23">
        <f t="shared" si="20"/>
        <v>0</v>
      </c>
      <c r="V32" s="23">
        <f t="shared" si="20"/>
        <v>0</v>
      </c>
      <c r="W32" s="23">
        <f t="shared" si="20"/>
        <v>0</v>
      </c>
      <c r="X32" s="23">
        <f t="shared" si="20"/>
        <v>0</v>
      </c>
      <c r="Y32" s="23">
        <f t="shared" si="20"/>
        <v>0</v>
      </c>
      <c r="Z32" s="23">
        <f t="shared" si="20"/>
        <v>0</v>
      </c>
      <c r="AA32" s="23">
        <f t="shared" si="20"/>
        <v>0</v>
      </c>
      <c r="AB32" s="23">
        <f t="shared" si="20"/>
        <v>0</v>
      </c>
      <c r="AC32" s="23">
        <f t="shared" si="20"/>
        <v>0</v>
      </c>
      <c r="AD32" s="23">
        <f t="shared" si="20"/>
        <v>0</v>
      </c>
      <c r="AE32" s="23">
        <f t="shared" si="20"/>
        <v>0</v>
      </c>
      <c r="AF32" s="23">
        <f t="shared" si="20"/>
        <v>0</v>
      </c>
      <c r="AG32" s="23">
        <f t="shared" si="20"/>
        <v>0</v>
      </c>
      <c r="AH32" s="23">
        <f t="shared" si="20"/>
        <v>0</v>
      </c>
      <c r="AI32" s="23">
        <f t="shared" si="20"/>
        <v>0</v>
      </c>
      <c r="AJ32" s="23">
        <f t="shared" si="20"/>
        <v>0</v>
      </c>
      <c r="AK32" s="23">
        <f t="shared" si="20"/>
        <v>0</v>
      </c>
      <c r="AL32" s="23">
        <f t="shared" si="20"/>
        <v>0</v>
      </c>
      <c r="AM32" s="23">
        <f t="shared" si="20"/>
        <v>0</v>
      </c>
      <c r="AN32" s="23">
        <f t="shared" si="20"/>
        <v>0</v>
      </c>
      <c r="AO32" s="23">
        <f t="shared" si="20"/>
        <v>0</v>
      </c>
      <c r="AP32" s="23">
        <f t="shared" si="20"/>
        <v>0</v>
      </c>
      <c r="AQ32" s="23">
        <f t="shared" si="20"/>
        <v>0</v>
      </c>
      <c r="AR32" s="23">
        <f t="shared" si="20"/>
        <v>0</v>
      </c>
      <c r="AS32" s="23">
        <f t="shared" si="20"/>
        <v>0</v>
      </c>
      <c r="AT32" s="23">
        <f t="shared" si="20"/>
        <v>0</v>
      </c>
      <c r="AU32" s="23">
        <f t="shared" si="20"/>
        <v>0</v>
      </c>
      <c r="AV32" s="23">
        <f t="shared" si="20"/>
        <v>0</v>
      </c>
      <c r="AW32" s="23">
        <f t="shared" si="20"/>
        <v>0</v>
      </c>
      <c r="AX32" s="23">
        <f t="shared" si="20"/>
        <v>0</v>
      </c>
      <c r="AY32" s="23">
        <f t="shared" si="20"/>
        <v>0</v>
      </c>
      <c r="AZ32" s="23">
        <f t="shared" si="20"/>
        <v>0</v>
      </c>
      <c r="BA32" s="23"/>
      <c r="BB32" s="23">
        <f t="shared" ref="BB32:BW32" si="21">SUMIF($Q$2:$Q$793,$Q33,BB$2:BB$793)</f>
        <v>0</v>
      </c>
      <c r="BC32" s="23">
        <f t="shared" si="21"/>
        <v>0</v>
      </c>
      <c r="BD32" s="23">
        <f t="shared" si="21"/>
        <v>0</v>
      </c>
      <c r="BE32" s="23">
        <f t="shared" si="21"/>
        <v>0</v>
      </c>
      <c r="BF32" s="23">
        <f t="shared" si="21"/>
        <v>0</v>
      </c>
      <c r="BG32" s="23">
        <f t="shared" si="21"/>
        <v>0</v>
      </c>
      <c r="BH32" s="23">
        <f t="shared" si="21"/>
        <v>0</v>
      </c>
      <c r="BI32" s="23">
        <f t="shared" si="21"/>
        <v>0</v>
      </c>
      <c r="BJ32" s="23">
        <f t="shared" si="21"/>
        <v>0</v>
      </c>
      <c r="BK32" s="23">
        <f t="shared" si="21"/>
        <v>0</v>
      </c>
      <c r="BL32" s="23">
        <f t="shared" si="21"/>
        <v>0</v>
      </c>
      <c r="BM32" s="23">
        <f t="shared" si="21"/>
        <v>0</v>
      </c>
      <c r="BN32" s="23">
        <f t="shared" si="21"/>
        <v>0</v>
      </c>
      <c r="BO32" s="23">
        <f t="shared" si="21"/>
        <v>0</v>
      </c>
      <c r="BP32" s="23">
        <f t="shared" si="21"/>
        <v>0</v>
      </c>
      <c r="BQ32" s="23">
        <f t="shared" si="21"/>
        <v>0</v>
      </c>
      <c r="BR32" s="23">
        <f t="shared" si="21"/>
        <v>0</v>
      </c>
      <c r="BS32" s="23">
        <f t="shared" si="21"/>
        <v>0</v>
      </c>
      <c r="BT32" s="23">
        <f t="shared" si="21"/>
        <v>0</v>
      </c>
      <c r="BU32" s="23">
        <f t="shared" si="21"/>
        <v>0</v>
      </c>
      <c r="BV32" s="23">
        <f t="shared" si="21"/>
        <v>0</v>
      </c>
      <c r="BW32" s="23">
        <f t="shared" si="21"/>
        <v>0</v>
      </c>
    </row>
    <row r="33" spans="1:75" ht="18" hidden="1" customHeight="1" outlineLevel="1">
      <c r="D33" s="7" t="s">
        <v>11</v>
      </c>
      <c r="F33" s="8">
        <v>4717</v>
      </c>
      <c r="G33" s="8">
        <v>5848</v>
      </c>
      <c r="K33" s="8">
        <v>2400</v>
      </c>
      <c r="L33" s="8">
        <f>K33*12</f>
        <v>28800</v>
      </c>
      <c r="M33" s="8">
        <f>L33*1.13</f>
        <v>32543.999999999996</v>
      </c>
      <c r="N33" s="8">
        <v>21014</v>
      </c>
      <c r="O33" s="9">
        <f>N33/M33</f>
        <v>0.64571042281219282</v>
      </c>
      <c r="Q33" s="5">
        <v>2032</v>
      </c>
      <c r="R33" s="5">
        <v>12</v>
      </c>
      <c r="S33" s="14" t="s">
        <v>54</v>
      </c>
      <c r="T33" s="15">
        <f t="shared" ref="T33:T45" si="22">IF(U33=U33-BB33,0,U33-BB33)</f>
        <v>0</v>
      </c>
      <c r="U33" s="15">
        <f t="shared" ref="U33:U45" si="23">SUM(V33:BA33)</f>
        <v>0</v>
      </c>
      <c r="V33" s="6"/>
      <c r="W33" s="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5">
        <f t="shared" ref="BB33:BB45" si="24">SUM(BC33:BW33)</f>
        <v>0</v>
      </c>
      <c r="BC33" s="15"/>
      <c r="BD33" s="16"/>
      <c r="BE33" s="16"/>
      <c r="BF33" s="16"/>
      <c r="BG33" s="16"/>
      <c r="BH33" s="16"/>
      <c r="BI33" s="16"/>
      <c r="BJ33" s="16"/>
      <c r="BK33" s="16"/>
      <c r="BL33" s="16"/>
      <c r="BM33" s="16"/>
      <c r="BN33" s="16"/>
      <c r="BO33" s="16"/>
      <c r="BP33" s="16"/>
      <c r="BQ33" s="16"/>
      <c r="BR33" s="16"/>
      <c r="BS33" s="16"/>
      <c r="BT33" s="16"/>
      <c r="BU33" s="16"/>
      <c r="BV33" s="16"/>
      <c r="BW33" s="16"/>
    </row>
    <row r="34" spans="1:75" ht="18" hidden="1" customHeight="1" outlineLevel="1">
      <c r="D34" s="7" t="s">
        <v>11</v>
      </c>
      <c r="F34" s="8">
        <v>4717</v>
      </c>
      <c r="G34" s="8">
        <v>5848</v>
      </c>
      <c r="K34" s="8">
        <v>2400</v>
      </c>
      <c r="L34" s="8">
        <f>K34*12</f>
        <v>28800</v>
      </c>
      <c r="M34" s="8">
        <f>L34*1.13</f>
        <v>32543.999999999996</v>
      </c>
      <c r="N34" s="8">
        <v>21014</v>
      </c>
      <c r="O34" s="9">
        <f>N34/M34</f>
        <v>0.64571042281219282</v>
      </c>
      <c r="Q34" s="5">
        <v>2032</v>
      </c>
      <c r="R34" s="5">
        <v>11</v>
      </c>
      <c r="S34" s="14" t="s">
        <v>54</v>
      </c>
      <c r="T34" s="15">
        <f t="shared" si="22"/>
        <v>0</v>
      </c>
      <c r="U34" s="15">
        <f t="shared" si="23"/>
        <v>0</v>
      </c>
      <c r="V34" s="6"/>
      <c r="W34" s="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5">
        <f t="shared" si="24"/>
        <v>0</v>
      </c>
      <c r="BC34" s="15"/>
      <c r="BD34" s="16"/>
      <c r="BE34" s="16"/>
      <c r="BF34" s="16"/>
      <c r="BG34" s="16"/>
      <c r="BH34" s="16"/>
      <c r="BI34" s="16"/>
      <c r="BJ34" s="16"/>
      <c r="BK34" s="16"/>
      <c r="BL34" s="16"/>
      <c r="BM34" s="16"/>
      <c r="BN34" s="16"/>
      <c r="BO34" s="16"/>
      <c r="BP34" s="16"/>
      <c r="BQ34" s="16"/>
      <c r="BR34" s="16"/>
      <c r="BS34" s="16"/>
      <c r="BT34" s="16"/>
      <c r="BU34" s="16"/>
      <c r="BV34" s="16"/>
      <c r="BW34" s="16"/>
    </row>
    <row r="35" spans="1:75" ht="18" hidden="1" customHeight="1" outlineLevel="1">
      <c r="D35" s="7" t="s">
        <v>11</v>
      </c>
      <c r="F35" s="8">
        <v>4717</v>
      </c>
      <c r="G35" s="8">
        <v>5848</v>
      </c>
      <c r="K35" s="8">
        <v>2400</v>
      </c>
      <c r="L35" s="8">
        <f t="shared" ref="L35:L38" si="25">K35*12</f>
        <v>28800</v>
      </c>
      <c r="M35" s="8">
        <f t="shared" ref="M35:M38" si="26">L35*1.13</f>
        <v>32543.999999999996</v>
      </c>
      <c r="N35" s="8">
        <v>21014</v>
      </c>
      <c r="O35" s="9">
        <f t="shared" ref="O35:O38" si="27">N35/M35</f>
        <v>0.64571042281219282</v>
      </c>
      <c r="Q35" s="5">
        <v>2032</v>
      </c>
      <c r="R35" s="5">
        <v>10</v>
      </c>
      <c r="S35" s="14" t="s">
        <v>54</v>
      </c>
      <c r="T35" s="15">
        <f t="shared" si="22"/>
        <v>0</v>
      </c>
      <c r="U35" s="15">
        <f t="shared" si="23"/>
        <v>0</v>
      </c>
      <c r="V35" s="6"/>
      <c r="W35" s="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5">
        <f t="shared" si="24"/>
        <v>0</v>
      </c>
      <c r="BC35" s="15"/>
      <c r="BD35" s="16"/>
      <c r="BE35" s="16"/>
      <c r="BF35" s="16"/>
      <c r="BG35" s="16"/>
      <c r="BH35" s="16"/>
      <c r="BI35" s="16"/>
      <c r="BJ35" s="16"/>
      <c r="BK35" s="16"/>
      <c r="BL35" s="16"/>
      <c r="BM35" s="16"/>
      <c r="BN35" s="16"/>
      <c r="BO35" s="16"/>
      <c r="BP35" s="16"/>
      <c r="BQ35" s="16"/>
      <c r="BR35" s="16"/>
      <c r="BS35" s="16"/>
      <c r="BT35" s="16"/>
      <c r="BU35" s="16"/>
      <c r="BV35" s="16"/>
      <c r="BW35" s="16"/>
    </row>
    <row r="36" spans="1:75" ht="18" hidden="1" customHeight="1" outlineLevel="1">
      <c r="D36" s="7" t="s">
        <v>12</v>
      </c>
      <c r="F36" s="8">
        <v>6867</v>
      </c>
      <c r="G36" s="8">
        <v>6867</v>
      </c>
      <c r="K36" s="8">
        <v>2400</v>
      </c>
      <c r="L36" s="8">
        <f t="shared" si="25"/>
        <v>28800</v>
      </c>
      <c r="M36" s="8">
        <f t="shared" si="26"/>
        <v>32543.999999999996</v>
      </c>
      <c r="N36" s="8">
        <v>21014</v>
      </c>
      <c r="O36" s="9">
        <f t="shared" si="27"/>
        <v>0.64571042281219282</v>
      </c>
      <c r="Q36" s="5">
        <v>2032</v>
      </c>
      <c r="R36" s="5">
        <v>9</v>
      </c>
      <c r="S36" s="14" t="s">
        <v>54</v>
      </c>
      <c r="T36" s="15">
        <f t="shared" si="22"/>
        <v>0</v>
      </c>
      <c r="U36" s="15">
        <f t="shared" si="23"/>
        <v>0</v>
      </c>
      <c r="V36" s="6"/>
      <c r="W36" s="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5">
        <f t="shared" si="24"/>
        <v>0</v>
      </c>
      <c r="BC36" s="15"/>
      <c r="BD36" s="16"/>
      <c r="BE36" s="16"/>
      <c r="BF36" s="16"/>
      <c r="BG36" s="16"/>
      <c r="BH36" s="16"/>
      <c r="BI36" s="16"/>
      <c r="BJ36" s="16"/>
      <c r="BK36" s="16"/>
      <c r="BL36" s="16"/>
      <c r="BM36" s="16"/>
      <c r="BN36" s="16"/>
      <c r="BO36" s="16"/>
      <c r="BP36" s="16"/>
      <c r="BQ36" s="16"/>
      <c r="BR36" s="16"/>
      <c r="BS36" s="16"/>
      <c r="BT36" s="16"/>
      <c r="BU36" s="16"/>
      <c r="BV36" s="16"/>
      <c r="BW36" s="16"/>
    </row>
    <row r="37" spans="1:75" ht="18" hidden="1" customHeight="1" outlineLevel="1">
      <c r="D37" s="7" t="s">
        <v>13</v>
      </c>
      <c r="F37" s="8">
        <v>7988</v>
      </c>
      <c r="G37" s="8" t="s">
        <v>2</v>
      </c>
      <c r="H37" s="8" t="s">
        <v>17</v>
      </c>
      <c r="I37" s="8">
        <v>171</v>
      </c>
      <c r="K37" s="8">
        <v>2400</v>
      </c>
      <c r="L37" s="8">
        <f t="shared" si="25"/>
        <v>28800</v>
      </c>
      <c r="M37" s="8">
        <f t="shared" si="26"/>
        <v>32543.999999999996</v>
      </c>
      <c r="N37" s="8">
        <v>21014</v>
      </c>
      <c r="O37" s="9">
        <f t="shared" si="27"/>
        <v>0.64571042281219282</v>
      </c>
      <c r="Q37" s="5">
        <v>2032</v>
      </c>
      <c r="R37" s="5">
        <v>8</v>
      </c>
      <c r="S37" s="14" t="s">
        <v>54</v>
      </c>
      <c r="T37" s="15">
        <f t="shared" si="22"/>
        <v>0</v>
      </c>
      <c r="U37" s="15">
        <f t="shared" si="23"/>
        <v>0</v>
      </c>
      <c r="V37" s="6"/>
      <c r="W37" s="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5">
        <f t="shared" si="24"/>
        <v>0</v>
      </c>
      <c r="BC37" s="15"/>
      <c r="BD37" s="16"/>
      <c r="BE37" s="16"/>
      <c r="BF37" s="16"/>
      <c r="BG37" s="16"/>
      <c r="BH37" s="16"/>
      <c r="BI37" s="16"/>
      <c r="BJ37" s="16"/>
      <c r="BK37" s="16"/>
      <c r="BL37" s="16"/>
      <c r="BM37" s="16"/>
      <c r="BN37" s="16"/>
      <c r="BO37" s="16"/>
      <c r="BP37" s="16"/>
      <c r="BQ37" s="16"/>
      <c r="BR37" s="16"/>
      <c r="BS37" s="16"/>
      <c r="BT37" s="16"/>
      <c r="BU37" s="16"/>
      <c r="BV37" s="16"/>
      <c r="BW37" s="16"/>
    </row>
    <row r="38" spans="1:75" ht="18" hidden="1" customHeight="1" outlineLevel="1">
      <c r="D38" s="7" t="s">
        <v>13</v>
      </c>
      <c r="F38" s="8">
        <v>7988</v>
      </c>
      <c r="G38" s="8" t="s">
        <v>2</v>
      </c>
      <c r="H38" s="8" t="s">
        <v>17</v>
      </c>
      <c r="I38" s="8">
        <v>171</v>
      </c>
      <c r="K38" s="8">
        <v>2400</v>
      </c>
      <c r="L38" s="8">
        <f t="shared" si="25"/>
        <v>28800</v>
      </c>
      <c r="M38" s="8">
        <f t="shared" si="26"/>
        <v>32543.999999999996</v>
      </c>
      <c r="N38" s="8">
        <v>21014</v>
      </c>
      <c r="O38" s="9">
        <f t="shared" si="27"/>
        <v>0.64571042281219282</v>
      </c>
      <c r="Q38" s="5">
        <v>2032</v>
      </c>
      <c r="R38" s="5">
        <v>7</v>
      </c>
      <c r="S38" s="14" t="s">
        <v>54</v>
      </c>
      <c r="T38" s="15">
        <f t="shared" si="22"/>
        <v>0</v>
      </c>
      <c r="U38" s="15">
        <f t="shared" si="23"/>
        <v>0</v>
      </c>
      <c r="V38" s="6"/>
      <c r="W38" s="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5">
        <f t="shared" si="24"/>
        <v>0</v>
      </c>
      <c r="BC38" s="15"/>
      <c r="BD38" s="16"/>
      <c r="BE38" s="16"/>
      <c r="BF38" s="16"/>
      <c r="BG38" s="16"/>
      <c r="BH38" s="16"/>
      <c r="BI38" s="16"/>
      <c r="BJ38" s="16"/>
      <c r="BK38" s="16"/>
      <c r="BL38" s="16"/>
      <c r="BM38" s="16"/>
      <c r="BN38" s="16"/>
      <c r="BO38" s="16"/>
      <c r="BP38" s="16"/>
      <c r="BQ38" s="16"/>
      <c r="BR38" s="16"/>
      <c r="BS38" s="16"/>
      <c r="BT38" s="16"/>
      <c r="BU38" s="16"/>
      <c r="BV38" s="16"/>
      <c r="BW38" s="16"/>
    </row>
    <row r="39" spans="1:75" ht="18" hidden="1" customHeight="1" outlineLevel="1">
      <c r="H39" s="8" t="s">
        <v>18</v>
      </c>
      <c r="I39" s="8">
        <v>122</v>
      </c>
      <c r="J39" s="9"/>
      <c r="Q39" s="5">
        <v>2032</v>
      </c>
      <c r="R39" s="5">
        <v>6</v>
      </c>
      <c r="S39" s="14" t="s">
        <v>54</v>
      </c>
      <c r="T39" s="15">
        <f t="shared" si="22"/>
        <v>0</v>
      </c>
      <c r="U39" s="15">
        <f t="shared" si="23"/>
        <v>0</v>
      </c>
      <c r="V39" s="6"/>
      <c r="W39" s="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5">
        <f t="shared" si="24"/>
        <v>0</v>
      </c>
      <c r="BC39" s="15"/>
      <c r="BD39" s="16"/>
      <c r="BE39" s="16"/>
      <c r="BF39" s="16"/>
      <c r="BG39" s="16"/>
      <c r="BH39" s="16"/>
      <c r="BI39" s="16"/>
      <c r="BJ39" s="16"/>
      <c r="BK39" s="16"/>
      <c r="BL39" s="16"/>
      <c r="BM39" s="16"/>
      <c r="BN39" s="16"/>
      <c r="BO39" s="16"/>
      <c r="BP39" s="16"/>
      <c r="BQ39" s="16"/>
      <c r="BR39" s="16"/>
      <c r="BS39" s="16"/>
      <c r="BT39" s="16"/>
      <c r="BU39" s="16"/>
      <c r="BV39" s="16"/>
      <c r="BW39" s="16"/>
    </row>
    <row r="40" spans="1:75" ht="18" hidden="1" customHeight="1" outlineLevel="1">
      <c r="J40" s="9"/>
      <c r="Q40" s="5">
        <v>2032</v>
      </c>
      <c r="R40" s="5">
        <v>5</v>
      </c>
      <c r="S40" s="14" t="s">
        <v>54</v>
      </c>
      <c r="T40" s="15">
        <f t="shared" si="22"/>
        <v>0</v>
      </c>
      <c r="U40" s="15">
        <f t="shared" si="23"/>
        <v>0</v>
      </c>
      <c r="V40" s="6"/>
      <c r="W40" s="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5">
        <f t="shared" si="24"/>
        <v>0</v>
      </c>
      <c r="BC40" s="15"/>
      <c r="BD40" s="16"/>
      <c r="BE40" s="16"/>
      <c r="BF40" s="16"/>
      <c r="BG40" s="16"/>
      <c r="BH40" s="16"/>
      <c r="BI40" s="16"/>
      <c r="BJ40" s="16"/>
      <c r="BK40" s="16"/>
      <c r="BL40" s="16"/>
      <c r="BM40" s="16"/>
      <c r="BN40" s="16"/>
      <c r="BO40" s="16"/>
      <c r="BP40" s="16"/>
      <c r="BQ40" s="16"/>
      <c r="BR40" s="16"/>
      <c r="BS40" s="16"/>
      <c r="BT40" s="16"/>
      <c r="BU40" s="16"/>
      <c r="BV40" s="16"/>
      <c r="BW40" s="16"/>
    </row>
    <row r="41" spans="1:75" ht="18" hidden="1" customHeight="1" outlineLevel="1">
      <c r="B41" s="7">
        <v>2021</v>
      </c>
      <c r="C41" s="8" t="s">
        <v>12</v>
      </c>
      <c r="E41" s="8">
        <v>6867</v>
      </c>
      <c r="J41" s="9"/>
      <c r="Q41" s="5">
        <v>2032</v>
      </c>
      <c r="R41" s="5">
        <v>4</v>
      </c>
      <c r="S41" s="14" t="s">
        <v>54</v>
      </c>
      <c r="T41" s="15">
        <f t="shared" si="22"/>
        <v>0</v>
      </c>
      <c r="U41" s="15">
        <f t="shared" si="23"/>
        <v>0</v>
      </c>
      <c r="V41" s="6"/>
      <c r="W41" s="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5">
        <f t="shared" si="24"/>
        <v>0</v>
      </c>
      <c r="BC41" s="15"/>
      <c r="BD41" s="16"/>
      <c r="BE41" s="16"/>
      <c r="BF41" s="16"/>
      <c r="BG41" s="16"/>
      <c r="BH41" s="16"/>
      <c r="BI41" s="16"/>
      <c r="BJ41" s="16"/>
      <c r="BK41" s="16"/>
      <c r="BL41" s="16"/>
      <c r="BM41" s="16"/>
      <c r="BN41" s="16"/>
      <c r="BO41" s="16"/>
      <c r="BP41" s="16"/>
      <c r="BQ41" s="16"/>
      <c r="BR41" s="16"/>
      <c r="BS41" s="16"/>
      <c r="BT41" s="16"/>
      <c r="BU41" s="16"/>
      <c r="BV41" s="16"/>
      <c r="BW41" s="16"/>
    </row>
    <row r="42" spans="1:75" ht="18" hidden="1" customHeight="1" outlineLevel="1">
      <c r="B42" s="7">
        <v>2021</v>
      </c>
      <c r="C42" s="8" t="s">
        <v>12</v>
      </c>
      <c r="E42" s="8">
        <v>6867</v>
      </c>
      <c r="J42" s="9"/>
      <c r="Q42" s="5">
        <v>2032</v>
      </c>
      <c r="R42" s="5">
        <v>4</v>
      </c>
      <c r="S42" s="14" t="s">
        <v>28</v>
      </c>
      <c r="T42" s="15">
        <f t="shared" si="22"/>
        <v>0</v>
      </c>
      <c r="U42" s="15">
        <f t="shared" si="23"/>
        <v>0</v>
      </c>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5">
        <f t="shared" si="24"/>
        <v>0</v>
      </c>
      <c r="BC42" s="15"/>
      <c r="BD42" s="16"/>
      <c r="BE42" s="16"/>
      <c r="BF42" s="16"/>
      <c r="BG42" s="16"/>
      <c r="BH42" s="16"/>
      <c r="BI42" s="16"/>
      <c r="BJ42" s="16"/>
      <c r="BK42" s="16"/>
      <c r="BL42" s="16"/>
      <c r="BM42" s="16"/>
      <c r="BN42" s="16"/>
      <c r="BO42" s="16"/>
      <c r="BP42" s="16"/>
      <c r="BQ42" s="16"/>
      <c r="BR42" s="16"/>
      <c r="BS42" s="16"/>
      <c r="BT42" s="16"/>
      <c r="BU42" s="16"/>
      <c r="BV42" s="16"/>
      <c r="BW42" s="16"/>
    </row>
    <row r="43" spans="1:75" ht="18" hidden="1" customHeight="1" outlineLevel="1">
      <c r="B43" s="7">
        <v>2022</v>
      </c>
      <c r="C43" s="8" t="s">
        <v>12</v>
      </c>
      <c r="E43" s="8">
        <v>6867</v>
      </c>
      <c r="J43" s="9"/>
      <c r="Q43" s="5">
        <v>2032</v>
      </c>
      <c r="R43" s="5">
        <v>3</v>
      </c>
      <c r="S43" s="14" t="s">
        <v>54</v>
      </c>
      <c r="T43" s="15">
        <f t="shared" si="22"/>
        <v>0</v>
      </c>
      <c r="U43" s="15">
        <f t="shared" si="23"/>
        <v>0</v>
      </c>
      <c r="V43" s="6"/>
      <c r="W43" s="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5">
        <f t="shared" si="24"/>
        <v>0</v>
      </c>
      <c r="BC43" s="15"/>
      <c r="BD43" s="16"/>
      <c r="BE43" s="16"/>
      <c r="BF43" s="16"/>
      <c r="BG43" s="16"/>
      <c r="BH43" s="16"/>
      <c r="BI43" s="16"/>
      <c r="BJ43" s="16"/>
      <c r="BK43" s="16"/>
      <c r="BL43" s="16"/>
      <c r="BM43" s="16"/>
      <c r="BN43" s="16"/>
      <c r="BO43" s="16"/>
      <c r="BP43" s="16"/>
      <c r="BQ43" s="16"/>
      <c r="BR43" s="16"/>
      <c r="BS43" s="16"/>
      <c r="BT43" s="16"/>
      <c r="BU43" s="16"/>
      <c r="BV43" s="16"/>
      <c r="BW43" s="16"/>
    </row>
    <row r="44" spans="1:75" ht="18" hidden="1" customHeight="1" outlineLevel="1">
      <c r="B44" s="7">
        <v>2023</v>
      </c>
      <c r="C44" s="8" t="s">
        <v>12</v>
      </c>
      <c r="E44" s="8">
        <v>6867</v>
      </c>
      <c r="J44" s="9"/>
      <c r="Q44" s="5">
        <v>2032</v>
      </c>
      <c r="R44" s="5">
        <v>2</v>
      </c>
      <c r="S44" s="14" t="s">
        <v>54</v>
      </c>
      <c r="T44" s="15">
        <f t="shared" si="22"/>
        <v>0</v>
      </c>
      <c r="U44" s="15">
        <f t="shared" si="23"/>
        <v>0</v>
      </c>
      <c r="V44" s="6"/>
      <c r="W44" s="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5">
        <f t="shared" si="24"/>
        <v>0</v>
      </c>
      <c r="BC44" s="15"/>
      <c r="BD44" s="16"/>
      <c r="BE44" s="16"/>
      <c r="BF44" s="16"/>
      <c r="BG44" s="16"/>
      <c r="BH44" s="16"/>
      <c r="BI44" s="16"/>
      <c r="BJ44" s="16"/>
      <c r="BK44" s="16"/>
      <c r="BL44" s="16"/>
      <c r="BM44" s="16"/>
      <c r="BN44" s="16"/>
      <c r="BO44" s="16"/>
      <c r="BP44" s="16"/>
      <c r="BQ44" s="16"/>
      <c r="BR44" s="16"/>
      <c r="BS44" s="16"/>
      <c r="BT44" s="16"/>
      <c r="BU44" s="16"/>
      <c r="BV44" s="16"/>
      <c r="BW44" s="16"/>
    </row>
    <row r="45" spans="1:75" ht="18" hidden="1" customHeight="1" outlineLevel="1">
      <c r="B45" s="7">
        <v>2024</v>
      </c>
      <c r="C45" s="8" t="s">
        <v>12</v>
      </c>
      <c r="E45" s="8">
        <v>6867</v>
      </c>
      <c r="J45" s="9"/>
      <c r="Q45" s="5">
        <v>2032</v>
      </c>
      <c r="R45" s="5">
        <v>1</v>
      </c>
      <c r="S45" s="14" t="s">
        <v>54</v>
      </c>
      <c r="T45" s="15">
        <f t="shared" si="22"/>
        <v>0</v>
      </c>
      <c r="U45" s="15">
        <f t="shared" si="23"/>
        <v>0</v>
      </c>
      <c r="V45" s="6"/>
      <c r="W45" s="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5">
        <f t="shared" si="24"/>
        <v>0</v>
      </c>
      <c r="BC45" s="15"/>
      <c r="BD45" s="16"/>
      <c r="BE45" s="16"/>
      <c r="BF45" s="16"/>
      <c r="BG45" s="16"/>
      <c r="BH45" s="16"/>
      <c r="BI45" s="16"/>
      <c r="BJ45" s="16"/>
      <c r="BK45" s="16"/>
      <c r="BL45" s="16"/>
      <c r="BM45" s="16"/>
      <c r="BN45" s="16"/>
      <c r="BO45" s="16"/>
      <c r="BP45" s="16"/>
      <c r="BQ45" s="16"/>
      <c r="BR45" s="16"/>
      <c r="BS45" s="16"/>
      <c r="BT45" s="16"/>
      <c r="BU45" s="16"/>
      <c r="BV45" s="16"/>
      <c r="BW45" s="16"/>
    </row>
    <row r="46" spans="1:75" s="1" customFormat="1" ht="18" customHeight="1" collapsed="1">
      <c r="A46" s="10"/>
      <c r="B46" s="11"/>
      <c r="C46" s="12"/>
      <c r="D46" s="11"/>
      <c r="E46" s="12"/>
      <c r="F46" s="12"/>
      <c r="G46" s="12"/>
      <c r="H46" s="12"/>
      <c r="I46" s="12"/>
      <c r="J46" s="3"/>
      <c r="K46" s="12"/>
      <c r="L46" s="12"/>
      <c r="M46" s="12"/>
      <c r="N46" s="12"/>
      <c r="O46" s="13"/>
      <c r="Q46" s="667" t="s">
        <v>1991</v>
      </c>
      <c r="R46" s="667"/>
      <c r="S46" s="667"/>
      <c r="T46" s="23">
        <f t="shared" ref="T46:AZ46" si="28">SUMIF($Q$2:$Q$793,$Q47,T$2:T$793)</f>
        <v>0</v>
      </c>
      <c r="U46" s="23">
        <f t="shared" si="28"/>
        <v>178772428</v>
      </c>
      <c r="V46" s="23">
        <f t="shared" si="28"/>
        <v>92664000</v>
      </c>
      <c r="W46" s="23">
        <f t="shared" si="28"/>
        <v>34580220</v>
      </c>
      <c r="X46" s="23">
        <f t="shared" si="28"/>
        <v>7053588</v>
      </c>
      <c r="Y46" s="23">
        <f t="shared" si="28"/>
        <v>9600000</v>
      </c>
      <c r="Z46" s="23">
        <f t="shared" si="28"/>
        <v>0</v>
      </c>
      <c r="AA46" s="23">
        <f t="shared" si="28"/>
        <v>0</v>
      </c>
      <c r="AB46" s="23">
        <f t="shared" si="28"/>
        <v>0</v>
      </c>
      <c r="AC46" s="23">
        <f t="shared" si="28"/>
        <v>1796340</v>
      </c>
      <c r="AD46" s="23">
        <f t="shared" si="28"/>
        <v>18278280</v>
      </c>
      <c r="AE46" s="23">
        <f t="shared" si="28"/>
        <v>1500000</v>
      </c>
      <c r="AF46" s="23">
        <f t="shared" si="28"/>
        <v>4200000</v>
      </c>
      <c r="AG46" s="23">
        <f t="shared" si="28"/>
        <v>1200000</v>
      </c>
      <c r="AH46" s="23">
        <f t="shared" si="28"/>
        <v>1200000</v>
      </c>
      <c r="AI46" s="23">
        <f t="shared" si="28"/>
        <v>3000000</v>
      </c>
      <c r="AJ46" s="23">
        <f t="shared" si="28"/>
        <v>400000</v>
      </c>
      <c r="AK46" s="23">
        <f t="shared" si="28"/>
        <v>300000</v>
      </c>
      <c r="AL46" s="23">
        <f t="shared" si="28"/>
        <v>0</v>
      </c>
      <c r="AM46" s="23">
        <f t="shared" si="28"/>
        <v>1800000</v>
      </c>
      <c r="AN46" s="23">
        <f t="shared" si="28"/>
        <v>1200000</v>
      </c>
      <c r="AO46" s="23">
        <f t="shared" si="28"/>
        <v>0</v>
      </c>
      <c r="AP46" s="23">
        <f t="shared" si="28"/>
        <v>0</v>
      </c>
      <c r="AQ46" s="23">
        <f t="shared" si="28"/>
        <v>0</v>
      </c>
      <c r="AR46" s="23">
        <f t="shared" si="28"/>
        <v>0</v>
      </c>
      <c r="AS46" s="23">
        <f t="shared" si="28"/>
        <v>0</v>
      </c>
      <c r="AT46" s="23">
        <f t="shared" si="28"/>
        <v>0</v>
      </c>
      <c r="AU46" s="23">
        <f t="shared" si="28"/>
        <v>0</v>
      </c>
      <c r="AV46" s="23">
        <f t="shared" si="28"/>
        <v>0</v>
      </c>
      <c r="AW46" s="23">
        <f t="shared" si="28"/>
        <v>0</v>
      </c>
      <c r="AX46" s="23">
        <f t="shared" si="28"/>
        <v>0</v>
      </c>
      <c r="AY46" s="23">
        <f t="shared" si="28"/>
        <v>0</v>
      </c>
      <c r="AZ46" s="23">
        <f t="shared" si="28"/>
        <v>0</v>
      </c>
      <c r="BA46" s="23"/>
      <c r="BB46" s="23">
        <f t="shared" ref="BB46:BW46" si="29">SUMIF($Q$2:$Q$793,$Q47,BB$2:BB$793)</f>
        <v>0</v>
      </c>
      <c r="BC46" s="23">
        <f t="shared" si="29"/>
        <v>0</v>
      </c>
      <c r="BD46" s="23">
        <f t="shared" si="29"/>
        <v>0</v>
      </c>
      <c r="BE46" s="23">
        <f t="shared" si="29"/>
        <v>0</v>
      </c>
      <c r="BF46" s="23">
        <f t="shared" si="29"/>
        <v>0</v>
      </c>
      <c r="BG46" s="23">
        <f t="shared" si="29"/>
        <v>0</v>
      </c>
      <c r="BH46" s="23">
        <f t="shared" si="29"/>
        <v>0</v>
      </c>
      <c r="BI46" s="23">
        <f t="shared" si="29"/>
        <v>0</v>
      </c>
      <c r="BJ46" s="23">
        <f t="shared" si="29"/>
        <v>0</v>
      </c>
      <c r="BK46" s="23">
        <f t="shared" si="29"/>
        <v>0</v>
      </c>
      <c r="BL46" s="23">
        <f t="shared" si="29"/>
        <v>0</v>
      </c>
      <c r="BM46" s="23">
        <f t="shared" si="29"/>
        <v>0</v>
      </c>
      <c r="BN46" s="23">
        <f t="shared" si="29"/>
        <v>0</v>
      </c>
      <c r="BO46" s="23">
        <f t="shared" si="29"/>
        <v>0</v>
      </c>
      <c r="BP46" s="23">
        <f t="shared" si="29"/>
        <v>0</v>
      </c>
      <c r="BQ46" s="23">
        <f t="shared" si="29"/>
        <v>0</v>
      </c>
      <c r="BR46" s="23">
        <f t="shared" si="29"/>
        <v>0</v>
      </c>
      <c r="BS46" s="23">
        <f t="shared" si="29"/>
        <v>0</v>
      </c>
      <c r="BT46" s="23">
        <f t="shared" si="29"/>
        <v>0</v>
      </c>
      <c r="BU46" s="23">
        <f t="shared" si="29"/>
        <v>0</v>
      </c>
      <c r="BV46" s="23">
        <f t="shared" si="29"/>
        <v>0</v>
      </c>
      <c r="BW46" s="23">
        <f t="shared" si="29"/>
        <v>0</v>
      </c>
    </row>
    <row r="47" spans="1:75" ht="18" hidden="1" customHeight="1" outlineLevel="1">
      <c r="D47" s="7" t="s">
        <v>11</v>
      </c>
      <c r="F47" s="8">
        <v>4717</v>
      </c>
      <c r="G47" s="8">
        <v>5848</v>
      </c>
      <c r="K47" s="8">
        <v>2400</v>
      </c>
      <c r="L47" s="8">
        <f>K47*12</f>
        <v>28800</v>
      </c>
      <c r="M47" s="8">
        <f>L47*1.13</f>
        <v>32543.999999999996</v>
      </c>
      <c r="N47" s="8">
        <v>21014</v>
      </c>
      <c r="O47" s="9">
        <f>N47/M47</f>
        <v>0.64571042281219282</v>
      </c>
      <c r="Q47" s="5">
        <v>2031</v>
      </c>
      <c r="R47" s="5">
        <v>12</v>
      </c>
      <c r="S47" s="14" t="s">
        <v>54</v>
      </c>
      <c r="T47" s="15">
        <f t="shared" ref="T47:T59" si="30">IF(U47=U47-BB47,0,U47-BB47)</f>
        <v>0</v>
      </c>
      <c r="U47" s="15">
        <f t="shared" ref="U47:U59" si="31">SUM(V47:BA47)</f>
        <v>13191179</v>
      </c>
      <c r="V47" s="6">
        <v>7831000</v>
      </c>
      <c r="W47" s="6">
        <v>2922380</v>
      </c>
      <c r="X47" s="16">
        <v>587799</v>
      </c>
      <c r="Y47" s="16">
        <v>800000</v>
      </c>
      <c r="Z47" s="16">
        <v>0</v>
      </c>
      <c r="AA47" s="16">
        <v>0</v>
      </c>
      <c r="AB47" s="16">
        <v>0</v>
      </c>
      <c r="AC47" s="16">
        <v>0</v>
      </c>
      <c r="AD47" s="16">
        <v>0</v>
      </c>
      <c r="AE47" s="16">
        <v>0</v>
      </c>
      <c r="AF47" s="16">
        <v>350000</v>
      </c>
      <c r="AG47" s="16">
        <v>100000</v>
      </c>
      <c r="AH47" s="16">
        <v>100000</v>
      </c>
      <c r="AI47" s="16">
        <v>250000</v>
      </c>
      <c r="AJ47" s="16">
        <v>0</v>
      </c>
      <c r="AK47" s="16">
        <v>0</v>
      </c>
      <c r="AL47" s="16">
        <v>0</v>
      </c>
      <c r="AM47" s="16">
        <v>150000</v>
      </c>
      <c r="AN47" s="16">
        <v>100000</v>
      </c>
      <c r="AO47" s="16">
        <v>0</v>
      </c>
      <c r="AP47" s="16">
        <v>0</v>
      </c>
      <c r="AQ47" s="16">
        <v>0</v>
      </c>
      <c r="AR47" s="16">
        <v>0</v>
      </c>
      <c r="AS47" s="16">
        <v>0</v>
      </c>
      <c r="AT47" s="16">
        <v>0</v>
      </c>
      <c r="AU47" s="16">
        <v>0</v>
      </c>
      <c r="AV47" s="16">
        <v>0</v>
      </c>
      <c r="AW47" s="16">
        <v>0</v>
      </c>
      <c r="AX47" s="16">
        <v>0</v>
      </c>
      <c r="AY47" s="16">
        <v>0</v>
      </c>
      <c r="AZ47" s="16">
        <v>0</v>
      </c>
      <c r="BA47" s="16"/>
      <c r="BB47" s="15">
        <f t="shared" ref="BB47:BB59" si="32">SUM(BC47:BW47)</f>
        <v>0</v>
      </c>
      <c r="BC47" s="15"/>
      <c r="BD47" s="16"/>
      <c r="BE47" s="16"/>
      <c r="BF47" s="16"/>
      <c r="BG47" s="16"/>
      <c r="BH47" s="16"/>
      <c r="BI47" s="16"/>
      <c r="BJ47" s="16"/>
      <c r="BK47" s="16"/>
      <c r="BL47" s="16"/>
      <c r="BM47" s="16"/>
      <c r="BN47" s="16"/>
      <c r="BO47" s="16"/>
      <c r="BP47" s="16"/>
      <c r="BQ47" s="16"/>
      <c r="BR47" s="16"/>
      <c r="BS47" s="16"/>
      <c r="BT47" s="16"/>
      <c r="BU47" s="16"/>
      <c r="BV47" s="16"/>
      <c r="BW47" s="16"/>
    </row>
    <row r="48" spans="1:75" ht="18" hidden="1" customHeight="1" outlineLevel="1">
      <c r="D48" s="7" t="s">
        <v>11</v>
      </c>
      <c r="F48" s="8">
        <v>4717</v>
      </c>
      <c r="G48" s="8">
        <v>5848</v>
      </c>
      <c r="K48" s="8">
        <v>2400</v>
      </c>
      <c r="L48" s="8">
        <f>K48*12</f>
        <v>28800</v>
      </c>
      <c r="M48" s="8">
        <f>L48*1.13</f>
        <v>32543.999999999996</v>
      </c>
      <c r="N48" s="8">
        <v>21014</v>
      </c>
      <c r="O48" s="9">
        <f>N48/M48</f>
        <v>0.64571042281219282</v>
      </c>
      <c r="Q48" s="5">
        <v>2031</v>
      </c>
      <c r="R48" s="5">
        <v>11</v>
      </c>
      <c r="S48" s="14" t="s">
        <v>54</v>
      </c>
      <c r="T48" s="15">
        <f t="shared" si="30"/>
        <v>0</v>
      </c>
      <c r="U48" s="15">
        <f t="shared" si="31"/>
        <v>13191179</v>
      </c>
      <c r="V48" s="6">
        <v>7831000</v>
      </c>
      <c r="W48" s="6">
        <v>2922380</v>
      </c>
      <c r="X48" s="16">
        <v>587799</v>
      </c>
      <c r="Y48" s="16">
        <v>800000</v>
      </c>
      <c r="Z48" s="16">
        <v>0</v>
      </c>
      <c r="AA48" s="16">
        <v>0</v>
      </c>
      <c r="AB48" s="16">
        <v>0</v>
      </c>
      <c r="AC48" s="16">
        <v>0</v>
      </c>
      <c r="AD48" s="16">
        <v>0</v>
      </c>
      <c r="AE48" s="16">
        <v>0</v>
      </c>
      <c r="AF48" s="16">
        <v>350000</v>
      </c>
      <c r="AG48" s="16">
        <v>100000</v>
      </c>
      <c r="AH48" s="16">
        <v>100000</v>
      </c>
      <c r="AI48" s="16">
        <v>250000</v>
      </c>
      <c r="AJ48" s="16">
        <v>0</v>
      </c>
      <c r="AK48" s="16">
        <v>0</v>
      </c>
      <c r="AL48" s="16">
        <v>0</v>
      </c>
      <c r="AM48" s="16">
        <v>150000</v>
      </c>
      <c r="AN48" s="16">
        <v>100000</v>
      </c>
      <c r="AO48" s="16">
        <v>0</v>
      </c>
      <c r="AP48" s="16">
        <v>0</v>
      </c>
      <c r="AQ48" s="16">
        <v>0</v>
      </c>
      <c r="AR48" s="16">
        <v>0</v>
      </c>
      <c r="AS48" s="16">
        <v>0</v>
      </c>
      <c r="AT48" s="16">
        <v>0</v>
      </c>
      <c r="AU48" s="16">
        <v>0</v>
      </c>
      <c r="AV48" s="16">
        <v>0</v>
      </c>
      <c r="AW48" s="16">
        <v>0</v>
      </c>
      <c r="AX48" s="16">
        <v>0</v>
      </c>
      <c r="AY48" s="16">
        <v>0</v>
      </c>
      <c r="AZ48" s="16">
        <v>0</v>
      </c>
      <c r="BA48" s="16"/>
      <c r="BB48" s="15">
        <f t="shared" si="32"/>
        <v>0</v>
      </c>
      <c r="BC48" s="15"/>
      <c r="BD48" s="16"/>
      <c r="BE48" s="16"/>
      <c r="BF48" s="16"/>
      <c r="BG48" s="16"/>
      <c r="BH48" s="16"/>
      <c r="BI48" s="16"/>
      <c r="BJ48" s="16"/>
      <c r="BK48" s="16"/>
      <c r="BL48" s="16"/>
      <c r="BM48" s="16"/>
      <c r="BN48" s="16"/>
      <c r="BO48" s="16"/>
      <c r="BP48" s="16"/>
      <c r="BQ48" s="16"/>
      <c r="BR48" s="16"/>
      <c r="BS48" s="16"/>
      <c r="BT48" s="16"/>
      <c r="BU48" s="16"/>
      <c r="BV48" s="16"/>
      <c r="BW48" s="16"/>
    </row>
    <row r="49" spans="1:75" ht="18" hidden="1" customHeight="1" outlineLevel="1">
      <c r="D49" s="7" t="s">
        <v>11</v>
      </c>
      <c r="F49" s="8">
        <v>4717</v>
      </c>
      <c r="G49" s="8">
        <v>5848</v>
      </c>
      <c r="K49" s="8">
        <v>2400</v>
      </c>
      <c r="L49" s="8">
        <f t="shared" ref="L49:L52" si="33">K49*12</f>
        <v>28800</v>
      </c>
      <c r="M49" s="8">
        <f t="shared" ref="M49:M52" si="34">L49*1.13</f>
        <v>32543.999999999996</v>
      </c>
      <c r="N49" s="8">
        <v>21014</v>
      </c>
      <c r="O49" s="9">
        <f t="shared" ref="O49:O52" si="35">N49/M49</f>
        <v>0.64571042281219282</v>
      </c>
      <c r="Q49" s="5">
        <v>2031</v>
      </c>
      <c r="R49" s="5">
        <v>10</v>
      </c>
      <c r="S49" s="14" t="s">
        <v>54</v>
      </c>
      <c r="T49" s="15">
        <f t="shared" si="30"/>
        <v>0</v>
      </c>
      <c r="U49" s="15">
        <f t="shared" si="31"/>
        <v>13191179</v>
      </c>
      <c r="V49" s="6">
        <v>7831000</v>
      </c>
      <c r="W49" s="6">
        <v>2922380</v>
      </c>
      <c r="X49" s="16">
        <v>587799</v>
      </c>
      <c r="Y49" s="16">
        <v>800000</v>
      </c>
      <c r="Z49" s="16">
        <v>0</v>
      </c>
      <c r="AA49" s="16">
        <v>0</v>
      </c>
      <c r="AB49" s="16">
        <v>0</v>
      </c>
      <c r="AC49" s="16">
        <v>0</v>
      </c>
      <c r="AD49" s="16">
        <v>0</v>
      </c>
      <c r="AE49" s="16">
        <v>0</v>
      </c>
      <c r="AF49" s="16">
        <v>350000</v>
      </c>
      <c r="AG49" s="16">
        <v>100000</v>
      </c>
      <c r="AH49" s="16">
        <v>100000</v>
      </c>
      <c r="AI49" s="16">
        <v>250000</v>
      </c>
      <c r="AJ49" s="16">
        <v>0</v>
      </c>
      <c r="AK49" s="16">
        <v>0</v>
      </c>
      <c r="AL49" s="16">
        <v>0</v>
      </c>
      <c r="AM49" s="16">
        <v>150000</v>
      </c>
      <c r="AN49" s="16">
        <v>100000</v>
      </c>
      <c r="AO49" s="16">
        <v>0</v>
      </c>
      <c r="AP49" s="16">
        <v>0</v>
      </c>
      <c r="AQ49" s="16">
        <v>0</v>
      </c>
      <c r="AR49" s="16">
        <v>0</v>
      </c>
      <c r="AS49" s="16">
        <v>0</v>
      </c>
      <c r="AT49" s="16">
        <v>0</v>
      </c>
      <c r="AU49" s="16">
        <v>0</v>
      </c>
      <c r="AV49" s="16">
        <v>0</v>
      </c>
      <c r="AW49" s="16">
        <v>0</v>
      </c>
      <c r="AX49" s="16">
        <v>0</v>
      </c>
      <c r="AY49" s="16">
        <v>0</v>
      </c>
      <c r="AZ49" s="16">
        <v>0</v>
      </c>
      <c r="BA49" s="16"/>
      <c r="BB49" s="15">
        <f t="shared" si="32"/>
        <v>0</v>
      </c>
      <c r="BC49" s="15"/>
      <c r="BD49" s="16"/>
      <c r="BE49" s="16"/>
      <c r="BF49" s="16"/>
      <c r="BG49" s="16"/>
      <c r="BH49" s="16"/>
      <c r="BI49" s="16"/>
      <c r="BJ49" s="16"/>
      <c r="BK49" s="16"/>
      <c r="BL49" s="16"/>
      <c r="BM49" s="16"/>
      <c r="BN49" s="16"/>
      <c r="BO49" s="16"/>
      <c r="BP49" s="16"/>
      <c r="BQ49" s="16"/>
      <c r="BR49" s="16"/>
      <c r="BS49" s="16"/>
      <c r="BT49" s="16"/>
      <c r="BU49" s="16"/>
      <c r="BV49" s="16"/>
      <c r="BW49" s="16"/>
    </row>
    <row r="50" spans="1:75" ht="18" hidden="1" customHeight="1" outlineLevel="1">
      <c r="D50" s="7" t="s">
        <v>12</v>
      </c>
      <c r="F50" s="8">
        <v>6867</v>
      </c>
      <c r="G50" s="8">
        <v>6867</v>
      </c>
      <c r="K50" s="8">
        <v>2400</v>
      </c>
      <c r="L50" s="8">
        <f t="shared" si="33"/>
        <v>28800</v>
      </c>
      <c r="M50" s="8">
        <f t="shared" si="34"/>
        <v>32543.999999999996</v>
      </c>
      <c r="N50" s="8">
        <v>21014</v>
      </c>
      <c r="O50" s="9">
        <f t="shared" si="35"/>
        <v>0.64571042281219282</v>
      </c>
      <c r="Q50" s="5">
        <v>2031</v>
      </c>
      <c r="R50" s="5">
        <v>9</v>
      </c>
      <c r="S50" s="14" t="s">
        <v>54</v>
      </c>
      <c r="T50" s="15">
        <f t="shared" si="30"/>
        <v>0</v>
      </c>
      <c r="U50" s="15">
        <f t="shared" si="31"/>
        <v>13391179</v>
      </c>
      <c r="V50" s="6">
        <v>7831000</v>
      </c>
      <c r="W50" s="6">
        <v>2922380</v>
      </c>
      <c r="X50" s="16">
        <v>587799</v>
      </c>
      <c r="Y50" s="16">
        <v>800000</v>
      </c>
      <c r="Z50" s="16">
        <v>0</v>
      </c>
      <c r="AA50" s="16">
        <v>0</v>
      </c>
      <c r="AB50" s="16">
        <v>0</v>
      </c>
      <c r="AC50" s="16">
        <v>0</v>
      </c>
      <c r="AD50" s="16">
        <v>0</v>
      </c>
      <c r="AE50" s="16">
        <v>0</v>
      </c>
      <c r="AF50" s="16">
        <v>350000</v>
      </c>
      <c r="AG50" s="16">
        <v>100000</v>
      </c>
      <c r="AH50" s="16">
        <v>100000</v>
      </c>
      <c r="AI50" s="16">
        <v>250000</v>
      </c>
      <c r="AJ50" s="16">
        <v>200000</v>
      </c>
      <c r="AK50" s="16">
        <v>0</v>
      </c>
      <c r="AL50" s="16">
        <v>0</v>
      </c>
      <c r="AM50" s="16">
        <v>150000</v>
      </c>
      <c r="AN50" s="16">
        <v>100000</v>
      </c>
      <c r="AO50" s="16">
        <v>0</v>
      </c>
      <c r="AP50" s="16">
        <v>0</v>
      </c>
      <c r="AQ50" s="16">
        <v>0</v>
      </c>
      <c r="AR50" s="16">
        <v>0</v>
      </c>
      <c r="AS50" s="16">
        <v>0</v>
      </c>
      <c r="AT50" s="16">
        <v>0</v>
      </c>
      <c r="AU50" s="16">
        <v>0</v>
      </c>
      <c r="AV50" s="16">
        <v>0</v>
      </c>
      <c r="AW50" s="16">
        <v>0</v>
      </c>
      <c r="AX50" s="16">
        <v>0</v>
      </c>
      <c r="AY50" s="16">
        <v>0</v>
      </c>
      <c r="AZ50" s="16">
        <v>0</v>
      </c>
      <c r="BA50" s="16"/>
      <c r="BB50" s="15">
        <f t="shared" si="32"/>
        <v>0</v>
      </c>
      <c r="BC50" s="15"/>
      <c r="BD50" s="16"/>
      <c r="BE50" s="16"/>
      <c r="BF50" s="16"/>
      <c r="BG50" s="16"/>
      <c r="BH50" s="16"/>
      <c r="BI50" s="16"/>
      <c r="BJ50" s="16"/>
      <c r="BK50" s="16"/>
      <c r="BL50" s="16"/>
      <c r="BM50" s="16"/>
      <c r="BN50" s="16"/>
      <c r="BO50" s="16"/>
      <c r="BP50" s="16"/>
      <c r="BQ50" s="16"/>
      <c r="BR50" s="16"/>
      <c r="BS50" s="16"/>
      <c r="BT50" s="16"/>
      <c r="BU50" s="16"/>
      <c r="BV50" s="16"/>
      <c r="BW50" s="16"/>
    </row>
    <row r="51" spans="1:75" ht="18" hidden="1" customHeight="1" outlineLevel="1">
      <c r="D51" s="7" t="s">
        <v>13</v>
      </c>
      <c r="F51" s="8">
        <v>7988</v>
      </c>
      <c r="G51" s="8" t="s">
        <v>2</v>
      </c>
      <c r="H51" s="8" t="s">
        <v>17</v>
      </c>
      <c r="I51" s="8">
        <v>171</v>
      </c>
      <c r="K51" s="8">
        <v>2400</v>
      </c>
      <c r="L51" s="8">
        <f t="shared" si="33"/>
        <v>28800</v>
      </c>
      <c r="M51" s="8">
        <f t="shared" si="34"/>
        <v>32543.999999999996</v>
      </c>
      <c r="N51" s="8">
        <v>21014</v>
      </c>
      <c r="O51" s="9">
        <f t="shared" si="35"/>
        <v>0.64571042281219282</v>
      </c>
      <c r="Q51" s="5">
        <v>2031</v>
      </c>
      <c r="R51" s="5">
        <v>8</v>
      </c>
      <c r="S51" s="14" t="s">
        <v>54</v>
      </c>
      <c r="T51" s="15">
        <f t="shared" si="30"/>
        <v>0</v>
      </c>
      <c r="U51" s="15">
        <f t="shared" si="31"/>
        <v>13191179</v>
      </c>
      <c r="V51" s="6">
        <v>7831000</v>
      </c>
      <c r="W51" s="6">
        <v>2922380</v>
      </c>
      <c r="X51" s="16">
        <v>587799</v>
      </c>
      <c r="Y51" s="16">
        <v>800000</v>
      </c>
      <c r="Z51" s="16">
        <v>0</v>
      </c>
      <c r="AA51" s="16">
        <v>0</v>
      </c>
      <c r="AB51" s="16">
        <v>0</v>
      </c>
      <c r="AC51" s="16">
        <v>0</v>
      </c>
      <c r="AD51" s="16">
        <v>0</v>
      </c>
      <c r="AE51" s="16">
        <v>0</v>
      </c>
      <c r="AF51" s="16">
        <v>350000</v>
      </c>
      <c r="AG51" s="16">
        <v>100000</v>
      </c>
      <c r="AH51" s="16">
        <v>100000</v>
      </c>
      <c r="AI51" s="16">
        <v>250000</v>
      </c>
      <c r="AJ51" s="16">
        <v>0</v>
      </c>
      <c r="AK51" s="16">
        <v>0</v>
      </c>
      <c r="AL51" s="16">
        <v>0</v>
      </c>
      <c r="AM51" s="16">
        <v>150000</v>
      </c>
      <c r="AN51" s="16">
        <v>100000</v>
      </c>
      <c r="AO51" s="16">
        <v>0</v>
      </c>
      <c r="AP51" s="16">
        <v>0</v>
      </c>
      <c r="AQ51" s="16">
        <v>0</v>
      </c>
      <c r="AR51" s="16">
        <v>0</v>
      </c>
      <c r="AS51" s="16">
        <v>0</v>
      </c>
      <c r="AT51" s="16">
        <v>0</v>
      </c>
      <c r="AU51" s="16">
        <v>0</v>
      </c>
      <c r="AV51" s="16">
        <v>0</v>
      </c>
      <c r="AW51" s="16">
        <v>0</v>
      </c>
      <c r="AX51" s="16">
        <v>0</v>
      </c>
      <c r="AY51" s="16">
        <v>0</v>
      </c>
      <c r="AZ51" s="16">
        <v>0</v>
      </c>
      <c r="BA51" s="16"/>
      <c r="BB51" s="15">
        <f t="shared" si="32"/>
        <v>0</v>
      </c>
      <c r="BC51" s="15"/>
      <c r="BD51" s="16"/>
      <c r="BE51" s="16"/>
      <c r="BF51" s="16"/>
      <c r="BG51" s="16"/>
      <c r="BH51" s="16"/>
      <c r="BI51" s="16"/>
      <c r="BJ51" s="16"/>
      <c r="BK51" s="16"/>
      <c r="BL51" s="16"/>
      <c r="BM51" s="16"/>
      <c r="BN51" s="16"/>
      <c r="BO51" s="16"/>
      <c r="BP51" s="16"/>
      <c r="BQ51" s="16"/>
      <c r="BR51" s="16"/>
      <c r="BS51" s="16"/>
      <c r="BT51" s="16"/>
      <c r="BU51" s="16"/>
      <c r="BV51" s="16"/>
      <c r="BW51" s="16"/>
    </row>
    <row r="52" spans="1:75" ht="18" hidden="1" customHeight="1" outlineLevel="1">
      <c r="D52" s="7" t="s">
        <v>13</v>
      </c>
      <c r="F52" s="8">
        <v>7988</v>
      </c>
      <c r="G52" s="8" t="s">
        <v>2</v>
      </c>
      <c r="H52" s="8" t="s">
        <v>17</v>
      </c>
      <c r="I52" s="8">
        <v>171</v>
      </c>
      <c r="K52" s="8">
        <v>2400</v>
      </c>
      <c r="L52" s="8">
        <f t="shared" si="33"/>
        <v>28800</v>
      </c>
      <c r="M52" s="8">
        <f t="shared" si="34"/>
        <v>32543.999999999996</v>
      </c>
      <c r="N52" s="8">
        <v>21014</v>
      </c>
      <c r="O52" s="9">
        <f t="shared" si="35"/>
        <v>0.64571042281219282</v>
      </c>
      <c r="Q52" s="5">
        <v>2031</v>
      </c>
      <c r="R52" s="5">
        <v>7</v>
      </c>
      <c r="S52" s="14" t="s">
        <v>54</v>
      </c>
      <c r="T52" s="15">
        <f t="shared" si="30"/>
        <v>0</v>
      </c>
      <c r="U52" s="15">
        <f t="shared" si="31"/>
        <v>13491179</v>
      </c>
      <c r="V52" s="6">
        <v>7831000</v>
      </c>
      <c r="W52" s="6">
        <v>2922380</v>
      </c>
      <c r="X52" s="16">
        <v>587799</v>
      </c>
      <c r="Y52" s="16">
        <v>800000</v>
      </c>
      <c r="Z52" s="16">
        <v>0</v>
      </c>
      <c r="AA52" s="16">
        <v>0</v>
      </c>
      <c r="AB52" s="16">
        <v>0</v>
      </c>
      <c r="AC52" s="16">
        <v>0</v>
      </c>
      <c r="AD52" s="16">
        <v>0</v>
      </c>
      <c r="AE52" s="16">
        <v>0</v>
      </c>
      <c r="AF52" s="16">
        <v>350000</v>
      </c>
      <c r="AG52" s="16">
        <v>100000</v>
      </c>
      <c r="AH52" s="16">
        <v>100000</v>
      </c>
      <c r="AI52" s="16">
        <v>250000</v>
      </c>
      <c r="AJ52" s="16">
        <v>0</v>
      </c>
      <c r="AK52" s="16">
        <v>300000</v>
      </c>
      <c r="AL52" s="16">
        <v>0</v>
      </c>
      <c r="AM52" s="16">
        <v>150000</v>
      </c>
      <c r="AN52" s="16">
        <v>100000</v>
      </c>
      <c r="AO52" s="16">
        <v>0</v>
      </c>
      <c r="AP52" s="16">
        <v>0</v>
      </c>
      <c r="AQ52" s="16">
        <v>0</v>
      </c>
      <c r="AR52" s="16">
        <v>0</v>
      </c>
      <c r="AS52" s="16">
        <v>0</v>
      </c>
      <c r="AT52" s="16">
        <v>0</v>
      </c>
      <c r="AU52" s="16">
        <v>0</v>
      </c>
      <c r="AV52" s="16">
        <v>0</v>
      </c>
      <c r="AW52" s="16">
        <v>0</v>
      </c>
      <c r="AX52" s="16">
        <v>0</v>
      </c>
      <c r="AY52" s="16">
        <v>0</v>
      </c>
      <c r="AZ52" s="16">
        <v>0</v>
      </c>
      <c r="BA52" s="16"/>
      <c r="BB52" s="15">
        <f t="shared" si="32"/>
        <v>0</v>
      </c>
      <c r="BC52" s="15"/>
      <c r="BD52" s="16"/>
      <c r="BE52" s="16"/>
      <c r="BF52" s="16"/>
      <c r="BG52" s="16"/>
      <c r="BH52" s="16"/>
      <c r="BI52" s="16"/>
      <c r="BJ52" s="16"/>
      <c r="BK52" s="16"/>
      <c r="BL52" s="16"/>
      <c r="BM52" s="16"/>
      <c r="BN52" s="16"/>
      <c r="BO52" s="16"/>
      <c r="BP52" s="16"/>
      <c r="BQ52" s="16"/>
      <c r="BR52" s="16"/>
      <c r="BS52" s="16"/>
      <c r="BT52" s="16"/>
      <c r="BU52" s="16"/>
      <c r="BV52" s="16"/>
      <c r="BW52" s="16"/>
    </row>
    <row r="53" spans="1:75" ht="18" hidden="1" customHeight="1" outlineLevel="1">
      <c r="H53" s="8" t="s">
        <v>18</v>
      </c>
      <c r="I53" s="8">
        <v>122</v>
      </c>
      <c r="J53" s="9"/>
      <c r="Q53" s="5">
        <v>2031</v>
      </c>
      <c r="R53" s="5">
        <v>6</v>
      </c>
      <c r="S53" s="14" t="s">
        <v>54</v>
      </c>
      <c r="T53" s="15">
        <f t="shared" si="30"/>
        <v>0</v>
      </c>
      <c r="U53" s="15">
        <f t="shared" si="31"/>
        <v>13191179</v>
      </c>
      <c r="V53" s="6">
        <v>7831000</v>
      </c>
      <c r="W53" s="6">
        <v>2922380</v>
      </c>
      <c r="X53" s="16">
        <v>587799</v>
      </c>
      <c r="Y53" s="16">
        <v>800000</v>
      </c>
      <c r="Z53" s="16">
        <v>0</v>
      </c>
      <c r="AA53" s="16">
        <v>0</v>
      </c>
      <c r="AB53" s="16">
        <v>0</v>
      </c>
      <c r="AC53" s="16">
        <v>0</v>
      </c>
      <c r="AD53" s="16">
        <v>0</v>
      </c>
      <c r="AE53" s="16">
        <v>0</v>
      </c>
      <c r="AF53" s="16">
        <v>350000</v>
      </c>
      <c r="AG53" s="16">
        <v>100000</v>
      </c>
      <c r="AH53" s="16">
        <v>100000</v>
      </c>
      <c r="AI53" s="16">
        <v>250000</v>
      </c>
      <c r="AJ53" s="16">
        <v>0</v>
      </c>
      <c r="AK53" s="16">
        <v>0</v>
      </c>
      <c r="AL53" s="16">
        <v>0</v>
      </c>
      <c r="AM53" s="16">
        <v>150000</v>
      </c>
      <c r="AN53" s="16">
        <v>100000</v>
      </c>
      <c r="AO53" s="16">
        <v>0</v>
      </c>
      <c r="AP53" s="16">
        <v>0</v>
      </c>
      <c r="AQ53" s="16">
        <v>0</v>
      </c>
      <c r="AR53" s="16">
        <v>0</v>
      </c>
      <c r="AS53" s="16">
        <v>0</v>
      </c>
      <c r="AT53" s="16">
        <v>0</v>
      </c>
      <c r="AU53" s="16">
        <v>0</v>
      </c>
      <c r="AV53" s="16">
        <v>0</v>
      </c>
      <c r="AW53" s="16">
        <v>0</v>
      </c>
      <c r="AX53" s="16">
        <v>0</v>
      </c>
      <c r="AY53" s="16">
        <v>0</v>
      </c>
      <c r="AZ53" s="16">
        <v>0</v>
      </c>
      <c r="BA53" s="16"/>
      <c r="BB53" s="15">
        <f t="shared" si="32"/>
        <v>0</v>
      </c>
      <c r="BC53" s="15"/>
      <c r="BD53" s="16"/>
      <c r="BE53" s="16"/>
      <c r="BF53" s="16"/>
      <c r="BG53" s="16"/>
      <c r="BH53" s="16"/>
      <c r="BI53" s="16"/>
      <c r="BJ53" s="16"/>
      <c r="BK53" s="16"/>
      <c r="BL53" s="16"/>
      <c r="BM53" s="16"/>
      <c r="BN53" s="16"/>
      <c r="BO53" s="16"/>
      <c r="BP53" s="16"/>
      <c r="BQ53" s="16"/>
      <c r="BR53" s="16"/>
      <c r="BS53" s="16"/>
      <c r="BT53" s="16"/>
      <c r="BU53" s="16"/>
      <c r="BV53" s="16"/>
      <c r="BW53" s="16"/>
    </row>
    <row r="54" spans="1:75" ht="18" hidden="1" customHeight="1" outlineLevel="1">
      <c r="J54" s="9"/>
      <c r="Q54" s="5">
        <v>2031</v>
      </c>
      <c r="R54" s="5">
        <v>5</v>
      </c>
      <c r="S54" s="14" t="s">
        <v>54</v>
      </c>
      <c r="T54" s="15">
        <f t="shared" si="30"/>
        <v>0</v>
      </c>
      <c r="U54" s="15">
        <f t="shared" si="31"/>
        <v>13391179</v>
      </c>
      <c r="V54" s="6">
        <v>7831000</v>
      </c>
      <c r="W54" s="6">
        <v>2922380</v>
      </c>
      <c r="X54" s="16">
        <v>587799</v>
      </c>
      <c r="Y54" s="16">
        <v>800000</v>
      </c>
      <c r="Z54" s="16">
        <v>0</v>
      </c>
      <c r="AA54" s="16">
        <v>0</v>
      </c>
      <c r="AB54" s="16">
        <v>0</v>
      </c>
      <c r="AC54" s="16">
        <v>0</v>
      </c>
      <c r="AD54" s="16">
        <v>0</v>
      </c>
      <c r="AE54" s="16">
        <v>0</v>
      </c>
      <c r="AF54" s="16">
        <v>350000</v>
      </c>
      <c r="AG54" s="16">
        <v>100000</v>
      </c>
      <c r="AH54" s="16">
        <v>100000</v>
      </c>
      <c r="AI54" s="16">
        <v>250000</v>
      </c>
      <c r="AJ54" s="16">
        <v>200000</v>
      </c>
      <c r="AK54" s="16">
        <v>0</v>
      </c>
      <c r="AL54" s="16">
        <v>0</v>
      </c>
      <c r="AM54" s="16">
        <v>150000</v>
      </c>
      <c r="AN54" s="16">
        <v>100000</v>
      </c>
      <c r="AO54" s="16">
        <v>0</v>
      </c>
      <c r="AP54" s="16">
        <v>0</v>
      </c>
      <c r="AQ54" s="16">
        <v>0</v>
      </c>
      <c r="AR54" s="16">
        <v>0</v>
      </c>
      <c r="AS54" s="16">
        <v>0</v>
      </c>
      <c r="AT54" s="16">
        <v>0</v>
      </c>
      <c r="AU54" s="16">
        <v>0</v>
      </c>
      <c r="AV54" s="16">
        <v>0</v>
      </c>
      <c r="AW54" s="16">
        <v>0</v>
      </c>
      <c r="AX54" s="16">
        <v>0</v>
      </c>
      <c r="AY54" s="16">
        <v>0</v>
      </c>
      <c r="AZ54" s="16">
        <v>0</v>
      </c>
      <c r="BA54" s="16"/>
      <c r="BB54" s="15">
        <f t="shared" si="32"/>
        <v>0</v>
      </c>
      <c r="BC54" s="15"/>
      <c r="BD54" s="16"/>
      <c r="BE54" s="16"/>
      <c r="BF54" s="16"/>
      <c r="BG54" s="16"/>
      <c r="BH54" s="16"/>
      <c r="BI54" s="16"/>
      <c r="BJ54" s="16"/>
      <c r="BK54" s="16"/>
      <c r="BL54" s="16"/>
      <c r="BM54" s="16"/>
      <c r="BN54" s="16"/>
      <c r="BO54" s="16"/>
      <c r="BP54" s="16"/>
      <c r="BQ54" s="16"/>
      <c r="BR54" s="16"/>
      <c r="BS54" s="16"/>
      <c r="BT54" s="16"/>
      <c r="BU54" s="16"/>
      <c r="BV54" s="16"/>
      <c r="BW54" s="16"/>
    </row>
    <row r="55" spans="1:75" ht="18" hidden="1" customHeight="1" outlineLevel="1">
      <c r="B55" s="7">
        <v>2021</v>
      </c>
      <c r="C55" s="8" t="s">
        <v>12</v>
      </c>
      <c r="E55" s="8">
        <v>6867</v>
      </c>
      <c r="J55" s="9"/>
      <c r="Q55" s="5">
        <v>2031</v>
      </c>
      <c r="R55" s="5">
        <v>4</v>
      </c>
      <c r="S55" s="14" t="s">
        <v>54</v>
      </c>
      <c r="T55" s="15">
        <f t="shared" si="30"/>
        <v>0</v>
      </c>
      <c r="U55" s="15">
        <f t="shared" si="31"/>
        <v>14987519</v>
      </c>
      <c r="V55" s="6">
        <v>7831000</v>
      </c>
      <c r="W55" s="6">
        <v>2922380</v>
      </c>
      <c r="X55" s="16">
        <v>587799</v>
      </c>
      <c r="Y55" s="16">
        <v>800000</v>
      </c>
      <c r="Z55" s="16">
        <v>0</v>
      </c>
      <c r="AA55" s="16">
        <v>0</v>
      </c>
      <c r="AB55" s="16">
        <v>0</v>
      </c>
      <c r="AC55" s="16">
        <f>3*(SUM(V55:W55)-SUM(V57:W57))</f>
        <v>1796340</v>
      </c>
      <c r="AD55" s="16">
        <v>0</v>
      </c>
      <c r="AE55" s="16">
        <v>0</v>
      </c>
      <c r="AF55" s="16">
        <v>350000</v>
      </c>
      <c r="AG55" s="16">
        <v>100000</v>
      </c>
      <c r="AH55" s="16">
        <v>100000</v>
      </c>
      <c r="AI55" s="16">
        <v>250000</v>
      </c>
      <c r="AJ55" s="16">
        <v>0</v>
      </c>
      <c r="AK55" s="16">
        <v>0</v>
      </c>
      <c r="AL55" s="16">
        <v>0</v>
      </c>
      <c r="AM55" s="16">
        <v>150000</v>
      </c>
      <c r="AN55" s="16">
        <v>100000</v>
      </c>
      <c r="AO55" s="16">
        <v>0</v>
      </c>
      <c r="AP55" s="16">
        <v>0</v>
      </c>
      <c r="AQ55" s="16">
        <v>0</v>
      </c>
      <c r="AR55" s="16">
        <v>0</v>
      </c>
      <c r="AS55" s="16">
        <v>0</v>
      </c>
      <c r="AT55" s="16">
        <v>0</v>
      </c>
      <c r="AU55" s="16">
        <v>0</v>
      </c>
      <c r="AV55" s="16">
        <v>0</v>
      </c>
      <c r="AW55" s="16">
        <v>0</v>
      </c>
      <c r="AX55" s="16">
        <v>0</v>
      </c>
      <c r="AY55" s="16">
        <v>0</v>
      </c>
      <c r="AZ55" s="16">
        <v>0</v>
      </c>
      <c r="BA55" s="16"/>
      <c r="BB55" s="15">
        <f t="shared" si="32"/>
        <v>0</v>
      </c>
      <c r="BC55" s="15"/>
      <c r="BD55" s="16"/>
      <c r="BE55" s="16"/>
      <c r="BF55" s="16"/>
      <c r="BG55" s="16"/>
      <c r="BH55" s="16"/>
      <c r="BI55" s="16"/>
      <c r="BJ55" s="16"/>
      <c r="BK55" s="16"/>
      <c r="BL55" s="16"/>
      <c r="BM55" s="16"/>
      <c r="BN55" s="16"/>
      <c r="BO55" s="16"/>
      <c r="BP55" s="16"/>
      <c r="BQ55" s="16"/>
      <c r="BR55" s="16"/>
      <c r="BS55" s="16"/>
      <c r="BT55" s="16"/>
      <c r="BU55" s="16"/>
      <c r="BV55" s="16"/>
      <c r="BW55" s="16"/>
    </row>
    <row r="56" spans="1:75" ht="18" hidden="1" customHeight="1" outlineLevel="1">
      <c r="B56" s="7">
        <v>2021</v>
      </c>
      <c r="C56" s="8" t="s">
        <v>12</v>
      </c>
      <c r="E56" s="8">
        <v>6867</v>
      </c>
      <c r="J56" s="9"/>
      <c r="Q56" s="5">
        <v>2031</v>
      </c>
      <c r="R56" s="5">
        <v>4</v>
      </c>
      <c r="S56" s="14" t="s">
        <v>28</v>
      </c>
      <c r="T56" s="15">
        <f t="shared" si="30"/>
        <v>0</v>
      </c>
      <c r="U56" s="15">
        <f t="shared" si="31"/>
        <v>19778280</v>
      </c>
      <c r="V56" s="16">
        <v>0</v>
      </c>
      <c r="W56" s="16">
        <v>0</v>
      </c>
      <c r="X56" s="16">
        <v>0</v>
      </c>
      <c r="Y56" s="16">
        <v>0</v>
      </c>
      <c r="Z56" s="16">
        <v>0</v>
      </c>
      <c r="AA56" s="16">
        <v>0</v>
      </c>
      <c r="AB56" s="16">
        <v>0</v>
      </c>
      <c r="AC56" s="16">
        <v>0</v>
      </c>
      <c r="AD56" s="16">
        <f>12*(V57+W57)*0.15</f>
        <v>18278280</v>
      </c>
      <c r="AE56" s="16">
        <v>1500000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c r="BB56" s="15">
        <f t="shared" si="32"/>
        <v>0</v>
      </c>
      <c r="BC56" s="15"/>
      <c r="BD56" s="16"/>
      <c r="BE56" s="16"/>
      <c r="BF56" s="16"/>
      <c r="BG56" s="16"/>
      <c r="BH56" s="16"/>
      <c r="BI56" s="16"/>
      <c r="BJ56" s="16"/>
      <c r="BK56" s="16"/>
      <c r="BL56" s="16"/>
      <c r="BM56" s="16"/>
      <c r="BN56" s="16"/>
      <c r="BO56" s="16"/>
      <c r="BP56" s="16"/>
      <c r="BQ56" s="16"/>
      <c r="BR56" s="16"/>
      <c r="BS56" s="16"/>
      <c r="BT56" s="16"/>
      <c r="BU56" s="16"/>
      <c r="BV56" s="16"/>
      <c r="BW56" s="16"/>
    </row>
    <row r="57" spans="1:75" ht="18" hidden="1" customHeight="1" outlineLevel="1">
      <c r="B57" s="7">
        <v>2022</v>
      </c>
      <c r="C57" s="8" t="s">
        <v>12</v>
      </c>
      <c r="E57" s="8">
        <v>6867</v>
      </c>
      <c r="J57" s="9"/>
      <c r="Q57" s="5">
        <v>2031</v>
      </c>
      <c r="R57" s="5">
        <v>3</v>
      </c>
      <c r="S57" s="14" t="s">
        <v>54</v>
      </c>
      <c r="T57" s="15">
        <f t="shared" si="30"/>
        <v>0</v>
      </c>
      <c r="U57" s="15">
        <f t="shared" si="31"/>
        <v>12592399</v>
      </c>
      <c r="V57" s="6">
        <v>7395000</v>
      </c>
      <c r="W57" s="6">
        <v>2759600</v>
      </c>
      <c r="X57" s="16">
        <v>587799</v>
      </c>
      <c r="Y57" s="16">
        <v>800000</v>
      </c>
      <c r="Z57" s="16">
        <v>0</v>
      </c>
      <c r="AA57" s="16">
        <v>0</v>
      </c>
      <c r="AB57" s="16">
        <v>0</v>
      </c>
      <c r="AC57" s="16">
        <v>0</v>
      </c>
      <c r="AD57" s="16">
        <v>0</v>
      </c>
      <c r="AE57" s="16">
        <v>0</v>
      </c>
      <c r="AF57" s="16">
        <v>350000</v>
      </c>
      <c r="AG57" s="16">
        <v>100000</v>
      </c>
      <c r="AH57" s="16">
        <v>100000</v>
      </c>
      <c r="AI57" s="16">
        <v>250000</v>
      </c>
      <c r="AJ57" s="16">
        <v>0</v>
      </c>
      <c r="AK57" s="16">
        <v>0</v>
      </c>
      <c r="AL57" s="16">
        <v>0</v>
      </c>
      <c r="AM57" s="16">
        <v>150000</v>
      </c>
      <c r="AN57" s="16">
        <v>100000</v>
      </c>
      <c r="AO57" s="16">
        <v>0</v>
      </c>
      <c r="AP57" s="16">
        <v>0</v>
      </c>
      <c r="AQ57" s="16">
        <v>0</v>
      </c>
      <c r="AR57" s="16">
        <v>0</v>
      </c>
      <c r="AS57" s="16">
        <v>0</v>
      </c>
      <c r="AT57" s="16">
        <v>0</v>
      </c>
      <c r="AU57" s="16">
        <v>0</v>
      </c>
      <c r="AV57" s="16">
        <v>0</v>
      </c>
      <c r="AW57" s="16">
        <v>0</v>
      </c>
      <c r="AX57" s="16">
        <v>0</v>
      </c>
      <c r="AY57" s="16">
        <v>0</v>
      </c>
      <c r="AZ57" s="16">
        <v>0</v>
      </c>
      <c r="BA57" s="16"/>
      <c r="BB57" s="15">
        <f t="shared" si="32"/>
        <v>0</v>
      </c>
      <c r="BC57" s="15"/>
      <c r="BD57" s="16"/>
      <c r="BE57" s="16"/>
      <c r="BF57" s="16"/>
      <c r="BG57" s="16"/>
      <c r="BH57" s="16"/>
      <c r="BI57" s="16"/>
      <c r="BJ57" s="16"/>
      <c r="BK57" s="16"/>
      <c r="BL57" s="16"/>
      <c r="BM57" s="16"/>
      <c r="BN57" s="16"/>
      <c r="BO57" s="16"/>
      <c r="BP57" s="16"/>
      <c r="BQ57" s="16"/>
      <c r="BR57" s="16"/>
      <c r="BS57" s="16"/>
      <c r="BT57" s="16"/>
      <c r="BU57" s="16"/>
      <c r="BV57" s="16"/>
      <c r="BW57" s="16"/>
    </row>
    <row r="58" spans="1:75" ht="18" hidden="1" customHeight="1" outlineLevel="1">
      <c r="B58" s="7">
        <v>2023</v>
      </c>
      <c r="C58" s="8" t="s">
        <v>12</v>
      </c>
      <c r="E58" s="8">
        <v>6867</v>
      </c>
      <c r="J58" s="9"/>
      <c r="Q58" s="5">
        <v>2031</v>
      </c>
      <c r="R58" s="5">
        <v>2</v>
      </c>
      <c r="S58" s="14" t="s">
        <v>54</v>
      </c>
      <c r="T58" s="15">
        <f t="shared" si="30"/>
        <v>0</v>
      </c>
      <c r="U58" s="15">
        <f t="shared" si="31"/>
        <v>12592399</v>
      </c>
      <c r="V58" s="6">
        <v>7395000</v>
      </c>
      <c r="W58" s="6">
        <v>2759600</v>
      </c>
      <c r="X58" s="16">
        <v>587799</v>
      </c>
      <c r="Y58" s="16">
        <v>800000</v>
      </c>
      <c r="Z58" s="16">
        <v>0</v>
      </c>
      <c r="AA58" s="16">
        <v>0</v>
      </c>
      <c r="AB58" s="16">
        <v>0</v>
      </c>
      <c r="AC58" s="16">
        <v>0</v>
      </c>
      <c r="AD58" s="16">
        <v>0</v>
      </c>
      <c r="AE58" s="16">
        <v>0</v>
      </c>
      <c r="AF58" s="16">
        <v>350000</v>
      </c>
      <c r="AG58" s="16">
        <v>100000</v>
      </c>
      <c r="AH58" s="16">
        <v>100000</v>
      </c>
      <c r="AI58" s="16">
        <v>250000</v>
      </c>
      <c r="AJ58" s="16">
        <v>0</v>
      </c>
      <c r="AK58" s="16">
        <v>0</v>
      </c>
      <c r="AL58" s="16">
        <v>0</v>
      </c>
      <c r="AM58" s="16">
        <v>150000</v>
      </c>
      <c r="AN58" s="16">
        <v>100000</v>
      </c>
      <c r="AO58" s="16">
        <v>0</v>
      </c>
      <c r="AP58" s="16">
        <v>0</v>
      </c>
      <c r="AQ58" s="16">
        <v>0</v>
      </c>
      <c r="AR58" s="16">
        <v>0</v>
      </c>
      <c r="AS58" s="16">
        <v>0</v>
      </c>
      <c r="AT58" s="16">
        <v>0</v>
      </c>
      <c r="AU58" s="16">
        <v>0</v>
      </c>
      <c r="AV58" s="16">
        <v>0</v>
      </c>
      <c r="AW58" s="16">
        <v>0</v>
      </c>
      <c r="AX58" s="16">
        <v>0</v>
      </c>
      <c r="AY58" s="16">
        <v>0</v>
      </c>
      <c r="AZ58" s="16">
        <v>0</v>
      </c>
      <c r="BA58" s="16"/>
      <c r="BB58" s="15">
        <f t="shared" si="32"/>
        <v>0</v>
      </c>
      <c r="BC58" s="15"/>
      <c r="BD58" s="16"/>
      <c r="BE58" s="16"/>
      <c r="BF58" s="16"/>
      <c r="BG58" s="16"/>
      <c r="BH58" s="16"/>
      <c r="BI58" s="16"/>
      <c r="BJ58" s="16"/>
      <c r="BK58" s="16"/>
      <c r="BL58" s="16"/>
      <c r="BM58" s="16"/>
      <c r="BN58" s="16"/>
      <c r="BO58" s="16"/>
      <c r="BP58" s="16"/>
      <c r="BQ58" s="16"/>
      <c r="BR58" s="16"/>
      <c r="BS58" s="16"/>
      <c r="BT58" s="16"/>
      <c r="BU58" s="16"/>
      <c r="BV58" s="16"/>
      <c r="BW58" s="16"/>
    </row>
    <row r="59" spans="1:75" ht="18" hidden="1" customHeight="1" outlineLevel="1">
      <c r="B59" s="7">
        <v>2024</v>
      </c>
      <c r="C59" s="8" t="s">
        <v>12</v>
      </c>
      <c r="E59" s="8">
        <v>6867</v>
      </c>
      <c r="J59" s="9"/>
      <c r="Q59" s="5">
        <v>2031</v>
      </c>
      <c r="R59" s="5">
        <v>1</v>
      </c>
      <c r="S59" s="14" t="s">
        <v>54</v>
      </c>
      <c r="T59" s="15">
        <f t="shared" si="30"/>
        <v>0</v>
      </c>
      <c r="U59" s="15">
        <f t="shared" si="31"/>
        <v>12592399</v>
      </c>
      <c r="V59" s="6">
        <v>7395000</v>
      </c>
      <c r="W59" s="6">
        <v>2759600</v>
      </c>
      <c r="X59" s="16">
        <v>587799</v>
      </c>
      <c r="Y59" s="16">
        <v>800000</v>
      </c>
      <c r="Z59" s="16">
        <v>0</v>
      </c>
      <c r="AA59" s="16">
        <v>0</v>
      </c>
      <c r="AB59" s="16">
        <v>0</v>
      </c>
      <c r="AC59" s="16">
        <v>0</v>
      </c>
      <c r="AD59" s="16">
        <v>0</v>
      </c>
      <c r="AE59" s="16">
        <v>0</v>
      </c>
      <c r="AF59" s="16">
        <v>350000</v>
      </c>
      <c r="AG59" s="16">
        <v>100000</v>
      </c>
      <c r="AH59" s="16">
        <v>100000</v>
      </c>
      <c r="AI59" s="16">
        <v>250000</v>
      </c>
      <c r="AJ59" s="16">
        <v>0</v>
      </c>
      <c r="AK59" s="16">
        <v>0</v>
      </c>
      <c r="AL59" s="16">
        <v>0</v>
      </c>
      <c r="AM59" s="16">
        <v>150000</v>
      </c>
      <c r="AN59" s="16">
        <v>100000</v>
      </c>
      <c r="AO59" s="16">
        <v>0</v>
      </c>
      <c r="AP59" s="16">
        <v>0</v>
      </c>
      <c r="AQ59" s="16">
        <v>0</v>
      </c>
      <c r="AR59" s="16">
        <v>0</v>
      </c>
      <c r="AS59" s="16">
        <v>0</v>
      </c>
      <c r="AT59" s="16">
        <v>0</v>
      </c>
      <c r="AU59" s="16">
        <v>0</v>
      </c>
      <c r="AV59" s="16">
        <v>0</v>
      </c>
      <c r="AW59" s="16">
        <v>0</v>
      </c>
      <c r="AX59" s="16">
        <v>0</v>
      </c>
      <c r="AY59" s="16">
        <v>0</v>
      </c>
      <c r="AZ59" s="16">
        <v>0</v>
      </c>
      <c r="BA59" s="16"/>
      <c r="BB59" s="15">
        <f t="shared" si="32"/>
        <v>0</v>
      </c>
      <c r="BC59" s="15"/>
      <c r="BD59" s="16"/>
      <c r="BE59" s="16"/>
      <c r="BF59" s="16"/>
      <c r="BG59" s="16"/>
      <c r="BH59" s="16"/>
      <c r="BI59" s="16"/>
      <c r="BJ59" s="16"/>
      <c r="BK59" s="16"/>
      <c r="BL59" s="16"/>
      <c r="BM59" s="16"/>
      <c r="BN59" s="16"/>
      <c r="BO59" s="16"/>
      <c r="BP59" s="16"/>
      <c r="BQ59" s="16"/>
      <c r="BR59" s="16"/>
      <c r="BS59" s="16"/>
      <c r="BT59" s="16"/>
      <c r="BU59" s="16"/>
      <c r="BV59" s="16"/>
      <c r="BW59" s="16"/>
    </row>
    <row r="60" spans="1:75" s="1" customFormat="1" ht="18" customHeight="1" collapsed="1">
      <c r="A60" s="10"/>
      <c r="B60" s="11"/>
      <c r="C60" s="12"/>
      <c r="D60" s="11"/>
      <c r="E60" s="12"/>
      <c r="F60" s="12"/>
      <c r="G60" s="12"/>
      <c r="H60" s="12"/>
      <c r="I60" s="12"/>
      <c r="J60" s="3"/>
      <c r="K60" s="12"/>
      <c r="L60" s="12"/>
      <c r="M60" s="12"/>
      <c r="N60" s="12"/>
      <c r="O60" s="13"/>
      <c r="Q60" s="667" t="s">
        <v>1986</v>
      </c>
      <c r="R60" s="667"/>
      <c r="S60" s="667"/>
      <c r="T60" s="23">
        <f t="shared" ref="T60:AZ60" si="36">SUMIF($Q$2:$Q$793,$Q61,T$2:T$793)</f>
        <v>0</v>
      </c>
      <c r="U60" s="23">
        <f t="shared" si="36"/>
        <v>151036174</v>
      </c>
      <c r="V60" s="23">
        <f t="shared" si="36"/>
        <v>86469000</v>
      </c>
      <c r="W60" s="23">
        <f t="shared" si="36"/>
        <v>32258880</v>
      </c>
      <c r="X60" s="23">
        <f t="shared" si="36"/>
        <v>3470808</v>
      </c>
      <c r="Y60" s="23">
        <f t="shared" si="36"/>
        <v>0</v>
      </c>
      <c r="Z60" s="23">
        <f t="shared" si="36"/>
        <v>0</v>
      </c>
      <c r="AA60" s="23">
        <f t="shared" si="36"/>
        <v>0</v>
      </c>
      <c r="AB60" s="23">
        <f t="shared" si="36"/>
        <v>0</v>
      </c>
      <c r="AC60" s="23">
        <f t="shared" si="36"/>
        <v>1027320</v>
      </c>
      <c r="AD60" s="23">
        <f t="shared" si="36"/>
        <v>13010166</v>
      </c>
      <c r="AE60" s="23">
        <f t="shared" si="36"/>
        <v>1500000</v>
      </c>
      <c r="AF60" s="23">
        <f t="shared" si="36"/>
        <v>4200000</v>
      </c>
      <c r="AG60" s="23">
        <f t="shared" si="36"/>
        <v>1200000</v>
      </c>
      <c r="AH60" s="23">
        <f t="shared" si="36"/>
        <v>1200000</v>
      </c>
      <c r="AI60" s="23">
        <f t="shared" si="36"/>
        <v>3000000</v>
      </c>
      <c r="AJ60" s="23">
        <f t="shared" si="36"/>
        <v>400000</v>
      </c>
      <c r="AK60" s="23">
        <f t="shared" si="36"/>
        <v>300000</v>
      </c>
      <c r="AL60" s="23">
        <f t="shared" si="36"/>
        <v>0</v>
      </c>
      <c r="AM60" s="23">
        <f t="shared" si="36"/>
        <v>1800000</v>
      </c>
      <c r="AN60" s="23">
        <f t="shared" si="36"/>
        <v>1200000</v>
      </c>
      <c r="AO60" s="23">
        <f t="shared" si="36"/>
        <v>0</v>
      </c>
      <c r="AP60" s="23">
        <f t="shared" si="36"/>
        <v>0</v>
      </c>
      <c r="AQ60" s="23">
        <f t="shared" si="36"/>
        <v>0</v>
      </c>
      <c r="AR60" s="23">
        <f t="shared" si="36"/>
        <v>0</v>
      </c>
      <c r="AS60" s="23">
        <f t="shared" si="36"/>
        <v>0</v>
      </c>
      <c r="AT60" s="23">
        <f t="shared" si="36"/>
        <v>0</v>
      </c>
      <c r="AU60" s="23">
        <f t="shared" si="36"/>
        <v>0</v>
      </c>
      <c r="AV60" s="23">
        <f t="shared" si="36"/>
        <v>0</v>
      </c>
      <c r="AW60" s="23">
        <f t="shared" si="36"/>
        <v>0</v>
      </c>
      <c r="AX60" s="23">
        <f t="shared" si="36"/>
        <v>0</v>
      </c>
      <c r="AY60" s="23">
        <f t="shared" si="36"/>
        <v>0</v>
      </c>
      <c r="AZ60" s="23">
        <f t="shared" si="36"/>
        <v>0</v>
      </c>
      <c r="BA60" s="23"/>
      <c r="BB60" s="23">
        <f t="shared" ref="BB60:BW60" si="37">SUMIF($Q$2:$Q$793,$Q61,BB$2:BB$793)</f>
        <v>0</v>
      </c>
      <c r="BC60" s="23">
        <f t="shared" si="37"/>
        <v>0</v>
      </c>
      <c r="BD60" s="23">
        <f t="shared" si="37"/>
        <v>0</v>
      </c>
      <c r="BE60" s="23">
        <f t="shared" si="37"/>
        <v>0</v>
      </c>
      <c r="BF60" s="23">
        <f t="shared" si="37"/>
        <v>0</v>
      </c>
      <c r="BG60" s="23">
        <f t="shared" si="37"/>
        <v>0</v>
      </c>
      <c r="BH60" s="23">
        <f t="shared" si="37"/>
        <v>0</v>
      </c>
      <c r="BI60" s="23">
        <f t="shared" si="37"/>
        <v>0</v>
      </c>
      <c r="BJ60" s="23">
        <f t="shared" si="37"/>
        <v>0</v>
      </c>
      <c r="BK60" s="23">
        <f t="shared" si="37"/>
        <v>0</v>
      </c>
      <c r="BL60" s="23">
        <f t="shared" si="37"/>
        <v>0</v>
      </c>
      <c r="BM60" s="23">
        <f t="shared" si="37"/>
        <v>0</v>
      </c>
      <c r="BN60" s="23">
        <f t="shared" si="37"/>
        <v>0</v>
      </c>
      <c r="BO60" s="23">
        <f t="shared" si="37"/>
        <v>0</v>
      </c>
      <c r="BP60" s="23">
        <f t="shared" si="37"/>
        <v>0</v>
      </c>
      <c r="BQ60" s="23">
        <f t="shared" si="37"/>
        <v>0</v>
      </c>
      <c r="BR60" s="23">
        <f t="shared" si="37"/>
        <v>0</v>
      </c>
      <c r="BS60" s="23">
        <f t="shared" si="37"/>
        <v>0</v>
      </c>
      <c r="BT60" s="23">
        <f t="shared" si="37"/>
        <v>0</v>
      </c>
      <c r="BU60" s="23">
        <f t="shared" si="37"/>
        <v>0</v>
      </c>
      <c r="BV60" s="23">
        <f t="shared" si="37"/>
        <v>0</v>
      </c>
      <c r="BW60" s="23">
        <f t="shared" si="37"/>
        <v>0</v>
      </c>
    </row>
    <row r="61" spans="1:75" ht="18" hidden="1" customHeight="1" outlineLevel="1">
      <c r="D61" s="7" t="s">
        <v>11</v>
      </c>
      <c r="F61" s="8">
        <v>4717</v>
      </c>
      <c r="G61" s="8">
        <v>5848</v>
      </c>
      <c r="K61" s="8">
        <v>2400</v>
      </c>
      <c r="L61" s="8">
        <f>K61*12</f>
        <v>28800</v>
      </c>
      <c r="M61" s="8">
        <f>L61*1.13</f>
        <v>32543.999999999996</v>
      </c>
      <c r="N61" s="8">
        <v>21014</v>
      </c>
      <c r="O61" s="9">
        <f>N61/M61</f>
        <v>0.64571042281219282</v>
      </c>
      <c r="Q61" s="5">
        <v>2030</v>
      </c>
      <c r="R61" s="5">
        <v>12</v>
      </c>
      <c r="S61" s="14" t="s">
        <v>54</v>
      </c>
      <c r="T61" s="15">
        <f t="shared" ref="T61:T73" si="38">IF(U61=U61-BB61,0,U61-BB61)</f>
        <v>0</v>
      </c>
      <c r="U61" s="15">
        <f t="shared" ref="U61:U73" si="39">SUM(V61:BA61)</f>
        <v>11318834</v>
      </c>
      <c r="V61" s="6">
        <f t="shared" ref="V61:V68" si="40">7177000+91000</f>
        <v>7268000</v>
      </c>
      <c r="W61" s="6">
        <f t="shared" ref="W61:W68" si="41">2677600+34000</f>
        <v>2711600</v>
      </c>
      <c r="X61" s="16">
        <v>289234</v>
      </c>
      <c r="Y61" s="16">
        <v>0</v>
      </c>
      <c r="Z61" s="16">
        <v>0</v>
      </c>
      <c r="AA61" s="16">
        <v>0</v>
      </c>
      <c r="AB61" s="16">
        <v>0</v>
      </c>
      <c r="AC61" s="16">
        <v>0</v>
      </c>
      <c r="AD61" s="16">
        <v>0</v>
      </c>
      <c r="AE61" s="16">
        <v>0</v>
      </c>
      <c r="AF61" s="16">
        <v>350000</v>
      </c>
      <c r="AG61" s="16">
        <v>100000</v>
      </c>
      <c r="AH61" s="16">
        <v>100000</v>
      </c>
      <c r="AI61" s="16">
        <v>250000</v>
      </c>
      <c r="AJ61" s="16">
        <v>0</v>
      </c>
      <c r="AK61" s="16">
        <v>0</v>
      </c>
      <c r="AL61" s="16">
        <v>0</v>
      </c>
      <c r="AM61" s="16">
        <v>150000</v>
      </c>
      <c r="AN61" s="16">
        <v>100000</v>
      </c>
      <c r="AO61" s="16">
        <v>0</v>
      </c>
      <c r="AP61" s="16">
        <v>0</v>
      </c>
      <c r="AQ61" s="16">
        <v>0</v>
      </c>
      <c r="AR61" s="16">
        <v>0</v>
      </c>
      <c r="AS61" s="16">
        <v>0</v>
      </c>
      <c r="AT61" s="16">
        <v>0</v>
      </c>
      <c r="AU61" s="16">
        <v>0</v>
      </c>
      <c r="AV61" s="16">
        <v>0</v>
      </c>
      <c r="AW61" s="16">
        <v>0</v>
      </c>
      <c r="AX61" s="16">
        <v>0</v>
      </c>
      <c r="AY61" s="16">
        <v>0</v>
      </c>
      <c r="AZ61" s="16">
        <v>0</v>
      </c>
      <c r="BA61" s="16"/>
      <c r="BB61" s="15">
        <f t="shared" ref="BB61:BB73" si="42">SUM(BC61:BW61)</f>
        <v>0</v>
      </c>
      <c r="BC61" s="15"/>
      <c r="BD61" s="16"/>
      <c r="BE61" s="16"/>
      <c r="BF61" s="16"/>
      <c r="BG61" s="16"/>
      <c r="BH61" s="16"/>
      <c r="BI61" s="16"/>
      <c r="BJ61" s="16"/>
      <c r="BK61" s="16"/>
      <c r="BL61" s="16"/>
      <c r="BM61" s="16"/>
      <c r="BN61" s="16"/>
      <c r="BO61" s="16"/>
      <c r="BP61" s="16"/>
      <c r="BQ61" s="16"/>
      <c r="BR61" s="16"/>
      <c r="BS61" s="16"/>
      <c r="BT61" s="16"/>
      <c r="BU61" s="16"/>
      <c r="BV61" s="16"/>
      <c r="BW61" s="16"/>
    </row>
    <row r="62" spans="1:75" ht="18" hidden="1" customHeight="1" outlineLevel="1">
      <c r="D62" s="7" t="s">
        <v>11</v>
      </c>
      <c r="F62" s="8">
        <v>4717</v>
      </c>
      <c r="G62" s="8">
        <v>5848</v>
      </c>
      <c r="K62" s="8">
        <v>2400</v>
      </c>
      <c r="L62" s="8">
        <f>K62*12</f>
        <v>28800</v>
      </c>
      <c r="M62" s="8">
        <f>L62*1.13</f>
        <v>32543.999999999996</v>
      </c>
      <c r="N62" s="8">
        <v>21014</v>
      </c>
      <c r="O62" s="9">
        <f>N62/M62</f>
        <v>0.64571042281219282</v>
      </c>
      <c r="Q62" s="5">
        <v>2030</v>
      </c>
      <c r="R62" s="5">
        <v>11</v>
      </c>
      <c r="S62" s="14" t="s">
        <v>54</v>
      </c>
      <c r="T62" s="15">
        <f t="shared" si="38"/>
        <v>0</v>
      </c>
      <c r="U62" s="15">
        <f t="shared" si="39"/>
        <v>11318834</v>
      </c>
      <c r="V62" s="6">
        <f t="shared" si="40"/>
        <v>7268000</v>
      </c>
      <c r="W62" s="6">
        <f t="shared" si="41"/>
        <v>2711600</v>
      </c>
      <c r="X62" s="16">
        <v>289234</v>
      </c>
      <c r="Y62" s="16">
        <v>0</v>
      </c>
      <c r="Z62" s="16">
        <v>0</v>
      </c>
      <c r="AA62" s="16">
        <v>0</v>
      </c>
      <c r="AB62" s="16">
        <v>0</v>
      </c>
      <c r="AC62" s="16">
        <v>0</v>
      </c>
      <c r="AD62" s="16">
        <v>0</v>
      </c>
      <c r="AE62" s="16">
        <v>0</v>
      </c>
      <c r="AF62" s="16">
        <v>350000</v>
      </c>
      <c r="AG62" s="16">
        <v>100000</v>
      </c>
      <c r="AH62" s="16">
        <v>100000</v>
      </c>
      <c r="AI62" s="16">
        <v>250000</v>
      </c>
      <c r="AJ62" s="16">
        <v>0</v>
      </c>
      <c r="AK62" s="16">
        <v>0</v>
      </c>
      <c r="AL62" s="16">
        <v>0</v>
      </c>
      <c r="AM62" s="16">
        <v>150000</v>
      </c>
      <c r="AN62" s="16">
        <v>100000</v>
      </c>
      <c r="AO62" s="16">
        <v>0</v>
      </c>
      <c r="AP62" s="16">
        <v>0</v>
      </c>
      <c r="AQ62" s="16">
        <v>0</v>
      </c>
      <c r="AR62" s="16">
        <v>0</v>
      </c>
      <c r="AS62" s="16">
        <v>0</v>
      </c>
      <c r="AT62" s="16">
        <v>0</v>
      </c>
      <c r="AU62" s="16">
        <v>0</v>
      </c>
      <c r="AV62" s="16">
        <v>0</v>
      </c>
      <c r="AW62" s="16">
        <v>0</v>
      </c>
      <c r="AX62" s="16">
        <v>0</v>
      </c>
      <c r="AY62" s="16">
        <v>0</v>
      </c>
      <c r="AZ62" s="16">
        <v>0</v>
      </c>
      <c r="BA62" s="16"/>
      <c r="BB62" s="15">
        <f t="shared" si="42"/>
        <v>0</v>
      </c>
      <c r="BC62" s="15"/>
      <c r="BD62" s="16"/>
      <c r="BE62" s="16"/>
      <c r="BF62" s="16"/>
      <c r="BG62" s="16"/>
      <c r="BH62" s="16"/>
      <c r="BI62" s="16"/>
      <c r="BJ62" s="16"/>
      <c r="BK62" s="16"/>
      <c r="BL62" s="16"/>
      <c r="BM62" s="16"/>
      <c r="BN62" s="16"/>
      <c r="BO62" s="16"/>
      <c r="BP62" s="16"/>
      <c r="BQ62" s="16"/>
      <c r="BR62" s="16"/>
      <c r="BS62" s="16"/>
      <c r="BT62" s="16"/>
      <c r="BU62" s="16"/>
      <c r="BV62" s="16"/>
      <c r="BW62" s="16"/>
    </row>
    <row r="63" spans="1:75" ht="18" hidden="1" customHeight="1" outlineLevel="1">
      <c r="D63" s="7" t="s">
        <v>11</v>
      </c>
      <c r="F63" s="8">
        <v>4717</v>
      </c>
      <c r="G63" s="8">
        <v>5848</v>
      </c>
      <c r="K63" s="8">
        <v>2400</v>
      </c>
      <c r="L63" s="8">
        <f t="shared" ref="L63:L66" si="43">K63*12</f>
        <v>28800</v>
      </c>
      <c r="M63" s="8">
        <f t="shared" ref="M63:M66" si="44">L63*1.13</f>
        <v>32543.999999999996</v>
      </c>
      <c r="N63" s="8">
        <v>21014</v>
      </c>
      <c r="O63" s="9">
        <f t="shared" ref="O63:O66" si="45">N63/M63</f>
        <v>0.64571042281219282</v>
      </c>
      <c r="Q63" s="5">
        <v>2030</v>
      </c>
      <c r="R63" s="5">
        <v>10</v>
      </c>
      <c r="S63" s="14" t="s">
        <v>54</v>
      </c>
      <c r="T63" s="15">
        <f t="shared" si="38"/>
        <v>0</v>
      </c>
      <c r="U63" s="15">
        <f t="shared" si="39"/>
        <v>11318834</v>
      </c>
      <c r="V63" s="6">
        <f t="shared" si="40"/>
        <v>7268000</v>
      </c>
      <c r="W63" s="6">
        <f t="shared" si="41"/>
        <v>2711600</v>
      </c>
      <c r="X63" s="16">
        <v>289234</v>
      </c>
      <c r="Y63" s="16">
        <v>0</v>
      </c>
      <c r="Z63" s="16">
        <v>0</v>
      </c>
      <c r="AA63" s="16">
        <v>0</v>
      </c>
      <c r="AB63" s="16">
        <v>0</v>
      </c>
      <c r="AC63" s="16">
        <v>0</v>
      </c>
      <c r="AD63" s="16">
        <v>0</v>
      </c>
      <c r="AE63" s="16">
        <v>0</v>
      </c>
      <c r="AF63" s="16">
        <v>350000</v>
      </c>
      <c r="AG63" s="16">
        <v>100000</v>
      </c>
      <c r="AH63" s="16">
        <v>100000</v>
      </c>
      <c r="AI63" s="16">
        <v>250000</v>
      </c>
      <c r="AJ63" s="16">
        <v>0</v>
      </c>
      <c r="AK63" s="16">
        <v>0</v>
      </c>
      <c r="AL63" s="16">
        <v>0</v>
      </c>
      <c r="AM63" s="16">
        <v>150000</v>
      </c>
      <c r="AN63" s="16">
        <v>100000</v>
      </c>
      <c r="AO63" s="16">
        <v>0</v>
      </c>
      <c r="AP63" s="16">
        <v>0</v>
      </c>
      <c r="AQ63" s="16">
        <v>0</v>
      </c>
      <c r="AR63" s="16">
        <v>0</v>
      </c>
      <c r="AS63" s="16">
        <v>0</v>
      </c>
      <c r="AT63" s="16">
        <v>0</v>
      </c>
      <c r="AU63" s="16">
        <v>0</v>
      </c>
      <c r="AV63" s="16">
        <v>0</v>
      </c>
      <c r="AW63" s="16">
        <v>0</v>
      </c>
      <c r="AX63" s="16">
        <v>0</v>
      </c>
      <c r="AY63" s="16">
        <v>0</v>
      </c>
      <c r="AZ63" s="16">
        <v>0</v>
      </c>
      <c r="BA63" s="16"/>
      <c r="BB63" s="15">
        <f t="shared" si="42"/>
        <v>0</v>
      </c>
      <c r="BC63" s="15"/>
      <c r="BD63" s="16"/>
      <c r="BE63" s="16"/>
      <c r="BF63" s="16"/>
      <c r="BG63" s="16"/>
      <c r="BH63" s="16"/>
      <c r="BI63" s="16"/>
      <c r="BJ63" s="16"/>
      <c r="BK63" s="16"/>
      <c r="BL63" s="16"/>
      <c r="BM63" s="16"/>
      <c r="BN63" s="16"/>
      <c r="BO63" s="16"/>
      <c r="BP63" s="16"/>
      <c r="BQ63" s="16"/>
      <c r="BR63" s="16"/>
      <c r="BS63" s="16"/>
      <c r="BT63" s="16"/>
      <c r="BU63" s="16"/>
      <c r="BV63" s="16"/>
      <c r="BW63" s="16"/>
    </row>
    <row r="64" spans="1:75" ht="18" hidden="1" customHeight="1" outlineLevel="1">
      <c r="D64" s="7" t="s">
        <v>12</v>
      </c>
      <c r="F64" s="8">
        <v>6867</v>
      </c>
      <c r="G64" s="8">
        <v>6867</v>
      </c>
      <c r="K64" s="8">
        <v>2400</v>
      </c>
      <c r="L64" s="8">
        <f t="shared" si="43"/>
        <v>28800</v>
      </c>
      <c r="M64" s="8">
        <f t="shared" si="44"/>
        <v>32543.999999999996</v>
      </c>
      <c r="N64" s="8">
        <v>21014</v>
      </c>
      <c r="O64" s="9">
        <f t="shared" si="45"/>
        <v>0.64571042281219282</v>
      </c>
      <c r="Q64" s="5">
        <v>2030</v>
      </c>
      <c r="R64" s="5">
        <v>9</v>
      </c>
      <c r="S64" s="14" t="s">
        <v>54</v>
      </c>
      <c r="T64" s="15">
        <f t="shared" si="38"/>
        <v>0</v>
      </c>
      <c r="U64" s="15">
        <f t="shared" si="39"/>
        <v>11518834</v>
      </c>
      <c r="V64" s="6">
        <f t="shared" si="40"/>
        <v>7268000</v>
      </c>
      <c r="W64" s="6">
        <f t="shared" si="41"/>
        <v>2711600</v>
      </c>
      <c r="X64" s="16">
        <v>289234</v>
      </c>
      <c r="Y64" s="16">
        <v>0</v>
      </c>
      <c r="Z64" s="16">
        <v>0</v>
      </c>
      <c r="AA64" s="16">
        <v>0</v>
      </c>
      <c r="AB64" s="16">
        <v>0</v>
      </c>
      <c r="AC64" s="16">
        <v>0</v>
      </c>
      <c r="AD64" s="16">
        <v>0</v>
      </c>
      <c r="AE64" s="16">
        <v>0</v>
      </c>
      <c r="AF64" s="16">
        <v>350000</v>
      </c>
      <c r="AG64" s="16">
        <v>100000</v>
      </c>
      <c r="AH64" s="16">
        <v>100000</v>
      </c>
      <c r="AI64" s="16">
        <v>250000</v>
      </c>
      <c r="AJ64" s="16">
        <v>200000</v>
      </c>
      <c r="AK64" s="16">
        <v>0</v>
      </c>
      <c r="AL64" s="16">
        <v>0</v>
      </c>
      <c r="AM64" s="16">
        <v>150000</v>
      </c>
      <c r="AN64" s="16">
        <v>100000</v>
      </c>
      <c r="AO64" s="16">
        <v>0</v>
      </c>
      <c r="AP64" s="16">
        <v>0</v>
      </c>
      <c r="AQ64" s="16">
        <v>0</v>
      </c>
      <c r="AR64" s="16">
        <v>0</v>
      </c>
      <c r="AS64" s="16">
        <v>0</v>
      </c>
      <c r="AT64" s="16">
        <v>0</v>
      </c>
      <c r="AU64" s="16">
        <v>0</v>
      </c>
      <c r="AV64" s="16">
        <v>0</v>
      </c>
      <c r="AW64" s="16">
        <v>0</v>
      </c>
      <c r="AX64" s="16">
        <v>0</v>
      </c>
      <c r="AY64" s="16">
        <v>0</v>
      </c>
      <c r="AZ64" s="16">
        <v>0</v>
      </c>
      <c r="BA64" s="16"/>
      <c r="BB64" s="15">
        <f t="shared" si="42"/>
        <v>0</v>
      </c>
      <c r="BC64" s="15"/>
      <c r="BD64" s="16"/>
      <c r="BE64" s="16"/>
      <c r="BF64" s="16"/>
      <c r="BG64" s="16"/>
      <c r="BH64" s="16"/>
      <c r="BI64" s="16"/>
      <c r="BJ64" s="16"/>
      <c r="BK64" s="16"/>
      <c r="BL64" s="16"/>
      <c r="BM64" s="16"/>
      <c r="BN64" s="16"/>
      <c r="BO64" s="16"/>
      <c r="BP64" s="16"/>
      <c r="BQ64" s="16"/>
      <c r="BR64" s="16"/>
      <c r="BS64" s="16"/>
      <c r="BT64" s="16"/>
      <c r="BU64" s="16"/>
      <c r="BV64" s="16"/>
      <c r="BW64" s="16"/>
    </row>
    <row r="65" spans="1:75" ht="18" hidden="1" customHeight="1" outlineLevel="1">
      <c r="D65" s="7" t="s">
        <v>13</v>
      </c>
      <c r="F65" s="8">
        <v>7988</v>
      </c>
      <c r="G65" s="8" t="s">
        <v>2</v>
      </c>
      <c r="H65" s="8" t="s">
        <v>17</v>
      </c>
      <c r="I65" s="8">
        <v>171</v>
      </c>
      <c r="K65" s="8">
        <v>2400</v>
      </c>
      <c r="L65" s="8">
        <f t="shared" si="43"/>
        <v>28800</v>
      </c>
      <c r="M65" s="8">
        <f t="shared" si="44"/>
        <v>32543.999999999996</v>
      </c>
      <c r="N65" s="8">
        <v>21014</v>
      </c>
      <c r="O65" s="9">
        <f t="shared" si="45"/>
        <v>0.64571042281219282</v>
      </c>
      <c r="Q65" s="5">
        <v>2030</v>
      </c>
      <c r="R65" s="5">
        <v>8</v>
      </c>
      <c r="S65" s="14" t="s">
        <v>54</v>
      </c>
      <c r="T65" s="15">
        <f t="shared" si="38"/>
        <v>0</v>
      </c>
      <c r="U65" s="15">
        <f t="shared" si="39"/>
        <v>11318834</v>
      </c>
      <c r="V65" s="6">
        <f t="shared" si="40"/>
        <v>7268000</v>
      </c>
      <c r="W65" s="6">
        <f t="shared" si="41"/>
        <v>2711600</v>
      </c>
      <c r="X65" s="16">
        <v>289234</v>
      </c>
      <c r="Y65" s="16">
        <v>0</v>
      </c>
      <c r="Z65" s="16">
        <v>0</v>
      </c>
      <c r="AA65" s="16">
        <v>0</v>
      </c>
      <c r="AB65" s="16">
        <v>0</v>
      </c>
      <c r="AC65" s="16">
        <v>0</v>
      </c>
      <c r="AD65" s="16">
        <v>0</v>
      </c>
      <c r="AE65" s="16">
        <v>0</v>
      </c>
      <c r="AF65" s="16">
        <v>350000</v>
      </c>
      <c r="AG65" s="16">
        <v>100000</v>
      </c>
      <c r="AH65" s="16">
        <v>100000</v>
      </c>
      <c r="AI65" s="16">
        <v>250000</v>
      </c>
      <c r="AJ65" s="16">
        <v>0</v>
      </c>
      <c r="AK65" s="16">
        <v>0</v>
      </c>
      <c r="AL65" s="16">
        <v>0</v>
      </c>
      <c r="AM65" s="16">
        <v>150000</v>
      </c>
      <c r="AN65" s="16">
        <v>100000</v>
      </c>
      <c r="AO65" s="16">
        <v>0</v>
      </c>
      <c r="AP65" s="16">
        <v>0</v>
      </c>
      <c r="AQ65" s="16">
        <v>0</v>
      </c>
      <c r="AR65" s="16">
        <v>0</v>
      </c>
      <c r="AS65" s="16">
        <v>0</v>
      </c>
      <c r="AT65" s="16">
        <v>0</v>
      </c>
      <c r="AU65" s="16">
        <v>0</v>
      </c>
      <c r="AV65" s="16">
        <v>0</v>
      </c>
      <c r="AW65" s="16">
        <v>0</v>
      </c>
      <c r="AX65" s="16">
        <v>0</v>
      </c>
      <c r="AY65" s="16">
        <v>0</v>
      </c>
      <c r="AZ65" s="16">
        <v>0</v>
      </c>
      <c r="BA65" s="16"/>
      <c r="BB65" s="15">
        <f t="shared" si="42"/>
        <v>0</v>
      </c>
      <c r="BC65" s="15"/>
      <c r="BD65" s="16"/>
      <c r="BE65" s="16"/>
      <c r="BF65" s="16"/>
      <c r="BG65" s="16"/>
      <c r="BH65" s="16"/>
      <c r="BI65" s="16"/>
      <c r="BJ65" s="16"/>
      <c r="BK65" s="16"/>
      <c r="BL65" s="16"/>
      <c r="BM65" s="16"/>
      <c r="BN65" s="16"/>
      <c r="BO65" s="16"/>
      <c r="BP65" s="16"/>
      <c r="BQ65" s="16"/>
      <c r="BR65" s="16"/>
      <c r="BS65" s="16"/>
      <c r="BT65" s="16"/>
      <c r="BU65" s="16"/>
      <c r="BV65" s="16"/>
      <c r="BW65" s="16"/>
    </row>
    <row r="66" spans="1:75" ht="18" hidden="1" customHeight="1" outlineLevel="1">
      <c r="D66" s="7" t="s">
        <v>13</v>
      </c>
      <c r="F66" s="8">
        <v>7988</v>
      </c>
      <c r="G66" s="8" t="s">
        <v>2</v>
      </c>
      <c r="H66" s="8" t="s">
        <v>17</v>
      </c>
      <c r="I66" s="8">
        <v>171</v>
      </c>
      <c r="K66" s="8">
        <v>2400</v>
      </c>
      <c r="L66" s="8">
        <f t="shared" si="43"/>
        <v>28800</v>
      </c>
      <c r="M66" s="8">
        <f t="shared" si="44"/>
        <v>32543.999999999996</v>
      </c>
      <c r="N66" s="8">
        <v>21014</v>
      </c>
      <c r="O66" s="9">
        <f t="shared" si="45"/>
        <v>0.64571042281219282</v>
      </c>
      <c r="Q66" s="5">
        <v>2030</v>
      </c>
      <c r="R66" s="5">
        <v>7</v>
      </c>
      <c r="S66" s="14" t="s">
        <v>54</v>
      </c>
      <c r="T66" s="15">
        <f t="shared" si="38"/>
        <v>0</v>
      </c>
      <c r="U66" s="15">
        <f t="shared" si="39"/>
        <v>11618834</v>
      </c>
      <c r="V66" s="6">
        <f t="shared" si="40"/>
        <v>7268000</v>
      </c>
      <c r="W66" s="6">
        <f t="shared" si="41"/>
        <v>2711600</v>
      </c>
      <c r="X66" s="16">
        <v>289234</v>
      </c>
      <c r="Y66" s="16">
        <v>0</v>
      </c>
      <c r="Z66" s="16">
        <v>0</v>
      </c>
      <c r="AA66" s="16">
        <v>0</v>
      </c>
      <c r="AB66" s="16">
        <v>0</v>
      </c>
      <c r="AC66" s="16">
        <v>0</v>
      </c>
      <c r="AD66" s="16">
        <v>0</v>
      </c>
      <c r="AE66" s="16">
        <v>0</v>
      </c>
      <c r="AF66" s="16">
        <v>350000</v>
      </c>
      <c r="AG66" s="16">
        <v>100000</v>
      </c>
      <c r="AH66" s="16">
        <v>100000</v>
      </c>
      <c r="AI66" s="16">
        <v>250000</v>
      </c>
      <c r="AJ66" s="16">
        <v>0</v>
      </c>
      <c r="AK66" s="16">
        <v>300000</v>
      </c>
      <c r="AL66" s="16">
        <v>0</v>
      </c>
      <c r="AM66" s="16">
        <v>150000</v>
      </c>
      <c r="AN66" s="16">
        <v>100000</v>
      </c>
      <c r="AO66" s="16">
        <v>0</v>
      </c>
      <c r="AP66" s="16">
        <v>0</v>
      </c>
      <c r="AQ66" s="16">
        <v>0</v>
      </c>
      <c r="AR66" s="16">
        <v>0</v>
      </c>
      <c r="AS66" s="16">
        <v>0</v>
      </c>
      <c r="AT66" s="16">
        <v>0</v>
      </c>
      <c r="AU66" s="16">
        <v>0</v>
      </c>
      <c r="AV66" s="16">
        <v>0</v>
      </c>
      <c r="AW66" s="16">
        <v>0</v>
      </c>
      <c r="AX66" s="16">
        <v>0</v>
      </c>
      <c r="AY66" s="16">
        <v>0</v>
      </c>
      <c r="AZ66" s="16">
        <v>0</v>
      </c>
      <c r="BA66" s="16"/>
      <c r="BB66" s="15">
        <f t="shared" si="42"/>
        <v>0</v>
      </c>
      <c r="BC66" s="15"/>
      <c r="BD66" s="16"/>
      <c r="BE66" s="16"/>
      <c r="BF66" s="16"/>
      <c r="BG66" s="16"/>
      <c r="BH66" s="16"/>
      <c r="BI66" s="16"/>
      <c r="BJ66" s="16"/>
      <c r="BK66" s="16"/>
      <c r="BL66" s="16"/>
      <c r="BM66" s="16"/>
      <c r="BN66" s="16"/>
      <c r="BO66" s="16"/>
      <c r="BP66" s="16"/>
      <c r="BQ66" s="16"/>
      <c r="BR66" s="16"/>
      <c r="BS66" s="16"/>
      <c r="BT66" s="16"/>
      <c r="BU66" s="16"/>
      <c r="BV66" s="16"/>
      <c r="BW66" s="16"/>
    </row>
    <row r="67" spans="1:75" ht="18" hidden="1" customHeight="1" outlineLevel="1">
      <c r="H67" s="8" t="s">
        <v>18</v>
      </c>
      <c r="I67" s="8">
        <v>122</v>
      </c>
      <c r="J67" s="9"/>
      <c r="Q67" s="5">
        <v>2030</v>
      </c>
      <c r="R67" s="5">
        <v>6</v>
      </c>
      <c r="S67" s="14" t="s">
        <v>54</v>
      </c>
      <c r="T67" s="15">
        <f t="shared" si="38"/>
        <v>0</v>
      </c>
      <c r="U67" s="15">
        <f t="shared" si="39"/>
        <v>11318834</v>
      </c>
      <c r="V67" s="6">
        <f t="shared" si="40"/>
        <v>7268000</v>
      </c>
      <c r="W67" s="6">
        <f t="shared" si="41"/>
        <v>2711600</v>
      </c>
      <c r="X67" s="16">
        <v>289234</v>
      </c>
      <c r="Y67" s="16">
        <v>0</v>
      </c>
      <c r="Z67" s="16">
        <v>0</v>
      </c>
      <c r="AA67" s="16">
        <v>0</v>
      </c>
      <c r="AB67" s="16">
        <v>0</v>
      </c>
      <c r="AC67" s="16">
        <v>0</v>
      </c>
      <c r="AD67" s="16">
        <v>0</v>
      </c>
      <c r="AE67" s="16">
        <v>0</v>
      </c>
      <c r="AF67" s="16">
        <v>350000</v>
      </c>
      <c r="AG67" s="16">
        <v>100000</v>
      </c>
      <c r="AH67" s="16">
        <v>100000</v>
      </c>
      <c r="AI67" s="16">
        <v>250000</v>
      </c>
      <c r="AJ67" s="16">
        <v>0</v>
      </c>
      <c r="AK67" s="16">
        <v>0</v>
      </c>
      <c r="AL67" s="16">
        <v>0</v>
      </c>
      <c r="AM67" s="16">
        <v>150000</v>
      </c>
      <c r="AN67" s="16">
        <v>100000</v>
      </c>
      <c r="AO67" s="16">
        <v>0</v>
      </c>
      <c r="AP67" s="16">
        <v>0</v>
      </c>
      <c r="AQ67" s="16">
        <v>0</v>
      </c>
      <c r="AR67" s="16">
        <v>0</v>
      </c>
      <c r="AS67" s="16">
        <v>0</v>
      </c>
      <c r="AT67" s="16">
        <v>0</v>
      </c>
      <c r="AU67" s="16">
        <v>0</v>
      </c>
      <c r="AV67" s="16">
        <v>0</v>
      </c>
      <c r="AW67" s="16">
        <v>0</v>
      </c>
      <c r="AX67" s="16">
        <v>0</v>
      </c>
      <c r="AY67" s="16">
        <v>0</v>
      </c>
      <c r="AZ67" s="16">
        <v>0</v>
      </c>
      <c r="BA67" s="16"/>
      <c r="BB67" s="15">
        <f t="shared" si="42"/>
        <v>0</v>
      </c>
      <c r="BC67" s="15"/>
      <c r="BD67" s="16"/>
      <c r="BE67" s="16"/>
      <c r="BF67" s="16"/>
      <c r="BG67" s="16"/>
      <c r="BH67" s="16"/>
      <c r="BI67" s="16"/>
      <c r="BJ67" s="16"/>
      <c r="BK67" s="16"/>
      <c r="BL67" s="16"/>
      <c r="BM67" s="16"/>
      <c r="BN67" s="16"/>
      <c r="BO67" s="16"/>
      <c r="BP67" s="16"/>
      <c r="BQ67" s="16"/>
      <c r="BR67" s="16"/>
      <c r="BS67" s="16"/>
      <c r="BT67" s="16"/>
      <c r="BU67" s="16"/>
      <c r="BV67" s="16"/>
      <c r="BW67" s="16"/>
    </row>
    <row r="68" spans="1:75" ht="18" hidden="1" customHeight="1" outlineLevel="1">
      <c r="J68" s="9"/>
      <c r="Q68" s="5">
        <v>2030</v>
      </c>
      <c r="R68" s="5">
        <v>5</v>
      </c>
      <c r="S68" s="14" t="s">
        <v>54</v>
      </c>
      <c r="T68" s="15">
        <f t="shared" si="38"/>
        <v>0</v>
      </c>
      <c r="U68" s="15">
        <f t="shared" si="39"/>
        <v>11518834</v>
      </c>
      <c r="V68" s="6">
        <f t="shared" si="40"/>
        <v>7268000</v>
      </c>
      <c r="W68" s="6">
        <f t="shared" si="41"/>
        <v>2711600</v>
      </c>
      <c r="X68" s="16">
        <v>289234</v>
      </c>
      <c r="Y68" s="16">
        <v>0</v>
      </c>
      <c r="Z68" s="16">
        <v>0</v>
      </c>
      <c r="AA68" s="16">
        <v>0</v>
      </c>
      <c r="AB68" s="16">
        <v>0</v>
      </c>
      <c r="AC68" s="16">
        <v>0</v>
      </c>
      <c r="AD68" s="16">
        <v>0</v>
      </c>
      <c r="AE68" s="16">
        <v>0</v>
      </c>
      <c r="AF68" s="16">
        <v>350000</v>
      </c>
      <c r="AG68" s="16">
        <v>100000</v>
      </c>
      <c r="AH68" s="16">
        <v>100000</v>
      </c>
      <c r="AI68" s="16">
        <v>250000</v>
      </c>
      <c r="AJ68" s="16">
        <v>200000</v>
      </c>
      <c r="AK68" s="16">
        <v>0</v>
      </c>
      <c r="AL68" s="16">
        <v>0</v>
      </c>
      <c r="AM68" s="16">
        <v>150000</v>
      </c>
      <c r="AN68" s="16">
        <v>100000</v>
      </c>
      <c r="AO68" s="16">
        <v>0</v>
      </c>
      <c r="AP68" s="16">
        <v>0</v>
      </c>
      <c r="AQ68" s="16">
        <v>0</v>
      </c>
      <c r="AR68" s="16">
        <v>0</v>
      </c>
      <c r="AS68" s="16">
        <v>0</v>
      </c>
      <c r="AT68" s="16">
        <v>0</v>
      </c>
      <c r="AU68" s="16">
        <v>0</v>
      </c>
      <c r="AV68" s="16">
        <v>0</v>
      </c>
      <c r="AW68" s="16">
        <v>0</v>
      </c>
      <c r="AX68" s="16">
        <v>0</v>
      </c>
      <c r="AY68" s="16">
        <v>0</v>
      </c>
      <c r="AZ68" s="16">
        <v>0</v>
      </c>
      <c r="BA68" s="16"/>
      <c r="BB68" s="15">
        <f t="shared" si="42"/>
        <v>0</v>
      </c>
      <c r="BC68" s="15"/>
      <c r="BD68" s="16"/>
      <c r="BE68" s="16"/>
      <c r="BF68" s="16"/>
      <c r="BG68" s="16"/>
      <c r="BH68" s="16"/>
      <c r="BI68" s="16"/>
      <c r="BJ68" s="16"/>
      <c r="BK68" s="16"/>
      <c r="BL68" s="16"/>
      <c r="BM68" s="16"/>
      <c r="BN68" s="16"/>
      <c r="BO68" s="16"/>
      <c r="BP68" s="16"/>
      <c r="BQ68" s="16"/>
      <c r="BR68" s="16"/>
      <c r="BS68" s="16"/>
      <c r="BT68" s="16"/>
      <c r="BU68" s="16"/>
      <c r="BV68" s="16"/>
      <c r="BW68" s="16"/>
    </row>
    <row r="69" spans="1:75" ht="18" hidden="1" customHeight="1" outlineLevel="1">
      <c r="B69" s="7">
        <v>2021</v>
      </c>
      <c r="C69" s="8" t="s">
        <v>12</v>
      </c>
      <c r="E69" s="8">
        <v>6867</v>
      </c>
      <c r="J69" s="9"/>
      <c r="Q69" s="5">
        <v>2030</v>
      </c>
      <c r="R69" s="5">
        <v>4</v>
      </c>
      <c r="S69" s="14" t="s">
        <v>54</v>
      </c>
      <c r="T69" s="15">
        <f t="shared" si="38"/>
        <v>0</v>
      </c>
      <c r="U69" s="15">
        <f t="shared" si="39"/>
        <v>12346154</v>
      </c>
      <c r="V69" s="6">
        <f>7177000+91000</f>
        <v>7268000</v>
      </c>
      <c r="W69" s="6">
        <f>2677600+34000</f>
        <v>2711600</v>
      </c>
      <c r="X69" s="16">
        <v>289234</v>
      </c>
      <c r="Y69" s="16">
        <v>0</v>
      </c>
      <c r="Z69" s="16">
        <v>0</v>
      </c>
      <c r="AA69" s="16">
        <v>0</v>
      </c>
      <c r="AB69" s="16">
        <v>0</v>
      </c>
      <c r="AC69" s="16">
        <f>3*(SUM(V69:W69)-SUM(V71:W71))</f>
        <v>1027320</v>
      </c>
      <c r="AD69" s="16">
        <v>0</v>
      </c>
      <c r="AE69" s="16">
        <v>0</v>
      </c>
      <c r="AF69" s="16">
        <v>350000</v>
      </c>
      <c r="AG69" s="16">
        <v>100000</v>
      </c>
      <c r="AH69" s="16">
        <v>100000</v>
      </c>
      <c r="AI69" s="16">
        <v>250000</v>
      </c>
      <c r="AJ69" s="16">
        <v>0</v>
      </c>
      <c r="AK69" s="16">
        <v>0</v>
      </c>
      <c r="AL69" s="16">
        <v>0</v>
      </c>
      <c r="AM69" s="16">
        <v>150000</v>
      </c>
      <c r="AN69" s="16">
        <v>100000</v>
      </c>
      <c r="AO69" s="16">
        <v>0</v>
      </c>
      <c r="AP69" s="16">
        <v>0</v>
      </c>
      <c r="AQ69" s="16">
        <v>0</v>
      </c>
      <c r="AR69" s="16">
        <v>0</v>
      </c>
      <c r="AS69" s="16">
        <v>0</v>
      </c>
      <c r="AT69" s="16">
        <v>0</v>
      </c>
      <c r="AU69" s="16">
        <v>0</v>
      </c>
      <c r="AV69" s="16">
        <v>0</v>
      </c>
      <c r="AW69" s="16">
        <v>0</v>
      </c>
      <c r="AX69" s="16">
        <v>0</v>
      </c>
      <c r="AY69" s="16">
        <v>0</v>
      </c>
      <c r="AZ69" s="16">
        <v>0</v>
      </c>
      <c r="BA69" s="16"/>
      <c r="BB69" s="15">
        <f t="shared" si="42"/>
        <v>0</v>
      </c>
      <c r="BC69" s="15"/>
      <c r="BD69" s="16"/>
      <c r="BE69" s="16"/>
      <c r="BF69" s="16"/>
      <c r="BG69" s="16"/>
      <c r="BH69" s="16"/>
      <c r="BI69" s="16"/>
      <c r="BJ69" s="16"/>
      <c r="BK69" s="16"/>
      <c r="BL69" s="16"/>
      <c r="BM69" s="16"/>
      <c r="BN69" s="16"/>
      <c r="BO69" s="16"/>
      <c r="BP69" s="16"/>
      <c r="BQ69" s="16"/>
      <c r="BR69" s="16"/>
      <c r="BS69" s="16"/>
      <c r="BT69" s="16"/>
      <c r="BU69" s="16"/>
      <c r="BV69" s="16"/>
      <c r="BW69" s="16"/>
    </row>
    <row r="70" spans="1:75" ht="18" hidden="1" customHeight="1" outlineLevel="1">
      <c r="B70" s="7">
        <v>2021</v>
      </c>
      <c r="C70" s="8" t="s">
        <v>12</v>
      </c>
      <c r="E70" s="8">
        <v>6867</v>
      </c>
      <c r="J70" s="9"/>
      <c r="Q70" s="5">
        <v>2030</v>
      </c>
      <c r="R70" s="5">
        <v>4</v>
      </c>
      <c r="S70" s="14" t="s">
        <v>28</v>
      </c>
      <c r="T70" s="15">
        <f t="shared" si="38"/>
        <v>0</v>
      </c>
      <c r="U70" s="15">
        <f t="shared" si="39"/>
        <v>14510166</v>
      </c>
      <c r="V70" s="16">
        <v>0</v>
      </c>
      <c r="W70" s="16">
        <v>0</v>
      </c>
      <c r="X70" s="16">
        <v>0</v>
      </c>
      <c r="Y70" s="16">
        <v>0</v>
      </c>
      <c r="Z70" s="16">
        <v>0</v>
      </c>
      <c r="AA70" s="16">
        <v>0</v>
      </c>
      <c r="AB70" s="16">
        <v>0</v>
      </c>
      <c r="AC70" s="16">
        <v>0</v>
      </c>
      <c r="AD70" s="16">
        <f>12*(V71+W71)*0.1125</f>
        <v>13010166</v>
      </c>
      <c r="AE70" s="16">
        <v>1500000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c r="BB70" s="15">
        <f t="shared" si="42"/>
        <v>0</v>
      </c>
      <c r="BC70" s="15"/>
      <c r="BD70" s="16"/>
      <c r="BE70" s="16"/>
      <c r="BF70" s="16"/>
      <c r="BG70" s="16"/>
      <c r="BH70" s="16"/>
      <c r="BI70" s="16"/>
      <c r="BJ70" s="16"/>
      <c r="BK70" s="16"/>
      <c r="BL70" s="16"/>
      <c r="BM70" s="16"/>
      <c r="BN70" s="16"/>
      <c r="BO70" s="16"/>
      <c r="BP70" s="16"/>
      <c r="BQ70" s="16"/>
      <c r="BR70" s="16"/>
      <c r="BS70" s="16"/>
      <c r="BT70" s="16"/>
      <c r="BU70" s="16"/>
      <c r="BV70" s="16"/>
      <c r="BW70" s="16"/>
    </row>
    <row r="71" spans="1:75" ht="18" hidden="1" customHeight="1" outlineLevel="1">
      <c r="B71" s="7">
        <v>2022</v>
      </c>
      <c r="C71" s="8" t="s">
        <v>12</v>
      </c>
      <c r="E71" s="8">
        <v>6867</v>
      </c>
      <c r="J71" s="9"/>
      <c r="Q71" s="5">
        <v>2030</v>
      </c>
      <c r="R71" s="5">
        <v>3</v>
      </c>
      <c r="S71" s="14" t="s">
        <v>54</v>
      </c>
      <c r="T71" s="15">
        <f t="shared" si="38"/>
        <v>0</v>
      </c>
      <c r="U71" s="15">
        <f t="shared" si="39"/>
        <v>10976394</v>
      </c>
      <c r="V71" s="6">
        <f t="shared" ref="V71:V72" si="46">6928000+91000</f>
        <v>7019000</v>
      </c>
      <c r="W71" s="6">
        <f t="shared" ref="W71:W72" si="47">2584160+34000</f>
        <v>2618160</v>
      </c>
      <c r="X71" s="16">
        <v>289234</v>
      </c>
      <c r="Y71" s="16">
        <v>0</v>
      </c>
      <c r="Z71" s="16">
        <v>0</v>
      </c>
      <c r="AA71" s="16">
        <v>0</v>
      </c>
      <c r="AB71" s="16">
        <v>0</v>
      </c>
      <c r="AC71" s="16">
        <v>0</v>
      </c>
      <c r="AD71" s="16">
        <v>0</v>
      </c>
      <c r="AE71" s="16">
        <v>0</v>
      </c>
      <c r="AF71" s="16">
        <v>350000</v>
      </c>
      <c r="AG71" s="16">
        <v>100000</v>
      </c>
      <c r="AH71" s="16">
        <v>100000</v>
      </c>
      <c r="AI71" s="16">
        <v>250000</v>
      </c>
      <c r="AJ71" s="16">
        <v>0</v>
      </c>
      <c r="AK71" s="16">
        <v>0</v>
      </c>
      <c r="AL71" s="16">
        <v>0</v>
      </c>
      <c r="AM71" s="16">
        <v>150000</v>
      </c>
      <c r="AN71" s="16">
        <v>100000</v>
      </c>
      <c r="AO71" s="16">
        <v>0</v>
      </c>
      <c r="AP71" s="16">
        <v>0</v>
      </c>
      <c r="AQ71" s="16">
        <v>0</v>
      </c>
      <c r="AR71" s="16">
        <v>0</v>
      </c>
      <c r="AS71" s="16">
        <v>0</v>
      </c>
      <c r="AT71" s="16">
        <v>0</v>
      </c>
      <c r="AU71" s="16">
        <v>0</v>
      </c>
      <c r="AV71" s="16">
        <v>0</v>
      </c>
      <c r="AW71" s="16">
        <v>0</v>
      </c>
      <c r="AX71" s="16">
        <v>0</v>
      </c>
      <c r="AY71" s="16">
        <v>0</v>
      </c>
      <c r="AZ71" s="16">
        <v>0</v>
      </c>
      <c r="BA71" s="16"/>
      <c r="BB71" s="15">
        <f t="shared" si="42"/>
        <v>0</v>
      </c>
      <c r="BC71" s="15"/>
      <c r="BD71" s="16"/>
      <c r="BE71" s="16"/>
      <c r="BF71" s="16"/>
      <c r="BG71" s="16"/>
      <c r="BH71" s="16"/>
      <c r="BI71" s="16"/>
      <c r="BJ71" s="16"/>
      <c r="BK71" s="16"/>
      <c r="BL71" s="16"/>
      <c r="BM71" s="16"/>
      <c r="BN71" s="16"/>
      <c r="BO71" s="16"/>
      <c r="BP71" s="16"/>
      <c r="BQ71" s="16"/>
      <c r="BR71" s="16"/>
      <c r="BS71" s="16"/>
      <c r="BT71" s="16"/>
      <c r="BU71" s="16"/>
      <c r="BV71" s="16"/>
      <c r="BW71" s="16"/>
    </row>
    <row r="72" spans="1:75" ht="18" hidden="1" customHeight="1" outlineLevel="1">
      <c r="B72" s="7">
        <v>2023</v>
      </c>
      <c r="C72" s="8" t="s">
        <v>12</v>
      </c>
      <c r="E72" s="8">
        <v>6867</v>
      </c>
      <c r="J72" s="9"/>
      <c r="Q72" s="5">
        <v>2030</v>
      </c>
      <c r="R72" s="5">
        <v>2</v>
      </c>
      <c r="S72" s="14" t="s">
        <v>54</v>
      </c>
      <c r="T72" s="15">
        <f t="shared" si="38"/>
        <v>0</v>
      </c>
      <c r="U72" s="15">
        <f t="shared" si="39"/>
        <v>10976394</v>
      </c>
      <c r="V72" s="6">
        <f t="shared" si="46"/>
        <v>7019000</v>
      </c>
      <c r="W72" s="6">
        <f t="shared" si="47"/>
        <v>2618160</v>
      </c>
      <c r="X72" s="16">
        <v>289234</v>
      </c>
      <c r="Y72" s="16">
        <v>0</v>
      </c>
      <c r="Z72" s="16">
        <v>0</v>
      </c>
      <c r="AA72" s="16">
        <v>0</v>
      </c>
      <c r="AB72" s="16">
        <v>0</v>
      </c>
      <c r="AC72" s="16">
        <v>0</v>
      </c>
      <c r="AD72" s="16">
        <v>0</v>
      </c>
      <c r="AE72" s="16">
        <v>0</v>
      </c>
      <c r="AF72" s="16">
        <v>350000</v>
      </c>
      <c r="AG72" s="16">
        <v>100000</v>
      </c>
      <c r="AH72" s="16">
        <v>100000</v>
      </c>
      <c r="AI72" s="16">
        <v>250000</v>
      </c>
      <c r="AJ72" s="16">
        <v>0</v>
      </c>
      <c r="AK72" s="16">
        <v>0</v>
      </c>
      <c r="AL72" s="16">
        <v>0</v>
      </c>
      <c r="AM72" s="16">
        <v>150000</v>
      </c>
      <c r="AN72" s="16">
        <v>100000</v>
      </c>
      <c r="AO72" s="16">
        <v>0</v>
      </c>
      <c r="AP72" s="16">
        <v>0</v>
      </c>
      <c r="AQ72" s="16">
        <v>0</v>
      </c>
      <c r="AR72" s="16">
        <v>0</v>
      </c>
      <c r="AS72" s="16">
        <v>0</v>
      </c>
      <c r="AT72" s="16">
        <v>0</v>
      </c>
      <c r="AU72" s="16">
        <v>0</v>
      </c>
      <c r="AV72" s="16">
        <v>0</v>
      </c>
      <c r="AW72" s="16">
        <v>0</v>
      </c>
      <c r="AX72" s="16">
        <v>0</v>
      </c>
      <c r="AY72" s="16">
        <v>0</v>
      </c>
      <c r="AZ72" s="16">
        <v>0</v>
      </c>
      <c r="BA72" s="16"/>
      <c r="BB72" s="15">
        <f t="shared" si="42"/>
        <v>0</v>
      </c>
      <c r="BC72" s="15"/>
      <c r="BD72" s="16"/>
      <c r="BE72" s="16"/>
      <c r="BF72" s="16"/>
      <c r="BG72" s="16"/>
      <c r="BH72" s="16"/>
      <c r="BI72" s="16"/>
      <c r="BJ72" s="16"/>
      <c r="BK72" s="16"/>
      <c r="BL72" s="16"/>
      <c r="BM72" s="16"/>
      <c r="BN72" s="16"/>
      <c r="BO72" s="16"/>
      <c r="BP72" s="16"/>
      <c r="BQ72" s="16"/>
      <c r="BR72" s="16"/>
      <c r="BS72" s="16"/>
      <c r="BT72" s="16"/>
      <c r="BU72" s="16"/>
      <c r="BV72" s="16"/>
      <c r="BW72" s="16"/>
    </row>
    <row r="73" spans="1:75" ht="18" hidden="1" customHeight="1" outlineLevel="1">
      <c r="B73" s="7">
        <v>2024</v>
      </c>
      <c r="C73" s="8" t="s">
        <v>12</v>
      </c>
      <c r="E73" s="8">
        <v>6867</v>
      </c>
      <c r="J73" s="9"/>
      <c r="Q73" s="5">
        <v>2030</v>
      </c>
      <c r="R73" s="5">
        <v>1</v>
      </c>
      <c r="S73" s="14" t="s">
        <v>54</v>
      </c>
      <c r="T73" s="15">
        <f t="shared" si="38"/>
        <v>0</v>
      </c>
      <c r="U73" s="15">
        <f t="shared" si="39"/>
        <v>10976394</v>
      </c>
      <c r="V73" s="6">
        <f>6928000+91000</f>
        <v>7019000</v>
      </c>
      <c r="W73" s="6">
        <f>2584160+34000</f>
        <v>2618160</v>
      </c>
      <c r="X73" s="16">
        <v>289234</v>
      </c>
      <c r="Y73" s="16">
        <v>0</v>
      </c>
      <c r="Z73" s="16">
        <v>0</v>
      </c>
      <c r="AA73" s="16">
        <v>0</v>
      </c>
      <c r="AB73" s="16">
        <v>0</v>
      </c>
      <c r="AC73" s="16">
        <v>0</v>
      </c>
      <c r="AD73" s="16">
        <v>0</v>
      </c>
      <c r="AE73" s="16">
        <v>0</v>
      </c>
      <c r="AF73" s="16">
        <v>350000</v>
      </c>
      <c r="AG73" s="16">
        <v>100000</v>
      </c>
      <c r="AH73" s="16">
        <v>100000</v>
      </c>
      <c r="AI73" s="16">
        <v>250000</v>
      </c>
      <c r="AJ73" s="16">
        <v>0</v>
      </c>
      <c r="AK73" s="16">
        <v>0</v>
      </c>
      <c r="AL73" s="16">
        <v>0</v>
      </c>
      <c r="AM73" s="16">
        <v>150000</v>
      </c>
      <c r="AN73" s="16">
        <v>100000</v>
      </c>
      <c r="AO73" s="16">
        <v>0</v>
      </c>
      <c r="AP73" s="16">
        <v>0</v>
      </c>
      <c r="AQ73" s="16">
        <v>0</v>
      </c>
      <c r="AR73" s="16">
        <v>0</v>
      </c>
      <c r="AS73" s="16">
        <v>0</v>
      </c>
      <c r="AT73" s="16">
        <v>0</v>
      </c>
      <c r="AU73" s="16">
        <v>0</v>
      </c>
      <c r="AV73" s="16">
        <v>0</v>
      </c>
      <c r="AW73" s="16">
        <v>0</v>
      </c>
      <c r="AX73" s="16">
        <v>0</v>
      </c>
      <c r="AY73" s="16">
        <v>0</v>
      </c>
      <c r="AZ73" s="16">
        <v>0</v>
      </c>
      <c r="BA73" s="16"/>
      <c r="BB73" s="15">
        <f t="shared" si="42"/>
        <v>0</v>
      </c>
      <c r="BC73" s="15"/>
      <c r="BD73" s="16"/>
      <c r="BE73" s="16"/>
      <c r="BF73" s="16"/>
      <c r="BG73" s="16"/>
      <c r="BH73" s="16"/>
      <c r="BI73" s="16"/>
      <c r="BJ73" s="16"/>
      <c r="BK73" s="16"/>
      <c r="BL73" s="16"/>
      <c r="BM73" s="16"/>
      <c r="BN73" s="16"/>
      <c r="BO73" s="16"/>
      <c r="BP73" s="16"/>
      <c r="BQ73" s="16"/>
      <c r="BR73" s="16"/>
      <c r="BS73" s="16"/>
      <c r="BT73" s="16"/>
      <c r="BU73" s="16"/>
      <c r="BV73" s="16"/>
      <c r="BW73" s="16"/>
    </row>
    <row r="74" spans="1:75" s="1" customFormat="1" ht="18" customHeight="1" collapsed="1">
      <c r="A74" s="10"/>
      <c r="B74" s="11"/>
      <c r="C74" s="12"/>
      <c r="D74" s="11"/>
      <c r="E74" s="12"/>
      <c r="F74" s="12"/>
      <c r="G74" s="12"/>
      <c r="H74" s="12"/>
      <c r="I74" s="12"/>
      <c r="J74" s="3"/>
      <c r="K74" s="12"/>
      <c r="L74" s="12"/>
      <c r="M74" s="12"/>
      <c r="N74" s="12"/>
      <c r="O74" s="13"/>
      <c r="Q74" s="667" t="s">
        <v>1987</v>
      </c>
      <c r="R74" s="667"/>
      <c r="S74" s="667"/>
      <c r="T74" s="23">
        <f t="shared" ref="T74:AZ74" si="48">SUMIF($Q$2:$Q$793,$Q75,T$2:T$793)</f>
        <v>0</v>
      </c>
      <c r="U74" s="23">
        <f t="shared" si="48"/>
        <v>164036536</v>
      </c>
      <c r="V74" s="23">
        <f t="shared" si="48"/>
        <v>82254000</v>
      </c>
      <c r="W74" s="23">
        <f t="shared" si="48"/>
        <v>30682440</v>
      </c>
      <c r="X74" s="23">
        <f t="shared" si="48"/>
        <v>2575116</v>
      </c>
      <c r="Y74" s="23">
        <f t="shared" si="48"/>
        <v>0</v>
      </c>
      <c r="Z74" s="23">
        <f t="shared" si="48"/>
        <v>16026000</v>
      </c>
      <c r="AA74" s="23">
        <f t="shared" si="48"/>
        <v>5226000</v>
      </c>
      <c r="AB74" s="23">
        <f t="shared" si="48"/>
        <v>0</v>
      </c>
      <c r="AC74" s="23">
        <f t="shared" si="48"/>
        <v>1209480</v>
      </c>
      <c r="AD74" s="23">
        <f t="shared" si="48"/>
        <v>13663500</v>
      </c>
      <c r="AE74" s="23">
        <f t="shared" si="48"/>
        <v>1500000</v>
      </c>
      <c r="AF74" s="23">
        <f t="shared" si="48"/>
        <v>4200000</v>
      </c>
      <c r="AG74" s="23">
        <f t="shared" si="48"/>
        <v>1200000</v>
      </c>
      <c r="AH74" s="23">
        <f t="shared" si="48"/>
        <v>1200000</v>
      </c>
      <c r="AI74" s="23">
        <f t="shared" si="48"/>
        <v>1500000</v>
      </c>
      <c r="AJ74" s="23">
        <f t="shared" si="48"/>
        <v>400000</v>
      </c>
      <c r="AK74" s="23">
        <f t="shared" si="48"/>
        <v>300000</v>
      </c>
      <c r="AL74" s="23">
        <f t="shared" si="48"/>
        <v>0</v>
      </c>
      <c r="AM74" s="23">
        <f t="shared" si="48"/>
        <v>900000</v>
      </c>
      <c r="AN74" s="23">
        <f t="shared" si="48"/>
        <v>1200000</v>
      </c>
      <c r="AO74" s="23">
        <f t="shared" si="48"/>
        <v>0</v>
      </c>
      <c r="AP74" s="23">
        <f t="shared" si="48"/>
        <v>0</v>
      </c>
      <c r="AQ74" s="23">
        <f t="shared" si="48"/>
        <v>0</v>
      </c>
      <c r="AR74" s="23">
        <f t="shared" si="48"/>
        <v>0</v>
      </c>
      <c r="AS74" s="23">
        <f t="shared" si="48"/>
        <v>0</v>
      </c>
      <c r="AT74" s="23">
        <f t="shared" si="48"/>
        <v>0</v>
      </c>
      <c r="AU74" s="23">
        <f t="shared" si="48"/>
        <v>0</v>
      </c>
      <c r="AV74" s="23">
        <f t="shared" si="48"/>
        <v>0</v>
      </c>
      <c r="AW74" s="23">
        <f t="shared" si="48"/>
        <v>0</v>
      </c>
      <c r="AX74" s="23">
        <f t="shared" si="48"/>
        <v>0</v>
      </c>
      <c r="AY74" s="23">
        <f t="shared" si="48"/>
        <v>0</v>
      </c>
      <c r="AZ74" s="23">
        <f t="shared" si="48"/>
        <v>0</v>
      </c>
      <c r="BA74" s="23"/>
      <c r="BB74" s="23">
        <f t="shared" ref="BB74:BW74" si="49">SUMIF($Q$2:$Q$793,$Q75,BB$2:BB$793)</f>
        <v>0</v>
      </c>
      <c r="BC74" s="23">
        <f t="shared" si="49"/>
        <v>0</v>
      </c>
      <c r="BD74" s="23">
        <f t="shared" si="49"/>
        <v>0</v>
      </c>
      <c r="BE74" s="23">
        <f t="shared" si="49"/>
        <v>0</v>
      </c>
      <c r="BF74" s="23">
        <f t="shared" si="49"/>
        <v>0</v>
      </c>
      <c r="BG74" s="23">
        <f t="shared" si="49"/>
        <v>0</v>
      </c>
      <c r="BH74" s="23">
        <f t="shared" si="49"/>
        <v>0</v>
      </c>
      <c r="BI74" s="23">
        <f t="shared" si="49"/>
        <v>0</v>
      </c>
      <c r="BJ74" s="23">
        <f t="shared" si="49"/>
        <v>0</v>
      </c>
      <c r="BK74" s="23">
        <f t="shared" si="49"/>
        <v>0</v>
      </c>
      <c r="BL74" s="23">
        <f t="shared" si="49"/>
        <v>0</v>
      </c>
      <c r="BM74" s="23">
        <f t="shared" si="49"/>
        <v>0</v>
      </c>
      <c r="BN74" s="23">
        <f t="shared" si="49"/>
        <v>0</v>
      </c>
      <c r="BO74" s="23">
        <f t="shared" si="49"/>
        <v>0</v>
      </c>
      <c r="BP74" s="23">
        <f t="shared" si="49"/>
        <v>0</v>
      </c>
      <c r="BQ74" s="23">
        <f t="shared" si="49"/>
        <v>0</v>
      </c>
      <c r="BR74" s="23">
        <f t="shared" si="49"/>
        <v>0</v>
      </c>
      <c r="BS74" s="23">
        <f t="shared" si="49"/>
        <v>0</v>
      </c>
      <c r="BT74" s="23">
        <f t="shared" si="49"/>
        <v>0</v>
      </c>
      <c r="BU74" s="23">
        <f t="shared" si="49"/>
        <v>0</v>
      </c>
      <c r="BV74" s="23">
        <f t="shared" si="49"/>
        <v>0</v>
      </c>
      <c r="BW74" s="23">
        <f t="shared" si="49"/>
        <v>0</v>
      </c>
    </row>
    <row r="75" spans="1:75" ht="18" hidden="1" customHeight="1" outlineLevel="1">
      <c r="D75" s="7" t="s">
        <v>11</v>
      </c>
      <c r="F75" s="8">
        <v>4717</v>
      </c>
      <c r="G75" s="8">
        <v>5848</v>
      </c>
      <c r="K75" s="8">
        <v>2400</v>
      </c>
      <c r="L75" s="8">
        <f>K75*12</f>
        <v>28800</v>
      </c>
      <c r="M75" s="8">
        <f>L75*1.13</f>
        <v>32543.999999999996</v>
      </c>
      <c r="N75" s="8">
        <v>21014</v>
      </c>
      <c r="O75" s="9">
        <f>N75/M75</f>
        <v>0.64571042281219282</v>
      </c>
      <c r="Q75" s="5">
        <v>2029</v>
      </c>
      <c r="R75" s="5">
        <v>12</v>
      </c>
      <c r="S75" s="14" t="s">
        <v>54</v>
      </c>
      <c r="T75" s="15">
        <f t="shared" ref="T75:T87" si="50">IF(U75=U75-BB75,0,U75-BB75)</f>
        <v>0</v>
      </c>
      <c r="U75" s="15">
        <f t="shared" ref="U75:U87" si="51">SUM(V75:BA75)</f>
        <v>10851394</v>
      </c>
      <c r="V75" s="16">
        <f t="shared" ref="V75:V82" si="52">6819000+109000</f>
        <v>6928000</v>
      </c>
      <c r="W75" s="16">
        <f t="shared" ref="W75:W82" si="53">2543160+41000</f>
        <v>2584160</v>
      </c>
      <c r="X75" s="16">
        <v>289234</v>
      </c>
      <c r="Y75" s="16">
        <v>0</v>
      </c>
      <c r="Z75" s="16">
        <v>0</v>
      </c>
      <c r="AA75" s="16">
        <v>0</v>
      </c>
      <c r="AB75" s="16">
        <v>0</v>
      </c>
      <c r="AC75" s="16">
        <v>0</v>
      </c>
      <c r="AD75" s="16">
        <v>0</v>
      </c>
      <c r="AE75" s="16">
        <v>0</v>
      </c>
      <c r="AF75" s="16">
        <v>350000</v>
      </c>
      <c r="AG75" s="16">
        <v>100000</v>
      </c>
      <c r="AH75" s="16">
        <v>100000</v>
      </c>
      <c r="AI75" s="16">
        <v>250000</v>
      </c>
      <c r="AJ75" s="16">
        <v>0</v>
      </c>
      <c r="AK75" s="16">
        <v>0</v>
      </c>
      <c r="AL75" s="16">
        <v>0</v>
      </c>
      <c r="AM75" s="16">
        <v>150000</v>
      </c>
      <c r="AN75" s="16">
        <v>100000</v>
      </c>
      <c r="AO75" s="16">
        <v>0</v>
      </c>
      <c r="AP75" s="16">
        <v>0</v>
      </c>
      <c r="AQ75" s="16">
        <v>0</v>
      </c>
      <c r="AR75" s="16">
        <v>0</v>
      </c>
      <c r="AS75" s="16">
        <v>0</v>
      </c>
      <c r="AT75" s="16">
        <v>0</v>
      </c>
      <c r="AU75" s="16">
        <v>0</v>
      </c>
      <c r="AV75" s="16">
        <v>0</v>
      </c>
      <c r="AW75" s="16">
        <v>0</v>
      </c>
      <c r="AX75" s="16">
        <v>0</v>
      </c>
      <c r="AY75" s="16">
        <v>0</v>
      </c>
      <c r="AZ75" s="16">
        <v>0</v>
      </c>
      <c r="BA75" s="16"/>
      <c r="BB75" s="15">
        <f t="shared" ref="BB75:BB87" si="54">SUM(BC75:BW75)</f>
        <v>0</v>
      </c>
      <c r="BC75" s="15"/>
      <c r="BD75" s="16"/>
      <c r="BE75" s="16"/>
      <c r="BF75" s="16"/>
      <c r="BG75" s="16"/>
      <c r="BH75" s="16"/>
      <c r="BI75" s="16"/>
      <c r="BJ75" s="16"/>
      <c r="BK75" s="16"/>
      <c r="BL75" s="16"/>
      <c r="BM75" s="16"/>
      <c r="BN75" s="16"/>
      <c r="BO75" s="16"/>
      <c r="BP75" s="16"/>
      <c r="BQ75" s="16"/>
      <c r="BR75" s="16"/>
      <c r="BS75" s="16"/>
      <c r="BT75" s="16"/>
      <c r="BU75" s="16"/>
      <c r="BV75" s="16"/>
      <c r="BW75" s="16"/>
    </row>
    <row r="76" spans="1:75" ht="18" hidden="1" customHeight="1" outlineLevel="1">
      <c r="D76" s="7" t="s">
        <v>11</v>
      </c>
      <c r="F76" s="8">
        <v>4717</v>
      </c>
      <c r="G76" s="8">
        <v>5848</v>
      </c>
      <c r="K76" s="8">
        <v>2400</v>
      </c>
      <c r="L76" s="8">
        <f>K76*12</f>
        <v>28800</v>
      </c>
      <c r="M76" s="8">
        <f>L76*1.13</f>
        <v>32543.999999999996</v>
      </c>
      <c r="N76" s="8">
        <v>21014</v>
      </c>
      <c r="O76" s="9">
        <f>N76/M76</f>
        <v>0.64571042281219282</v>
      </c>
      <c r="Q76" s="5">
        <v>2029</v>
      </c>
      <c r="R76" s="5">
        <v>11</v>
      </c>
      <c r="S76" s="14" t="s">
        <v>54</v>
      </c>
      <c r="T76" s="15">
        <f t="shared" si="50"/>
        <v>0</v>
      </c>
      <c r="U76" s="15">
        <f t="shared" si="51"/>
        <v>10851394</v>
      </c>
      <c r="V76" s="16">
        <f t="shared" si="52"/>
        <v>6928000</v>
      </c>
      <c r="W76" s="16">
        <f t="shared" si="53"/>
        <v>2584160</v>
      </c>
      <c r="X76" s="16">
        <v>289234</v>
      </c>
      <c r="Y76" s="16">
        <v>0</v>
      </c>
      <c r="Z76" s="16">
        <v>0</v>
      </c>
      <c r="AA76" s="16">
        <v>0</v>
      </c>
      <c r="AB76" s="16">
        <v>0</v>
      </c>
      <c r="AC76" s="16">
        <v>0</v>
      </c>
      <c r="AD76" s="16">
        <v>0</v>
      </c>
      <c r="AE76" s="16">
        <v>0</v>
      </c>
      <c r="AF76" s="16">
        <v>350000</v>
      </c>
      <c r="AG76" s="16">
        <v>100000</v>
      </c>
      <c r="AH76" s="16">
        <v>100000</v>
      </c>
      <c r="AI76" s="16">
        <v>250000</v>
      </c>
      <c r="AJ76" s="16">
        <v>0</v>
      </c>
      <c r="AK76" s="16">
        <v>0</v>
      </c>
      <c r="AL76" s="16">
        <v>0</v>
      </c>
      <c r="AM76" s="16">
        <v>150000</v>
      </c>
      <c r="AN76" s="16">
        <v>100000</v>
      </c>
      <c r="AO76" s="16">
        <v>0</v>
      </c>
      <c r="AP76" s="16">
        <v>0</v>
      </c>
      <c r="AQ76" s="16">
        <v>0</v>
      </c>
      <c r="AR76" s="16">
        <v>0</v>
      </c>
      <c r="AS76" s="16">
        <v>0</v>
      </c>
      <c r="AT76" s="16">
        <v>0</v>
      </c>
      <c r="AU76" s="16">
        <v>0</v>
      </c>
      <c r="AV76" s="16">
        <v>0</v>
      </c>
      <c r="AW76" s="16">
        <v>0</v>
      </c>
      <c r="AX76" s="16">
        <v>0</v>
      </c>
      <c r="AY76" s="16">
        <v>0</v>
      </c>
      <c r="AZ76" s="16">
        <v>0</v>
      </c>
      <c r="BA76" s="16"/>
      <c r="BB76" s="15">
        <f t="shared" si="54"/>
        <v>0</v>
      </c>
      <c r="BC76" s="15"/>
      <c r="BD76" s="16"/>
      <c r="BE76" s="16"/>
      <c r="BF76" s="16"/>
      <c r="BG76" s="16"/>
      <c r="BH76" s="16"/>
      <c r="BI76" s="16"/>
      <c r="BJ76" s="16"/>
      <c r="BK76" s="16"/>
      <c r="BL76" s="16"/>
      <c r="BM76" s="16"/>
      <c r="BN76" s="16"/>
      <c r="BO76" s="16"/>
      <c r="BP76" s="16"/>
      <c r="BQ76" s="16"/>
      <c r="BR76" s="16"/>
      <c r="BS76" s="16"/>
      <c r="BT76" s="16"/>
      <c r="BU76" s="16"/>
      <c r="BV76" s="16"/>
      <c r="BW76" s="16"/>
    </row>
    <row r="77" spans="1:75" ht="18" hidden="1" customHeight="1" outlineLevel="1">
      <c r="D77" s="7" t="s">
        <v>11</v>
      </c>
      <c r="F77" s="8">
        <v>4717</v>
      </c>
      <c r="G77" s="8">
        <v>5848</v>
      </c>
      <c r="K77" s="8">
        <v>2400</v>
      </c>
      <c r="L77" s="8">
        <f t="shared" ref="L77:L80" si="55">K77*12</f>
        <v>28800</v>
      </c>
      <c r="M77" s="8">
        <f t="shared" ref="M77:M80" si="56">L77*1.13</f>
        <v>32543.999999999996</v>
      </c>
      <c r="N77" s="8">
        <v>21014</v>
      </c>
      <c r="O77" s="9">
        <f t="shared" ref="O77:O80" si="57">N77/M77</f>
        <v>0.64571042281219282</v>
      </c>
      <c r="Q77" s="5">
        <v>2029</v>
      </c>
      <c r="R77" s="5">
        <v>10</v>
      </c>
      <c r="S77" s="14" t="s">
        <v>54</v>
      </c>
      <c r="T77" s="15">
        <f t="shared" si="50"/>
        <v>0</v>
      </c>
      <c r="U77" s="15">
        <f t="shared" si="51"/>
        <v>10851394</v>
      </c>
      <c r="V77" s="16">
        <f t="shared" si="52"/>
        <v>6928000</v>
      </c>
      <c r="W77" s="16">
        <f t="shared" si="53"/>
        <v>2584160</v>
      </c>
      <c r="X77" s="16">
        <v>289234</v>
      </c>
      <c r="Y77" s="16">
        <v>0</v>
      </c>
      <c r="Z77" s="16">
        <v>0</v>
      </c>
      <c r="AA77" s="16">
        <v>0</v>
      </c>
      <c r="AB77" s="16">
        <v>0</v>
      </c>
      <c r="AC77" s="16">
        <v>0</v>
      </c>
      <c r="AD77" s="16">
        <v>0</v>
      </c>
      <c r="AE77" s="16">
        <v>0</v>
      </c>
      <c r="AF77" s="16">
        <v>350000</v>
      </c>
      <c r="AG77" s="16">
        <v>100000</v>
      </c>
      <c r="AH77" s="16">
        <v>100000</v>
      </c>
      <c r="AI77" s="16">
        <v>250000</v>
      </c>
      <c r="AJ77" s="16">
        <v>0</v>
      </c>
      <c r="AK77" s="16">
        <v>0</v>
      </c>
      <c r="AL77" s="16">
        <v>0</v>
      </c>
      <c r="AM77" s="16">
        <v>150000</v>
      </c>
      <c r="AN77" s="16">
        <v>100000</v>
      </c>
      <c r="AO77" s="16">
        <v>0</v>
      </c>
      <c r="AP77" s="16">
        <v>0</v>
      </c>
      <c r="AQ77" s="16">
        <v>0</v>
      </c>
      <c r="AR77" s="16">
        <v>0</v>
      </c>
      <c r="AS77" s="16">
        <v>0</v>
      </c>
      <c r="AT77" s="16">
        <v>0</v>
      </c>
      <c r="AU77" s="16">
        <v>0</v>
      </c>
      <c r="AV77" s="16">
        <v>0</v>
      </c>
      <c r="AW77" s="16">
        <v>0</v>
      </c>
      <c r="AX77" s="16">
        <v>0</v>
      </c>
      <c r="AY77" s="16">
        <v>0</v>
      </c>
      <c r="AZ77" s="16">
        <v>0</v>
      </c>
      <c r="BA77" s="16"/>
      <c r="BB77" s="15">
        <f t="shared" si="54"/>
        <v>0</v>
      </c>
      <c r="BC77" s="15"/>
      <c r="BD77" s="16"/>
      <c r="BE77" s="16"/>
      <c r="BF77" s="16"/>
      <c r="BG77" s="16"/>
      <c r="BH77" s="16"/>
      <c r="BI77" s="16"/>
      <c r="BJ77" s="16"/>
      <c r="BK77" s="16"/>
      <c r="BL77" s="16"/>
      <c r="BM77" s="16"/>
      <c r="BN77" s="16"/>
      <c r="BO77" s="16"/>
      <c r="BP77" s="16"/>
      <c r="BQ77" s="16"/>
      <c r="BR77" s="16"/>
      <c r="BS77" s="16"/>
      <c r="BT77" s="16"/>
      <c r="BU77" s="16"/>
      <c r="BV77" s="16"/>
      <c r="BW77" s="16"/>
    </row>
    <row r="78" spans="1:75" ht="18" hidden="1" customHeight="1" outlineLevel="1">
      <c r="D78" s="7" t="s">
        <v>12</v>
      </c>
      <c r="F78" s="8">
        <v>6867</v>
      </c>
      <c r="G78" s="8">
        <v>6867</v>
      </c>
      <c r="K78" s="8">
        <v>2400</v>
      </c>
      <c r="L78" s="8">
        <f t="shared" si="55"/>
        <v>28800</v>
      </c>
      <c r="M78" s="8">
        <f t="shared" si="56"/>
        <v>32543.999999999996</v>
      </c>
      <c r="N78" s="8">
        <v>21014</v>
      </c>
      <c r="O78" s="9">
        <f t="shared" si="57"/>
        <v>0.64571042281219282</v>
      </c>
      <c r="Q78" s="5">
        <v>2029</v>
      </c>
      <c r="R78" s="5">
        <v>9</v>
      </c>
      <c r="S78" s="14" t="s">
        <v>54</v>
      </c>
      <c r="T78" s="15">
        <f t="shared" si="50"/>
        <v>0</v>
      </c>
      <c r="U78" s="15">
        <f t="shared" si="51"/>
        <v>11051394</v>
      </c>
      <c r="V78" s="16">
        <f t="shared" si="52"/>
        <v>6928000</v>
      </c>
      <c r="W78" s="16">
        <f t="shared" si="53"/>
        <v>2584160</v>
      </c>
      <c r="X78" s="16">
        <v>289234</v>
      </c>
      <c r="Y78" s="16">
        <v>0</v>
      </c>
      <c r="Z78" s="16">
        <v>0</v>
      </c>
      <c r="AA78" s="16">
        <v>0</v>
      </c>
      <c r="AB78" s="16">
        <v>0</v>
      </c>
      <c r="AC78" s="16">
        <v>0</v>
      </c>
      <c r="AD78" s="16">
        <v>0</v>
      </c>
      <c r="AE78" s="16">
        <v>0</v>
      </c>
      <c r="AF78" s="16">
        <v>350000</v>
      </c>
      <c r="AG78" s="16">
        <v>100000</v>
      </c>
      <c r="AH78" s="16">
        <v>100000</v>
      </c>
      <c r="AI78" s="16">
        <v>250000</v>
      </c>
      <c r="AJ78" s="16">
        <v>200000</v>
      </c>
      <c r="AK78" s="16">
        <v>0</v>
      </c>
      <c r="AL78" s="16">
        <v>0</v>
      </c>
      <c r="AM78" s="16">
        <v>150000</v>
      </c>
      <c r="AN78" s="16">
        <v>100000</v>
      </c>
      <c r="AO78" s="16">
        <v>0</v>
      </c>
      <c r="AP78" s="16">
        <v>0</v>
      </c>
      <c r="AQ78" s="16">
        <v>0</v>
      </c>
      <c r="AR78" s="16">
        <v>0</v>
      </c>
      <c r="AS78" s="16">
        <v>0</v>
      </c>
      <c r="AT78" s="16">
        <v>0</v>
      </c>
      <c r="AU78" s="16">
        <v>0</v>
      </c>
      <c r="AV78" s="16">
        <v>0</v>
      </c>
      <c r="AW78" s="16">
        <v>0</v>
      </c>
      <c r="AX78" s="16">
        <v>0</v>
      </c>
      <c r="AY78" s="16">
        <v>0</v>
      </c>
      <c r="AZ78" s="16">
        <v>0</v>
      </c>
      <c r="BA78" s="16"/>
      <c r="BB78" s="15">
        <f t="shared" si="54"/>
        <v>0</v>
      </c>
      <c r="BC78" s="15"/>
      <c r="BD78" s="16"/>
      <c r="BE78" s="16"/>
      <c r="BF78" s="16"/>
      <c r="BG78" s="16"/>
      <c r="BH78" s="16"/>
      <c r="BI78" s="16"/>
      <c r="BJ78" s="16"/>
      <c r="BK78" s="16"/>
      <c r="BL78" s="16"/>
      <c r="BM78" s="16"/>
      <c r="BN78" s="16"/>
      <c r="BO78" s="16"/>
      <c r="BP78" s="16"/>
      <c r="BQ78" s="16"/>
      <c r="BR78" s="16"/>
      <c r="BS78" s="16"/>
      <c r="BT78" s="16"/>
      <c r="BU78" s="16"/>
      <c r="BV78" s="16"/>
      <c r="BW78" s="16"/>
    </row>
    <row r="79" spans="1:75" ht="18" hidden="1" customHeight="1" outlineLevel="1">
      <c r="D79" s="7" t="s">
        <v>13</v>
      </c>
      <c r="F79" s="8">
        <v>7988</v>
      </c>
      <c r="G79" s="8" t="s">
        <v>2</v>
      </c>
      <c r="H79" s="8" t="s">
        <v>17</v>
      </c>
      <c r="I79" s="8">
        <v>171</v>
      </c>
      <c r="K79" s="8">
        <v>2400</v>
      </c>
      <c r="L79" s="8">
        <f t="shared" si="55"/>
        <v>28800</v>
      </c>
      <c r="M79" s="8">
        <f t="shared" si="56"/>
        <v>32543.999999999996</v>
      </c>
      <c r="N79" s="8">
        <v>21014</v>
      </c>
      <c r="O79" s="9">
        <f t="shared" si="57"/>
        <v>0.64571042281219282</v>
      </c>
      <c r="Q79" s="5">
        <v>2029</v>
      </c>
      <c r="R79" s="5">
        <v>8</v>
      </c>
      <c r="S79" s="14" t="s">
        <v>54</v>
      </c>
      <c r="T79" s="15">
        <f t="shared" si="50"/>
        <v>0</v>
      </c>
      <c r="U79" s="15">
        <f t="shared" si="51"/>
        <v>10851394</v>
      </c>
      <c r="V79" s="16">
        <f t="shared" si="52"/>
        <v>6928000</v>
      </c>
      <c r="W79" s="16">
        <f t="shared" si="53"/>
        <v>2584160</v>
      </c>
      <c r="X79" s="16">
        <v>289234</v>
      </c>
      <c r="Y79" s="16">
        <v>0</v>
      </c>
      <c r="Z79" s="16">
        <v>0</v>
      </c>
      <c r="AA79" s="16">
        <v>0</v>
      </c>
      <c r="AB79" s="16">
        <v>0</v>
      </c>
      <c r="AC79" s="16">
        <v>0</v>
      </c>
      <c r="AD79" s="16">
        <v>0</v>
      </c>
      <c r="AE79" s="16">
        <v>0</v>
      </c>
      <c r="AF79" s="16">
        <v>350000</v>
      </c>
      <c r="AG79" s="16">
        <v>100000</v>
      </c>
      <c r="AH79" s="16">
        <v>100000</v>
      </c>
      <c r="AI79" s="16">
        <v>250000</v>
      </c>
      <c r="AJ79" s="16">
        <v>0</v>
      </c>
      <c r="AK79" s="16">
        <v>0</v>
      </c>
      <c r="AL79" s="16">
        <v>0</v>
      </c>
      <c r="AM79" s="16">
        <v>150000</v>
      </c>
      <c r="AN79" s="16">
        <v>100000</v>
      </c>
      <c r="AO79" s="16">
        <v>0</v>
      </c>
      <c r="AP79" s="16">
        <v>0</v>
      </c>
      <c r="AQ79" s="16">
        <v>0</v>
      </c>
      <c r="AR79" s="16">
        <v>0</v>
      </c>
      <c r="AS79" s="16">
        <v>0</v>
      </c>
      <c r="AT79" s="16">
        <v>0</v>
      </c>
      <c r="AU79" s="16">
        <v>0</v>
      </c>
      <c r="AV79" s="16">
        <v>0</v>
      </c>
      <c r="AW79" s="16">
        <v>0</v>
      </c>
      <c r="AX79" s="16">
        <v>0</v>
      </c>
      <c r="AY79" s="16">
        <v>0</v>
      </c>
      <c r="AZ79" s="16">
        <v>0</v>
      </c>
      <c r="BA79" s="16"/>
      <c r="BB79" s="15">
        <f t="shared" si="54"/>
        <v>0</v>
      </c>
      <c r="BC79" s="15"/>
      <c r="BD79" s="16"/>
      <c r="BE79" s="16"/>
      <c r="BF79" s="16"/>
      <c r="BG79" s="16"/>
      <c r="BH79" s="16"/>
      <c r="BI79" s="16"/>
      <c r="BJ79" s="16"/>
      <c r="BK79" s="16"/>
      <c r="BL79" s="16"/>
      <c r="BM79" s="16"/>
      <c r="BN79" s="16"/>
      <c r="BO79" s="16"/>
      <c r="BP79" s="16"/>
      <c r="BQ79" s="16"/>
      <c r="BR79" s="16"/>
      <c r="BS79" s="16"/>
      <c r="BT79" s="16"/>
      <c r="BU79" s="16"/>
      <c r="BV79" s="16"/>
      <c r="BW79" s="16"/>
    </row>
    <row r="80" spans="1:75" ht="18" hidden="1" customHeight="1" outlineLevel="1">
      <c r="D80" s="7" t="s">
        <v>13</v>
      </c>
      <c r="F80" s="8">
        <v>7988</v>
      </c>
      <c r="G80" s="8" t="s">
        <v>2</v>
      </c>
      <c r="H80" s="8" t="s">
        <v>17</v>
      </c>
      <c r="I80" s="8">
        <v>171</v>
      </c>
      <c r="K80" s="8">
        <v>2400</v>
      </c>
      <c r="L80" s="8">
        <f t="shared" si="55"/>
        <v>28800</v>
      </c>
      <c r="M80" s="8">
        <f t="shared" si="56"/>
        <v>32543.999999999996</v>
      </c>
      <c r="N80" s="8">
        <v>21014</v>
      </c>
      <c r="O80" s="9">
        <f t="shared" si="57"/>
        <v>0.64571042281219282</v>
      </c>
      <c r="Q80" s="5">
        <v>2029</v>
      </c>
      <c r="R80" s="5">
        <v>7</v>
      </c>
      <c r="S80" s="14" t="s">
        <v>54</v>
      </c>
      <c r="T80" s="15">
        <f t="shared" si="50"/>
        <v>0</v>
      </c>
      <c r="U80" s="15">
        <f t="shared" si="51"/>
        <v>11151394</v>
      </c>
      <c r="V80" s="16">
        <f t="shared" si="52"/>
        <v>6928000</v>
      </c>
      <c r="W80" s="16">
        <f t="shared" si="53"/>
        <v>2584160</v>
      </c>
      <c r="X80" s="16">
        <v>289234</v>
      </c>
      <c r="Y80" s="16">
        <v>0</v>
      </c>
      <c r="Z80" s="16">
        <v>0</v>
      </c>
      <c r="AA80" s="16">
        <v>0</v>
      </c>
      <c r="AB80" s="16">
        <v>0</v>
      </c>
      <c r="AC80" s="16">
        <v>0</v>
      </c>
      <c r="AD80" s="16">
        <v>0</v>
      </c>
      <c r="AE80" s="16">
        <v>0</v>
      </c>
      <c r="AF80" s="16">
        <v>350000</v>
      </c>
      <c r="AG80" s="16">
        <v>100000</v>
      </c>
      <c r="AH80" s="16">
        <v>100000</v>
      </c>
      <c r="AI80" s="16">
        <v>250000</v>
      </c>
      <c r="AJ80" s="16">
        <v>0</v>
      </c>
      <c r="AK80" s="16">
        <v>300000</v>
      </c>
      <c r="AL80" s="16">
        <v>0</v>
      </c>
      <c r="AM80" s="16">
        <v>150000</v>
      </c>
      <c r="AN80" s="16">
        <v>100000</v>
      </c>
      <c r="AO80" s="16">
        <v>0</v>
      </c>
      <c r="AP80" s="16">
        <v>0</v>
      </c>
      <c r="AQ80" s="16">
        <v>0</v>
      </c>
      <c r="AR80" s="16">
        <v>0</v>
      </c>
      <c r="AS80" s="16">
        <v>0</v>
      </c>
      <c r="AT80" s="16">
        <v>0</v>
      </c>
      <c r="AU80" s="16">
        <v>0</v>
      </c>
      <c r="AV80" s="16">
        <v>0</v>
      </c>
      <c r="AW80" s="16">
        <v>0</v>
      </c>
      <c r="AX80" s="16">
        <v>0</v>
      </c>
      <c r="AY80" s="16">
        <v>0</v>
      </c>
      <c r="AZ80" s="16">
        <v>0</v>
      </c>
      <c r="BA80" s="16"/>
      <c r="BB80" s="15">
        <f t="shared" si="54"/>
        <v>0</v>
      </c>
      <c r="BC80" s="15"/>
      <c r="BD80" s="16"/>
      <c r="BE80" s="16"/>
      <c r="BF80" s="16"/>
      <c r="BG80" s="16"/>
      <c r="BH80" s="16"/>
      <c r="BI80" s="16"/>
      <c r="BJ80" s="16"/>
      <c r="BK80" s="16"/>
      <c r="BL80" s="16"/>
      <c r="BM80" s="16"/>
      <c r="BN80" s="16"/>
      <c r="BO80" s="16"/>
      <c r="BP80" s="16"/>
      <c r="BQ80" s="16"/>
      <c r="BR80" s="16"/>
      <c r="BS80" s="16"/>
      <c r="BT80" s="16"/>
      <c r="BU80" s="16"/>
      <c r="BV80" s="16"/>
      <c r="BW80" s="16"/>
    </row>
    <row r="81" spans="1:75" ht="18" hidden="1" customHeight="1" outlineLevel="1">
      <c r="H81" s="8" t="s">
        <v>18</v>
      </c>
      <c r="I81" s="8">
        <v>122</v>
      </c>
      <c r="J81" s="9"/>
      <c r="Q81" s="5">
        <v>2029</v>
      </c>
      <c r="R81" s="5">
        <v>6</v>
      </c>
      <c r="S81" s="14" t="s">
        <v>54</v>
      </c>
      <c r="T81" s="15">
        <f t="shared" si="50"/>
        <v>0</v>
      </c>
      <c r="U81" s="15">
        <f t="shared" si="51"/>
        <v>13899112</v>
      </c>
      <c r="V81" s="16">
        <f t="shared" si="52"/>
        <v>6928000</v>
      </c>
      <c r="W81" s="16">
        <f t="shared" si="53"/>
        <v>2584160</v>
      </c>
      <c r="X81" s="16">
        <v>139952</v>
      </c>
      <c r="Y81" s="16">
        <v>0</v>
      </c>
      <c r="Z81" s="16">
        <v>2726000</v>
      </c>
      <c r="AA81" s="16">
        <v>871000</v>
      </c>
      <c r="AB81" s="16">
        <v>0</v>
      </c>
      <c r="AC81" s="16">
        <v>0</v>
      </c>
      <c r="AD81" s="16">
        <v>0</v>
      </c>
      <c r="AE81" s="16">
        <v>0</v>
      </c>
      <c r="AF81" s="16">
        <v>350000</v>
      </c>
      <c r="AG81" s="16">
        <v>100000</v>
      </c>
      <c r="AH81" s="16">
        <v>100000</v>
      </c>
      <c r="AI81" s="16">
        <v>0</v>
      </c>
      <c r="AJ81" s="16">
        <v>0</v>
      </c>
      <c r="AK81" s="16">
        <v>0</v>
      </c>
      <c r="AL81" s="16">
        <v>0</v>
      </c>
      <c r="AM81" s="16">
        <v>0</v>
      </c>
      <c r="AN81" s="16">
        <v>100000</v>
      </c>
      <c r="AO81" s="16">
        <v>0</v>
      </c>
      <c r="AP81" s="16">
        <v>0</v>
      </c>
      <c r="AQ81" s="16">
        <v>0</v>
      </c>
      <c r="AR81" s="16">
        <v>0</v>
      </c>
      <c r="AS81" s="16">
        <v>0</v>
      </c>
      <c r="AT81" s="16">
        <v>0</v>
      </c>
      <c r="AU81" s="16">
        <v>0</v>
      </c>
      <c r="AV81" s="16">
        <v>0</v>
      </c>
      <c r="AW81" s="16">
        <v>0</v>
      </c>
      <c r="AX81" s="16">
        <v>0</v>
      </c>
      <c r="AY81" s="16">
        <v>0</v>
      </c>
      <c r="AZ81" s="16">
        <v>0</v>
      </c>
      <c r="BA81" s="16"/>
      <c r="BB81" s="15">
        <f t="shared" si="54"/>
        <v>0</v>
      </c>
      <c r="BC81" s="15"/>
      <c r="BD81" s="16"/>
      <c r="BE81" s="16"/>
      <c r="BF81" s="16"/>
      <c r="BG81" s="16"/>
      <c r="BH81" s="16"/>
      <c r="BI81" s="16"/>
      <c r="BJ81" s="16"/>
      <c r="BK81" s="16"/>
      <c r="BL81" s="16"/>
      <c r="BM81" s="16"/>
      <c r="BN81" s="16"/>
      <c r="BO81" s="16"/>
      <c r="BP81" s="16"/>
      <c r="BQ81" s="16"/>
      <c r="BR81" s="16"/>
      <c r="BS81" s="16"/>
      <c r="BT81" s="16"/>
      <c r="BU81" s="16"/>
      <c r="BV81" s="16"/>
      <c r="BW81" s="16"/>
    </row>
    <row r="82" spans="1:75" ht="18" hidden="1" customHeight="1" outlineLevel="1">
      <c r="J82" s="9"/>
      <c r="Q82" s="5">
        <v>2029</v>
      </c>
      <c r="R82" s="5">
        <v>5</v>
      </c>
      <c r="S82" s="14" t="s">
        <v>54</v>
      </c>
      <c r="T82" s="15">
        <f t="shared" si="50"/>
        <v>0</v>
      </c>
      <c r="U82" s="15">
        <f t="shared" si="51"/>
        <v>14099112</v>
      </c>
      <c r="V82" s="16">
        <f t="shared" si="52"/>
        <v>6928000</v>
      </c>
      <c r="W82" s="16">
        <f t="shared" si="53"/>
        <v>2584160</v>
      </c>
      <c r="X82" s="16">
        <v>139952</v>
      </c>
      <c r="Y82" s="16">
        <v>0</v>
      </c>
      <c r="Z82" s="16">
        <v>2726000</v>
      </c>
      <c r="AA82" s="16">
        <v>871000</v>
      </c>
      <c r="AB82" s="16">
        <v>0</v>
      </c>
      <c r="AC82" s="16">
        <v>0</v>
      </c>
      <c r="AD82" s="16">
        <v>0</v>
      </c>
      <c r="AE82" s="16">
        <v>0</v>
      </c>
      <c r="AF82" s="16">
        <v>350000</v>
      </c>
      <c r="AG82" s="16">
        <v>100000</v>
      </c>
      <c r="AH82" s="16">
        <v>100000</v>
      </c>
      <c r="AI82" s="16">
        <v>0</v>
      </c>
      <c r="AJ82" s="16">
        <v>200000</v>
      </c>
      <c r="AK82" s="16">
        <v>0</v>
      </c>
      <c r="AL82" s="16">
        <v>0</v>
      </c>
      <c r="AM82" s="16">
        <v>0</v>
      </c>
      <c r="AN82" s="16">
        <v>100000</v>
      </c>
      <c r="AO82" s="16">
        <v>0</v>
      </c>
      <c r="AP82" s="16">
        <v>0</v>
      </c>
      <c r="AQ82" s="16">
        <v>0</v>
      </c>
      <c r="AR82" s="16">
        <v>0</v>
      </c>
      <c r="AS82" s="16">
        <v>0</v>
      </c>
      <c r="AT82" s="16">
        <v>0</v>
      </c>
      <c r="AU82" s="16">
        <v>0</v>
      </c>
      <c r="AV82" s="16">
        <v>0</v>
      </c>
      <c r="AW82" s="16">
        <v>0</v>
      </c>
      <c r="AX82" s="16">
        <v>0</v>
      </c>
      <c r="AY82" s="16">
        <v>0</v>
      </c>
      <c r="AZ82" s="16">
        <v>0</v>
      </c>
      <c r="BA82" s="16"/>
      <c r="BB82" s="15">
        <f t="shared" si="54"/>
        <v>0</v>
      </c>
      <c r="BC82" s="15"/>
      <c r="BD82" s="16"/>
      <c r="BE82" s="16"/>
      <c r="BF82" s="16"/>
      <c r="BG82" s="16"/>
      <c r="BH82" s="16"/>
      <c r="BI82" s="16"/>
      <c r="BJ82" s="16"/>
      <c r="BK82" s="16"/>
      <c r="BL82" s="16"/>
      <c r="BM82" s="16"/>
      <c r="BN82" s="16"/>
      <c r="BO82" s="16"/>
      <c r="BP82" s="16"/>
      <c r="BQ82" s="16"/>
      <c r="BR82" s="16"/>
      <c r="BS82" s="16"/>
      <c r="BT82" s="16"/>
      <c r="BU82" s="16"/>
      <c r="BV82" s="16"/>
      <c r="BW82" s="16"/>
    </row>
    <row r="83" spans="1:75" ht="18" hidden="1" customHeight="1" outlineLevel="1">
      <c r="B83" s="7">
        <v>2021</v>
      </c>
      <c r="C83" s="8" t="s">
        <v>12</v>
      </c>
      <c r="E83" s="8">
        <v>6867</v>
      </c>
      <c r="J83" s="9"/>
      <c r="Q83" s="5">
        <v>2029</v>
      </c>
      <c r="R83" s="5">
        <v>4</v>
      </c>
      <c r="S83" s="14" t="s">
        <v>54</v>
      </c>
      <c r="T83" s="15">
        <f t="shared" si="50"/>
        <v>0</v>
      </c>
      <c r="U83" s="15">
        <f t="shared" si="51"/>
        <v>15108592</v>
      </c>
      <c r="V83" s="16">
        <f>6819000+109000</f>
        <v>6928000</v>
      </c>
      <c r="W83" s="16">
        <f>2543160+41000</f>
        <v>2584160</v>
      </c>
      <c r="X83" s="16">
        <v>139952</v>
      </c>
      <c r="Y83" s="16">
        <v>0</v>
      </c>
      <c r="Z83" s="16">
        <v>2726000</v>
      </c>
      <c r="AA83" s="16">
        <v>871000</v>
      </c>
      <c r="AB83" s="16">
        <v>0</v>
      </c>
      <c r="AC83" s="16">
        <f>3*(SUM(V83:W83)-SUM(V85:W85))</f>
        <v>1209480</v>
      </c>
      <c r="AD83" s="16">
        <v>0</v>
      </c>
      <c r="AE83" s="16">
        <v>0</v>
      </c>
      <c r="AF83" s="16">
        <v>350000</v>
      </c>
      <c r="AG83" s="16">
        <v>100000</v>
      </c>
      <c r="AH83" s="16">
        <v>100000</v>
      </c>
      <c r="AI83" s="16">
        <v>0</v>
      </c>
      <c r="AJ83" s="16">
        <v>0</v>
      </c>
      <c r="AK83" s="16">
        <v>0</v>
      </c>
      <c r="AL83" s="16">
        <v>0</v>
      </c>
      <c r="AM83" s="16">
        <v>0</v>
      </c>
      <c r="AN83" s="16">
        <v>100000</v>
      </c>
      <c r="AO83" s="16">
        <v>0</v>
      </c>
      <c r="AP83" s="16">
        <v>0</v>
      </c>
      <c r="AQ83" s="16">
        <v>0</v>
      </c>
      <c r="AR83" s="16">
        <v>0</v>
      </c>
      <c r="AS83" s="16">
        <v>0</v>
      </c>
      <c r="AT83" s="16">
        <v>0</v>
      </c>
      <c r="AU83" s="16">
        <v>0</v>
      </c>
      <c r="AV83" s="16">
        <v>0</v>
      </c>
      <c r="AW83" s="16">
        <v>0</v>
      </c>
      <c r="AX83" s="16">
        <v>0</v>
      </c>
      <c r="AY83" s="16">
        <v>0</v>
      </c>
      <c r="AZ83" s="16">
        <v>0</v>
      </c>
      <c r="BA83" s="16"/>
      <c r="BB83" s="15">
        <f t="shared" si="54"/>
        <v>0</v>
      </c>
      <c r="BC83" s="15"/>
      <c r="BD83" s="16"/>
      <c r="BE83" s="16"/>
      <c r="BF83" s="16"/>
      <c r="BG83" s="16"/>
      <c r="BH83" s="16"/>
      <c r="BI83" s="16"/>
      <c r="BJ83" s="16"/>
      <c r="BK83" s="16"/>
      <c r="BL83" s="16"/>
      <c r="BM83" s="16"/>
      <c r="BN83" s="16"/>
      <c r="BO83" s="16"/>
      <c r="BP83" s="16"/>
      <c r="BQ83" s="16"/>
      <c r="BR83" s="16"/>
      <c r="BS83" s="16"/>
      <c r="BT83" s="16"/>
      <c r="BU83" s="16"/>
      <c r="BV83" s="16"/>
      <c r="BW83" s="16"/>
    </row>
    <row r="84" spans="1:75" ht="18" hidden="1" customHeight="1" outlineLevel="1">
      <c r="B84" s="7">
        <v>2021</v>
      </c>
      <c r="C84" s="8" t="s">
        <v>12</v>
      </c>
      <c r="E84" s="8">
        <v>6867</v>
      </c>
      <c r="J84" s="9"/>
      <c r="Q84" s="5">
        <v>2029</v>
      </c>
      <c r="R84" s="5">
        <v>4</v>
      </c>
      <c r="S84" s="14" t="s">
        <v>28</v>
      </c>
      <c r="T84" s="15">
        <f t="shared" si="50"/>
        <v>0</v>
      </c>
      <c r="U84" s="15">
        <f t="shared" si="51"/>
        <v>15163500</v>
      </c>
      <c r="V84" s="16">
        <v>0</v>
      </c>
      <c r="W84" s="16">
        <v>0</v>
      </c>
      <c r="X84" s="16">
        <v>0</v>
      </c>
      <c r="Y84" s="16">
        <v>0</v>
      </c>
      <c r="Z84" s="16">
        <v>0</v>
      </c>
      <c r="AA84" s="16">
        <v>0</v>
      </c>
      <c r="AB84" s="16">
        <v>0</v>
      </c>
      <c r="AC84" s="16">
        <v>0</v>
      </c>
      <c r="AD84" s="16">
        <f>12*(V85+W85)*0.1*1.25</f>
        <v>13663500</v>
      </c>
      <c r="AE84" s="16">
        <v>1500000</v>
      </c>
      <c r="AF84" s="16">
        <v>0</v>
      </c>
      <c r="AG84" s="16">
        <v>0</v>
      </c>
      <c r="AH84" s="16">
        <v>0</v>
      </c>
      <c r="AI84" s="16">
        <v>0</v>
      </c>
      <c r="AJ84" s="16">
        <v>0</v>
      </c>
      <c r="AK84" s="16">
        <v>0</v>
      </c>
      <c r="AL84" s="16">
        <v>0</v>
      </c>
      <c r="AM84" s="16">
        <v>0</v>
      </c>
      <c r="AN84" s="16">
        <v>0</v>
      </c>
      <c r="AO84" s="16">
        <v>0</v>
      </c>
      <c r="AP84" s="16">
        <v>0</v>
      </c>
      <c r="AQ84" s="16">
        <v>0</v>
      </c>
      <c r="AR84" s="16">
        <v>0</v>
      </c>
      <c r="AS84" s="16">
        <v>0</v>
      </c>
      <c r="AT84" s="16">
        <v>0</v>
      </c>
      <c r="AU84" s="16">
        <v>0</v>
      </c>
      <c r="AV84" s="16">
        <v>0</v>
      </c>
      <c r="AW84" s="16">
        <v>0</v>
      </c>
      <c r="AX84" s="16">
        <v>0</v>
      </c>
      <c r="AY84" s="16">
        <v>0</v>
      </c>
      <c r="AZ84" s="16">
        <v>0</v>
      </c>
      <c r="BA84" s="16"/>
      <c r="BB84" s="15">
        <f t="shared" si="54"/>
        <v>0</v>
      </c>
      <c r="BC84" s="15"/>
      <c r="BD84" s="16"/>
      <c r="BE84" s="16"/>
      <c r="BF84" s="16"/>
      <c r="BG84" s="16"/>
      <c r="BH84" s="16"/>
      <c r="BI84" s="16"/>
      <c r="BJ84" s="16"/>
      <c r="BK84" s="16"/>
      <c r="BL84" s="16"/>
      <c r="BM84" s="16"/>
      <c r="BN84" s="16"/>
      <c r="BO84" s="16"/>
      <c r="BP84" s="16"/>
      <c r="BQ84" s="16"/>
      <c r="BR84" s="16"/>
      <c r="BS84" s="16"/>
      <c r="BT84" s="16"/>
      <c r="BU84" s="16"/>
      <c r="BV84" s="16"/>
      <c r="BW84" s="16"/>
    </row>
    <row r="85" spans="1:75" ht="18" hidden="1" customHeight="1" outlineLevel="1">
      <c r="B85" s="7">
        <v>2022</v>
      </c>
      <c r="C85" s="8" t="s">
        <v>12</v>
      </c>
      <c r="E85" s="8">
        <v>6867</v>
      </c>
      <c r="J85" s="9"/>
      <c r="Q85" s="5">
        <v>2029</v>
      </c>
      <c r="R85" s="5">
        <v>3</v>
      </c>
      <c r="S85" s="14" t="s">
        <v>54</v>
      </c>
      <c r="T85" s="15">
        <f t="shared" si="50"/>
        <v>0</v>
      </c>
      <c r="U85" s="15">
        <f t="shared" si="51"/>
        <v>13385952</v>
      </c>
      <c r="V85" s="16">
        <f t="shared" ref="V85:V86" si="58">6525000+109000</f>
        <v>6634000</v>
      </c>
      <c r="W85" s="16">
        <f t="shared" ref="W85:W86" si="59">2434000+41000</f>
        <v>2475000</v>
      </c>
      <c r="X85" s="16">
        <v>139952</v>
      </c>
      <c r="Y85" s="16">
        <v>0</v>
      </c>
      <c r="Z85" s="16">
        <v>2616000</v>
      </c>
      <c r="AA85" s="16">
        <v>871000</v>
      </c>
      <c r="AB85" s="16">
        <v>0</v>
      </c>
      <c r="AC85" s="16">
        <v>0</v>
      </c>
      <c r="AD85" s="16">
        <v>0</v>
      </c>
      <c r="AE85" s="16">
        <v>0</v>
      </c>
      <c r="AF85" s="16">
        <v>350000</v>
      </c>
      <c r="AG85" s="16">
        <v>100000</v>
      </c>
      <c r="AH85" s="16">
        <v>100000</v>
      </c>
      <c r="AI85" s="16">
        <v>0</v>
      </c>
      <c r="AJ85" s="16">
        <v>0</v>
      </c>
      <c r="AK85" s="16">
        <v>0</v>
      </c>
      <c r="AL85" s="16">
        <v>0</v>
      </c>
      <c r="AM85" s="16">
        <v>0</v>
      </c>
      <c r="AN85" s="16">
        <v>100000</v>
      </c>
      <c r="AO85" s="16">
        <v>0</v>
      </c>
      <c r="AP85" s="16">
        <v>0</v>
      </c>
      <c r="AQ85" s="16">
        <v>0</v>
      </c>
      <c r="AR85" s="16">
        <v>0</v>
      </c>
      <c r="AS85" s="16">
        <v>0</v>
      </c>
      <c r="AT85" s="16">
        <v>0</v>
      </c>
      <c r="AU85" s="16">
        <v>0</v>
      </c>
      <c r="AV85" s="16">
        <v>0</v>
      </c>
      <c r="AW85" s="16">
        <v>0</v>
      </c>
      <c r="AX85" s="16">
        <v>0</v>
      </c>
      <c r="AY85" s="16">
        <v>0</v>
      </c>
      <c r="AZ85" s="16">
        <v>0</v>
      </c>
      <c r="BA85" s="16"/>
      <c r="BB85" s="15">
        <f t="shared" si="54"/>
        <v>0</v>
      </c>
      <c r="BC85" s="15"/>
      <c r="BD85" s="16"/>
      <c r="BE85" s="16"/>
      <c r="BF85" s="16"/>
      <c r="BG85" s="16"/>
      <c r="BH85" s="16"/>
      <c r="BI85" s="16"/>
      <c r="BJ85" s="16"/>
      <c r="BK85" s="16"/>
      <c r="BL85" s="16"/>
      <c r="BM85" s="16"/>
      <c r="BN85" s="16"/>
      <c r="BO85" s="16"/>
      <c r="BP85" s="16"/>
      <c r="BQ85" s="16"/>
      <c r="BR85" s="16"/>
      <c r="BS85" s="16"/>
      <c r="BT85" s="16"/>
      <c r="BU85" s="16"/>
      <c r="BV85" s="16"/>
      <c r="BW85" s="16"/>
    </row>
    <row r="86" spans="1:75" ht="18" hidden="1" customHeight="1" outlineLevel="1">
      <c r="B86" s="7">
        <v>2023</v>
      </c>
      <c r="C86" s="8" t="s">
        <v>12</v>
      </c>
      <c r="E86" s="8">
        <v>6867</v>
      </c>
      <c r="J86" s="9"/>
      <c r="Q86" s="5">
        <v>2029</v>
      </c>
      <c r="R86" s="5">
        <v>2</v>
      </c>
      <c r="S86" s="14" t="s">
        <v>54</v>
      </c>
      <c r="T86" s="15">
        <f t="shared" si="50"/>
        <v>0</v>
      </c>
      <c r="U86" s="15">
        <f t="shared" si="51"/>
        <v>13385952</v>
      </c>
      <c r="V86" s="16">
        <f t="shared" si="58"/>
        <v>6634000</v>
      </c>
      <c r="W86" s="16">
        <f t="shared" si="59"/>
        <v>2475000</v>
      </c>
      <c r="X86" s="16">
        <v>139952</v>
      </c>
      <c r="Y86" s="16">
        <v>0</v>
      </c>
      <c r="Z86" s="16">
        <v>2616000</v>
      </c>
      <c r="AA86" s="16">
        <v>871000</v>
      </c>
      <c r="AB86" s="16">
        <v>0</v>
      </c>
      <c r="AC86" s="16">
        <v>0</v>
      </c>
      <c r="AD86" s="16">
        <v>0</v>
      </c>
      <c r="AE86" s="16">
        <v>0</v>
      </c>
      <c r="AF86" s="16">
        <v>350000</v>
      </c>
      <c r="AG86" s="16">
        <v>100000</v>
      </c>
      <c r="AH86" s="16">
        <v>100000</v>
      </c>
      <c r="AI86" s="16">
        <v>0</v>
      </c>
      <c r="AJ86" s="16">
        <v>0</v>
      </c>
      <c r="AK86" s="16">
        <v>0</v>
      </c>
      <c r="AL86" s="16">
        <v>0</v>
      </c>
      <c r="AM86" s="16">
        <v>0</v>
      </c>
      <c r="AN86" s="16">
        <v>100000</v>
      </c>
      <c r="AO86" s="16">
        <v>0</v>
      </c>
      <c r="AP86" s="16">
        <v>0</v>
      </c>
      <c r="AQ86" s="16">
        <v>0</v>
      </c>
      <c r="AR86" s="16">
        <v>0</v>
      </c>
      <c r="AS86" s="16">
        <v>0</v>
      </c>
      <c r="AT86" s="16">
        <v>0</v>
      </c>
      <c r="AU86" s="16">
        <v>0</v>
      </c>
      <c r="AV86" s="16">
        <v>0</v>
      </c>
      <c r="AW86" s="16">
        <v>0</v>
      </c>
      <c r="AX86" s="16">
        <v>0</v>
      </c>
      <c r="AY86" s="16">
        <v>0</v>
      </c>
      <c r="AZ86" s="16">
        <v>0</v>
      </c>
      <c r="BA86" s="16"/>
      <c r="BB86" s="15">
        <f t="shared" si="54"/>
        <v>0</v>
      </c>
      <c r="BC86" s="15"/>
      <c r="BD86" s="16"/>
      <c r="BE86" s="16"/>
      <c r="BF86" s="16"/>
      <c r="BG86" s="16"/>
      <c r="BH86" s="16"/>
      <c r="BI86" s="16"/>
      <c r="BJ86" s="16"/>
      <c r="BK86" s="16"/>
      <c r="BL86" s="16"/>
      <c r="BM86" s="16"/>
      <c r="BN86" s="16"/>
      <c r="BO86" s="16"/>
      <c r="BP86" s="16"/>
      <c r="BQ86" s="16"/>
      <c r="BR86" s="16"/>
      <c r="BS86" s="16"/>
      <c r="BT86" s="16"/>
      <c r="BU86" s="16"/>
      <c r="BV86" s="16"/>
      <c r="BW86" s="16"/>
    </row>
    <row r="87" spans="1:75" ht="18" hidden="1" customHeight="1" outlineLevel="1">
      <c r="B87" s="7">
        <v>2024</v>
      </c>
      <c r="C87" s="8" t="s">
        <v>12</v>
      </c>
      <c r="E87" s="8">
        <v>6867</v>
      </c>
      <c r="J87" s="9"/>
      <c r="Q87" s="5">
        <v>2029</v>
      </c>
      <c r="R87" s="5">
        <v>1</v>
      </c>
      <c r="S87" s="14" t="s">
        <v>54</v>
      </c>
      <c r="T87" s="15">
        <f t="shared" si="50"/>
        <v>0</v>
      </c>
      <c r="U87" s="15">
        <f t="shared" si="51"/>
        <v>13385952</v>
      </c>
      <c r="V87" s="16">
        <f>6525000+109000</f>
        <v>6634000</v>
      </c>
      <c r="W87" s="16">
        <f>2434000+41000</f>
        <v>2475000</v>
      </c>
      <c r="X87" s="16">
        <v>139952</v>
      </c>
      <c r="Y87" s="16">
        <v>0</v>
      </c>
      <c r="Z87" s="16">
        <v>2616000</v>
      </c>
      <c r="AA87" s="16">
        <v>871000</v>
      </c>
      <c r="AB87" s="16">
        <v>0</v>
      </c>
      <c r="AC87" s="16">
        <v>0</v>
      </c>
      <c r="AD87" s="16">
        <v>0</v>
      </c>
      <c r="AE87" s="16">
        <v>0</v>
      </c>
      <c r="AF87" s="16">
        <v>350000</v>
      </c>
      <c r="AG87" s="16">
        <v>100000</v>
      </c>
      <c r="AH87" s="16">
        <v>100000</v>
      </c>
      <c r="AI87" s="16">
        <v>0</v>
      </c>
      <c r="AJ87" s="16">
        <v>0</v>
      </c>
      <c r="AK87" s="16">
        <v>0</v>
      </c>
      <c r="AL87" s="16">
        <v>0</v>
      </c>
      <c r="AM87" s="16">
        <v>0</v>
      </c>
      <c r="AN87" s="16">
        <v>100000</v>
      </c>
      <c r="AO87" s="16">
        <v>0</v>
      </c>
      <c r="AP87" s="16">
        <v>0</v>
      </c>
      <c r="AQ87" s="16">
        <v>0</v>
      </c>
      <c r="AR87" s="16">
        <v>0</v>
      </c>
      <c r="AS87" s="16">
        <v>0</v>
      </c>
      <c r="AT87" s="16">
        <v>0</v>
      </c>
      <c r="AU87" s="16">
        <v>0</v>
      </c>
      <c r="AV87" s="16">
        <v>0</v>
      </c>
      <c r="AW87" s="16">
        <v>0</v>
      </c>
      <c r="AX87" s="16">
        <v>0</v>
      </c>
      <c r="AY87" s="16">
        <v>0</v>
      </c>
      <c r="AZ87" s="16">
        <v>0</v>
      </c>
      <c r="BA87" s="16"/>
      <c r="BB87" s="15">
        <f t="shared" si="54"/>
        <v>0</v>
      </c>
      <c r="BC87" s="15"/>
      <c r="BD87" s="16"/>
      <c r="BE87" s="16"/>
      <c r="BF87" s="16"/>
      <c r="BG87" s="16"/>
      <c r="BH87" s="16"/>
      <c r="BI87" s="16"/>
      <c r="BJ87" s="16"/>
      <c r="BK87" s="16"/>
      <c r="BL87" s="16"/>
      <c r="BM87" s="16"/>
      <c r="BN87" s="16"/>
      <c r="BO87" s="16"/>
      <c r="BP87" s="16"/>
      <c r="BQ87" s="16"/>
      <c r="BR87" s="16"/>
      <c r="BS87" s="16"/>
      <c r="BT87" s="16"/>
      <c r="BU87" s="16"/>
      <c r="BV87" s="16"/>
      <c r="BW87" s="16"/>
    </row>
    <row r="88" spans="1:75" s="1" customFormat="1" ht="18" customHeight="1" collapsed="1">
      <c r="A88" s="10"/>
      <c r="B88" s="11"/>
      <c r="C88" s="12"/>
      <c r="D88" s="11"/>
      <c r="E88" s="12"/>
      <c r="F88" s="12"/>
      <c r="G88" s="12"/>
      <c r="H88" s="12"/>
      <c r="I88" s="12"/>
      <c r="J88" s="3"/>
      <c r="K88" s="12"/>
      <c r="L88" s="12"/>
      <c r="M88" s="12"/>
      <c r="N88" s="12"/>
      <c r="O88" s="13"/>
      <c r="Q88" s="667" t="s">
        <v>1636</v>
      </c>
      <c r="R88" s="667"/>
      <c r="S88" s="667"/>
      <c r="T88" s="23">
        <f t="shared" ref="T88:AZ88" si="60">SUMIF($Q$2:$Q$793,$Q89,T$2:T$793)</f>
        <v>0</v>
      </c>
      <c r="U88" s="23">
        <f t="shared" si="60"/>
        <v>173111914</v>
      </c>
      <c r="V88" s="23">
        <f t="shared" si="60"/>
        <v>77472000</v>
      </c>
      <c r="W88" s="23">
        <f t="shared" si="60"/>
        <v>28897980</v>
      </c>
      <c r="X88" s="23">
        <f t="shared" si="60"/>
        <v>1679424</v>
      </c>
      <c r="Y88" s="23">
        <f t="shared" si="60"/>
        <v>0</v>
      </c>
      <c r="Z88" s="23">
        <f t="shared" si="60"/>
        <v>30603000</v>
      </c>
      <c r="AA88" s="23">
        <f t="shared" si="60"/>
        <v>10452000</v>
      </c>
      <c r="AB88" s="23">
        <f t="shared" si="60"/>
        <v>0</v>
      </c>
      <c r="AC88" s="23">
        <f t="shared" si="60"/>
        <v>1138020</v>
      </c>
      <c r="AD88" s="23">
        <f t="shared" si="60"/>
        <v>12869490</v>
      </c>
      <c r="AE88" s="23">
        <f t="shared" si="60"/>
        <v>1500000</v>
      </c>
      <c r="AF88" s="23">
        <f t="shared" si="60"/>
        <v>4200000</v>
      </c>
      <c r="AG88" s="23">
        <f t="shared" si="60"/>
        <v>1200000</v>
      </c>
      <c r="AH88" s="23">
        <f t="shared" si="60"/>
        <v>1200000</v>
      </c>
      <c r="AI88" s="23">
        <f t="shared" si="60"/>
        <v>0</v>
      </c>
      <c r="AJ88" s="23">
        <f t="shared" si="60"/>
        <v>400000</v>
      </c>
      <c r="AK88" s="23">
        <f t="shared" si="60"/>
        <v>300000</v>
      </c>
      <c r="AL88" s="23">
        <f t="shared" si="60"/>
        <v>0</v>
      </c>
      <c r="AM88" s="23">
        <f t="shared" si="60"/>
        <v>0</v>
      </c>
      <c r="AN88" s="23">
        <f t="shared" si="60"/>
        <v>1200000</v>
      </c>
      <c r="AO88" s="23">
        <f t="shared" si="60"/>
        <v>0</v>
      </c>
      <c r="AP88" s="23">
        <f t="shared" si="60"/>
        <v>0</v>
      </c>
      <c r="AQ88" s="23">
        <f t="shared" si="60"/>
        <v>0</v>
      </c>
      <c r="AR88" s="23">
        <f t="shared" si="60"/>
        <v>0</v>
      </c>
      <c r="AS88" s="23">
        <f t="shared" si="60"/>
        <v>0</v>
      </c>
      <c r="AT88" s="23">
        <f t="shared" si="60"/>
        <v>0</v>
      </c>
      <c r="AU88" s="23">
        <f t="shared" si="60"/>
        <v>0</v>
      </c>
      <c r="AV88" s="23">
        <f t="shared" si="60"/>
        <v>0</v>
      </c>
      <c r="AW88" s="23">
        <f t="shared" si="60"/>
        <v>0</v>
      </c>
      <c r="AX88" s="23">
        <f t="shared" si="60"/>
        <v>0</v>
      </c>
      <c r="AY88" s="23">
        <f t="shared" si="60"/>
        <v>0</v>
      </c>
      <c r="AZ88" s="23">
        <f t="shared" si="60"/>
        <v>0</v>
      </c>
      <c r="BA88" s="23"/>
      <c r="BB88" s="23">
        <f t="shared" ref="BB88:BW88" si="61">SUMIF($Q$2:$Q$793,$Q89,BB$2:BB$793)</f>
        <v>0</v>
      </c>
      <c r="BC88" s="23">
        <f t="shared" si="61"/>
        <v>0</v>
      </c>
      <c r="BD88" s="23">
        <f t="shared" si="61"/>
        <v>0</v>
      </c>
      <c r="BE88" s="23">
        <f t="shared" si="61"/>
        <v>0</v>
      </c>
      <c r="BF88" s="23">
        <f t="shared" si="61"/>
        <v>0</v>
      </c>
      <c r="BG88" s="23">
        <f t="shared" si="61"/>
        <v>0</v>
      </c>
      <c r="BH88" s="23">
        <f t="shared" si="61"/>
        <v>0</v>
      </c>
      <c r="BI88" s="23">
        <f t="shared" si="61"/>
        <v>0</v>
      </c>
      <c r="BJ88" s="23">
        <f t="shared" si="61"/>
        <v>0</v>
      </c>
      <c r="BK88" s="23">
        <f t="shared" si="61"/>
        <v>0</v>
      </c>
      <c r="BL88" s="23">
        <f t="shared" si="61"/>
        <v>0</v>
      </c>
      <c r="BM88" s="23">
        <f t="shared" si="61"/>
        <v>0</v>
      </c>
      <c r="BN88" s="23">
        <f t="shared" si="61"/>
        <v>0</v>
      </c>
      <c r="BO88" s="23">
        <f t="shared" si="61"/>
        <v>0</v>
      </c>
      <c r="BP88" s="23">
        <f t="shared" si="61"/>
        <v>0</v>
      </c>
      <c r="BQ88" s="23">
        <f t="shared" si="61"/>
        <v>0</v>
      </c>
      <c r="BR88" s="23">
        <f t="shared" si="61"/>
        <v>0</v>
      </c>
      <c r="BS88" s="23">
        <f t="shared" si="61"/>
        <v>0</v>
      </c>
      <c r="BT88" s="23">
        <f t="shared" si="61"/>
        <v>0</v>
      </c>
      <c r="BU88" s="23">
        <f t="shared" si="61"/>
        <v>0</v>
      </c>
      <c r="BV88" s="23">
        <f t="shared" si="61"/>
        <v>0</v>
      </c>
      <c r="BW88" s="23">
        <f t="shared" si="61"/>
        <v>0</v>
      </c>
    </row>
    <row r="89" spans="1:75" ht="18" hidden="1" customHeight="1" outlineLevel="1">
      <c r="D89" s="7" t="s">
        <v>11</v>
      </c>
      <c r="F89" s="8">
        <v>4717</v>
      </c>
      <c r="G89" s="8">
        <v>5848</v>
      </c>
      <c r="K89" s="8">
        <v>2400</v>
      </c>
      <c r="L89" s="8">
        <f>K89*12</f>
        <v>28800</v>
      </c>
      <c r="M89" s="8">
        <f>L89*1.13</f>
        <v>32543.999999999996</v>
      </c>
      <c r="N89" s="8">
        <v>21014</v>
      </c>
      <c r="O89" s="9">
        <f>N89/M89</f>
        <v>0.64571042281219282</v>
      </c>
      <c r="Q89" s="5">
        <v>2028</v>
      </c>
      <c r="R89" s="5">
        <v>12</v>
      </c>
      <c r="S89" s="14" t="s">
        <v>54</v>
      </c>
      <c r="T89" s="15">
        <f t="shared" ref="T89:T101" si="62">IF(U89=U89-BB89,0,U89-BB89)</f>
        <v>0</v>
      </c>
      <c r="U89" s="15">
        <f t="shared" ref="U89:U101" si="63">SUM(V89:BA89)</f>
        <v>13195952</v>
      </c>
      <c r="V89" s="16">
        <f t="shared" ref="V89:V96" si="64">6416000+109000</f>
        <v>6525000</v>
      </c>
      <c r="W89" s="16">
        <v>2434000</v>
      </c>
      <c r="X89" s="16">
        <v>139952</v>
      </c>
      <c r="Y89" s="16">
        <v>0</v>
      </c>
      <c r="Z89" s="16">
        <v>2576000</v>
      </c>
      <c r="AA89" s="16">
        <v>871000</v>
      </c>
      <c r="AB89" s="16">
        <v>0</v>
      </c>
      <c r="AC89" s="16">
        <v>0</v>
      </c>
      <c r="AD89" s="16">
        <v>0</v>
      </c>
      <c r="AE89" s="16">
        <v>0</v>
      </c>
      <c r="AF89" s="16">
        <v>350000</v>
      </c>
      <c r="AG89" s="16">
        <v>100000</v>
      </c>
      <c r="AH89" s="16">
        <v>100000</v>
      </c>
      <c r="AI89" s="16">
        <v>0</v>
      </c>
      <c r="AJ89" s="16">
        <v>0</v>
      </c>
      <c r="AK89" s="16">
        <v>0</v>
      </c>
      <c r="AL89" s="16">
        <v>0</v>
      </c>
      <c r="AM89" s="16">
        <v>0</v>
      </c>
      <c r="AN89" s="16">
        <v>100000</v>
      </c>
      <c r="AO89" s="16">
        <v>0</v>
      </c>
      <c r="AP89" s="16">
        <v>0</v>
      </c>
      <c r="AQ89" s="16">
        <v>0</v>
      </c>
      <c r="AR89" s="16">
        <v>0</v>
      </c>
      <c r="AS89" s="16">
        <v>0</v>
      </c>
      <c r="AT89" s="16">
        <v>0</v>
      </c>
      <c r="AU89" s="16">
        <v>0</v>
      </c>
      <c r="AV89" s="16">
        <v>0</v>
      </c>
      <c r="AW89" s="16">
        <v>0</v>
      </c>
      <c r="AX89" s="16">
        <v>0</v>
      </c>
      <c r="AY89" s="16">
        <v>0</v>
      </c>
      <c r="AZ89" s="16">
        <v>0</v>
      </c>
      <c r="BA89" s="16"/>
      <c r="BB89" s="15">
        <f t="shared" ref="BB89:BB101" si="65">SUM(BC89:BW89)</f>
        <v>0</v>
      </c>
      <c r="BC89" s="15"/>
      <c r="BD89" s="16"/>
      <c r="BE89" s="16"/>
      <c r="BF89" s="16"/>
      <c r="BG89" s="16"/>
      <c r="BH89" s="16"/>
      <c r="BI89" s="16"/>
      <c r="BJ89" s="16"/>
      <c r="BK89" s="16"/>
      <c r="BL89" s="16"/>
      <c r="BM89" s="16"/>
      <c r="BN89" s="16"/>
      <c r="BO89" s="16"/>
      <c r="BP89" s="16"/>
      <c r="BQ89" s="16"/>
      <c r="BR89" s="16"/>
      <c r="BS89" s="16"/>
      <c r="BT89" s="16"/>
      <c r="BU89" s="16"/>
      <c r="BV89" s="16"/>
      <c r="BW89" s="16"/>
    </row>
    <row r="90" spans="1:75" ht="18" hidden="1" customHeight="1" outlineLevel="1">
      <c r="D90" s="7" t="s">
        <v>11</v>
      </c>
      <c r="F90" s="8">
        <v>4717</v>
      </c>
      <c r="G90" s="8">
        <v>5848</v>
      </c>
      <c r="K90" s="8">
        <v>2400</v>
      </c>
      <c r="L90" s="8">
        <f>K90*12</f>
        <v>28800</v>
      </c>
      <c r="M90" s="8">
        <f>L90*1.13</f>
        <v>32543.999999999996</v>
      </c>
      <c r="N90" s="8">
        <v>21014</v>
      </c>
      <c r="O90" s="9">
        <f>N90/M90</f>
        <v>0.64571042281219282</v>
      </c>
      <c r="Q90" s="5">
        <v>2028</v>
      </c>
      <c r="R90" s="5">
        <v>11</v>
      </c>
      <c r="S90" s="14" t="s">
        <v>54</v>
      </c>
      <c r="T90" s="15">
        <f t="shared" si="62"/>
        <v>0</v>
      </c>
      <c r="U90" s="15">
        <f t="shared" si="63"/>
        <v>13195952</v>
      </c>
      <c r="V90" s="16">
        <f t="shared" si="64"/>
        <v>6525000</v>
      </c>
      <c r="W90" s="16">
        <v>2434000</v>
      </c>
      <c r="X90" s="16">
        <v>139952</v>
      </c>
      <c r="Y90" s="16">
        <v>0</v>
      </c>
      <c r="Z90" s="16">
        <v>2576000</v>
      </c>
      <c r="AA90" s="16">
        <v>871000</v>
      </c>
      <c r="AB90" s="16">
        <v>0</v>
      </c>
      <c r="AC90" s="16">
        <v>0</v>
      </c>
      <c r="AD90" s="16">
        <v>0</v>
      </c>
      <c r="AE90" s="16">
        <v>0</v>
      </c>
      <c r="AF90" s="16">
        <v>350000</v>
      </c>
      <c r="AG90" s="16">
        <v>100000</v>
      </c>
      <c r="AH90" s="16">
        <v>100000</v>
      </c>
      <c r="AI90" s="16">
        <v>0</v>
      </c>
      <c r="AJ90" s="16">
        <v>0</v>
      </c>
      <c r="AK90" s="16">
        <v>0</v>
      </c>
      <c r="AL90" s="16">
        <v>0</v>
      </c>
      <c r="AM90" s="16">
        <v>0</v>
      </c>
      <c r="AN90" s="16">
        <v>100000</v>
      </c>
      <c r="AO90" s="16">
        <v>0</v>
      </c>
      <c r="AP90" s="16">
        <v>0</v>
      </c>
      <c r="AQ90" s="16">
        <v>0</v>
      </c>
      <c r="AR90" s="16">
        <v>0</v>
      </c>
      <c r="AS90" s="16">
        <v>0</v>
      </c>
      <c r="AT90" s="16">
        <v>0</v>
      </c>
      <c r="AU90" s="16">
        <v>0</v>
      </c>
      <c r="AV90" s="16">
        <v>0</v>
      </c>
      <c r="AW90" s="16">
        <v>0</v>
      </c>
      <c r="AX90" s="16">
        <v>0</v>
      </c>
      <c r="AY90" s="16">
        <v>0</v>
      </c>
      <c r="AZ90" s="16">
        <v>0</v>
      </c>
      <c r="BA90" s="16"/>
      <c r="BB90" s="15">
        <f t="shared" si="65"/>
        <v>0</v>
      </c>
      <c r="BC90" s="15"/>
      <c r="BD90" s="16"/>
      <c r="BE90" s="16"/>
      <c r="BF90" s="16"/>
      <c r="BG90" s="16"/>
      <c r="BH90" s="16"/>
      <c r="BI90" s="16"/>
      <c r="BJ90" s="16"/>
      <c r="BK90" s="16"/>
      <c r="BL90" s="16"/>
      <c r="BM90" s="16"/>
      <c r="BN90" s="16"/>
      <c r="BO90" s="16"/>
      <c r="BP90" s="16"/>
      <c r="BQ90" s="16"/>
      <c r="BR90" s="16"/>
      <c r="BS90" s="16"/>
      <c r="BT90" s="16"/>
      <c r="BU90" s="16"/>
      <c r="BV90" s="16"/>
      <c r="BW90" s="16"/>
    </row>
    <row r="91" spans="1:75" ht="18" hidden="1" customHeight="1" outlineLevel="1">
      <c r="D91" s="7" t="s">
        <v>11</v>
      </c>
      <c r="F91" s="8">
        <v>4717</v>
      </c>
      <c r="G91" s="8">
        <v>5848</v>
      </c>
      <c r="K91" s="8">
        <v>2400</v>
      </c>
      <c r="L91" s="8">
        <f t="shared" ref="L91:L94" si="66">K91*12</f>
        <v>28800</v>
      </c>
      <c r="M91" s="8">
        <f t="shared" ref="M91:M94" si="67">L91*1.13</f>
        <v>32543.999999999996</v>
      </c>
      <c r="N91" s="8">
        <v>21014</v>
      </c>
      <c r="O91" s="9">
        <f t="shared" ref="O91:O94" si="68">N91/M91</f>
        <v>0.64571042281219282</v>
      </c>
      <c r="Q91" s="5">
        <v>2028</v>
      </c>
      <c r="R91" s="5">
        <v>10</v>
      </c>
      <c r="S91" s="14" t="s">
        <v>54</v>
      </c>
      <c r="T91" s="15">
        <f t="shared" si="62"/>
        <v>0</v>
      </c>
      <c r="U91" s="15">
        <f t="shared" si="63"/>
        <v>13195952</v>
      </c>
      <c r="V91" s="16">
        <f t="shared" si="64"/>
        <v>6525000</v>
      </c>
      <c r="W91" s="16">
        <v>2434000</v>
      </c>
      <c r="X91" s="16">
        <v>139952</v>
      </c>
      <c r="Y91" s="16">
        <v>0</v>
      </c>
      <c r="Z91" s="16">
        <v>2576000</v>
      </c>
      <c r="AA91" s="16">
        <v>871000</v>
      </c>
      <c r="AB91" s="16">
        <v>0</v>
      </c>
      <c r="AC91" s="16">
        <v>0</v>
      </c>
      <c r="AD91" s="16">
        <v>0</v>
      </c>
      <c r="AE91" s="16">
        <v>0</v>
      </c>
      <c r="AF91" s="16">
        <v>350000</v>
      </c>
      <c r="AG91" s="16">
        <v>100000</v>
      </c>
      <c r="AH91" s="16">
        <v>100000</v>
      </c>
      <c r="AI91" s="16">
        <v>0</v>
      </c>
      <c r="AJ91" s="16">
        <v>0</v>
      </c>
      <c r="AK91" s="16">
        <v>0</v>
      </c>
      <c r="AL91" s="16">
        <v>0</v>
      </c>
      <c r="AM91" s="16">
        <v>0</v>
      </c>
      <c r="AN91" s="16">
        <v>100000</v>
      </c>
      <c r="AO91" s="16">
        <v>0</v>
      </c>
      <c r="AP91" s="16">
        <v>0</v>
      </c>
      <c r="AQ91" s="16">
        <v>0</v>
      </c>
      <c r="AR91" s="16">
        <v>0</v>
      </c>
      <c r="AS91" s="16">
        <v>0</v>
      </c>
      <c r="AT91" s="16">
        <v>0</v>
      </c>
      <c r="AU91" s="16">
        <v>0</v>
      </c>
      <c r="AV91" s="16">
        <v>0</v>
      </c>
      <c r="AW91" s="16">
        <v>0</v>
      </c>
      <c r="AX91" s="16">
        <v>0</v>
      </c>
      <c r="AY91" s="16">
        <v>0</v>
      </c>
      <c r="AZ91" s="16">
        <v>0</v>
      </c>
      <c r="BA91" s="16"/>
      <c r="BB91" s="15">
        <f t="shared" si="65"/>
        <v>0</v>
      </c>
      <c r="BC91" s="15"/>
      <c r="BD91" s="16"/>
      <c r="BE91" s="16"/>
      <c r="BF91" s="16"/>
      <c r="BG91" s="16"/>
      <c r="BH91" s="16"/>
      <c r="BI91" s="16"/>
      <c r="BJ91" s="16"/>
      <c r="BK91" s="16"/>
      <c r="BL91" s="16"/>
      <c r="BM91" s="16"/>
      <c r="BN91" s="16"/>
      <c r="BO91" s="16"/>
      <c r="BP91" s="16"/>
      <c r="BQ91" s="16"/>
      <c r="BR91" s="16"/>
      <c r="BS91" s="16"/>
      <c r="BT91" s="16"/>
      <c r="BU91" s="16"/>
      <c r="BV91" s="16"/>
      <c r="BW91" s="16"/>
    </row>
    <row r="92" spans="1:75" ht="18" hidden="1" customHeight="1" outlineLevel="1">
      <c r="D92" s="7" t="s">
        <v>12</v>
      </c>
      <c r="F92" s="8">
        <v>6867</v>
      </c>
      <c r="G92" s="8">
        <v>6867</v>
      </c>
      <c r="K92" s="8">
        <v>2400</v>
      </c>
      <c r="L92" s="8">
        <f t="shared" si="66"/>
        <v>28800</v>
      </c>
      <c r="M92" s="8">
        <f t="shared" si="67"/>
        <v>32543.999999999996</v>
      </c>
      <c r="N92" s="8">
        <v>21014</v>
      </c>
      <c r="O92" s="9">
        <f t="shared" si="68"/>
        <v>0.64571042281219282</v>
      </c>
      <c r="Q92" s="5">
        <v>2028</v>
      </c>
      <c r="R92" s="5">
        <v>9</v>
      </c>
      <c r="S92" s="14" t="s">
        <v>54</v>
      </c>
      <c r="T92" s="15">
        <f t="shared" si="62"/>
        <v>0</v>
      </c>
      <c r="U92" s="15">
        <f t="shared" si="63"/>
        <v>13395952</v>
      </c>
      <c r="V92" s="16">
        <f t="shared" si="64"/>
        <v>6525000</v>
      </c>
      <c r="W92" s="16">
        <v>2434000</v>
      </c>
      <c r="X92" s="16">
        <v>139952</v>
      </c>
      <c r="Y92" s="16">
        <v>0</v>
      </c>
      <c r="Z92" s="16">
        <v>2576000</v>
      </c>
      <c r="AA92" s="16">
        <v>871000</v>
      </c>
      <c r="AB92" s="16">
        <v>0</v>
      </c>
      <c r="AC92" s="16">
        <v>0</v>
      </c>
      <c r="AD92" s="16">
        <v>0</v>
      </c>
      <c r="AE92" s="16">
        <v>0</v>
      </c>
      <c r="AF92" s="16">
        <v>350000</v>
      </c>
      <c r="AG92" s="16">
        <v>100000</v>
      </c>
      <c r="AH92" s="16">
        <v>100000</v>
      </c>
      <c r="AI92" s="16">
        <v>0</v>
      </c>
      <c r="AJ92" s="16">
        <v>200000</v>
      </c>
      <c r="AK92" s="16">
        <v>0</v>
      </c>
      <c r="AL92" s="16">
        <v>0</v>
      </c>
      <c r="AM92" s="16">
        <v>0</v>
      </c>
      <c r="AN92" s="16">
        <v>100000</v>
      </c>
      <c r="AO92" s="16">
        <v>0</v>
      </c>
      <c r="AP92" s="16">
        <v>0</v>
      </c>
      <c r="AQ92" s="16">
        <v>0</v>
      </c>
      <c r="AR92" s="16">
        <v>0</v>
      </c>
      <c r="AS92" s="16">
        <v>0</v>
      </c>
      <c r="AT92" s="16">
        <v>0</v>
      </c>
      <c r="AU92" s="16">
        <v>0</v>
      </c>
      <c r="AV92" s="16">
        <v>0</v>
      </c>
      <c r="AW92" s="16">
        <v>0</v>
      </c>
      <c r="AX92" s="16">
        <v>0</v>
      </c>
      <c r="AY92" s="16">
        <v>0</v>
      </c>
      <c r="AZ92" s="16">
        <v>0</v>
      </c>
      <c r="BA92" s="16"/>
      <c r="BB92" s="15">
        <f t="shared" si="65"/>
        <v>0</v>
      </c>
      <c r="BC92" s="15"/>
      <c r="BD92" s="16"/>
      <c r="BE92" s="16"/>
      <c r="BF92" s="16"/>
      <c r="BG92" s="16"/>
      <c r="BH92" s="16"/>
      <c r="BI92" s="16"/>
      <c r="BJ92" s="16"/>
      <c r="BK92" s="16"/>
      <c r="BL92" s="16"/>
      <c r="BM92" s="16"/>
      <c r="BN92" s="16"/>
      <c r="BO92" s="16"/>
      <c r="BP92" s="16"/>
      <c r="BQ92" s="16"/>
      <c r="BR92" s="16"/>
      <c r="BS92" s="16"/>
      <c r="BT92" s="16"/>
      <c r="BU92" s="16"/>
      <c r="BV92" s="16"/>
      <c r="BW92" s="16"/>
    </row>
    <row r="93" spans="1:75" ht="18" hidden="1" customHeight="1" outlineLevel="1">
      <c r="D93" s="7" t="s">
        <v>13</v>
      </c>
      <c r="F93" s="8">
        <v>7988</v>
      </c>
      <c r="G93" s="8" t="s">
        <v>2</v>
      </c>
      <c r="H93" s="8" t="s">
        <v>17</v>
      </c>
      <c r="I93" s="8">
        <v>171</v>
      </c>
      <c r="K93" s="8">
        <v>2400</v>
      </c>
      <c r="L93" s="8">
        <f t="shared" si="66"/>
        <v>28800</v>
      </c>
      <c r="M93" s="8">
        <f t="shared" si="67"/>
        <v>32543.999999999996</v>
      </c>
      <c r="N93" s="8">
        <v>21014</v>
      </c>
      <c r="O93" s="9">
        <f t="shared" si="68"/>
        <v>0.64571042281219282</v>
      </c>
      <c r="Q93" s="5">
        <v>2028</v>
      </c>
      <c r="R93" s="5">
        <v>8</v>
      </c>
      <c r="S93" s="14" t="s">
        <v>54</v>
      </c>
      <c r="T93" s="15">
        <f t="shared" si="62"/>
        <v>0</v>
      </c>
      <c r="U93" s="15">
        <f t="shared" si="63"/>
        <v>13195952</v>
      </c>
      <c r="V93" s="16">
        <f t="shared" si="64"/>
        <v>6525000</v>
      </c>
      <c r="W93" s="16">
        <v>2434000</v>
      </c>
      <c r="X93" s="16">
        <v>139952</v>
      </c>
      <c r="Y93" s="16">
        <v>0</v>
      </c>
      <c r="Z93" s="16">
        <v>2576000</v>
      </c>
      <c r="AA93" s="16">
        <v>871000</v>
      </c>
      <c r="AB93" s="16">
        <v>0</v>
      </c>
      <c r="AC93" s="16">
        <v>0</v>
      </c>
      <c r="AD93" s="16">
        <v>0</v>
      </c>
      <c r="AE93" s="16">
        <v>0</v>
      </c>
      <c r="AF93" s="16">
        <v>350000</v>
      </c>
      <c r="AG93" s="16">
        <v>100000</v>
      </c>
      <c r="AH93" s="16">
        <v>100000</v>
      </c>
      <c r="AI93" s="16">
        <v>0</v>
      </c>
      <c r="AJ93" s="16">
        <v>0</v>
      </c>
      <c r="AK93" s="16">
        <v>0</v>
      </c>
      <c r="AL93" s="16">
        <v>0</v>
      </c>
      <c r="AM93" s="16">
        <v>0</v>
      </c>
      <c r="AN93" s="16">
        <v>100000</v>
      </c>
      <c r="AO93" s="16">
        <v>0</v>
      </c>
      <c r="AP93" s="16">
        <v>0</v>
      </c>
      <c r="AQ93" s="16">
        <v>0</v>
      </c>
      <c r="AR93" s="16">
        <v>0</v>
      </c>
      <c r="AS93" s="16">
        <v>0</v>
      </c>
      <c r="AT93" s="16">
        <v>0</v>
      </c>
      <c r="AU93" s="16">
        <v>0</v>
      </c>
      <c r="AV93" s="16">
        <v>0</v>
      </c>
      <c r="AW93" s="16">
        <v>0</v>
      </c>
      <c r="AX93" s="16">
        <v>0</v>
      </c>
      <c r="AY93" s="16">
        <v>0</v>
      </c>
      <c r="AZ93" s="16">
        <v>0</v>
      </c>
      <c r="BA93" s="16"/>
      <c r="BB93" s="15">
        <f t="shared" si="65"/>
        <v>0</v>
      </c>
      <c r="BC93" s="15"/>
      <c r="BD93" s="16"/>
      <c r="BE93" s="16"/>
      <c r="BF93" s="16"/>
      <c r="BG93" s="16"/>
      <c r="BH93" s="16"/>
      <c r="BI93" s="16"/>
      <c r="BJ93" s="16"/>
      <c r="BK93" s="16"/>
      <c r="BL93" s="16"/>
      <c r="BM93" s="16"/>
      <c r="BN93" s="16"/>
      <c r="BO93" s="16"/>
      <c r="BP93" s="16"/>
      <c r="BQ93" s="16"/>
      <c r="BR93" s="16"/>
      <c r="BS93" s="16"/>
      <c r="BT93" s="16"/>
      <c r="BU93" s="16"/>
      <c r="BV93" s="16"/>
      <c r="BW93" s="16"/>
    </row>
    <row r="94" spans="1:75" ht="18" hidden="1" customHeight="1" outlineLevel="1">
      <c r="D94" s="7" t="s">
        <v>13</v>
      </c>
      <c r="F94" s="8">
        <v>7988</v>
      </c>
      <c r="G94" s="8" t="s">
        <v>2</v>
      </c>
      <c r="H94" s="8" t="s">
        <v>17</v>
      </c>
      <c r="I94" s="8">
        <v>171</v>
      </c>
      <c r="K94" s="8">
        <v>2400</v>
      </c>
      <c r="L94" s="8">
        <f t="shared" si="66"/>
        <v>28800</v>
      </c>
      <c r="M94" s="8">
        <f t="shared" si="67"/>
        <v>32543.999999999996</v>
      </c>
      <c r="N94" s="8">
        <v>21014</v>
      </c>
      <c r="O94" s="9">
        <f t="shared" si="68"/>
        <v>0.64571042281219282</v>
      </c>
      <c r="Q94" s="5">
        <v>2028</v>
      </c>
      <c r="R94" s="5">
        <v>7</v>
      </c>
      <c r="S94" s="14" t="s">
        <v>54</v>
      </c>
      <c r="T94" s="15">
        <f t="shared" si="62"/>
        <v>0</v>
      </c>
      <c r="U94" s="15">
        <f t="shared" si="63"/>
        <v>13495952</v>
      </c>
      <c r="V94" s="16">
        <f t="shared" si="64"/>
        <v>6525000</v>
      </c>
      <c r="W94" s="16">
        <v>2434000</v>
      </c>
      <c r="X94" s="16">
        <v>139952</v>
      </c>
      <c r="Y94" s="16">
        <v>0</v>
      </c>
      <c r="Z94" s="16">
        <v>2576000</v>
      </c>
      <c r="AA94" s="16">
        <v>871000</v>
      </c>
      <c r="AB94" s="16">
        <v>0</v>
      </c>
      <c r="AC94" s="16">
        <v>0</v>
      </c>
      <c r="AD94" s="16">
        <v>0</v>
      </c>
      <c r="AE94" s="16">
        <v>0</v>
      </c>
      <c r="AF94" s="16">
        <v>350000</v>
      </c>
      <c r="AG94" s="16">
        <v>100000</v>
      </c>
      <c r="AH94" s="16">
        <v>100000</v>
      </c>
      <c r="AI94" s="16">
        <v>0</v>
      </c>
      <c r="AJ94" s="16">
        <v>0</v>
      </c>
      <c r="AK94" s="16">
        <v>300000</v>
      </c>
      <c r="AL94" s="16">
        <v>0</v>
      </c>
      <c r="AM94" s="16">
        <v>0</v>
      </c>
      <c r="AN94" s="16">
        <v>100000</v>
      </c>
      <c r="AO94" s="16">
        <v>0</v>
      </c>
      <c r="AP94" s="16">
        <v>0</v>
      </c>
      <c r="AQ94" s="16">
        <v>0</v>
      </c>
      <c r="AR94" s="16">
        <v>0</v>
      </c>
      <c r="AS94" s="16">
        <v>0</v>
      </c>
      <c r="AT94" s="16">
        <v>0</v>
      </c>
      <c r="AU94" s="16">
        <v>0</v>
      </c>
      <c r="AV94" s="16">
        <v>0</v>
      </c>
      <c r="AW94" s="16">
        <v>0</v>
      </c>
      <c r="AX94" s="16">
        <v>0</v>
      </c>
      <c r="AY94" s="16">
        <v>0</v>
      </c>
      <c r="AZ94" s="16">
        <v>0</v>
      </c>
      <c r="BA94" s="16"/>
      <c r="BB94" s="15">
        <f t="shared" si="65"/>
        <v>0</v>
      </c>
      <c r="BC94" s="15"/>
      <c r="BD94" s="16"/>
      <c r="BE94" s="16"/>
      <c r="BF94" s="16"/>
      <c r="BG94" s="16"/>
      <c r="BH94" s="16"/>
      <c r="BI94" s="16"/>
      <c r="BJ94" s="16"/>
      <c r="BK94" s="16"/>
      <c r="BL94" s="16"/>
      <c r="BM94" s="16"/>
      <c r="BN94" s="16"/>
      <c r="BO94" s="16"/>
      <c r="BP94" s="16"/>
      <c r="BQ94" s="16"/>
      <c r="BR94" s="16"/>
      <c r="BS94" s="16"/>
      <c r="BT94" s="16"/>
      <c r="BU94" s="16"/>
      <c r="BV94" s="16"/>
      <c r="BW94" s="16"/>
    </row>
    <row r="95" spans="1:75" ht="18" hidden="1" customHeight="1" outlineLevel="1">
      <c r="H95" s="8" t="s">
        <v>18</v>
      </c>
      <c r="I95" s="8">
        <v>122</v>
      </c>
      <c r="J95" s="9"/>
      <c r="Q95" s="5">
        <v>2028</v>
      </c>
      <c r="R95" s="5">
        <v>6</v>
      </c>
      <c r="S95" s="14" t="s">
        <v>54</v>
      </c>
      <c r="T95" s="15">
        <f t="shared" si="62"/>
        <v>0</v>
      </c>
      <c r="U95" s="15">
        <f t="shared" si="63"/>
        <v>13195952</v>
      </c>
      <c r="V95" s="16">
        <f t="shared" si="64"/>
        <v>6525000</v>
      </c>
      <c r="W95" s="16">
        <v>2434000</v>
      </c>
      <c r="X95" s="16">
        <v>139952</v>
      </c>
      <c r="Y95" s="16">
        <v>0</v>
      </c>
      <c r="Z95" s="16">
        <v>2576000</v>
      </c>
      <c r="AA95" s="16">
        <v>871000</v>
      </c>
      <c r="AB95" s="16">
        <v>0</v>
      </c>
      <c r="AC95" s="16">
        <v>0</v>
      </c>
      <c r="AD95" s="16">
        <v>0</v>
      </c>
      <c r="AE95" s="16">
        <v>0</v>
      </c>
      <c r="AF95" s="16">
        <v>350000</v>
      </c>
      <c r="AG95" s="16">
        <v>100000</v>
      </c>
      <c r="AH95" s="16">
        <v>100000</v>
      </c>
      <c r="AI95" s="16">
        <v>0</v>
      </c>
      <c r="AJ95" s="16">
        <v>0</v>
      </c>
      <c r="AK95" s="16">
        <v>0</v>
      </c>
      <c r="AL95" s="16">
        <v>0</v>
      </c>
      <c r="AM95" s="16">
        <v>0</v>
      </c>
      <c r="AN95" s="16">
        <v>100000</v>
      </c>
      <c r="AO95" s="16">
        <v>0</v>
      </c>
      <c r="AP95" s="16">
        <v>0</v>
      </c>
      <c r="AQ95" s="16">
        <v>0</v>
      </c>
      <c r="AR95" s="16">
        <v>0</v>
      </c>
      <c r="AS95" s="16">
        <v>0</v>
      </c>
      <c r="AT95" s="16">
        <v>0</v>
      </c>
      <c r="AU95" s="16">
        <v>0</v>
      </c>
      <c r="AV95" s="16">
        <v>0</v>
      </c>
      <c r="AW95" s="16">
        <v>0</v>
      </c>
      <c r="AX95" s="16">
        <v>0</v>
      </c>
      <c r="AY95" s="16">
        <v>0</v>
      </c>
      <c r="AZ95" s="16">
        <v>0</v>
      </c>
      <c r="BA95" s="16"/>
      <c r="BB95" s="15">
        <f t="shared" si="65"/>
        <v>0</v>
      </c>
      <c r="BC95" s="15"/>
      <c r="BD95" s="16"/>
      <c r="BE95" s="16"/>
      <c r="BF95" s="16"/>
      <c r="BG95" s="16"/>
      <c r="BH95" s="16"/>
      <c r="BI95" s="16"/>
      <c r="BJ95" s="16"/>
      <c r="BK95" s="16"/>
      <c r="BL95" s="16"/>
      <c r="BM95" s="16"/>
      <c r="BN95" s="16"/>
      <c r="BO95" s="16"/>
      <c r="BP95" s="16"/>
      <c r="BQ95" s="16"/>
      <c r="BR95" s="16"/>
      <c r="BS95" s="16"/>
      <c r="BT95" s="16"/>
      <c r="BU95" s="16"/>
      <c r="BV95" s="16"/>
      <c r="BW95" s="16"/>
    </row>
    <row r="96" spans="1:75" ht="18" hidden="1" customHeight="1" outlineLevel="1">
      <c r="J96" s="9"/>
      <c r="Q96" s="5">
        <v>2028</v>
      </c>
      <c r="R96" s="5">
        <v>5</v>
      </c>
      <c r="S96" s="14" t="s">
        <v>54</v>
      </c>
      <c r="T96" s="15">
        <f t="shared" si="62"/>
        <v>0</v>
      </c>
      <c r="U96" s="15">
        <f t="shared" si="63"/>
        <v>13395952</v>
      </c>
      <c r="V96" s="16">
        <f t="shared" si="64"/>
        <v>6525000</v>
      </c>
      <c r="W96" s="16">
        <v>2434000</v>
      </c>
      <c r="X96" s="16">
        <v>139952</v>
      </c>
      <c r="Y96" s="16">
        <v>0</v>
      </c>
      <c r="Z96" s="16">
        <v>2576000</v>
      </c>
      <c r="AA96" s="16">
        <v>871000</v>
      </c>
      <c r="AB96" s="16">
        <v>0</v>
      </c>
      <c r="AC96" s="16">
        <v>0</v>
      </c>
      <c r="AD96" s="16">
        <v>0</v>
      </c>
      <c r="AE96" s="16">
        <v>0</v>
      </c>
      <c r="AF96" s="16">
        <v>350000</v>
      </c>
      <c r="AG96" s="16">
        <v>100000</v>
      </c>
      <c r="AH96" s="16">
        <v>100000</v>
      </c>
      <c r="AI96" s="16">
        <v>0</v>
      </c>
      <c r="AJ96" s="16">
        <v>200000</v>
      </c>
      <c r="AK96" s="16">
        <v>0</v>
      </c>
      <c r="AL96" s="16">
        <v>0</v>
      </c>
      <c r="AM96" s="16">
        <v>0</v>
      </c>
      <c r="AN96" s="16">
        <v>100000</v>
      </c>
      <c r="AO96" s="16">
        <v>0</v>
      </c>
      <c r="AP96" s="16">
        <v>0</v>
      </c>
      <c r="AQ96" s="16">
        <v>0</v>
      </c>
      <c r="AR96" s="16">
        <v>0</v>
      </c>
      <c r="AS96" s="16">
        <v>0</v>
      </c>
      <c r="AT96" s="16">
        <v>0</v>
      </c>
      <c r="AU96" s="16">
        <v>0</v>
      </c>
      <c r="AV96" s="16">
        <v>0</v>
      </c>
      <c r="AW96" s="16">
        <v>0</v>
      </c>
      <c r="AX96" s="16">
        <v>0</v>
      </c>
      <c r="AY96" s="16">
        <v>0</v>
      </c>
      <c r="AZ96" s="16">
        <v>0</v>
      </c>
      <c r="BA96" s="16"/>
      <c r="BB96" s="15">
        <f t="shared" si="65"/>
        <v>0</v>
      </c>
      <c r="BC96" s="15"/>
      <c r="BD96" s="16"/>
      <c r="BE96" s="16"/>
      <c r="BF96" s="16"/>
      <c r="BG96" s="16"/>
      <c r="BH96" s="16"/>
      <c r="BI96" s="16"/>
      <c r="BJ96" s="16"/>
      <c r="BK96" s="16"/>
      <c r="BL96" s="16"/>
      <c r="BM96" s="16"/>
      <c r="BN96" s="16"/>
      <c r="BO96" s="16"/>
      <c r="BP96" s="16"/>
      <c r="BQ96" s="16"/>
      <c r="BR96" s="16"/>
      <c r="BS96" s="16"/>
      <c r="BT96" s="16"/>
      <c r="BU96" s="16"/>
      <c r="BV96" s="16"/>
      <c r="BW96" s="16"/>
    </row>
    <row r="97" spans="1:75" ht="18" hidden="1" customHeight="1" outlineLevel="1">
      <c r="B97" s="7">
        <v>2021</v>
      </c>
      <c r="C97" s="8" t="s">
        <v>12</v>
      </c>
      <c r="E97" s="8">
        <v>6867</v>
      </c>
      <c r="J97" s="9"/>
      <c r="Q97" s="5">
        <v>2028</v>
      </c>
      <c r="R97" s="5">
        <v>4</v>
      </c>
      <c r="S97" s="14" t="s">
        <v>54</v>
      </c>
      <c r="T97" s="15">
        <f t="shared" si="62"/>
        <v>0</v>
      </c>
      <c r="U97" s="15">
        <f t="shared" si="63"/>
        <v>14333972</v>
      </c>
      <c r="V97" s="16">
        <f>6416000+109000</f>
        <v>6525000</v>
      </c>
      <c r="W97" s="16">
        <v>2434000</v>
      </c>
      <c r="X97" s="16">
        <v>139952</v>
      </c>
      <c r="Y97" s="16">
        <v>0</v>
      </c>
      <c r="Z97" s="16">
        <v>2576000</v>
      </c>
      <c r="AA97" s="16">
        <v>871000</v>
      </c>
      <c r="AB97" s="16">
        <v>0</v>
      </c>
      <c r="AC97" s="16">
        <f>3*(SUM(V97:W97)-SUM(V99:W99))</f>
        <v>1138020</v>
      </c>
      <c r="AD97" s="16">
        <v>0</v>
      </c>
      <c r="AE97" s="16">
        <v>0</v>
      </c>
      <c r="AF97" s="16">
        <v>350000</v>
      </c>
      <c r="AG97" s="16">
        <v>100000</v>
      </c>
      <c r="AH97" s="16">
        <v>100000</v>
      </c>
      <c r="AI97" s="16">
        <v>0</v>
      </c>
      <c r="AJ97" s="16">
        <v>0</v>
      </c>
      <c r="AK97" s="16">
        <v>0</v>
      </c>
      <c r="AL97" s="16">
        <v>0</v>
      </c>
      <c r="AM97" s="16">
        <v>0</v>
      </c>
      <c r="AN97" s="16">
        <v>100000</v>
      </c>
      <c r="AO97" s="16">
        <v>0</v>
      </c>
      <c r="AP97" s="16">
        <v>0</v>
      </c>
      <c r="AQ97" s="16">
        <v>0</v>
      </c>
      <c r="AR97" s="16">
        <v>0</v>
      </c>
      <c r="AS97" s="16">
        <v>0</v>
      </c>
      <c r="AT97" s="16">
        <v>0</v>
      </c>
      <c r="AU97" s="16">
        <v>0</v>
      </c>
      <c r="AV97" s="16">
        <v>0</v>
      </c>
      <c r="AW97" s="16">
        <v>0</v>
      </c>
      <c r="AX97" s="16">
        <v>0</v>
      </c>
      <c r="AY97" s="16">
        <v>0</v>
      </c>
      <c r="AZ97" s="16">
        <v>0</v>
      </c>
      <c r="BA97" s="16"/>
      <c r="BB97" s="15">
        <f t="shared" si="65"/>
        <v>0</v>
      </c>
      <c r="BC97" s="15"/>
      <c r="BD97" s="16"/>
      <c r="BE97" s="16"/>
      <c r="BF97" s="16"/>
      <c r="BG97" s="16"/>
      <c r="BH97" s="16"/>
      <c r="BI97" s="16"/>
      <c r="BJ97" s="16"/>
      <c r="BK97" s="16"/>
      <c r="BL97" s="16"/>
      <c r="BM97" s="16"/>
      <c r="BN97" s="16"/>
      <c r="BO97" s="16"/>
      <c r="BP97" s="16"/>
      <c r="BQ97" s="16"/>
      <c r="BR97" s="16"/>
      <c r="BS97" s="16"/>
      <c r="BT97" s="16"/>
      <c r="BU97" s="16"/>
      <c r="BV97" s="16"/>
      <c r="BW97" s="16"/>
    </row>
    <row r="98" spans="1:75" ht="18" hidden="1" customHeight="1" outlineLevel="1">
      <c r="B98" s="7">
        <v>2021</v>
      </c>
      <c r="C98" s="8" t="s">
        <v>12</v>
      </c>
      <c r="E98" s="8">
        <v>6867</v>
      </c>
      <c r="J98" s="9"/>
      <c r="Q98" s="5">
        <v>2028</v>
      </c>
      <c r="R98" s="5">
        <v>4</v>
      </c>
      <c r="S98" s="14" t="s">
        <v>28</v>
      </c>
      <c r="T98" s="15">
        <f t="shared" si="62"/>
        <v>0</v>
      </c>
      <c r="U98" s="15">
        <f t="shared" si="63"/>
        <v>14369490</v>
      </c>
      <c r="V98" s="16">
        <v>0</v>
      </c>
      <c r="W98" s="16">
        <v>0</v>
      </c>
      <c r="X98" s="16">
        <v>0</v>
      </c>
      <c r="Y98" s="16">
        <v>0</v>
      </c>
      <c r="Z98" s="16">
        <v>0</v>
      </c>
      <c r="AA98" s="16">
        <v>0</v>
      </c>
      <c r="AB98" s="16">
        <v>0</v>
      </c>
      <c r="AC98" s="16">
        <v>0</v>
      </c>
      <c r="AD98" s="16">
        <f>12*(V99+W99)*0.1*1.25</f>
        <v>12869490</v>
      </c>
      <c r="AE98" s="16">
        <v>1500000</v>
      </c>
      <c r="AF98" s="16">
        <v>0</v>
      </c>
      <c r="AG98" s="16">
        <v>0</v>
      </c>
      <c r="AH98" s="16">
        <v>0</v>
      </c>
      <c r="AI98" s="16">
        <v>0</v>
      </c>
      <c r="AJ98" s="16">
        <v>0</v>
      </c>
      <c r="AK98" s="16">
        <v>0</v>
      </c>
      <c r="AL98" s="16">
        <v>0</v>
      </c>
      <c r="AM98" s="16">
        <v>0</v>
      </c>
      <c r="AN98" s="16">
        <v>0</v>
      </c>
      <c r="AO98" s="16">
        <v>0</v>
      </c>
      <c r="AP98" s="16">
        <v>0</v>
      </c>
      <c r="AQ98" s="16">
        <v>0</v>
      </c>
      <c r="AR98" s="16">
        <v>0</v>
      </c>
      <c r="AS98" s="16">
        <v>0</v>
      </c>
      <c r="AT98" s="16">
        <v>0</v>
      </c>
      <c r="AU98" s="16">
        <v>0</v>
      </c>
      <c r="AV98" s="16">
        <v>0</v>
      </c>
      <c r="AW98" s="16">
        <v>0</v>
      </c>
      <c r="AX98" s="16">
        <v>0</v>
      </c>
      <c r="AY98" s="16">
        <v>0</v>
      </c>
      <c r="AZ98" s="16">
        <v>0</v>
      </c>
      <c r="BA98" s="16"/>
      <c r="BB98" s="15">
        <f t="shared" si="65"/>
        <v>0</v>
      </c>
      <c r="BC98" s="15"/>
      <c r="BD98" s="16"/>
      <c r="BE98" s="16"/>
      <c r="BF98" s="16"/>
      <c r="BG98" s="16"/>
      <c r="BH98" s="16"/>
      <c r="BI98" s="16"/>
      <c r="BJ98" s="16"/>
      <c r="BK98" s="16"/>
      <c r="BL98" s="16"/>
      <c r="BM98" s="16"/>
      <c r="BN98" s="16"/>
      <c r="BO98" s="16"/>
      <c r="BP98" s="16"/>
      <c r="BQ98" s="16"/>
      <c r="BR98" s="16"/>
      <c r="BS98" s="16"/>
      <c r="BT98" s="16"/>
      <c r="BU98" s="16"/>
      <c r="BV98" s="16"/>
      <c r="BW98" s="16"/>
    </row>
    <row r="99" spans="1:75" ht="18" hidden="1" customHeight="1" outlineLevel="1">
      <c r="B99" s="7">
        <v>2022</v>
      </c>
      <c r="C99" s="8" t="s">
        <v>12</v>
      </c>
      <c r="E99" s="8">
        <v>6867</v>
      </c>
      <c r="J99" s="9"/>
      <c r="Q99" s="5">
        <v>2028</v>
      </c>
      <c r="R99" s="5">
        <v>3</v>
      </c>
      <c r="S99" s="14" t="s">
        <v>54</v>
      </c>
      <c r="T99" s="15">
        <f t="shared" si="62"/>
        <v>0</v>
      </c>
      <c r="U99" s="15">
        <f t="shared" si="63"/>
        <v>12713612</v>
      </c>
      <c r="V99" s="16">
        <f>6140000+109000</f>
        <v>6249000</v>
      </c>
      <c r="W99" s="16">
        <f>2289660+41000</f>
        <v>2330660</v>
      </c>
      <c r="X99" s="16">
        <v>139952</v>
      </c>
      <c r="Y99" s="16">
        <v>0</v>
      </c>
      <c r="Z99" s="16">
        <v>2473000</v>
      </c>
      <c r="AA99" s="16">
        <v>871000</v>
      </c>
      <c r="AB99" s="16">
        <v>0</v>
      </c>
      <c r="AC99" s="16">
        <v>0</v>
      </c>
      <c r="AD99" s="16">
        <v>0</v>
      </c>
      <c r="AE99" s="16">
        <v>0</v>
      </c>
      <c r="AF99" s="16">
        <v>350000</v>
      </c>
      <c r="AG99" s="16">
        <v>100000</v>
      </c>
      <c r="AH99" s="16">
        <v>100000</v>
      </c>
      <c r="AI99" s="16">
        <v>0</v>
      </c>
      <c r="AJ99" s="16">
        <v>0</v>
      </c>
      <c r="AK99" s="16">
        <v>0</v>
      </c>
      <c r="AL99" s="16">
        <v>0</v>
      </c>
      <c r="AM99" s="16">
        <v>0</v>
      </c>
      <c r="AN99" s="16">
        <v>100000</v>
      </c>
      <c r="AO99" s="16">
        <v>0</v>
      </c>
      <c r="AP99" s="16">
        <v>0</v>
      </c>
      <c r="AQ99" s="16">
        <v>0</v>
      </c>
      <c r="AR99" s="16">
        <v>0</v>
      </c>
      <c r="AS99" s="16">
        <v>0</v>
      </c>
      <c r="AT99" s="16">
        <v>0</v>
      </c>
      <c r="AU99" s="16">
        <v>0</v>
      </c>
      <c r="AV99" s="16">
        <v>0</v>
      </c>
      <c r="AW99" s="16">
        <v>0</v>
      </c>
      <c r="AX99" s="16">
        <v>0</v>
      </c>
      <c r="AY99" s="16">
        <v>0</v>
      </c>
      <c r="AZ99" s="16">
        <v>0</v>
      </c>
      <c r="BA99" s="16"/>
      <c r="BB99" s="15">
        <f t="shared" si="65"/>
        <v>0</v>
      </c>
      <c r="BC99" s="15"/>
      <c r="BD99" s="16"/>
      <c r="BE99" s="16"/>
      <c r="BF99" s="16"/>
      <c r="BG99" s="16"/>
      <c r="BH99" s="16"/>
      <c r="BI99" s="16"/>
      <c r="BJ99" s="16"/>
      <c r="BK99" s="16"/>
      <c r="BL99" s="16"/>
      <c r="BM99" s="16"/>
      <c r="BN99" s="16"/>
      <c r="BO99" s="16"/>
      <c r="BP99" s="16"/>
      <c r="BQ99" s="16"/>
      <c r="BR99" s="16"/>
      <c r="BS99" s="16"/>
      <c r="BT99" s="16"/>
      <c r="BU99" s="16"/>
      <c r="BV99" s="16"/>
      <c r="BW99" s="16"/>
    </row>
    <row r="100" spans="1:75" ht="18" hidden="1" customHeight="1" outlineLevel="1">
      <c r="B100" s="7">
        <v>2023</v>
      </c>
      <c r="C100" s="8" t="s">
        <v>12</v>
      </c>
      <c r="E100" s="8">
        <v>6867</v>
      </c>
      <c r="J100" s="9"/>
      <c r="Q100" s="5">
        <v>2028</v>
      </c>
      <c r="R100" s="5">
        <v>2</v>
      </c>
      <c r="S100" s="14" t="s">
        <v>54</v>
      </c>
      <c r="T100" s="15">
        <f t="shared" si="62"/>
        <v>0</v>
      </c>
      <c r="U100" s="15">
        <f t="shared" si="63"/>
        <v>12713612</v>
      </c>
      <c r="V100" s="16">
        <f t="shared" ref="V100:V101" si="69">6140000+109000</f>
        <v>6249000</v>
      </c>
      <c r="W100" s="16">
        <f t="shared" ref="W100:W101" si="70">2289660+41000</f>
        <v>2330660</v>
      </c>
      <c r="X100" s="16">
        <v>139952</v>
      </c>
      <c r="Y100" s="16">
        <v>0</v>
      </c>
      <c r="Z100" s="16">
        <v>2473000</v>
      </c>
      <c r="AA100" s="16">
        <v>871000</v>
      </c>
      <c r="AB100" s="16">
        <v>0</v>
      </c>
      <c r="AC100" s="16">
        <v>0</v>
      </c>
      <c r="AD100" s="16">
        <v>0</v>
      </c>
      <c r="AE100" s="16">
        <v>0</v>
      </c>
      <c r="AF100" s="16">
        <v>350000</v>
      </c>
      <c r="AG100" s="16">
        <v>100000</v>
      </c>
      <c r="AH100" s="16">
        <v>100000</v>
      </c>
      <c r="AI100" s="16">
        <v>0</v>
      </c>
      <c r="AJ100" s="16">
        <v>0</v>
      </c>
      <c r="AK100" s="16">
        <v>0</v>
      </c>
      <c r="AL100" s="16">
        <v>0</v>
      </c>
      <c r="AM100" s="16">
        <v>0</v>
      </c>
      <c r="AN100" s="16">
        <v>100000</v>
      </c>
      <c r="AO100" s="16">
        <v>0</v>
      </c>
      <c r="AP100" s="16">
        <v>0</v>
      </c>
      <c r="AQ100" s="16">
        <v>0</v>
      </c>
      <c r="AR100" s="16">
        <v>0</v>
      </c>
      <c r="AS100" s="16">
        <v>0</v>
      </c>
      <c r="AT100" s="16">
        <v>0</v>
      </c>
      <c r="AU100" s="16">
        <v>0</v>
      </c>
      <c r="AV100" s="16">
        <v>0</v>
      </c>
      <c r="AW100" s="16">
        <v>0</v>
      </c>
      <c r="AX100" s="16">
        <v>0</v>
      </c>
      <c r="AY100" s="16">
        <v>0</v>
      </c>
      <c r="AZ100" s="16">
        <v>0</v>
      </c>
      <c r="BA100" s="16"/>
      <c r="BB100" s="15">
        <f t="shared" si="65"/>
        <v>0</v>
      </c>
      <c r="BC100" s="15"/>
      <c r="BD100" s="16"/>
      <c r="BE100" s="16"/>
      <c r="BF100" s="16"/>
      <c r="BG100" s="16"/>
      <c r="BH100" s="16"/>
      <c r="BI100" s="16"/>
      <c r="BJ100" s="16"/>
      <c r="BK100" s="16"/>
      <c r="BL100" s="16"/>
      <c r="BM100" s="16"/>
      <c r="BN100" s="16"/>
      <c r="BO100" s="16"/>
      <c r="BP100" s="16"/>
      <c r="BQ100" s="16"/>
      <c r="BR100" s="16"/>
      <c r="BS100" s="16"/>
      <c r="BT100" s="16"/>
      <c r="BU100" s="16"/>
      <c r="BV100" s="16"/>
      <c r="BW100" s="16"/>
    </row>
    <row r="101" spans="1:75" ht="18" hidden="1" customHeight="1" outlineLevel="1">
      <c r="B101" s="7">
        <v>2024</v>
      </c>
      <c r="C101" s="8" t="s">
        <v>12</v>
      </c>
      <c r="E101" s="8">
        <v>6867</v>
      </c>
      <c r="J101" s="9"/>
      <c r="Q101" s="5">
        <v>2028</v>
      </c>
      <c r="R101" s="5">
        <v>1</v>
      </c>
      <c r="S101" s="14" t="s">
        <v>54</v>
      </c>
      <c r="T101" s="15">
        <f t="shared" si="62"/>
        <v>0</v>
      </c>
      <c r="U101" s="15">
        <f t="shared" si="63"/>
        <v>12713612</v>
      </c>
      <c r="V101" s="16">
        <f t="shared" si="69"/>
        <v>6249000</v>
      </c>
      <c r="W101" s="16">
        <f t="shared" si="70"/>
        <v>2330660</v>
      </c>
      <c r="X101" s="16">
        <v>139952</v>
      </c>
      <c r="Y101" s="16">
        <v>0</v>
      </c>
      <c r="Z101" s="16">
        <v>2473000</v>
      </c>
      <c r="AA101" s="16">
        <v>871000</v>
      </c>
      <c r="AB101" s="16">
        <v>0</v>
      </c>
      <c r="AC101" s="16">
        <v>0</v>
      </c>
      <c r="AD101" s="16">
        <v>0</v>
      </c>
      <c r="AE101" s="16">
        <v>0</v>
      </c>
      <c r="AF101" s="16">
        <v>350000</v>
      </c>
      <c r="AG101" s="16">
        <v>100000</v>
      </c>
      <c r="AH101" s="16">
        <v>100000</v>
      </c>
      <c r="AI101" s="16">
        <v>0</v>
      </c>
      <c r="AJ101" s="16">
        <v>0</v>
      </c>
      <c r="AK101" s="16">
        <v>0</v>
      </c>
      <c r="AL101" s="16">
        <v>0</v>
      </c>
      <c r="AM101" s="16">
        <v>0</v>
      </c>
      <c r="AN101" s="16">
        <v>100000</v>
      </c>
      <c r="AO101" s="16">
        <v>0</v>
      </c>
      <c r="AP101" s="16">
        <v>0</v>
      </c>
      <c r="AQ101" s="16">
        <v>0</v>
      </c>
      <c r="AR101" s="16">
        <v>0</v>
      </c>
      <c r="AS101" s="16">
        <v>0</v>
      </c>
      <c r="AT101" s="16">
        <v>0</v>
      </c>
      <c r="AU101" s="16">
        <v>0</v>
      </c>
      <c r="AV101" s="16">
        <v>0</v>
      </c>
      <c r="AW101" s="16">
        <v>0</v>
      </c>
      <c r="AX101" s="16">
        <v>0</v>
      </c>
      <c r="AY101" s="16">
        <v>0</v>
      </c>
      <c r="AZ101" s="16">
        <v>0</v>
      </c>
      <c r="BA101" s="16"/>
      <c r="BB101" s="15">
        <f t="shared" si="65"/>
        <v>0</v>
      </c>
      <c r="BC101" s="15"/>
      <c r="BD101" s="16"/>
      <c r="BE101" s="16"/>
      <c r="BF101" s="16"/>
      <c r="BG101" s="16"/>
      <c r="BH101" s="16"/>
      <c r="BI101" s="16"/>
      <c r="BJ101" s="16"/>
      <c r="BK101" s="16"/>
      <c r="BL101" s="16"/>
      <c r="BM101" s="16"/>
      <c r="BN101" s="16"/>
      <c r="BO101" s="16"/>
      <c r="BP101" s="16"/>
      <c r="BQ101" s="16"/>
      <c r="BR101" s="16"/>
      <c r="BS101" s="16"/>
      <c r="BT101" s="16"/>
      <c r="BU101" s="16"/>
      <c r="BV101" s="16"/>
      <c r="BW101" s="16"/>
    </row>
    <row r="102" spans="1:75" s="1" customFormat="1" ht="18" customHeight="1" collapsed="1">
      <c r="A102" s="10"/>
      <c r="B102" s="11"/>
      <c r="C102" s="12"/>
      <c r="D102" s="11"/>
      <c r="E102" s="12"/>
      <c r="F102" s="12"/>
      <c r="G102" s="12"/>
      <c r="H102" s="12"/>
      <c r="I102" s="12"/>
      <c r="J102" s="3"/>
      <c r="K102" s="12"/>
      <c r="L102" s="12"/>
      <c r="M102" s="12"/>
      <c r="N102" s="12"/>
      <c r="O102" s="13"/>
      <c r="Q102" s="667" t="s">
        <v>1635</v>
      </c>
      <c r="R102" s="667"/>
      <c r="S102" s="667"/>
      <c r="T102" s="23">
        <f t="shared" ref="T102:AZ102" si="71">SUMIF($Q$2:$Q$793,$Q103,T$2:T$793)</f>
        <v>0</v>
      </c>
      <c r="U102" s="23">
        <f t="shared" si="71"/>
        <v>145965344</v>
      </c>
      <c r="V102" s="23">
        <f t="shared" si="71"/>
        <v>73311000</v>
      </c>
      <c r="W102" s="23">
        <f t="shared" si="71"/>
        <v>27346710</v>
      </c>
      <c r="X102" s="23">
        <f t="shared" si="71"/>
        <v>2575116</v>
      </c>
      <c r="Y102" s="23">
        <f t="shared" si="71"/>
        <v>0</v>
      </c>
      <c r="Z102" s="23">
        <f t="shared" si="71"/>
        <v>14592000</v>
      </c>
      <c r="AA102" s="23">
        <f t="shared" si="71"/>
        <v>5226000</v>
      </c>
      <c r="AB102" s="23">
        <f t="shared" si="71"/>
        <v>0</v>
      </c>
      <c r="AC102" s="23">
        <f t="shared" si="71"/>
        <v>498210</v>
      </c>
      <c r="AD102" s="23">
        <f t="shared" si="71"/>
        <v>9916308</v>
      </c>
      <c r="AE102" s="23">
        <f t="shared" si="71"/>
        <v>1500000</v>
      </c>
      <c r="AF102" s="23">
        <f t="shared" si="71"/>
        <v>4200000</v>
      </c>
      <c r="AG102" s="23">
        <f t="shared" si="71"/>
        <v>1200000</v>
      </c>
      <c r="AH102" s="23">
        <f t="shared" si="71"/>
        <v>1200000</v>
      </c>
      <c r="AI102" s="23">
        <f t="shared" si="71"/>
        <v>1500000</v>
      </c>
      <c r="AJ102" s="23">
        <f t="shared" si="71"/>
        <v>500000</v>
      </c>
      <c r="AK102" s="23">
        <f t="shared" si="71"/>
        <v>300000</v>
      </c>
      <c r="AL102" s="23">
        <f t="shared" si="71"/>
        <v>0</v>
      </c>
      <c r="AM102" s="23">
        <f t="shared" si="71"/>
        <v>900000</v>
      </c>
      <c r="AN102" s="23">
        <f t="shared" si="71"/>
        <v>1200000</v>
      </c>
      <c r="AO102" s="23">
        <f t="shared" si="71"/>
        <v>0</v>
      </c>
      <c r="AP102" s="23">
        <f t="shared" si="71"/>
        <v>0</v>
      </c>
      <c r="AQ102" s="23">
        <f t="shared" si="71"/>
        <v>0</v>
      </c>
      <c r="AR102" s="23">
        <f t="shared" si="71"/>
        <v>0</v>
      </c>
      <c r="AS102" s="23">
        <f t="shared" si="71"/>
        <v>0</v>
      </c>
      <c r="AT102" s="23">
        <f t="shared" si="71"/>
        <v>0</v>
      </c>
      <c r="AU102" s="23">
        <f t="shared" si="71"/>
        <v>0</v>
      </c>
      <c r="AV102" s="23">
        <f t="shared" si="71"/>
        <v>0</v>
      </c>
      <c r="AW102" s="23">
        <f t="shared" si="71"/>
        <v>0</v>
      </c>
      <c r="AX102" s="23">
        <f t="shared" si="71"/>
        <v>0</v>
      </c>
      <c r="AY102" s="23">
        <f t="shared" si="71"/>
        <v>0</v>
      </c>
      <c r="AZ102" s="23">
        <f t="shared" si="71"/>
        <v>0</v>
      </c>
      <c r="BA102" s="23"/>
      <c r="BB102" s="23">
        <f t="shared" ref="BB102:BW102" si="72">SUMIF($Q$2:$Q$793,$Q103,BB$2:BB$793)</f>
        <v>0</v>
      </c>
      <c r="BC102" s="23">
        <f t="shared" si="72"/>
        <v>0</v>
      </c>
      <c r="BD102" s="23">
        <f t="shared" si="72"/>
        <v>0</v>
      </c>
      <c r="BE102" s="23">
        <f t="shared" si="72"/>
        <v>0</v>
      </c>
      <c r="BF102" s="23">
        <f t="shared" si="72"/>
        <v>0</v>
      </c>
      <c r="BG102" s="23">
        <f t="shared" si="72"/>
        <v>0</v>
      </c>
      <c r="BH102" s="23">
        <f t="shared" si="72"/>
        <v>0</v>
      </c>
      <c r="BI102" s="23">
        <f t="shared" si="72"/>
        <v>0</v>
      </c>
      <c r="BJ102" s="23">
        <f t="shared" si="72"/>
        <v>0</v>
      </c>
      <c r="BK102" s="23">
        <f t="shared" si="72"/>
        <v>0</v>
      </c>
      <c r="BL102" s="23">
        <f t="shared" si="72"/>
        <v>0</v>
      </c>
      <c r="BM102" s="23">
        <f t="shared" si="72"/>
        <v>0</v>
      </c>
      <c r="BN102" s="23">
        <f t="shared" si="72"/>
        <v>0</v>
      </c>
      <c r="BO102" s="23">
        <f t="shared" si="72"/>
        <v>0</v>
      </c>
      <c r="BP102" s="23">
        <f t="shared" si="72"/>
        <v>0</v>
      </c>
      <c r="BQ102" s="23">
        <f t="shared" si="72"/>
        <v>0</v>
      </c>
      <c r="BR102" s="23">
        <f t="shared" si="72"/>
        <v>0</v>
      </c>
      <c r="BS102" s="23">
        <f t="shared" si="72"/>
        <v>0</v>
      </c>
      <c r="BT102" s="23">
        <f t="shared" si="72"/>
        <v>0</v>
      </c>
      <c r="BU102" s="23">
        <f t="shared" si="72"/>
        <v>0</v>
      </c>
      <c r="BV102" s="23">
        <f t="shared" si="72"/>
        <v>0</v>
      </c>
      <c r="BW102" s="23">
        <f t="shared" si="72"/>
        <v>0</v>
      </c>
    </row>
    <row r="103" spans="1:75" ht="18" customHeight="1" outlineLevel="1">
      <c r="D103" s="7" t="s">
        <v>11</v>
      </c>
      <c r="F103" s="8">
        <v>4717</v>
      </c>
      <c r="G103" s="8">
        <v>5848</v>
      </c>
      <c r="K103" s="8">
        <v>2400</v>
      </c>
      <c r="L103" s="8">
        <f>K103*12</f>
        <v>28800</v>
      </c>
      <c r="M103" s="8">
        <f>L103*1.13</f>
        <v>32543.999999999996</v>
      </c>
      <c r="N103" s="8">
        <v>21014</v>
      </c>
      <c r="O103" s="9">
        <f>N103/M103</f>
        <v>0.64571042281219282</v>
      </c>
      <c r="Q103" s="5">
        <v>2027</v>
      </c>
      <c r="R103" s="5">
        <v>12</v>
      </c>
      <c r="S103" s="14" t="s">
        <v>54</v>
      </c>
      <c r="T103" s="15">
        <f t="shared" ref="T103:T115" si="73">IF(U103=U103-BB103,0,U103-BB103)</f>
        <v>0</v>
      </c>
      <c r="U103" s="15">
        <f t="shared" ref="U103:U115" si="74">SUM(V103:BA103)</f>
        <v>12572612</v>
      </c>
      <c r="V103" s="16">
        <v>6140000</v>
      </c>
      <c r="W103" s="16">
        <v>2289660</v>
      </c>
      <c r="X103" s="16">
        <v>139952</v>
      </c>
      <c r="Y103" s="16">
        <v>0</v>
      </c>
      <c r="Z103" s="16">
        <v>2432000</v>
      </c>
      <c r="AA103" s="16">
        <v>871000</v>
      </c>
      <c r="AB103" s="16">
        <v>0</v>
      </c>
      <c r="AC103" s="16">
        <v>0</v>
      </c>
      <c r="AD103" s="16">
        <v>0</v>
      </c>
      <c r="AE103" s="16">
        <v>0</v>
      </c>
      <c r="AF103" s="16">
        <v>350000</v>
      </c>
      <c r="AG103" s="16">
        <v>100000</v>
      </c>
      <c r="AH103" s="16">
        <v>100000</v>
      </c>
      <c r="AI103" s="16">
        <v>0</v>
      </c>
      <c r="AJ103" s="16">
        <v>50000</v>
      </c>
      <c r="AK103" s="16">
        <v>0</v>
      </c>
      <c r="AL103" s="16">
        <v>0</v>
      </c>
      <c r="AM103" s="16">
        <v>0</v>
      </c>
      <c r="AN103" s="16">
        <v>100000</v>
      </c>
      <c r="AO103" s="16">
        <v>0</v>
      </c>
      <c r="AP103" s="16">
        <v>0</v>
      </c>
      <c r="AQ103" s="16">
        <v>0</v>
      </c>
      <c r="AR103" s="16">
        <v>0</v>
      </c>
      <c r="AS103" s="16">
        <v>0</v>
      </c>
      <c r="AT103" s="16">
        <v>0</v>
      </c>
      <c r="AU103" s="16">
        <v>0</v>
      </c>
      <c r="AV103" s="16">
        <v>0</v>
      </c>
      <c r="AW103" s="16">
        <v>0</v>
      </c>
      <c r="AX103" s="16">
        <v>0</v>
      </c>
      <c r="AY103" s="16">
        <v>0</v>
      </c>
      <c r="AZ103" s="16">
        <v>0</v>
      </c>
      <c r="BA103" s="16"/>
      <c r="BB103" s="15">
        <f t="shared" ref="BB103:BB115" si="75">SUM(BC103:BW103)</f>
        <v>0</v>
      </c>
      <c r="BC103" s="15"/>
      <c r="BD103" s="16"/>
      <c r="BE103" s="16"/>
      <c r="BF103" s="16"/>
      <c r="BG103" s="16"/>
      <c r="BH103" s="16"/>
      <c r="BI103" s="16"/>
      <c r="BJ103" s="16"/>
      <c r="BK103" s="16"/>
      <c r="BL103" s="16"/>
      <c r="BM103" s="16"/>
      <c r="BN103" s="16"/>
      <c r="BO103" s="16"/>
      <c r="BP103" s="16"/>
      <c r="BQ103" s="16"/>
      <c r="BR103" s="16"/>
      <c r="BS103" s="16"/>
      <c r="BT103" s="16"/>
      <c r="BU103" s="16"/>
      <c r="BV103" s="16"/>
      <c r="BW103" s="16"/>
    </row>
    <row r="104" spans="1:75" ht="18" customHeight="1" outlineLevel="1">
      <c r="D104" s="7" t="s">
        <v>11</v>
      </c>
      <c r="F104" s="8">
        <v>4717</v>
      </c>
      <c r="G104" s="8">
        <v>5848</v>
      </c>
      <c r="K104" s="8">
        <v>2400</v>
      </c>
      <c r="L104" s="8">
        <f>K104*12</f>
        <v>28800</v>
      </c>
      <c r="M104" s="8">
        <f>L104*1.13</f>
        <v>32543.999999999996</v>
      </c>
      <c r="N104" s="8">
        <v>21014</v>
      </c>
      <c r="O104" s="9">
        <f>N104/M104</f>
        <v>0.64571042281219282</v>
      </c>
      <c r="Q104" s="5">
        <v>2027</v>
      </c>
      <c r="R104" s="5">
        <v>11</v>
      </c>
      <c r="S104" s="14" t="s">
        <v>54</v>
      </c>
      <c r="T104" s="15">
        <f t="shared" si="73"/>
        <v>0</v>
      </c>
      <c r="U104" s="15">
        <f t="shared" si="74"/>
        <v>12522612</v>
      </c>
      <c r="V104" s="16">
        <v>6140000</v>
      </c>
      <c r="W104" s="16">
        <v>2289660</v>
      </c>
      <c r="X104" s="16">
        <v>139952</v>
      </c>
      <c r="Y104" s="16">
        <v>0</v>
      </c>
      <c r="Z104" s="16">
        <v>2432000</v>
      </c>
      <c r="AA104" s="16">
        <v>871000</v>
      </c>
      <c r="AB104" s="16">
        <v>0</v>
      </c>
      <c r="AC104" s="16">
        <v>0</v>
      </c>
      <c r="AD104" s="16">
        <v>0</v>
      </c>
      <c r="AE104" s="16">
        <v>0</v>
      </c>
      <c r="AF104" s="16">
        <v>350000</v>
      </c>
      <c r="AG104" s="16">
        <v>100000</v>
      </c>
      <c r="AH104" s="16">
        <v>100000</v>
      </c>
      <c r="AI104" s="16">
        <v>0</v>
      </c>
      <c r="AJ104" s="16">
        <v>0</v>
      </c>
      <c r="AK104" s="16">
        <v>0</v>
      </c>
      <c r="AL104" s="16">
        <v>0</v>
      </c>
      <c r="AM104" s="16">
        <v>0</v>
      </c>
      <c r="AN104" s="16">
        <v>100000</v>
      </c>
      <c r="AO104" s="16">
        <v>0</v>
      </c>
      <c r="AP104" s="16">
        <v>0</v>
      </c>
      <c r="AQ104" s="16">
        <v>0</v>
      </c>
      <c r="AR104" s="16">
        <v>0</v>
      </c>
      <c r="AS104" s="16">
        <v>0</v>
      </c>
      <c r="AT104" s="16">
        <v>0</v>
      </c>
      <c r="AU104" s="16">
        <v>0</v>
      </c>
      <c r="AV104" s="16">
        <v>0</v>
      </c>
      <c r="AW104" s="16">
        <v>0</v>
      </c>
      <c r="AX104" s="16">
        <v>0</v>
      </c>
      <c r="AY104" s="16">
        <v>0</v>
      </c>
      <c r="AZ104" s="16">
        <v>0</v>
      </c>
      <c r="BA104" s="16"/>
      <c r="BB104" s="15">
        <f t="shared" si="75"/>
        <v>0</v>
      </c>
      <c r="BC104" s="15"/>
      <c r="BD104" s="16"/>
      <c r="BE104" s="16"/>
      <c r="BF104" s="16"/>
      <c r="BG104" s="16"/>
      <c r="BH104" s="16"/>
      <c r="BI104" s="16"/>
      <c r="BJ104" s="16"/>
      <c r="BK104" s="16"/>
      <c r="BL104" s="16"/>
      <c r="BM104" s="16"/>
      <c r="BN104" s="16"/>
      <c r="BO104" s="16"/>
      <c r="BP104" s="16"/>
      <c r="BQ104" s="16"/>
      <c r="BR104" s="16"/>
      <c r="BS104" s="16"/>
      <c r="BT104" s="16"/>
      <c r="BU104" s="16"/>
      <c r="BV104" s="16"/>
      <c r="BW104" s="16"/>
    </row>
    <row r="105" spans="1:75" ht="18" customHeight="1" outlineLevel="1">
      <c r="D105" s="7" t="s">
        <v>11</v>
      </c>
      <c r="F105" s="8">
        <v>4717</v>
      </c>
      <c r="G105" s="8">
        <v>5848</v>
      </c>
      <c r="K105" s="8">
        <v>2400</v>
      </c>
      <c r="L105" s="8">
        <f t="shared" ref="L105:L108" si="76">K105*12</f>
        <v>28800</v>
      </c>
      <c r="M105" s="8">
        <f t="shared" ref="M105:M108" si="77">L105*1.13</f>
        <v>32543.999999999996</v>
      </c>
      <c r="N105" s="8">
        <v>21014</v>
      </c>
      <c r="O105" s="9">
        <f t="shared" ref="O105:O108" si="78">N105/M105</f>
        <v>0.64571042281219282</v>
      </c>
      <c r="Q105" s="5">
        <v>2027</v>
      </c>
      <c r="R105" s="5">
        <v>10</v>
      </c>
      <c r="S105" s="14" t="s">
        <v>54</v>
      </c>
      <c r="T105" s="15">
        <f t="shared" si="73"/>
        <v>0</v>
      </c>
      <c r="U105" s="15">
        <f t="shared" si="74"/>
        <v>12572612</v>
      </c>
      <c r="V105" s="16">
        <v>6140000</v>
      </c>
      <c r="W105" s="16">
        <v>2289660</v>
      </c>
      <c r="X105" s="16">
        <v>139952</v>
      </c>
      <c r="Y105" s="16">
        <v>0</v>
      </c>
      <c r="Z105" s="16">
        <v>2432000</v>
      </c>
      <c r="AA105" s="16">
        <v>871000</v>
      </c>
      <c r="AB105" s="16">
        <v>0</v>
      </c>
      <c r="AC105" s="16">
        <v>0</v>
      </c>
      <c r="AD105" s="16">
        <v>0</v>
      </c>
      <c r="AE105" s="16">
        <v>0</v>
      </c>
      <c r="AF105" s="16">
        <v>350000</v>
      </c>
      <c r="AG105" s="16">
        <v>100000</v>
      </c>
      <c r="AH105" s="16">
        <v>100000</v>
      </c>
      <c r="AI105" s="16">
        <v>0</v>
      </c>
      <c r="AJ105" s="16">
        <v>50000</v>
      </c>
      <c r="AK105" s="16">
        <v>0</v>
      </c>
      <c r="AL105" s="16">
        <v>0</v>
      </c>
      <c r="AM105" s="16">
        <v>0</v>
      </c>
      <c r="AN105" s="16">
        <v>100000</v>
      </c>
      <c r="AO105" s="16">
        <v>0</v>
      </c>
      <c r="AP105" s="16">
        <v>0</v>
      </c>
      <c r="AQ105" s="16">
        <v>0</v>
      </c>
      <c r="AR105" s="16">
        <v>0</v>
      </c>
      <c r="AS105" s="16">
        <v>0</v>
      </c>
      <c r="AT105" s="16">
        <v>0</v>
      </c>
      <c r="AU105" s="16">
        <v>0</v>
      </c>
      <c r="AV105" s="16">
        <v>0</v>
      </c>
      <c r="AW105" s="16">
        <v>0</v>
      </c>
      <c r="AX105" s="16">
        <v>0</v>
      </c>
      <c r="AY105" s="16">
        <v>0</v>
      </c>
      <c r="AZ105" s="16">
        <v>0</v>
      </c>
      <c r="BA105" s="16"/>
      <c r="BB105" s="15">
        <f t="shared" si="75"/>
        <v>0</v>
      </c>
      <c r="BC105" s="15"/>
      <c r="BD105" s="16"/>
      <c r="BE105" s="16"/>
      <c r="BF105" s="16"/>
      <c r="BG105" s="16"/>
      <c r="BH105" s="16"/>
      <c r="BI105" s="16"/>
      <c r="BJ105" s="16"/>
      <c r="BK105" s="16"/>
      <c r="BL105" s="16"/>
      <c r="BM105" s="16"/>
      <c r="BN105" s="16"/>
      <c r="BO105" s="16"/>
      <c r="BP105" s="16"/>
      <c r="BQ105" s="16"/>
      <c r="BR105" s="16"/>
      <c r="BS105" s="16"/>
      <c r="BT105" s="16"/>
      <c r="BU105" s="16"/>
      <c r="BV105" s="16"/>
      <c r="BW105" s="16"/>
    </row>
    <row r="106" spans="1:75" ht="18" customHeight="1" outlineLevel="1">
      <c r="D106" s="7" t="s">
        <v>12</v>
      </c>
      <c r="F106" s="8">
        <v>6867</v>
      </c>
      <c r="G106" s="8">
        <v>6867</v>
      </c>
      <c r="K106" s="8">
        <v>2400</v>
      </c>
      <c r="L106" s="8">
        <f t="shared" si="76"/>
        <v>28800</v>
      </c>
      <c r="M106" s="8">
        <f t="shared" si="77"/>
        <v>32543.999999999996</v>
      </c>
      <c r="N106" s="8">
        <v>21014</v>
      </c>
      <c r="O106" s="9">
        <f t="shared" si="78"/>
        <v>0.64571042281219282</v>
      </c>
      <c r="Q106" s="5">
        <v>2027</v>
      </c>
      <c r="R106" s="5">
        <v>9</v>
      </c>
      <c r="S106" s="14" t="s">
        <v>54</v>
      </c>
      <c r="T106" s="15">
        <f t="shared" si="73"/>
        <v>0</v>
      </c>
      <c r="U106" s="15">
        <f t="shared" si="74"/>
        <v>12722612</v>
      </c>
      <c r="V106" s="16">
        <v>6140000</v>
      </c>
      <c r="W106" s="16">
        <v>2289660</v>
      </c>
      <c r="X106" s="16">
        <v>139952</v>
      </c>
      <c r="Y106" s="16">
        <v>0</v>
      </c>
      <c r="Z106" s="16">
        <v>2432000</v>
      </c>
      <c r="AA106" s="16">
        <v>871000</v>
      </c>
      <c r="AB106" s="16">
        <v>0</v>
      </c>
      <c r="AC106" s="16">
        <v>0</v>
      </c>
      <c r="AD106" s="16">
        <v>0</v>
      </c>
      <c r="AE106" s="16">
        <v>0</v>
      </c>
      <c r="AF106" s="16">
        <v>350000</v>
      </c>
      <c r="AG106" s="16">
        <v>100000</v>
      </c>
      <c r="AH106" s="16">
        <v>100000</v>
      </c>
      <c r="AI106" s="16">
        <v>0</v>
      </c>
      <c r="AJ106" s="16">
        <v>200000</v>
      </c>
      <c r="AK106" s="16">
        <v>0</v>
      </c>
      <c r="AL106" s="16">
        <v>0</v>
      </c>
      <c r="AM106" s="16">
        <v>0</v>
      </c>
      <c r="AN106" s="16">
        <v>100000</v>
      </c>
      <c r="AO106" s="16">
        <v>0</v>
      </c>
      <c r="AP106" s="16">
        <v>0</v>
      </c>
      <c r="AQ106" s="16">
        <v>0</v>
      </c>
      <c r="AR106" s="16">
        <v>0</v>
      </c>
      <c r="AS106" s="16">
        <v>0</v>
      </c>
      <c r="AT106" s="16">
        <v>0</v>
      </c>
      <c r="AU106" s="16">
        <v>0</v>
      </c>
      <c r="AV106" s="16">
        <v>0</v>
      </c>
      <c r="AW106" s="16">
        <v>0</v>
      </c>
      <c r="AX106" s="16">
        <v>0</v>
      </c>
      <c r="AY106" s="16">
        <v>0</v>
      </c>
      <c r="AZ106" s="16">
        <v>0</v>
      </c>
      <c r="BA106" s="16"/>
      <c r="BB106" s="15">
        <f t="shared" si="75"/>
        <v>0</v>
      </c>
      <c r="BC106" s="15"/>
      <c r="BD106" s="16"/>
      <c r="BE106" s="16"/>
      <c r="BF106" s="16"/>
      <c r="BG106" s="16"/>
      <c r="BH106" s="16"/>
      <c r="BI106" s="16"/>
      <c r="BJ106" s="16"/>
      <c r="BK106" s="16"/>
      <c r="BL106" s="16"/>
      <c r="BM106" s="16"/>
      <c r="BN106" s="16"/>
      <c r="BO106" s="16"/>
      <c r="BP106" s="16"/>
      <c r="BQ106" s="16"/>
      <c r="BR106" s="16"/>
      <c r="BS106" s="16"/>
      <c r="BT106" s="16"/>
      <c r="BU106" s="16"/>
      <c r="BV106" s="16"/>
      <c r="BW106" s="16"/>
    </row>
    <row r="107" spans="1:75" ht="18" customHeight="1" outlineLevel="1">
      <c r="D107" s="7" t="s">
        <v>13</v>
      </c>
      <c r="F107" s="8">
        <v>7988</v>
      </c>
      <c r="G107" s="8" t="s">
        <v>2</v>
      </c>
      <c r="H107" s="8" t="s">
        <v>17</v>
      </c>
      <c r="I107" s="8">
        <v>171</v>
      </c>
      <c r="K107" s="8">
        <v>2400</v>
      </c>
      <c r="L107" s="8">
        <f t="shared" si="76"/>
        <v>28800</v>
      </c>
      <c r="M107" s="8">
        <f t="shared" si="77"/>
        <v>32543.999999999996</v>
      </c>
      <c r="N107" s="8">
        <v>21014</v>
      </c>
      <c r="O107" s="9">
        <f t="shared" si="78"/>
        <v>0.64571042281219282</v>
      </c>
      <c r="Q107" s="5">
        <v>2027</v>
      </c>
      <c r="R107" s="5">
        <v>8</v>
      </c>
      <c r="S107" s="14" t="s">
        <v>54</v>
      </c>
      <c r="T107" s="15">
        <f t="shared" si="73"/>
        <v>0</v>
      </c>
      <c r="U107" s="15">
        <f t="shared" si="74"/>
        <v>12522612</v>
      </c>
      <c r="V107" s="16">
        <v>6140000</v>
      </c>
      <c r="W107" s="16">
        <v>2289660</v>
      </c>
      <c r="X107" s="16">
        <v>139952</v>
      </c>
      <c r="Y107" s="16">
        <v>0</v>
      </c>
      <c r="Z107" s="16">
        <v>2432000</v>
      </c>
      <c r="AA107" s="16">
        <v>871000</v>
      </c>
      <c r="AB107" s="16">
        <v>0</v>
      </c>
      <c r="AC107" s="16">
        <v>0</v>
      </c>
      <c r="AD107" s="16">
        <v>0</v>
      </c>
      <c r="AE107" s="16">
        <v>0</v>
      </c>
      <c r="AF107" s="16">
        <v>350000</v>
      </c>
      <c r="AG107" s="16">
        <v>100000</v>
      </c>
      <c r="AH107" s="16">
        <v>100000</v>
      </c>
      <c r="AI107" s="16">
        <v>0</v>
      </c>
      <c r="AJ107" s="16">
        <v>0</v>
      </c>
      <c r="AK107" s="16">
        <v>0</v>
      </c>
      <c r="AL107" s="16">
        <v>0</v>
      </c>
      <c r="AM107" s="16">
        <v>0</v>
      </c>
      <c r="AN107" s="16">
        <v>100000</v>
      </c>
      <c r="AO107" s="16">
        <v>0</v>
      </c>
      <c r="AP107" s="16">
        <v>0</v>
      </c>
      <c r="AQ107" s="16">
        <v>0</v>
      </c>
      <c r="AR107" s="16">
        <v>0</v>
      </c>
      <c r="AS107" s="16">
        <v>0</v>
      </c>
      <c r="AT107" s="16">
        <v>0</v>
      </c>
      <c r="AU107" s="16">
        <v>0</v>
      </c>
      <c r="AV107" s="16">
        <v>0</v>
      </c>
      <c r="AW107" s="16">
        <v>0</v>
      </c>
      <c r="AX107" s="16">
        <v>0</v>
      </c>
      <c r="AY107" s="16">
        <v>0</v>
      </c>
      <c r="AZ107" s="16">
        <v>0</v>
      </c>
      <c r="BA107" s="16"/>
      <c r="BB107" s="15">
        <f t="shared" si="75"/>
        <v>0</v>
      </c>
      <c r="BC107" s="15"/>
      <c r="BD107" s="16"/>
      <c r="BE107" s="16"/>
      <c r="BF107" s="16"/>
      <c r="BG107" s="16"/>
      <c r="BH107" s="16"/>
      <c r="BI107" s="16"/>
      <c r="BJ107" s="16"/>
      <c r="BK107" s="16"/>
      <c r="BL107" s="16"/>
      <c r="BM107" s="16"/>
      <c r="BN107" s="16"/>
      <c r="BO107" s="16"/>
      <c r="BP107" s="16"/>
      <c r="BQ107" s="16"/>
      <c r="BR107" s="16"/>
      <c r="BS107" s="16"/>
      <c r="BT107" s="16"/>
      <c r="BU107" s="16"/>
      <c r="BV107" s="16"/>
      <c r="BW107" s="16"/>
    </row>
    <row r="108" spans="1:75" ht="18" customHeight="1" outlineLevel="1">
      <c r="D108" s="7" t="s">
        <v>13</v>
      </c>
      <c r="F108" s="8">
        <v>7988</v>
      </c>
      <c r="G108" s="8" t="s">
        <v>2</v>
      </c>
      <c r="H108" s="8" t="s">
        <v>17</v>
      </c>
      <c r="I108" s="8">
        <v>171</v>
      </c>
      <c r="K108" s="8">
        <v>2400</v>
      </c>
      <c r="L108" s="8">
        <f t="shared" si="76"/>
        <v>28800</v>
      </c>
      <c r="M108" s="8">
        <f t="shared" si="77"/>
        <v>32543.999999999996</v>
      </c>
      <c r="N108" s="8">
        <v>21014</v>
      </c>
      <c r="O108" s="9">
        <f t="shared" si="78"/>
        <v>0.64571042281219282</v>
      </c>
      <c r="Q108" s="5">
        <v>2027</v>
      </c>
      <c r="R108" s="5">
        <v>7</v>
      </c>
      <c r="S108" s="14" t="s">
        <v>54</v>
      </c>
      <c r="T108" s="15">
        <f t="shared" si="73"/>
        <v>0</v>
      </c>
      <c r="U108" s="15">
        <f t="shared" si="74"/>
        <v>12822612</v>
      </c>
      <c r="V108" s="16">
        <v>6140000</v>
      </c>
      <c r="W108" s="16">
        <v>2289660</v>
      </c>
      <c r="X108" s="16">
        <v>139952</v>
      </c>
      <c r="Y108" s="16">
        <v>0</v>
      </c>
      <c r="Z108" s="16">
        <v>2432000</v>
      </c>
      <c r="AA108" s="16">
        <v>871000</v>
      </c>
      <c r="AB108" s="16">
        <v>0</v>
      </c>
      <c r="AC108" s="16">
        <v>0</v>
      </c>
      <c r="AD108" s="16">
        <v>0</v>
      </c>
      <c r="AE108" s="16">
        <v>0</v>
      </c>
      <c r="AF108" s="16">
        <v>350000</v>
      </c>
      <c r="AG108" s="16">
        <v>100000</v>
      </c>
      <c r="AH108" s="16">
        <v>100000</v>
      </c>
      <c r="AI108" s="16">
        <v>0</v>
      </c>
      <c r="AJ108" s="16">
        <v>0</v>
      </c>
      <c r="AK108" s="16">
        <v>300000</v>
      </c>
      <c r="AL108" s="16">
        <v>0</v>
      </c>
      <c r="AM108" s="16">
        <v>0</v>
      </c>
      <c r="AN108" s="16">
        <v>100000</v>
      </c>
      <c r="AO108" s="16">
        <v>0</v>
      </c>
      <c r="AP108" s="16">
        <v>0</v>
      </c>
      <c r="AQ108" s="16">
        <v>0</v>
      </c>
      <c r="AR108" s="16">
        <v>0</v>
      </c>
      <c r="AS108" s="16">
        <v>0</v>
      </c>
      <c r="AT108" s="16">
        <v>0</v>
      </c>
      <c r="AU108" s="16">
        <v>0</v>
      </c>
      <c r="AV108" s="16">
        <v>0</v>
      </c>
      <c r="AW108" s="16">
        <v>0</v>
      </c>
      <c r="AX108" s="16">
        <v>0</v>
      </c>
      <c r="AY108" s="16">
        <v>0</v>
      </c>
      <c r="AZ108" s="16">
        <v>0</v>
      </c>
      <c r="BA108" s="16"/>
      <c r="BB108" s="15">
        <f t="shared" si="75"/>
        <v>0</v>
      </c>
      <c r="BC108" s="15"/>
      <c r="BD108" s="16"/>
      <c r="BE108" s="16"/>
      <c r="BF108" s="16"/>
      <c r="BG108" s="16"/>
      <c r="BH108" s="16"/>
      <c r="BI108" s="16"/>
      <c r="BJ108" s="16"/>
      <c r="BK108" s="16"/>
      <c r="BL108" s="16"/>
      <c r="BM108" s="16"/>
      <c r="BN108" s="16"/>
      <c r="BO108" s="16"/>
      <c r="BP108" s="16"/>
      <c r="BQ108" s="16"/>
      <c r="BR108" s="16"/>
      <c r="BS108" s="16"/>
      <c r="BT108" s="16"/>
      <c r="BU108" s="16"/>
      <c r="BV108" s="16"/>
      <c r="BW108" s="16"/>
    </row>
    <row r="109" spans="1:75" ht="18" customHeight="1" outlineLevel="1">
      <c r="H109" s="8" t="s">
        <v>18</v>
      </c>
      <c r="I109" s="8">
        <v>122</v>
      </c>
      <c r="J109" s="9"/>
      <c r="Q109" s="5">
        <v>2027</v>
      </c>
      <c r="R109" s="5">
        <v>6</v>
      </c>
      <c r="S109" s="14" t="s">
        <v>54</v>
      </c>
      <c r="T109" s="15">
        <f t="shared" si="73"/>
        <v>0</v>
      </c>
      <c r="U109" s="15">
        <f t="shared" si="74"/>
        <v>9768894</v>
      </c>
      <c r="V109" s="16">
        <v>6140000</v>
      </c>
      <c r="W109" s="16">
        <v>2289660</v>
      </c>
      <c r="X109" s="16">
        <v>289234</v>
      </c>
      <c r="Y109" s="16">
        <v>0</v>
      </c>
      <c r="Z109" s="16">
        <v>0</v>
      </c>
      <c r="AA109" s="16">
        <v>0</v>
      </c>
      <c r="AB109" s="16">
        <v>0</v>
      </c>
      <c r="AC109" s="16">
        <v>0</v>
      </c>
      <c r="AD109" s="16">
        <v>0</v>
      </c>
      <c r="AE109" s="16">
        <v>0</v>
      </c>
      <c r="AF109" s="16">
        <v>350000</v>
      </c>
      <c r="AG109" s="16">
        <v>100000</v>
      </c>
      <c r="AH109" s="16">
        <v>100000</v>
      </c>
      <c r="AI109" s="16">
        <v>250000</v>
      </c>
      <c r="AJ109" s="16">
        <v>0</v>
      </c>
      <c r="AK109" s="16">
        <v>0</v>
      </c>
      <c r="AL109" s="16">
        <v>0</v>
      </c>
      <c r="AM109" s="16">
        <v>150000</v>
      </c>
      <c r="AN109" s="16">
        <v>100000</v>
      </c>
      <c r="AO109" s="16">
        <v>0</v>
      </c>
      <c r="AP109" s="16">
        <v>0</v>
      </c>
      <c r="AQ109" s="16">
        <v>0</v>
      </c>
      <c r="AR109" s="16">
        <v>0</v>
      </c>
      <c r="AS109" s="16">
        <v>0</v>
      </c>
      <c r="AT109" s="16">
        <v>0</v>
      </c>
      <c r="AU109" s="16">
        <v>0</v>
      </c>
      <c r="AV109" s="16">
        <v>0</v>
      </c>
      <c r="AW109" s="16">
        <v>0</v>
      </c>
      <c r="AX109" s="16">
        <v>0</v>
      </c>
      <c r="AY109" s="16">
        <v>0</v>
      </c>
      <c r="AZ109" s="16">
        <v>0</v>
      </c>
      <c r="BA109" s="16"/>
      <c r="BB109" s="15">
        <f t="shared" si="75"/>
        <v>0</v>
      </c>
      <c r="BC109" s="15"/>
      <c r="BD109" s="16"/>
      <c r="BE109" s="16"/>
      <c r="BF109" s="16"/>
      <c r="BG109" s="16"/>
      <c r="BH109" s="16"/>
      <c r="BI109" s="16"/>
      <c r="BJ109" s="16"/>
      <c r="BK109" s="16"/>
      <c r="BL109" s="16"/>
      <c r="BM109" s="16"/>
      <c r="BN109" s="16"/>
      <c r="BO109" s="16"/>
      <c r="BP109" s="16"/>
      <c r="BQ109" s="16"/>
      <c r="BR109" s="16"/>
      <c r="BS109" s="16"/>
      <c r="BT109" s="16"/>
      <c r="BU109" s="16"/>
      <c r="BV109" s="16"/>
      <c r="BW109" s="16"/>
    </row>
    <row r="110" spans="1:75" ht="18" customHeight="1" outlineLevel="1">
      <c r="J110" s="9"/>
      <c r="Q110" s="5">
        <v>2027</v>
      </c>
      <c r="R110" s="5">
        <v>5</v>
      </c>
      <c r="S110" s="14" t="s">
        <v>54</v>
      </c>
      <c r="T110" s="15">
        <f t="shared" si="73"/>
        <v>0</v>
      </c>
      <c r="U110" s="15">
        <f t="shared" si="74"/>
        <v>9968894</v>
      </c>
      <c r="V110" s="16">
        <v>6140000</v>
      </c>
      <c r="W110" s="16">
        <v>2289660</v>
      </c>
      <c r="X110" s="16">
        <v>289234</v>
      </c>
      <c r="Y110" s="16">
        <v>0</v>
      </c>
      <c r="Z110" s="16">
        <v>0</v>
      </c>
      <c r="AA110" s="16">
        <v>0</v>
      </c>
      <c r="AB110" s="16">
        <v>0</v>
      </c>
      <c r="AC110" s="16">
        <v>0</v>
      </c>
      <c r="AD110" s="16">
        <v>0</v>
      </c>
      <c r="AE110" s="16">
        <v>0</v>
      </c>
      <c r="AF110" s="16">
        <v>350000</v>
      </c>
      <c r="AG110" s="16">
        <v>100000</v>
      </c>
      <c r="AH110" s="16">
        <v>100000</v>
      </c>
      <c r="AI110" s="16">
        <v>250000</v>
      </c>
      <c r="AJ110" s="16">
        <v>200000</v>
      </c>
      <c r="AK110" s="16">
        <v>0</v>
      </c>
      <c r="AL110" s="16">
        <v>0</v>
      </c>
      <c r="AM110" s="16">
        <v>150000</v>
      </c>
      <c r="AN110" s="16">
        <v>100000</v>
      </c>
      <c r="AO110" s="16">
        <v>0</v>
      </c>
      <c r="AP110" s="16">
        <v>0</v>
      </c>
      <c r="AQ110" s="16">
        <v>0</v>
      </c>
      <c r="AR110" s="16">
        <v>0</v>
      </c>
      <c r="AS110" s="16">
        <v>0</v>
      </c>
      <c r="AT110" s="16">
        <v>0</v>
      </c>
      <c r="AU110" s="16">
        <v>0</v>
      </c>
      <c r="AV110" s="16">
        <v>0</v>
      </c>
      <c r="AW110" s="16">
        <v>0</v>
      </c>
      <c r="AX110" s="16">
        <v>0</v>
      </c>
      <c r="AY110" s="16">
        <v>0</v>
      </c>
      <c r="AZ110" s="16">
        <v>0</v>
      </c>
      <c r="BA110" s="16"/>
      <c r="BB110" s="15">
        <f t="shared" si="75"/>
        <v>0</v>
      </c>
      <c r="BC110" s="15"/>
      <c r="BD110" s="16"/>
      <c r="BE110" s="16"/>
      <c r="BF110" s="16"/>
      <c r="BG110" s="16"/>
      <c r="BH110" s="16"/>
      <c r="BI110" s="16"/>
      <c r="BJ110" s="16"/>
      <c r="BK110" s="16"/>
      <c r="BL110" s="16"/>
      <c r="BM110" s="16"/>
      <c r="BN110" s="16"/>
      <c r="BO110" s="16"/>
      <c r="BP110" s="16"/>
      <c r="BQ110" s="16"/>
      <c r="BR110" s="16"/>
      <c r="BS110" s="16"/>
      <c r="BT110" s="16"/>
      <c r="BU110" s="16"/>
      <c r="BV110" s="16"/>
      <c r="BW110" s="16"/>
    </row>
    <row r="111" spans="1:75" ht="18" customHeight="1" outlineLevel="1">
      <c r="B111" s="7">
        <v>2021</v>
      </c>
      <c r="C111" s="8" t="s">
        <v>12</v>
      </c>
      <c r="E111" s="8">
        <v>6867</v>
      </c>
      <c r="J111" s="9"/>
      <c r="Q111" s="5">
        <v>2027</v>
      </c>
      <c r="R111" s="5">
        <v>4</v>
      </c>
      <c r="S111" s="14" t="s">
        <v>54</v>
      </c>
      <c r="T111" s="15">
        <f t="shared" si="73"/>
        <v>0</v>
      </c>
      <c r="U111" s="15">
        <f t="shared" si="74"/>
        <v>10267104</v>
      </c>
      <c r="V111" s="16">
        <v>6140000</v>
      </c>
      <c r="W111" s="16">
        <v>2289660</v>
      </c>
      <c r="X111" s="16">
        <v>289234</v>
      </c>
      <c r="Y111" s="16">
        <v>0</v>
      </c>
      <c r="Z111" s="16">
        <v>0</v>
      </c>
      <c r="AA111" s="16">
        <v>0</v>
      </c>
      <c r="AB111" s="16">
        <v>0</v>
      </c>
      <c r="AC111" s="16">
        <f>3*(SUM(V111:W111)-SUM(V113:W113))</f>
        <v>498210</v>
      </c>
      <c r="AD111" s="16">
        <v>0</v>
      </c>
      <c r="AE111" s="16">
        <v>0</v>
      </c>
      <c r="AF111" s="16">
        <v>350000</v>
      </c>
      <c r="AG111" s="16">
        <v>100000</v>
      </c>
      <c r="AH111" s="16">
        <v>100000</v>
      </c>
      <c r="AI111" s="16">
        <v>250000</v>
      </c>
      <c r="AJ111" s="16">
        <v>0</v>
      </c>
      <c r="AK111" s="16">
        <v>0</v>
      </c>
      <c r="AL111" s="16">
        <v>0</v>
      </c>
      <c r="AM111" s="16">
        <v>150000</v>
      </c>
      <c r="AN111" s="16">
        <v>100000</v>
      </c>
      <c r="AO111" s="16">
        <v>0</v>
      </c>
      <c r="AP111" s="16">
        <v>0</v>
      </c>
      <c r="AQ111" s="16">
        <v>0</v>
      </c>
      <c r="AR111" s="16">
        <v>0</v>
      </c>
      <c r="AS111" s="16">
        <v>0</v>
      </c>
      <c r="AT111" s="16">
        <v>0</v>
      </c>
      <c r="AU111" s="16">
        <v>0</v>
      </c>
      <c r="AV111" s="16">
        <v>0</v>
      </c>
      <c r="AW111" s="16">
        <v>0</v>
      </c>
      <c r="AX111" s="16">
        <v>0</v>
      </c>
      <c r="AY111" s="16">
        <v>0</v>
      </c>
      <c r="AZ111" s="16">
        <v>0</v>
      </c>
      <c r="BA111" s="16"/>
      <c r="BB111" s="15">
        <f t="shared" si="75"/>
        <v>0</v>
      </c>
      <c r="BC111" s="15"/>
      <c r="BD111" s="16"/>
      <c r="BE111" s="16"/>
      <c r="BF111" s="16"/>
      <c r="BG111" s="16"/>
      <c r="BH111" s="16"/>
      <c r="BI111" s="16"/>
      <c r="BJ111" s="16"/>
      <c r="BK111" s="16"/>
      <c r="BL111" s="16"/>
      <c r="BM111" s="16"/>
      <c r="BN111" s="16"/>
      <c r="BO111" s="16"/>
      <c r="BP111" s="16"/>
      <c r="BQ111" s="16"/>
      <c r="BR111" s="16"/>
      <c r="BS111" s="16"/>
      <c r="BT111" s="16"/>
      <c r="BU111" s="16"/>
      <c r="BV111" s="16"/>
      <c r="BW111" s="16"/>
    </row>
    <row r="112" spans="1:75" ht="18" customHeight="1" outlineLevel="1">
      <c r="B112" s="7">
        <v>2021</v>
      </c>
      <c r="C112" s="8" t="s">
        <v>12</v>
      </c>
      <c r="E112" s="8">
        <v>6867</v>
      </c>
      <c r="J112" s="9"/>
      <c r="Q112" s="5">
        <v>2027</v>
      </c>
      <c r="R112" s="5">
        <v>4</v>
      </c>
      <c r="S112" s="14" t="s">
        <v>28</v>
      </c>
      <c r="T112" s="15">
        <f t="shared" si="73"/>
        <v>0</v>
      </c>
      <c r="U112" s="15">
        <f t="shared" si="74"/>
        <v>11416308</v>
      </c>
      <c r="V112" s="16">
        <v>0</v>
      </c>
      <c r="W112" s="16">
        <v>0</v>
      </c>
      <c r="X112" s="16">
        <v>0</v>
      </c>
      <c r="Y112" s="16">
        <v>0</v>
      </c>
      <c r="Z112" s="16">
        <v>0</v>
      </c>
      <c r="AA112" s="16">
        <v>0</v>
      </c>
      <c r="AB112" s="16">
        <v>0</v>
      </c>
      <c r="AC112" s="16">
        <v>0</v>
      </c>
      <c r="AD112" s="16">
        <f>12*(V113+W113)*0.1</f>
        <v>9916308</v>
      </c>
      <c r="AE112" s="16">
        <v>1500000</v>
      </c>
      <c r="AF112" s="16">
        <v>0</v>
      </c>
      <c r="AG112" s="16">
        <v>0</v>
      </c>
      <c r="AH112" s="16">
        <v>0</v>
      </c>
      <c r="AI112" s="16">
        <v>0</v>
      </c>
      <c r="AJ112" s="16">
        <v>0</v>
      </c>
      <c r="AK112" s="16">
        <v>0</v>
      </c>
      <c r="AL112" s="16">
        <v>0</v>
      </c>
      <c r="AM112" s="16">
        <v>0</v>
      </c>
      <c r="AN112" s="16">
        <v>0</v>
      </c>
      <c r="AO112" s="16">
        <v>0</v>
      </c>
      <c r="AP112" s="16">
        <v>0</v>
      </c>
      <c r="AQ112" s="16">
        <v>0</v>
      </c>
      <c r="AR112" s="16">
        <v>0</v>
      </c>
      <c r="AS112" s="16">
        <v>0</v>
      </c>
      <c r="AT112" s="16">
        <v>0</v>
      </c>
      <c r="AU112" s="16">
        <v>0</v>
      </c>
      <c r="AV112" s="16">
        <v>0</v>
      </c>
      <c r="AW112" s="16">
        <v>0</v>
      </c>
      <c r="AX112" s="16">
        <v>0</v>
      </c>
      <c r="AY112" s="16">
        <v>0</v>
      </c>
      <c r="AZ112" s="16">
        <v>0</v>
      </c>
      <c r="BA112" s="16"/>
      <c r="BB112" s="15">
        <f t="shared" si="75"/>
        <v>0</v>
      </c>
      <c r="BC112" s="15"/>
      <c r="BD112" s="16"/>
      <c r="BE112" s="16"/>
      <c r="BF112" s="16"/>
      <c r="BG112" s="16"/>
      <c r="BH112" s="16"/>
      <c r="BI112" s="16"/>
      <c r="BJ112" s="16"/>
      <c r="BK112" s="16"/>
      <c r="BL112" s="16"/>
      <c r="BM112" s="16"/>
      <c r="BN112" s="16"/>
      <c r="BO112" s="16"/>
      <c r="BP112" s="16"/>
      <c r="BQ112" s="16"/>
      <c r="BR112" s="16"/>
      <c r="BS112" s="16"/>
      <c r="BT112" s="16"/>
      <c r="BU112" s="16"/>
      <c r="BV112" s="16"/>
      <c r="BW112" s="16"/>
    </row>
    <row r="113" spans="1:75" ht="18" customHeight="1" outlineLevel="1">
      <c r="B113" s="7">
        <v>2022</v>
      </c>
      <c r="C113" s="8" t="s">
        <v>12</v>
      </c>
      <c r="E113" s="8">
        <v>6867</v>
      </c>
      <c r="J113" s="9"/>
      <c r="Q113" s="5">
        <v>2027</v>
      </c>
      <c r="R113" s="5">
        <v>3</v>
      </c>
      <c r="S113" s="14" t="s">
        <v>54</v>
      </c>
      <c r="T113" s="15">
        <f t="shared" si="73"/>
        <v>0</v>
      </c>
      <c r="U113" s="15">
        <f t="shared" si="74"/>
        <v>9602824</v>
      </c>
      <c r="V113" s="16">
        <v>6017000</v>
      </c>
      <c r="W113" s="16">
        <v>2246590</v>
      </c>
      <c r="X113" s="16">
        <v>289234</v>
      </c>
      <c r="Y113" s="16">
        <v>0</v>
      </c>
      <c r="Z113" s="16">
        <v>0</v>
      </c>
      <c r="AA113" s="16">
        <v>0</v>
      </c>
      <c r="AB113" s="16">
        <v>0</v>
      </c>
      <c r="AC113" s="16">
        <v>0</v>
      </c>
      <c r="AD113" s="16">
        <v>0</v>
      </c>
      <c r="AE113" s="16">
        <v>0</v>
      </c>
      <c r="AF113" s="16">
        <v>350000</v>
      </c>
      <c r="AG113" s="16">
        <v>100000</v>
      </c>
      <c r="AH113" s="16">
        <v>100000</v>
      </c>
      <c r="AI113" s="16">
        <v>250000</v>
      </c>
      <c r="AJ113" s="16">
        <v>0</v>
      </c>
      <c r="AK113" s="16">
        <v>0</v>
      </c>
      <c r="AL113" s="16">
        <v>0</v>
      </c>
      <c r="AM113" s="16">
        <v>150000</v>
      </c>
      <c r="AN113" s="16">
        <v>100000</v>
      </c>
      <c r="AO113" s="16">
        <v>0</v>
      </c>
      <c r="AP113" s="16">
        <v>0</v>
      </c>
      <c r="AQ113" s="16">
        <v>0</v>
      </c>
      <c r="AR113" s="16">
        <v>0</v>
      </c>
      <c r="AS113" s="16">
        <v>0</v>
      </c>
      <c r="AT113" s="16">
        <v>0</v>
      </c>
      <c r="AU113" s="16">
        <v>0</v>
      </c>
      <c r="AV113" s="16">
        <v>0</v>
      </c>
      <c r="AW113" s="16">
        <v>0</v>
      </c>
      <c r="AX113" s="16">
        <v>0</v>
      </c>
      <c r="AY113" s="16">
        <v>0</v>
      </c>
      <c r="AZ113" s="16">
        <v>0</v>
      </c>
      <c r="BA113" s="16"/>
      <c r="BB113" s="15">
        <f t="shared" si="75"/>
        <v>0</v>
      </c>
      <c r="BC113" s="15"/>
      <c r="BD113" s="16"/>
      <c r="BE113" s="16"/>
      <c r="BF113" s="16"/>
      <c r="BG113" s="16"/>
      <c r="BH113" s="16"/>
      <c r="BI113" s="16"/>
      <c r="BJ113" s="16"/>
      <c r="BK113" s="16"/>
      <c r="BL113" s="16"/>
      <c r="BM113" s="16"/>
      <c r="BN113" s="16"/>
      <c r="BO113" s="16"/>
      <c r="BP113" s="16"/>
      <c r="BQ113" s="16"/>
      <c r="BR113" s="16"/>
      <c r="BS113" s="16"/>
      <c r="BT113" s="16"/>
      <c r="BU113" s="16"/>
      <c r="BV113" s="16"/>
      <c r="BW113" s="16"/>
    </row>
    <row r="114" spans="1:75" ht="18" customHeight="1" outlineLevel="1">
      <c r="B114" s="7">
        <v>2023</v>
      </c>
      <c r="C114" s="8" t="s">
        <v>12</v>
      </c>
      <c r="E114" s="8">
        <v>6867</v>
      </c>
      <c r="J114" s="9"/>
      <c r="Q114" s="5">
        <v>2027</v>
      </c>
      <c r="R114" s="5">
        <v>2</v>
      </c>
      <c r="S114" s="14" t="s">
        <v>54</v>
      </c>
      <c r="T114" s="15">
        <f t="shared" si="73"/>
        <v>0</v>
      </c>
      <c r="U114" s="15">
        <f t="shared" si="74"/>
        <v>9602824</v>
      </c>
      <c r="V114" s="16">
        <v>6017000</v>
      </c>
      <c r="W114" s="16">
        <v>2246590</v>
      </c>
      <c r="X114" s="16">
        <v>289234</v>
      </c>
      <c r="Y114" s="16">
        <v>0</v>
      </c>
      <c r="Z114" s="16">
        <v>0</v>
      </c>
      <c r="AA114" s="16">
        <v>0</v>
      </c>
      <c r="AB114" s="16">
        <v>0</v>
      </c>
      <c r="AC114" s="16">
        <v>0</v>
      </c>
      <c r="AD114" s="16">
        <v>0</v>
      </c>
      <c r="AE114" s="16">
        <v>0</v>
      </c>
      <c r="AF114" s="16">
        <v>350000</v>
      </c>
      <c r="AG114" s="16">
        <v>100000</v>
      </c>
      <c r="AH114" s="16">
        <v>100000</v>
      </c>
      <c r="AI114" s="16">
        <v>250000</v>
      </c>
      <c r="AJ114" s="16">
        <v>0</v>
      </c>
      <c r="AK114" s="16">
        <v>0</v>
      </c>
      <c r="AL114" s="16">
        <v>0</v>
      </c>
      <c r="AM114" s="16">
        <v>150000</v>
      </c>
      <c r="AN114" s="16">
        <v>100000</v>
      </c>
      <c r="AO114" s="16">
        <v>0</v>
      </c>
      <c r="AP114" s="16">
        <v>0</v>
      </c>
      <c r="AQ114" s="16">
        <v>0</v>
      </c>
      <c r="AR114" s="16">
        <v>0</v>
      </c>
      <c r="AS114" s="16">
        <v>0</v>
      </c>
      <c r="AT114" s="16">
        <v>0</v>
      </c>
      <c r="AU114" s="16">
        <v>0</v>
      </c>
      <c r="AV114" s="16">
        <v>0</v>
      </c>
      <c r="AW114" s="16">
        <v>0</v>
      </c>
      <c r="AX114" s="16">
        <v>0</v>
      </c>
      <c r="AY114" s="16">
        <v>0</v>
      </c>
      <c r="AZ114" s="16">
        <v>0</v>
      </c>
      <c r="BA114" s="16"/>
      <c r="BB114" s="15">
        <f t="shared" si="75"/>
        <v>0</v>
      </c>
      <c r="BC114" s="15"/>
      <c r="BD114" s="16"/>
      <c r="BE114" s="16"/>
      <c r="BF114" s="16"/>
      <c r="BG114" s="16"/>
      <c r="BH114" s="16"/>
      <c r="BI114" s="16"/>
      <c r="BJ114" s="16"/>
      <c r="BK114" s="16"/>
      <c r="BL114" s="16"/>
      <c r="BM114" s="16"/>
      <c r="BN114" s="16"/>
      <c r="BO114" s="16"/>
      <c r="BP114" s="16"/>
      <c r="BQ114" s="16"/>
      <c r="BR114" s="16"/>
      <c r="BS114" s="16"/>
      <c r="BT114" s="16"/>
      <c r="BU114" s="16"/>
      <c r="BV114" s="16"/>
      <c r="BW114" s="16"/>
    </row>
    <row r="115" spans="1:75" ht="18" customHeight="1" outlineLevel="1">
      <c r="B115" s="7">
        <v>2024</v>
      </c>
      <c r="C115" s="8" t="s">
        <v>12</v>
      </c>
      <c r="E115" s="8">
        <v>6867</v>
      </c>
      <c r="J115" s="9"/>
      <c r="Q115" s="5">
        <v>2027</v>
      </c>
      <c r="R115" s="5">
        <v>1</v>
      </c>
      <c r="S115" s="14" t="s">
        <v>54</v>
      </c>
      <c r="T115" s="15">
        <f t="shared" si="73"/>
        <v>0</v>
      </c>
      <c r="U115" s="15">
        <f t="shared" si="74"/>
        <v>9602824</v>
      </c>
      <c r="V115" s="16">
        <v>6017000</v>
      </c>
      <c r="W115" s="16">
        <v>2246590</v>
      </c>
      <c r="X115" s="16">
        <v>289234</v>
      </c>
      <c r="Y115" s="16">
        <v>0</v>
      </c>
      <c r="Z115" s="16">
        <v>0</v>
      </c>
      <c r="AA115" s="16">
        <v>0</v>
      </c>
      <c r="AB115" s="16">
        <v>0</v>
      </c>
      <c r="AC115" s="16">
        <v>0</v>
      </c>
      <c r="AD115" s="16">
        <v>0</v>
      </c>
      <c r="AE115" s="16">
        <v>0</v>
      </c>
      <c r="AF115" s="16">
        <v>350000</v>
      </c>
      <c r="AG115" s="16">
        <v>100000</v>
      </c>
      <c r="AH115" s="16">
        <v>100000</v>
      </c>
      <c r="AI115" s="16">
        <v>250000</v>
      </c>
      <c r="AJ115" s="16">
        <v>0</v>
      </c>
      <c r="AK115" s="16">
        <v>0</v>
      </c>
      <c r="AL115" s="16">
        <v>0</v>
      </c>
      <c r="AM115" s="16">
        <v>150000</v>
      </c>
      <c r="AN115" s="16">
        <v>100000</v>
      </c>
      <c r="AO115" s="16">
        <v>0</v>
      </c>
      <c r="AP115" s="16">
        <v>0</v>
      </c>
      <c r="AQ115" s="16">
        <v>0</v>
      </c>
      <c r="AR115" s="16">
        <v>0</v>
      </c>
      <c r="AS115" s="16">
        <v>0</v>
      </c>
      <c r="AT115" s="16">
        <v>0</v>
      </c>
      <c r="AU115" s="16">
        <v>0</v>
      </c>
      <c r="AV115" s="16">
        <v>0</v>
      </c>
      <c r="AW115" s="16">
        <v>0</v>
      </c>
      <c r="AX115" s="16">
        <v>0</v>
      </c>
      <c r="AY115" s="16">
        <v>0</v>
      </c>
      <c r="AZ115" s="16">
        <v>0</v>
      </c>
      <c r="BA115" s="16"/>
      <c r="BB115" s="15">
        <f t="shared" si="75"/>
        <v>0</v>
      </c>
      <c r="BC115" s="15"/>
      <c r="BD115" s="16"/>
      <c r="BE115" s="16"/>
      <c r="BF115" s="16"/>
      <c r="BG115" s="16"/>
      <c r="BH115" s="16"/>
      <c r="BI115" s="16"/>
      <c r="BJ115" s="16"/>
      <c r="BK115" s="16"/>
      <c r="BL115" s="16"/>
      <c r="BM115" s="16"/>
      <c r="BN115" s="16"/>
      <c r="BO115" s="16"/>
      <c r="BP115" s="16"/>
      <c r="BQ115" s="16"/>
      <c r="BR115" s="16"/>
      <c r="BS115" s="16"/>
      <c r="BT115" s="16"/>
      <c r="BU115" s="16"/>
      <c r="BV115" s="16"/>
      <c r="BW115" s="16"/>
    </row>
    <row r="116" spans="1:75" s="1" customFormat="1" ht="18" customHeight="1">
      <c r="A116" s="10"/>
      <c r="B116" s="11"/>
      <c r="C116" s="12"/>
      <c r="D116" s="11"/>
      <c r="E116" s="12"/>
      <c r="F116" s="12"/>
      <c r="G116" s="12"/>
      <c r="H116" s="12"/>
      <c r="I116" s="12"/>
      <c r="J116" s="3"/>
      <c r="K116" s="12"/>
      <c r="L116" s="12"/>
      <c r="M116" s="12"/>
      <c r="N116" s="12"/>
      <c r="O116" s="13"/>
      <c r="Q116" s="667" t="s">
        <v>1634</v>
      </c>
      <c r="R116" s="667"/>
      <c r="S116" s="667"/>
      <c r="T116" s="23">
        <f t="shared" ref="T116:AZ116" si="79">SUMIF($Q$2:$Q$793,$Q117,T$2:T$793)</f>
        <v>43642890</v>
      </c>
      <c r="U116" s="23">
        <f t="shared" si="79"/>
        <v>113114216</v>
      </c>
      <c r="V116" s="23">
        <f t="shared" si="79"/>
        <v>63364000</v>
      </c>
      <c r="W116" s="23">
        <f t="shared" si="79"/>
        <v>23656360</v>
      </c>
      <c r="X116" s="23">
        <f t="shared" si="79"/>
        <v>3470808</v>
      </c>
      <c r="Y116" s="23">
        <f t="shared" si="79"/>
        <v>0</v>
      </c>
      <c r="Z116" s="23">
        <f t="shared" si="79"/>
        <v>0</v>
      </c>
      <c r="AA116" s="23">
        <f t="shared" si="79"/>
        <v>0</v>
      </c>
      <c r="AB116" s="23">
        <f t="shared" si="79"/>
        <v>0</v>
      </c>
      <c r="AC116" s="23">
        <f t="shared" si="79"/>
        <v>1673680</v>
      </c>
      <c r="AD116" s="23">
        <f t="shared" si="79"/>
        <v>4376729</v>
      </c>
      <c r="AE116" s="23">
        <f t="shared" si="79"/>
        <v>1500000</v>
      </c>
      <c r="AF116" s="23">
        <f t="shared" si="79"/>
        <v>4200000</v>
      </c>
      <c r="AG116" s="23">
        <f t="shared" si="79"/>
        <v>1200000</v>
      </c>
      <c r="AH116" s="23">
        <f t="shared" si="79"/>
        <v>1200000</v>
      </c>
      <c r="AI116" s="23">
        <f t="shared" si="79"/>
        <v>3000000</v>
      </c>
      <c r="AJ116" s="23">
        <f t="shared" si="79"/>
        <v>985000</v>
      </c>
      <c r="AK116" s="23">
        <f t="shared" si="79"/>
        <v>300000</v>
      </c>
      <c r="AL116" s="23">
        <f t="shared" si="79"/>
        <v>0</v>
      </c>
      <c r="AM116" s="23">
        <f t="shared" si="79"/>
        <v>1800000</v>
      </c>
      <c r="AN116" s="23">
        <f t="shared" si="79"/>
        <v>960000</v>
      </c>
      <c r="AO116" s="23">
        <f t="shared" si="79"/>
        <v>0</v>
      </c>
      <c r="AP116" s="23">
        <f t="shared" si="79"/>
        <v>0</v>
      </c>
      <c r="AQ116" s="23">
        <f t="shared" si="79"/>
        <v>40000</v>
      </c>
      <c r="AR116" s="23">
        <f t="shared" si="79"/>
        <v>0</v>
      </c>
      <c r="AS116" s="23">
        <f t="shared" si="79"/>
        <v>1387639</v>
      </c>
      <c r="AT116" s="23">
        <f t="shared" si="79"/>
        <v>0</v>
      </c>
      <c r="AU116" s="23">
        <f t="shared" si="79"/>
        <v>0</v>
      </c>
      <c r="AV116" s="23">
        <f t="shared" si="79"/>
        <v>0</v>
      </c>
      <c r="AW116" s="23">
        <f t="shared" si="79"/>
        <v>0</v>
      </c>
      <c r="AX116" s="23">
        <f t="shared" si="79"/>
        <v>0</v>
      </c>
      <c r="AY116" s="23">
        <f t="shared" si="79"/>
        <v>0</v>
      </c>
      <c r="AZ116" s="23">
        <f t="shared" si="79"/>
        <v>0</v>
      </c>
      <c r="BA116" s="23"/>
      <c r="BB116" s="23">
        <f t="shared" ref="BB116:BW116" si="80">SUMIF($Q$2:$Q$793,$Q117,BB$2:BB$793)</f>
        <v>7898498</v>
      </c>
      <c r="BC116" s="23">
        <f t="shared" si="80"/>
        <v>-2775600</v>
      </c>
      <c r="BD116" s="23">
        <f t="shared" si="80"/>
        <v>4593360</v>
      </c>
      <c r="BE116" s="23">
        <f t="shared" si="80"/>
        <v>0</v>
      </c>
      <c r="BF116" s="23">
        <f t="shared" si="80"/>
        <v>459310</v>
      </c>
      <c r="BG116" s="23">
        <f t="shared" si="80"/>
        <v>0</v>
      </c>
      <c r="BH116" s="23">
        <f t="shared" si="80"/>
        <v>1695150</v>
      </c>
      <c r="BI116" s="23">
        <f t="shared" si="80"/>
        <v>1512850</v>
      </c>
      <c r="BJ116" s="23">
        <f t="shared" si="80"/>
        <v>443618</v>
      </c>
      <c r="BK116" s="23">
        <f t="shared" si="80"/>
        <v>134700</v>
      </c>
      <c r="BL116" s="23">
        <f t="shared" si="80"/>
        <v>800000</v>
      </c>
      <c r="BM116" s="23">
        <f t="shared" si="80"/>
        <v>685000</v>
      </c>
      <c r="BN116" s="23">
        <f t="shared" si="80"/>
        <v>349000</v>
      </c>
      <c r="BO116" s="23">
        <f t="shared" si="80"/>
        <v>1110</v>
      </c>
      <c r="BP116" s="23">
        <f t="shared" si="80"/>
        <v>0</v>
      </c>
      <c r="BQ116" s="23">
        <f t="shared" si="80"/>
        <v>0</v>
      </c>
      <c r="BR116" s="23">
        <f t="shared" si="80"/>
        <v>0</v>
      </c>
      <c r="BS116" s="23">
        <f t="shared" si="80"/>
        <v>0</v>
      </c>
      <c r="BT116" s="23">
        <f t="shared" si="80"/>
        <v>0</v>
      </c>
      <c r="BU116" s="23">
        <f t="shared" si="80"/>
        <v>0</v>
      </c>
      <c r="BV116" s="23">
        <f t="shared" si="80"/>
        <v>0</v>
      </c>
      <c r="BW116" s="23">
        <f t="shared" si="80"/>
        <v>0</v>
      </c>
    </row>
    <row r="117" spans="1:75" ht="18" customHeight="1" outlineLevel="1">
      <c r="D117" s="7" t="s">
        <v>11</v>
      </c>
      <c r="F117" s="8">
        <v>4717</v>
      </c>
      <c r="G117" s="8">
        <v>5848</v>
      </c>
      <c r="K117" s="8">
        <v>2400</v>
      </c>
      <c r="L117" s="8">
        <f>K117*12</f>
        <v>28800</v>
      </c>
      <c r="M117" s="8">
        <f>L117*1.13</f>
        <v>32543.999999999996</v>
      </c>
      <c r="N117" s="8">
        <v>21014</v>
      </c>
      <c r="O117" s="9">
        <f>N117/M117</f>
        <v>0.64571042281219282</v>
      </c>
      <c r="Q117" s="5">
        <v>2026</v>
      </c>
      <c r="R117" s="5">
        <v>12</v>
      </c>
      <c r="S117" s="14" t="s">
        <v>54</v>
      </c>
      <c r="T117" s="15">
        <f t="shared" ref="T117:T129" si="81">IF(U117=U117-BB117,0,U117-BB117)</f>
        <v>0</v>
      </c>
      <c r="U117" s="15">
        <f t="shared" ref="U117:U129" si="82">SUM(V117:BA117)</f>
        <v>8760404</v>
      </c>
      <c r="V117" s="16">
        <v>5382000</v>
      </c>
      <c r="W117" s="16">
        <v>2009170</v>
      </c>
      <c r="X117" s="16">
        <v>289234</v>
      </c>
      <c r="Y117" s="16">
        <v>0</v>
      </c>
      <c r="Z117" s="16">
        <v>0</v>
      </c>
      <c r="AA117" s="16">
        <v>0</v>
      </c>
      <c r="AB117" s="16">
        <v>0</v>
      </c>
      <c r="AC117" s="16">
        <v>0</v>
      </c>
      <c r="AD117" s="16">
        <v>0</v>
      </c>
      <c r="AE117" s="16">
        <v>0</v>
      </c>
      <c r="AF117" s="16">
        <v>350000</v>
      </c>
      <c r="AG117" s="16">
        <v>100000</v>
      </c>
      <c r="AH117" s="16">
        <v>100000</v>
      </c>
      <c r="AI117" s="16">
        <v>250000</v>
      </c>
      <c r="AJ117" s="16">
        <v>50000</v>
      </c>
      <c r="AK117" s="16">
        <v>0</v>
      </c>
      <c r="AL117" s="16">
        <v>0</v>
      </c>
      <c r="AM117" s="16">
        <v>150000</v>
      </c>
      <c r="AN117" s="16">
        <v>80000</v>
      </c>
      <c r="AO117" s="16">
        <v>0</v>
      </c>
      <c r="AP117" s="16">
        <v>0</v>
      </c>
      <c r="AQ117" s="16">
        <v>0</v>
      </c>
      <c r="AR117" s="16">
        <v>0</v>
      </c>
      <c r="AS117" s="16">
        <v>0</v>
      </c>
      <c r="AT117" s="16">
        <v>0</v>
      </c>
      <c r="AU117" s="16">
        <v>0</v>
      </c>
      <c r="AV117" s="16">
        <v>0</v>
      </c>
      <c r="AW117" s="16">
        <v>0</v>
      </c>
      <c r="AX117" s="16">
        <v>0</v>
      </c>
      <c r="AY117" s="16">
        <v>0</v>
      </c>
      <c r="AZ117" s="16">
        <v>0</v>
      </c>
      <c r="BA117" s="16"/>
      <c r="BB117" s="15">
        <f t="shared" ref="BB117:BB129" si="83">SUM(BC117:BW117)</f>
        <v>0</v>
      </c>
      <c r="BC117" s="15"/>
      <c r="BD117" s="16"/>
      <c r="BE117" s="16"/>
      <c r="BF117" s="16"/>
      <c r="BG117" s="16"/>
      <c r="BH117" s="16"/>
      <c r="BI117" s="16"/>
      <c r="BJ117" s="16"/>
      <c r="BK117" s="16"/>
      <c r="BL117" s="16"/>
      <c r="BM117" s="16"/>
      <c r="BN117" s="16"/>
      <c r="BO117" s="16"/>
      <c r="BP117" s="16"/>
      <c r="BQ117" s="16"/>
      <c r="BR117" s="16"/>
      <c r="BS117" s="16"/>
      <c r="BT117" s="16"/>
      <c r="BU117" s="16"/>
      <c r="BV117" s="16"/>
      <c r="BW117" s="16"/>
    </row>
    <row r="118" spans="1:75" ht="18" customHeight="1" outlineLevel="1">
      <c r="D118" s="7" t="s">
        <v>11</v>
      </c>
      <c r="F118" s="8">
        <v>4717</v>
      </c>
      <c r="G118" s="8">
        <v>5848</v>
      </c>
      <c r="K118" s="8">
        <v>2400</v>
      </c>
      <c r="L118" s="8">
        <f>K118*12</f>
        <v>28800</v>
      </c>
      <c r="M118" s="8">
        <f>L118*1.13</f>
        <v>32543.999999999996</v>
      </c>
      <c r="N118" s="8">
        <v>21014</v>
      </c>
      <c r="O118" s="9">
        <f>N118/M118</f>
        <v>0.64571042281219282</v>
      </c>
      <c r="Q118" s="5">
        <v>2026</v>
      </c>
      <c r="R118" s="5">
        <v>11</v>
      </c>
      <c r="S118" s="14" t="s">
        <v>54</v>
      </c>
      <c r="T118" s="15">
        <f t="shared" si="81"/>
        <v>0</v>
      </c>
      <c r="U118" s="15">
        <f t="shared" si="82"/>
        <v>8710404</v>
      </c>
      <c r="V118" s="16">
        <v>5382000</v>
      </c>
      <c r="W118" s="16">
        <v>2009170</v>
      </c>
      <c r="X118" s="16">
        <v>289234</v>
      </c>
      <c r="Y118" s="16">
        <v>0</v>
      </c>
      <c r="Z118" s="16">
        <v>0</v>
      </c>
      <c r="AA118" s="16">
        <v>0</v>
      </c>
      <c r="AB118" s="16">
        <v>0</v>
      </c>
      <c r="AC118" s="16">
        <v>0</v>
      </c>
      <c r="AD118" s="16">
        <v>0</v>
      </c>
      <c r="AE118" s="16">
        <v>0</v>
      </c>
      <c r="AF118" s="16">
        <v>350000</v>
      </c>
      <c r="AG118" s="16">
        <v>100000</v>
      </c>
      <c r="AH118" s="16">
        <v>100000</v>
      </c>
      <c r="AI118" s="16">
        <v>250000</v>
      </c>
      <c r="AJ118" s="16">
        <v>0</v>
      </c>
      <c r="AK118" s="16">
        <v>0</v>
      </c>
      <c r="AL118" s="16">
        <v>0</v>
      </c>
      <c r="AM118" s="16">
        <v>150000</v>
      </c>
      <c r="AN118" s="16">
        <v>80000</v>
      </c>
      <c r="AO118" s="16">
        <v>0</v>
      </c>
      <c r="AP118" s="16">
        <v>0</v>
      </c>
      <c r="AQ118" s="16">
        <v>0</v>
      </c>
      <c r="AR118" s="16">
        <v>0</v>
      </c>
      <c r="AS118" s="16">
        <v>0</v>
      </c>
      <c r="AT118" s="16">
        <v>0</v>
      </c>
      <c r="AU118" s="16">
        <v>0</v>
      </c>
      <c r="AV118" s="16">
        <v>0</v>
      </c>
      <c r="AW118" s="16">
        <v>0</v>
      </c>
      <c r="AX118" s="16">
        <v>0</v>
      </c>
      <c r="AY118" s="16">
        <v>0</v>
      </c>
      <c r="AZ118" s="16">
        <v>0</v>
      </c>
      <c r="BA118" s="16"/>
      <c r="BB118" s="15">
        <f t="shared" si="83"/>
        <v>0</v>
      </c>
      <c r="BC118" s="15"/>
      <c r="BD118" s="16"/>
      <c r="BE118" s="16"/>
      <c r="BF118" s="16"/>
      <c r="BG118" s="16"/>
      <c r="BH118" s="16"/>
      <c r="BI118" s="16"/>
      <c r="BJ118" s="16"/>
      <c r="BK118" s="16"/>
      <c r="BL118" s="16"/>
      <c r="BM118" s="16"/>
      <c r="BN118" s="16"/>
      <c r="BO118" s="16"/>
      <c r="BP118" s="16"/>
      <c r="BQ118" s="16"/>
      <c r="BR118" s="16"/>
      <c r="BS118" s="16"/>
      <c r="BT118" s="16"/>
      <c r="BU118" s="16"/>
      <c r="BV118" s="16"/>
      <c r="BW118" s="16"/>
    </row>
    <row r="119" spans="1:75" ht="18" customHeight="1" outlineLevel="1">
      <c r="D119" s="7" t="s">
        <v>11</v>
      </c>
      <c r="F119" s="8">
        <v>4717</v>
      </c>
      <c r="G119" s="8">
        <v>5848</v>
      </c>
      <c r="K119" s="8">
        <v>2400</v>
      </c>
      <c r="L119" s="8">
        <f t="shared" ref="L119:L122" si="84">K119*12</f>
        <v>28800</v>
      </c>
      <c r="M119" s="8">
        <f t="shared" ref="M119:M122" si="85">L119*1.13</f>
        <v>32543.999999999996</v>
      </c>
      <c r="N119" s="8">
        <v>21014</v>
      </c>
      <c r="O119" s="9">
        <f t="shared" ref="O119:O122" si="86">N119/M119</f>
        <v>0.64571042281219282</v>
      </c>
      <c r="Q119" s="5">
        <v>2026</v>
      </c>
      <c r="R119" s="5">
        <v>10</v>
      </c>
      <c r="S119" s="14" t="s">
        <v>54</v>
      </c>
      <c r="T119" s="15">
        <f t="shared" si="81"/>
        <v>0</v>
      </c>
      <c r="U119" s="15">
        <f t="shared" si="82"/>
        <v>8760404</v>
      </c>
      <c r="V119" s="16">
        <v>5382000</v>
      </c>
      <c r="W119" s="16">
        <v>2009170</v>
      </c>
      <c r="X119" s="16">
        <v>289234</v>
      </c>
      <c r="Y119" s="16">
        <v>0</v>
      </c>
      <c r="Z119" s="16">
        <v>0</v>
      </c>
      <c r="AA119" s="16">
        <v>0</v>
      </c>
      <c r="AB119" s="16">
        <v>0</v>
      </c>
      <c r="AC119" s="16">
        <v>0</v>
      </c>
      <c r="AD119" s="16">
        <v>0</v>
      </c>
      <c r="AE119" s="16">
        <v>0</v>
      </c>
      <c r="AF119" s="16">
        <v>350000</v>
      </c>
      <c r="AG119" s="16">
        <v>100000</v>
      </c>
      <c r="AH119" s="16">
        <v>100000</v>
      </c>
      <c r="AI119" s="16">
        <v>250000</v>
      </c>
      <c r="AJ119" s="16">
        <v>50000</v>
      </c>
      <c r="AK119" s="16">
        <v>0</v>
      </c>
      <c r="AL119" s="16">
        <v>0</v>
      </c>
      <c r="AM119" s="16">
        <v>150000</v>
      </c>
      <c r="AN119" s="16">
        <v>80000</v>
      </c>
      <c r="AO119" s="16">
        <v>0</v>
      </c>
      <c r="AP119" s="16">
        <v>0</v>
      </c>
      <c r="AQ119" s="16">
        <v>0</v>
      </c>
      <c r="AR119" s="16">
        <v>0</v>
      </c>
      <c r="AS119" s="16">
        <v>0</v>
      </c>
      <c r="AT119" s="16">
        <v>0</v>
      </c>
      <c r="AU119" s="16">
        <v>0</v>
      </c>
      <c r="AV119" s="16">
        <v>0</v>
      </c>
      <c r="AW119" s="16">
        <v>0</v>
      </c>
      <c r="AX119" s="16">
        <v>0</v>
      </c>
      <c r="AY119" s="16">
        <v>0</v>
      </c>
      <c r="AZ119" s="16">
        <v>0</v>
      </c>
      <c r="BA119" s="16"/>
      <c r="BB119" s="15">
        <f t="shared" si="83"/>
        <v>0</v>
      </c>
      <c r="BC119" s="15"/>
      <c r="BD119" s="16"/>
      <c r="BE119" s="16"/>
      <c r="BF119" s="16"/>
      <c r="BG119" s="16"/>
      <c r="BH119" s="16"/>
      <c r="BI119" s="16"/>
      <c r="BJ119" s="16"/>
      <c r="BK119" s="16"/>
      <c r="BL119" s="16"/>
      <c r="BM119" s="16"/>
      <c r="BN119" s="16"/>
      <c r="BO119" s="16"/>
      <c r="BP119" s="16"/>
      <c r="BQ119" s="16"/>
      <c r="BR119" s="16"/>
      <c r="BS119" s="16"/>
      <c r="BT119" s="16"/>
      <c r="BU119" s="16"/>
      <c r="BV119" s="16"/>
      <c r="BW119" s="16"/>
    </row>
    <row r="120" spans="1:75" ht="18" customHeight="1" outlineLevel="1">
      <c r="D120" s="7" t="s">
        <v>12</v>
      </c>
      <c r="F120" s="8">
        <v>6867</v>
      </c>
      <c r="G120" s="8">
        <v>6867</v>
      </c>
      <c r="K120" s="8">
        <v>2400</v>
      </c>
      <c r="L120" s="8">
        <f t="shared" si="84"/>
        <v>28800</v>
      </c>
      <c r="M120" s="8">
        <f t="shared" si="85"/>
        <v>32543.999999999996</v>
      </c>
      <c r="N120" s="8">
        <v>21014</v>
      </c>
      <c r="O120" s="9">
        <f t="shared" si="86"/>
        <v>0.64571042281219282</v>
      </c>
      <c r="Q120" s="5">
        <v>2026</v>
      </c>
      <c r="R120" s="5">
        <v>9</v>
      </c>
      <c r="S120" s="14" t="s">
        <v>54</v>
      </c>
      <c r="T120" s="15">
        <f t="shared" si="81"/>
        <v>0</v>
      </c>
      <c r="U120" s="15">
        <f t="shared" si="82"/>
        <v>8910404</v>
      </c>
      <c r="V120" s="16">
        <v>5382000</v>
      </c>
      <c r="W120" s="16">
        <v>2009170</v>
      </c>
      <c r="X120" s="16">
        <v>289234</v>
      </c>
      <c r="Y120" s="16">
        <v>0</v>
      </c>
      <c r="Z120" s="16">
        <v>0</v>
      </c>
      <c r="AA120" s="16">
        <v>0</v>
      </c>
      <c r="AB120" s="16">
        <v>0</v>
      </c>
      <c r="AC120" s="16">
        <v>0</v>
      </c>
      <c r="AD120" s="16">
        <v>0</v>
      </c>
      <c r="AE120" s="16">
        <v>0</v>
      </c>
      <c r="AF120" s="16">
        <v>350000</v>
      </c>
      <c r="AG120" s="16">
        <v>100000</v>
      </c>
      <c r="AH120" s="16">
        <v>100000</v>
      </c>
      <c r="AI120" s="16">
        <v>250000</v>
      </c>
      <c r="AJ120" s="16">
        <v>200000</v>
      </c>
      <c r="AK120" s="16">
        <v>0</v>
      </c>
      <c r="AL120" s="16">
        <v>0</v>
      </c>
      <c r="AM120" s="16">
        <v>150000</v>
      </c>
      <c r="AN120" s="16">
        <v>80000</v>
      </c>
      <c r="AO120" s="16">
        <v>0</v>
      </c>
      <c r="AP120" s="16">
        <v>0</v>
      </c>
      <c r="AQ120" s="16">
        <v>0</v>
      </c>
      <c r="AR120" s="16">
        <v>0</v>
      </c>
      <c r="AS120" s="16">
        <v>0</v>
      </c>
      <c r="AT120" s="16">
        <v>0</v>
      </c>
      <c r="AU120" s="16">
        <v>0</v>
      </c>
      <c r="AV120" s="16">
        <v>0</v>
      </c>
      <c r="AW120" s="16">
        <v>0</v>
      </c>
      <c r="AX120" s="16">
        <v>0</v>
      </c>
      <c r="AY120" s="16">
        <v>0</v>
      </c>
      <c r="AZ120" s="16">
        <v>0</v>
      </c>
      <c r="BA120" s="16"/>
      <c r="BB120" s="15">
        <f t="shared" si="83"/>
        <v>0</v>
      </c>
      <c r="BC120" s="15"/>
      <c r="BD120" s="16"/>
      <c r="BE120" s="16"/>
      <c r="BF120" s="16"/>
      <c r="BG120" s="16"/>
      <c r="BH120" s="16"/>
      <c r="BI120" s="16"/>
      <c r="BJ120" s="16"/>
      <c r="BK120" s="16"/>
      <c r="BL120" s="16"/>
      <c r="BM120" s="16"/>
      <c r="BN120" s="16"/>
      <c r="BO120" s="16"/>
      <c r="BP120" s="16"/>
      <c r="BQ120" s="16"/>
      <c r="BR120" s="16"/>
      <c r="BS120" s="16"/>
      <c r="BT120" s="16"/>
      <c r="BU120" s="16"/>
      <c r="BV120" s="16"/>
      <c r="BW120" s="16"/>
    </row>
    <row r="121" spans="1:75" ht="18" customHeight="1" outlineLevel="1">
      <c r="D121" s="7" t="s">
        <v>13</v>
      </c>
      <c r="F121" s="8">
        <v>7988</v>
      </c>
      <c r="G121" s="8" t="s">
        <v>2</v>
      </c>
      <c r="H121" s="8" t="s">
        <v>17</v>
      </c>
      <c r="I121" s="8">
        <v>171</v>
      </c>
      <c r="K121" s="8">
        <v>2400</v>
      </c>
      <c r="L121" s="8">
        <f t="shared" si="84"/>
        <v>28800</v>
      </c>
      <c r="M121" s="8">
        <f t="shared" si="85"/>
        <v>32543.999999999996</v>
      </c>
      <c r="N121" s="8">
        <v>21014</v>
      </c>
      <c r="O121" s="9">
        <f t="shared" si="86"/>
        <v>0.64571042281219282</v>
      </c>
      <c r="Q121" s="5">
        <v>2026</v>
      </c>
      <c r="R121" s="5">
        <v>8</v>
      </c>
      <c r="S121" s="14" t="s">
        <v>54</v>
      </c>
      <c r="T121" s="15">
        <f t="shared" si="81"/>
        <v>0</v>
      </c>
      <c r="U121" s="15">
        <f t="shared" si="82"/>
        <v>8710404</v>
      </c>
      <c r="V121" s="16">
        <v>5382000</v>
      </c>
      <c r="W121" s="16">
        <v>2009170</v>
      </c>
      <c r="X121" s="16">
        <v>289234</v>
      </c>
      <c r="Y121" s="16">
        <v>0</v>
      </c>
      <c r="Z121" s="16">
        <v>0</v>
      </c>
      <c r="AA121" s="16">
        <v>0</v>
      </c>
      <c r="AB121" s="16">
        <v>0</v>
      </c>
      <c r="AC121" s="16">
        <v>0</v>
      </c>
      <c r="AD121" s="16">
        <v>0</v>
      </c>
      <c r="AE121" s="16">
        <v>0</v>
      </c>
      <c r="AF121" s="16">
        <v>350000</v>
      </c>
      <c r="AG121" s="16">
        <v>100000</v>
      </c>
      <c r="AH121" s="16">
        <v>100000</v>
      </c>
      <c r="AI121" s="16">
        <v>250000</v>
      </c>
      <c r="AJ121" s="16">
        <v>0</v>
      </c>
      <c r="AK121" s="16">
        <v>0</v>
      </c>
      <c r="AL121" s="16">
        <v>0</v>
      </c>
      <c r="AM121" s="16">
        <v>150000</v>
      </c>
      <c r="AN121" s="16">
        <v>80000</v>
      </c>
      <c r="AO121" s="16">
        <v>0</v>
      </c>
      <c r="AP121" s="16">
        <v>0</v>
      </c>
      <c r="AQ121" s="16">
        <v>0</v>
      </c>
      <c r="AR121" s="16">
        <v>0</v>
      </c>
      <c r="AS121" s="16">
        <v>0</v>
      </c>
      <c r="AT121" s="16">
        <v>0</v>
      </c>
      <c r="AU121" s="16">
        <v>0</v>
      </c>
      <c r="AV121" s="16">
        <v>0</v>
      </c>
      <c r="AW121" s="16">
        <v>0</v>
      </c>
      <c r="AX121" s="16">
        <v>0</v>
      </c>
      <c r="AY121" s="16">
        <v>0</v>
      </c>
      <c r="AZ121" s="16">
        <v>0</v>
      </c>
      <c r="BA121" s="16"/>
      <c r="BB121" s="15">
        <f t="shared" si="83"/>
        <v>0</v>
      </c>
      <c r="BC121" s="15"/>
      <c r="BD121" s="16"/>
      <c r="BE121" s="16"/>
      <c r="BF121" s="16"/>
      <c r="BG121" s="16"/>
      <c r="BH121" s="16"/>
      <c r="BI121" s="16"/>
      <c r="BJ121" s="16"/>
      <c r="BK121" s="16"/>
      <c r="BL121" s="16"/>
      <c r="BM121" s="16"/>
      <c r="BN121" s="16"/>
      <c r="BO121" s="16"/>
      <c r="BP121" s="16"/>
      <c r="BQ121" s="16"/>
      <c r="BR121" s="16"/>
      <c r="BS121" s="16"/>
      <c r="BT121" s="16"/>
      <c r="BU121" s="16"/>
      <c r="BV121" s="16"/>
      <c r="BW121" s="16"/>
    </row>
    <row r="122" spans="1:75" ht="18" customHeight="1" outlineLevel="1">
      <c r="D122" s="7" t="s">
        <v>13</v>
      </c>
      <c r="F122" s="8">
        <v>7988</v>
      </c>
      <c r="G122" s="8" t="s">
        <v>2</v>
      </c>
      <c r="H122" s="8" t="s">
        <v>17</v>
      </c>
      <c r="I122" s="8">
        <v>171</v>
      </c>
      <c r="K122" s="8">
        <v>2400</v>
      </c>
      <c r="L122" s="8">
        <f t="shared" si="84"/>
        <v>28800</v>
      </c>
      <c r="M122" s="8">
        <f t="shared" si="85"/>
        <v>32543.999999999996</v>
      </c>
      <c r="N122" s="8">
        <v>21014</v>
      </c>
      <c r="O122" s="9">
        <f t="shared" si="86"/>
        <v>0.64571042281219282</v>
      </c>
      <c r="Q122" s="5">
        <v>2026</v>
      </c>
      <c r="R122" s="5">
        <v>7</v>
      </c>
      <c r="S122" s="14" t="s">
        <v>54</v>
      </c>
      <c r="T122" s="15">
        <f t="shared" si="81"/>
        <v>0</v>
      </c>
      <c r="U122" s="15">
        <f t="shared" si="82"/>
        <v>9010404</v>
      </c>
      <c r="V122" s="16">
        <v>5382000</v>
      </c>
      <c r="W122" s="16">
        <v>2009170</v>
      </c>
      <c r="X122" s="16">
        <v>289234</v>
      </c>
      <c r="Y122" s="16">
        <v>0</v>
      </c>
      <c r="Z122" s="16">
        <v>0</v>
      </c>
      <c r="AA122" s="16">
        <v>0</v>
      </c>
      <c r="AB122" s="16">
        <v>0</v>
      </c>
      <c r="AC122" s="16">
        <v>0</v>
      </c>
      <c r="AD122" s="16">
        <v>0</v>
      </c>
      <c r="AE122" s="16">
        <v>0</v>
      </c>
      <c r="AF122" s="16">
        <v>350000</v>
      </c>
      <c r="AG122" s="16">
        <v>100000</v>
      </c>
      <c r="AH122" s="16">
        <v>100000</v>
      </c>
      <c r="AI122" s="16">
        <v>250000</v>
      </c>
      <c r="AJ122" s="16">
        <v>0</v>
      </c>
      <c r="AK122" s="16">
        <v>300000</v>
      </c>
      <c r="AL122" s="16">
        <v>0</v>
      </c>
      <c r="AM122" s="16">
        <v>150000</v>
      </c>
      <c r="AN122" s="16">
        <v>80000</v>
      </c>
      <c r="AO122" s="16">
        <v>0</v>
      </c>
      <c r="AP122" s="16">
        <v>0</v>
      </c>
      <c r="AQ122" s="16">
        <v>0</v>
      </c>
      <c r="AR122" s="16">
        <v>0</v>
      </c>
      <c r="AS122" s="16">
        <v>0</v>
      </c>
      <c r="AT122" s="16">
        <v>0</v>
      </c>
      <c r="AU122" s="16">
        <v>0</v>
      </c>
      <c r="AV122" s="16">
        <v>0</v>
      </c>
      <c r="AW122" s="16">
        <v>0</v>
      </c>
      <c r="AX122" s="16">
        <v>0</v>
      </c>
      <c r="AY122" s="16">
        <v>0</v>
      </c>
      <c r="AZ122" s="16">
        <v>0</v>
      </c>
      <c r="BA122" s="16"/>
      <c r="BB122" s="15">
        <f t="shared" si="83"/>
        <v>0</v>
      </c>
      <c r="BC122" s="15"/>
      <c r="BD122" s="16"/>
      <c r="BE122" s="16"/>
      <c r="BF122" s="16"/>
      <c r="BG122" s="16"/>
      <c r="BH122" s="16"/>
      <c r="BI122" s="16"/>
      <c r="BJ122" s="16"/>
      <c r="BK122" s="16"/>
      <c r="BL122" s="16"/>
      <c r="BM122" s="16"/>
      <c r="BN122" s="16"/>
      <c r="BO122" s="16"/>
      <c r="BP122" s="16"/>
      <c r="BQ122" s="16"/>
      <c r="BR122" s="16"/>
      <c r="BS122" s="16"/>
      <c r="BT122" s="16"/>
      <c r="BU122" s="16"/>
      <c r="BV122" s="16"/>
      <c r="BW122" s="16"/>
    </row>
    <row r="123" spans="1:75" ht="18" customHeight="1" outlineLevel="1">
      <c r="H123" s="8" t="s">
        <v>18</v>
      </c>
      <c r="I123" s="8">
        <v>122</v>
      </c>
      <c r="J123" s="9"/>
      <c r="Q123" s="5">
        <v>2026</v>
      </c>
      <c r="R123" s="5">
        <v>6</v>
      </c>
      <c r="S123" s="14" t="s">
        <v>54</v>
      </c>
      <c r="T123" s="15">
        <f t="shared" si="81"/>
        <v>0</v>
      </c>
      <c r="U123" s="15">
        <f t="shared" si="82"/>
        <v>8710404</v>
      </c>
      <c r="V123" s="16">
        <v>5382000</v>
      </c>
      <c r="W123" s="16">
        <v>2009170</v>
      </c>
      <c r="X123" s="16">
        <v>289234</v>
      </c>
      <c r="Y123" s="16">
        <v>0</v>
      </c>
      <c r="Z123" s="16">
        <v>0</v>
      </c>
      <c r="AA123" s="16">
        <v>0</v>
      </c>
      <c r="AB123" s="16">
        <v>0</v>
      </c>
      <c r="AC123" s="16">
        <v>0</v>
      </c>
      <c r="AD123" s="16">
        <v>0</v>
      </c>
      <c r="AE123" s="16">
        <v>0</v>
      </c>
      <c r="AF123" s="16">
        <v>350000</v>
      </c>
      <c r="AG123" s="16">
        <v>100000</v>
      </c>
      <c r="AH123" s="16">
        <v>100000</v>
      </c>
      <c r="AI123" s="16">
        <v>250000</v>
      </c>
      <c r="AJ123" s="16">
        <v>0</v>
      </c>
      <c r="AK123" s="16">
        <v>0</v>
      </c>
      <c r="AL123" s="16">
        <v>0</v>
      </c>
      <c r="AM123" s="16">
        <v>150000</v>
      </c>
      <c r="AN123" s="16">
        <v>80000</v>
      </c>
      <c r="AO123" s="16">
        <v>0</v>
      </c>
      <c r="AP123" s="16">
        <v>0</v>
      </c>
      <c r="AQ123" s="16">
        <v>0</v>
      </c>
      <c r="AR123" s="16">
        <v>0</v>
      </c>
      <c r="AS123" s="16">
        <v>0</v>
      </c>
      <c r="AT123" s="16">
        <v>0</v>
      </c>
      <c r="AU123" s="16">
        <v>0</v>
      </c>
      <c r="AV123" s="16">
        <v>0</v>
      </c>
      <c r="AW123" s="16">
        <v>0</v>
      </c>
      <c r="AX123" s="16">
        <v>0</v>
      </c>
      <c r="AY123" s="16">
        <v>0</v>
      </c>
      <c r="AZ123" s="16">
        <v>0</v>
      </c>
      <c r="BA123" s="16"/>
      <c r="BB123" s="15">
        <f t="shared" si="83"/>
        <v>0</v>
      </c>
      <c r="BC123" s="15"/>
      <c r="BD123" s="16"/>
      <c r="BE123" s="16"/>
      <c r="BF123" s="16"/>
      <c r="BG123" s="16"/>
      <c r="BH123" s="16"/>
      <c r="BI123" s="16"/>
      <c r="BJ123" s="16"/>
      <c r="BK123" s="16"/>
      <c r="BL123" s="16"/>
      <c r="BM123" s="16"/>
      <c r="BN123" s="16"/>
      <c r="BO123" s="16"/>
      <c r="BP123" s="16"/>
      <c r="BQ123" s="16"/>
      <c r="BR123" s="16"/>
      <c r="BS123" s="16"/>
      <c r="BT123" s="16"/>
      <c r="BU123" s="16"/>
      <c r="BV123" s="16"/>
      <c r="BW123" s="16"/>
    </row>
    <row r="124" spans="1:75" ht="18" customHeight="1" outlineLevel="1">
      <c r="J124" s="9"/>
      <c r="Q124" s="5">
        <v>2026</v>
      </c>
      <c r="R124" s="5">
        <v>5</v>
      </c>
      <c r="S124" s="14" t="s">
        <v>54</v>
      </c>
      <c r="T124" s="15">
        <f t="shared" si="81"/>
        <v>8261378</v>
      </c>
      <c r="U124" s="15">
        <f t="shared" si="82"/>
        <v>10584084</v>
      </c>
      <c r="V124" s="16">
        <v>5382000</v>
      </c>
      <c r="W124" s="16">
        <v>2009170</v>
      </c>
      <c r="X124" s="16">
        <v>289234</v>
      </c>
      <c r="Y124" s="16">
        <v>0</v>
      </c>
      <c r="Z124" s="16">
        <v>0</v>
      </c>
      <c r="AA124" s="16">
        <v>0</v>
      </c>
      <c r="AB124" s="16">
        <v>0</v>
      </c>
      <c r="AC124" s="16">
        <f>4*(SUM(V124:W124)-SUM(V127:W127))</f>
        <v>1673680</v>
      </c>
      <c r="AD124" s="16">
        <v>0</v>
      </c>
      <c r="AE124" s="16">
        <v>0</v>
      </c>
      <c r="AF124" s="16">
        <v>350000</v>
      </c>
      <c r="AG124" s="16">
        <v>100000</v>
      </c>
      <c r="AH124" s="16">
        <v>100000</v>
      </c>
      <c r="AI124" s="16">
        <v>250000</v>
      </c>
      <c r="AJ124" s="16">
        <v>200000</v>
      </c>
      <c r="AK124" s="16">
        <v>0</v>
      </c>
      <c r="AL124" s="16">
        <v>0</v>
      </c>
      <c r="AM124" s="16">
        <v>150000</v>
      </c>
      <c r="AN124" s="16">
        <v>80000</v>
      </c>
      <c r="AO124" s="16">
        <v>0</v>
      </c>
      <c r="AP124" s="16">
        <v>0</v>
      </c>
      <c r="AQ124" s="16">
        <v>0</v>
      </c>
      <c r="AR124" s="16">
        <v>0</v>
      </c>
      <c r="AS124" s="16">
        <v>0</v>
      </c>
      <c r="AT124" s="16">
        <v>0</v>
      </c>
      <c r="AU124" s="16">
        <v>0</v>
      </c>
      <c r="AV124" s="16">
        <v>0</v>
      </c>
      <c r="AW124" s="16">
        <v>0</v>
      </c>
      <c r="AX124" s="16">
        <v>0</v>
      </c>
      <c r="AY124" s="16">
        <v>0</v>
      </c>
      <c r="AZ124" s="16">
        <v>0</v>
      </c>
      <c r="BA124" s="16"/>
      <c r="BB124" s="15">
        <f t="shared" si="83"/>
        <v>2322706</v>
      </c>
      <c r="BC124" s="15">
        <v>0</v>
      </c>
      <c r="BD124" s="16">
        <v>993460</v>
      </c>
      <c r="BE124" s="16">
        <v>0</v>
      </c>
      <c r="BF124" s="16">
        <v>99340</v>
      </c>
      <c r="BG124" s="16">
        <v>0</v>
      </c>
      <c r="BH124" s="16">
        <v>339030</v>
      </c>
      <c r="BI124" s="16">
        <v>302570</v>
      </c>
      <c r="BJ124" s="16">
        <v>91206</v>
      </c>
      <c r="BK124" s="16">
        <v>33100</v>
      </c>
      <c r="BL124" s="16">
        <v>160000</v>
      </c>
      <c r="BM124" s="16">
        <v>200000</v>
      </c>
      <c r="BN124" s="16">
        <v>104000</v>
      </c>
      <c r="BO124" s="16">
        <v>0</v>
      </c>
      <c r="BP124" s="16">
        <v>0</v>
      </c>
      <c r="BQ124" s="16">
        <v>0</v>
      </c>
      <c r="BR124" s="16">
        <v>0</v>
      </c>
      <c r="BS124" s="16">
        <v>0</v>
      </c>
      <c r="BT124" s="16">
        <v>0</v>
      </c>
      <c r="BU124" s="16">
        <v>0</v>
      </c>
      <c r="BV124" s="16">
        <v>0</v>
      </c>
      <c r="BW124" s="16">
        <v>0</v>
      </c>
    </row>
    <row r="125" spans="1:75" ht="18" customHeight="1" outlineLevel="1">
      <c r="B125" s="7">
        <v>2021</v>
      </c>
      <c r="C125" s="8" t="s">
        <v>12</v>
      </c>
      <c r="E125" s="8">
        <v>6867</v>
      </c>
      <c r="J125" s="9"/>
      <c r="Q125" s="5">
        <v>2026</v>
      </c>
      <c r="R125" s="5">
        <v>4</v>
      </c>
      <c r="S125" s="14" t="s">
        <v>28</v>
      </c>
      <c r="T125" s="15">
        <f t="shared" si="81"/>
        <v>4752569</v>
      </c>
      <c r="U125" s="15">
        <f t="shared" si="82"/>
        <v>5876729</v>
      </c>
      <c r="V125" s="16">
        <v>0</v>
      </c>
      <c r="W125" s="16">
        <v>0</v>
      </c>
      <c r="X125" s="16">
        <v>0</v>
      </c>
      <c r="Y125" s="16">
        <v>0</v>
      </c>
      <c r="Z125" s="16">
        <v>0</v>
      </c>
      <c r="AA125" s="16">
        <v>0</v>
      </c>
      <c r="AB125" s="16">
        <v>0</v>
      </c>
      <c r="AC125" s="16">
        <v>0</v>
      </c>
      <c r="AD125" s="16">
        <v>4376729</v>
      </c>
      <c r="AE125" s="16">
        <v>1500000</v>
      </c>
      <c r="AF125" s="16">
        <v>0</v>
      </c>
      <c r="AG125" s="16">
        <v>0</v>
      </c>
      <c r="AH125" s="16">
        <v>0</v>
      </c>
      <c r="AI125" s="16">
        <v>0</v>
      </c>
      <c r="AJ125" s="16">
        <v>0</v>
      </c>
      <c r="AK125" s="16">
        <v>0</v>
      </c>
      <c r="AL125" s="16">
        <v>0</v>
      </c>
      <c r="AM125" s="16">
        <v>0</v>
      </c>
      <c r="AN125" s="16">
        <v>0</v>
      </c>
      <c r="AO125" s="16">
        <v>0</v>
      </c>
      <c r="AP125" s="16">
        <v>0</v>
      </c>
      <c r="AQ125" s="16">
        <v>0</v>
      </c>
      <c r="AR125" s="16">
        <v>0</v>
      </c>
      <c r="AS125" s="16">
        <v>0</v>
      </c>
      <c r="AT125" s="16">
        <v>0</v>
      </c>
      <c r="AU125" s="16">
        <v>0</v>
      </c>
      <c r="AV125" s="16">
        <v>0</v>
      </c>
      <c r="AW125" s="16">
        <v>0</v>
      </c>
      <c r="AX125" s="16">
        <v>0</v>
      </c>
      <c r="AY125" s="16">
        <v>0</v>
      </c>
      <c r="AZ125" s="16">
        <v>0</v>
      </c>
      <c r="BA125" s="16"/>
      <c r="BB125" s="15">
        <f t="shared" si="83"/>
        <v>1124160</v>
      </c>
      <c r="BC125" s="15">
        <v>0</v>
      </c>
      <c r="BD125" s="16">
        <v>973890</v>
      </c>
      <c r="BE125" s="16">
        <v>0</v>
      </c>
      <c r="BF125" s="16">
        <v>97380</v>
      </c>
      <c r="BG125" s="16">
        <v>0</v>
      </c>
      <c r="BH125" s="16">
        <v>0</v>
      </c>
      <c r="BI125" s="16">
        <v>0</v>
      </c>
      <c r="BJ125" s="16">
        <v>52890</v>
      </c>
      <c r="BK125" s="16">
        <v>0</v>
      </c>
      <c r="BL125" s="16">
        <v>0</v>
      </c>
      <c r="BM125" s="16">
        <v>0</v>
      </c>
      <c r="BN125" s="16">
        <v>0</v>
      </c>
      <c r="BO125" s="16">
        <v>0</v>
      </c>
      <c r="BP125" s="16">
        <v>0</v>
      </c>
      <c r="BQ125" s="16">
        <v>0</v>
      </c>
      <c r="BR125" s="16">
        <v>0</v>
      </c>
      <c r="BS125" s="16">
        <v>0</v>
      </c>
      <c r="BT125" s="16">
        <v>0</v>
      </c>
      <c r="BU125" s="16">
        <v>0</v>
      </c>
      <c r="BV125" s="16">
        <v>0</v>
      </c>
      <c r="BW125" s="16">
        <v>0</v>
      </c>
    </row>
    <row r="126" spans="1:75" ht="18" customHeight="1" outlineLevel="1">
      <c r="B126" s="7">
        <v>2021</v>
      </c>
      <c r="C126" s="8" t="s">
        <v>12</v>
      </c>
      <c r="E126" s="8">
        <v>6867</v>
      </c>
      <c r="J126" s="9"/>
      <c r="Q126" s="5">
        <v>2026</v>
      </c>
      <c r="R126" s="5">
        <v>4</v>
      </c>
      <c r="S126" s="14" t="s">
        <v>54</v>
      </c>
      <c r="T126" s="15">
        <f t="shared" ref="T126" si="87">IF(U126=U126-BB126,0,U126-BB126)</f>
        <v>6689092</v>
      </c>
      <c r="U126" s="15">
        <f t="shared" ref="U126" si="88">SUM(V126:BA126)</f>
        <v>8326984</v>
      </c>
      <c r="V126" s="6">
        <f t="shared" ref="V126:V128" si="89">4968000+109000</f>
        <v>5077000</v>
      </c>
      <c r="W126" s="6">
        <f t="shared" ref="W126:W128" si="90">1854750+41000</f>
        <v>1895750</v>
      </c>
      <c r="X126" s="16">
        <v>289234</v>
      </c>
      <c r="Y126" s="16">
        <v>0</v>
      </c>
      <c r="Z126" s="16">
        <v>0</v>
      </c>
      <c r="AA126" s="16">
        <v>0</v>
      </c>
      <c r="AB126" s="16">
        <v>0</v>
      </c>
      <c r="AC126" s="16">
        <v>0</v>
      </c>
      <c r="AD126" s="16">
        <v>0</v>
      </c>
      <c r="AE126" s="16">
        <v>0</v>
      </c>
      <c r="AF126" s="16">
        <v>350000</v>
      </c>
      <c r="AG126" s="16">
        <v>100000</v>
      </c>
      <c r="AH126" s="16">
        <v>100000</v>
      </c>
      <c r="AI126" s="16">
        <v>250000</v>
      </c>
      <c r="AJ126" s="16">
        <v>35000</v>
      </c>
      <c r="AK126" s="16">
        <v>0</v>
      </c>
      <c r="AL126" s="16">
        <v>0</v>
      </c>
      <c r="AM126" s="16">
        <v>150000</v>
      </c>
      <c r="AN126" s="16">
        <v>80000</v>
      </c>
      <c r="AO126" s="16">
        <v>0</v>
      </c>
      <c r="AP126" s="16">
        <v>0</v>
      </c>
      <c r="AQ126" s="16">
        <v>0</v>
      </c>
      <c r="AR126" s="16">
        <v>0</v>
      </c>
      <c r="AS126" s="16">
        <v>0</v>
      </c>
      <c r="AT126" s="16">
        <v>0</v>
      </c>
      <c r="AU126" s="16">
        <v>0</v>
      </c>
      <c r="AV126" s="16">
        <v>0</v>
      </c>
      <c r="AW126" s="16">
        <v>0</v>
      </c>
      <c r="AX126" s="16">
        <v>0</v>
      </c>
      <c r="AY126" s="16">
        <v>0</v>
      </c>
      <c r="AZ126" s="16">
        <v>0</v>
      </c>
      <c r="BA126" s="16"/>
      <c r="BB126" s="15">
        <f t="shared" ref="BB126" si="91">SUM(BC126:BW126)</f>
        <v>1637892</v>
      </c>
      <c r="BC126" s="15">
        <v>0</v>
      </c>
      <c r="BD126" s="16">
        <v>567180</v>
      </c>
      <c r="BE126" s="16">
        <v>0</v>
      </c>
      <c r="BF126" s="16">
        <v>56710</v>
      </c>
      <c r="BG126" s="16">
        <v>0</v>
      </c>
      <c r="BH126" s="16">
        <v>339030</v>
      </c>
      <c r="BI126" s="16">
        <v>302570</v>
      </c>
      <c r="BJ126" s="16">
        <v>70892</v>
      </c>
      <c r="BK126" s="16">
        <v>25400</v>
      </c>
      <c r="BL126" s="16">
        <v>160000</v>
      </c>
      <c r="BM126" s="16">
        <v>35000</v>
      </c>
      <c r="BN126" s="16">
        <v>80000</v>
      </c>
      <c r="BO126" s="16">
        <v>1110</v>
      </c>
      <c r="BP126" s="16">
        <v>0</v>
      </c>
      <c r="BQ126" s="16">
        <v>0</v>
      </c>
      <c r="BR126" s="16">
        <v>0</v>
      </c>
      <c r="BS126" s="16">
        <v>0</v>
      </c>
      <c r="BT126" s="16">
        <v>0</v>
      </c>
      <c r="BU126" s="16">
        <v>0</v>
      </c>
      <c r="BV126" s="16">
        <v>0</v>
      </c>
      <c r="BW126" s="16">
        <v>0</v>
      </c>
    </row>
    <row r="127" spans="1:75" ht="18" customHeight="1" outlineLevel="1">
      <c r="B127" s="7">
        <v>2022</v>
      </c>
      <c r="C127" s="8" t="s">
        <v>12</v>
      </c>
      <c r="E127" s="8">
        <v>6867</v>
      </c>
      <c r="J127" s="9"/>
      <c r="Q127" s="5">
        <v>2026</v>
      </c>
      <c r="R127" s="5">
        <v>3</v>
      </c>
      <c r="S127" s="14" t="s">
        <v>54</v>
      </c>
      <c r="T127" s="15">
        <f t="shared" si="81"/>
        <v>6725227</v>
      </c>
      <c r="U127" s="15">
        <f t="shared" si="82"/>
        <v>8291984</v>
      </c>
      <c r="V127" s="6">
        <f t="shared" si="89"/>
        <v>5077000</v>
      </c>
      <c r="W127" s="6">
        <f t="shared" si="90"/>
        <v>1895750</v>
      </c>
      <c r="X127" s="16">
        <v>289234</v>
      </c>
      <c r="Y127" s="16">
        <v>0</v>
      </c>
      <c r="Z127" s="16">
        <v>0</v>
      </c>
      <c r="AA127" s="16">
        <v>0</v>
      </c>
      <c r="AB127" s="16">
        <v>0</v>
      </c>
      <c r="AC127" s="16">
        <v>0</v>
      </c>
      <c r="AD127" s="16">
        <v>0</v>
      </c>
      <c r="AE127" s="16">
        <v>0</v>
      </c>
      <c r="AF127" s="16">
        <v>350000</v>
      </c>
      <c r="AG127" s="16">
        <v>100000</v>
      </c>
      <c r="AH127" s="16">
        <v>100000</v>
      </c>
      <c r="AI127" s="16">
        <v>250000</v>
      </c>
      <c r="AJ127" s="16">
        <v>0</v>
      </c>
      <c r="AK127" s="16">
        <v>0</v>
      </c>
      <c r="AL127" s="16">
        <v>0</v>
      </c>
      <c r="AM127" s="16">
        <v>150000</v>
      </c>
      <c r="AN127" s="16">
        <v>80000</v>
      </c>
      <c r="AO127" s="16">
        <v>0</v>
      </c>
      <c r="AP127" s="16">
        <v>0</v>
      </c>
      <c r="AQ127" s="16">
        <v>0</v>
      </c>
      <c r="AR127" s="16">
        <v>0</v>
      </c>
      <c r="AS127" s="16">
        <v>0</v>
      </c>
      <c r="AT127" s="16">
        <v>0</v>
      </c>
      <c r="AU127" s="16">
        <v>0</v>
      </c>
      <c r="AV127" s="16">
        <v>0</v>
      </c>
      <c r="AW127" s="16">
        <v>0</v>
      </c>
      <c r="AX127" s="16">
        <v>0</v>
      </c>
      <c r="AY127" s="16">
        <v>0</v>
      </c>
      <c r="AZ127" s="16">
        <v>0</v>
      </c>
      <c r="BA127" s="16"/>
      <c r="BB127" s="15">
        <f t="shared" si="83"/>
        <v>1566757</v>
      </c>
      <c r="BC127" s="15">
        <v>0</v>
      </c>
      <c r="BD127" s="16">
        <v>563800</v>
      </c>
      <c r="BE127" s="16">
        <v>0</v>
      </c>
      <c r="BF127" s="16">
        <v>56380</v>
      </c>
      <c r="BG127" s="16">
        <v>0</v>
      </c>
      <c r="BH127" s="16">
        <v>339030</v>
      </c>
      <c r="BI127" s="16">
        <v>302570</v>
      </c>
      <c r="BJ127" s="16">
        <v>70577</v>
      </c>
      <c r="BK127" s="16">
        <v>25400</v>
      </c>
      <c r="BL127" s="16">
        <v>160000</v>
      </c>
      <c r="BM127" s="16">
        <v>0</v>
      </c>
      <c r="BN127" s="16">
        <v>49000</v>
      </c>
      <c r="BO127" s="16">
        <v>0</v>
      </c>
      <c r="BP127" s="16">
        <v>0</v>
      </c>
      <c r="BQ127" s="16">
        <v>0</v>
      </c>
      <c r="BR127" s="16">
        <v>0</v>
      </c>
      <c r="BS127" s="16">
        <v>0</v>
      </c>
      <c r="BT127" s="16">
        <v>0</v>
      </c>
      <c r="BU127" s="16">
        <v>0</v>
      </c>
      <c r="BV127" s="16">
        <v>0</v>
      </c>
      <c r="BW127" s="16">
        <v>0</v>
      </c>
    </row>
    <row r="128" spans="1:75" ht="18" customHeight="1" outlineLevel="1">
      <c r="B128" s="7">
        <v>2023</v>
      </c>
      <c r="C128" s="8" t="s">
        <v>12</v>
      </c>
      <c r="E128" s="8">
        <v>6867</v>
      </c>
      <c r="J128" s="9"/>
      <c r="Q128" s="5">
        <v>2026</v>
      </c>
      <c r="R128" s="5">
        <v>2</v>
      </c>
      <c r="S128" s="14" t="s">
        <v>54</v>
      </c>
      <c r="T128" s="15">
        <f t="shared" si="81"/>
        <v>9381807</v>
      </c>
      <c r="U128" s="15">
        <f t="shared" si="82"/>
        <v>8781984</v>
      </c>
      <c r="V128" s="6">
        <f t="shared" si="89"/>
        <v>5077000</v>
      </c>
      <c r="W128" s="6">
        <f t="shared" si="90"/>
        <v>1895750</v>
      </c>
      <c r="X128" s="16">
        <v>289234</v>
      </c>
      <c r="Y128" s="16">
        <v>0</v>
      </c>
      <c r="Z128" s="16">
        <v>0</v>
      </c>
      <c r="AA128" s="16">
        <v>0</v>
      </c>
      <c r="AB128" s="16">
        <v>0</v>
      </c>
      <c r="AC128" s="16">
        <v>0</v>
      </c>
      <c r="AD128" s="16">
        <v>0</v>
      </c>
      <c r="AE128" s="16">
        <v>0</v>
      </c>
      <c r="AF128" s="16">
        <v>350000</v>
      </c>
      <c r="AG128" s="16">
        <v>100000</v>
      </c>
      <c r="AH128" s="16">
        <v>100000</v>
      </c>
      <c r="AI128" s="16">
        <v>250000</v>
      </c>
      <c r="AJ128" s="16">
        <v>450000</v>
      </c>
      <c r="AK128" s="16">
        <v>0</v>
      </c>
      <c r="AL128" s="16">
        <v>0</v>
      </c>
      <c r="AM128" s="16">
        <v>150000</v>
      </c>
      <c r="AN128" s="16">
        <v>80000</v>
      </c>
      <c r="AO128" s="16">
        <v>0</v>
      </c>
      <c r="AP128" s="16">
        <v>0</v>
      </c>
      <c r="AQ128" s="16">
        <v>40000</v>
      </c>
      <c r="AR128" s="16">
        <v>0</v>
      </c>
      <c r="AS128" s="16">
        <v>0</v>
      </c>
      <c r="AT128" s="16">
        <v>0</v>
      </c>
      <c r="AU128" s="16">
        <v>0</v>
      </c>
      <c r="AV128" s="16">
        <v>0</v>
      </c>
      <c r="AW128" s="16">
        <v>0</v>
      </c>
      <c r="AX128" s="16">
        <v>0</v>
      </c>
      <c r="AY128" s="16">
        <v>0</v>
      </c>
      <c r="AZ128" s="16">
        <v>0</v>
      </c>
      <c r="BA128" s="16"/>
      <c r="BB128" s="15">
        <f t="shared" si="83"/>
        <v>-599823</v>
      </c>
      <c r="BC128" s="15">
        <v>-2775600</v>
      </c>
      <c r="BD128" s="16">
        <v>668900</v>
      </c>
      <c r="BE128" s="16">
        <v>0</v>
      </c>
      <c r="BF128" s="16">
        <v>66890</v>
      </c>
      <c r="BG128" s="16">
        <v>0</v>
      </c>
      <c r="BH128" s="16">
        <v>339030</v>
      </c>
      <c r="BI128" s="16">
        <v>302570</v>
      </c>
      <c r="BJ128" s="16">
        <v>74987</v>
      </c>
      <c r="BK128" s="16">
        <v>25400</v>
      </c>
      <c r="BL128" s="16">
        <v>160000</v>
      </c>
      <c r="BM128" s="16">
        <v>450000</v>
      </c>
      <c r="BN128" s="16">
        <v>88000</v>
      </c>
      <c r="BO128" s="16">
        <v>0</v>
      </c>
      <c r="BP128" s="16">
        <v>0</v>
      </c>
      <c r="BQ128" s="16">
        <v>0</v>
      </c>
      <c r="BR128" s="16">
        <v>0</v>
      </c>
      <c r="BS128" s="16">
        <v>0</v>
      </c>
      <c r="BT128" s="16">
        <v>0</v>
      </c>
      <c r="BU128" s="16">
        <v>0</v>
      </c>
      <c r="BV128" s="16">
        <v>0</v>
      </c>
      <c r="BW128" s="16">
        <v>0</v>
      </c>
    </row>
    <row r="129" spans="1:75" ht="18" customHeight="1" outlineLevel="1">
      <c r="B129" s="7">
        <v>2024</v>
      </c>
      <c r="C129" s="8" t="s">
        <v>12</v>
      </c>
      <c r="E129" s="8">
        <v>6867</v>
      </c>
      <c r="J129" s="9"/>
      <c r="Q129" s="5">
        <v>2026</v>
      </c>
      <c r="R129" s="5">
        <v>1</v>
      </c>
      <c r="S129" s="14" t="s">
        <v>54</v>
      </c>
      <c r="T129" s="15">
        <f t="shared" si="81"/>
        <v>7832817</v>
      </c>
      <c r="U129" s="15">
        <f t="shared" si="82"/>
        <v>9679623</v>
      </c>
      <c r="V129" s="6">
        <f>4968000+109000</f>
        <v>5077000</v>
      </c>
      <c r="W129" s="6">
        <f>1854750+41000</f>
        <v>1895750</v>
      </c>
      <c r="X129" s="16">
        <v>289234</v>
      </c>
      <c r="Y129" s="16">
        <v>0</v>
      </c>
      <c r="Z129" s="16">
        <v>0</v>
      </c>
      <c r="AA129" s="16">
        <v>0</v>
      </c>
      <c r="AB129" s="16">
        <v>0</v>
      </c>
      <c r="AC129" s="16">
        <v>0</v>
      </c>
      <c r="AD129" s="16">
        <v>0</v>
      </c>
      <c r="AE129" s="16">
        <v>0</v>
      </c>
      <c r="AF129" s="16">
        <v>350000</v>
      </c>
      <c r="AG129" s="16">
        <v>100000</v>
      </c>
      <c r="AH129" s="16">
        <v>100000</v>
      </c>
      <c r="AI129" s="16">
        <v>250000</v>
      </c>
      <c r="AJ129" s="16">
        <v>0</v>
      </c>
      <c r="AK129" s="16">
        <v>0</v>
      </c>
      <c r="AL129" s="16">
        <v>0</v>
      </c>
      <c r="AM129" s="16">
        <v>150000</v>
      </c>
      <c r="AN129" s="16">
        <v>80000</v>
      </c>
      <c r="AO129" s="16">
        <v>0</v>
      </c>
      <c r="AP129" s="16">
        <v>0</v>
      </c>
      <c r="AQ129" s="16">
        <v>0</v>
      </c>
      <c r="AR129" s="16">
        <v>0</v>
      </c>
      <c r="AS129" s="16">
        <v>1387639</v>
      </c>
      <c r="AT129" s="16">
        <v>0</v>
      </c>
      <c r="AU129" s="16">
        <v>0</v>
      </c>
      <c r="AV129" s="16">
        <v>0</v>
      </c>
      <c r="AW129" s="16">
        <v>0</v>
      </c>
      <c r="AX129" s="16">
        <v>0</v>
      </c>
      <c r="AY129" s="16">
        <v>0</v>
      </c>
      <c r="AZ129" s="16">
        <v>0</v>
      </c>
      <c r="BA129" s="16"/>
      <c r="BB129" s="15">
        <f t="shared" si="83"/>
        <v>1846806</v>
      </c>
      <c r="BC129" s="15">
        <v>0</v>
      </c>
      <c r="BD129" s="16">
        <v>826130</v>
      </c>
      <c r="BE129" s="16">
        <v>0</v>
      </c>
      <c r="BF129" s="16">
        <v>82610</v>
      </c>
      <c r="BG129" s="16">
        <v>0</v>
      </c>
      <c r="BH129" s="16">
        <v>339030</v>
      </c>
      <c r="BI129" s="16">
        <v>302570</v>
      </c>
      <c r="BJ129" s="16">
        <v>83066</v>
      </c>
      <c r="BK129" s="16">
        <v>25400</v>
      </c>
      <c r="BL129" s="16">
        <v>160000</v>
      </c>
      <c r="BM129" s="16">
        <v>0</v>
      </c>
      <c r="BN129" s="16">
        <v>28000</v>
      </c>
      <c r="BO129" s="16">
        <v>0</v>
      </c>
      <c r="BP129" s="16">
        <v>0</v>
      </c>
      <c r="BQ129" s="16">
        <v>0</v>
      </c>
      <c r="BR129" s="16">
        <v>0</v>
      </c>
      <c r="BS129" s="16">
        <v>0</v>
      </c>
      <c r="BT129" s="16">
        <v>0</v>
      </c>
      <c r="BU129" s="16">
        <v>0</v>
      </c>
      <c r="BV129" s="16">
        <v>0</v>
      </c>
      <c r="BW129" s="16">
        <v>0</v>
      </c>
    </row>
    <row r="130" spans="1:75" s="1" customFormat="1" ht="18" customHeight="1">
      <c r="A130" s="10"/>
      <c r="B130" s="11"/>
      <c r="C130" s="12"/>
      <c r="D130" s="11"/>
      <c r="E130" s="12"/>
      <c r="F130" s="12"/>
      <c r="G130" s="12"/>
      <c r="H130" s="12"/>
      <c r="I130" s="12"/>
      <c r="J130" s="3"/>
      <c r="K130" s="12"/>
      <c r="L130" s="12"/>
      <c r="M130" s="12"/>
      <c r="N130" s="12"/>
      <c r="O130" s="13"/>
      <c r="Q130" s="667" t="s">
        <v>201</v>
      </c>
      <c r="R130" s="667"/>
      <c r="S130" s="667"/>
      <c r="T130" s="23">
        <f t="shared" ref="T130:AZ130" si="92">SUMIF($Q$2:$Q$793,$Q131,T$2:T$793)</f>
        <v>65650602</v>
      </c>
      <c r="U130" s="23">
        <f t="shared" si="92"/>
        <v>81928562</v>
      </c>
      <c r="V130" s="23">
        <f t="shared" si="92"/>
        <v>44391484</v>
      </c>
      <c r="W130" s="23">
        <f t="shared" si="92"/>
        <v>16573089</v>
      </c>
      <c r="X130" s="23">
        <f t="shared" si="92"/>
        <v>2705738</v>
      </c>
      <c r="Y130" s="23">
        <f t="shared" si="92"/>
        <v>0</v>
      </c>
      <c r="Z130" s="23">
        <f t="shared" si="92"/>
        <v>0</v>
      </c>
      <c r="AA130" s="23">
        <f t="shared" si="92"/>
        <v>0</v>
      </c>
      <c r="AB130" s="23">
        <f t="shared" si="92"/>
        <v>0</v>
      </c>
      <c r="AC130" s="23">
        <f t="shared" si="92"/>
        <v>438809</v>
      </c>
      <c r="AD130" s="23">
        <f t="shared" si="92"/>
        <v>3000000</v>
      </c>
      <c r="AE130" s="23">
        <f t="shared" si="92"/>
        <v>2000000</v>
      </c>
      <c r="AF130" s="23">
        <f t="shared" si="92"/>
        <v>3150000</v>
      </c>
      <c r="AG130" s="23">
        <f t="shared" si="92"/>
        <v>0</v>
      </c>
      <c r="AH130" s="23">
        <f t="shared" si="92"/>
        <v>1487097</v>
      </c>
      <c r="AI130" s="23">
        <f t="shared" si="92"/>
        <v>2250000</v>
      </c>
      <c r="AJ130" s="23">
        <f t="shared" si="92"/>
        <v>910000</v>
      </c>
      <c r="AK130" s="23">
        <f t="shared" si="92"/>
        <v>300000</v>
      </c>
      <c r="AL130" s="23">
        <f t="shared" si="92"/>
        <v>387097</v>
      </c>
      <c r="AM130" s="23">
        <f t="shared" si="92"/>
        <v>962904</v>
      </c>
      <c r="AN130" s="23">
        <f t="shared" si="92"/>
        <v>714839</v>
      </c>
      <c r="AO130" s="23">
        <f t="shared" si="92"/>
        <v>2150000</v>
      </c>
      <c r="AP130" s="23">
        <f t="shared" si="92"/>
        <v>150000</v>
      </c>
      <c r="AQ130" s="23">
        <f t="shared" si="92"/>
        <v>0</v>
      </c>
      <c r="AR130" s="23">
        <f t="shared" si="92"/>
        <v>0</v>
      </c>
      <c r="AS130" s="23">
        <f t="shared" si="92"/>
        <v>0</v>
      </c>
      <c r="AT130" s="23">
        <f t="shared" si="92"/>
        <v>0</v>
      </c>
      <c r="AU130" s="23">
        <f t="shared" si="92"/>
        <v>300000</v>
      </c>
      <c r="AV130" s="23">
        <f t="shared" si="92"/>
        <v>0</v>
      </c>
      <c r="AW130" s="23">
        <f t="shared" si="92"/>
        <v>0</v>
      </c>
      <c r="AX130" s="23">
        <f t="shared" si="92"/>
        <v>0</v>
      </c>
      <c r="AY130" s="23">
        <f t="shared" si="92"/>
        <v>0</v>
      </c>
      <c r="AZ130" s="23">
        <f t="shared" si="92"/>
        <v>57505</v>
      </c>
      <c r="BA130" s="23"/>
      <c r="BB130" s="23">
        <f t="shared" ref="BB130:BW130" si="93">SUMIF($Q$2:$Q$793,$Q131,BB$2:BB$793)</f>
        <v>16277960</v>
      </c>
      <c r="BC130" s="23">
        <f t="shared" si="93"/>
        <v>230270</v>
      </c>
      <c r="BD130" s="23">
        <f t="shared" si="93"/>
        <v>5691280</v>
      </c>
      <c r="BE130" s="23">
        <f t="shared" si="93"/>
        <v>11500</v>
      </c>
      <c r="BF130" s="23">
        <f t="shared" si="93"/>
        <v>569090</v>
      </c>
      <c r="BG130" s="23">
        <f t="shared" si="93"/>
        <v>1150</v>
      </c>
      <c r="BH130" s="23">
        <f t="shared" si="93"/>
        <v>3036150</v>
      </c>
      <c r="BI130" s="23">
        <f t="shared" si="93"/>
        <v>2534850</v>
      </c>
      <c r="BJ130" s="23">
        <f t="shared" si="93"/>
        <v>677770</v>
      </c>
      <c r="BK130" s="23">
        <f t="shared" si="93"/>
        <v>222300</v>
      </c>
      <c r="BL130" s="23">
        <f t="shared" si="93"/>
        <v>1440000</v>
      </c>
      <c r="BM130" s="23">
        <f t="shared" si="93"/>
        <v>910000</v>
      </c>
      <c r="BN130" s="23">
        <f t="shared" si="93"/>
        <v>410600</v>
      </c>
      <c r="BO130" s="23">
        <f t="shared" si="93"/>
        <v>243000</v>
      </c>
      <c r="BP130" s="23">
        <f t="shared" si="93"/>
        <v>0</v>
      </c>
      <c r="BQ130" s="23">
        <f t="shared" si="93"/>
        <v>0</v>
      </c>
      <c r="BR130" s="23">
        <f t="shared" si="93"/>
        <v>0</v>
      </c>
      <c r="BS130" s="23">
        <f t="shared" si="93"/>
        <v>0</v>
      </c>
      <c r="BT130" s="23">
        <f t="shared" si="93"/>
        <v>0</v>
      </c>
      <c r="BU130" s="23">
        <f t="shared" si="93"/>
        <v>300000</v>
      </c>
      <c r="BV130" s="23">
        <f t="shared" si="93"/>
        <v>0</v>
      </c>
      <c r="BW130" s="23">
        <f t="shared" si="93"/>
        <v>0</v>
      </c>
    </row>
    <row r="131" spans="1:75" ht="18" customHeight="1" outlineLevel="1">
      <c r="D131" s="7" t="s">
        <v>11</v>
      </c>
      <c r="F131" s="8">
        <v>4717</v>
      </c>
      <c r="G131" s="8">
        <v>5848</v>
      </c>
      <c r="K131" s="8">
        <v>2400</v>
      </c>
      <c r="L131" s="8">
        <f>K131*12</f>
        <v>28800</v>
      </c>
      <c r="M131" s="8">
        <f>L131*1.13</f>
        <v>32543.999999999996</v>
      </c>
      <c r="N131" s="8">
        <v>21014</v>
      </c>
      <c r="O131" s="9">
        <f>N131/M131</f>
        <v>0.64571042281219282</v>
      </c>
      <c r="Q131" s="5">
        <v>2025</v>
      </c>
      <c r="R131" s="5">
        <v>12</v>
      </c>
      <c r="S131" s="14" t="s">
        <v>54</v>
      </c>
      <c r="T131" s="15">
        <f t="shared" ref="T131:T144" si="94">IF(U131=U131-BB131,0,U131-BB131)</f>
        <v>6544037</v>
      </c>
      <c r="U131" s="15">
        <f t="shared" ref="U131:U144" si="95">SUM(V131:BA131)</f>
        <v>8491984</v>
      </c>
      <c r="V131" s="6">
        <v>4968000</v>
      </c>
      <c r="W131" s="6">
        <v>1854750</v>
      </c>
      <c r="X131" s="16">
        <v>289234</v>
      </c>
      <c r="Y131" s="16">
        <v>0</v>
      </c>
      <c r="Z131" s="16">
        <v>0</v>
      </c>
      <c r="AA131" s="16">
        <v>0</v>
      </c>
      <c r="AB131" s="16">
        <v>0</v>
      </c>
      <c r="AC131" s="16">
        <v>0</v>
      </c>
      <c r="AD131" s="16">
        <v>0</v>
      </c>
      <c r="AE131" s="16">
        <v>0</v>
      </c>
      <c r="AF131" s="16">
        <v>350000</v>
      </c>
      <c r="AG131" s="16">
        <v>0</v>
      </c>
      <c r="AH131" s="16">
        <v>200000</v>
      </c>
      <c r="AI131" s="16">
        <v>250000</v>
      </c>
      <c r="AJ131" s="16">
        <v>50000</v>
      </c>
      <c r="AK131" s="16">
        <v>0</v>
      </c>
      <c r="AL131" s="16">
        <v>0</v>
      </c>
      <c r="AM131" s="16">
        <v>150000</v>
      </c>
      <c r="AN131" s="16">
        <v>80000</v>
      </c>
      <c r="AO131" s="16">
        <v>0</v>
      </c>
      <c r="AP131" s="16">
        <v>0</v>
      </c>
      <c r="AQ131" s="16">
        <v>0</v>
      </c>
      <c r="AR131" s="16">
        <v>0</v>
      </c>
      <c r="AS131" s="16">
        <v>0</v>
      </c>
      <c r="AT131" s="16">
        <v>0</v>
      </c>
      <c r="AU131" s="16">
        <v>300000</v>
      </c>
      <c r="AV131" s="16">
        <v>0</v>
      </c>
      <c r="AW131" s="16">
        <v>0</v>
      </c>
      <c r="AX131" s="16">
        <v>0</v>
      </c>
      <c r="AY131" s="16">
        <v>0</v>
      </c>
      <c r="AZ131" s="16">
        <v>0</v>
      </c>
      <c r="BA131" s="16"/>
      <c r="BB131" s="15">
        <f t="shared" ref="BB131:BB144" si="96">SUM(BC131:BW131)</f>
        <v>1947947</v>
      </c>
      <c r="BC131" s="15">
        <v>0</v>
      </c>
      <c r="BD131" s="16">
        <v>604700</v>
      </c>
      <c r="BE131" s="16">
        <v>0</v>
      </c>
      <c r="BF131" s="16">
        <v>60470</v>
      </c>
      <c r="BG131" s="16">
        <v>0</v>
      </c>
      <c r="BH131" s="16">
        <v>333750</v>
      </c>
      <c r="BI131" s="16">
        <v>286650</v>
      </c>
      <c r="BJ131" s="16">
        <v>71477</v>
      </c>
      <c r="BK131" s="16">
        <v>24900</v>
      </c>
      <c r="BL131" s="16">
        <v>160000</v>
      </c>
      <c r="BM131" s="16">
        <v>50000</v>
      </c>
      <c r="BN131" s="16">
        <v>56000</v>
      </c>
      <c r="BO131" s="16">
        <v>0</v>
      </c>
      <c r="BP131" s="16">
        <v>0</v>
      </c>
      <c r="BQ131" s="16">
        <v>0</v>
      </c>
      <c r="BR131" s="16">
        <v>0</v>
      </c>
      <c r="BS131" s="16">
        <v>0</v>
      </c>
      <c r="BT131" s="16">
        <v>0</v>
      </c>
      <c r="BU131" s="16">
        <v>300000</v>
      </c>
      <c r="BV131" s="16">
        <v>0</v>
      </c>
      <c r="BW131" s="16">
        <v>0</v>
      </c>
    </row>
    <row r="132" spans="1:75" ht="18" customHeight="1" outlineLevel="1">
      <c r="D132" s="7" t="s">
        <v>11</v>
      </c>
      <c r="F132" s="8">
        <v>4717</v>
      </c>
      <c r="G132" s="8">
        <v>5848</v>
      </c>
      <c r="K132" s="8">
        <v>2400</v>
      </c>
      <c r="L132" s="8">
        <f>K132*12</f>
        <v>28800</v>
      </c>
      <c r="M132" s="8">
        <f>L132*1.13</f>
        <v>32543.999999999996</v>
      </c>
      <c r="N132" s="8">
        <v>21014</v>
      </c>
      <c r="O132" s="9">
        <f>N132/M132</f>
        <v>0.64571042281219282</v>
      </c>
      <c r="Q132" s="5">
        <v>2025</v>
      </c>
      <c r="R132" s="5">
        <v>11</v>
      </c>
      <c r="S132" s="14" t="s">
        <v>54</v>
      </c>
      <c r="T132" s="15">
        <f t="shared" si="94"/>
        <v>6642107</v>
      </c>
      <c r="U132" s="15">
        <f t="shared" si="95"/>
        <v>8141984</v>
      </c>
      <c r="V132" s="6">
        <v>4968000</v>
      </c>
      <c r="W132" s="6">
        <v>1854750</v>
      </c>
      <c r="X132" s="16">
        <v>289234</v>
      </c>
      <c r="Y132" s="16">
        <v>0</v>
      </c>
      <c r="Z132" s="16">
        <v>0</v>
      </c>
      <c r="AA132" s="16">
        <v>0</v>
      </c>
      <c r="AB132" s="16">
        <v>0</v>
      </c>
      <c r="AC132" s="16">
        <v>0</v>
      </c>
      <c r="AD132" s="16">
        <v>0</v>
      </c>
      <c r="AE132" s="16">
        <v>0</v>
      </c>
      <c r="AF132" s="16">
        <v>350000</v>
      </c>
      <c r="AG132" s="16">
        <v>0</v>
      </c>
      <c r="AH132" s="16">
        <v>200000</v>
      </c>
      <c r="AI132" s="16">
        <v>250000</v>
      </c>
      <c r="AJ132" s="16">
        <v>0</v>
      </c>
      <c r="AK132" s="16">
        <v>0</v>
      </c>
      <c r="AL132" s="16">
        <v>0</v>
      </c>
      <c r="AM132" s="16">
        <v>150000</v>
      </c>
      <c r="AN132" s="16">
        <v>80000</v>
      </c>
      <c r="AO132" s="16">
        <v>0</v>
      </c>
      <c r="AP132" s="16">
        <v>0</v>
      </c>
      <c r="AQ132" s="16">
        <v>0</v>
      </c>
      <c r="AR132" s="16">
        <v>0</v>
      </c>
      <c r="AS132" s="16">
        <v>0</v>
      </c>
      <c r="AT132" s="16">
        <v>0</v>
      </c>
      <c r="AU132" s="16">
        <v>0</v>
      </c>
      <c r="AV132" s="16">
        <v>0</v>
      </c>
      <c r="AW132" s="16">
        <v>0</v>
      </c>
      <c r="AX132" s="16">
        <v>0</v>
      </c>
      <c r="AY132" s="16">
        <v>0</v>
      </c>
      <c r="AZ132" s="16">
        <v>0</v>
      </c>
      <c r="BA132" s="16"/>
      <c r="BB132" s="15">
        <f t="shared" si="96"/>
        <v>1499877</v>
      </c>
      <c r="BC132" s="15">
        <v>0</v>
      </c>
      <c r="BD132" s="16">
        <v>543870</v>
      </c>
      <c r="BE132" s="16">
        <v>0</v>
      </c>
      <c r="BF132" s="16">
        <v>54380</v>
      </c>
      <c r="BG132" s="16">
        <v>0</v>
      </c>
      <c r="BH132" s="16">
        <v>333750</v>
      </c>
      <c r="BI132" s="16">
        <v>286650</v>
      </c>
      <c r="BJ132" s="16">
        <v>68327</v>
      </c>
      <c r="BK132" s="16">
        <v>24900</v>
      </c>
      <c r="BL132" s="16">
        <v>160000</v>
      </c>
      <c r="BM132" s="16">
        <v>0</v>
      </c>
      <c r="BN132" s="16">
        <v>28000</v>
      </c>
      <c r="BO132" s="16">
        <v>0</v>
      </c>
      <c r="BP132" s="16">
        <v>0</v>
      </c>
      <c r="BQ132" s="16">
        <v>0</v>
      </c>
      <c r="BR132" s="16">
        <v>0</v>
      </c>
      <c r="BS132" s="16">
        <v>0</v>
      </c>
      <c r="BT132" s="16">
        <v>0</v>
      </c>
      <c r="BU132" s="16">
        <v>0</v>
      </c>
      <c r="BV132" s="16">
        <v>0</v>
      </c>
      <c r="BW132" s="16">
        <v>0</v>
      </c>
    </row>
    <row r="133" spans="1:75" ht="18" customHeight="1" outlineLevel="1">
      <c r="D133" s="7" t="s">
        <v>11</v>
      </c>
      <c r="F133" s="8">
        <v>4717</v>
      </c>
      <c r="G133" s="8">
        <v>5848</v>
      </c>
      <c r="K133" s="8">
        <v>2400</v>
      </c>
      <c r="L133" s="8">
        <f t="shared" ref="L133:L137" si="97">K133*12</f>
        <v>28800</v>
      </c>
      <c r="M133" s="8">
        <f t="shared" ref="M133:M137" si="98">L133*1.13</f>
        <v>32543.999999999996</v>
      </c>
      <c r="N133" s="8">
        <v>21014</v>
      </c>
      <c r="O133" s="9">
        <f t="shared" ref="O133:O137" si="99">N133/M133</f>
        <v>0.64571042281219282</v>
      </c>
      <c r="Q133" s="5">
        <v>2025</v>
      </c>
      <c r="R133" s="5">
        <v>10</v>
      </c>
      <c r="S133" s="14" t="s">
        <v>54</v>
      </c>
      <c r="T133" s="15">
        <f t="shared" si="94"/>
        <v>8478985</v>
      </c>
      <c r="U133" s="15">
        <f t="shared" si="95"/>
        <v>10526334</v>
      </c>
      <c r="V133" s="6">
        <v>5302484</v>
      </c>
      <c r="W133" s="6">
        <v>1977139</v>
      </c>
      <c r="X133" s="16">
        <v>2127270</v>
      </c>
      <c r="Y133" s="16">
        <v>0</v>
      </c>
      <c r="Z133" s="16">
        <v>0</v>
      </c>
      <c r="AA133" s="16">
        <v>0</v>
      </c>
      <c r="AB133" s="16">
        <v>0</v>
      </c>
      <c r="AC133" s="16">
        <v>0</v>
      </c>
      <c r="AD133" s="16">
        <v>0</v>
      </c>
      <c r="AE133" s="16">
        <v>0</v>
      </c>
      <c r="AF133" s="16">
        <v>350000</v>
      </c>
      <c r="AG133" s="16">
        <v>0</v>
      </c>
      <c r="AH133" s="16">
        <v>187097</v>
      </c>
      <c r="AI133" s="16">
        <v>250000</v>
      </c>
      <c r="AJ133" s="16">
        <v>50000</v>
      </c>
      <c r="AK133" s="16">
        <v>0</v>
      </c>
      <c r="AL133" s="16">
        <v>0</v>
      </c>
      <c r="AM133" s="16">
        <v>150000</v>
      </c>
      <c r="AN133" s="16">
        <v>74839</v>
      </c>
      <c r="AO133" s="16">
        <v>0</v>
      </c>
      <c r="AP133" s="16">
        <v>0</v>
      </c>
      <c r="AQ133" s="16">
        <v>0</v>
      </c>
      <c r="AR133" s="16">
        <v>0</v>
      </c>
      <c r="AS133" s="16">
        <v>0</v>
      </c>
      <c r="AT133" s="16">
        <v>0</v>
      </c>
      <c r="AU133" s="16">
        <v>0</v>
      </c>
      <c r="AV133" s="16">
        <v>0</v>
      </c>
      <c r="AW133" s="16">
        <v>0</v>
      </c>
      <c r="AX133" s="16">
        <v>0</v>
      </c>
      <c r="AY133" s="16">
        <v>0</v>
      </c>
      <c r="AZ133" s="16">
        <v>57505</v>
      </c>
      <c r="BA133" s="16"/>
      <c r="BB133" s="15">
        <f t="shared" si="96"/>
        <v>2047349</v>
      </c>
      <c r="BC133" s="15">
        <v>0</v>
      </c>
      <c r="BD133" s="16">
        <v>944940</v>
      </c>
      <c r="BE133" s="16">
        <v>11500</v>
      </c>
      <c r="BF133" s="16">
        <v>94490</v>
      </c>
      <c r="BG133" s="16">
        <v>1150</v>
      </c>
      <c r="BH133" s="16">
        <v>333750</v>
      </c>
      <c r="BI133" s="16">
        <v>286650</v>
      </c>
      <c r="BJ133" s="16">
        <v>89269</v>
      </c>
      <c r="BK133" s="16">
        <v>26600</v>
      </c>
      <c r="BL133" s="16">
        <v>160000</v>
      </c>
      <c r="BM133" s="16">
        <v>50000</v>
      </c>
      <c r="BN133" s="16">
        <v>49000</v>
      </c>
      <c r="BO133" s="16">
        <v>0</v>
      </c>
      <c r="BP133" s="16">
        <v>0</v>
      </c>
      <c r="BQ133" s="16">
        <v>0</v>
      </c>
      <c r="BR133" s="16">
        <v>0</v>
      </c>
      <c r="BS133" s="16">
        <v>0</v>
      </c>
      <c r="BT133" s="16">
        <v>0</v>
      </c>
      <c r="BU133" s="16">
        <v>0</v>
      </c>
      <c r="BV133" s="16">
        <v>0</v>
      </c>
      <c r="BW133" s="16">
        <v>0</v>
      </c>
    </row>
    <row r="134" spans="1:75" ht="18" customHeight="1" outlineLevel="1">
      <c r="B134" s="7">
        <v>2021</v>
      </c>
      <c r="C134" s="8" t="s">
        <v>12</v>
      </c>
      <c r="E134" s="8">
        <v>6867</v>
      </c>
      <c r="J134" s="9"/>
      <c r="Q134" s="5">
        <v>2025</v>
      </c>
      <c r="R134" s="5">
        <v>10</v>
      </c>
      <c r="S134" s="14" t="s">
        <v>2418</v>
      </c>
      <c r="T134" s="15">
        <f t="shared" si="94"/>
        <v>1982000</v>
      </c>
      <c r="U134" s="15">
        <f t="shared" si="95"/>
        <v>2000000</v>
      </c>
      <c r="V134" s="16">
        <v>0</v>
      </c>
      <c r="W134" s="16">
        <v>0</v>
      </c>
      <c r="X134" s="16">
        <v>0</v>
      </c>
      <c r="Y134" s="16">
        <v>0</v>
      </c>
      <c r="Z134" s="16">
        <v>0</v>
      </c>
      <c r="AA134" s="16">
        <v>0</v>
      </c>
      <c r="AB134" s="16">
        <v>0</v>
      </c>
      <c r="AC134" s="16">
        <v>0</v>
      </c>
      <c r="AD134" s="16">
        <v>0</v>
      </c>
      <c r="AE134" s="16">
        <v>2000000</v>
      </c>
      <c r="AF134" s="16">
        <v>0</v>
      </c>
      <c r="AG134" s="16">
        <v>0</v>
      </c>
      <c r="AH134" s="16">
        <v>0</v>
      </c>
      <c r="AI134" s="16">
        <v>0</v>
      </c>
      <c r="AJ134" s="16">
        <v>0</v>
      </c>
      <c r="AK134" s="16">
        <v>0</v>
      </c>
      <c r="AL134" s="16">
        <v>0</v>
      </c>
      <c r="AM134" s="16">
        <v>0</v>
      </c>
      <c r="AN134" s="16">
        <v>0</v>
      </c>
      <c r="AO134" s="16">
        <v>0</v>
      </c>
      <c r="AP134" s="16">
        <v>0</v>
      </c>
      <c r="AQ134" s="16">
        <v>0</v>
      </c>
      <c r="AR134" s="16">
        <v>0</v>
      </c>
      <c r="AS134" s="16">
        <v>0</v>
      </c>
      <c r="AT134" s="16">
        <v>0</v>
      </c>
      <c r="AU134" s="16">
        <v>0</v>
      </c>
      <c r="AV134" s="16">
        <v>0</v>
      </c>
      <c r="AW134" s="16">
        <v>0</v>
      </c>
      <c r="AX134" s="16">
        <v>0</v>
      </c>
      <c r="AY134" s="16">
        <v>0</v>
      </c>
      <c r="AZ134" s="16">
        <v>0</v>
      </c>
      <c r="BA134" s="16"/>
      <c r="BB134" s="15">
        <f t="shared" si="96"/>
        <v>18000</v>
      </c>
      <c r="BC134" s="15">
        <v>0</v>
      </c>
      <c r="BD134" s="16">
        <v>0</v>
      </c>
      <c r="BE134" s="16">
        <v>0</v>
      </c>
      <c r="BF134" s="16">
        <v>0</v>
      </c>
      <c r="BG134" s="16">
        <v>0</v>
      </c>
      <c r="BH134" s="16">
        <v>0</v>
      </c>
      <c r="BI134" s="16">
        <v>0</v>
      </c>
      <c r="BJ134" s="16">
        <v>18000</v>
      </c>
      <c r="BK134" s="16">
        <v>0</v>
      </c>
      <c r="BL134" s="16">
        <v>0</v>
      </c>
      <c r="BM134" s="16">
        <v>0</v>
      </c>
      <c r="BN134" s="16">
        <v>0</v>
      </c>
      <c r="BO134" s="16">
        <v>0</v>
      </c>
      <c r="BP134" s="16">
        <v>0</v>
      </c>
      <c r="BQ134" s="16">
        <v>0</v>
      </c>
      <c r="BR134" s="16">
        <v>0</v>
      </c>
      <c r="BS134" s="16">
        <v>0</v>
      </c>
      <c r="BT134" s="16">
        <v>0</v>
      </c>
      <c r="BU134" s="16">
        <v>0</v>
      </c>
      <c r="BV134" s="16">
        <v>0</v>
      </c>
      <c r="BW134" s="16">
        <v>0</v>
      </c>
    </row>
    <row r="135" spans="1:75" ht="18" customHeight="1" outlineLevel="1">
      <c r="D135" s="7" t="s">
        <v>12</v>
      </c>
      <c r="F135" s="8">
        <v>6867</v>
      </c>
      <c r="G135" s="8">
        <v>6867</v>
      </c>
      <c r="K135" s="8">
        <v>2400</v>
      </c>
      <c r="L135" s="8">
        <f t="shared" si="97"/>
        <v>28800</v>
      </c>
      <c r="M135" s="8">
        <f t="shared" si="98"/>
        <v>32543.999999999996</v>
      </c>
      <c r="N135" s="8">
        <v>21014</v>
      </c>
      <c r="O135" s="9">
        <f t="shared" si="99"/>
        <v>0.64571042281219282</v>
      </c>
      <c r="Q135" s="5">
        <v>2025</v>
      </c>
      <c r="R135" s="5">
        <v>9</v>
      </c>
      <c r="S135" s="14" t="s">
        <v>54</v>
      </c>
      <c r="T135" s="15">
        <f t="shared" si="94"/>
        <v>6692690</v>
      </c>
      <c r="U135" s="15">
        <f t="shared" si="95"/>
        <v>8616559</v>
      </c>
      <c r="V135" s="6">
        <v>4968000</v>
      </c>
      <c r="W135" s="6">
        <v>1854750</v>
      </c>
      <c r="X135" s="16">
        <v>0</v>
      </c>
      <c r="Y135" s="16">
        <v>0</v>
      </c>
      <c r="Z135" s="16">
        <v>0</v>
      </c>
      <c r="AA135" s="16">
        <v>0</v>
      </c>
      <c r="AB135" s="16">
        <v>0</v>
      </c>
      <c r="AC135" s="16">
        <v>438809</v>
      </c>
      <c r="AD135" s="16">
        <v>0</v>
      </c>
      <c r="AE135" s="16">
        <v>0</v>
      </c>
      <c r="AF135" s="16">
        <v>350000</v>
      </c>
      <c r="AG135" s="16">
        <v>0</v>
      </c>
      <c r="AH135" s="16">
        <v>200000</v>
      </c>
      <c r="AI135" s="16">
        <v>250000</v>
      </c>
      <c r="AJ135" s="16">
        <v>325000</v>
      </c>
      <c r="AK135" s="16">
        <v>0</v>
      </c>
      <c r="AL135" s="16">
        <v>0</v>
      </c>
      <c r="AM135" s="16">
        <v>150000</v>
      </c>
      <c r="AN135" s="16">
        <v>80000</v>
      </c>
      <c r="AO135" s="16">
        <v>0</v>
      </c>
      <c r="AP135" s="16">
        <v>0</v>
      </c>
      <c r="AQ135" s="16">
        <v>0</v>
      </c>
      <c r="AR135" s="16">
        <v>0</v>
      </c>
      <c r="AS135" s="16">
        <v>0</v>
      </c>
      <c r="AT135" s="16">
        <v>0</v>
      </c>
      <c r="AU135" s="16">
        <v>0</v>
      </c>
      <c r="AV135" s="16">
        <v>0</v>
      </c>
      <c r="AW135" s="16">
        <v>0</v>
      </c>
      <c r="AX135" s="16">
        <v>0</v>
      </c>
      <c r="AY135" s="16">
        <v>0</v>
      </c>
      <c r="AZ135" s="16">
        <v>0</v>
      </c>
      <c r="BA135" s="16"/>
      <c r="BB135" s="15">
        <f t="shared" si="96"/>
        <v>1923869</v>
      </c>
      <c r="BC135" s="15">
        <v>0</v>
      </c>
      <c r="BD135" s="16">
        <v>624970</v>
      </c>
      <c r="BE135" s="15">
        <v>0</v>
      </c>
      <c r="BF135" s="16">
        <v>62490</v>
      </c>
      <c r="BG135" s="15">
        <v>0</v>
      </c>
      <c r="BH135" s="16">
        <v>367260</v>
      </c>
      <c r="BI135" s="16">
        <v>286650</v>
      </c>
      <c r="BJ135" s="16">
        <v>72599</v>
      </c>
      <c r="BK135" s="16">
        <v>24900</v>
      </c>
      <c r="BL135" s="16">
        <v>160000</v>
      </c>
      <c r="BM135" s="16">
        <v>325000</v>
      </c>
      <c r="BN135" s="15">
        <v>0</v>
      </c>
      <c r="BO135" s="15">
        <v>0</v>
      </c>
      <c r="BP135" s="15">
        <v>0</v>
      </c>
      <c r="BQ135" s="15">
        <v>0</v>
      </c>
      <c r="BR135" s="15">
        <v>0</v>
      </c>
      <c r="BS135" s="15">
        <v>0</v>
      </c>
      <c r="BT135" s="15">
        <v>0</v>
      </c>
      <c r="BU135" s="15">
        <v>0</v>
      </c>
      <c r="BV135" s="15">
        <v>0</v>
      </c>
      <c r="BW135" s="15">
        <v>0</v>
      </c>
    </row>
    <row r="136" spans="1:75" ht="18" customHeight="1" outlineLevel="1">
      <c r="D136" s="7" t="s">
        <v>13</v>
      </c>
      <c r="F136" s="8">
        <v>7988</v>
      </c>
      <c r="G136" s="8" t="s">
        <v>2</v>
      </c>
      <c r="H136" s="8" t="s">
        <v>17</v>
      </c>
      <c r="I136" s="8">
        <v>171</v>
      </c>
      <c r="K136" s="8">
        <v>2400</v>
      </c>
      <c r="L136" s="8">
        <f t="shared" si="97"/>
        <v>28800</v>
      </c>
      <c r="M136" s="8">
        <f t="shared" si="98"/>
        <v>32543.999999999996</v>
      </c>
      <c r="N136" s="8">
        <v>21014</v>
      </c>
      <c r="O136" s="9">
        <f t="shared" si="99"/>
        <v>0.64571042281219282</v>
      </c>
      <c r="Q136" s="5">
        <v>2025</v>
      </c>
      <c r="R136" s="5">
        <v>8</v>
      </c>
      <c r="S136" s="14" t="s">
        <v>54</v>
      </c>
      <c r="T136" s="15">
        <f t="shared" si="94"/>
        <v>0</v>
      </c>
      <c r="U136" s="15">
        <f t="shared" si="95"/>
        <v>0</v>
      </c>
      <c r="V136" s="16">
        <v>0</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0</v>
      </c>
      <c r="AQ136" s="16">
        <v>0</v>
      </c>
      <c r="AR136" s="16">
        <v>0</v>
      </c>
      <c r="AS136" s="16">
        <v>0</v>
      </c>
      <c r="AT136" s="16">
        <v>0</v>
      </c>
      <c r="AU136" s="16">
        <v>0</v>
      </c>
      <c r="AV136" s="16">
        <v>0</v>
      </c>
      <c r="AW136" s="16">
        <v>0</v>
      </c>
      <c r="AX136" s="16">
        <v>0</v>
      </c>
      <c r="AY136" s="16">
        <v>0</v>
      </c>
      <c r="AZ136" s="16">
        <v>0</v>
      </c>
      <c r="BA136" s="16"/>
      <c r="BB136" s="15">
        <f t="shared" si="96"/>
        <v>0</v>
      </c>
      <c r="BC136" s="15">
        <v>0</v>
      </c>
      <c r="BD136" s="15">
        <v>0</v>
      </c>
      <c r="BE136" s="15">
        <v>0</v>
      </c>
      <c r="BF136" s="15">
        <v>0</v>
      </c>
      <c r="BG136" s="15">
        <v>0</v>
      </c>
      <c r="BH136" s="15">
        <v>0</v>
      </c>
      <c r="BI136" s="15">
        <v>0</v>
      </c>
      <c r="BJ136" s="15">
        <v>0</v>
      </c>
      <c r="BK136" s="15">
        <v>0</v>
      </c>
      <c r="BL136" s="15">
        <v>0</v>
      </c>
      <c r="BM136" s="15">
        <v>0</v>
      </c>
      <c r="BN136" s="15">
        <v>0</v>
      </c>
      <c r="BO136" s="15">
        <v>0</v>
      </c>
      <c r="BP136" s="15">
        <v>0</v>
      </c>
      <c r="BQ136" s="15">
        <v>0</v>
      </c>
      <c r="BR136" s="15">
        <v>0</v>
      </c>
      <c r="BS136" s="15">
        <v>0</v>
      </c>
      <c r="BT136" s="15">
        <v>0</v>
      </c>
      <c r="BU136" s="15">
        <v>0</v>
      </c>
      <c r="BV136" s="15">
        <v>0</v>
      </c>
      <c r="BW136" s="15">
        <v>0</v>
      </c>
    </row>
    <row r="137" spans="1:75" ht="18" customHeight="1" outlineLevel="1">
      <c r="D137" s="7" t="s">
        <v>13</v>
      </c>
      <c r="F137" s="8">
        <v>7988</v>
      </c>
      <c r="G137" s="8" t="s">
        <v>2</v>
      </c>
      <c r="H137" s="8" t="s">
        <v>17</v>
      </c>
      <c r="I137" s="8">
        <v>171</v>
      </c>
      <c r="K137" s="8">
        <v>2400</v>
      </c>
      <c r="L137" s="8">
        <f t="shared" si="97"/>
        <v>28800</v>
      </c>
      <c r="M137" s="8">
        <f t="shared" si="98"/>
        <v>32543.999999999996</v>
      </c>
      <c r="N137" s="8">
        <v>21014</v>
      </c>
      <c r="O137" s="9">
        <f t="shared" si="99"/>
        <v>0.64571042281219282</v>
      </c>
      <c r="Q137" s="5">
        <v>2025</v>
      </c>
      <c r="R137" s="5">
        <v>7</v>
      </c>
      <c r="S137" s="14" t="s">
        <v>54</v>
      </c>
      <c r="T137" s="15">
        <f t="shared" si="94"/>
        <v>297300</v>
      </c>
      <c r="U137" s="15">
        <f t="shared" si="95"/>
        <v>300000</v>
      </c>
      <c r="V137" s="16">
        <v>0</v>
      </c>
      <c r="W137" s="16">
        <v>0</v>
      </c>
      <c r="X137" s="16">
        <v>0</v>
      </c>
      <c r="Y137" s="16">
        <v>0</v>
      </c>
      <c r="Z137" s="16">
        <v>0</v>
      </c>
      <c r="AA137" s="16">
        <v>0</v>
      </c>
      <c r="AB137" s="16">
        <v>0</v>
      </c>
      <c r="AC137" s="16">
        <v>0</v>
      </c>
      <c r="AD137" s="16">
        <v>0</v>
      </c>
      <c r="AE137" s="16">
        <v>0</v>
      </c>
      <c r="AF137" s="16">
        <v>0</v>
      </c>
      <c r="AG137" s="16">
        <v>0</v>
      </c>
      <c r="AH137" s="16">
        <v>0</v>
      </c>
      <c r="AI137" s="16">
        <v>0</v>
      </c>
      <c r="AJ137" s="16">
        <v>0</v>
      </c>
      <c r="AK137" s="16">
        <v>300000</v>
      </c>
      <c r="AL137" s="16">
        <v>0</v>
      </c>
      <c r="AM137" s="16">
        <v>0</v>
      </c>
      <c r="AN137" s="16">
        <v>0</v>
      </c>
      <c r="AO137" s="16">
        <v>0</v>
      </c>
      <c r="AP137" s="16">
        <v>0</v>
      </c>
      <c r="AQ137" s="16">
        <v>0</v>
      </c>
      <c r="AR137" s="16">
        <v>0</v>
      </c>
      <c r="AS137" s="16">
        <v>0</v>
      </c>
      <c r="AT137" s="16">
        <v>0</v>
      </c>
      <c r="AU137" s="16">
        <v>0</v>
      </c>
      <c r="AV137" s="16">
        <v>0</v>
      </c>
      <c r="AW137" s="16">
        <v>0</v>
      </c>
      <c r="AX137" s="16">
        <v>0</v>
      </c>
      <c r="AY137" s="16">
        <v>0</v>
      </c>
      <c r="AZ137" s="16">
        <v>0</v>
      </c>
      <c r="BA137" s="16"/>
      <c r="BB137" s="15">
        <f t="shared" si="96"/>
        <v>2700</v>
      </c>
      <c r="BC137" s="15">
        <v>0</v>
      </c>
      <c r="BD137" s="15">
        <v>0</v>
      </c>
      <c r="BE137" s="15">
        <v>0</v>
      </c>
      <c r="BF137" s="15">
        <v>0</v>
      </c>
      <c r="BG137" s="15">
        <v>0</v>
      </c>
      <c r="BH137" s="15">
        <v>0</v>
      </c>
      <c r="BI137" s="15">
        <v>0</v>
      </c>
      <c r="BJ137" s="16">
        <v>2700</v>
      </c>
      <c r="BK137" s="15">
        <v>0</v>
      </c>
      <c r="BL137" s="15">
        <v>0</v>
      </c>
      <c r="BM137" s="15">
        <v>0</v>
      </c>
      <c r="BN137" s="15">
        <v>0</v>
      </c>
      <c r="BO137" s="15">
        <v>0</v>
      </c>
      <c r="BP137" s="15">
        <v>0</v>
      </c>
      <c r="BQ137" s="15">
        <v>0</v>
      </c>
      <c r="BR137" s="15">
        <v>0</v>
      </c>
      <c r="BS137" s="15">
        <v>0</v>
      </c>
      <c r="BT137" s="15">
        <v>0</v>
      </c>
      <c r="BU137" s="15">
        <v>0</v>
      </c>
      <c r="BV137" s="15">
        <v>0</v>
      </c>
      <c r="BW137" s="15">
        <v>0</v>
      </c>
    </row>
    <row r="138" spans="1:75" ht="18" customHeight="1" outlineLevel="1">
      <c r="H138" s="8" t="s">
        <v>18</v>
      </c>
      <c r="I138" s="8">
        <v>122</v>
      </c>
      <c r="J138" s="9"/>
      <c r="Q138" s="5">
        <v>2025</v>
      </c>
      <c r="R138" s="5">
        <v>6</v>
      </c>
      <c r="S138" s="14" t="s">
        <v>54</v>
      </c>
      <c r="T138" s="15">
        <f t="shared" si="94"/>
        <v>0</v>
      </c>
      <c r="U138" s="15">
        <f t="shared" si="95"/>
        <v>0</v>
      </c>
      <c r="V138" s="16">
        <v>0</v>
      </c>
      <c r="W138" s="16">
        <v>0</v>
      </c>
      <c r="X138" s="16">
        <v>0</v>
      </c>
      <c r="Y138" s="16">
        <v>0</v>
      </c>
      <c r="Z138" s="16">
        <v>0</v>
      </c>
      <c r="AA138" s="16">
        <v>0</v>
      </c>
      <c r="AB138" s="16">
        <v>0</v>
      </c>
      <c r="AC138" s="16">
        <v>0</v>
      </c>
      <c r="AD138" s="16">
        <v>0</v>
      </c>
      <c r="AE138" s="16">
        <v>0</v>
      </c>
      <c r="AF138" s="16">
        <v>0</v>
      </c>
      <c r="AG138" s="16">
        <v>0</v>
      </c>
      <c r="AH138" s="16">
        <v>0</v>
      </c>
      <c r="AI138" s="16">
        <v>0</v>
      </c>
      <c r="AJ138" s="16">
        <v>0</v>
      </c>
      <c r="AK138" s="16">
        <v>0</v>
      </c>
      <c r="AL138" s="16">
        <v>0</v>
      </c>
      <c r="AM138" s="16">
        <v>0</v>
      </c>
      <c r="AN138" s="16">
        <v>0</v>
      </c>
      <c r="AO138" s="16">
        <v>0</v>
      </c>
      <c r="AP138" s="16">
        <v>0</v>
      </c>
      <c r="AQ138" s="16">
        <v>0</v>
      </c>
      <c r="AR138" s="16">
        <v>0</v>
      </c>
      <c r="AS138" s="16">
        <v>0</v>
      </c>
      <c r="AT138" s="16">
        <v>0</v>
      </c>
      <c r="AU138" s="16">
        <v>0</v>
      </c>
      <c r="AV138" s="16">
        <v>0</v>
      </c>
      <c r="AW138" s="16">
        <v>0</v>
      </c>
      <c r="AX138" s="16">
        <v>0</v>
      </c>
      <c r="AY138" s="16">
        <v>0</v>
      </c>
      <c r="AZ138" s="16">
        <v>0</v>
      </c>
      <c r="BA138" s="16"/>
      <c r="BB138" s="15">
        <f t="shared" si="96"/>
        <v>0</v>
      </c>
      <c r="BC138" s="15">
        <v>0</v>
      </c>
      <c r="BD138" s="15">
        <v>0</v>
      </c>
      <c r="BE138" s="15">
        <v>0</v>
      </c>
      <c r="BF138" s="15">
        <v>0</v>
      </c>
      <c r="BG138" s="15">
        <v>0</v>
      </c>
      <c r="BH138" s="15">
        <v>0</v>
      </c>
      <c r="BI138" s="15">
        <v>0</v>
      </c>
      <c r="BJ138" s="15">
        <v>0</v>
      </c>
      <c r="BK138" s="15">
        <v>0</v>
      </c>
      <c r="BL138" s="15">
        <v>0</v>
      </c>
      <c r="BM138" s="15">
        <v>0</v>
      </c>
      <c r="BN138" s="15">
        <v>0</v>
      </c>
      <c r="BO138" s="15">
        <v>0</v>
      </c>
      <c r="BP138" s="15">
        <v>0</v>
      </c>
      <c r="BQ138" s="15">
        <v>0</v>
      </c>
      <c r="BR138" s="15">
        <v>0</v>
      </c>
      <c r="BS138" s="15">
        <v>0</v>
      </c>
      <c r="BT138" s="15">
        <v>0</v>
      </c>
      <c r="BU138" s="15">
        <v>0</v>
      </c>
      <c r="BV138" s="15">
        <v>0</v>
      </c>
      <c r="BW138" s="15">
        <v>0</v>
      </c>
    </row>
    <row r="139" spans="1:75" ht="18" customHeight="1" outlineLevel="1">
      <c r="B139" s="7">
        <v>2021</v>
      </c>
      <c r="C139" s="8" t="s">
        <v>12</v>
      </c>
      <c r="E139" s="8">
        <v>6867</v>
      </c>
      <c r="J139" s="9"/>
      <c r="Q139" s="5">
        <v>2025</v>
      </c>
      <c r="R139" s="5">
        <v>5</v>
      </c>
      <c r="S139" s="14" t="s">
        <v>28</v>
      </c>
      <c r="T139" s="15">
        <f t="shared" ref="T139" si="100">IF(U139=U139-BB139,0,U139-BB139)</f>
        <v>2422870</v>
      </c>
      <c r="U139" s="15">
        <f t="shared" ref="U139" si="101">SUM(V139:BA139)</f>
        <v>3000000</v>
      </c>
      <c r="V139" s="16">
        <v>0</v>
      </c>
      <c r="W139" s="16">
        <v>0</v>
      </c>
      <c r="X139" s="16">
        <v>0</v>
      </c>
      <c r="Y139" s="16">
        <v>0</v>
      </c>
      <c r="Z139" s="16">
        <v>0</v>
      </c>
      <c r="AA139" s="16">
        <v>0</v>
      </c>
      <c r="AB139" s="16">
        <v>0</v>
      </c>
      <c r="AC139" s="16">
        <v>0</v>
      </c>
      <c r="AD139" s="16">
        <v>3000000</v>
      </c>
      <c r="AE139" s="16">
        <v>0</v>
      </c>
      <c r="AF139" s="16">
        <v>0</v>
      </c>
      <c r="AG139" s="16">
        <v>0</v>
      </c>
      <c r="AH139" s="16">
        <v>0</v>
      </c>
      <c r="AI139" s="16">
        <v>0</v>
      </c>
      <c r="AJ139" s="16">
        <v>0</v>
      </c>
      <c r="AK139" s="16">
        <v>0</v>
      </c>
      <c r="AL139" s="16">
        <v>0</v>
      </c>
      <c r="AM139" s="16">
        <v>0</v>
      </c>
      <c r="AN139" s="16">
        <v>0</v>
      </c>
      <c r="AO139" s="16">
        <v>0</v>
      </c>
      <c r="AP139" s="16">
        <v>0</v>
      </c>
      <c r="AQ139" s="16">
        <v>0</v>
      </c>
      <c r="AR139" s="16">
        <v>0</v>
      </c>
      <c r="AS139" s="16">
        <v>0</v>
      </c>
      <c r="AT139" s="16">
        <v>0</v>
      </c>
      <c r="AU139" s="16">
        <v>0</v>
      </c>
      <c r="AV139" s="16">
        <v>0</v>
      </c>
      <c r="AW139" s="16">
        <v>0</v>
      </c>
      <c r="AX139" s="16">
        <v>0</v>
      </c>
      <c r="AY139" s="16">
        <v>0</v>
      </c>
      <c r="AZ139" s="16">
        <v>0</v>
      </c>
      <c r="BA139" s="16"/>
      <c r="BB139" s="15">
        <f t="shared" si="96"/>
        <v>577130</v>
      </c>
      <c r="BC139" s="15">
        <v>0</v>
      </c>
      <c r="BD139" s="16">
        <v>500120</v>
      </c>
      <c r="BE139" s="15">
        <v>0</v>
      </c>
      <c r="BF139" s="16">
        <v>50010</v>
      </c>
      <c r="BG139" s="15">
        <v>0</v>
      </c>
      <c r="BH139" s="16">
        <v>0</v>
      </c>
      <c r="BI139" s="16">
        <v>0</v>
      </c>
      <c r="BJ139" s="16">
        <v>27000</v>
      </c>
      <c r="BK139" s="15">
        <v>0</v>
      </c>
      <c r="BL139" s="15">
        <v>0</v>
      </c>
      <c r="BM139" s="15">
        <v>0</v>
      </c>
      <c r="BN139" s="15">
        <v>0</v>
      </c>
      <c r="BO139" s="15">
        <v>0</v>
      </c>
      <c r="BP139" s="15">
        <v>0</v>
      </c>
      <c r="BQ139" s="15">
        <v>0</v>
      </c>
      <c r="BR139" s="15">
        <v>0</v>
      </c>
      <c r="BS139" s="15">
        <v>0</v>
      </c>
      <c r="BT139" s="15">
        <v>0</v>
      </c>
      <c r="BU139" s="15">
        <v>0</v>
      </c>
      <c r="BV139" s="15">
        <v>0</v>
      </c>
      <c r="BW139" s="15">
        <v>0</v>
      </c>
    </row>
    <row r="140" spans="1:75" ht="18" customHeight="1" outlineLevel="1">
      <c r="J140" s="9"/>
      <c r="Q140" s="5">
        <v>2025</v>
      </c>
      <c r="R140" s="5">
        <v>5</v>
      </c>
      <c r="S140" s="14" t="s">
        <v>54</v>
      </c>
      <c r="T140" s="15">
        <f t="shared" si="94"/>
        <v>6187900</v>
      </c>
      <c r="U140" s="15">
        <f t="shared" si="95"/>
        <v>7873340</v>
      </c>
      <c r="V140" s="6">
        <v>4837000</v>
      </c>
      <c r="W140" s="6">
        <v>1806340</v>
      </c>
      <c r="X140" s="16">
        <v>0</v>
      </c>
      <c r="Y140" s="16">
        <v>0</v>
      </c>
      <c r="Z140" s="16">
        <v>0</v>
      </c>
      <c r="AA140" s="16">
        <v>0</v>
      </c>
      <c r="AB140" s="16">
        <v>0</v>
      </c>
      <c r="AC140" s="16">
        <v>0</v>
      </c>
      <c r="AD140" s="16">
        <v>0</v>
      </c>
      <c r="AE140" s="16">
        <v>0</v>
      </c>
      <c r="AF140" s="16">
        <v>350000</v>
      </c>
      <c r="AG140" s="16">
        <v>0</v>
      </c>
      <c r="AH140" s="16">
        <v>200000</v>
      </c>
      <c r="AI140" s="16">
        <v>250000</v>
      </c>
      <c r="AJ140" s="16">
        <v>200000</v>
      </c>
      <c r="AK140" s="16">
        <v>0</v>
      </c>
      <c r="AL140" s="16">
        <v>0</v>
      </c>
      <c r="AM140" s="16">
        <v>150000</v>
      </c>
      <c r="AN140" s="16">
        <v>80000</v>
      </c>
      <c r="AO140" s="16">
        <v>0</v>
      </c>
      <c r="AP140" s="16">
        <v>0</v>
      </c>
      <c r="AQ140" s="16">
        <v>0</v>
      </c>
      <c r="AR140" s="16">
        <v>0</v>
      </c>
      <c r="AS140" s="16">
        <v>0</v>
      </c>
      <c r="AT140" s="16">
        <v>0</v>
      </c>
      <c r="AU140" s="16">
        <v>0</v>
      </c>
      <c r="AV140" s="16">
        <v>0</v>
      </c>
      <c r="AW140" s="16">
        <v>0</v>
      </c>
      <c r="AX140" s="16">
        <v>0</v>
      </c>
      <c r="AY140" s="16">
        <v>0</v>
      </c>
      <c r="AZ140" s="16">
        <v>0</v>
      </c>
      <c r="BA140" s="16"/>
      <c r="BB140" s="15">
        <f t="shared" si="96"/>
        <v>1685440</v>
      </c>
      <c r="BC140" s="15">
        <v>0</v>
      </c>
      <c r="BD140" s="16">
        <v>499940</v>
      </c>
      <c r="BE140" s="16">
        <v>0</v>
      </c>
      <c r="BF140" s="16">
        <v>49990</v>
      </c>
      <c r="BG140" s="16">
        <v>0</v>
      </c>
      <c r="BH140" s="16">
        <v>333750</v>
      </c>
      <c r="BI140" s="16">
        <v>277650</v>
      </c>
      <c r="BJ140" s="16">
        <v>65910</v>
      </c>
      <c r="BK140" s="16">
        <v>24200</v>
      </c>
      <c r="BL140" s="16">
        <v>160000</v>
      </c>
      <c r="BM140" s="16">
        <v>200000</v>
      </c>
      <c r="BN140" s="16">
        <v>74000</v>
      </c>
      <c r="BO140" s="16">
        <v>0</v>
      </c>
      <c r="BP140" s="16">
        <v>0</v>
      </c>
      <c r="BQ140" s="16">
        <v>0</v>
      </c>
      <c r="BR140" s="16">
        <v>0</v>
      </c>
      <c r="BS140" s="16">
        <v>0</v>
      </c>
      <c r="BT140" s="16">
        <v>0</v>
      </c>
      <c r="BU140" s="16">
        <v>0</v>
      </c>
      <c r="BV140" s="16">
        <v>0</v>
      </c>
      <c r="BW140" s="16">
        <v>0</v>
      </c>
    </row>
    <row r="141" spans="1:75" ht="18" customHeight="1" outlineLevel="1">
      <c r="B141" s="7">
        <v>2021</v>
      </c>
      <c r="C141" s="8" t="s">
        <v>12</v>
      </c>
      <c r="E141" s="8">
        <v>6867</v>
      </c>
      <c r="J141" s="9"/>
      <c r="Q141" s="5">
        <v>2025</v>
      </c>
      <c r="R141" s="5">
        <v>4</v>
      </c>
      <c r="S141" s="14" t="s">
        <v>54</v>
      </c>
      <c r="T141" s="15">
        <f t="shared" ref="T141" si="102">IF(U141=U141-BB141,0,U141-BB141)</f>
        <v>8311835</v>
      </c>
      <c r="U141" s="15">
        <f t="shared" ref="U141" si="103">SUM(V141:BA141)</f>
        <v>10008340</v>
      </c>
      <c r="V141" s="6">
        <v>4837000</v>
      </c>
      <c r="W141" s="6">
        <v>1806340</v>
      </c>
      <c r="X141" s="16">
        <v>0</v>
      </c>
      <c r="Y141" s="16">
        <v>0</v>
      </c>
      <c r="Z141" s="16">
        <v>0</v>
      </c>
      <c r="AA141" s="16">
        <v>0</v>
      </c>
      <c r="AB141" s="16">
        <v>0</v>
      </c>
      <c r="AC141" s="16">
        <v>0</v>
      </c>
      <c r="AD141" s="16">
        <v>0</v>
      </c>
      <c r="AE141" s="16">
        <v>0</v>
      </c>
      <c r="AF141" s="16">
        <v>350000</v>
      </c>
      <c r="AG141" s="16">
        <v>0</v>
      </c>
      <c r="AH141" s="16">
        <v>200000</v>
      </c>
      <c r="AI141" s="16">
        <v>250000</v>
      </c>
      <c r="AJ141" s="16">
        <v>35000</v>
      </c>
      <c r="AK141" s="16">
        <v>0</v>
      </c>
      <c r="AL141" s="16">
        <v>0</v>
      </c>
      <c r="AM141" s="16">
        <v>150000</v>
      </c>
      <c r="AN141" s="16">
        <v>80000</v>
      </c>
      <c r="AO141" s="16">
        <v>2150000</v>
      </c>
      <c r="AP141" s="16">
        <v>150000</v>
      </c>
      <c r="AQ141" s="16">
        <v>0</v>
      </c>
      <c r="AR141" s="16">
        <v>0</v>
      </c>
      <c r="AS141" s="16">
        <v>0</v>
      </c>
      <c r="AT141" s="16">
        <v>0</v>
      </c>
      <c r="AU141" s="16">
        <v>0</v>
      </c>
      <c r="AV141" s="16">
        <v>0</v>
      </c>
      <c r="AW141" s="16">
        <v>0</v>
      </c>
      <c r="AX141" s="16">
        <v>0</v>
      </c>
      <c r="AY141" s="16">
        <v>0</v>
      </c>
      <c r="AZ141" s="16">
        <v>0</v>
      </c>
      <c r="BA141" s="16"/>
      <c r="BB141" s="15">
        <f t="shared" si="96"/>
        <v>1696505</v>
      </c>
      <c r="BC141" s="15">
        <v>0</v>
      </c>
      <c r="BD141" s="16">
        <v>469530</v>
      </c>
      <c r="BE141" s="16">
        <v>0</v>
      </c>
      <c r="BF141" s="16">
        <v>46950</v>
      </c>
      <c r="BG141" s="16">
        <v>0</v>
      </c>
      <c r="BH141" s="16">
        <v>333750</v>
      </c>
      <c r="BI141" s="16">
        <v>277650</v>
      </c>
      <c r="BJ141" s="16">
        <v>64425</v>
      </c>
      <c r="BK141" s="16">
        <v>24200</v>
      </c>
      <c r="BL141" s="16">
        <v>160000</v>
      </c>
      <c r="BM141" s="16">
        <v>35000</v>
      </c>
      <c r="BN141" s="16">
        <v>42000</v>
      </c>
      <c r="BO141" s="16">
        <v>243000</v>
      </c>
      <c r="BP141" s="16">
        <v>0</v>
      </c>
      <c r="BQ141" s="16">
        <v>0</v>
      </c>
      <c r="BR141" s="16">
        <v>0</v>
      </c>
      <c r="BS141" s="16">
        <v>0</v>
      </c>
      <c r="BT141" s="16">
        <v>0</v>
      </c>
      <c r="BU141" s="16">
        <v>0</v>
      </c>
      <c r="BV141" s="16">
        <v>0</v>
      </c>
      <c r="BW141" s="16">
        <v>0</v>
      </c>
    </row>
    <row r="142" spans="1:75" ht="18" customHeight="1" outlineLevel="1">
      <c r="B142" s="7">
        <v>2022</v>
      </c>
      <c r="C142" s="8" t="s">
        <v>12</v>
      </c>
      <c r="E142" s="8">
        <v>6867</v>
      </c>
      <c r="J142" s="9"/>
      <c r="Q142" s="5">
        <v>2025</v>
      </c>
      <c r="R142" s="5">
        <v>3</v>
      </c>
      <c r="S142" s="14" t="s">
        <v>54</v>
      </c>
      <c r="T142" s="15">
        <f t="shared" si="94"/>
        <v>6102788</v>
      </c>
      <c r="U142" s="15">
        <f t="shared" si="95"/>
        <v>7573341</v>
      </c>
      <c r="V142" s="6">
        <v>4837000</v>
      </c>
      <c r="W142" s="6">
        <v>1806340</v>
      </c>
      <c r="X142" s="16">
        <v>0</v>
      </c>
      <c r="Y142" s="16">
        <v>0</v>
      </c>
      <c r="Z142" s="16">
        <v>0</v>
      </c>
      <c r="AA142" s="16">
        <v>0</v>
      </c>
      <c r="AB142" s="16">
        <v>0</v>
      </c>
      <c r="AC142" s="16">
        <v>0</v>
      </c>
      <c r="AD142" s="16">
        <v>0</v>
      </c>
      <c r="AE142" s="16">
        <v>0</v>
      </c>
      <c r="AF142" s="16">
        <v>350000</v>
      </c>
      <c r="AG142" s="16">
        <v>0</v>
      </c>
      <c r="AH142" s="16">
        <v>100000</v>
      </c>
      <c r="AI142" s="16">
        <v>250000</v>
      </c>
      <c r="AJ142" s="16">
        <v>0</v>
      </c>
      <c r="AK142" s="16">
        <v>0</v>
      </c>
      <c r="AL142" s="16">
        <v>87097</v>
      </c>
      <c r="AM142" s="16">
        <v>62904</v>
      </c>
      <c r="AN142" s="16">
        <v>80000</v>
      </c>
      <c r="AO142" s="16">
        <v>0</v>
      </c>
      <c r="AP142" s="16">
        <v>0</v>
      </c>
      <c r="AQ142" s="16">
        <v>0</v>
      </c>
      <c r="AR142" s="16">
        <v>0</v>
      </c>
      <c r="AS142" s="16">
        <v>0</v>
      </c>
      <c r="AT142" s="16">
        <v>0</v>
      </c>
      <c r="AU142" s="16">
        <v>0</v>
      </c>
      <c r="AV142" s="16">
        <v>0</v>
      </c>
      <c r="AW142" s="16">
        <v>0</v>
      </c>
      <c r="AX142" s="16">
        <v>0</v>
      </c>
      <c r="AY142" s="16">
        <v>0</v>
      </c>
      <c r="AZ142" s="16">
        <v>0</v>
      </c>
      <c r="BA142" s="16"/>
      <c r="BB142" s="15">
        <f t="shared" si="96"/>
        <v>1470553</v>
      </c>
      <c r="BC142" s="15">
        <v>0</v>
      </c>
      <c r="BD142" s="16">
        <v>479670</v>
      </c>
      <c r="BE142" s="16">
        <v>0</v>
      </c>
      <c r="BF142" s="16">
        <v>47960</v>
      </c>
      <c r="BG142" s="16">
        <v>0</v>
      </c>
      <c r="BH142" s="16">
        <v>333380</v>
      </c>
      <c r="BI142" s="16">
        <v>277650</v>
      </c>
      <c r="BJ142" s="16">
        <v>64893</v>
      </c>
      <c r="BK142" s="16">
        <v>24200</v>
      </c>
      <c r="BL142" s="16">
        <v>160000</v>
      </c>
      <c r="BM142" s="16">
        <v>0</v>
      </c>
      <c r="BN142" s="16">
        <v>82800</v>
      </c>
      <c r="BO142" s="16">
        <v>0</v>
      </c>
      <c r="BP142" s="16">
        <v>0</v>
      </c>
      <c r="BQ142" s="16">
        <v>0</v>
      </c>
      <c r="BR142" s="16">
        <v>0</v>
      </c>
      <c r="BS142" s="16">
        <v>0</v>
      </c>
      <c r="BT142" s="16">
        <v>0</v>
      </c>
      <c r="BU142" s="16">
        <v>0</v>
      </c>
      <c r="BV142" s="16">
        <v>0</v>
      </c>
      <c r="BW142" s="16">
        <v>0</v>
      </c>
    </row>
    <row r="143" spans="1:75" ht="18" customHeight="1" outlineLevel="1">
      <c r="B143" s="7">
        <v>2023</v>
      </c>
      <c r="C143" s="8" t="s">
        <v>12</v>
      </c>
      <c r="E143" s="8">
        <v>6867</v>
      </c>
      <c r="J143" s="9"/>
      <c r="Q143" s="5">
        <v>2025</v>
      </c>
      <c r="R143" s="5">
        <v>2</v>
      </c>
      <c r="S143" s="14" t="s">
        <v>54</v>
      </c>
      <c r="T143" s="15">
        <f t="shared" si="94"/>
        <v>5878200</v>
      </c>
      <c r="U143" s="15">
        <f t="shared" si="95"/>
        <v>7623340</v>
      </c>
      <c r="V143" s="6">
        <v>4837000</v>
      </c>
      <c r="W143" s="6">
        <v>1806340</v>
      </c>
      <c r="X143" s="16">
        <v>0</v>
      </c>
      <c r="Y143" s="16">
        <v>0</v>
      </c>
      <c r="Z143" s="16">
        <v>0</v>
      </c>
      <c r="AA143" s="16">
        <v>0</v>
      </c>
      <c r="AB143" s="16">
        <v>0</v>
      </c>
      <c r="AC143" s="16">
        <v>0</v>
      </c>
      <c r="AD143" s="16">
        <v>0</v>
      </c>
      <c r="AE143" s="16">
        <v>0</v>
      </c>
      <c r="AF143" s="16">
        <v>350000</v>
      </c>
      <c r="AG143" s="16">
        <v>0</v>
      </c>
      <c r="AH143" s="16">
        <v>100000</v>
      </c>
      <c r="AI143" s="16">
        <v>250000</v>
      </c>
      <c r="AJ143" s="16">
        <v>50000</v>
      </c>
      <c r="AK143" s="16">
        <v>0</v>
      </c>
      <c r="AL143" s="16">
        <v>150000</v>
      </c>
      <c r="AM143" s="16">
        <v>0</v>
      </c>
      <c r="AN143" s="16">
        <v>80000</v>
      </c>
      <c r="AO143" s="16">
        <v>0</v>
      </c>
      <c r="AP143" s="16">
        <v>0</v>
      </c>
      <c r="AQ143" s="16">
        <v>0</v>
      </c>
      <c r="AR143" s="16">
        <v>0</v>
      </c>
      <c r="AS143" s="16">
        <v>0</v>
      </c>
      <c r="AT143" s="16">
        <v>0</v>
      </c>
      <c r="AU143" s="16">
        <v>0</v>
      </c>
      <c r="AV143" s="16">
        <v>0</v>
      </c>
      <c r="AW143" s="16">
        <v>0</v>
      </c>
      <c r="AX143" s="16">
        <v>0</v>
      </c>
      <c r="AY143" s="16">
        <v>0</v>
      </c>
      <c r="AZ143" s="16">
        <v>0</v>
      </c>
      <c r="BA143" s="16"/>
      <c r="BB143" s="15">
        <f t="shared" si="96"/>
        <v>1745140</v>
      </c>
      <c r="BC143" s="15">
        <v>230270</v>
      </c>
      <c r="BD143" s="16">
        <v>499940</v>
      </c>
      <c r="BE143" s="16">
        <v>0</v>
      </c>
      <c r="BF143" s="16">
        <v>49990</v>
      </c>
      <c r="BG143" s="16">
        <v>0</v>
      </c>
      <c r="BH143" s="16">
        <v>333380</v>
      </c>
      <c r="BI143" s="16">
        <v>277650</v>
      </c>
      <c r="BJ143" s="16">
        <v>65910</v>
      </c>
      <c r="BK143" s="16">
        <v>24200</v>
      </c>
      <c r="BL143" s="16">
        <v>160000</v>
      </c>
      <c r="BM143" s="16">
        <v>50000</v>
      </c>
      <c r="BN143" s="16">
        <v>53800</v>
      </c>
      <c r="BO143" s="16">
        <v>0</v>
      </c>
      <c r="BP143" s="16">
        <v>0</v>
      </c>
      <c r="BQ143" s="16">
        <v>0</v>
      </c>
      <c r="BR143" s="16">
        <v>0</v>
      </c>
      <c r="BS143" s="16">
        <v>0</v>
      </c>
      <c r="BT143" s="16">
        <v>0</v>
      </c>
      <c r="BU143" s="16">
        <v>0</v>
      </c>
      <c r="BV143" s="16">
        <v>0</v>
      </c>
      <c r="BW143" s="16">
        <v>0</v>
      </c>
    </row>
    <row r="144" spans="1:75" ht="18" customHeight="1" outlineLevel="1">
      <c r="B144" s="7">
        <v>2024</v>
      </c>
      <c r="C144" s="8" t="s">
        <v>12</v>
      </c>
      <c r="E144" s="8">
        <v>6867</v>
      </c>
      <c r="J144" s="9"/>
      <c r="Q144" s="5">
        <v>2025</v>
      </c>
      <c r="R144" s="5">
        <v>1</v>
      </c>
      <c r="S144" s="14" t="s">
        <v>54</v>
      </c>
      <c r="T144" s="15">
        <f t="shared" si="94"/>
        <v>6109890</v>
      </c>
      <c r="U144" s="15">
        <f t="shared" si="95"/>
        <v>7773340</v>
      </c>
      <c r="V144" s="6">
        <v>4837000</v>
      </c>
      <c r="W144" s="6">
        <v>1806340</v>
      </c>
      <c r="X144" s="16">
        <v>0</v>
      </c>
      <c r="Y144" s="16">
        <v>0</v>
      </c>
      <c r="Z144" s="16">
        <v>0</v>
      </c>
      <c r="AA144" s="16">
        <v>0</v>
      </c>
      <c r="AB144" s="16">
        <v>0</v>
      </c>
      <c r="AC144" s="16">
        <v>0</v>
      </c>
      <c r="AD144" s="16">
        <v>0</v>
      </c>
      <c r="AE144" s="16">
        <v>0</v>
      </c>
      <c r="AF144" s="16">
        <v>350000</v>
      </c>
      <c r="AG144" s="16">
        <v>0</v>
      </c>
      <c r="AH144" s="16">
        <v>100000</v>
      </c>
      <c r="AI144" s="16">
        <v>250000</v>
      </c>
      <c r="AJ144" s="16">
        <v>200000</v>
      </c>
      <c r="AK144" s="16">
        <v>0</v>
      </c>
      <c r="AL144" s="16">
        <v>150000</v>
      </c>
      <c r="AM144" s="16">
        <v>0</v>
      </c>
      <c r="AN144" s="16">
        <v>80000</v>
      </c>
      <c r="AO144" s="16">
        <v>0</v>
      </c>
      <c r="AP144" s="16">
        <v>0</v>
      </c>
      <c r="AQ144" s="16">
        <v>0</v>
      </c>
      <c r="AR144" s="16">
        <v>0</v>
      </c>
      <c r="AS144" s="16">
        <v>0</v>
      </c>
      <c r="AT144" s="16">
        <v>0</v>
      </c>
      <c r="AU144" s="16">
        <v>0</v>
      </c>
      <c r="AV144" s="16">
        <v>0</v>
      </c>
      <c r="AW144" s="16">
        <v>0</v>
      </c>
      <c r="AX144" s="16">
        <v>0</v>
      </c>
      <c r="AY144" s="16">
        <v>0</v>
      </c>
      <c r="AZ144" s="16">
        <v>0</v>
      </c>
      <c r="BA144" s="16"/>
      <c r="BB144" s="15">
        <f t="shared" si="96"/>
        <v>1663450</v>
      </c>
      <c r="BC144" s="15">
        <v>0</v>
      </c>
      <c r="BD144" s="16">
        <v>523600</v>
      </c>
      <c r="BE144" s="16">
        <v>0</v>
      </c>
      <c r="BF144" s="16">
        <v>52360</v>
      </c>
      <c r="BG144" s="16">
        <v>0</v>
      </c>
      <c r="BH144" s="16">
        <v>333380</v>
      </c>
      <c r="BI144" s="16">
        <v>277650</v>
      </c>
      <c r="BJ144" s="16">
        <v>67260</v>
      </c>
      <c r="BK144" s="16">
        <v>24200</v>
      </c>
      <c r="BL144" s="16">
        <v>160000</v>
      </c>
      <c r="BM144" s="16">
        <v>200000</v>
      </c>
      <c r="BN144" s="16">
        <v>25000</v>
      </c>
      <c r="BO144" s="16">
        <v>0</v>
      </c>
      <c r="BP144" s="16">
        <v>0</v>
      </c>
      <c r="BQ144" s="16">
        <v>0</v>
      </c>
      <c r="BR144" s="16">
        <v>0</v>
      </c>
      <c r="BS144" s="16">
        <v>0</v>
      </c>
      <c r="BT144" s="16">
        <v>0</v>
      </c>
      <c r="BU144" s="16">
        <v>0</v>
      </c>
      <c r="BV144" s="16">
        <v>0</v>
      </c>
      <c r="BW144" s="16">
        <v>0</v>
      </c>
    </row>
    <row r="145" spans="1:75" s="1" customFormat="1" ht="18" customHeight="1">
      <c r="A145" s="10"/>
      <c r="B145" s="11"/>
      <c r="C145" s="12"/>
      <c r="D145" s="11"/>
      <c r="E145" s="12"/>
      <c r="F145" s="12"/>
      <c r="G145" s="12"/>
      <c r="H145" s="12"/>
      <c r="I145" s="12"/>
      <c r="J145" s="3"/>
      <c r="K145" s="12"/>
      <c r="L145" s="12"/>
      <c r="M145" s="12"/>
      <c r="N145" s="12"/>
      <c r="O145" s="13"/>
      <c r="Q145" s="667" t="s">
        <v>177</v>
      </c>
      <c r="R145" s="667"/>
      <c r="S145" s="667"/>
      <c r="T145" s="23">
        <f t="shared" ref="T145:AZ145" si="104">SUMIF($Q$2:$Q$793,$Q146,T$2:T$793)</f>
        <v>81946875</v>
      </c>
      <c r="U145" s="23">
        <f t="shared" si="104"/>
        <v>104128013</v>
      </c>
      <c r="V145" s="23">
        <f t="shared" si="104"/>
        <v>57428000</v>
      </c>
      <c r="W145" s="23">
        <f t="shared" si="104"/>
        <v>21443080</v>
      </c>
      <c r="X145" s="23">
        <f t="shared" si="104"/>
        <v>0</v>
      </c>
      <c r="Y145" s="23">
        <f t="shared" si="104"/>
        <v>0</v>
      </c>
      <c r="Z145" s="23">
        <f t="shared" si="104"/>
        <v>0</v>
      </c>
      <c r="AA145" s="23">
        <f t="shared" si="104"/>
        <v>0</v>
      </c>
      <c r="AB145" s="23">
        <f t="shared" si="104"/>
        <v>0</v>
      </c>
      <c r="AC145" s="23">
        <f t="shared" si="104"/>
        <v>849000</v>
      </c>
      <c r="AD145" s="23">
        <f t="shared" si="104"/>
        <v>7136283</v>
      </c>
      <c r="AE145" s="23">
        <f t="shared" si="104"/>
        <v>1500000</v>
      </c>
      <c r="AF145" s="23">
        <f t="shared" si="104"/>
        <v>4200000</v>
      </c>
      <c r="AG145" s="23">
        <f t="shared" si="104"/>
        <v>0</v>
      </c>
      <c r="AH145" s="23">
        <f t="shared" si="104"/>
        <v>1200000</v>
      </c>
      <c r="AI145" s="23">
        <f t="shared" si="104"/>
        <v>3000000</v>
      </c>
      <c r="AJ145" s="23">
        <f t="shared" si="104"/>
        <v>1010000</v>
      </c>
      <c r="AK145" s="23">
        <f t="shared" si="104"/>
        <v>300000</v>
      </c>
      <c r="AL145" s="23">
        <f t="shared" si="104"/>
        <v>1600000</v>
      </c>
      <c r="AM145" s="23">
        <f t="shared" si="104"/>
        <v>0</v>
      </c>
      <c r="AN145" s="23">
        <f t="shared" si="104"/>
        <v>960000</v>
      </c>
      <c r="AO145" s="23">
        <f t="shared" si="104"/>
        <v>50000</v>
      </c>
      <c r="AP145" s="23">
        <f t="shared" si="104"/>
        <v>450000</v>
      </c>
      <c r="AQ145" s="23">
        <f t="shared" si="104"/>
        <v>40000</v>
      </c>
      <c r="AR145" s="23">
        <f t="shared" si="104"/>
        <v>0</v>
      </c>
      <c r="AS145" s="23">
        <f t="shared" si="104"/>
        <v>0</v>
      </c>
      <c r="AT145" s="23">
        <f t="shared" si="104"/>
        <v>0</v>
      </c>
      <c r="AU145" s="23">
        <f t="shared" si="104"/>
        <v>300000</v>
      </c>
      <c r="AV145" s="23">
        <f t="shared" si="104"/>
        <v>0</v>
      </c>
      <c r="AW145" s="23">
        <f t="shared" si="104"/>
        <v>1887650</v>
      </c>
      <c r="AX145" s="23">
        <f t="shared" si="104"/>
        <v>300000</v>
      </c>
      <c r="AY145" s="23">
        <f t="shared" si="104"/>
        <v>474000</v>
      </c>
      <c r="AZ145" s="23">
        <f t="shared" si="104"/>
        <v>0</v>
      </c>
      <c r="BA145" s="23"/>
      <c r="BB145" s="23">
        <f t="shared" ref="BB145:BW145" si="105">SUMIF($Q$2:$Q$793,$Q146,BB$2:BB$793)</f>
        <v>22181138</v>
      </c>
      <c r="BC145" s="23">
        <f t="shared" si="105"/>
        <v>-1413340</v>
      </c>
      <c r="BD145" s="23">
        <f t="shared" si="105"/>
        <v>8071080</v>
      </c>
      <c r="BE145" s="23">
        <f t="shared" si="105"/>
        <v>0</v>
      </c>
      <c r="BF145" s="23">
        <f t="shared" si="105"/>
        <v>807060</v>
      </c>
      <c r="BG145" s="23">
        <f t="shared" si="105"/>
        <v>0</v>
      </c>
      <c r="BH145" s="23">
        <f t="shared" si="105"/>
        <v>3762000</v>
      </c>
      <c r="BI145" s="23">
        <f t="shared" si="105"/>
        <v>3258900</v>
      </c>
      <c r="BJ145" s="23">
        <f t="shared" si="105"/>
        <v>900248</v>
      </c>
      <c r="BK145" s="23">
        <f t="shared" si="105"/>
        <v>290700</v>
      </c>
      <c r="BL145" s="23">
        <f t="shared" si="105"/>
        <v>1920000</v>
      </c>
      <c r="BM145" s="23">
        <f t="shared" si="105"/>
        <v>1010000</v>
      </c>
      <c r="BN145" s="23">
        <f t="shared" si="105"/>
        <v>284500</v>
      </c>
      <c r="BO145" s="23">
        <f t="shared" si="105"/>
        <v>998340</v>
      </c>
      <c r="BP145" s="23">
        <f t="shared" si="105"/>
        <v>0</v>
      </c>
      <c r="BQ145" s="23">
        <f t="shared" si="105"/>
        <v>0</v>
      </c>
      <c r="BR145" s="23">
        <f t="shared" si="105"/>
        <v>0</v>
      </c>
      <c r="BS145" s="23">
        <f t="shared" si="105"/>
        <v>0</v>
      </c>
      <c r="BT145" s="23">
        <f t="shared" si="105"/>
        <v>104000</v>
      </c>
      <c r="BU145" s="23">
        <f t="shared" si="105"/>
        <v>300000</v>
      </c>
      <c r="BV145" s="23">
        <f t="shared" si="105"/>
        <v>1887650</v>
      </c>
      <c r="BW145" s="23">
        <f t="shared" si="105"/>
        <v>0</v>
      </c>
    </row>
    <row r="146" spans="1:75" ht="18" hidden="1" customHeight="1" outlineLevel="1">
      <c r="D146" s="7" t="s">
        <v>11</v>
      </c>
      <c r="F146" s="8">
        <v>4717</v>
      </c>
      <c r="G146" s="8">
        <v>5848</v>
      </c>
      <c r="K146" s="8">
        <v>2400</v>
      </c>
      <c r="L146" s="8">
        <f>K146*12</f>
        <v>28800</v>
      </c>
      <c r="M146" s="8">
        <f>L146*1.13</f>
        <v>32543.999999999996</v>
      </c>
      <c r="N146" s="8">
        <v>21014</v>
      </c>
      <c r="O146" s="9">
        <f>N146/M146</f>
        <v>0.64571042281219282</v>
      </c>
      <c r="Q146" s="5">
        <v>2024</v>
      </c>
      <c r="R146" s="5">
        <v>12</v>
      </c>
      <c r="S146" s="14" t="s">
        <v>54</v>
      </c>
      <c r="T146" s="15">
        <f t="shared" ref="T146:T159" si="106">IF(U146=U146-BB146,0,U146-BB146)</f>
        <v>6500850</v>
      </c>
      <c r="U146" s="15">
        <f t="shared" ref="U146:U159" si="107">SUM(V146:BA146)</f>
        <v>8123340</v>
      </c>
      <c r="V146" s="6">
        <v>4837000</v>
      </c>
      <c r="W146" s="6">
        <v>1806340</v>
      </c>
      <c r="X146" s="16">
        <v>0</v>
      </c>
      <c r="Y146" s="16">
        <v>0</v>
      </c>
      <c r="Z146" s="16">
        <v>0</v>
      </c>
      <c r="AA146" s="16">
        <v>0</v>
      </c>
      <c r="AB146" s="16">
        <v>0</v>
      </c>
      <c r="AC146" s="16">
        <v>0</v>
      </c>
      <c r="AD146" s="16">
        <v>0</v>
      </c>
      <c r="AE146" s="16">
        <v>0</v>
      </c>
      <c r="AF146" s="16">
        <v>350000</v>
      </c>
      <c r="AG146" s="16">
        <v>0</v>
      </c>
      <c r="AH146" s="16">
        <v>100000</v>
      </c>
      <c r="AI146" s="16">
        <v>250000</v>
      </c>
      <c r="AJ146" s="16">
        <v>50000</v>
      </c>
      <c r="AK146" s="16">
        <v>0</v>
      </c>
      <c r="AL146" s="16">
        <v>150000</v>
      </c>
      <c r="AM146" s="16">
        <v>0</v>
      </c>
      <c r="AN146" s="16">
        <v>80000</v>
      </c>
      <c r="AO146" s="16">
        <v>50000</v>
      </c>
      <c r="AP146" s="16">
        <v>450000</v>
      </c>
      <c r="AQ146" s="16">
        <v>0</v>
      </c>
      <c r="AR146" s="16">
        <v>0</v>
      </c>
      <c r="AS146" s="16">
        <v>0</v>
      </c>
      <c r="AT146" s="16">
        <v>0</v>
      </c>
      <c r="AU146" s="16">
        <v>0</v>
      </c>
      <c r="AV146" s="16">
        <v>0</v>
      </c>
      <c r="AW146" s="16">
        <v>0</v>
      </c>
      <c r="AX146" s="16">
        <v>0</v>
      </c>
      <c r="AY146" s="16">
        <v>0</v>
      </c>
      <c r="AZ146" s="16">
        <v>0</v>
      </c>
      <c r="BA146" s="16"/>
      <c r="BB146" s="15">
        <f t="shared" ref="BB146:BB159" si="108">SUM(BC146:BW146)</f>
        <v>1622490</v>
      </c>
      <c r="BC146" s="16">
        <v>0</v>
      </c>
      <c r="BD146" s="16">
        <v>499940</v>
      </c>
      <c r="BE146" s="16">
        <v>0</v>
      </c>
      <c r="BF146" s="16">
        <v>49990</v>
      </c>
      <c r="BG146" s="16">
        <v>0</v>
      </c>
      <c r="BH146" s="16">
        <v>333380</v>
      </c>
      <c r="BI146" s="16">
        <v>277650</v>
      </c>
      <c r="BJ146" s="16">
        <v>65910</v>
      </c>
      <c r="BK146" s="16">
        <v>24200</v>
      </c>
      <c r="BL146" s="16">
        <v>160000</v>
      </c>
      <c r="BM146" s="16">
        <v>50000</v>
      </c>
      <c r="BN146" s="16">
        <v>50500</v>
      </c>
      <c r="BO146" s="16">
        <v>110920</v>
      </c>
      <c r="BP146" s="16">
        <v>0</v>
      </c>
      <c r="BQ146" s="16">
        <v>0</v>
      </c>
      <c r="BR146" s="16">
        <v>0</v>
      </c>
      <c r="BS146" s="16">
        <v>0</v>
      </c>
      <c r="BT146" s="16">
        <v>0</v>
      </c>
      <c r="BU146" s="16">
        <v>0</v>
      </c>
      <c r="BV146" s="16">
        <v>0</v>
      </c>
      <c r="BW146" s="16">
        <v>0</v>
      </c>
    </row>
    <row r="147" spans="1:75" ht="18" hidden="1" customHeight="1" outlineLevel="1">
      <c r="D147" s="7" t="s">
        <v>11</v>
      </c>
      <c r="F147" s="8">
        <v>4717</v>
      </c>
      <c r="G147" s="8">
        <v>5848</v>
      </c>
      <c r="K147" s="8">
        <v>2400</v>
      </c>
      <c r="L147" s="8">
        <f>K147*12</f>
        <v>28800</v>
      </c>
      <c r="M147" s="8">
        <f>L147*1.13</f>
        <v>32543.999999999996</v>
      </c>
      <c r="N147" s="8">
        <v>21014</v>
      </c>
      <c r="O147" s="9">
        <f>N147/M147</f>
        <v>0.64571042281219282</v>
      </c>
      <c r="Q147" s="5">
        <v>2024</v>
      </c>
      <c r="R147" s="5">
        <v>11</v>
      </c>
      <c r="S147" s="14" t="s">
        <v>54</v>
      </c>
      <c r="T147" s="15">
        <f t="shared" si="106"/>
        <v>6034950</v>
      </c>
      <c r="U147" s="15">
        <f t="shared" si="107"/>
        <v>7573340</v>
      </c>
      <c r="V147" s="6">
        <v>4837000</v>
      </c>
      <c r="W147" s="6">
        <v>1806340</v>
      </c>
      <c r="X147" s="16">
        <v>0</v>
      </c>
      <c r="Y147" s="16">
        <v>0</v>
      </c>
      <c r="Z147" s="16">
        <v>0</v>
      </c>
      <c r="AA147" s="16">
        <v>0</v>
      </c>
      <c r="AB147" s="16">
        <v>0</v>
      </c>
      <c r="AC147" s="16">
        <v>0</v>
      </c>
      <c r="AD147" s="16">
        <v>0</v>
      </c>
      <c r="AE147" s="16">
        <v>0</v>
      </c>
      <c r="AF147" s="16">
        <v>350000</v>
      </c>
      <c r="AG147" s="16">
        <v>0</v>
      </c>
      <c r="AH147" s="16">
        <v>100000</v>
      </c>
      <c r="AI147" s="16">
        <v>250000</v>
      </c>
      <c r="AJ147" s="16">
        <v>0</v>
      </c>
      <c r="AK147" s="16">
        <v>0</v>
      </c>
      <c r="AL147" s="16">
        <v>150000</v>
      </c>
      <c r="AM147" s="16">
        <v>0</v>
      </c>
      <c r="AN147" s="16">
        <v>80000</v>
      </c>
      <c r="AO147" s="16">
        <v>0</v>
      </c>
      <c r="AP147" s="16">
        <v>0</v>
      </c>
      <c r="AQ147" s="16">
        <v>0</v>
      </c>
      <c r="AR147" s="16">
        <v>0</v>
      </c>
      <c r="AS147" s="16">
        <v>0</v>
      </c>
      <c r="AT147" s="16">
        <v>0</v>
      </c>
      <c r="AU147" s="16">
        <v>0</v>
      </c>
      <c r="AV147" s="16">
        <v>0</v>
      </c>
      <c r="AW147" s="16">
        <v>0</v>
      </c>
      <c r="AX147" s="16">
        <v>0</v>
      </c>
      <c r="AY147" s="16">
        <v>0</v>
      </c>
      <c r="AZ147" s="16">
        <v>0</v>
      </c>
      <c r="BA147" s="16"/>
      <c r="BB147" s="15">
        <f t="shared" si="108"/>
        <v>1538390</v>
      </c>
      <c r="BC147" s="16">
        <v>0</v>
      </c>
      <c r="BD147" s="16">
        <v>489800</v>
      </c>
      <c r="BE147" s="16">
        <v>0</v>
      </c>
      <c r="BF147" s="16">
        <v>48980</v>
      </c>
      <c r="BG147" s="16">
        <v>0</v>
      </c>
      <c r="BH147" s="16">
        <v>333380</v>
      </c>
      <c r="BI147" s="16">
        <v>277650</v>
      </c>
      <c r="BJ147" s="16">
        <v>65460</v>
      </c>
      <c r="BK147" s="16">
        <v>24200</v>
      </c>
      <c r="BL147" s="16">
        <v>160000</v>
      </c>
      <c r="BM147" s="16">
        <v>0</v>
      </c>
      <c r="BN147" s="16">
        <v>28000</v>
      </c>
      <c r="BO147" s="16">
        <v>110920</v>
      </c>
      <c r="BP147" s="16">
        <v>0</v>
      </c>
      <c r="BQ147" s="16">
        <v>0</v>
      </c>
      <c r="BR147" s="16">
        <v>0</v>
      </c>
      <c r="BS147" s="16">
        <v>0</v>
      </c>
      <c r="BT147" s="16">
        <v>0</v>
      </c>
      <c r="BU147" s="16">
        <v>0</v>
      </c>
      <c r="BV147" s="16">
        <v>0</v>
      </c>
      <c r="BW147" s="16">
        <v>0</v>
      </c>
    </row>
    <row r="148" spans="1:75" ht="18" hidden="1" customHeight="1" outlineLevel="1">
      <c r="D148" s="7" t="s">
        <v>11</v>
      </c>
      <c r="F148" s="8">
        <v>4717</v>
      </c>
      <c r="G148" s="8">
        <v>5848</v>
      </c>
      <c r="K148" s="8">
        <v>2400</v>
      </c>
      <c r="L148" s="8">
        <f t="shared" si="0"/>
        <v>28800</v>
      </c>
      <c r="M148" s="8">
        <f t="shared" si="1"/>
        <v>32543.999999999996</v>
      </c>
      <c r="N148" s="8">
        <v>21014</v>
      </c>
      <c r="O148" s="9">
        <f t="shared" si="2"/>
        <v>0.64571042281219282</v>
      </c>
      <c r="Q148" s="5">
        <v>2024</v>
      </c>
      <c r="R148" s="5">
        <v>10</v>
      </c>
      <c r="S148" s="14" t="s">
        <v>54</v>
      </c>
      <c r="T148" s="15">
        <f t="shared" si="106"/>
        <v>6037350</v>
      </c>
      <c r="U148" s="15">
        <f t="shared" si="107"/>
        <v>7623340</v>
      </c>
      <c r="V148" s="6">
        <v>4837000</v>
      </c>
      <c r="W148" s="6">
        <v>1806340</v>
      </c>
      <c r="X148" s="16">
        <v>0</v>
      </c>
      <c r="Y148" s="16">
        <v>0</v>
      </c>
      <c r="Z148" s="16">
        <v>0</v>
      </c>
      <c r="AA148" s="16">
        <v>0</v>
      </c>
      <c r="AB148" s="16">
        <v>0</v>
      </c>
      <c r="AC148" s="16">
        <v>0</v>
      </c>
      <c r="AD148" s="16">
        <v>0</v>
      </c>
      <c r="AE148" s="16">
        <v>0</v>
      </c>
      <c r="AF148" s="16">
        <v>350000</v>
      </c>
      <c r="AG148" s="16">
        <v>0</v>
      </c>
      <c r="AH148" s="16">
        <v>100000</v>
      </c>
      <c r="AI148" s="16">
        <v>250000</v>
      </c>
      <c r="AJ148" s="16">
        <v>50000</v>
      </c>
      <c r="AK148" s="16">
        <v>0</v>
      </c>
      <c r="AL148" s="16">
        <v>150000</v>
      </c>
      <c r="AM148" s="16">
        <v>0</v>
      </c>
      <c r="AN148" s="16">
        <v>80000</v>
      </c>
      <c r="AO148" s="16">
        <v>0</v>
      </c>
      <c r="AP148" s="16">
        <v>0</v>
      </c>
      <c r="AQ148" s="16">
        <v>0</v>
      </c>
      <c r="AR148" s="16">
        <v>0</v>
      </c>
      <c r="AS148" s="16">
        <v>0</v>
      </c>
      <c r="AT148" s="16">
        <v>0</v>
      </c>
      <c r="AU148" s="16">
        <v>0</v>
      </c>
      <c r="AV148" s="16">
        <v>0</v>
      </c>
      <c r="AW148" s="16">
        <v>0</v>
      </c>
      <c r="AX148" s="16">
        <v>0</v>
      </c>
      <c r="AY148" s="16">
        <v>0</v>
      </c>
      <c r="AZ148" s="16">
        <v>0</v>
      </c>
      <c r="BA148" s="16"/>
      <c r="BB148" s="15">
        <f t="shared" si="108"/>
        <v>1585990</v>
      </c>
      <c r="BC148" s="16">
        <v>0</v>
      </c>
      <c r="BD148" s="16">
        <v>499940</v>
      </c>
      <c r="BE148" s="16">
        <v>0</v>
      </c>
      <c r="BF148" s="16">
        <v>49990</v>
      </c>
      <c r="BG148" s="16">
        <v>0</v>
      </c>
      <c r="BH148" s="16">
        <v>333380</v>
      </c>
      <c r="BI148" s="16">
        <v>277650</v>
      </c>
      <c r="BJ148" s="16">
        <v>65910</v>
      </c>
      <c r="BK148" s="16">
        <v>24200</v>
      </c>
      <c r="BL148" s="16">
        <v>160000</v>
      </c>
      <c r="BM148" s="16">
        <v>50000</v>
      </c>
      <c r="BN148" s="16">
        <v>14000</v>
      </c>
      <c r="BO148" s="16">
        <v>110920</v>
      </c>
      <c r="BP148" s="16">
        <v>0</v>
      </c>
      <c r="BQ148" s="16">
        <v>0</v>
      </c>
      <c r="BR148" s="16">
        <v>0</v>
      </c>
      <c r="BS148" s="16">
        <v>0</v>
      </c>
      <c r="BT148" s="16">
        <v>0</v>
      </c>
      <c r="BU148" s="16">
        <v>0</v>
      </c>
      <c r="BV148" s="16">
        <v>0</v>
      </c>
      <c r="BW148" s="16">
        <v>0</v>
      </c>
    </row>
    <row r="149" spans="1:75" ht="18" hidden="1" customHeight="1" outlineLevel="1">
      <c r="D149" s="7" t="s">
        <v>12</v>
      </c>
      <c r="F149" s="8">
        <v>6867</v>
      </c>
      <c r="G149" s="8">
        <v>6867</v>
      </c>
      <c r="K149" s="8">
        <v>2400</v>
      </c>
      <c r="L149" s="8">
        <f t="shared" si="0"/>
        <v>28800</v>
      </c>
      <c r="M149" s="8">
        <f t="shared" si="1"/>
        <v>32543.999999999996</v>
      </c>
      <c r="N149" s="8">
        <v>21014</v>
      </c>
      <c r="O149" s="9">
        <f t="shared" si="2"/>
        <v>0.64571042281219282</v>
      </c>
      <c r="Q149" s="5">
        <v>2024</v>
      </c>
      <c r="R149" s="5">
        <v>9</v>
      </c>
      <c r="S149" s="14" t="s">
        <v>54</v>
      </c>
      <c r="T149" s="15">
        <f t="shared" si="106"/>
        <v>5808550</v>
      </c>
      <c r="U149" s="15">
        <f t="shared" si="107"/>
        <v>7773340</v>
      </c>
      <c r="V149" s="6">
        <v>4837000</v>
      </c>
      <c r="W149" s="6">
        <v>1806340</v>
      </c>
      <c r="X149" s="16">
        <v>0</v>
      </c>
      <c r="Y149" s="16">
        <v>0</v>
      </c>
      <c r="Z149" s="16">
        <v>0</v>
      </c>
      <c r="AA149" s="16">
        <v>0</v>
      </c>
      <c r="AB149" s="16">
        <v>0</v>
      </c>
      <c r="AC149" s="16">
        <v>0</v>
      </c>
      <c r="AD149" s="16">
        <v>0</v>
      </c>
      <c r="AE149" s="16">
        <v>0</v>
      </c>
      <c r="AF149" s="16">
        <v>350000</v>
      </c>
      <c r="AG149" s="16">
        <v>0</v>
      </c>
      <c r="AH149" s="16">
        <v>100000</v>
      </c>
      <c r="AI149" s="16">
        <v>250000</v>
      </c>
      <c r="AJ149" s="16">
        <v>200000</v>
      </c>
      <c r="AK149" s="16">
        <v>0</v>
      </c>
      <c r="AL149" s="16">
        <v>150000</v>
      </c>
      <c r="AM149" s="16">
        <v>0</v>
      </c>
      <c r="AN149" s="16">
        <v>80000</v>
      </c>
      <c r="AO149" s="16">
        <v>0</v>
      </c>
      <c r="AP149" s="16">
        <v>0</v>
      </c>
      <c r="AQ149" s="16">
        <v>0</v>
      </c>
      <c r="AR149" s="16">
        <v>0</v>
      </c>
      <c r="AS149" s="16">
        <v>0</v>
      </c>
      <c r="AT149" s="16">
        <v>0</v>
      </c>
      <c r="AU149" s="16">
        <v>0</v>
      </c>
      <c r="AV149" s="16">
        <v>0</v>
      </c>
      <c r="AW149" s="16">
        <v>0</v>
      </c>
      <c r="AX149" s="16">
        <v>0</v>
      </c>
      <c r="AY149" s="16">
        <v>0</v>
      </c>
      <c r="AZ149" s="16">
        <v>0</v>
      </c>
      <c r="BA149" s="16"/>
      <c r="BB149" s="15">
        <f t="shared" si="108"/>
        <v>1964790</v>
      </c>
      <c r="BC149" s="16">
        <v>0</v>
      </c>
      <c r="BD149" s="16">
        <v>608080</v>
      </c>
      <c r="BE149" s="16">
        <v>0</v>
      </c>
      <c r="BF149" s="16">
        <v>60800</v>
      </c>
      <c r="BG149" s="16">
        <v>0</v>
      </c>
      <c r="BH149" s="16">
        <v>333380</v>
      </c>
      <c r="BI149" s="16">
        <v>277650</v>
      </c>
      <c r="BJ149" s="16">
        <v>71760</v>
      </c>
      <c r="BK149" s="16">
        <v>24200</v>
      </c>
      <c r="BL149" s="16">
        <v>160000</v>
      </c>
      <c r="BM149" s="16">
        <v>200000</v>
      </c>
      <c r="BN149" s="16">
        <v>14000</v>
      </c>
      <c r="BO149" s="16">
        <v>110920</v>
      </c>
      <c r="BP149" s="16">
        <v>0</v>
      </c>
      <c r="BQ149" s="16">
        <v>0</v>
      </c>
      <c r="BR149" s="16">
        <v>0</v>
      </c>
      <c r="BS149" s="16">
        <v>0</v>
      </c>
      <c r="BT149" s="16">
        <v>104000</v>
      </c>
      <c r="BU149" s="16">
        <v>0</v>
      </c>
      <c r="BV149" s="16">
        <v>0</v>
      </c>
      <c r="BW149" s="16">
        <v>0</v>
      </c>
    </row>
    <row r="150" spans="1:75" ht="18" hidden="1" customHeight="1" outlineLevel="1">
      <c r="B150" s="7">
        <v>2021</v>
      </c>
      <c r="C150" s="8" t="s">
        <v>12</v>
      </c>
      <c r="E150" s="8">
        <v>6867</v>
      </c>
      <c r="J150" s="9"/>
      <c r="Q150" s="5">
        <v>2024</v>
      </c>
      <c r="R150" s="5">
        <v>9</v>
      </c>
      <c r="S150" s="14" t="s">
        <v>2418</v>
      </c>
      <c r="T150" s="15">
        <v>500000</v>
      </c>
      <c r="U150" s="15">
        <f t="shared" ref="U150" si="109">SUM(V150:BA150)</f>
        <v>500000</v>
      </c>
      <c r="V150" s="16">
        <v>0</v>
      </c>
      <c r="W150" s="16">
        <v>0</v>
      </c>
      <c r="X150" s="16">
        <v>0</v>
      </c>
      <c r="Y150" s="16">
        <v>0</v>
      </c>
      <c r="Z150" s="16">
        <v>0</v>
      </c>
      <c r="AA150" s="16">
        <v>0</v>
      </c>
      <c r="AB150" s="16">
        <v>0</v>
      </c>
      <c r="AC150" s="16">
        <v>0</v>
      </c>
      <c r="AD150" s="16">
        <v>0</v>
      </c>
      <c r="AE150" s="16">
        <v>500000</v>
      </c>
      <c r="AF150" s="16">
        <v>0</v>
      </c>
      <c r="AG150" s="16">
        <v>0</v>
      </c>
      <c r="AH150" s="16">
        <v>0</v>
      </c>
      <c r="AI150" s="16">
        <v>0</v>
      </c>
      <c r="AJ150" s="16">
        <v>0</v>
      </c>
      <c r="AK150" s="16">
        <v>0</v>
      </c>
      <c r="AL150" s="16">
        <v>0</v>
      </c>
      <c r="AM150" s="16">
        <v>0</v>
      </c>
      <c r="AN150" s="16">
        <v>0</v>
      </c>
      <c r="AO150" s="16">
        <v>0</v>
      </c>
      <c r="AP150" s="16">
        <v>0</v>
      </c>
      <c r="AQ150" s="16">
        <v>0</v>
      </c>
      <c r="AR150" s="16">
        <v>0</v>
      </c>
      <c r="AS150" s="16">
        <v>0</v>
      </c>
      <c r="AT150" s="16">
        <v>0</v>
      </c>
      <c r="AU150" s="16">
        <v>0</v>
      </c>
      <c r="AV150" s="16">
        <v>0</v>
      </c>
      <c r="AW150" s="16">
        <v>0</v>
      </c>
      <c r="AX150" s="16">
        <v>0</v>
      </c>
      <c r="AY150" s="16">
        <v>0</v>
      </c>
      <c r="AZ150" s="16">
        <v>0</v>
      </c>
      <c r="BA150" s="16"/>
      <c r="BB150" s="15">
        <f t="shared" si="108"/>
        <v>0</v>
      </c>
      <c r="BC150" s="15">
        <v>0</v>
      </c>
      <c r="BD150" s="16">
        <v>0</v>
      </c>
      <c r="BE150" s="16">
        <v>0</v>
      </c>
      <c r="BF150" s="16">
        <v>0</v>
      </c>
      <c r="BG150" s="16">
        <v>0</v>
      </c>
      <c r="BH150" s="16">
        <v>0</v>
      </c>
      <c r="BI150" s="16">
        <v>0</v>
      </c>
      <c r="BJ150" s="16">
        <v>0</v>
      </c>
      <c r="BK150" s="16">
        <v>0</v>
      </c>
      <c r="BL150" s="16">
        <v>0</v>
      </c>
      <c r="BM150" s="16">
        <v>0</v>
      </c>
      <c r="BN150" s="16">
        <v>0</v>
      </c>
      <c r="BO150" s="16">
        <v>0</v>
      </c>
      <c r="BP150" s="16">
        <v>0</v>
      </c>
      <c r="BQ150" s="16">
        <v>0</v>
      </c>
      <c r="BR150" s="16">
        <v>0</v>
      </c>
      <c r="BS150" s="16">
        <v>0</v>
      </c>
      <c r="BT150" s="16">
        <v>0</v>
      </c>
      <c r="BU150" s="16">
        <v>0</v>
      </c>
      <c r="BV150" s="16">
        <v>0</v>
      </c>
      <c r="BW150" s="16">
        <v>0</v>
      </c>
    </row>
    <row r="151" spans="1:75" ht="18" hidden="1" customHeight="1" outlineLevel="1">
      <c r="D151" s="7" t="s">
        <v>13</v>
      </c>
      <c r="F151" s="8">
        <v>7988</v>
      </c>
      <c r="G151" s="8" t="s">
        <v>16</v>
      </c>
      <c r="H151" s="8" t="s">
        <v>17</v>
      </c>
      <c r="I151" s="8">
        <v>171</v>
      </c>
      <c r="K151" s="8">
        <v>2400</v>
      </c>
      <c r="L151" s="8">
        <f t="shared" si="0"/>
        <v>28800</v>
      </c>
      <c r="M151" s="8">
        <f t="shared" si="1"/>
        <v>32543.999999999996</v>
      </c>
      <c r="N151" s="8">
        <v>21014</v>
      </c>
      <c r="O151" s="9">
        <f t="shared" si="2"/>
        <v>0.64571042281219282</v>
      </c>
      <c r="Q151" s="5">
        <v>2024</v>
      </c>
      <c r="R151" s="5">
        <v>8</v>
      </c>
      <c r="S151" s="14" t="s">
        <v>55</v>
      </c>
      <c r="T151" s="15">
        <f t="shared" si="106"/>
        <v>6051950</v>
      </c>
      <c r="U151" s="15">
        <f t="shared" si="107"/>
        <v>7573340</v>
      </c>
      <c r="V151" s="6">
        <v>4837000</v>
      </c>
      <c r="W151" s="6">
        <v>1806340</v>
      </c>
      <c r="X151" s="16">
        <v>0</v>
      </c>
      <c r="Y151" s="16">
        <v>0</v>
      </c>
      <c r="Z151" s="16">
        <v>0</v>
      </c>
      <c r="AA151" s="16">
        <v>0</v>
      </c>
      <c r="AB151" s="16">
        <v>0</v>
      </c>
      <c r="AC151" s="16">
        <v>0</v>
      </c>
      <c r="AD151" s="16">
        <v>0</v>
      </c>
      <c r="AE151" s="16">
        <v>0</v>
      </c>
      <c r="AF151" s="16">
        <v>350000</v>
      </c>
      <c r="AG151" s="16">
        <v>0</v>
      </c>
      <c r="AH151" s="16">
        <v>100000</v>
      </c>
      <c r="AI151" s="16">
        <v>250000</v>
      </c>
      <c r="AJ151" s="16">
        <v>0</v>
      </c>
      <c r="AK151" s="16">
        <v>0</v>
      </c>
      <c r="AL151" s="16">
        <v>150000</v>
      </c>
      <c r="AM151" s="16">
        <v>0</v>
      </c>
      <c r="AN151" s="16">
        <v>80000</v>
      </c>
      <c r="AO151" s="16">
        <v>0</v>
      </c>
      <c r="AP151" s="16">
        <v>0</v>
      </c>
      <c r="AQ151" s="16">
        <v>0</v>
      </c>
      <c r="AR151" s="16">
        <v>0</v>
      </c>
      <c r="AS151" s="16">
        <v>0</v>
      </c>
      <c r="AT151" s="16">
        <v>0</v>
      </c>
      <c r="AU151" s="16">
        <v>0</v>
      </c>
      <c r="AV151" s="16">
        <v>0</v>
      </c>
      <c r="AW151" s="16">
        <v>0</v>
      </c>
      <c r="AX151" s="16">
        <v>0</v>
      </c>
      <c r="AY151" s="16">
        <v>0</v>
      </c>
      <c r="AZ151" s="16">
        <v>0</v>
      </c>
      <c r="BA151" s="16"/>
      <c r="BB151" s="15">
        <f t="shared" si="108"/>
        <v>1521390</v>
      </c>
      <c r="BC151" s="16">
        <v>0</v>
      </c>
      <c r="BD151" s="16">
        <v>489800</v>
      </c>
      <c r="BE151" s="16">
        <v>0</v>
      </c>
      <c r="BF151" s="16">
        <v>48980</v>
      </c>
      <c r="BG151" s="16">
        <v>0</v>
      </c>
      <c r="BH151" s="16">
        <v>333380</v>
      </c>
      <c r="BI151" s="16">
        <v>277650</v>
      </c>
      <c r="BJ151" s="16">
        <v>65460</v>
      </c>
      <c r="BK151" s="16">
        <v>24200</v>
      </c>
      <c r="BL151" s="16">
        <v>160000</v>
      </c>
      <c r="BM151" s="16">
        <v>0</v>
      </c>
      <c r="BN151" s="16">
        <v>11000</v>
      </c>
      <c r="BO151" s="16">
        <v>110920</v>
      </c>
      <c r="BP151" s="16">
        <v>0</v>
      </c>
      <c r="BQ151" s="16">
        <v>0</v>
      </c>
      <c r="BR151" s="16">
        <v>0</v>
      </c>
      <c r="BS151" s="16">
        <v>0</v>
      </c>
      <c r="BT151" s="16">
        <v>0</v>
      </c>
      <c r="BU151" s="16">
        <v>0</v>
      </c>
      <c r="BV151" s="16">
        <v>0</v>
      </c>
      <c r="BW151" s="16">
        <v>0</v>
      </c>
    </row>
    <row r="152" spans="1:75" ht="18" hidden="1" customHeight="1" outlineLevel="1">
      <c r="D152" s="7" t="s">
        <v>13</v>
      </c>
      <c r="F152" s="8">
        <v>7988</v>
      </c>
      <c r="G152" s="8" t="s">
        <v>2</v>
      </c>
      <c r="H152" s="8" t="s">
        <v>17</v>
      </c>
      <c r="I152" s="8">
        <v>171</v>
      </c>
      <c r="K152" s="8">
        <v>2400</v>
      </c>
      <c r="L152" s="8">
        <f t="shared" si="0"/>
        <v>28800</v>
      </c>
      <c r="M152" s="8">
        <f t="shared" si="1"/>
        <v>32543.999999999996</v>
      </c>
      <c r="N152" s="8">
        <v>21014</v>
      </c>
      <c r="O152" s="9">
        <f t="shared" si="2"/>
        <v>0.64571042281219282</v>
      </c>
      <c r="Q152" s="5">
        <v>2024</v>
      </c>
      <c r="R152" s="5">
        <v>7</v>
      </c>
      <c r="S152" s="14" t="s">
        <v>54</v>
      </c>
      <c r="T152" s="15">
        <f t="shared" si="106"/>
        <v>6281700</v>
      </c>
      <c r="U152" s="15">
        <f t="shared" si="107"/>
        <v>7913340</v>
      </c>
      <c r="V152" s="6">
        <v>4837000</v>
      </c>
      <c r="W152" s="6">
        <v>1806340</v>
      </c>
      <c r="X152" s="16">
        <v>0</v>
      </c>
      <c r="Y152" s="16">
        <v>0</v>
      </c>
      <c r="Z152" s="16">
        <v>0</v>
      </c>
      <c r="AA152" s="16">
        <v>0</v>
      </c>
      <c r="AB152" s="16">
        <v>0</v>
      </c>
      <c r="AC152" s="16">
        <v>0</v>
      </c>
      <c r="AD152" s="16">
        <v>0</v>
      </c>
      <c r="AE152" s="16">
        <v>0</v>
      </c>
      <c r="AF152" s="16">
        <v>350000</v>
      </c>
      <c r="AG152" s="16">
        <v>0</v>
      </c>
      <c r="AH152" s="16">
        <v>100000</v>
      </c>
      <c r="AI152" s="16">
        <v>250000</v>
      </c>
      <c r="AJ152" s="16">
        <v>40000</v>
      </c>
      <c r="AK152" s="16">
        <v>300000</v>
      </c>
      <c r="AL152" s="16">
        <v>150000</v>
      </c>
      <c r="AM152" s="16">
        <v>0</v>
      </c>
      <c r="AN152" s="16">
        <v>80000</v>
      </c>
      <c r="AO152" s="16">
        <v>0</v>
      </c>
      <c r="AP152" s="16">
        <v>0</v>
      </c>
      <c r="AQ152" s="16">
        <v>0</v>
      </c>
      <c r="AR152" s="16">
        <v>0</v>
      </c>
      <c r="AS152" s="16">
        <v>0</v>
      </c>
      <c r="AT152" s="16">
        <v>0</v>
      </c>
      <c r="AU152" s="16">
        <v>0</v>
      </c>
      <c r="AV152" s="16">
        <v>0</v>
      </c>
      <c r="AW152" s="16">
        <v>0</v>
      </c>
      <c r="AX152" s="16">
        <v>0</v>
      </c>
      <c r="AY152" s="16">
        <v>0</v>
      </c>
      <c r="AZ152" s="16">
        <v>0</v>
      </c>
      <c r="BA152" s="16"/>
      <c r="BB152" s="15">
        <f t="shared" si="108"/>
        <v>1631640</v>
      </c>
      <c r="BC152" s="16">
        <v>0</v>
      </c>
      <c r="BD152" s="16">
        <v>547250</v>
      </c>
      <c r="BE152" s="16">
        <v>0</v>
      </c>
      <c r="BF152" s="16">
        <v>54720</v>
      </c>
      <c r="BG152" s="16">
        <v>0</v>
      </c>
      <c r="BH152" s="16">
        <v>333380</v>
      </c>
      <c r="BI152" s="16">
        <v>277650</v>
      </c>
      <c r="BJ152" s="16">
        <v>68520</v>
      </c>
      <c r="BK152" s="16">
        <v>24200</v>
      </c>
      <c r="BL152" s="16">
        <v>160000</v>
      </c>
      <c r="BM152" s="16">
        <v>40000</v>
      </c>
      <c r="BN152" s="16">
        <v>15000</v>
      </c>
      <c r="BO152" s="16">
        <v>110920</v>
      </c>
      <c r="BP152" s="16">
        <v>0</v>
      </c>
      <c r="BQ152" s="16">
        <v>0</v>
      </c>
      <c r="BR152" s="16">
        <v>0</v>
      </c>
      <c r="BS152" s="16">
        <v>0</v>
      </c>
      <c r="BT152" s="16">
        <v>0</v>
      </c>
      <c r="BU152" s="16">
        <v>0</v>
      </c>
      <c r="BV152" s="16">
        <v>0</v>
      </c>
      <c r="BW152" s="16">
        <v>0</v>
      </c>
    </row>
    <row r="153" spans="1:75" ht="18" hidden="1" customHeight="1" outlineLevel="1">
      <c r="H153" s="8" t="s">
        <v>18</v>
      </c>
      <c r="I153" s="8">
        <v>122</v>
      </c>
      <c r="J153" s="9"/>
      <c r="Q153" s="5">
        <v>2024</v>
      </c>
      <c r="R153" s="5">
        <v>6</v>
      </c>
      <c r="S153" s="14" t="s">
        <v>55</v>
      </c>
      <c r="T153" s="15">
        <f t="shared" si="106"/>
        <v>5987005</v>
      </c>
      <c r="U153" s="15">
        <f t="shared" si="107"/>
        <v>7958340</v>
      </c>
      <c r="V153" s="6">
        <v>4837000</v>
      </c>
      <c r="W153" s="6">
        <v>1806340</v>
      </c>
      <c r="X153" s="16">
        <v>0</v>
      </c>
      <c r="Y153" s="16">
        <v>0</v>
      </c>
      <c r="Z153" s="16">
        <v>0</v>
      </c>
      <c r="AA153" s="16">
        <v>0</v>
      </c>
      <c r="AB153" s="16">
        <v>0</v>
      </c>
      <c r="AC153" s="16">
        <v>0</v>
      </c>
      <c r="AD153" s="16">
        <v>0</v>
      </c>
      <c r="AE153" s="16">
        <v>0</v>
      </c>
      <c r="AF153" s="16">
        <v>350000</v>
      </c>
      <c r="AG153" s="16">
        <v>0</v>
      </c>
      <c r="AH153" s="16">
        <v>100000</v>
      </c>
      <c r="AI153" s="16">
        <v>250000</v>
      </c>
      <c r="AJ153" s="16">
        <v>85000</v>
      </c>
      <c r="AK153" s="16">
        <v>0</v>
      </c>
      <c r="AL153" s="16">
        <v>150000</v>
      </c>
      <c r="AM153" s="16">
        <v>0</v>
      </c>
      <c r="AN153" s="16">
        <v>80000</v>
      </c>
      <c r="AO153" s="16">
        <v>0</v>
      </c>
      <c r="AP153" s="16">
        <v>0</v>
      </c>
      <c r="AQ153" s="16">
        <v>0</v>
      </c>
      <c r="AR153" s="16">
        <v>0</v>
      </c>
      <c r="AS153" s="16">
        <v>0</v>
      </c>
      <c r="AT153" s="16">
        <v>0</v>
      </c>
      <c r="AU153" s="16">
        <v>300000</v>
      </c>
      <c r="AV153" s="16">
        <v>0</v>
      </c>
      <c r="AW153" s="16">
        <v>0</v>
      </c>
      <c r="AX153" s="16">
        <v>0</v>
      </c>
      <c r="AY153" s="16">
        <v>0</v>
      </c>
      <c r="AZ153" s="16">
        <v>0</v>
      </c>
      <c r="BA153" s="16"/>
      <c r="BB153" s="15">
        <f t="shared" si="108"/>
        <v>1971335</v>
      </c>
      <c r="BC153" s="16">
        <v>0</v>
      </c>
      <c r="BD153" s="16">
        <v>554010</v>
      </c>
      <c r="BE153" s="16">
        <v>0</v>
      </c>
      <c r="BF153" s="16">
        <v>55400</v>
      </c>
      <c r="BG153" s="16">
        <v>0</v>
      </c>
      <c r="BH153" s="16">
        <v>333380</v>
      </c>
      <c r="BI153" s="16">
        <v>265500</v>
      </c>
      <c r="BJ153" s="16">
        <v>68925</v>
      </c>
      <c r="BK153" s="16">
        <v>24200</v>
      </c>
      <c r="BL153" s="16">
        <v>160000</v>
      </c>
      <c r="BM153" s="16">
        <v>85000</v>
      </c>
      <c r="BN153" s="16">
        <v>14000</v>
      </c>
      <c r="BO153" s="16">
        <v>110920</v>
      </c>
      <c r="BP153" s="16">
        <v>0</v>
      </c>
      <c r="BQ153" s="16">
        <v>0</v>
      </c>
      <c r="BR153" s="16">
        <v>0</v>
      </c>
      <c r="BS153" s="16">
        <v>0</v>
      </c>
      <c r="BT153" s="16">
        <v>0</v>
      </c>
      <c r="BU153" s="16">
        <v>300000</v>
      </c>
      <c r="BV153" s="16">
        <v>0</v>
      </c>
      <c r="BW153" s="16">
        <v>0</v>
      </c>
    </row>
    <row r="154" spans="1:75" ht="18" hidden="1" customHeight="1" outlineLevel="1">
      <c r="J154" s="9"/>
      <c r="Q154" s="5">
        <v>2024</v>
      </c>
      <c r="R154" s="5">
        <v>5</v>
      </c>
      <c r="S154" s="14" t="s">
        <v>55</v>
      </c>
      <c r="T154" s="15">
        <f t="shared" si="106"/>
        <v>6674414</v>
      </c>
      <c r="U154" s="15">
        <f t="shared" si="107"/>
        <v>8657340</v>
      </c>
      <c r="V154" s="6">
        <v>4837000</v>
      </c>
      <c r="W154" s="6">
        <v>1806340</v>
      </c>
      <c r="X154" s="16">
        <v>0</v>
      </c>
      <c r="Y154" s="16">
        <v>0</v>
      </c>
      <c r="Z154" s="16">
        <v>0</v>
      </c>
      <c r="AA154" s="16">
        <v>0</v>
      </c>
      <c r="AB154" s="16">
        <v>0</v>
      </c>
      <c r="AC154" s="16">
        <v>849000</v>
      </c>
      <c r="AD154" s="16">
        <v>0</v>
      </c>
      <c r="AE154" s="16">
        <v>0</v>
      </c>
      <c r="AF154" s="16">
        <v>350000</v>
      </c>
      <c r="AG154" s="16">
        <v>0</v>
      </c>
      <c r="AH154" s="16">
        <v>100000</v>
      </c>
      <c r="AI154" s="16">
        <v>250000</v>
      </c>
      <c r="AJ154" s="16">
        <v>235000</v>
      </c>
      <c r="AK154" s="16">
        <v>0</v>
      </c>
      <c r="AL154" s="16">
        <v>150000</v>
      </c>
      <c r="AM154" s="16">
        <v>0</v>
      </c>
      <c r="AN154" s="16">
        <v>80000</v>
      </c>
      <c r="AO154" s="16">
        <v>0</v>
      </c>
      <c r="AP154" s="16">
        <v>0</v>
      </c>
      <c r="AQ154" s="16">
        <v>0</v>
      </c>
      <c r="AR154" s="16">
        <v>0</v>
      </c>
      <c r="AS154" s="16">
        <v>0</v>
      </c>
      <c r="AT154" s="16">
        <v>0</v>
      </c>
      <c r="AU154" s="16">
        <v>0</v>
      </c>
      <c r="AV154" s="16">
        <v>0</v>
      </c>
      <c r="AW154" s="16">
        <v>0</v>
      </c>
      <c r="AX154" s="16">
        <v>0</v>
      </c>
      <c r="AY154" s="16">
        <v>0</v>
      </c>
      <c r="AZ154" s="16">
        <v>0</v>
      </c>
      <c r="BA154" s="16"/>
      <c r="BB154" s="15">
        <f t="shared" si="108"/>
        <v>1982926</v>
      </c>
      <c r="BC154" s="15">
        <v>0</v>
      </c>
      <c r="BD154" s="16">
        <v>672380</v>
      </c>
      <c r="BE154" s="16">
        <v>0</v>
      </c>
      <c r="BF154" s="16">
        <v>67230</v>
      </c>
      <c r="BG154" s="16">
        <v>0</v>
      </c>
      <c r="BH154" s="16">
        <v>333380</v>
      </c>
      <c r="BI154" s="16">
        <v>265500</v>
      </c>
      <c r="BJ154" s="16">
        <v>75216</v>
      </c>
      <c r="BK154" s="16">
        <v>27300</v>
      </c>
      <c r="BL154" s="16">
        <v>160000</v>
      </c>
      <c r="BM154" s="16">
        <v>235000</v>
      </c>
      <c r="BN154" s="16">
        <v>36000</v>
      </c>
      <c r="BO154" s="16">
        <v>110920</v>
      </c>
      <c r="BP154" s="16">
        <v>0</v>
      </c>
      <c r="BQ154" s="16">
        <v>0</v>
      </c>
      <c r="BR154" s="16">
        <v>0</v>
      </c>
      <c r="BS154" s="16">
        <v>0</v>
      </c>
      <c r="BT154" s="16">
        <v>0</v>
      </c>
      <c r="BU154" s="16">
        <v>0</v>
      </c>
      <c r="BV154" s="16">
        <v>0</v>
      </c>
      <c r="BW154" s="16">
        <v>0</v>
      </c>
    </row>
    <row r="155" spans="1:75" ht="18" hidden="1" customHeight="1" outlineLevel="1">
      <c r="B155" s="7">
        <v>2021</v>
      </c>
      <c r="C155" s="8" t="s">
        <v>12</v>
      </c>
      <c r="E155" s="8">
        <v>6867</v>
      </c>
      <c r="J155" s="9"/>
      <c r="Q155" s="5">
        <v>2024</v>
      </c>
      <c r="R155" s="5">
        <v>4</v>
      </c>
      <c r="S155" s="14" t="s">
        <v>28</v>
      </c>
      <c r="T155" s="15">
        <f t="shared" si="106"/>
        <v>6805387</v>
      </c>
      <c r="U155" s="15">
        <f t="shared" si="107"/>
        <v>8136283</v>
      </c>
      <c r="V155" s="16">
        <v>0</v>
      </c>
      <c r="W155" s="16">
        <v>0</v>
      </c>
      <c r="X155" s="16">
        <v>0</v>
      </c>
      <c r="Y155" s="16">
        <v>0</v>
      </c>
      <c r="Z155" s="16">
        <v>0</v>
      </c>
      <c r="AA155" s="16">
        <v>0</v>
      </c>
      <c r="AB155" s="16">
        <v>0</v>
      </c>
      <c r="AC155" s="16">
        <v>0</v>
      </c>
      <c r="AD155" s="16">
        <v>7136283</v>
      </c>
      <c r="AE155" s="16">
        <v>1000000</v>
      </c>
      <c r="AF155" s="16">
        <v>0</v>
      </c>
      <c r="AG155" s="16">
        <v>0</v>
      </c>
      <c r="AH155" s="16">
        <v>0</v>
      </c>
      <c r="AI155" s="16">
        <v>0</v>
      </c>
      <c r="AJ155" s="16">
        <v>0</v>
      </c>
      <c r="AK155" s="16">
        <v>0</v>
      </c>
      <c r="AL155" s="16">
        <v>0</v>
      </c>
      <c r="AM155" s="16">
        <v>0</v>
      </c>
      <c r="AN155" s="16">
        <v>0</v>
      </c>
      <c r="AO155" s="16">
        <v>0</v>
      </c>
      <c r="AP155" s="16">
        <v>0</v>
      </c>
      <c r="AQ155" s="16">
        <v>0</v>
      </c>
      <c r="AR155" s="16">
        <v>0</v>
      </c>
      <c r="AS155" s="16">
        <v>0</v>
      </c>
      <c r="AT155" s="16">
        <v>0</v>
      </c>
      <c r="AU155" s="16">
        <v>0</v>
      </c>
      <c r="AV155" s="16">
        <v>0</v>
      </c>
      <c r="AW155" s="16">
        <v>0</v>
      </c>
      <c r="AX155" s="16">
        <v>0</v>
      </c>
      <c r="AY155" s="16">
        <v>0</v>
      </c>
      <c r="AZ155" s="16">
        <v>0</v>
      </c>
      <c r="BA155" s="16"/>
      <c r="BB155" s="15">
        <f t="shared" si="108"/>
        <v>1330896</v>
      </c>
      <c r="BC155" s="15">
        <v>0</v>
      </c>
      <c r="BD155" s="16">
        <v>1143340</v>
      </c>
      <c r="BE155" s="16">
        <v>0</v>
      </c>
      <c r="BF155" s="16">
        <v>114330</v>
      </c>
      <c r="BG155" s="16">
        <v>0</v>
      </c>
      <c r="BH155" s="16">
        <v>0</v>
      </c>
      <c r="BI155" s="16">
        <v>0</v>
      </c>
      <c r="BJ155" s="16">
        <v>73226</v>
      </c>
      <c r="BK155" s="16">
        <v>0</v>
      </c>
      <c r="BL155" s="16">
        <v>0</v>
      </c>
      <c r="BM155" s="16">
        <v>0</v>
      </c>
      <c r="BN155" s="16">
        <v>0</v>
      </c>
      <c r="BO155" s="16">
        <v>0</v>
      </c>
      <c r="BP155" s="16">
        <v>0</v>
      </c>
      <c r="BQ155" s="16">
        <v>0</v>
      </c>
      <c r="BR155" s="16">
        <v>0</v>
      </c>
      <c r="BS155" s="16">
        <v>0</v>
      </c>
      <c r="BT155" s="16">
        <v>0</v>
      </c>
      <c r="BU155" s="16">
        <v>0</v>
      </c>
      <c r="BV155" s="16">
        <v>0</v>
      </c>
      <c r="BW155" s="16">
        <v>0</v>
      </c>
    </row>
    <row r="156" spans="1:75" ht="18" hidden="1" customHeight="1" outlineLevel="1">
      <c r="B156" s="7">
        <v>2021</v>
      </c>
      <c r="C156" s="8" t="s">
        <v>12</v>
      </c>
      <c r="E156" s="8">
        <v>6867</v>
      </c>
      <c r="J156" s="9"/>
      <c r="Q156" s="5">
        <v>2024</v>
      </c>
      <c r="R156" s="5">
        <v>4</v>
      </c>
      <c r="S156" s="14" t="s">
        <v>54</v>
      </c>
      <c r="T156" s="15">
        <f t="shared" ref="T156" si="110">IF(U156=U156-BB156,0,U156-BB156)</f>
        <v>5832171</v>
      </c>
      <c r="U156" s="15">
        <f t="shared" ref="U156" si="111">SUM(V156:BA156)</f>
        <v>7311090</v>
      </c>
      <c r="V156" s="6">
        <v>4683000</v>
      </c>
      <c r="W156" s="6">
        <v>1748090</v>
      </c>
      <c r="X156" s="16">
        <v>0</v>
      </c>
      <c r="Y156" s="16">
        <v>0</v>
      </c>
      <c r="Z156" s="16">
        <v>0</v>
      </c>
      <c r="AA156" s="16">
        <v>0</v>
      </c>
      <c r="AB156" s="16">
        <v>0</v>
      </c>
      <c r="AC156" s="16">
        <v>0</v>
      </c>
      <c r="AD156" s="16">
        <v>0</v>
      </c>
      <c r="AE156" s="16">
        <v>0</v>
      </c>
      <c r="AF156" s="16">
        <v>350000</v>
      </c>
      <c r="AG156" s="16">
        <v>0</v>
      </c>
      <c r="AH156" s="16">
        <v>100000</v>
      </c>
      <c r="AI156" s="16">
        <v>250000</v>
      </c>
      <c r="AJ156" s="16">
        <v>0</v>
      </c>
      <c r="AK156" s="16">
        <v>0</v>
      </c>
      <c r="AL156" s="16">
        <v>100000</v>
      </c>
      <c r="AM156" s="16">
        <v>0</v>
      </c>
      <c r="AN156" s="16">
        <v>80000</v>
      </c>
      <c r="AO156" s="16">
        <v>0</v>
      </c>
      <c r="AP156" s="16">
        <v>0</v>
      </c>
      <c r="AQ156" s="16">
        <v>0</v>
      </c>
      <c r="AR156" s="16">
        <v>0</v>
      </c>
      <c r="AS156" s="16">
        <v>0</v>
      </c>
      <c r="AT156" s="16">
        <v>0</v>
      </c>
      <c r="AU156" s="16">
        <v>0</v>
      </c>
      <c r="AV156" s="16">
        <v>0</v>
      </c>
      <c r="AW156" s="16">
        <v>0</v>
      </c>
      <c r="AX156" s="16">
        <v>0</v>
      </c>
      <c r="AY156" s="16">
        <v>0</v>
      </c>
      <c r="AZ156" s="16">
        <v>0</v>
      </c>
      <c r="BA156" s="16"/>
      <c r="BB156" s="15">
        <f t="shared" si="108"/>
        <v>1478919</v>
      </c>
      <c r="BC156" s="15">
        <v>0</v>
      </c>
      <c r="BD156" s="16">
        <v>445880</v>
      </c>
      <c r="BE156" s="16">
        <v>0</v>
      </c>
      <c r="BF156" s="16">
        <v>44580</v>
      </c>
      <c r="BG156" s="16">
        <v>0</v>
      </c>
      <c r="BH156" s="16">
        <v>333380</v>
      </c>
      <c r="BI156" s="16">
        <v>265500</v>
      </c>
      <c r="BJ156" s="16">
        <v>63099</v>
      </c>
      <c r="BK156" s="16">
        <v>23500</v>
      </c>
      <c r="BL156" s="16">
        <v>160000</v>
      </c>
      <c r="BM156" s="16">
        <v>0</v>
      </c>
      <c r="BN156" s="16">
        <v>32000</v>
      </c>
      <c r="BO156" s="16">
        <v>110980</v>
      </c>
      <c r="BP156" s="16">
        <v>0</v>
      </c>
      <c r="BQ156" s="16">
        <v>0</v>
      </c>
      <c r="BR156" s="16">
        <v>0</v>
      </c>
      <c r="BS156" s="16">
        <v>0</v>
      </c>
      <c r="BT156" s="16">
        <v>0</v>
      </c>
      <c r="BU156" s="16">
        <v>0</v>
      </c>
      <c r="BV156" s="16">
        <v>0</v>
      </c>
      <c r="BW156" s="16">
        <v>0</v>
      </c>
    </row>
    <row r="157" spans="1:75" ht="18" hidden="1" customHeight="1" outlineLevel="1">
      <c r="B157" s="7">
        <v>2022</v>
      </c>
      <c r="C157" s="8" t="s">
        <v>12</v>
      </c>
      <c r="E157" s="8">
        <v>6867</v>
      </c>
      <c r="J157" s="9"/>
      <c r="Q157" s="5">
        <v>2024</v>
      </c>
      <c r="R157" s="5">
        <v>3</v>
      </c>
      <c r="S157" s="14" t="s">
        <v>54</v>
      </c>
      <c r="T157" s="15">
        <f t="shared" si="106"/>
        <v>6058871</v>
      </c>
      <c r="U157" s="15">
        <f t="shared" si="107"/>
        <v>7351090</v>
      </c>
      <c r="V157" s="6">
        <v>4683000</v>
      </c>
      <c r="W157" s="6">
        <v>1748090</v>
      </c>
      <c r="X157" s="16">
        <v>0</v>
      </c>
      <c r="Y157" s="16">
        <v>0</v>
      </c>
      <c r="Z157" s="16">
        <v>0</v>
      </c>
      <c r="AA157" s="16">
        <v>0</v>
      </c>
      <c r="AB157" s="16">
        <v>0</v>
      </c>
      <c r="AC157" s="16">
        <v>0</v>
      </c>
      <c r="AD157" s="16">
        <v>0</v>
      </c>
      <c r="AE157" s="16">
        <v>0</v>
      </c>
      <c r="AF157" s="16">
        <v>350000</v>
      </c>
      <c r="AG157" s="16">
        <v>0</v>
      </c>
      <c r="AH157" s="16">
        <v>100000</v>
      </c>
      <c r="AI157" s="16">
        <v>250000</v>
      </c>
      <c r="AJ157" s="16">
        <v>0</v>
      </c>
      <c r="AK157" s="16">
        <v>0</v>
      </c>
      <c r="AL157" s="16">
        <v>100000</v>
      </c>
      <c r="AM157" s="16">
        <v>0</v>
      </c>
      <c r="AN157" s="16">
        <v>80000</v>
      </c>
      <c r="AO157" s="16">
        <v>0</v>
      </c>
      <c r="AP157" s="16">
        <v>0</v>
      </c>
      <c r="AQ157" s="16">
        <v>40000</v>
      </c>
      <c r="AR157" s="16">
        <v>0</v>
      </c>
      <c r="AS157" s="16">
        <v>0</v>
      </c>
      <c r="AT157" s="16">
        <v>0</v>
      </c>
      <c r="AU157" s="16">
        <v>0</v>
      </c>
      <c r="AV157" s="16">
        <v>0</v>
      </c>
      <c r="AW157" s="16">
        <v>0</v>
      </c>
      <c r="AX157" s="16">
        <v>0</v>
      </c>
      <c r="AY157" s="16">
        <v>0</v>
      </c>
      <c r="AZ157" s="16">
        <v>0</v>
      </c>
      <c r="BA157" s="16"/>
      <c r="BB157" s="15">
        <f t="shared" si="108"/>
        <v>1292219</v>
      </c>
      <c r="BC157" s="15">
        <v>0</v>
      </c>
      <c r="BD157" s="16">
        <v>452640</v>
      </c>
      <c r="BE157" s="16">
        <v>0</v>
      </c>
      <c r="BF157" s="16">
        <v>45260</v>
      </c>
      <c r="BG157" s="16">
        <v>0</v>
      </c>
      <c r="BH157" s="16">
        <v>253860</v>
      </c>
      <c r="BI157" s="16">
        <v>265500</v>
      </c>
      <c r="BJ157" s="16">
        <v>63459</v>
      </c>
      <c r="BK157" s="16">
        <v>23500</v>
      </c>
      <c r="BL157" s="16">
        <v>160000</v>
      </c>
      <c r="BM157" s="16">
        <v>0</v>
      </c>
      <c r="BN157" s="16">
        <v>28000</v>
      </c>
      <c r="BO157" s="16">
        <v>0</v>
      </c>
      <c r="BP157" s="16">
        <v>0</v>
      </c>
      <c r="BQ157" s="16">
        <v>0</v>
      </c>
      <c r="BR157" s="16">
        <v>0</v>
      </c>
      <c r="BS157" s="16">
        <v>0</v>
      </c>
      <c r="BT157" s="16">
        <v>0</v>
      </c>
      <c r="BU157" s="16">
        <v>0</v>
      </c>
      <c r="BV157" s="16">
        <v>0</v>
      </c>
      <c r="BW157" s="16">
        <v>0</v>
      </c>
    </row>
    <row r="158" spans="1:75" ht="18" hidden="1" customHeight="1" outlineLevel="1">
      <c r="B158" s="7">
        <v>2023</v>
      </c>
      <c r="C158" s="8" t="s">
        <v>19</v>
      </c>
      <c r="E158" s="8">
        <v>6867</v>
      </c>
      <c r="J158" s="9"/>
      <c r="Q158" s="5">
        <v>2024</v>
      </c>
      <c r="R158" s="5">
        <v>2</v>
      </c>
      <c r="S158" s="14" t="s">
        <v>54</v>
      </c>
      <c r="T158" s="15">
        <f t="shared" si="106"/>
        <v>7253681</v>
      </c>
      <c r="U158" s="15">
        <f t="shared" si="107"/>
        <v>7661090</v>
      </c>
      <c r="V158" s="6">
        <v>4683000</v>
      </c>
      <c r="W158" s="6">
        <v>1748090</v>
      </c>
      <c r="X158" s="16">
        <v>0</v>
      </c>
      <c r="Y158" s="16">
        <v>0</v>
      </c>
      <c r="Z158" s="16">
        <v>0</v>
      </c>
      <c r="AA158" s="16">
        <v>0</v>
      </c>
      <c r="AB158" s="16">
        <v>0</v>
      </c>
      <c r="AC158" s="16">
        <v>0</v>
      </c>
      <c r="AD158" s="16">
        <v>0</v>
      </c>
      <c r="AE158" s="16">
        <v>0</v>
      </c>
      <c r="AF158" s="16">
        <v>350000</v>
      </c>
      <c r="AG158" s="16">
        <v>0</v>
      </c>
      <c r="AH158" s="16">
        <v>100000</v>
      </c>
      <c r="AI158" s="16">
        <v>250000</v>
      </c>
      <c r="AJ158" s="16">
        <v>350000</v>
      </c>
      <c r="AK158" s="16">
        <v>0</v>
      </c>
      <c r="AL158" s="16">
        <v>100000</v>
      </c>
      <c r="AM158" s="16">
        <v>0</v>
      </c>
      <c r="AN158" s="16">
        <v>80000</v>
      </c>
      <c r="AO158" s="16">
        <v>0</v>
      </c>
      <c r="AP158" s="16">
        <v>0</v>
      </c>
      <c r="AQ158" s="16">
        <v>0</v>
      </c>
      <c r="AR158" s="16">
        <v>0</v>
      </c>
      <c r="AS158" s="16">
        <v>0</v>
      </c>
      <c r="AT158" s="16">
        <v>0</v>
      </c>
      <c r="AU158" s="16">
        <v>0</v>
      </c>
      <c r="AV158" s="16">
        <v>0</v>
      </c>
      <c r="AW158" s="16">
        <v>0</v>
      </c>
      <c r="AX158" s="16">
        <v>0</v>
      </c>
      <c r="AY158" s="16">
        <v>0</v>
      </c>
      <c r="AZ158" s="16">
        <v>0</v>
      </c>
      <c r="BA158" s="16"/>
      <c r="BB158" s="15">
        <f t="shared" si="108"/>
        <v>407409</v>
      </c>
      <c r="BC158" s="15">
        <v>-1413340</v>
      </c>
      <c r="BD158" s="16">
        <v>612400</v>
      </c>
      <c r="BE158" s="16">
        <v>0</v>
      </c>
      <c r="BF158" s="16">
        <v>61240</v>
      </c>
      <c r="BG158" s="16">
        <v>0</v>
      </c>
      <c r="BH158" s="16">
        <v>253860</v>
      </c>
      <c r="BI158" s="16">
        <v>265500</v>
      </c>
      <c r="BJ158" s="16">
        <v>66249</v>
      </c>
      <c r="BK158" s="16">
        <v>23500</v>
      </c>
      <c r="BL158" s="16">
        <v>160000</v>
      </c>
      <c r="BM158" s="16">
        <v>350000</v>
      </c>
      <c r="BN158" s="16">
        <v>28000</v>
      </c>
      <c r="BO158" s="16">
        <v>0</v>
      </c>
      <c r="BP158" s="16">
        <v>0</v>
      </c>
      <c r="BQ158" s="16">
        <v>0</v>
      </c>
      <c r="BR158" s="16">
        <v>0</v>
      </c>
      <c r="BS158" s="16">
        <v>0</v>
      </c>
      <c r="BT158" s="16">
        <v>0</v>
      </c>
      <c r="BU158" s="16">
        <v>0</v>
      </c>
      <c r="BV158" s="16">
        <v>0</v>
      </c>
      <c r="BW158" s="16">
        <v>0</v>
      </c>
    </row>
    <row r="159" spans="1:75" ht="18" hidden="1" customHeight="1" outlineLevel="1">
      <c r="B159" s="7">
        <v>2024</v>
      </c>
      <c r="C159" s="8" t="s">
        <v>20</v>
      </c>
      <c r="E159" s="8">
        <v>6867</v>
      </c>
      <c r="J159" s="9"/>
      <c r="Q159" s="5">
        <v>2024</v>
      </c>
      <c r="R159" s="5">
        <v>1</v>
      </c>
      <c r="S159" s="14" t="s">
        <v>55</v>
      </c>
      <c r="T159" s="15">
        <f t="shared" si="106"/>
        <v>6119996</v>
      </c>
      <c r="U159" s="15">
        <f t="shared" si="107"/>
        <v>9972740</v>
      </c>
      <c r="V159" s="6">
        <v>4683000</v>
      </c>
      <c r="W159" s="6">
        <v>1748090</v>
      </c>
      <c r="X159" s="16">
        <v>0</v>
      </c>
      <c r="Y159" s="16">
        <v>0</v>
      </c>
      <c r="Z159" s="16">
        <v>0</v>
      </c>
      <c r="AA159" s="16">
        <v>0</v>
      </c>
      <c r="AB159" s="16">
        <v>0</v>
      </c>
      <c r="AC159" s="16">
        <v>0</v>
      </c>
      <c r="AD159" s="16">
        <v>0</v>
      </c>
      <c r="AE159" s="16">
        <v>0</v>
      </c>
      <c r="AF159" s="16">
        <v>350000</v>
      </c>
      <c r="AG159" s="16">
        <v>0</v>
      </c>
      <c r="AH159" s="16">
        <v>100000</v>
      </c>
      <c r="AI159" s="16">
        <v>250000</v>
      </c>
      <c r="AJ159" s="16">
        <v>0</v>
      </c>
      <c r="AK159" s="16">
        <v>0</v>
      </c>
      <c r="AL159" s="16">
        <v>100000</v>
      </c>
      <c r="AM159" s="16">
        <v>0</v>
      </c>
      <c r="AN159" s="16">
        <v>80000</v>
      </c>
      <c r="AO159" s="16">
        <v>0</v>
      </c>
      <c r="AP159" s="16">
        <v>0</v>
      </c>
      <c r="AQ159" s="16">
        <v>0</v>
      </c>
      <c r="AR159" s="16">
        <v>0</v>
      </c>
      <c r="AS159" s="16">
        <v>0</v>
      </c>
      <c r="AT159" s="16">
        <v>0</v>
      </c>
      <c r="AU159" s="16">
        <v>0</v>
      </c>
      <c r="AV159" s="16">
        <v>0</v>
      </c>
      <c r="AW159" s="16">
        <v>1887650</v>
      </c>
      <c r="AX159" s="16">
        <v>300000</v>
      </c>
      <c r="AY159" s="16">
        <v>474000</v>
      </c>
      <c r="AZ159" s="16">
        <v>0</v>
      </c>
      <c r="BA159" s="16"/>
      <c r="BB159" s="15">
        <f t="shared" si="108"/>
        <v>3852744</v>
      </c>
      <c r="BC159" s="15">
        <v>0</v>
      </c>
      <c r="BD159" s="16">
        <v>1055620</v>
      </c>
      <c r="BE159" s="16">
        <v>0</v>
      </c>
      <c r="BF159" s="16">
        <v>105560</v>
      </c>
      <c r="BG159" s="16">
        <v>0</v>
      </c>
      <c r="BH159" s="16">
        <v>253860</v>
      </c>
      <c r="BI159" s="16">
        <v>265500</v>
      </c>
      <c r="BJ159" s="16">
        <v>87054</v>
      </c>
      <c r="BK159" s="16">
        <v>23500</v>
      </c>
      <c r="BL159" s="16">
        <v>160000</v>
      </c>
      <c r="BM159" s="16">
        <v>0</v>
      </c>
      <c r="BN159" s="16">
        <v>14000</v>
      </c>
      <c r="BO159" s="16">
        <v>0</v>
      </c>
      <c r="BP159" s="16">
        <v>0</v>
      </c>
      <c r="BQ159" s="16">
        <v>0</v>
      </c>
      <c r="BR159" s="16">
        <v>0</v>
      </c>
      <c r="BS159" s="16">
        <v>0</v>
      </c>
      <c r="BT159" s="16">
        <v>0</v>
      </c>
      <c r="BU159" s="16">
        <v>0</v>
      </c>
      <c r="BV159" s="16">
        <v>1887650</v>
      </c>
      <c r="BW159" s="16">
        <v>0</v>
      </c>
    </row>
    <row r="160" spans="1:75" s="1" customFormat="1" ht="18" customHeight="1" collapsed="1">
      <c r="A160" s="10"/>
      <c r="B160" s="11"/>
      <c r="C160" s="12"/>
      <c r="D160" s="11"/>
      <c r="E160" s="12"/>
      <c r="F160" s="12"/>
      <c r="G160" s="12"/>
      <c r="H160" s="12"/>
      <c r="I160" s="12"/>
      <c r="J160" s="3"/>
      <c r="K160" s="12"/>
      <c r="L160" s="12"/>
      <c r="M160" s="12"/>
      <c r="N160" s="12"/>
      <c r="O160" s="13"/>
      <c r="Q160" s="667" t="s">
        <v>176</v>
      </c>
      <c r="R160" s="667"/>
      <c r="S160" s="667"/>
      <c r="T160" s="23">
        <f t="shared" ref="T160:AZ160" si="112">SUMIF($Q$2:$Q$793,$Q161,T$2:T$793)</f>
        <v>82047396</v>
      </c>
      <c r="U160" s="23">
        <f t="shared" si="112"/>
        <v>103514829</v>
      </c>
      <c r="V160" s="23">
        <f t="shared" si="112"/>
        <v>55590000</v>
      </c>
      <c r="W160" s="23">
        <f t="shared" si="112"/>
        <v>20752080</v>
      </c>
      <c r="X160" s="23">
        <f t="shared" si="112"/>
        <v>0</v>
      </c>
      <c r="Y160" s="23">
        <f t="shared" si="112"/>
        <v>0</v>
      </c>
      <c r="Z160" s="23">
        <f t="shared" si="112"/>
        <v>0</v>
      </c>
      <c r="AA160" s="23">
        <f t="shared" si="112"/>
        <v>0</v>
      </c>
      <c r="AB160" s="23">
        <f t="shared" si="112"/>
        <v>0</v>
      </c>
      <c r="AC160" s="23">
        <f t="shared" si="112"/>
        <v>831000</v>
      </c>
      <c r="AD160" s="23">
        <f t="shared" si="112"/>
        <v>7458749</v>
      </c>
      <c r="AE160" s="23">
        <f t="shared" si="112"/>
        <v>1500000</v>
      </c>
      <c r="AF160" s="23">
        <f t="shared" si="112"/>
        <v>4200000</v>
      </c>
      <c r="AG160" s="23">
        <f t="shared" si="112"/>
        <v>0</v>
      </c>
      <c r="AH160" s="23">
        <f t="shared" si="112"/>
        <v>1200000</v>
      </c>
      <c r="AI160" s="23">
        <f t="shared" si="112"/>
        <v>2880000</v>
      </c>
      <c r="AJ160" s="23">
        <f t="shared" si="112"/>
        <v>830000</v>
      </c>
      <c r="AK160" s="23">
        <f t="shared" si="112"/>
        <v>300000</v>
      </c>
      <c r="AL160" s="23">
        <f t="shared" si="112"/>
        <v>1200000</v>
      </c>
      <c r="AM160" s="23">
        <f t="shared" si="112"/>
        <v>0</v>
      </c>
      <c r="AN160" s="23">
        <f t="shared" si="112"/>
        <v>960000</v>
      </c>
      <c r="AO160" s="23">
        <f t="shared" si="112"/>
        <v>0</v>
      </c>
      <c r="AP160" s="23">
        <f t="shared" si="112"/>
        <v>0</v>
      </c>
      <c r="AQ160" s="23">
        <f t="shared" si="112"/>
        <v>0</v>
      </c>
      <c r="AR160" s="23">
        <f t="shared" si="112"/>
        <v>0</v>
      </c>
      <c r="AS160" s="23">
        <f t="shared" si="112"/>
        <v>0</v>
      </c>
      <c r="AT160" s="23">
        <f t="shared" si="112"/>
        <v>0</v>
      </c>
      <c r="AU160" s="23">
        <f t="shared" si="112"/>
        <v>300000</v>
      </c>
      <c r="AV160" s="23">
        <f t="shared" si="112"/>
        <v>5513000</v>
      </c>
      <c r="AW160" s="23">
        <f t="shared" si="112"/>
        <v>0</v>
      </c>
      <c r="AX160" s="23">
        <f t="shared" si="112"/>
        <v>0</v>
      </c>
      <c r="AY160" s="23">
        <f t="shared" si="112"/>
        <v>0</v>
      </c>
      <c r="AZ160" s="23">
        <f t="shared" si="112"/>
        <v>0</v>
      </c>
      <c r="BA160" s="23"/>
      <c r="BB160" s="23">
        <f t="shared" ref="BB160:BW160" si="113">SUMIF($Q$2:$Q$793,$Q161,BB$2:BB$793)</f>
        <v>21467433</v>
      </c>
      <c r="BC160" s="23">
        <f t="shared" si="113"/>
        <v>-577720</v>
      </c>
      <c r="BD160" s="23">
        <f t="shared" si="113"/>
        <v>9881200</v>
      </c>
      <c r="BE160" s="23">
        <f t="shared" si="113"/>
        <v>0</v>
      </c>
      <c r="BF160" s="23">
        <f t="shared" si="113"/>
        <v>987970</v>
      </c>
      <c r="BG160" s="23">
        <f t="shared" si="113"/>
        <v>0</v>
      </c>
      <c r="BH160" s="23">
        <f t="shared" si="113"/>
        <v>2997180</v>
      </c>
      <c r="BI160" s="23">
        <f t="shared" si="113"/>
        <v>3086100</v>
      </c>
      <c r="BJ160" s="23">
        <f t="shared" si="113"/>
        <v>899223</v>
      </c>
      <c r="BK160" s="23">
        <f t="shared" si="113"/>
        <v>279000</v>
      </c>
      <c r="BL160" s="23">
        <f t="shared" si="113"/>
        <v>1920000</v>
      </c>
      <c r="BM160" s="23">
        <f t="shared" si="113"/>
        <v>830000</v>
      </c>
      <c r="BN160" s="23">
        <f t="shared" si="113"/>
        <v>666000</v>
      </c>
      <c r="BO160" s="23">
        <f t="shared" si="113"/>
        <v>198480</v>
      </c>
      <c r="BP160" s="23">
        <f t="shared" si="113"/>
        <v>0</v>
      </c>
      <c r="BQ160" s="23">
        <f t="shared" si="113"/>
        <v>0</v>
      </c>
      <c r="BR160" s="23">
        <f t="shared" si="113"/>
        <v>0</v>
      </c>
      <c r="BS160" s="23">
        <f t="shared" si="113"/>
        <v>0</v>
      </c>
      <c r="BT160" s="23">
        <f t="shared" si="113"/>
        <v>0</v>
      </c>
      <c r="BU160" s="23">
        <f t="shared" si="113"/>
        <v>300000</v>
      </c>
      <c r="BV160" s="23">
        <f t="shared" si="113"/>
        <v>0</v>
      </c>
      <c r="BW160" s="23">
        <f t="shared" si="113"/>
        <v>0</v>
      </c>
    </row>
    <row r="161" spans="1:75" ht="18" hidden="1" customHeight="1" outlineLevel="1">
      <c r="D161" s="7" t="s">
        <v>11</v>
      </c>
      <c r="F161" s="8">
        <v>4717</v>
      </c>
      <c r="G161" s="8">
        <v>5848</v>
      </c>
      <c r="K161" s="8">
        <v>2400</v>
      </c>
      <c r="L161" s="8">
        <f>K161*12</f>
        <v>28800</v>
      </c>
      <c r="M161" s="8">
        <f>L161*1.13</f>
        <v>32543.999999999996</v>
      </c>
      <c r="N161" s="8">
        <v>21014</v>
      </c>
      <c r="O161" s="9">
        <f>N161/M161</f>
        <v>0.64571042281219282</v>
      </c>
      <c r="Q161" s="5">
        <v>2023</v>
      </c>
      <c r="R161" s="5">
        <v>12</v>
      </c>
      <c r="S161" s="14" t="s">
        <v>54</v>
      </c>
      <c r="T161" s="15">
        <f t="shared" ref="T161:T173" si="114">IF(U161=U161-BB161,0,U161-BB161)</f>
        <v>5895911</v>
      </c>
      <c r="U161" s="15">
        <f t="shared" ref="U161:U173" si="115">SUM(V161:BA161)</f>
        <v>7361090</v>
      </c>
      <c r="V161" s="6">
        <v>4683000</v>
      </c>
      <c r="W161" s="6">
        <v>1748090</v>
      </c>
      <c r="X161" s="16">
        <v>0</v>
      </c>
      <c r="Y161" s="16">
        <v>0</v>
      </c>
      <c r="Z161" s="16">
        <v>0</v>
      </c>
      <c r="AA161" s="16">
        <v>0</v>
      </c>
      <c r="AB161" s="16">
        <v>0</v>
      </c>
      <c r="AC161" s="16">
        <v>0</v>
      </c>
      <c r="AD161" s="16">
        <v>0</v>
      </c>
      <c r="AE161" s="16">
        <v>0</v>
      </c>
      <c r="AF161" s="16">
        <v>350000</v>
      </c>
      <c r="AG161" s="16">
        <v>0</v>
      </c>
      <c r="AH161" s="16">
        <v>100000</v>
      </c>
      <c r="AI161" s="16">
        <v>250000</v>
      </c>
      <c r="AJ161" s="16">
        <v>50000</v>
      </c>
      <c r="AK161" s="16">
        <v>0</v>
      </c>
      <c r="AL161" s="16">
        <v>100000</v>
      </c>
      <c r="AM161" s="16">
        <v>0</v>
      </c>
      <c r="AN161" s="16">
        <v>80000</v>
      </c>
      <c r="AO161" s="16">
        <v>0</v>
      </c>
      <c r="AP161" s="16">
        <v>0</v>
      </c>
      <c r="AQ161" s="16">
        <v>0</v>
      </c>
      <c r="AR161" s="16">
        <v>0</v>
      </c>
      <c r="AS161" s="16">
        <v>0</v>
      </c>
      <c r="AT161" s="16">
        <v>0</v>
      </c>
      <c r="AU161" s="16">
        <v>0</v>
      </c>
      <c r="AV161" s="16">
        <v>0</v>
      </c>
      <c r="AW161" s="16">
        <v>0</v>
      </c>
      <c r="AX161" s="16">
        <v>0</v>
      </c>
      <c r="AY161" s="16">
        <v>0</v>
      </c>
      <c r="AZ161" s="16">
        <v>0</v>
      </c>
      <c r="BA161" s="16"/>
      <c r="BB161" s="15">
        <f t="shared" ref="BB161:BB173" si="116">SUM(BC161:BW161)</f>
        <v>1465179</v>
      </c>
      <c r="BC161" s="15">
        <v>0</v>
      </c>
      <c r="BD161" s="16">
        <v>558260</v>
      </c>
      <c r="BE161" s="16">
        <v>0</v>
      </c>
      <c r="BF161" s="16">
        <v>55820</v>
      </c>
      <c r="BG161" s="16">
        <v>0</v>
      </c>
      <c r="BH161" s="16">
        <v>253550</v>
      </c>
      <c r="BI161" s="16">
        <v>265500</v>
      </c>
      <c r="BJ161" s="16">
        <v>63549</v>
      </c>
      <c r="BK161" s="16">
        <v>23500</v>
      </c>
      <c r="BL161" s="16">
        <v>160000</v>
      </c>
      <c r="BM161" s="16">
        <v>50000</v>
      </c>
      <c r="BN161" s="16">
        <v>35000</v>
      </c>
      <c r="BO161" s="16">
        <v>0</v>
      </c>
      <c r="BP161" s="16">
        <v>0</v>
      </c>
      <c r="BQ161" s="16">
        <v>0</v>
      </c>
      <c r="BR161" s="16">
        <v>0</v>
      </c>
      <c r="BS161" s="16">
        <v>0</v>
      </c>
      <c r="BT161" s="16">
        <v>0</v>
      </c>
      <c r="BU161" s="16">
        <v>0</v>
      </c>
      <c r="BV161" s="16">
        <v>0</v>
      </c>
      <c r="BW161" s="16">
        <v>0</v>
      </c>
    </row>
    <row r="162" spans="1:75" ht="18" hidden="1" customHeight="1" outlineLevel="1">
      <c r="D162" s="7" t="s">
        <v>11</v>
      </c>
      <c r="F162" s="8">
        <v>4717</v>
      </c>
      <c r="G162" s="8">
        <v>5848</v>
      </c>
      <c r="K162" s="8">
        <v>2400</v>
      </c>
      <c r="L162" s="8">
        <f>K162*12</f>
        <v>28800</v>
      </c>
      <c r="M162" s="8">
        <f>L162*1.13</f>
        <v>32543.999999999996</v>
      </c>
      <c r="N162" s="8">
        <v>21014</v>
      </c>
      <c r="O162" s="9">
        <f>N162/M162</f>
        <v>0.64571042281219282</v>
      </c>
      <c r="Q162" s="5">
        <v>2023</v>
      </c>
      <c r="R162" s="5">
        <v>11</v>
      </c>
      <c r="S162" s="14" t="s">
        <v>54</v>
      </c>
      <c r="T162" s="15">
        <f t="shared" si="114"/>
        <v>5901271</v>
      </c>
      <c r="U162" s="15">
        <f t="shared" si="115"/>
        <v>7311090</v>
      </c>
      <c r="V162" s="6">
        <v>4683000</v>
      </c>
      <c r="W162" s="6">
        <v>1748090</v>
      </c>
      <c r="X162" s="16">
        <v>0</v>
      </c>
      <c r="Y162" s="16">
        <v>0</v>
      </c>
      <c r="Z162" s="16">
        <v>0</v>
      </c>
      <c r="AA162" s="16">
        <v>0</v>
      </c>
      <c r="AB162" s="16">
        <v>0</v>
      </c>
      <c r="AC162" s="16">
        <v>0</v>
      </c>
      <c r="AD162" s="16">
        <v>0</v>
      </c>
      <c r="AE162" s="16">
        <v>0</v>
      </c>
      <c r="AF162" s="16">
        <v>350000</v>
      </c>
      <c r="AG162" s="16">
        <v>0</v>
      </c>
      <c r="AH162" s="16">
        <v>100000</v>
      </c>
      <c r="AI162" s="16">
        <v>250000</v>
      </c>
      <c r="AJ162" s="16">
        <v>0</v>
      </c>
      <c r="AK162" s="16">
        <v>0</v>
      </c>
      <c r="AL162" s="16">
        <v>100000</v>
      </c>
      <c r="AM162" s="16">
        <v>0</v>
      </c>
      <c r="AN162" s="16">
        <v>80000</v>
      </c>
      <c r="AO162" s="16">
        <v>0</v>
      </c>
      <c r="AP162" s="16">
        <v>0</v>
      </c>
      <c r="AQ162" s="16">
        <v>0</v>
      </c>
      <c r="AR162" s="16">
        <v>0</v>
      </c>
      <c r="AS162" s="16">
        <v>0</v>
      </c>
      <c r="AT162" s="16">
        <v>0</v>
      </c>
      <c r="AU162" s="16">
        <v>0</v>
      </c>
      <c r="AV162" s="16">
        <v>0</v>
      </c>
      <c r="AW162" s="16">
        <v>0</v>
      </c>
      <c r="AX162" s="16">
        <v>0</v>
      </c>
      <c r="AY162" s="16">
        <v>0</v>
      </c>
      <c r="AZ162" s="16">
        <v>0</v>
      </c>
      <c r="BA162" s="16"/>
      <c r="BB162" s="15">
        <f t="shared" si="116"/>
        <v>1409819</v>
      </c>
      <c r="BC162" s="15">
        <v>0</v>
      </c>
      <c r="BD162" s="16">
        <v>547430</v>
      </c>
      <c r="BE162" s="16">
        <v>0</v>
      </c>
      <c r="BF162" s="16">
        <v>54740</v>
      </c>
      <c r="BG162" s="16">
        <v>0</v>
      </c>
      <c r="BH162" s="16">
        <v>253550</v>
      </c>
      <c r="BI162" s="16">
        <v>265500</v>
      </c>
      <c r="BJ162" s="16">
        <v>63099</v>
      </c>
      <c r="BK162" s="16">
        <v>23500</v>
      </c>
      <c r="BL162" s="16">
        <v>160000</v>
      </c>
      <c r="BM162" s="16">
        <v>0</v>
      </c>
      <c r="BN162" s="16">
        <v>42000</v>
      </c>
      <c r="BO162" s="16">
        <v>0</v>
      </c>
      <c r="BP162" s="16">
        <v>0</v>
      </c>
      <c r="BQ162" s="16">
        <v>0</v>
      </c>
      <c r="BR162" s="16">
        <v>0</v>
      </c>
      <c r="BS162" s="16">
        <v>0</v>
      </c>
      <c r="BT162" s="16">
        <v>0</v>
      </c>
      <c r="BU162" s="16">
        <v>0</v>
      </c>
      <c r="BV162" s="16">
        <v>0</v>
      </c>
      <c r="BW162" s="16">
        <v>0</v>
      </c>
    </row>
    <row r="163" spans="1:75" ht="18" hidden="1" customHeight="1" outlineLevel="1">
      <c r="D163" s="7" t="s">
        <v>11</v>
      </c>
      <c r="F163" s="8">
        <v>4717</v>
      </c>
      <c r="G163" s="8">
        <v>5848</v>
      </c>
      <c r="K163" s="8">
        <v>2400</v>
      </c>
      <c r="L163" s="8">
        <f t="shared" ref="L163:L166" si="117">K163*12</f>
        <v>28800</v>
      </c>
      <c r="M163" s="8">
        <f t="shared" ref="M163:M166" si="118">L163*1.13</f>
        <v>32543.999999999996</v>
      </c>
      <c r="N163" s="8">
        <v>21014</v>
      </c>
      <c r="O163" s="9">
        <f t="shared" ref="O163:O166" si="119">N163/M163</f>
        <v>0.64571042281219282</v>
      </c>
      <c r="Q163" s="5">
        <v>2023</v>
      </c>
      <c r="R163" s="5">
        <v>10</v>
      </c>
      <c r="S163" s="14" t="s">
        <v>54</v>
      </c>
      <c r="T163" s="15">
        <f t="shared" si="114"/>
        <v>5916911</v>
      </c>
      <c r="U163" s="15">
        <f t="shared" si="115"/>
        <v>7361090</v>
      </c>
      <c r="V163" s="6">
        <v>4683000</v>
      </c>
      <c r="W163" s="6">
        <v>1748090</v>
      </c>
      <c r="X163" s="16">
        <v>0</v>
      </c>
      <c r="Y163" s="16">
        <v>0</v>
      </c>
      <c r="Z163" s="16">
        <v>0</v>
      </c>
      <c r="AA163" s="16">
        <v>0</v>
      </c>
      <c r="AB163" s="16">
        <v>0</v>
      </c>
      <c r="AC163" s="16">
        <v>0</v>
      </c>
      <c r="AD163" s="16">
        <v>0</v>
      </c>
      <c r="AE163" s="16">
        <v>0</v>
      </c>
      <c r="AF163" s="16">
        <v>350000</v>
      </c>
      <c r="AG163" s="16">
        <v>0</v>
      </c>
      <c r="AH163" s="16">
        <v>100000</v>
      </c>
      <c r="AI163" s="16">
        <v>250000</v>
      </c>
      <c r="AJ163" s="16">
        <v>50000</v>
      </c>
      <c r="AK163" s="16">
        <v>0</v>
      </c>
      <c r="AL163" s="16">
        <v>100000</v>
      </c>
      <c r="AM163" s="16">
        <v>0</v>
      </c>
      <c r="AN163" s="16">
        <v>80000</v>
      </c>
      <c r="AO163" s="16">
        <v>0</v>
      </c>
      <c r="AP163" s="16">
        <v>0</v>
      </c>
      <c r="AQ163" s="16">
        <v>0</v>
      </c>
      <c r="AR163" s="16">
        <v>0</v>
      </c>
      <c r="AS163" s="16">
        <v>0</v>
      </c>
      <c r="AT163" s="16">
        <v>0</v>
      </c>
      <c r="AU163" s="16">
        <v>0</v>
      </c>
      <c r="AV163" s="16">
        <v>0</v>
      </c>
      <c r="AW163" s="16">
        <v>0</v>
      </c>
      <c r="AX163" s="16">
        <v>0</v>
      </c>
      <c r="AY163" s="16">
        <v>0</v>
      </c>
      <c r="AZ163" s="16">
        <v>0</v>
      </c>
      <c r="BA163" s="16"/>
      <c r="BB163" s="15">
        <f t="shared" si="116"/>
        <v>1444179</v>
      </c>
      <c r="BC163" s="15">
        <v>0</v>
      </c>
      <c r="BD163" s="16">
        <v>558260</v>
      </c>
      <c r="BE163" s="16">
        <v>0</v>
      </c>
      <c r="BF163" s="16">
        <v>55820</v>
      </c>
      <c r="BG163" s="16">
        <v>0</v>
      </c>
      <c r="BH163" s="16">
        <v>253550</v>
      </c>
      <c r="BI163" s="16">
        <v>265500</v>
      </c>
      <c r="BJ163" s="16">
        <v>63549</v>
      </c>
      <c r="BK163" s="16">
        <v>23500</v>
      </c>
      <c r="BL163" s="16">
        <v>160000</v>
      </c>
      <c r="BM163" s="16">
        <v>50000</v>
      </c>
      <c r="BN163" s="16">
        <v>14000</v>
      </c>
      <c r="BO163" s="16">
        <v>0</v>
      </c>
      <c r="BP163" s="16">
        <v>0</v>
      </c>
      <c r="BQ163" s="16">
        <v>0</v>
      </c>
      <c r="BR163" s="16">
        <v>0</v>
      </c>
      <c r="BS163" s="16">
        <v>0</v>
      </c>
      <c r="BT163" s="16">
        <v>0</v>
      </c>
      <c r="BU163" s="16">
        <v>0</v>
      </c>
      <c r="BV163" s="16">
        <v>0</v>
      </c>
      <c r="BW163" s="16">
        <v>0</v>
      </c>
    </row>
    <row r="164" spans="1:75" ht="18" hidden="1" customHeight="1" outlineLevel="1">
      <c r="D164" s="7" t="s">
        <v>12</v>
      </c>
      <c r="F164" s="8">
        <v>6867</v>
      </c>
      <c r="G164" s="8">
        <v>6867</v>
      </c>
      <c r="K164" s="8">
        <v>2400</v>
      </c>
      <c r="L164" s="8">
        <f t="shared" si="117"/>
        <v>28800</v>
      </c>
      <c r="M164" s="8">
        <f t="shared" si="118"/>
        <v>32543.999999999996</v>
      </c>
      <c r="N164" s="8">
        <v>21014</v>
      </c>
      <c r="O164" s="9">
        <f t="shared" si="119"/>
        <v>0.64571042281219282</v>
      </c>
      <c r="Q164" s="5">
        <v>2023</v>
      </c>
      <c r="R164" s="5">
        <v>9</v>
      </c>
      <c r="S164" s="14" t="s">
        <v>54</v>
      </c>
      <c r="T164" s="15">
        <f t="shared" si="114"/>
        <v>5845771</v>
      </c>
      <c r="U164" s="15">
        <f t="shared" si="115"/>
        <v>7511090</v>
      </c>
      <c r="V164" s="6">
        <v>4683000</v>
      </c>
      <c r="W164" s="6">
        <v>1748090</v>
      </c>
      <c r="X164" s="16">
        <v>0</v>
      </c>
      <c r="Y164" s="16">
        <v>0</v>
      </c>
      <c r="Z164" s="16">
        <v>0</v>
      </c>
      <c r="AA164" s="16">
        <v>0</v>
      </c>
      <c r="AB164" s="16">
        <v>0</v>
      </c>
      <c r="AC164" s="16">
        <v>0</v>
      </c>
      <c r="AD164" s="16">
        <v>0</v>
      </c>
      <c r="AE164" s="16">
        <v>0</v>
      </c>
      <c r="AF164" s="16">
        <v>350000</v>
      </c>
      <c r="AG164" s="16">
        <v>0</v>
      </c>
      <c r="AH164" s="16">
        <v>100000</v>
      </c>
      <c r="AI164" s="16">
        <v>250000</v>
      </c>
      <c r="AJ164" s="16">
        <v>200000</v>
      </c>
      <c r="AK164" s="16">
        <v>0</v>
      </c>
      <c r="AL164" s="16">
        <v>100000</v>
      </c>
      <c r="AM164" s="16">
        <v>0</v>
      </c>
      <c r="AN164" s="16">
        <v>80000</v>
      </c>
      <c r="AO164" s="16">
        <v>0</v>
      </c>
      <c r="AP164" s="16">
        <v>0</v>
      </c>
      <c r="AQ164" s="16">
        <v>0</v>
      </c>
      <c r="AR164" s="16">
        <v>0</v>
      </c>
      <c r="AS164" s="16">
        <v>0</v>
      </c>
      <c r="AT164" s="16">
        <v>0</v>
      </c>
      <c r="AU164" s="16">
        <v>0</v>
      </c>
      <c r="AV164" s="16">
        <v>0</v>
      </c>
      <c r="AW164" s="16">
        <v>0</v>
      </c>
      <c r="AX164" s="16">
        <v>0</v>
      </c>
      <c r="AY164" s="16">
        <v>0</v>
      </c>
      <c r="AZ164" s="16">
        <v>0</v>
      </c>
      <c r="BA164" s="16"/>
      <c r="BB164" s="15">
        <f t="shared" si="116"/>
        <v>1665319</v>
      </c>
      <c r="BC164" s="15">
        <v>0</v>
      </c>
      <c r="BD164" s="16">
        <v>583520</v>
      </c>
      <c r="BE164" s="16">
        <v>0</v>
      </c>
      <c r="BF164" s="16">
        <v>58350</v>
      </c>
      <c r="BG164" s="16">
        <v>0</v>
      </c>
      <c r="BH164" s="16">
        <v>253550</v>
      </c>
      <c r="BI164" s="16">
        <v>265500</v>
      </c>
      <c r="BJ164" s="16">
        <v>64899</v>
      </c>
      <c r="BK164" s="16">
        <v>23500</v>
      </c>
      <c r="BL164" s="16">
        <v>160000</v>
      </c>
      <c r="BM164" s="16">
        <v>200000</v>
      </c>
      <c r="BN164" s="16">
        <v>56000</v>
      </c>
      <c r="BO164" s="16">
        <v>0</v>
      </c>
      <c r="BP164" s="16">
        <v>0</v>
      </c>
      <c r="BQ164" s="16">
        <v>0</v>
      </c>
      <c r="BR164" s="16">
        <v>0</v>
      </c>
      <c r="BS164" s="16">
        <v>0</v>
      </c>
      <c r="BT164" s="16">
        <v>0</v>
      </c>
      <c r="BU164" s="16">
        <v>0</v>
      </c>
      <c r="BV164" s="16">
        <v>0</v>
      </c>
      <c r="BW164" s="16">
        <v>0</v>
      </c>
    </row>
    <row r="165" spans="1:75" ht="18" hidden="1" customHeight="1" outlineLevel="1">
      <c r="D165" s="7" t="s">
        <v>13</v>
      </c>
      <c r="F165" s="8">
        <v>7988</v>
      </c>
      <c r="G165" s="8" t="s">
        <v>2</v>
      </c>
      <c r="H165" s="8" t="s">
        <v>17</v>
      </c>
      <c r="I165" s="8">
        <v>171</v>
      </c>
      <c r="K165" s="8">
        <v>2400</v>
      </c>
      <c r="L165" s="8">
        <f t="shared" si="117"/>
        <v>28800</v>
      </c>
      <c r="M165" s="8">
        <f t="shared" si="118"/>
        <v>32543.999999999996</v>
      </c>
      <c r="N165" s="8">
        <v>21014</v>
      </c>
      <c r="O165" s="9">
        <f t="shared" si="119"/>
        <v>0.64571042281219282</v>
      </c>
      <c r="Q165" s="5">
        <v>2023</v>
      </c>
      <c r="R165" s="5">
        <v>8</v>
      </c>
      <c r="S165" s="14" t="s">
        <v>54</v>
      </c>
      <c r="T165" s="15">
        <f t="shared" si="114"/>
        <v>5894271</v>
      </c>
      <c r="U165" s="15">
        <f t="shared" si="115"/>
        <v>7311090</v>
      </c>
      <c r="V165" s="6">
        <v>4683000</v>
      </c>
      <c r="W165" s="6">
        <v>1748090</v>
      </c>
      <c r="X165" s="16">
        <v>0</v>
      </c>
      <c r="Y165" s="16">
        <v>0</v>
      </c>
      <c r="Z165" s="16">
        <v>0</v>
      </c>
      <c r="AA165" s="16">
        <v>0</v>
      </c>
      <c r="AB165" s="16">
        <v>0</v>
      </c>
      <c r="AC165" s="16">
        <v>0</v>
      </c>
      <c r="AD165" s="16">
        <v>0</v>
      </c>
      <c r="AE165" s="16">
        <v>0</v>
      </c>
      <c r="AF165" s="16">
        <v>350000</v>
      </c>
      <c r="AG165" s="16">
        <v>0</v>
      </c>
      <c r="AH165" s="16">
        <v>100000</v>
      </c>
      <c r="AI165" s="16">
        <v>250000</v>
      </c>
      <c r="AJ165" s="16">
        <v>0</v>
      </c>
      <c r="AK165" s="16">
        <v>0</v>
      </c>
      <c r="AL165" s="16">
        <v>100000</v>
      </c>
      <c r="AM165" s="16">
        <v>0</v>
      </c>
      <c r="AN165" s="16">
        <v>80000</v>
      </c>
      <c r="AO165" s="16">
        <v>0</v>
      </c>
      <c r="AP165" s="16">
        <v>0</v>
      </c>
      <c r="AQ165" s="16">
        <v>0</v>
      </c>
      <c r="AR165" s="16">
        <v>0</v>
      </c>
      <c r="AS165" s="16">
        <v>0</v>
      </c>
      <c r="AT165" s="16">
        <v>0</v>
      </c>
      <c r="AU165" s="16">
        <v>0</v>
      </c>
      <c r="AV165" s="16">
        <v>0</v>
      </c>
      <c r="AW165" s="16">
        <v>0</v>
      </c>
      <c r="AX165" s="16">
        <v>0</v>
      </c>
      <c r="AY165" s="16">
        <v>0</v>
      </c>
      <c r="AZ165" s="16">
        <v>0</v>
      </c>
      <c r="BA165" s="16"/>
      <c r="BB165" s="15">
        <f t="shared" si="116"/>
        <v>1416819</v>
      </c>
      <c r="BC165" s="15">
        <v>0</v>
      </c>
      <c r="BD165" s="16">
        <v>547430</v>
      </c>
      <c r="BE165" s="16">
        <v>0</v>
      </c>
      <c r="BF165" s="16">
        <v>54740</v>
      </c>
      <c r="BG165" s="16">
        <v>0</v>
      </c>
      <c r="BH165" s="16">
        <v>253550</v>
      </c>
      <c r="BI165" s="16">
        <v>265500</v>
      </c>
      <c r="BJ165" s="16">
        <v>63099</v>
      </c>
      <c r="BK165" s="16">
        <v>23500</v>
      </c>
      <c r="BL165" s="16">
        <v>160000</v>
      </c>
      <c r="BM165" s="16">
        <v>0</v>
      </c>
      <c r="BN165" s="16">
        <v>49000</v>
      </c>
      <c r="BO165" s="16">
        <v>0</v>
      </c>
      <c r="BP165" s="16">
        <v>0</v>
      </c>
      <c r="BQ165" s="16">
        <v>0</v>
      </c>
      <c r="BR165" s="16">
        <v>0</v>
      </c>
      <c r="BS165" s="16">
        <v>0</v>
      </c>
      <c r="BT165" s="16">
        <v>0</v>
      </c>
      <c r="BU165" s="16">
        <v>0</v>
      </c>
      <c r="BV165" s="16">
        <v>0</v>
      </c>
      <c r="BW165" s="16">
        <v>0</v>
      </c>
    </row>
    <row r="166" spans="1:75" ht="18" hidden="1" customHeight="1" outlineLevel="1">
      <c r="D166" s="7" t="s">
        <v>13</v>
      </c>
      <c r="F166" s="8">
        <v>7988</v>
      </c>
      <c r="G166" s="8" t="s">
        <v>2</v>
      </c>
      <c r="H166" s="8" t="s">
        <v>17</v>
      </c>
      <c r="I166" s="8">
        <v>171</v>
      </c>
      <c r="K166" s="8">
        <v>2400</v>
      </c>
      <c r="L166" s="8">
        <f t="shared" si="117"/>
        <v>28800</v>
      </c>
      <c r="M166" s="8">
        <f t="shared" si="118"/>
        <v>32543.999999999996</v>
      </c>
      <c r="N166" s="8">
        <v>21014</v>
      </c>
      <c r="O166" s="9">
        <f t="shared" si="119"/>
        <v>0.64571042281219282</v>
      </c>
      <c r="Q166" s="5">
        <v>2023</v>
      </c>
      <c r="R166" s="5">
        <v>7</v>
      </c>
      <c r="S166" s="14" t="s">
        <v>54</v>
      </c>
      <c r="T166" s="15">
        <f t="shared" si="114"/>
        <v>6136791</v>
      </c>
      <c r="U166" s="15">
        <f t="shared" si="115"/>
        <v>7641090</v>
      </c>
      <c r="V166" s="6">
        <v>4683000</v>
      </c>
      <c r="W166" s="6">
        <v>1748090</v>
      </c>
      <c r="X166" s="16">
        <v>0</v>
      </c>
      <c r="Y166" s="16">
        <v>0</v>
      </c>
      <c r="Z166" s="16">
        <v>0</v>
      </c>
      <c r="AA166" s="16">
        <v>0</v>
      </c>
      <c r="AB166" s="16">
        <v>0</v>
      </c>
      <c r="AC166" s="16">
        <v>0</v>
      </c>
      <c r="AD166" s="16">
        <v>0</v>
      </c>
      <c r="AE166" s="16">
        <v>0</v>
      </c>
      <c r="AF166" s="16">
        <v>350000</v>
      </c>
      <c r="AG166" s="16">
        <v>0</v>
      </c>
      <c r="AH166" s="16">
        <v>100000</v>
      </c>
      <c r="AI166" s="16">
        <v>250000</v>
      </c>
      <c r="AJ166" s="16">
        <v>30000</v>
      </c>
      <c r="AK166" s="16">
        <v>300000</v>
      </c>
      <c r="AL166" s="16">
        <v>100000</v>
      </c>
      <c r="AM166" s="16">
        <v>0</v>
      </c>
      <c r="AN166" s="16">
        <v>80000</v>
      </c>
      <c r="AO166" s="16">
        <v>0</v>
      </c>
      <c r="AP166" s="16">
        <v>0</v>
      </c>
      <c r="AQ166" s="16">
        <v>0</v>
      </c>
      <c r="AR166" s="16">
        <v>0</v>
      </c>
      <c r="AS166" s="16">
        <v>0</v>
      </c>
      <c r="AT166" s="16">
        <v>0</v>
      </c>
      <c r="AU166" s="16">
        <v>0</v>
      </c>
      <c r="AV166" s="16">
        <v>0</v>
      </c>
      <c r="AW166" s="16">
        <v>0</v>
      </c>
      <c r="AX166" s="16">
        <v>0</v>
      </c>
      <c r="AY166" s="16">
        <v>0</v>
      </c>
      <c r="AZ166" s="16">
        <v>0</v>
      </c>
      <c r="BA166" s="16"/>
      <c r="BB166" s="15">
        <f t="shared" si="116"/>
        <v>1504299</v>
      </c>
      <c r="BC166" s="15">
        <v>0</v>
      </c>
      <c r="BD166" s="16">
        <v>608800</v>
      </c>
      <c r="BE166" s="16">
        <v>0</v>
      </c>
      <c r="BF166" s="16">
        <v>60880</v>
      </c>
      <c r="BG166" s="16">
        <v>0</v>
      </c>
      <c r="BH166" s="16">
        <v>253550</v>
      </c>
      <c r="BI166" s="16">
        <v>265500</v>
      </c>
      <c r="BJ166" s="16">
        <v>66069</v>
      </c>
      <c r="BK166" s="16">
        <v>23500</v>
      </c>
      <c r="BL166" s="16">
        <v>160000</v>
      </c>
      <c r="BM166" s="16">
        <v>30000</v>
      </c>
      <c r="BN166" s="16">
        <v>36000</v>
      </c>
      <c r="BO166" s="16">
        <v>0</v>
      </c>
      <c r="BP166" s="16">
        <v>0</v>
      </c>
      <c r="BQ166" s="16">
        <v>0</v>
      </c>
      <c r="BR166" s="16">
        <v>0</v>
      </c>
      <c r="BS166" s="16">
        <v>0</v>
      </c>
      <c r="BT166" s="16">
        <v>0</v>
      </c>
      <c r="BU166" s="16">
        <v>0</v>
      </c>
      <c r="BV166" s="16">
        <v>0</v>
      </c>
      <c r="BW166" s="16">
        <v>0</v>
      </c>
    </row>
    <row r="167" spans="1:75" ht="18" hidden="1" customHeight="1" outlineLevel="1">
      <c r="H167" s="8" t="s">
        <v>18</v>
      </c>
      <c r="I167" s="8">
        <v>122</v>
      </c>
      <c r="J167" s="9"/>
      <c r="Q167" s="5">
        <v>2023</v>
      </c>
      <c r="R167" s="5">
        <v>6</v>
      </c>
      <c r="S167" s="14" t="s">
        <v>54</v>
      </c>
      <c r="T167" s="15">
        <f t="shared" si="114"/>
        <v>5897561</v>
      </c>
      <c r="U167" s="15">
        <f t="shared" si="115"/>
        <v>7361090</v>
      </c>
      <c r="V167" s="6">
        <v>4683000</v>
      </c>
      <c r="W167" s="6">
        <v>1748090</v>
      </c>
      <c r="X167" s="16">
        <v>0</v>
      </c>
      <c r="Y167" s="16">
        <v>0</v>
      </c>
      <c r="Z167" s="16">
        <v>0</v>
      </c>
      <c r="AA167" s="16">
        <v>0</v>
      </c>
      <c r="AB167" s="16">
        <v>0</v>
      </c>
      <c r="AC167" s="16">
        <v>0</v>
      </c>
      <c r="AD167" s="16">
        <v>0</v>
      </c>
      <c r="AE167" s="16">
        <v>0</v>
      </c>
      <c r="AF167" s="16">
        <v>350000</v>
      </c>
      <c r="AG167" s="16">
        <v>0</v>
      </c>
      <c r="AH167" s="16">
        <v>100000</v>
      </c>
      <c r="AI167" s="16">
        <v>250000</v>
      </c>
      <c r="AJ167" s="16">
        <v>50000</v>
      </c>
      <c r="AK167" s="16">
        <v>0</v>
      </c>
      <c r="AL167" s="16">
        <v>100000</v>
      </c>
      <c r="AM167" s="16">
        <v>0</v>
      </c>
      <c r="AN167" s="16">
        <v>80000</v>
      </c>
      <c r="AO167" s="16">
        <v>0</v>
      </c>
      <c r="AP167" s="16">
        <v>0</v>
      </c>
      <c r="AQ167" s="16">
        <v>0</v>
      </c>
      <c r="AR167" s="16">
        <v>0</v>
      </c>
      <c r="AS167" s="16">
        <v>0</v>
      </c>
      <c r="AT167" s="16">
        <v>0</v>
      </c>
      <c r="AU167" s="16">
        <v>0</v>
      </c>
      <c r="AV167" s="16">
        <v>0</v>
      </c>
      <c r="AW167" s="16">
        <v>0</v>
      </c>
      <c r="AX167" s="16">
        <v>0</v>
      </c>
      <c r="AY167" s="16">
        <v>0</v>
      </c>
      <c r="AZ167" s="16">
        <v>0</v>
      </c>
      <c r="BA167" s="16"/>
      <c r="BB167" s="15">
        <f t="shared" si="116"/>
        <v>1463529</v>
      </c>
      <c r="BC167" s="15">
        <v>0</v>
      </c>
      <c r="BD167" s="16">
        <v>558260</v>
      </c>
      <c r="BE167" s="16">
        <v>0</v>
      </c>
      <c r="BF167" s="16">
        <v>55820</v>
      </c>
      <c r="BG167" s="16">
        <v>0</v>
      </c>
      <c r="BH167" s="16">
        <v>253550</v>
      </c>
      <c r="BI167" s="16">
        <v>248850</v>
      </c>
      <c r="BJ167" s="16">
        <v>63549</v>
      </c>
      <c r="BK167" s="16">
        <v>23500</v>
      </c>
      <c r="BL167" s="16">
        <v>160000</v>
      </c>
      <c r="BM167" s="16">
        <v>50000</v>
      </c>
      <c r="BN167" s="16">
        <v>50000</v>
      </c>
      <c r="BO167" s="16">
        <v>0</v>
      </c>
      <c r="BP167" s="16">
        <v>0</v>
      </c>
      <c r="BQ167" s="16">
        <v>0</v>
      </c>
      <c r="BR167" s="16">
        <v>0</v>
      </c>
      <c r="BS167" s="16">
        <v>0</v>
      </c>
      <c r="BT167" s="16">
        <v>0</v>
      </c>
      <c r="BU167" s="16">
        <v>0</v>
      </c>
      <c r="BV167" s="16">
        <v>0</v>
      </c>
      <c r="BW167" s="16">
        <v>0</v>
      </c>
    </row>
    <row r="168" spans="1:75" ht="18" hidden="1" customHeight="1" outlineLevel="1">
      <c r="J168" s="9"/>
      <c r="Q168" s="5">
        <v>2023</v>
      </c>
      <c r="R168" s="5">
        <v>5</v>
      </c>
      <c r="S168" s="14" t="s">
        <v>54</v>
      </c>
      <c r="T168" s="15">
        <f t="shared" si="114"/>
        <v>5766661</v>
      </c>
      <c r="U168" s="15">
        <f t="shared" si="115"/>
        <v>7811090</v>
      </c>
      <c r="V168" s="6">
        <v>4683000</v>
      </c>
      <c r="W168" s="6">
        <v>1748090</v>
      </c>
      <c r="X168" s="16">
        <v>0</v>
      </c>
      <c r="Y168" s="16">
        <v>0</v>
      </c>
      <c r="Z168" s="16">
        <v>0</v>
      </c>
      <c r="AA168" s="16">
        <v>0</v>
      </c>
      <c r="AB168" s="16">
        <v>0</v>
      </c>
      <c r="AC168" s="16">
        <v>0</v>
      </c>
      <c r="AD168" s="16">
        <v>0</v>
      </c>
      <c r="AE168" s="16">
        <v>0</v>
      </c>
      <c r="AF168" s="16">
        <v>350000</v>
      </c>
      <c r="AG168" s="16">
        <v>0</v>
      </c>
      <c r="AH168" s="16">
        <v>100000</v>
      </c>
      <c r="AI168" s="16">
        <v>250000</v>
      </c>
      <c r="AJ168" s="16">
        <v>200000</v>
      </c>
      <c r="AK168" s="16">
        <v>0</v>
      </c>
      <c r="AL168" s="16">
        <v>100000</v>
      </c>
      <c r="AM168" s="16">
        <v>0</v>
      </c>
      <c r="AN168" s="16">
        <v>80000</v>
      </c>
      <c r="AO168" s="16">
        <v>0</v>
      </c>
      <c r="AP168" s="16">
        <v>0</v>
      </c>
      <c r="AQ168" s="16">
        <v>0</v>
      </c>
      <c r="AR168" s="16">
        <v>0</v>
      </c>
      <c r="AS168" s="16">
        <v>0</v>
      </c>
      <c r="AT168" s="16">
        <v>0</v>
      </c>
      <c r="AU168" s="16">
        <v>300000</v>
      </c>
      <c r="AV168" s="16">
        <v>0</v>
      </c>
      <c r="AW168" s="16">
        <v>0</v>
      </c>
      <c r="AX168" s="16">
        <v>0</v>
      </c>
      <c r="AY168" s="16">
        <v>0</v>
      </c>
      <c r="AZ168" s="16">
        <v>0</v>
      </c>
      <c r="BA168" s="16"/>
      <c r="BB168" s="15">
        <f t="shared" si="116"/>
        <v>2044429</v>
      </c>
      <c r="BC168" s="15">
        <v>0</v>
      </c>
      <c r="BD168" s="16">
        <v>637670</v>
      </c>
      <c r="BE168" s="16">
        <v>0</v>
      </c>
      <c r="BF168" s="16">
        <v>63760</v>
      </c>
      <c r="BG168" s="16">
        <v>0</v>
      </c>
      <c r="BH168" s="16">
        <v>253550</v>
      </c>
      <c r="BI168" s="16">
        <v>248850</v>
      </c>
      <c r="BJ168" s="16">
        <v>67599</v>
      </c>
      <c r="BK168" s="16">
        <v>23500</v>
      </c>
      <c r="BL168" s="16">
        <v>160000</v>
      </c>
      <c r="BM168" s="16">
        <v>200000</v>
      </c>
      <c r="BN168" s="16">
        <v>89500</v>
      </c>
      <c r="BO168" s="16">
        <v>0</v>
      </c>
      <c r="BP168" s="16">
        <v>0</v>
      </c>
      <c r="BQ168" s="16">
        <v>0</v>
      </c>
      <c r="BR168" s="16">
        <v>0</v>
      </c>
      <c r="BS168" s="16">
        <v>0</v>
      </c>
      <c r="BT168" s="16">
        <v>0</v>
      </c>
      <c r="BU168" s="16">
        <v>300000</v>
      </c>
      <c r="BV168" s="16">
        <v>0</v>
      </c>
      <c r="BW168" s="16">
        <v>0</v>
      </c>
    </row>
    <row r="169" spans="1:75" ht="18" hidden="1" customHeight="1" outlineLevel="1">
      <c r="B169" s="7">
        <v>2021</v>
      </c>
      <c r="C169" s="8" t="s">
        <v>12</v>
      </c>
      <c r="E169" s="8">
        <v>6867</v>
      </c>
      <c r="J169" s="9"/>
      <c r="Q169" s="5">
        <v>2023</v>
      </c>
      <c r="R169" s="5">
        <v>4</v>
      </c>
      <c r="S169" s="14" t="s">
        <v>54</v>
      </c>
      <c r="T169" s="15">
        <f t="shared" si="114"/>
        <v>6389412</v>
      </c>
      <c r="U169" s="15">
        <f t="shared" si="115"/>
        <v>8112090</v>
      </c>
      <c r="V169" s="6">
        <v>4683000</v>
      </c>
      <c r="W169" s="6">
        <v>1748090</v>
      </c>
      <c r="X169" s="16">
        <v>0</v>
      </c>
      <c r="Y169" s="16">
        <v>0</v>
      </c>
      <c r="Z169" s="16">
        <v>0</v>
      </c>
      <c r="AA169" s="16">
        <v>0</v>
      </c>
      <c r="AB169" s="16">
        <v>0</v>
      </c>
      <c r="AC169" s="16">
        <v>831000</v>
      </c>
      <c r="AD169" s="16">
        <v>0</v>
      </c>
      <c r="AE169" s="16">
        <v>0</v>
      </c>
      <c r="AF169" s="16">
        <v>350000</v>
      </c>
      <c r="AG169" s="16">
        <v>0</v>
      </c>
      <c r="AH169" s="16">
        <v>100000</v>
      </c>
      <c r="AI169" s="16">
        <v>220000</v>
      </c>
      <c r="AJ169" s="16">
        <v>0</v>
      </c>
      <c r="AK169" s="16">
        <v>0</v>
      </c>
      <c r="AL169" s="16">
        <v>100000</v>
      </c>
      <c r="AM169" s="16">
        <v>0</v>
      </c>
      <c r="AN169" s="16">
        <v>80000</v>
      </c>
      <c r="AO169" s="16">
        <v>0</v>
      </c>
      <c r="AP169" s="16">
        <v>0</v>
      </c>
      <c r="AQ169" s="16">
        <v>0</v>
      </c>
      <c r="AR169" s="16">
        <v>0</v>
      </c>
      <c r="AS169" s="16">
        <v>0</v>
      </c>
      <c r="AT169" s="16">
        <v>0</v>
      </c>
      <c r="AU169" s="16">
        <v>0</v>
      </c>
      <c r="AV169" s="16">
        <v>0</v>
      </c>
      <c r="AW169" s="16">
        <v>0</v>
      </c>
      <c r="AX169" s="16">
        <v>0</v>
      </c>
      <c r="AY169" s="16">
        <v>0</v>
      </c>
      <c r="AZ169" s="16">
        <v>0</v>
      </c>
      <c r="BA169" s="16"/>
      <c r="BB169" s="15">
        <f t="shared" si="116"/>
        <v>1722678</v>
      </c>
      <c r="BC169" s="15">
        <v>0</v>
      </c>
      <c r="BD169" s="16">
        <v>691810</v>
      </c>
      <c r="BE169" s="16">
        <v>0</v>
      </c>
      <c r="BF169" s="16">
        <v>69180</v>
      </c>
      <c r="BG169" s="16">
        <v>0</v>
      </c>
      <c r="BH169" s="16">
        <v>253550</v>
      </c>
      <c r="BI169" s="16">
        <v>248850</v>
      </c>
      <c r="BJ169" s="16">
        <v>70308</v>
      </c>
      <c r="BK169" s="16">
        <v>23500</v>
      </c>
      <c r="BL169" s="16">
        <v>160000</v>
      </c>
      <c r="BM169" s="16">
        <v>0</v>
      </c>
      <c r="BN169" s="16">
        <v>7000</v>
      </c>
      <c r="BO169" s="16">
        <v>198480</v>
      </c>
      <c r="BP169" s="16">
        <v>0</v>
      </c>
      <c r="BQ169" s="16">
        <v>0</v>
      </c>
      <c r="BR169" s="16">
        <v>0</v>
      </c>
      <c r="BS169" s="16">
        <v>0</v>
      </c>
      <c r="BT169" s="16">
        <v>0</v>
      </c>
      <c r="BU169" s="16">
        <v>0</v>
      </c>
      <c r="BV169" s="16">
        <v>0</v>
      </c>
      <c r="BW169" s="16">
        <v>0</v>
      </c>
    </row>
    <row r="170" spans="1:75" ht="18" hidden="1" customHeight="1" outlineLevel="1">
      <c r="B170" s="7">
        <v>2021</v>
      </c>
      <c r="C170" s="8" t="s">
        <v>12</v>
      </c>
      <c r="E170" s="8">
        <v>6867</v>
      </c>
      <c r="J170" s="9"/>
      <c r="Q170" s="5">
        <v>2023</v>
      </c>
      <c r="R170" s="5">
        <v>4</v>
      </c>
      <c r="S170" s="14" t="s">
        <v>28</v>
      </c>
      <c r="T170" s="15">
        <f t="shared" si="114"/>
        <v>6977591</v>
      </c>
      <c r="U170" s="15">
        <f t="shared" si="115"/>
        <v>8958749</v>
      </c>
      <c r="V170" s="16">
        <v>0</v>
      </c>
      <c r="W170" s="16">
        <v>0</v>
      </c>
      <c r="X170" s="16">
        <v>0</v>
      </c>
      <c r="Y170" s="16">
        <v>0</v>
      </c>
      <c r="Z170" s="16">
        <v>0</v>
      </c>
      <c r="AA170" s="16">
        <v>0</v>
      </c>
      <c r="AB170" s="16">
        <v>0</v>
      </c>
      <c r="AC170" s="16">
        <v>0</v>
      </c>
      <c r="AD170" s="16">
        <v>7458749</v>
      </c>
      <c r="AE170" s="16">
        <v>1500000</v>
      </c>
      <c r="AF170" s="16">
        <v>0</v>
      </c>
      <c r="AG170" s="16">
        <v>0</v>
      </c>
      <c r="AH170" s="16">
        <v>0</v>
      </c>
      <c r="AI170" s="16">
        <v>0</v>
      </c>
      <c r="AJ170" s="16">
        <v>0</v>
      </c>
      <c r="AK170" s="16">
        <v>0</v>
      </c>
      <c r="AL170" s="16">
        <v>0</v>
      </c>
      <c r="AM170" s="16">
        <v>0</v>
      </c>
      <c r="AN170" s="16">
        <v>0</v>
      </c>
      <c r="AO170" s="16">
        <v>0</v>
      </c>
      <c r="AP170" s="16">
        <v>0</v>
      </c>
      <c r="AQ170" s="16">
        <v>0</v>
      </c>
      <c r="AR170" s="16">
        <v>0</v>
      </c>
      <c r="AS170" s="16">
        <v>0</v>
      </c>
      <c r="AT170" s="16">
        <v>0</v>
      </c>
      <c r="AU170" s="16">
        <v>0</v>
      </c>
      <c r="AV170" s="16">
        <v>0</v>
      </c>
      <c r="AW170" s="16">
        <v>0</v>
      </c>
      <c r="AX170" s="16">
        <v>0</v>
      </c>
      <c r="AY170" s="16">
        <v>0</v>
      </c>
      <c r="AZ170" s="16">
        <v>0</v>
      </c>
      <c r="BA170" s="16"/>
      <c r="BB170" s="15">
        <f t="shared" si="116"/>
        <v>1981158</v>
      </c>
      <c r="BC170" s="15">
        <v>0</v>
      </c>
      <c r="BD170" s="16">
        <v>1727760</v>
      </c>
      <c r="BE170" s="16">
        <v>0</v>
      </c>
      <c r="BF170" s="16">
        <v>172770</v>
      </c>
      <c r="BG170" s="16">
        <v>0</v>
      </c>
      <c r="BH170" s="16">
        <v>0</v>
      </c>
      <c r="BI170" s="16">
        <v>0</v>
      </c>
      <c r="BJ170" s="16">
        <v>80628</v>
      </c>
      <c r="BK170" s="16">
        <v>0</v>
      </c>
      <c r="BL170" s="16">
        <v>0</v>
      </c>
      <c r="BM170" s="16">
        <v>0</v>
      </c>
      <c r="BN170" s="16">
        <v>0</v>
      </c>
      <c r="BO170" s="16">
        <v>0</v>
      </c>
      <c r="BP170" s="16">
        <v>0</v>
      </c>
      <c r="BQ170" s="16">
        <v>0</v>
      </c>
      <c r="BR170" s="16">
        <v>0</v>
      </c>
      <c r="BS170" s="16">
        <v>0</v>
      </c>
      <c r="BT170" s="16">
        <v>0</v>
      </c>
      <c r="BU170" s="16">
        <v>0</v>
      </c>
      <c r="BV170" s="16">
        <v>0</v>
      </c>
      <c r="BW170" s="16">
        <v>0</v>
      </c>
    </row>
    <row r="171" spans="1:75" ht="18" hidden="1" customHeight="1" outlineLevel="1">
      <c r="B171" s="7">
        <v>2022</v>
      </c>
      <c r="C171" s="8" t="s">
        <v>12</v>
      </c>
      <c r="E171" s="8">
        <v>6867</v>
      </c>
      <c r="J171" s="9"/>
      <c r="Q171" s="5">
        <v>2023</v>
      </c>
      <c r="R171" s="5">
        <v>3</v>
      </c>
      <c r="S171" s="14" t="s">
        <v>54</v>
      </c>
      <c r="T171" s="15">
        <f t="shared" si="114"/>
        <v>5620984</v>
      </c>
      <c r="U171" s="15">
        <f t="shared" si="115"/>
        <v>7004090</v>
      </c>
      <c r="V171" s="16">
        <v>4481000</v>
      </c>
      <c r="W171" s="16">
        <v>1673090</v>
      </c>
      <c r="X171" s="16">
        <v>0</v>
      </c>
      <c r="Y171" s="16">
        <v>0</v>
      </c>
      <c r="Z171" s="16">
        <v>0</v>
      </c>
      <c r="AA171" s="16">
        <v>0</v>
      </c>
      <c r="AB171" s="16">
        <v>0</v>
      </c>
      <c r="AC171" s="16">
        <v>0</v>
      </c>
      <c r="AD171" s="16">
        <v>0</v>
      </c>
      <c r="AE171" s="16">
        <v>0</v>
      </c>
      <c r="AF171" s="16">
        <v>350000</v>
      </c>
      <c r="AG171" s="16">
        <v>0</v>
      </c>
      <c r="AH171" s="16">
        <v>100000</v>
      </c>
      <c r="AI171" s="16">
        <v>220000</v>
      </c>
      <c r="AJ171" s="16">
        <v>0</v>
      </c>
      <c r="AK171" s="16">
        <v>0</v>
      </c>
      <c r="AL171" s="16">
        <v>100000</v>
      </c>
      <c r="AM171" s="16">
        <v>0</v>
      </c>
      <c r="AN171" s="16">
        <v>80000</v>
      </c>
      <c r="AO171" s="16">
        <v>0</v>
      </c>
      <c r="AP171" s="16">
        <v>0</v>
      </c>
      <c r="AQ171" s="16">
        <v>0</v>
      </c>
      <c r="AR171" s="16">
        <v>0</v>
      </c>
      <c r="AS171" s="16">
        <v>0</v>
      </c>
      <c r="AT171" s="16">
        <v>0</v>
      </c>
      <c r="AU171" s="16">
        <v>0</v>
      </c>
      <c r="AV171" s="16">
        <v>0</v>
      </c>
      <c r="AW171" s="16">
        <v>0</v>
      </c>
      <c r="AX171" s="16">
        <v>0</v>
      </c>
      <c r="AY171" s="16">
        <v>0</v>
      </c>
      <c r="AZ171" s="16">
        <v>0</v>
      </c>
      <c r="BA171" s="16"/>
      <c r="BB171" s="15">
        <f t="shared" si="116"/>
        <v>1383106</v>
      </c>
      <c r="BC171" s="15">
        <v>0</v>
      </c>
      <c r="BD171" s="16">
        <v>493280</v>
      </c>
      <c r="BE171" s="16">
        <v>0</v>
      </c>
      <c r="BF171" s="16">
        <v>49230</v>
      </c>
      <c r="BG171" s="16">
        <v>0</v>
      </c>
      <c r="BH171" s="16">
        <v>238410</v>
      </c>
      <c r="BI171" s="16">
        <v>248850</v>
      </c>
      <c r="BJ171" s="16">
        <v>60336</v>
      </c>
      <c r="BK171" s="16">
        <v>22500</v>
      </c>
      <c r="BL171" s="16">
        <v>160000</v>
      </c>
      <c r="BM171" s="16">
        <v>0</v>
      </c>
      <c r="BN171" s="16">
        <v>110500</v>
      </c>
      <c r="BO171" s="16">
        <v>0</v>
      </c>
      <c r="BP171" s="16">
        <v>0</v>
      </c>
      <c r="BQ171" s="16">
        <v>0</v>
      </c>
      <c r="BR171" s="16">
        <v>0</v>
      </c>
      <c r="BS171" s="16">
        <v>0</v>
      </c>
      <c r="BT171" s="16">
        <v>0</v>
      </c>
      <c r="BU171" s="16">
        <v>0</v>
      </c>
      <c r="BV171" s="16">
        <v>0</v>
      </c>
      <c r="BW171" s="16">
        <v>0</v>
      </c>
    </row>
    <row r="172" spans="1:75" ht="18" hidden="1" customHeight="1" outlineLevel="1">
      <c r="B172" s="7">
        <v>2023</v>
      </c>
      <c r="C172" s="8" t="s">
        <v>12</v>
      </c>
      <c r="E172" s="8">
        <v>6867</v>
      </c>
      <c r="J172" s="9"/>
      <c r="Q172" s="5">
        <v>2023</v>
      </c>
      <c r="R172" s="5">
        <v>2</v>
      </c>
      <c r="S172" s="14" t="s">
        <v>54</v>
      </c>
      <c r="T172" s="15">
        <f t="shared" si="114"/>
        <v>10244477</v>
      </c>
      <c r="U172" s="15">
        <f t="shared" si="115"/>
        <v>12567090</v>
      </c>
      <c r="V172" s="16">
        <v>4481000</v>
      </c>
      <c r="W172" s="16">
        <v>1673090</v>
      </c>
      <c r="X172" s="16">
        <v>0</v>
      </c>
      <c r="Y172" s="16">
        <v>0</v>
      </c>
      <c r="Z172" s="16">
        <v>0</v>
      </c>
      <c r="AA172" s="16">
        <v>0</v>
      </c>
      <c r="AB172" s="16">
        <v>0</v>
      </c>
      <c r="AC172" s="16">
        <v>0</v>
      </c>
      <c r="AD172" s="16">
        <v>0</v>
      </c>
      <c r="AE172" s="16">
        <v>0</v>
      </c>
      <c r="AF172" s="16">
        <v>350000</v>
      </c>
      <c r="AG172" s="16">
        <v>0</v>
      </c>
      <c r="AH172" s="16">
        <v>100000</v>
      </c>
      <c r="AI172" s="16">
        <v>220000</v>
      </c>
      <c r="AJ172" s="16">
        <v>50000</v>
      </c>
      <c r="AK172" s="16">
        <v>0</v>
      </c>
      <c r="AL172" s="16">
        <v>100000</v>
      </c>
      <c r="AM172" s="16">
        <v>0</v>
      </c>
      <c r="AN172" s="16">
        <v>80000</v>
      </c>
      <c r="AO172" s="16">
        <v>0</v>
      </c>
      <c r="AP172" s="16">
        <v>0</v>
      </c>
      <c r="AQ172" s="16">
        <v>0</v>
      </c>
      <c r="AR172" s="16">
        <v>0</v>
      </c>
      <c r="AS172" s="16">
        <v>0</v>
      </c>
      <c r="AT172" s="16">
        <v>0</v>
      </c>
      <c r="AU172" s="16">
        <v>0</v>
      </c>
      <c r="AV172" s="16">
        <v>5513000</v>
      </c>
      <c r="AW172" s="16">
        <v>0</v>
      </c>
      <c r="AX172" s="16">
        <v>0</v>
      </c>
      <c r="AY172" s="16">
        <v>0</v>
      </c>
      <c r="AZ172" s="16">
        <v>0</v>
      </c>
      <c r="BA172" s="16"/>
      <c r="BB172" s="15">
        <f t="shared" si="116"/>
        <v>2322613</v>
      </c>
      <c r="BC172" s="15">
        <v>-577720</v>
      </c>
      <c r="BD172" s="16">
        <v>1803340</v>
      </c>
      <c r="BE172" s="16">
        <v>0</v>
      </c>
      <c r="BF172" s="16">
        <v>180330</v>
      </c>
      <c r="BG172" s="16">
        <v>0</v>
      </c>
      <c r="BH172" s="16">
        <v>238410</v>
      </c>
      <c r="BI172" s="16">
        <v>248850</v>
      </c>
      <c r="BJ172" s="16">
        <v>110403</v>
      </c>
      <c r="BK172" s="16">
        <v>22500</v>
      </c>
      <c r="BL172" s="16">
        <v>160000</v>
      </c>
      <c r="BM172" s="16">
        <v>50000</v>
      </c>
      <c r="BN172" s="16">
        <v>86500</v>
      </c>
      <c r="BO172" s="16">
        <v>0</v>
      </c>
      <c r="BP172" s="16">
        <v>0</v>
      </c>
      <c r="BQ172" s="16">
        <v>0</v>
      </c>
      <c r="BR172" s="16">
        <v>0</v>
      </c>
      <c r="BS172" s="16">
        <v>0</v>
      </c>
      <c r="BT172" s="16">
        <v>0</v>
      </c>
      <c r="BU172" s="16">
        <v>0</v>
      </c>
      <c r="BV172" s="16">
        <v>0</v>
      </c>
      <c r="BW172" s="16">
        <v>0</v>
      </c>
    </row>
    <row r="173" spans="1:75" ht="18" hidden="1" customHeight="1" outlineLevel="1">
      <c r="B173" s="7">
        <v>2024</v>
      </c>
      <c r="C173" s="8" t="s">
        <v>12</v>
      </c>
      <c r="E173" s="8">
        <v>6867</v>
      </c>
      <c r="J173" s="9"/>
      <c r="Q173" s="5">
        <v>2023</v>
      </c>
      <c r="R173" s="5">
        <v>1</v>
      </c>
      <c r="S173" s="14" t="s">
        <v>54</v>
      </c>
      <c r="T173" s="15">
        <f t="shared" si="114"/>
        <v>5559784</v>
      </c>
      <c r="U173" s="15">
        <f t="shared" si="115"/>
        <v>7204090</v>
      </c>
      <c r="V173" s="16">
        <v>4481000</v>
      </c>
      <c r="W173" s="16">
        <v>1673090</v>
      </c>
      <c r="X173" s="16">
        <v>0</v>
      </c>
      <c r="Y173" s="16">
        <v>0</v>
      </c>
      <c r="Z173" s="16">
        <v>0</v>
      </c>
      <c r="AA173" s="16">
        <v>0</v>
      </c>
      <c r="AB173" s="16">
        <v>0</v>
      </c>
      <c r="AC173" s="16">
        <v>0</v>
      </c>
      <c r="AD173" s="16">
        <v>0</v>
      </c>
      <c r="AE173" s="16">
        <v>0</v>
      </c>
      <c r="AF173" s="16">
        <v>350000</v>
      </c>
      <c r="AG173" s="16">
        <v>0</v>
      </c>
      <c r="AH173" s="16">
        <v>100000</v>
      </c>
      <c r="AI173" s="16">
        <v>220000</v>
      </c>
      <c r="AJ173" s="16">
        <v>200000</v>
      </c>
      <c r="AK173" s="16">
        <v>0</v>
      </c>
      <c r="AL173" s="16">
        <v>100000</v>
      </c>
      <c r="AM173" s="16">
        <v>0</v>
      </c>
      <c r="AN173" s="16">
        <v>80000</v>
      </c>
      <c r="AO173" s="16">
        <v>0</v>
      </c>
      <c r="AP173" s="16">
        <v>0</v>
      </c>
      <c r="AQ173" s="16">
        <v>0</v>
      </c>
      <c r="AR173" s="16">
        <v>0</v>
      </c>
      <c r="AS173" s="16">
        <v>0</v>
      </c>
      <c r="AT173" s="16">
        <v>0</v>
      </c>
      <c r="AU173" s="16">
        <v>0</v>
      </c>
      <c r="AV173" s="16">
        <v>0</v>
      </c>
      <c r="AW173" s="16">
        <v>0</v>
      </c>
      <c r="AX173" s="16">
        <v>0</v>
      </c>
      <c r="AY173" s="16">
        <v>0</v>
      </c>
      <c r="AZ173" s="16">
        <v>0</v>
      </c>
      <c r="BA173" s="16"/>
      <c r="BB173" s="15">
        <f t="shared" si="116"/>
        <v>1644306</v>
      </c>
      <c r="BC173" s="15">
        <v>0</v>
      </c>
      <c r="BD173" s="16">
        <v>565380</v>
      </c>
      <c r="BE173" s="16">
        <v>0</v>
      </c>
      <c r="BF173" s="16">
        <v>56530</v>
      </c>
      <c r="BG173" s="16">
        <v>0</v>
      </c>
      <c r="BH173" s="16">
        <v>238410</v>
      </c>
      <c r="BI173" s="16">
        <v>248850</v>
      </c>
      <c r="BJ173" s="16">
        <v>62136</v>
      </c>
      <c r="BK173" s="16">
        <v>22500</v>
      </c>
      <c r="BL173" s="16">
        <v>160000</v>
      </c>
      <c r="BM173" s="16">
        <v>200000</v>
      </c>
      <c r="BN173" s="16">
        <v>90500</v>
      </c>
      <c r="BO173" s="16">
        <v>0</v>
      </c>
      <c r="BP173" s="16">
        <v>0</v>
      </c>
      <c r="BQ173" s="16">
        <v>0</v>
      </c>
      <c r="BR173" s="16">
        <v>0</v>
      </c>
      <c r="BS173" s="16">
        <v>0</v>
      </c>
      <c r="BT173" s="16">
        <v>0</v>
      </c>
      <c r="BU173" s="16">
        <v>0</v>
      </c>
      <c r="BV173" s="16">
        <v>0</v>
      </c>
      <c r="BW173" s="16">
        <v>0</v>
      </c>
    </row>
    <row r="174" spans="1:75" s="1" customFormat="1" ht="18" customHeight="1" collapsed="1">
      <c r="A174" s="10"/>
      <c r="B174" s="11"/>
      <c r="C174" s="12"/>
      <c r="D174" s="11"/>
      <c r="E174" s="12"/>
      <c r="F174" s="12"/>
      <c r="G174" s="12"/>
      <c r="H174" s="12"/>
      <c r="I174" s="12"/>
      <c r="J174" s="3"/>
      <c r="K174" s="12"/>
      <c r="L174" s="12"/>
      <c r="M174" s="12"/>
      <c r="N174" s="12"/>
      <c r="O174" s="13"/>
      <c r="Q174" s="667" t="s">
        <v>125</v>
      </c>
      <c r="R174" s="667"/>
      <c r="S174" s="667"/>
      <c r="T174" s="23">
        <f t="shared" ref="T174:AZ174" si="120">SUMIF($Q$2:$Q$793,$Q175,T$2:T$793)</f>
        <v>63434454</v>
      </c>
      <c r="U174" s="23">
        <f t="shared" si="120"/>
        <v>78684704</v>
      </c>
      <c r="V174" s="23">
        <f t="shared" si="120"/>
        <v>45162000</v>
      </c>
      <c r="W174" s="23">
        <f t="shared" si="120"/>
        <v>16865010</v>
      </c>
      <c r="X174" s="23">
        <f t="shared" si="120"/>
        <v>0</v>
      </c>
      <c r="Y174" s="23">
        <f t="shared" si="120"/>
        <v>0</v>
      </c>
      <c r="Z174" s="23">
        <f t="shared" si="120"/>
        <v>0</v>
      </c>
      <c r="AA174" s="23">
        <f t="shared" si="120"/>
        <v>0</v>
      </c>
      <c r="AB174" s="23">
        <f t="shared" si="120"/>
        <v>0</v>
      </c>
      <c r="AC174" s="23">
        <f t="shared" si="120"/>
        <v>732990</v>
      </c>
      <c r="AD174" s="23">
        <f t="shared" si="120"/>
        <v>7059704</v>
      </c>
      <c r="AE174" s="23">
        <f t="shared" si="120"/>
        <v>1500000</v>
      </c>
      <c r="AF174" s="23">
        <f t="shared" si="120"/>
        <v>900000</v>
      </c>
      <c r="AG174" s="23">
        <f t="shared" si="120"/>
        <v>0</v>
      </c>
      <c r="AH174" s="23">
        <f t="shared" si="120"/>
        <v>1200000</v>
      </c>
      <c r="AI174" s="23">
        <f t="shared" si="120"/>
        <v>2640000</v>
      </c>
      <c r="AJ174" s="23">
        <f t="shared" si="120"/>
        <v>630000</v>
      </c>
      <c r="AK174" s="23">
        <f t="shared" si="120"/>
        <v>300000</v>
      </c>
      <c r="AL174" s="23">
        <f t="shared" si="120"/>
        <v>600000</v>
      </c>
      <c r="AM174" s="23">
        <f t="shared" si="120"/>
        <v>0</v>
      </c>
      <c r="AN174" s="23">
        <f t="shared" si="120"/>
        <v>840000</v>
      </c>
      <c r="AO174" s="23">
        <f t="shared" si="120"/>
        <v>50000</v>
      </c>
      <c r="AP174" s="23">
        <f t="shared" si="120"/>
        <v>150000</v>
      </c>
      <c r="AQ174" s="23">
        <f t="shared" si="120"/>
        <v>20000</v>
      </c>
      <c r="AR174" s="23">
        <f t="shared" si="120"/>
        <v>0</v>
      </c>
      <c r="AS174" s="23">
        <f t="shared" si="120"/>
        <v>0</v>
      </c>
      <c r="AT174" s="23">
        <f t="shared" si="120"/>
        <v>0</v>
      </c>
      <c r="AU174" s="23">
        <f t="shared" si="120"/>
        <v>35000</v>
      </c>
      <c r="AV174" s="23">
        <f t="shared" si="120"/>
        <v>0</v>
      </c>
      <c r="AW174" s="23">
        <f t="shared" si="120"/>
        <v>0</v>
      </c>
      <c r="AX174" s="23">
        <f t="shared" si="120"/>
        <v>0</v>
      </c>
      <c r="AY174" s="23">
        <f t="shared" si="120"/>
        <v>0</v>
      </c>
      <c r="AZ174" s="23">
        <f t="shared" si="120"/>
        <v>0</v>
      </c>
      <c r="BA174" s="23"/>
      <c r="BB174" s="23">
        <f t="shared" ref="BB174:BW174" si="121">SUMIF($Q$2:$Q$793,$Q175,BB$2:BB$793)</f>
        <v>15250250</v>
      </c>
      <c r="BC174" s="23">
        <f t="shared" si="121"/>
        <v>-573670</v>
      </c>
      <c r="BD174" s="23">
        <f t="shared" si="121"/>
        <v>5508880</v>
      </c>
      <c r="BE174" s="23">
        <f t="shared" si="121"/>
        <v>0</v>
      </c>
      <c r="BF174" s="23">
        <f t="shared" si="121"/>
        <v>550840</v>
      </c>
      <c r="BG174" s="23">
        <f t="shared" si="121"/>
        <v>0</v>
      </c>
      <c r="BH174" s="23">
        <f t="shared" si="121"/>
        <v>2786760</v>
      </c>
      <c r="BI174" s="23">
        <f t="shared" si="121"/>
        <v>2907900</v>
      </c>
      <c r="BJ174" s="23">
        <f t="shared" si="121"/>
        <v>642730</v>
      </c>
      <c r="BK174" s="23">
        <f t="shared" si="121"/>
        <v>226500</v>
      </c>
      <c r="BL174" s="23">
        <f t="shared" si="121"/>
        <v>1680000</v>
      </c>
      <c r="BM174" s="23">
        <f t="shared" si="121"/>
        <v>630000</v>
      </c>
      <c r="BN174" s="23">
        <f t="shared" si="121"/>
        <v>804500</v>
      </c>
      <c r="BO174" s="23">
        <f t="shared" si="121"/>
        <v>80610</v>
      </c>
      <c r="BP174" s="23">
        <f t="shared" si="121"/>
        <v>5200</v>
      </c>
      <c r="BQ174" s="23">
        <f t="shared" si="121"/>
        <v>0</v>
      </c>
      <c r="BR174" s="23">
        <f t="shared" si="121"/>
        <v>0</v>
      </c>
      <c r="BS174" s="23">
        <f t="shared" si="121"/>
        <v>0</v>
      </c>
      <c r="BT174" s="23">
        <f t="shared" si="121"/>
        <v>0</v>
      </c>
      <c r="BU174" s="23">
        <f t="shared" si="121"/>
        <v>0</v>
      </c>
      <c r="BV174" s="23">
        <f t="shared" si="121"/>
        <v>0</v>
      </c>
      <c r="BW174" s="23">
        <f t="shared" si="121"/>
        <v>0</v>
      </c>
    </row>
    <row r="175" spans="1:75" ht="18" hidden="1" customHeight="1" outlineLevel="1">
      <c r="D175" s="7" t="s">
        <v>11</v>
      </c>
      <c r="F175" s="8">
        <v>4717</v>
      </c>
      <c r="G175" s="8">
        <v>5848</v>
      </c>
      <c r="K175" s="8">
        <v>2400</v>
      </c>
      <c r="L175" s="8">
        <f>K175*12</f>
        <v>28800</v>
      </c>
      <c r="M175" s="8">
        <f>L175*1.13</f>
        <v>32543.999999999996</v>
      </c>
      <c r="N175" s="8">
        <v>21014</v>
      </c>
      <c r="O175" s="9">
        <f>N175/M175</f>
        <v>0.64571042281219282</v>
      </c>
      <c r="Q175" s="5">
        <v>2022</v>
      </c>
      <c r="R175" s="5">
        <v>12</v>
      </c>
      <c r="S175" s="14" t="s">
        <v>54</v>
      </c>
      <c r="T175" s="15">
        <f t="shared" ref="T175:T187" si="122">IF(U175=U175-BB175,0,U175-BB175)</f>
        <v>4879445</v>
      </c>
      <c r="U175" s="15">
        <f t="shared" ref="U175:U187" si="123">SUM(V175:BA175)</f>
        <v>6125000</v>
      </c>
      <c r="V175" s="16">
        <v>3808000</v>
      </c>
      <c r="W175" s="16">
        <v>1422000</v>
      </c>
      <c r="X175" s="16">
        <v>0</v>
      </c>
      <c r="Y175" s="16">
        <v>0</v>
      </c>
      <c r="Z175" s="16">
        <v>0</v>
      </c>
      <c r="AA175" s="16">
        <v>0</v>
      </c>
      <c r="AB175" s="16">
        <v>0</v>
      </c>
      <c r="AC175" s="16">
        <v>0</v>
      </c>
      <c r="AD175" s="16"/>
      <c r="AE175" s="16"/>
      <c r="AF175" s="16">
        <v>350000</v>
      </c>
      <c r="AG175" s="16">
        <v>0</v>
      </c>
      <c r="AH175" s="16">
        <v>100000</v>
      </c>
      <c r="AI175" s="16">
        <v>220000</v>
      </c>
      <c r="AJ175" s="16">
        <v>50000</v>
      </c>
      <c r="AK175" s="16">
        <v>0</v>
      </c>
      <c r="AL175" s="16">
        <v>50000</v>
      </c>
      <c r="AM175" s="16">
        <v>0</v>
      </c>
      <c r="AN175" s="16">
        <v>70000</v>
      </c>
      <c r="AO175" s="16">
        <v>0</v>
      </c>
      <c r="AP175" s="16">
        <v>0</v>
      </c>
      <c r="AQ175" s="16">
        <v>20000</v>
      </c>
      <c r="AR175" s="16">
        <v>0</v>
      </c>
      <c r="AS175" s="16">
        <v>0</v>
      </c>
      <c r="AT175" s="16">
        <v>0</v>
      </c>
      <c r="AU175" s="16">
        <v>35000</v>
      </c>
      <c r="AV175" s="16">
        <v>0</v>
      </c>
      <c r="AW175" s="16">
        <v>0</v>
      </c>
      <c r="AX175" s="16">
        <v>0</v>
      </c>
      <c r="AY175" s="16">
        <v>0</v>
      </c>
      <c r="AZ175" s="16">
        <v>0</v>
      </c>
      <c r="BA175" s="16"/>
      <c r="BB175" s="15">
        <f t="shared" ref="BB175:BB187" si="124">SUM(BC175:BW175)</f>
        <v>1245555</v>
      </c>
      <c r="BC175" s="15">
        <v>0</v>
      </c>
      <c r="BD175" s="16">
        <v>388510</v>
      </c>
      <c r="BE175" s="16">
        <v>0</v>
      </c>
      <c r="BF175" s="16">
        <v>38850</v>
      </c>
      <c r="BG175" s="16">
        <v>0</v>
      </c>
      <c r="BH175" s="16">
        <v>233920</v>
      </c>
      <c r="BI175" s="16">
        <v>248850</v>
      </c>
      <c r="BJ175" s="16">
        <v>53325</v>
      </c>
      <c r="BK175" s="16">
        <v>19100</v>
      </c>
      <c r="BL175" s="16">
        <v>140000</v>
      </c>
      <c r="BM175" s="16">
        <v>50000</v>
      </c>
      <c r="BN175" s="16">
        <v>73000</v>
      </c>
      <c r="BO175" s="16">
        <v>0</v>
      </c>
      <c r="BP175" s="16">
        <v>0</v>
      </c>
      <c r="BQ175" s="16">
        <v>0</v>
      </c>
      <c r="BR175" s="16">
        <v>0</v>
      </c>
      <c r="BS175" s="16">
        <v>0</v>
      </c>
      <c r="BT175" s="16">
        <v>0</v>
      </c>
      <c r="BU175" s="16">
        <v>0</v>
      </c>
      <c r="BV175" s="16">
        <v>0</v>
      </c>
      <c r="BW175" s="16">
        <v>0</v>
      </c>
    </row>
    <row r="176" spans="1:75" ht="18" hidden="1" customHeight="1" outlineLevel="1">
      <c r="D176" s="7" t="s">
        <v>11</v>
      </c>
      <c r="F176" s="8">
        <v>4717</v>
      </c>
      <c r="G176" s="8">
        <v>5848</v>
      </c>
      <c r="K176" s="8">
        <v>2400</v>
      </c>
      <c r="L176" s="8">
        <f>K176*12</f>
        <v>28800</v>
      </c>
      <c r="M176" s="8">
        <f>L176*1.13</f>
        <v>32543.999999999996</v>
      </c>
      <c r="N176" s="8">
        <v>21014</v>
      </c>
      <c r="O176" s="9">
        <f>N176/M176</f>
        <v>0.64571042281219282</v>
      </c>
      <c r="Q176" s="5">
        <v>2022</v>
      </c>
      <c r="R176" s="5">
        <v>11</v>
      </c>
      <c r="S176" s="14" t="s">
        <v>54</v>
      </c>
      <c r="T176" s="15">
        <f t="shared" si="122"/>
        <v>4663510</v>
      </c>
      <c r="U176" s="15">
        <f t="shared" si="123"/>
        <v>5720000</v>
      </c>
      <c r="V176" s="16">
        <v>3808000</v>
      </c>
      <c r="W176" s="16">
        <v>1422000</v>
      </c>
      <c r="X176" s="16">
        <v>0</v>
      </c>
      <c r="Y176" s="16">
        <v>0</v>
      </c>
      <c r="Z176" s="16">
        <v>0</v>
      </c>
      <c r="AA176" s="16">
        <v>0</v>
      </c>
      <c r="AB176" s="16">
        <v>0</v>
      </c>
      <c r="AC176" s="16">
        <v>0</v>
      </c>
      <c r="AD176" s="16">
        <v>0</v>
      </c>
      <c r="AE176" s="16">
        <v>0</v>
      </c>
      <c r="AF176" s="16">
        <v>50000</v>
      </c>
      <c r="AG176" s="16">
        <v>0</v>
      </c>
      <c r="AH176" s="16">
        <v>100000</v>
      </c>
      <c r="AI176" s="16">
        <v>220000</v>
      </c>
      <c r="AJ176" s="16">
        <v>0</v>
      </c>
      <c r="AK176" s="16">
        <v>0</v>
      </c>
      <c r="AL176" s="16">
        <v>50000</v>
      </c>
      <c r="AM176" s="16">
        <v>0</v>
      </c>
      <c r="AN176" s="16">
        <v>70000</v>
      </c>
      <c r="AO176" s="16">
        <v>0</v>
      </c>
      <c r="AP176" s="16">
        <v>0</v>
      </c>
      <c r="AQ176" s="16">
        <v>0</v>
      </c>
      <c r="AR176" s="16">
        <v>0</v>
      </c>
      <c r="AS176" s="16">
        <v>0</v>
      </c>
      <c r="AT176" s="16">
        <v>0</v>
      </c>
      <c r="AU176" s="16">
        <v>0</v>
      </c>
      <c r="AV176" s="16">
        <v>0</v>
      </c>
      <c r="AW176" s="16">
        <v>0</v>
      </c>
      <c r="AX176" s="16">
        <v>0</v>
      </c>
      <c r="AY176" s="16">
        <v>0</v>
      </c>
      <c r="AZ176" s="16">
        <v>0</v>
      </c>
      <c r="BA176" s="16"/>
      <c r="BB176" s="15">
        <f t="shared" si="124"/>
        <v>1056490</v>
      </c>
      <c r="BC176" s="15">
        <v>0</v>
      </c>
      <c r="BD176" s="16">
        <v>315400</v>
      </c>
      <c r="BE176" s="16">
        <v>0</v>
      </c>
      <c r="BF176" s="16">
        <v>31540</v>
      </c>
      <c r="BG176" s="16">
        <v>0</v>
      </c>
      <c r="BH176" s="16">
        <v>233920</v>
      </c>
      <c r="BI176" s="16">
        <v>248850</v>
      </c>
      <c r="BJ176" s="16">
        <v>49680</v>
      </c>
      <c r="BK176" s="16">
        <v>19100</v>
      </c>
      <c r="BL176" s="16">
        <v>140000</v>
      </c>
      <c r="BM176" s="16">
        <v>0</v>
      </c>
      <c r="BN176" s="16">
        <v>18000</v>
      </c>
      <c r="BO176" s="16">
        <v>0</v>
      </c>
      <c r="BP176" s="16">
        <v>0</v>
      </c>
      <c r="BQ176" s="16">
        <v>0</v>
      </c>
      <c r="BR176" s="16">
        <v>0</v>
      </c>
      <c r="BS176" s="16">
        <v>0</v>
      </c>
      <c r="BT176" s="16">
        <v>0</v>
      </c>
      <c r="BU176" s="16">
        <v>0</v>
      </c>
      <c r="BV176" s="16">
        <v>0</v>
      </c>
      <c r="BW176" s="16">
        <v>0</v>
      </c>
    </row>
    <row r="177" spans="1:75" ht="18" hidden="1" customHeight="1" outlineLevel="1">
      <c r="D177" s="7" t="s">
        <v>11</v>
      </c>
      <c r="F177" s="8">
        <v>4717</v>
      </c>
      <c r="G177" s="8">
        <v>5848</v>
      </c>
      <c r="K177" s="8">
        <v>2400</v>
      </c>
      <c r="L177" s="8">
        <f t="shared" ref="L177:L180" si="125">K177*12</f>
        <v>28800</v>
      </c>
      <c r="M177" s="8">
        <f t="shared" ref="M177:M180" si="126">L177*1.13</f>
        <v>32543.999999999996</v>
      </c>
      <c r="N177" s="8">
        <v>21014</v>
      </c>
      <c r="O177" s="9">
        <f t="shared" ref="O177:O180" si="127">N177/M177</f>
        <v>0.64571042281219282</v>
      </c>
      <c r="Q177" s="5">
        <v>2022</v>
      </c>
      <c r="R177" s="5">
        <v>10</v>
      </c>
      <c r="S177" s="14" t="s">
        <v>54</v>
      </c>
      <c r="T177" s="15">
        <f t="shared" si="122"/>
        <v>4598510</v>
      </c>
      <c r="U177" s="15">
        <f t="shared" si="123"/>
        <v>5720000</v>
      </c>
      <c r="V177" s="16">
        <v>3808000</v>
      </c>
      <c r="W177" s="16">
        <v>1422000</v>
      </c>
      <c r="X177" s="16">
        <v>0</v>
      </c>
      <c r="Y177" s="16">
        <v>0</v>
      </c>
      <c r="Z177" s="16">
        <v>0</v>
      </c>
      <c r="AA177" s="16">
        <v>0</v>
      </c>
      <c r="AB177" s="16">
        <v>0</v>
      </c>
      <c r="AC177" s="16">
        <v>0</v>
      </c>
      <c r="AD177" s="16">
        <v>0</v>
      </c>
      <c r="AE177" s="16">
        <v>0</v>
      </c>
      <c r="AF177" s="16">
        <v>50000</v>
      </c>
      <c r="AG177" s="16">
        <v>0</v>
      </c>
      <c r="AH177" s="16">
        <v>100000</v>
      </c>
      <c r="AI177" s="16">
        <v>220000</v>
      </c>
      <c r="AJ177" s="16">
        <v>0</v>
      </c>
      <c r="AK177" s="16">
        <v>0</v>
      </c>
      <c r="AL177" s="16">
        <v>50000</v>
      </c>
      <c r="AM177" s="16">
        <v>0</v>
      </c>
      <c r="AN177" s="16">
        <v>70000</v>
      </c>
      <c r="AO177" s="16">
        <v>0</v>
      </c>
      <c r="AP177" s="16">
        <v>0</v>
      </c>
      <c r="AQ177" s="16">
        <v>0</v>
      </c>
      <c r="AR177" s="16">
        <v>0</v>
      </c>
      <c r="AS177" s="16">
        <v>0</v>
      </c>
      <c r="AT177" s="16">
        <v>0</v>
      </c>
      <c r="AU177" s="16">
        <v>0</v>
      </c>
      <c r="AV177" s="16">
        <v>0</v>
      </c>
      <c r="AW177" s="16">
        <v>0</v>
      </c>
      <c r="AX177" s="16">
        <v>0</v>
      </c>
      <c r="AY177" s="16">
        <v>0</v>
      </c>
      <c r="AZ177" s="16">
        <v>0</v>
      </c>
      <c r="BA177" s="16"/>
      <c r="BB177" s="15">
        <f t="shared" si="124"/>
        <v>1121490</v>
      </c>
      <c r="BC177" s="15">
        <v>0</v>
      </c>
      <c r="BD177" s="16">
        <v>315400</v>
      </c>
      <c r="BE177" s="16">
        <v>0</v>
      </c>
      <c r="BF177" s="16">
        <v>31540</v>
      </c>
      <c r="BG177" s="16">
        <v>0</v>
      </c>
      <c r="BH177" s="16">
        <v>233920</v>
      </c>
      <c r="BI177" s="16">
        <v>248850</v>
      </c>
      <c r="BJ177" s="16">
        <v>49680</v>
      </c>
      <c r="BK177" s="16">
        <v>19100</v>
      </c>
      <c r="BL177" s="16">
        <v>140000</v>
      </c>
      <c r="BM177" s="16">
        <v>0</v>
      </c>
      <c r="BN177" s="16">
        <v>83000</v>
      </c>
      <c r="BO177" s="16">
        <v>0</v>
      </c>
      <c r="BP177" s="16">
        <v>0</v>
      </c>
      <c r="BQ177" s="16">
        <v>0</v>
      </c>
      <c r="BR177" s="16">
        <v>0</v>
      </c>
      <c r="BS177" s="16">
        <v>0</v>
      </c>
      <c r="BT177" s="16">
        <v>0</v>
      </c>
      <c r="BU177" s="16">
        <v>0</v>
      </c>
      <c r="BV177" s="16">
        <v>0</v>
      </c>
      <c r="BW177" s="16">
        <v>0</v>
      </c>
    </row>
    <row r="178" spans="1:75" ht="18" hidden="1" customHeight="1" outlineLevel="1">
      <c r="D178" s="7" t="s">
        <v>12</v>
      </c>
      <c r="F178" s="8">
        <v>6867</v>
      </c>
      <c r="G178" s="8">
        <v>6867</v>
      </c>
      <c r="K178" s="8">
        <v>2400</v>
      </c>
      <c r="L178" s="8">
        <f t="shared" si="125"/>
        <v>28800</v>
      </c>
      <c r="M178" s="8">
        <f t="shared" si="126"/>
        <v>32543.999999999996</v>
      </c>
      <c r="N178" s="8">
        <v>21014</v>
      </c>
      <c r="O178" s="9">
        <f t="shared" si="127"/>
        <v>0.64571042281219282</v>
      </c>
      <c r="Q178" s="5">
        <v>2022</v>
      </c>
      <c r="R178" s="5">
        <v>9</v>
      </c>
      <c r="S178" s="14" t="s">
        <v>54</v>
      </c>
      <c r="T178" s="15">
        <f t="shared" si="122"/>
        <v>4617660</v>
      </c>
      <c r="U178" s="15">
        <f t="shared" si="123"/>
        <v>5920000</v>
      </c>
      <c r="V178" s="16">
        <v>3808000</v>
      </c>
      <c r="W178" s="16">
        <v>1422000</v>
      </c>
      <c r="X178" s="16">
        <v>0</v>
      </c>
      <c r="Y178" s="16">
        <v>0</v>
      </c>
      <c r="Z178" s="16">
        <v>0</v>
      </c>
      <c r="AA178" s="16">
        <v>0</v>
      </c>
      <c r="AB178" s="16">
        <v>0</v>
      </c>
      <c r="AC178" s="16">
        <v>0</v>
      </c>
      <c r="AD178" s="16">
        <v>0</v>
      </c>
      <c r="AE178" s="16">
        <v>0</v>
      </c>
      <c r="AF178" s="16">
        <v>50000</v>
      </c>
      <c r="AG178" s="16">
        <v>0</v>
      </c>
      <c r="AH178" s="16">
        <v>100000</v>
      </c>
      <c r="AI178" s="16">
        <v>220000</v>
      </c>
      <c r="AJ178" s="16">
        <v>200000</v>
      </c>
      <c r="AK178" s="16">
        <v>0</v>
      </c>
      <c r="AL178" s="16">
        <v>50000</v>
      </c>
      <c r="AM178" s="16">
        <v>0</v>
      </c>
      <c r="AN178" s="16">
        <v>70000</v>
      </c>
      <c r="AO178" s="16">
        <v>0</v>
      </c>
      <c r="AP178" s="16">
        <v>0</v>
      </c>
      <c r="AQ178" s="16">
        <v>0</v>
      </c>
      <c r="AR178" s="16">
        <v>0</v>
      </c>
      <c r="AS178" s="16">
        <v>0</v>
      </c>
      <c r="AT178" s="16">
        <v>0</v>
      </c>
      <c r="AU178" s="16">
        <v>0</v>
      </c>
      <c r="AV178" s="16">
        <v>0</v>
      </c>
      <c r="AW178" s="16">
        <v>0</v>
      </c>
      <c r="AX178" s="16">
        <v>0</v>
      </c>
      <c r="AY178" s="16">
        <v>0</v>
      </c>
      <c r="AZ178" s="16">
        <v>0</v>
      </c>
      <c r="BA178" s="16"/>
      <c r="BB178" s="15">
        <f t="shared" si="124"/>
        <v>1302340</v>
      </c>
      <c r="BC178" s="15">
        <v>0</v>
      </c>
      <c r="BD178" s="16">
        <v>337720</v>
      </c>
      <c r="BE178" s="16">
        <v>0</v>
      </c>
      <c r="BF178" s="16">
        <v>33770</v>
      </c>
      <c r="BG178" s="16">
        <v>0</v>
      </c>
      <c r="BH178" s="16">
        <v>233920</v>
      </c>
      <c r="BI178" s="16">
        <v>248850</v>
      </c>
      <c r="BJ178" s="16">
        <v>51480</v>
      </c>
      <c r="BK178" s="16">
        <v>19100</v>
      </c>
      <c r="BL178" s="16">
        <v>140000</v>
      </c>
      <c r="BM178" s="16">
        <v>200000</v>
      </c>
      <c r="BN178" s="16">
        <v>37500</v>
      </c>
      <c r="BO178" s="16">
        <v>0</v>
      </c>
      <c r="BP178" s="16">
        <v>0</v>
      </c>
      <c r="BQ178" s="16">
        <v>0</v>
      </c>
      <c r="BR178" s="16">
        <v>0</v>
      </c>
      <c r="BS178" s="16">
        <v>0</v>
      </c>
      <c r="BT178" s="16">
        <v>0</v>
      </c>
      <c r="BU178" s="16">
        <v>0</v>
      </c>
      <c r="BV178" s="16">
        <v>0</v>
      </c>
      <c r="BW178" s="16">
        <v>0</v>
      </c>
    </row>
    <row r="179" spans="1:75" ht="18" hidden="1" customHeight="1" outlineLevel="1">
      <c r="D179" s="7" t="s">
        <v>13</v>
      </c>
      <c r="F179" s="8">
        <v>7988</v>
      </c>
      <c r="G179" s="8" t="s">
        <v>2</v>
      </c>
      <c r="H179" s="8" t="s">
        <v>17</v>
      </c>
      <c r="I179" s="8">
        <v>171</v>
      </c>
      <c r="K179" s="8">
        <v>2400</v>
      </c>
      <c r="L179" s="8">
        <f t="shared" si="125"/>
        <v>28800</v>
      </c>
      <c r="M179" s="8">
        <f t="shared" si="126"/>
        <v>32543.999999999996</v>
      </c>
      <c r="N179" s="8">
        <v>21014</v>
      </c>
      <c r="O179" s="9">
        <f t="shared" si="127"/>
        <v>0.64571042281219282</v>
      </c>
      <c r="Q179" s="5">
        <v>2022</v>
      </c>
      <c r="R179" s="5">
        <v>8</v>
      </c>
      <c r="S179" s="14" t="s">
        <v>54</v>
      </c>
      <c r="T179" s="15">
        <f t="shared" si="122"/>
        <v>4554430</v>
      </c>
      <c r="U179" s="15">
        <f t="shared" si="123"/>
        <v>5720000</v>
      </c>
      <c r="V179" s="16">
        <v>3808000</v>
      </c>
      <c r="W179" s="16">
        <v>1422000</v>
      </c>
      <c r="X179" s="16">
        <v>0</v>
      </c>
      <c r="Y179" s="16">
        <v>0</v>
      </c>
      <c r="Z179" s="16">
        <v>0</v>
      </c>
      <c r="AA179" s="16">
        <v>0</v>
      </c>
      <c r="AB179" s="16">
        <v>0</v>
      </c>
      <c r="AC179" s="16">
        <v>0</v>
      </c>
      <c r="AD179" s="16">
        <v>0</v>
      </c>
      <c r="AE179" s="16">
        <v>0</v>
      </c>
      <c r="AF179" s="16">
        <v>50000</v>
      </c>
      <c r="AG179" s="16">
        <v>0</v>
      </c>
      <c r="AH179" s="16">
        <v>100000</v>
      </c>
      <c r="AI179" s="16">
        <v>220000</v>
      </c>
      <c r="AJ179" s="16">
        <v>0</v>
      </c>
      <c r="AK179" s="16">
        <v>0</v>
      </c>
      <c r="AL179" s="16">
        <v>50000</v>
      </c>
      <c r="AM179" s="16">
        <v>0</v>
      </c>
      <c r="AN179" s="16">
        <v>70000</v>
      </c>
      <c r="AO179" s="16">
        <v>0</v>
      </c>
      <c r="AP179" s="16">
        <v>0</v>
      </c>
      <c r="AQ179" s="16">
        <v>0</v>
      </c>
      <c r="AR179" s="16">
        <v>0</v>
      </c>
      <c r="AS179" s="16">
        <v>0</v>
      </c>
      <c r="AT179" s="16">
        <v>0</v>
      </c>
      <c r="AU179" s="16">
        <v>0</v>
      </c>
      <c r="AV179" s="16">
        <v>0</v>
      </c>
      <c r="AW179" s="16">
        <v>0</v>
      </c>
      <c r="AX179" s="16">
        <v>0</v>
      </c>
      <c r="AY179" s="16">
        <v>0</v>
      </c>
      <c r="AZ179" s="16">
        <v>0</v>
      </c>
      <c r="BA179" s="16"/>
      <c r="BB179" s="15">
        <f t="shared" si="124"/>
        <v>1165570</v>
      </c>
      <c r="BC179" s="15">
        <v>0</v>
      </c>
      <c r="BD179" s="16">
        <v>315400</v>
      </c>
      <c r="BE179" s="16">
        <v>0</v>
      </c>
      <c r="BF179" s="16">
        <v>31540</v>
      </c>
      <c r="BG179" s="16">
        <v>0</v>
      </c>
      <c r="BH179" s="16">
        <v>233920</v>
      </c>
      <c r="BI179" s="16">
        <v>248850</v>
      </c>
      <c r="BJ179" s="16">
        <v>49680</v>
      </c>
      <c r="BK179" s="16">
        <v>19100</v>
      </c>
      <c r="BL179" s="16">
        <v>140000</v>
      </c>
      <c r="BM179" s="16">
        <v>0</v>
      </c>
      <c r="BN179" s="16">
        <v>137500</v>
      </c>
      <c r="BO179" s="16">
        <v>0</v>
      </c>
      <c r="BP179" s="16">
        <v>-10420</v>
      </c>
      <c r="BQ179" s="16">
        <v>0</v>
      </c>
      <c r="BR179" s="16">
        <v>0</v>
      </c>
      <c r="BS179" s="16">
        <v>0</v>
      </c>
      <c r="BT179" s="16">
        <v>0</v>
      </c>
      <c r="BU179" s="16">
        <v>0</v>
      </c>
      <c r="BV179" s="16">
        <v>0</v>
      </c>
      <c r="BW179" s="16">
        <v>0</v>
      </c>
    </row>
    <row r="180" spans="1:75" ht="18" hidden="1" customHeight="1" outlineLevel="1">
      <c r="D180" s="7" t="s">
        <v>13</v>
      </c>
      <c r="F180" s="8">
        <v>7988</v>
      </c>
      <c r="G180" s="8" t="s">
        <v>2</v>
      </c>
      <c r="H180" s="8" t="s">
        <v>17</v>
      </c>
      <c r="I180" s="8">
        <v>171</v>
      </c>
      <c r="K180" s="8">
        <v>2400</v>
      </c>
      <c r="L180" s="8">
        <f t="shared" si="125"/>
        <v>28800</v>
      </c>
      <c r="M180" s="8">
        <f t="shared" si="126"/>
        <v>32543.999999999996</v>
      </c>
      <c r="N180" s="8">
        <v>21014</v>
      </c>
      <c r="O180" s="9">
        <f t="shared" si="127"/>
        <v>0.64571042281219282</v>
      </c>
      <c r="Q180" s="5">
        <v>2022</v>
      </c>
      <c r="R180" s="5">
        <v>7</v>
      </c>
      <c r="S180" s="14" t="s">
        <v>54</v>
      </c>
      <c r="T180" s="15">
        <f t="shared" si="122"/>
        <v>4829700</v>
      </c>
      <c r="U180" s="15">
        <f t="shared" si="123"/>
        <v>6050000</v>
      </c>
      <c r="V180" s="16">
        <v>3808000</v>
      </c>
      <c r="W180" s="16">
        <v>1422000</v>
      </c>
      <c r="X180" s="16">
        <v>0</v>
      </c>
      <c r="Y180" s="16">
        <v>0</v>
      </c>
      <c r="Z180" s="16">
        <v>0</v>
      </c>
      <c r="AA180" s="16">
        <v>0</v>
      </c>
      <c r="AB180" s="16">
        <v>0</v>
      </c>
      <c r="AC180" s="16">
        <v>0</v>
      </c>
      <c r="AD180" s="16">
        <v>0</v>
      </c>
      <c r="AE180" s="16">
        <v>0</v>
      </c>
      <c r="AF180" s="16">
        <v>50000</v>
      </c>
      <c r="AG180" s="16">
        <v>0</v>
      </c>
      <c r="AH180" s="16">
        <v>100000</v>
      </c>
      <c r="AI180" s="16">
        <v>220000</v>
      </c>
      <c r="AJ180" s="16">
        <v>30000</v>
      </c>
      <c r="AK180" s="16">
        <v>300000</v>
      </c>
      <c r="AL180" s="16">
        <v>50000</v>
      </c>
      <c r="AM180" s="16">
        <v>0</v>
      </c>
      <c r="AN180" s="16">
        <v>70000</v>
      </c>
      <c r="AO180" s="16">
        <v>0</v>
      </c>
      <c r="AP180" s="16">
        <v>0</v>
      </c>
      <c r="AQ180" s="16">
        <v>0</v>
      </c>
      <c r="AR180" s="16">
        <v>0</v>
      </c>
      <c r="AS180" s="16">
        <v>0</v>
      </c>
      <c r="AT180" s="16">
        <v>0</v>
      </c>
      <c r="AU180" s="16">
        <v>0</v>
      </c>
      <c r="AV180" s="16">
        <v>0</v>
      </c>
      <c r="AW180" s="16">
        <v>0</v>
      </c>
      <c r="AX180" s="16">
        <v>0</v>
      </c>
      <c r="AY180" s="16">
        <v>0</v>
      </c>
      <c r="AZ180" s="16">
        <v>0</v>
      </c>
      <c r="BA180" s="16"/>
      <c r="BB180" s="15">
        <f t="shared" si="124"/>
        <v>1220300</v>
      </c>
      <c r="BC180" s="15">
        <v>0</v>
      </c>
      <c r="BD180" s="16">
        <v>372080</v>
      </c>
      <c r="BE180" s="16">
        <v>0</v>
      </c>
      <c r="BF180" s="16">
        <v>37200</v>
      </c>
      <c r="BG180" s="16">
        <v>0</v>
      </c>
      <c r="BH180" s="16">
        <v>233920</v>
      </c>
      <c r="BI180" s="16">
        <v>248850</v>
      </c>
      <c r="BJ180" s="16">
        <v>52650</v>
      </c>
      <c r="BK180" s="16">
        <v>19100</v>
      </c>
      <c r="BL180" s="16">
        <v>140000</v>
      </c>
      <c r="BM180" s="16">
        <v>30000</v>
      </c>
      <c r="BN180" s="16">
        <v>86500</v>
      </c>
      <c r="BO180" s="16">
        <v>0</v>
      </c>
      <c r="BP180" s="16">
        <v>0</v>
      </c>
      <c r="BQ180" s="16">
        <v>0</v>
      </c>
      <c r="BR180" s="16">
        <v>0</v>
      </c>
      <c r="BS180" s="16">
        <v>0</v>
      </c>
      <c r="BT180" s="16">
        <v>0</v>
      </c>
      <c r="BU180" s="16">
        <v>0</v>
      </c>
      <c r="BV180" s="16">
        <v>0</v>
      </c>
      <c r="BW180" s="16">
        <v>0</v>
      </c>
    </row>
    <row r="181" spans="1:75" ht="18" hidden="1" customHeight="1" outlineLevel="1">
      <c r="H181" s="8" t="s">
        <v>18</v>
      </c>
      <c r="I181" s="8">
        <v>122</v>
      </c>
      <c r="J181" s="9"/>
      <c r="Q181" s="5">
        <v>2022</v>
      </c>
      <c r="R181" s="5">
        <v>6</v>
      </c>
      <c r="S181" s="14" t="s">
        <v>54</v>
      </c>
      <c r="T181" s="15">
        <f t="shared" si="122"/>
        <v>4619080</v>
      </c>
      <c r="U181" s="15">
        <f t="shared" si="123"/>
        <v>5720000</v>
      </c>
      <c r="V181" s="16">
        <v>3808000</v>
      </c>
      <c r="W181" s="16">
        <v>1422000</v>
      </c>
      <c r="X181" s="16">
        <v>0</v>
      </c>
      <c r="Y181" s="16">
        <v>0</v>
      </c>
      <c r="Z181" s="16">
        <v>0</v>
      </c>
      <c r="AA181" s="16">
        <v>0</v>
      </c>
      <c r="AB181" s="16">
        <v>0</v>
      </c>
      <c r="AC181" s="16">
        <v>0</v>
      </c>
      <c r="AD181" s="16">
        <v>0</v>
      </c>
      <c r="AE181" s="16">
        <v>0</v>
      </c>
      <c r="AF181" s="16">
        <v>50000</v>
      </c>
      <c r="AG181" s="16">
        <v>0</v>
      </c>
      <c r="AH181" s="16">
        <v>100000</v>
      </c>
      <c r="AI181" s="16">
        <v>220000</v>
      </c>
      <c r="AJ181" s="16">
        <v>0</v>
      </c>
      <c r="AK181" s="16">
        <v>0</v>
      </c>
      <c r="AL181" s="16">
        <v>50000</v>
      </c>
      <c r="AM181" s="16">
        <v>0</v>
      </c>
      <c r="AN181" s="16">
        <v>70000</v>
      </c>
      <c r="AO181" s="16">
        <v>0</v>
      </c>
      <c r="AP181" s="16">
        <v>0</v>
      </c>
      <c r="AQ181" s="16">
        <v>0</v>
      </c>
      <c r="AR181" s="16">
        <v>0</v>
      </c>
      <c r="AS181" s="16">
        <v>0</v>
      </c>
      <c r="AT181" s="16">
        <v>0</v>
      </c>
      <c r="AU181" s="16">
        <v>0</v>
      </c>
      <c r="AV181" s="16">
        <v>0</v>
      </c>
      <c r="AW181" s="16">
        <v>0</v>
      </c>
      <c r="AX181" s="16">
        <v>0</v>
      </c>
      <c r="AY181" s="16">
        <v>0</v>
      </c>
      <c r="AZ181" s="16">
        <v>0</v>
      </c>
      <c r="BA181" s="16"/>
      <c r="BB181" s="15">
        <f t="shared" si="124"/>
        <v>1100920</v>
      </c>
      <c r="BC181" s="15">
        <v>0</v>
      </c>
      <c r="BD181" s="16">
        <v>315400</v>
      </c>
      <c r="BE181" s="16">
        <v>0</v>
      </c>
      <c r="BF181" s="16">
        <v>31540</v>
      </c>
      <c r="BG181" s="16">
        <v>0</v>
      </c>
      <c r="BH181" s="16">
        <v>233920</v>
      </c>
      <c r="BI181" s="16">
        <v>235800</v>
      </c>
      <c r="BJ181" s="16">
        <v>44160</v>
      </c>
      <c r="BK181" s="16">
        <v>19100</v>
      </c>
      <c r="BL181" s="16">
        <v>140000</v>
      </c>
      <c r="BM181" s="16">
        <v>0</v>
      </c>
      <c r="BN181" s="16">
        <v>81000</v>
      </c>
      <c r="BO181" s="16">
        <v>0</v>
      </c>
      <c r="BP181" s="16">
        <v>0</v>
      </c>
      <c r="BQ181" s="16">
        <v>0</v>
      </c>
      <c r="BR181" s="16">
        <v>0</v>
      </c>
      <c r="BS181" s="16">
        <v>0</v>
      </c>
      <c r="BT181" s="16">
        <v>0</v>
      </c>
      <c r="BU181" s="16">
        <v>0</v>
      </c>
      <c r="BV181" s="16">
        <v>0</v>
      </c>
      <c r="BW181" s="16">
        <v>0</v>
      </c>
    </row>
    <row r="182" spans="1:75" ht="18" hidden="1" customHeight="1" outlineLevel="1">
      <c r="J182" s="9"/>
      <c r="Q182" s="5">
        <v>2022</v>
      </c>
      <c r="R182" s="5">
        <v>5</v>
      </c>
      <c r="S182" s="14" t="s">
        <v>54</v>
      </c>
      <c r="T182" s="15">
        <f t="shared" si="122"/>
        <v>4607930</v>
      </c>
      <c r="U182" s="15">
        <f t="shared" si="123"/>
        <v>5920000</v>
      </c>
      <c r="V182" s="16">
        <v>3808000</v>
      </c>
      <c r="W182" s="16">
        <v>1422000</v>
      </c>
      <c r="X182" s="16">
        <v>0</v>
      </c>
      <c r="Y182" s="16">
        <v>0</v>
      </c>
      <c r="Z182" s="16">
        <v>0</v>
      </c>
      <c r="AA182" s="16">
        <v>0</v>
      </c>
      <c r="AB182" s="16">
        <v>0</v>
      </c>
      <c r="AC182" s="16">
        <v>0</v>
      </c>
      <c r="AD182" s="16">
        <v>0</v>
      </c>
      <c r="AE182" s="16">
        <v>0</v>
      </c>
      <c r="AF182" s="16">
        <v>50000</v>
      </c>
      <c r="AG182" s="16">
        <v>0</v>
      </c>
      <c r="AH182" s="16">
        <v>100000</v>
      </c>
      <c r="AI182" s="16">
        <v>220000</v>
      </c>
      <c r="AJ182" s="16">
        <v>200000</v>
      </c>
      <c r="AK182" s="16">
        <v>0</v>
      </c>
      <c r="AL182" s="16">
        <v>50000</v>
      </c>
      <c r="AM182" s="16">
        <v>0</v>
      </c>
      <c r="AN182" s="16">
        <v>70000</v>
      </c>
      <c r="AO182" s="16">
        <v>0</v>
      </c>
      <c r="AP182" s="16">
        <v>0</v>
      </c>
      <c r="AQ182" s="16">
        <v>0</v>
      </c>
      <c r="AR182" s="16">
        <v>0</v>
      </c>
      <c r="AS182" s="16">
        <v>0</v>
      </c>
      <c r="AT182" s="16">
        <v>0</v>
      </c>
      <c r="AU182" s="16">
        <v>0</v>
      </c>
      <c r="AV182" s="16">
        <v>0</v>
      </c>
      <c r="AW182" s="16">
        <v>0</v>
      </c>
      <c r="AX182" s="16">
        <v>0</v>
      </c>
      <c r="AY182" s="16">
        <v>0</v>
      </c>
      <c r="AZ182" s="16">
        <v>0</v>
      </c>
      <c r="BA182" s="16"/>
      <c r="BB182" s="15">
        <f t="shared" si="124"/>
        <v>1312070</v>
      </c>
      <c r="BC182" s="15">
        <v>0</v>
      </c>
      <c r="BD182" s="16">
        <v>337720</v>
      </c>
      <c r="BE182" s="16">
        <v>0</v>
      </c>
      <c r="BF182" s="16">
        <v>33770</v>
      </c>
      <c r="BG182" s="16">
        <v>0</v>
      </c>
      <c r="BH182" s="16">
        <v>233920</v>
      </c>
      <c r="BI182" s="16">
        <v>235800</v>
      </c>
      <c r="BJ182" s="16">
        <v>45760</v>
      </c>
      <c r="BK182" s="16">
        <v>19100</v>
      </c>
      <c r="BL182" s="16">
        <v>140000</v>
      </c>
      <c r="BM182" s="16">
        <v>200000</v>
      </c>
      <c r="BN182" s="16">
        <v>66000</v>
      </c>
      <c r="BO182" s="16">
        <v>0</v>
      </c>
      <c r="BP182" s="16">
        <v>0</v>
      </c>
      <c r="BQ182" s="16">
        <v>0</v>
      </c>
      <c r="BR182" s="16">
        <v>0</v>
      </c>
      <c r="BS182" s="16">
        <v>0</v>
      </c>
      <c r="BT182" s="16">
        <v>0</v>
      </c>
      <c r="BU182" s="16">
        <v>0</v>
      </c>
      <c r="BV182" s="16">
        <v>0</v>
      </c>
      <c r="BW182" s="16">
        <v>0</v>
      </c>
    </row>
    <row r="183" spans="1:75" ht="18" hidden="1" customHeight="1" outlineLevel="1">
      <c r="B183" s="7">
        <v>2021</v>
      </c>
      <c r="C183" s="8" t="s">
        <v>12</v>
      </c>
      <c r="E183" s="8">
        <v>6867</v>
      </c>
      <c r="J183" s="9"/>
      <c r="Q183" s="5">
        <v>2022</v>
      </c>
      <c r="R183" s="5">
        <v>4</v>
      </c>
      <c r="S183" s="14" t="s">
        <v>54</v>
      </c>
      <c r="T183" s="15">
        <f t="shared" si="122"/>
        <v>5163647</v>
      </c>
      <c r="U183" s="15">
        <f t="shared" si="123"/>
        <v>6452990</v>
      </c>
      <c r="V183" s="16">
        <v>3808000</v>
      </c>
      <c r="W183" s="16">
        <v>1422000</v>
      </c>
      <c r="X183" s="16">
        <v>0</v>
      </c>
      <c r="Y183" s="16">
        <v>0</v>
      </c>
      <c r="Z183" s="16">
        <v>0</v>
      </c>
      <c r="AA183" s="16">
        <v>0</v>
      </c>
      <c r="AB183" s="16">
        <v>0</v>
      </c>
      <c r="AC183" s="16">
        <v>732990</v>
      </c>
      <c r="AD183" s="16">
        <v>0</v>
      </c>
      <c r="AE183" s="16">
        <v>0</v>
      </c>
      <c r="AF183" s="16">
        <v>50000</v>
      </c>
      <c r="AG183" s="16">
        <v>0</v>
      </c>
      <c r="AH183" s="16">
        <v>100000</v>
      </c>
      <c r="AI183" s="16">
        <v>220000</v>
      </c>
      <c r="AJ183" s="16">
        <v>0</v>
      </c>
      <c r="AK183" s="16">
        <v>0</v>
      </c>
      <c r="AL183" s="16">
        <v>50000</v>
      </c>
      <c r="AM183" s="16">
        <v>0</v>
      </c>
      <c r="AN183" s="16">
        <v>70000</v>
      </c>
      <c r="AO183" s="16">
        <v>0</v>
      </c>
      <c r="AP183" s="16">
        <v>0</v>
      </c>
      <c r="AQ183" s="16">
        <v>0</v>
      </c>
      <c r="AR183" s="16">
        <v>0</v>
      </c>
      <c r="AS183" s="16">
        <v>0</v>
      </c>
      <c r="AT183" s="16">
        <v>0</v>
      </c>
      <c r="AU183" s="16">
        <v>0</v>
      </c>
      <c r="AV183" s="16">
        <v>0</v>
      </c>
      <c r="AW183" s="16">
        <v>0</v>
      </c>
      <c r="AX183" s="16">
        <v>0</v>
      </c>
      <c r="AY183" s="16">
        <v>0</v>
      </c>
      <c r="AZ183" s="16">
        <v>0</v>
      </c>
      <c r="BA183" s="16"/>
      <c r="BB183" s="15">
        <f t="shared" si="124"/>
        <v>1289343</v>
      </c>
      <c r="BC183" s="15">
        <v>0</v>
      </c>
      <c r="BD183" s="16">
        <v>446270</v>
      </c>
      <c r="BE183" s="16">
        <v>0</v>
      </c>
      <c r="BF183" s="16">
        <v>44620</v>
      </c>
      <c r="BG183" s="16">
        <v>0</v>
      </c>
      <c r="BH183" s="16">
        <v>233920</v>
      </c>
      <c r="BI183" s="16">
        <v>235800</v>
      </c>
      <c r="BJ183" s="16">
        <v>50023</v>
      </c>
      <c r="BK183" s="16">
        <v>19100</v>
      </c>
      <c r="BL183" s="16">
        <v>140000</v>
      </c>
      <c r="BM183" s="16">
        <v>0</v>
      </c>
      <c r="BN183" s="16">
        <v>39000</v>
      </c>
      <c r="BO183" s="16">
        <v>80610</v>
      </c>
      <c r="BP183" s="16">
        <v>0</v>
      </c>
      <c r="BQ183" s="16">
        <v>0</v>
      </c>
      <c r="BR183" s="16">
        <v>0</v>
      </c>
      <c r="BS183" s="16">
        <v>0</v>
      </c>
      <c r="BT183" s="16">
        <v>0</v>
      </c>
      <c r="BU183" s="16">
        <v>0</v>
      </c>
      <c r="BV183" s="16">
        <v>0</v>
      </c>
      <c r="BW183" s="16">
        <v>0</v>
      </c>
    </row>
    <row r="184" spans="1:75" ht="18" hidden="1" customHeight="1" outlineLevel="1">
      <c r="B184" s="7">
        <v>2021</v>
      </c>
      <c r="C184" s="8" t="s">
        <v>12</v>
      </c>
      <c r="E184" s="8">
        <v>6867</v>
      </c>
      <c r="J184" s="9"/>
      <c r="Q184" s="5">
        <v>2022</v>
      </c>
      <c r="R184" s="5">
        <v>4</v>
      </c>
      <c r="S184" s="14" t="s">
        <v>28</v>
      </c>
      <c r="T184" s="15">
        <f t="shared" si="122"/>
        <v>6854457</v>
      </c>
      <c r="U184" s="15">
        <f t="shared" si="123"/>
        <v>8559704</v>
      </c>
      <c r="V184" s="16">
        <v>0</v>
      </c>
      <c r="W184" s="16">
        <v>0</v>
      </c>
      <c r="X184" s="16">
        <v>0</v>
      </c>
      <c r="Y184" s="16">
        <v>0</v>
      </c>
      <c r="Z184" s="16">
        <v>0</v>
      </c>
      <c r="AA184" s="16">
        <v>0</v>
      </c>
      <c r="AB184" s="16">
        <v>0</v>
      </c>
      <c r="AC184" s="16">
        <v>0</v>
      </c>
      <c r="AD184" s="16">
        <v>7059704</v>
      </c>
      <c r="AE184" s="16">
        <v>1500000</v>
      </c>
      <c r="AF184" s="16">
        <v>0</v>
      </c>
      <c r="AG184" s="16">
        <v>0</v>
      </c>
      <c r="AH184" s="16">
        <v>0</v>
      </c>
      <c r="AI184" s="16">
        <v>0</v>
      </c>
      <c r="AJ184" s="16">
        <v>0</v>
      </c>
      <c r="AK184" s="16">
        <v>0</v>
      </c>
      <c r="AL184" s="16">
        <v>0</v>
      </c>
      <c r="AM184" s="16">
        <v>0</v>
      </c>
      <c r="AN184" s="16">
        <v>0</v>
      </c>
      <c r="AO184" s="16">
        <v>0</v>
      </c>
      <c r="AP184" s="16">
        <v>0</v>
      </c>
      <c r="AQ184" s="16">
        <v>0</v>
      </c>
      <c r="AR184" s="16">
        <v>0</v>
      </c>
      <c r="AS184" s="16">
        <v>0</v>
      </c>
      <c r="AT184" s="16">
        <v>0</v>
      </c>
      <c r="AU184" s="16">
        <v>0</v>
      </c>
      <c r="AV184" s="16">
        <v>0</v>
      </c>
      <c r="AW184" s="16">
        <v>0</v>
      </c>
      <c r="AX184" s="16">
        <v>0</v>
      </c>
      <c r="AY184" s="16">
        <v>0</v>
      </c>
      <c r="AZ184" s="16">
        <v>0</v>
      </c>
      <c r="BA184" s="16"/>
      <c r="BB184" s="15">
        <f t="shared" si="124"/>
        <v>1705247</v>
      </c>
      <c r="BC184" s="15">
        <v>0</v>
      </c>
      <c r="BD184" s="16">
        <v>1487980</v>
      </c>
      <c r="BE184" s="16">
        <v>0</v>
      </c>
      <c r="BF184" s="16">
        <v>148790</v>
      </c>
      <c r="BG184" s="16">
        <v>0</v>
      </c>
      <c r="BH184" s="16">
        <v>0</v>
      </c>
      <c r="BI184" s="16">
        <v>0</v>
      </c>
      <c r="BJ184" s="16">
        <v>68477</v>
      </c>
      <c r="BK184" s="16">
        <v>0</v>
      </c>
      <c r="BL184" s="16">
        <v>0</v>
      </c>
      <c r="BM184" s="16">
        <v>0</v>
      </c>
      <c r="BN184" s="16">
        <v>0</v>
      </c>
      <c r="BO184" s="16">
        <v>0</v>
      </c>
      <c r="BP184" s="16">
        <v>0</v>
      </c>
      <c r="BQ184" s="16">
        <v>0</v>
      </c>
      <c r="BR184" s="16">
        <v>0</v>
      </c>
      <c r="BS184" s="16">
        <v>0</v>
      </c>
      <c r="BT184" s="16">
        <v>0</v>
      </c>
      <c r="BU184" s="16">
        <v>0</v>
      </c>
      <c r="BV184" s="16">
        <v>0</v>
      </c>
      <c r="BW184" s="16">
        <v>0</v>
      </c>
    </row>
    <row r="185" spans="1:75" ht="18" hidden="1" customHeight="1" outlineLevel="1">
      <c r="B185" s="7">
        <v>2022</v>
      </c>
      <c r="C185" s="8" t="s">
        <v>12</v>
      </c>
      <c r="E185" s="8">
        <v>6867</v>
      </c>
      <c r="J185" s="9"/>
      <c r="Q185" s="5">
        <v>2022</v>
      </c>
      <c r="R185" s="5">
        <v>3</v>
      </c>
      <c r="S185" s="14" t="s">
        <v>54</v>
      </c>
      <c r="T185" s="15">
        <f t="shared" si="122"/>
        <v>4426795</v>
      </c>
      <c r="U185" s="15">
        <f t="shared" si="123"/>
        <v>5475670</v>
      </c>
      <c r="V185" s="16">
        <v>3630000</v>
      </c>
      <c r="W185" s="16">
        <v>1355670</v>
      </c>
      <c r="X185" s="16">
        <v>0</v>
      </c>
      <c r="Y185" s="16">
        <v>0</v>
      </c>
      <c r="Z185" s="16">
        <v>0</v>
      </c>
      <c r="AA185" s="16">
        <v>0</v>
      </c>
      <c r="AB185" s="16">
        <v>0</v>
      </c>
      <c r="AC185" s="16">
        <v>0</v>
      </c>
      <c r="AD185" s="16">
        <v>0</v>
      </c>
      <c r="AE185" s="16">
        <v>0</v>
      </c>
      <c r="AF185" s="16">
        <v>50000</v>
      </c>
      <c r="AG185" s="16">
        <v>0</v>
      </c>
      <c r="AH185" s="16">
        <v>100000</v>
      </c>
      <c r="AI185" s="16">
        <v>220000</v>
      </c>
      <c r="AJ185" s="16">
        <v>0</v>
      </c>
      <c r="AK185" s="16">
        <v>0</v>
      </c>
      <c r="AL185" s="16">
        <v>50000</v>
      </c>
      <c r="AM185" s="16">
        <v>0</v>
      </c>
      <c r="AN185" s="16">
        <v>70000</v>
      </c>
      <c r="AO185" s="16">
        <v>0</v>
      </c>
      <c r="AP185" s="16">
        <v>0</v>
      </c>
      <c r="AQ185" s="16">
        <v>0</v>
      </c>
      <c r="AR185" s="16">
        <v>0</v>
      </c>
      <c r="AS185" s="16">
        <v>0</v>
      </c>
      <c r="AT185" s="16">
        <v>0</v>
      </c>
      <c r="AU185" s="16">
        <v>0</v>
      </c>
      <c r="AV185" s="16">
        <v>0</v>
      </c>
      <c r="AW185" s="16">
        <v>0</v>
      </c>
      <c r="AX185" s="16">
        <v>0</v>
      </c>
      <c r="AY185" s="16">
        <v>0</v>
      </c>
      <c r="AZ185" s="16">
        <v>0</v>
      </c>
      <c r="BA185" s="16"/>
      <c r="BB185" s="15">
        <f t="shared" si="124"/>
        <v>1048875</v>
      </c>
      <c r="BC185" s="15">
        <v>0</v>
      </c>
      <c r="BD185" s="16">
        <v>286380</v>
      </c>
      <c r="BE185" s="16">
        <v>0</v>
      </c>
      <c r="BF185" s="16">
        <v>28630</v>
      </c>
      <c r="BG185" s="16">
        <v>0</v>
      </c>
      <c r="BH185" s="16">
        <v>227160</v>
      </c>
      <c r="BI185" s="16">
        <v>235800</v>
      </c>
      <c r="BJ185" s="16">
        <v>42205</v>
      </c>
      <c r="BK185" s="16">
        <v>18200</v>
      </c>
      <c r="BL185" s="16">
        <v>140000</v>
      </c>
      <c r="BM185" s="16">
        <v>0</v>
      </c>
      <c r="BN185" s="16">
        <v>70500</v>
      </c>
      <c r="BO185" s="16">
        <v>0</v>
      </c>
      <c r="BP185" s="16">
        <v>0</v>
      </c>
      <c r="BQ185" s="16">
        <v>0</v>
      </c>
      <c r="BR185" s="16">
        <v>0</v>
      </c>
      <c r="BS185" s="16">
        <v>0</v>
      </c>
      <c r="BT185" s="16">
        <v>0</v>
      </c>
      <c r="BU185" s="16">
        <v>0</v>
      </c>
      <c r="BV185" s="16">
        <v>0</v>
      </c>
      <c r="BW185" s="16">
        <v>0</v>
      </c>
    </row>
    <row r="186" spans="1:75" ht="18" hidden="1" customHeight="1" outlineLevel="1">
      <c r="B186" s="7">
        <v>2023</v>
      </c>
      <c r="C186" s="8" t="s">
        <v>12</v>
      </c>
      <c r="E186" s="8">
        <v>6867</v>
      </c>
      <c r="J186" s="9"/>
      <c r="Q186" s="5">
        <v>2022</v>
      </c>
      <c r="R186" s="5">
        <v>2</v>
      </c>
      <c r="S186" s="14" t="s">
        <v>54</v>
      </c>
      <c r="T186" s="15">
        <f t="shared" si="122"/>
        <v>5198345</v>
      </c>
      <c r="U186" s="15">
        <f t="shared" si="123"/>
        <v>5675670</v>
      </c>
      <c r="V186" s="16">
        <v>3630000</v>
      </c>
      <c r="W186" s="16">
        <v>1355670</v>
      </c>
      <c r="X186" s="16">
        <v>0</v>
      </c>
      <c r="Y186" s="16">
        <v>0</v>
      </c>
      <c r="Z186" s="16">
        <v>0</v>
      </c>
      <c r="AA186" s="16">
        <v>0</v>
      </c>
      <c r="AB186" s="16">
        <v>0</v>
      </c>
      <c r="AC186" s="16">
        <v>0</v>
      </c>
      <c r="AD186" s="16">
        <v>0</v>
      </c>
      <c r="AE186" s="16">
        <v>0</v>
      </c>
      <c r="AF186" s="16">
        <v>50000</v>
      </c>
      <c r="AG186" s="16">
        <v>0</v>
      </c>
      <c r="AH186" s="16">
        <v>100000</v>
      </c>
      <c r="AI186" s="16">
        <v>220000</v>
      </c>
      <c r="AJ186" s="16">
        <v>0</v>
      </c>
      <c r="AK186" s="16">
        <v>0</v>
      </c>
      <c r="AL186" s="16">
        <v>50000</v>
      </c>
      <c r="AM186" s="16">
        <v>0</v>
      </c>
      <c r="AN186" s="16">
        <v>70000</v>
      </c>
      <c r="AO186" s="16">
        <v>50000</v>
      </c>
      <c r="AP186" s="16">
        <v>150000</v>
      </c>
      <c r="AQ186" s="16">
        <v>0</v>
      </c>
      <c r="AR186" s="16">
        <v>0</v>
      </c>
      <c r="AS186" s="16">
        <v>0</v>
      </c>
      <c r="AT186" s="16">
        <v>0</v>
      </c>
      <c r="AU186" s="16">
        <v>0</v>
      </c>
      <c r="AV186" s="16">
        <v>0</v>
      </c>
      <c r="AW186" s="16">
        <v>0</v>
      </c>
      <c r="AX186" s="16">
        <v>0</v>
      </c>
      <c r="AY186" s="16">
        <v>0</v>
      </c>
      <c r="AZ186" s="16">
        <v>0</v>
      </c>
      <c r="BA186" s="16"/>
      <c r="BB186" s="15">
        <f t="shared" si="124"/>
        <v>477325</v>
      </c>
      <c r="BC186" s="15">
        <v>-573670</v>
      </c>
      <c r="BD186" s="16">
        <v>286380</v>
      </c>
      <c r="BE186" s="16">
        <v>0</v>
      </c>
      <c r="BF186" s="16">
        <v>28630</v>
      </c>
      <c r="BG186" s="16">
        <v>0</v>
      </c>
      <c r="BH186" s="16">
        <v>227160</v>
      </c>
      <c r="BI186" s="16">
        <v>235800</v>
      </c>
      <c r="BJ186" s="16">
        <v>42205</v>
      </c>
      <c r="BK186" s="16">
        <v>18200</v>
      </c>
      <c r="BL186" s="16">
        <v>140000</v>
      </c>
      <c r="BM186" s="16">
        <v>0</v>
      </c>
      <c r="BN186" s="16">
        <v>57000</v>
      </c>
      <c r="BO186" s="16">
        <v>0</v>
      </c>
      <c r="BP186" s="16">
        <v>15620</v>
      </c>
      <c r="BQ186" s="16">
        <v>0</v>
      </c>
      <c r="BR186" s="16">
        <v>0</v>
      </c>
      <c r="BS186" s="16">
        <v>0</v>
      </c>
      <c r="BT186" s="16">
        <v>0</v>
      </c>
      <c r="BU186" s="16">
        <v>0</v>
      </c>
      <c r="BV186" s="16">
        <v>0</v>
      </c>
      <c r="BW186" s="16">
        <v>0</v>
      </c>
    </row>
    <row r="187" spans="1:75" ht="18" hidden="1" customHeight="1" outlineLevel="1">
      <c r="B187" s="7">
        <v>2024</v>
      </c>
      <c r="C187" s="8" t="s">
        <v>12</v>
      </c>
      <c r="E187" s="8">
        <v>6867</v>
      </c>
      <c r="J187" s="9"/>
      <c r="Q187" s="5">
        <v>2022</v>
      </c>
      <c r="R187" s="5">
        <v>1</v>
      </c>
      <c r="S187" s="14" t="s">
        <v>54</v>
      </c>
      <c r="T187" s="15">
        <f t="shared" si="122"/>
        <v>4420945</v>
      </c>
      <c r="U187" s="15">
        <f t="shared" si="123"/>
        <v>5625670</v>
      </c>
      <c r="V187" s="16">
        <v>3630000</v>
      </c>
      <c r="W187" s="16">
        <v>1355670</v>
      </c>
      <c r="X187" s="16">
        <v>0</v>
      </c>
      <c r="Y187" s="16">
        <v>0</v>
      </c>
      <c r="Z187" s="16">
        <v>0</v>
      </c>
      <c r="AA187" s="16">
        <v>0</v>
      </c>
      <c r="AB187" s="16">
        <v>0</v>
      </c>
      <c r="AC187" s="16">
        <v>0</v>
      </c>
      <c r="AD187" s="16">
        <v>0</v>
      </c>
      <c r="AE187" s="16">
        <v>0</v>
      </c>
      <c r="AF187" s="16">
        <v>50000</v>
      </c>
      <c r="AG187" s="16">
        <v>0</v>
      </c>
      <c r="AH187" s="16">
        <v>100000</v>
      </c>
      <c r="AI187" s="16">
        <v>220000</v>
      </c>
      <c r="AJ187" s="16">
        <v>150000</v>
      </c>
      <c r="AK187" s="16">
        <v>0</v>
      </c>
      <c r="AL187" s="16">
        <v>50000</v>
      </c>
      <c r="AM187" s="16">
        <v>0</v>
      </c>
      <c r="AN187" s="16">
        <v>70000</v>
      </c>
      <c r="AO187" s="16">
        <v>0</v>
      </c>
      <c r="AP187" s="16">
        <v>0</v>
      </c>
      <c r="AQ187" s="16">
        <v>0</v>
      </c>
      <c r="AR187" s="16">
        <v>0</v>
      </c>
      <c r="AS187" s="16">
        <v>0</v>
      </c>
      <c r="AT187" s="16">
        <v>0</v>
      </c>
      <c r="AU187" s="16">
        <v>0</v>
      </c>
      <c r="AV187" s="16">
        <v>0</v>
      </c>
      <c r="AW187" s="16">
        <v>0</v>
      </c>
      <c r="AX187" s="16">
        <v>0</v>
      </c>
      <c r="AY187" s="16">
        <v>0</v>
      </c>
      <c r="AZ187" s="16">
        <v>0</v>
      </c>
      <c r="BA187" s="16"/>
      <c r="BB187" s="15">
        <f t="shared" si="124"/>
        <v>1204725</v>
      </c>
      <c r="BC187" s="15">
        <v>0</v>
      </c>
      <c r="BD187" s="16">
        <v>304240</v>
      </c>
      <c r="BE187" s="16">
        <v>0</v>
      </c>
      <c r="BF187" s="16">
        <v>30420</v>
      </c>
      <c r="BG187" s="16">
        <v>0</v>
      </c>
      <c r="BH187" s="16">
        <v>227160</v>
      </c>
      <c r="BI187" s="16">
        <v>235800</v>
      </c>
      <c r="BJ187" s="16">
        <v>43405</v>
      </c>
      <c r="BK187" s="16">
        <v>18200</v>
      </c>
      <c r="BL187" s="16">
        <v>140000</v>
      </c>
      <c r="BM187" s="16">
        <v>150000</v>
      </c>
      <c r="BN187" s="16">
        <v>55500</v>
      </c>
      <c r="BO187" s="16">
        <v>0</v>
      </c>
      <c r="BP187" s="16">
        <v>0</v>
      </c>
      <c r="BQ187" s="16">
        <v>0</v>
      </c>
      <c r="BR187" s="16">
        <v>0</v>
      </c>
      <c r="BS187" s="16">
        <v>0</v>
      </c>
      <c r="BT187" s="16">
        <v>0</v>
      </c>
      <c r="BU187" s="16">
        <v>0</v>
      </c>
      <c r="BV187" s="16">
        <v>0</v>
      </c>
      <c r="BW187" s="16">
        <v>0</v>
      </c>
    </row>
    <row r="188" spans="1:75" s="1" customFormat="1" ht="18" customHeight="1" collapsed="1">
      <c r="A188" s="10"/>
      <c r="B188" s="11"/>
      <c r="C188" s="12"/>
      <c r="D188" s="11"/>
      <c r="E188" s="12"/>
      <c r="F188" s="12"/>
      <c r="G188" s="12"/>
      <c r="H188" s="12"/>
      <c r="I188" s="12"/>
      <c r="J188" s="3"/>
      <c r="K188" s="12"/>
      <c r="L188" s="12"/>
      <c r="M188" s="12"/>
      <c r="N188" s="12"/>
      <c r="O188" s="13"/>
      <c r="Q188" s="667" t="s">
        <v>66</v>
      </c>
      <c r="R188" s="667"/>
      <c r="S188" s="667"/>
      <c r="T188" s="23">
        <f t="shared" ref="T188:AZ188" si="128">SUMIF($Q$2:$Q$793,$Q189,T$2:T$793)</f>
        <v>60190131</v>
      </c>
      <c r="U188" s="23">
        <f t="shared" si="128"/>
        <v>74341085</v>
      </c>
      <c r="V188" s="23">
        <f t="shared" si="128"/>
        <v>43232000</v>
      </c>
      <c r="W188" s="23">
        <f t="shared" si="128"/>
        <v>16147360</v>
      </c>
      <c r="X188" s="23">
        <f t="shared" si="128"/>
        <v>0</v>
      </c>
      <c r="Y188" s="23">
        <f t="shared" si="128"/>
        <v>0</v>
      </c>
      <c r="Z188" s="23">
        <f t="shared" si="128"/>
        <v>0</v>
      </c>
      <c r="AA188" s="23">
        <f t="shared" si="128"/>
        <v>0</v>
      </c>
      <c r="AB188" s="23">
        <f t="shared" si="128"/>
        <v>0</v>
      </c>
      <c r="AC188" s="23">
        <f t="shared" si="128"/>
        <v>448680</v>
      </c>
      <c r="AD188" s="23">
        <f t="shared" si="128"/>
        <v>6199092</v>
      </c>
      <c r="AE188" s="23">
        <f t="shared" si="128"/>
        <v>1500000</v>
      </c>
      <c r="AF188" s="23">
        <f t="shared" si="128"/>
        <v>600000</v>
      </c>
      <c r="AG188" s="23">
        <f t="shared" si="128"/>
        <v>0</v>
      </c>
      <c r="AH188" s="23">
        <f t="shared" si="128"/>
        <v>1200000</v>
      </c>
      <c r="AI188" s="23">
        <f t="shared" si="128"/>
        <v>2560000</v>
      </c>
      <c r="AJ188" s="23">
        <f t="shared" si="128"/>
        <v>450000</v>
      </c>
      <c r="AK188" s="23">
        <f t="shared" si="128"/>
        <v>300000</v>
      </c>
      <c r="AL188" s="23">
        <f t="shared" si="128"/>
        <v>600000</v>
      </c>
      <c r="AM188" s="23">
        <f t="shared" si="128"/>
        <v>0</v>
      </c>
      <c r="AN188" s="23">
        <f t="shared" si="128"/>
        <v>630000</v>
      </c>
      <c r="AO188" s="23">
        <f t="shared" si="128"/>
        <v>100000</v>
      </c>
      <c r="AP188" s="23">
        <f t="shared" si="128"/>
        <v>300000</v>
      </c>
      <c r="AQ188" s="23">
        <f t="shared" si="128"/>
        <v>40000</v>
      </c>
      <c r="AR188" s="23">
        <f t="shared" si="128"/>
        <v>0</v>
      </c>
      <c r="AS188" s="23">
        <f t="shared" si="128"/>
        <v>33953</v>
      </c>
      <c r="AT188" s="23">
        <f t="shared" si="128"/>
        <v>0</v>
      </c>
      <c r="AU188" s="23">
        <f t="shared" si="128"/>
        <v>0</v>
      </c>
      <c r="AV188" s="23">
        <f t="shared" si="128"/>
        <v>0</v>
      </c>
      <c r="AW188" s="23">
        <f t="shared" si="128"/>
        <v>0</v>
      </c>
      <c r="AX188" s="23">
        <f t="shared" si="128"/>
        <v>0</v>
      </c>
      <c r="AY188" s="23">
        <f t="shared" si="128"/>
        <v>0</v>
      </c>
      <c r="AZ188" s="23">
        <f t="shared" si="128"/>
        <v>0</v>
      </c>
      <c r="BA188" s="23"/>
      <c r="BB188" s="23">
        <f t="shared" ref="BB188:BW188" si="129">SUMIF($Q$2:$Q$793,$Q189,BB$2:BB$793)</f>
        <v>14150954</v>
      </c>
      <c r="BC188" s="23">
        <f t="shared" si="129"/>
        <v>142440</v>
      </c>
      <c r="BD188" s="23">
        <f t="shared" si="129"/>
        <v>4809670</v>
      </c>
      <c r="BE188" s="23">
        <f t="shared" si="129"/>
        <v>0</v>
      </c>
      <c r="BF188" s="23">
        <f t="shared" si="129"/>
        <v>480890</v>
      </c>
      <c r="BG188" s="23">
        <f t="shared" si="129"/>
        <v>0</v>
      </c>
      <c r="BH188" s="23">
        <f t="shared" si="129"/>
        <v>2655750</v>
      </c>
      <c r="BI188" s="23">
        <f t="shared" si="129"/>
        <v>2772900</v>
      </c>
      <c r="BJ188" s="23">
        <f t="shared" si="129"/>
        <v>572324</v>
      </c>
      <c r="BK188" s="23">
        <f t="shared" si="129"/>
        <v>216800</v>
      </c>
      <c r="BL188" s="23">
        <f t="shared" si="129"/>
        <v>1260000</v>
      </c>
      <c r="BM188" s="23">
        <f t="shared" si="129"/>
        <v>450000</v>
      </c>
      <c r="BN188" s="23">
        <f t="shared" si="129"/>
        <v>720700</v>
      </c>
      <c r="BO188" s="23">
        <f t="shared" si="129"/>
        <v>34280</v>
      </c>
      <c r="BP188" s="23">
        <f t="shared" si="129"/>
        <v>5200</v>
      </c>
      <c r="BQ188" s="23">
        <f t="shared" si="129"/>
        <v>0</v>
      </c>
      <c r="BR188" s="23">
        <f t="shared" si="129"/>
        <v>30000</v>
      </c>
      <c r="BS188" s="23">
        <f t="shared" si="129"/>
        <v>0</v>
      </c>
      <c r="BT188" s="23">
        <f t="shared" si="129"/>
        <v>0</v>
      </c>
      <c r="BU188" s="23">
        <f t="shared" si="129"/>
        <v>0</v>
      </c>
      <c r="BV188" s="23">
        <f t="shared" si="129"/>
        <v>0</v>
      </c>
      <c r="BW188" s="23">
        <f t="shared" si="129"/>
        <v>0</v>
      </c>
    </row>
    <row r="189" spans="1:75" ht="18" hidden="1" customHeight="1" outlineLevel="1">
      <c r="D189" s="7" t="s">
        <v>11</v>
      </c>
      <c r="F189" s="8">
        <v>4717</v>
      </c>
      <c r="G189" s="8">
        <v>5848</v>
      </c>
      <c r="K189" s="8">
        <v>2400</v>
      </c>
      <c r="L189" s="8">
        <f t="shared" ref="L189:L194" si="130">K189*12</f>
        <v>28800</v>
      </c>
      <c r="M189" s="8">
        <f t="shared" ref="M189:M194" si="131">L189*1.13</f>
        <v>32543.999999999996</v>
      </c>
      <c r="N189" s="8">
        <v>21014</v>
      </c>
      <c r="O189" s="9">
        <f t="shared" ref="O189:O194" si="132">N189/M189</f>
        <v>0.64571042281219282</v>
      </c>
      <c r="Q189" s="5">
        <v>2021</v>
      </c>
      <c r="R189" s="5">
        <v>12</v>
      </c>
      <c r="S189" s="14" t="s">
        <v>54</v>
      </c>
      <c r="T189" s="15">
        <f t="shared" ref="T189:T201" si="133">IF(U189=U189-BB189,0,U189-BB189)</f>
        <v>4434005</v>
      </c>
      <c r="U189" s="15">
        <f t="shared" ref="U189:U201" si="134">SUM(V189:BA189)</f>
        <v>5475670</v>
      </c>
      <c r="V189" s="16">
        <v>3630000</v>
      </c>
      <c r="W189" s="16">
        <v>1355670</v>
      </c>
      <c r="X189" s="16">
        <v>0</v>
      </c>
      <c r="Y189" s="16">
        <v>0</v>
      </c>
      <c r="Z189" s="16">
        <v>0</v>
      </c>
      <c r="AA189" s="16">
        <v>0</v>
      </c>
      <c r="AB189" s="16">
        <v>0</v>
      </c>
      <c r="AC189" s="16">
        <v>0</v>
      </c>
      <c r="AD189" s="16">
        <v>0</v>
      </c>
      <c r="AE189" s="16">
        <v>0</v>
      </c>
      <c r="AF189" s="16">
        <v>50000</v>
      </c>
      <c r="AG189" s="16">
        <v>0</v>
      </c>
      <c r="AH189" s="16">
        <v>100000</v>
      </c>
      <c r="AI189" s="16">
        <v>220000</v>
      </c>
      <c r="AJ189" s="16">
        <v>0</v>
      </c>
      <c r="AK189" s="16">
        <v>0</v>
      </c>
      <c r="AL189" s="16">
        <v>50000</v>
      </c>
      <c r="AM189" s="16">
        <v>0</v>
      </c>
      <c r="AN189" s="16">
        <v>70000</v>
      </c>
      <c r="AO189" s="16">
        <v>0</v>
      </c>
      <c r="AP189" s="16">
        <v>0</v>
      </c>
      <c r="AQ189" s="16">
        <v>0</v>
      </c>
      <c r="AR189" s="16">
        <v>0</v>
      </c>
      <c r="AS189" s="16">
        <v>0</v>
      </c>
      <c r="AT189" s="16">
        <v>0</v>
      </c>
      <c r="AU189" s="16">
        <v>0</v>
      </c>
      <c r="AV189" s="16">
        <v>0</v>
      </c>
      <c r="AW189" s="16">
        <v>0</v>
      </c>
      <c r="AX189" s="16">
        <v>0</v>
      </c>
      <c r="AY189" s="16">
        <v>0</v>
      </c>
      <c r="AZ189" s="16">
        <v>0</v>
      </c>
      <c r="BA189" s="16"/>
      <c r="BB189" s="15">
        <f t="shared" ref="BB189:BB201" si="135">SUM(BC189:BW189)</f>
        <v>1041665</v>
      </c>
      <c r="BC189" s="15">
        <v>0</v>
      </c>
      <c r="BD189" s="16">
        <v>286380</v>
      </c>
      <c r="BE189" s="16">
        <v>0</v>
      </c>
      <c r="BF189" s="16">
        <v>28630</v>
      </c>
      <c r="BG189" s="16">
        <v>0</v>
      </c>
      <c r="BH189" s="16">
        <v>221450</v>
      </c>
      <c r="BI189" s="16">
        <v>235800</v>
      </c>
      <c r="BJ189" s="16">
        <v>42205</v>
      </c>
      <c r="BK189" s="16">
        <v>18200</v>
      </c>
      <c r="BL189" s="16">
        <v>140000</v>
      </c>
      <c r="BM189" s="16">
        <v>0</v>
      </c>
      <c r="BN189" s="16">
        <v>69000</v>
      </c>
      <c r="BO189" s="16">
        <v>0</v>
      </c>
      <c r="BP189" s="16">
        <v>0</v>
      </c>
      <c r="BQ189" s="16">
        <v>0</v>
      </c>
      <c r="BR189" s="16">
        <v>0</v>
      </c>
      <c r="BS189" s="16">
        <v>0</v>
      </c>
      <c r="BT189" s="16">
        <v>0</v>
      </c>
      <c r="BU189" s="16">
        <v>0</v>
      </c>
      <c r="BV189" s="16">
        <v>0</v>
      </c>
      <c r="BW189" s="16">
        <v>0</v>
      </c>
    </row>
    <row r="190" spans="1:75" ht="18" hidden="1" customHeight="1" outlineLevel="1">
      <c r="D190" s="7" t="s">
        <v>11</v>
      </c>
      <c r="F190" s="8">
        <v>4717</v>
      </c>
      <c r="G190" s="8">
        <v>5848</v>
      </c>
      <c r="K190" s="8">
        <v>2400</v>
      </c>
      <c r="L190" s="8">
        <f t="shared" si="130"/>
        <v>28800</v>
      </c>
      <c r="M190" s="8">
        <f t="shared" si="131"/>
        <v>32543.999999999996</v>
      </c>
      <c r="N190" s="8">
        <v>21014</v>
      </c>
      <c r="O190" s="9">
        <f t="shared" si="132"/>
        <v>0.64571042281219282</v>
      </c>
      <c r="Q190" s="5">
        <v>2021</v>
      </c>
      <c r="R190" s="5">
        <v>11</v>
      </c>
      <c r="S190" s="14" t="s">
        <v>54</v>
      </c>
      <c r="T190" s="15">
        <f t="shared" si="133"/>
        <v>4443005</v>
      </c>
      <c r="U190" s="15">
        <f t="shared" si="134"/>
        <v>5475670</v>
      </c>
      <c r="V190" s="16">
        <v>3630000</v>
      </c>
      <c r="W190" s="16">
        <v>1355670</v>
      </c>
      <c r="X190" s="16">
        <v>0</v>
      </c>
      <c r="Y190" s="16">
        <v>0</v>
      </c>
      <c r="Z190" s="16">
        <v>0</v>
      </c>
      <c r="AA190" s="16">
        <v>0</v>
      </c>
      <c r="AB190" s="16">
        <v>0</v>
      </c>
      <c r="AC190" s="16">
        <v>0</v>
      </c>
      <c r="AD190" s="16">
        <v>0</v>
      </c>
      <c r="AE190" s="16">
        <v>0</v>
      </c>
      <c r="AF190" s="16">
        <v>50000</v>
      </c>
      <c r="AG190" s="16">
        <v>0</v>
      </c>
      <c r="AH190" s="16">
        <v>100000</v>
      </c>
      <c r="AI190" s="16">
        <v>220000</v>
      </c>
      <c r="AJ190" s="16">
        <v>0</v>
      </c>
      <c r="AK190" s="16">
        <v>0</v>
      </c>
      <c r="AL190" s="16">
        <v>50000</v>
      </c>
      <c r="AM190" s="16">
        <v>0</v>
      </c>
      <c r="AN190" s="16">
        <v>70000</v>
      </c>
      <c r="AO190" s="16">
        <v>0</v>
      </c>
      <c r="AP190" s="16">
        <v>0</v>
      </c>
      <c r="AQ190" s="16">
        <v>0</v>
      </c>
      <c r="AR190" s="16">
        <v>0</v>
      </c>
      <c r="AS190" s="16">
        <v>0</v>
      </c>
      <c r="AT190" s="16">
        <v>0</v>
      </c>
      <c r="AU190" s="16">
        <v>0</v>
      </c>
      <c r="AV190" s="16">
        <v>0</v>
      </c>
      <c r="AW190" s="16">
        <v>0</v>
      </c>
      <c r="AX190" s="16">
        <v>0</v>
      </c>
      <c r="AY190" s="16">
        <v>0</v>
      </c>
      <c r="AZ190" s="16">
        <v>0</v>
      </c>
      <c r="BA190" s="16"/>
      <c r="BB190" s="15">
        <f t="shared" si="135"/>
        <v>1032665</v>
      </c>
      <c r="BC190" s="15">
        <v>0</v>
      </c>
      <c r="BD190" s="16">
        <v>286380</v>
      </c>
      <c r="BE190" s="16">
        <v>0</v>
      </c>
      <c r="BF190" s="16">
        <v>28630</v>
      </c>
      <c r="BG190" s="16">
        <v>0</v>
      </c>
      <c r="BH190" s="16">
        <v>221450</v>
      </c>
      <c r="BI190" s="16">
        <v>235800</v>
      </c>
      <c r="BJ190" s="16">
        <v>42205</v>
      </c>
      <c r="BK190" s="16">
        <v>18200</v>
      </c>
      <c r="BL190" s="16">
        <v>140000</v>
      </c>
      <c r="BM190" s="16">
        <v>0</v>
      </c>
      <c r="BN190" s="16">
        <v>60000</v>
      </c>
      <c r="BO190" s="16">
        <v>0</v>
      </c>
      <c r="BP190" s="16">
        <v>0</v>
      </c>
      <c r="BQ190" s="16">
        <v>0</v>
      </c>
      <c r="BR190" s="16">
        <v>0</v>
      </c>
      <c r="BS190" s="16">
        <v>0</v>
      </c>
      <c r="BT190" s="16">
        <v>0</v>
      </c>
      <c r="BU190" s="16">
        <v>0</v>
      </c>
      <c r="BV190" s="16">
        <v>0</v>
      </c>
      <c r="BW190" s="16">
        <v>0</v>
      </c>
    </row>
    <row r="191" spans="1:75" ht="18" hidden="1" customHeight="1" outlineLevel="1">
      <c r="D191" s="7" t="s">
        <v>11</v>
      </c>
      <c r="F191" s="8">
        <v>4717</v>
      </c>
      <c r="G191" s="8">
        <v>5848</v>
      </c>
      <c r="K191" s="8">
        <v>2400</v>
      </c>
      <c r="L191" s="8">
        <f t="shared" si="130"/>
        <v>28800</v>
      </c>
      <c r="M191" s="8">
        <f t="shared" si="131"/>
        <v>32543.999999999996</v>
      </c>
      <c r="N191" s="8">
        <v>21014</v>
      </c>
      <c r="O191" s="9">
        <f t="shared" si="132"/>
        <v>0.64571042281219282</v>
      </c>
      <c r="Q191" s="5">
        <v>2021</v>
      </c>
      <c r="R191" s="5">
        <v>10</v>
      </c>
      <c r="S191" s="14" t="s">
        <v>54</v>
      </c>
      <c r="T191" s="15">
        <f t="shared" si="133"/>
        <v>4638505</v>
      </c>
      <c r="U191" s="15">
        <f t="shared" si="134"/>
        <v>5675670</v>
      </c>
      <c r="V191" s="16">
        <v>3630000</v>
      </c>
      <c r="W191" s="16">
        <v>1355670</v>
      </c>
      <c r="X191" s="16">
        <v>0</v>
      </c>
      <c r="Y191" s="16">
        <v>0</v>
      </c>
      <c r="Z191" s="16">
        <v>0</v>
      </c>
      <c r="AA191" s="16">
        <v>0</v>
      </c>
      <c r="AB191" s="16">
        <v>0</v>
      </c>
      <c r="AC191" s="16">
        <v>0</v>
      </c>
      <c r="AD191" s="16">
        <v>0</v>
      </c>
      <c r="AE191" s="16">
        <v>0</v>
      </c>
      <c r="AF191" s="16">
        <v>50000</v>
      </c>
      <c r="AG191" s="16">
        <v>0</v>
      </c>
      <c r="AH191" s="16">
        <v>100000</v>
      </c>
      <c r="AI191" s="16">
        <v>220000</v>
      </c>
      <c r="AJ191" s="16">
        <v>0</v>
      </c>
      <c r="AK191" s="16">
        <v>0</v>
      </c>
      <c r="AL191" s="16">
        <v>50000</v>
      </c>
      <c r="AM191" s="16">
        <v>0</v>
      </c>
      <c r="AN191" s="16">
        <v>70000</v>
      </c>
      <c r="AO191" s="16">
        <v>50000</v>
      </c>
      <c r="AP191" s="16">
        <v>150000</v>
      </c>
      <c r="AQ191" s="16">
        <v>0</v>
      </c>
      <c r="AR191" s="16">
        <v>0</v>
      </c>
      <c r="AS191" s="16">
        <v>0</v>
      </c>
      <c r="AT191" s="16">
        <v>0</v>
      </c>
      <c r="AU191" s="16">
        <v>0</v>
      </c>
      <c r="AV191" s="16">
        <v>0</v>
      </c>
      <c r="AW191" s="16">
        <v>0</v>
      </c>
      <c r="AX191" s="16">
        <v>0</v>
      </c>
      <c r="AY191" s="16">
        <v>0</v>
      </c>
      <c r="AZ191" s="16">
        <v>0</v>
      </c>
      <c r="BA191" s="16"/>
      <c r="BB191" s="15">
        <f t="shared" si="135"/>
        <v>1037165</v>
      </c>
      <c r="BC191" s="15">
        <v>0</v>
      </c>
      <c r="BD191" s="16">
        <v>286380</v>
      </c>
      <c r="BE191" s="16">
        <v>0</v>
      </c>
      <c r="BF191" s="16">
        <v>28630</v>
      </c>
      <c r="BG191" s="16">
        <v>0</v>
      </c>
      <c r="BH191" s="16">
        <v>221450</v>
      </c>
      <c r="BI191" s="16">
        <v>235800</v>
      </c>
      <c r="BJ191" s="16">
        <v>42205</v>
      </c>
      <c r="BK191" s="16">
        <v>18200</v>
      </c>
      <c r="BL191" s="16">
        <v>140000</v>
      </c>
      <c r="BM191" s="16">
        <v>0</v>
      </c>
      <c r="BN191" s="16">
        <v>64500</v>
      </c>
      <c r="BO191" s="16">
        <v>0</v>
      </c>
      <c r="BP191" s="16">
        <v>0</v>
      </c>
      <c r="BQ191" s="16">
        <v>0</v>
      </c>
      <c r="BR191" s="16">
        <v>0</v>
      </c>
      <c r="BS191" s="16">
        <v>0</v>
      </c>
      <c r="BT191" s="16">
        <v>0</v>
      </c>
      <c r="BU191" s="16">
        <v>0</v>
      </c>
      <c r="BV191" s="16">
        <v>0</v>
      </c>
      <c r="BW191" s="16">
        <v>0</v>
      </c>
    </row>
    <row r="192" spans="1:75" ht="18" hidden="1" customHeight="1" outlineLevel="1">
      <c r="D192" s="7" t="s">
        <v>12</v>
      </c>
      <c r="F192" s="8">
        <v>6867</v>
      </c>
      <c r="G192" s="8">
        <v>6867</v>
      </c>
      <c r="K192" s="8">
        <v>2400</v>
      </c>
      <c r="L192" s="8">
        <f t="shared" si="130"/>
        <v>28800</v>
      </c>
      <c r="M192" s="8">
        <f t="shared" si="131"/>
        <v>32543.999999999996</v>
      </c>
      <c r="N192" s="8">
        <v>21014</v>
      </c>
      <c r="O192" s="9">
        <f t="shared" si="132"/>
        <v>0.64571042281219282</v>
      </c>
      <c r="Q192" s="5">
        <v>2021</v>
      </c>
      <c r="R192" s="5">
        <v>9</v>
      </c>
      <c r="S192" s="14" t="s">
        <v>54</v>
      </c>
      <c r="T192" s="15">
        <f t="shared" si="133"/>
        <v>4470155</v>
      </c>
      <c r="U192" s="15">
        <f t="shared" si="134"/>
        <v>5625670</v>
      </c>
      <c r="V192" s="16">
        <v>3630000</v>
      </c>
      <c r="W192" s="16">
        <v>1355670</v>
      </c>
      <c r="X192" s="16">
        <v>0</v>
      </c>
      <c r="Y192" s="16">
        <v>0</v>
      </c>
      <c r="Z192" s="16">
        <v>0</v>
      </c>
      <c r="AA192" s="16">
        <v>0</v>
      </c>
      <c r="AB192" s="16">
        <v>0</v>
      </c>
      <c r="AC192" s="16">
        <v>0</v>
      </c>
      <c r="AD192" s="16">
        <v>0</v>
      </c>
      <c r="AE192" s="16">
        <v>0</v>
      </c>
      <c r="AF192" s="16">
        <v>50000</v>
      </c>
      <c r="AG192" s="16">
        <v>0</v>
      </c>
      <c r="AH192" s="16">
        <v>100000</v>
      </c>
      <c r="AI192" s="16">
        <v>220000</v>
      </c>
      <c r="AJ192" s="16">
        <v>150000</v>
      </c>
      <c r="AK192" s="16">
        <v>0</v>
      </c>
      <c r="AL192" s="16">
        <v>50000</v>
      </c>
      <c r="AM192" s="16">
        <v>0</v>
      </c>
      <c r="AN192" s="16">
        <v>70000</v>
      </c>
      <c r="AO192" s="16">
        <v>0</v>
      </c>
      <c r="AP192" s="16">
        <v>0</v>
      </c>
      <c r="AQ192" s="16">
        <v>0</v>
      </c>
      <c r="AR192" s="16">
        <v>0</v>
      </c>
      <c r="AS192" s="16">
        <v>0</v>
      </c>
      <c r="AT192" s="16">
        <v>0</v>
      </c>
      <c r="AU192" s="16">
        <v>0</v>
      </c>
      <c r="AV192" s="16">
        <v>0</v>
      </c>
      <c r="AW192" s="16">
        <v>0</v>
      </c>
      <c r="AX192" s="16">
        <v>0</v>
      </c>
      <c r="AY192" s="16">
        <v>0</v>
      </c>
      <c r="AZ192" s="16">
        <v>0</v>
      </c>
      <c r="BA192" s="16"/>
      <c r="BB192" s="15">
        <f t="shared" si="135"/>
        <v>1155515</v>
      </c>
      <c r="BC192" s="15">
        <v>0</v>
      </c>
      <c r="BD192" s="16">
        <v>304240</v>
      </c>
      <c r="BE192" s="16">
        <v>0</v>
      </c>
      <c r="BF192" s="16">
        <v>30420</v>
      </c>
      <c r="BG192" s="16">
        <v>0</v>
      </c>
      <c r="BH192" s="16">
        <v>221450</v>
      </c>
      <c r="BI192" s="16">
        <v>235800</v>
      </c>
      <c r="BJ192" s="16">
        <v>43405</v>
      </c>
      <c r="BK192" s="16">
        <v>18200</v>
      </c>
      <c r="BL192" s="16">
        <v>140000</v>
      </c>
      <c r="BM192" s="16">
        <v>150000</v>
      </c>
      <c r="BN192" s="16">
        <v>12000</v>
      </c>
      <c r="BO192" s="16">
        <v>0</v>
      </c>
      <c r="BP192" s="16">
        <v>0</v>
      </c>
      <c r="BQ192" s="16">
        <v>0</v>
      </c>
      <c r="BR192" s="16">
        <v>0</v>
      </c>
      <c r="BS192" s="16">
        <v>0</v>
      </c>
      <c r="BT192" s="16">
        <v>0</v>
      </c>
      <c r="BU192" s="16">
        <v>0</v>
      </c>
      <c r="BV192" s="16">
        <v>0</v>
      </c>
      <c r="BW192" s="16">
        <v>0</v>
      </c>
    </row>
    <row r="193" spans="1:75" ht="18" hidden="1" customHeight="1" outlineLevel="1">
      <c r="D193" s="7" t="s">
        <v>13</v>
      </c>
      <c r="F193" s="8">
        <v>7988</v>
      </c>
      <c r="G193" s="8" t="s">
        <v>2</v>
      </c>
      <c r="H193" s="8" t="s">
        <v>17</v>
      </c>
      <c r="I193" s="8">
        <v>171</v>
      </c>
      <c r="K193" s="8">
        <v>2400</v>
      </c>
      <c r="L193" s="8">
        <f t="shared" si="130"/>
        <v>28800</v>
      </c>
      <c r="M193" s="8">
        <f t="shared" si="131"/>
        <v>32543.999999999996</v>
      </c>
      <c r="N193" s="8">
        <v>21014</v>
      </c>
      <c r="O193" s="9">
        <f t="shared" si="132"/>
        <v>0.64571042281219282</v>
      </c>
      <c r="Q193" s="5">
        <v>2021</v>
      </c>
      <c r="R193" s="5">
        <v>8</v>
      </c>
      <c r="S193" s="14" t="s">
        <v>54</v>
      </c>
      <c r="T193" s="15">
        <f t="shared" si="133"/>
        <v>4465505</v>
      </c>
      <c r="U193" s="15">
        <f t="shared" si="134"/>
        <v>5475670</v>
      </c>
      <c r="V193" s="16">
        <v>3630000</v>
      </c>
      <c r="W193" s="16">
        <v>1355670</v>
      </c>
      <c r="X193" s="16">
        <v>0</v>
      </c>
      <c r="Y193" s="16">
        <v>0</v>
      </c>
      <c r="Z193" s="16">
        <v>0</v>
      </c>
      <c r="AA193" s="16">
        <v>0</v>
      </c>
      <c r="AB193" s="16">
        <v>0</v>
      </c>
      <c r="AC193" s="16">
        <v>0</v>
      </c>
      <c r="AD193" s="16">
        <v>0</v>
      </c>
      <c r="AE193" s="16">
        <v>0</v>
      </c>
      <c r="AF193" s="16">
        <v>50000</v>
      </c>
      <c r="AG193" s="16">
        <v>0</v>
      </c>
      <c r="AH193" s="16">
        <v>100000</v>
      </c>
      <c r="AI193" s="16">
        <v>220000</v>
      </c>
      <c r="AJ193" s="16">
        <v>0</v>
      </c>
      <c r="AK193" s="16">
        <v>0</v>
      </c>
      <c r="AL193" s="16">
        <v>50000</v>
      </c>
      <c r="AM193" s="16">
        <v>0</v>
      </c>
      <c r="AN193" s="16">
        <v>70000</v>
      </c>
      <c r="AO193" s="16">
        <v>0</v>
      </c>
      <c r="AP193" s="16">
        <v>0</v>
      </c>
      <c r="AQ193" s="16">
        <v>0</v>
      </c>
      <c r="AR193" s="16">
        <v>0</v>
      </c>
      <c r="AS193" s="16">
        <v>0</v>
      </c>
      <c r="AT193" s="16">
        <v>0</v>
      </c>
      <c r="AU193" s="16">
        <v>0</v>
      </c>
      <c r="AV193" s="16">
        <v>0</v>
      </c>
      <c r="AW193" s="16">
        <v>0</v>
      </c>
      <c r="AX193" s="16">
        <v>0</v>
      </c>
      <c r="AY193" s="16">
        <v>0</v>
      </c>
      <c r="AZ193" s="16">
        <v>0</v>
      </c>
      <c r="BA193" s="16"/>
      <c r="BB193" s="15">
        <f t="shared" si="135"/>
        <v>1010165</v>
      </c>
      <c r="BC193" s="15">
        <v>0</v>
      </c>
      <c r="BD193" s="16">
        <v>286380</v>
      </c>
      <c r="BE193" s="16">
        <v>0</v>
      </c>
      <c r="BF193" s="16">
        <v>28630</v>
      </c>
      <c r="BG193" s="16">
        <v>0</v>
      </c>
      <c r="BH193" s="16">
        <v>221450</v>
      </c>
      <c r="BI193" s="16">
        <v>235800</v>
      </c>
      <c r="BJ193" s="16">
        <v>42205</v>
      </c>
      <c r="BK193" s="16">
        <v>18200</v>
      </c>
      <c r="BL193" s="16">
        <v>140000</v>
      </c>
      <c r="BM193" s="16">
        <v>0</v>
      </c>
      <c r="BN193" s="16">
        <v>37500</v>
      </c>
      <c r="BO193" s="16">
        <v>0</v>
      </c>
      <c r="BP193" s="16">
        <v>0</v>
      </c>
      <c r="BQ193" s="16">
        <v>0</v>
      </c>
      <c r="BR193" s="16">
        <v>0</v>
      </c>
      <c r="BS193" s="16">
        <v>0</v>
      </c>
      <c r="BT193" s="16">
        <v>0</v>
      </c>
      <c r="BU193" s="16">
        <v>0</v>
      </c>
      <c r="BV193" s="16">
        <v>0</v>
      </c>
      <c r="BW193" s="16">
        <v>0</v>
      </c>
    </row>
    <row r="194" spans="1:75" ht="18" hidden="1" customHeight="1" outlineLevel="1">
      <c r="D194" s="7" t="s">
        <v>13</v>
      </c>
      <c r="F194" s="8">
        <v>7988</v>
      </c>
      <c r="G194" s="8" t="s">
        <v>2</v>
      </c>
      <c r="H194" s="8" t="s">
        <v>17</v>
      </c>
      <c r="I194" s="8">
        <v>171</v>
      </c>
      <c r="K194" s="8">
        <v>2400</v>
      </c>
      <c r="L194" s="8">
        <f t="shared" si="130"/>
        <v>28800</v>
      </c>
      <c r="M194" s="8">
        <f t="shared" si="131"/>
        <v>32543.999999999996</v>
      </c>
      <c r="N194" s="8">
        <v>21014</v>
      </c>
      <c r="O194" s="9">
        <f t="shared" si="132"/>
        <v>0.64571042281219282</v>
      </c>
      <c r="Q194" s="5">
        <v>2021</v>
      </c>
      <c r="R194" s="5">
        <v>7</v>
      </c>
      <c r="S194" s="14" t="s">
        <v>54</v>
      </c>
      <c r="T194" s="15">
        <f t="shared" si="133"/>
        <v>4718775</v>
      </c>
      <c r="U194" s="15">
        <f t="shared" si="134"/>
        <v>5775670</v>
      </c>
      <c r="V194" s="16">
        <v>3630000</v>
      </c>
      <c r="W194" s="16">
        <v>1355670</v>
      </c>
      <c r="X194" s="16">
        <v>0</v>
      </c>
      <c r="Y194" s="16">
        <v>0</v>
      </c>
      <c r="Z194" s="16">
        <v>0</v>
      </c>
      <c r="AA194" s="16">
        <v>0</v>
      </c>
      <c r="AB194" s="16">
        <v>0</v>
      </c>
      <c r="AC194" s="16">
        <v>0</v>
      </c>
      <c r="AD194" s="16">
        <v>0</v>
      </c>
      <c r="AE194" s="16">
        <v>0</v>
      </c>
      <c r="AF194" s="16">
        <v>50000</v>
      </c>
      <c r="AG194" s="16">
        <v>0</v>
      </c>
      <c r="AH194" s="16">
        <v>100000</v>
      </c>
      <c r="AI194" s="16">
        <v>220000</v>
      </c>
      <c r="AJ194" s="16">
        <v>0</v>
      </c>
      <c r="AK194" s="16">
        <v>300000</v>
      </c>
      <c r="AL194" s="16">
        <v>50000</v>
      </c>
      <c r="AM194" s="16">
        <v>0</v>
      </c>
      <c r="AN194" s="16">
        <v>70000</v>
      </c>
      <c r="AO194" s="16">
        <v>0</v>
      </c>
      <c r="AP194" s="16">
        <v>0</v>
      </c>
      <c r="AQ194" s="16">
        <v>0</v>
      </c>
      <c r="AR194" s="16">
        <v>0</v>
      </c>
      <c r="AS194" s="16">
        <v>0</v>
      </c>
      <c r="AT194" s="16">
        <v>0</v>
      </c>
      <c r="AU194" s="16">
        <v>0</v>
      </c>
      <c r="AV194" s="16">
        <v>0</v>
      </c>
      <c r="AW194" s="16">
        <v>0</v>
      </c>
      <c r="AX194" s="16">
        <v>0</v>
      </c>
      <c r="AY194" s="16">
        <v>0</v>
      </c>
      <c r="AZ194" s="16">
        <v>0</v>
      </c>
      <c r="BA194" s="16"/>
      <c r="BB194" s="15">
        <f t="shared" si="135"/>
        <v>1056895</v>
      </c>
      <c r="BC194" s="15">
        <v>0</v>
      </c>
      <c r="BD194" s="16">
        <v>319860</v>
      </c>
      <c r="BE194" s="16">
        <v>0</v>
      </c>
      <c r="BF194" s="16">
        <v>31980</v>
      </c>
      <c r="BG194" s="16">
        <v>0</v>
      </c>
      <c r="BH194" s="16">
        <v>221450</v>
      </c>
      <c r="BI194" s="16">
        <v>235800</v>
      </c>
      <c r="BJ194" s="16">
        <v>44605</v>
      </c>
      <c r="BK194" s="16">
        <v>18200</v>
      </c>
      <c r="BL194" s="16">
        <v>140000</v>
      </c>
      <c r="BM194" s="16">
        <v>0</v>
      </c>
      <c r="BN194" s="16">
        <v>45000</v>
      </c>
      <c r="BO194" s="16">
        <v>0</v>
      </c>
      <c r="BP194" s="16">
        <v>0</v>
      </c>
      <c r="BQ194" s="16">
        <v>0</v>
      </c>
      <c r="BR194" s="16">
        <v>0</v>
      </c>
      <c r="BS194" s="16">
        <v>0</v>
      </c>
      <c r="BT194" s="16">
        <v>0</v>
      </c>
      <c r="BU194" s="16">
        <v>0</v>
      </c>
      <c r="BV194" s="16">
        <v>0</v>
      </c>
      <c r="BW194" s="16">
        <v>0</v>
      </c>
    </row>
    <row r="195" spans="1:75" ht="18" hidden="1" customHeight="1" outlineLevel="1">
      <c r="H195" s="8" t="s">
        <v>18</v>
      </c>
      <c r="I195" s="8">
        <v>122</v>
      </c>
      <c r="J195" s="9"/>
      <c r="Q195" s="5">
        <v>2021</v>
      </c>
      <c r="R195" s="5">
        <v>6</v>
      </c>
      <c r="S195" s="14" t="s">
        <v>54</v>
      </c>
      <c r="T195" s="15">
        <f t="shared" si="133"/>
        <v>4643725</v>
      </c>
      <c r="U195" s="15">
        <f t="shared" si="134"/>
        <v>5715670</v>
      </c>
      <c r="V195" s="16">
        <v>3630000</v>
      </c>
      <c r="W195" s="16">
        <v>1355670</v>
      </c>
      <c r="X195" s="16">
        <v>0</v>
      </c>
      <c r="Y195" s="16">
        <v>0</v>
      </c>
      <c r="Z195" s="16">
        <v>0</v>
      </c>
      <c r="AA195" s="16">
        <v>0</v>
      </c>
      <c r="AB195" s="16">
        <v>0</v>
      </c>
      <c r="AC195" s="16">
        <v>0</v>
      </c>
      <c r="AD195" s="16">
        <v>0</v>
      </c>
      <c r="AE195" s="16">
        <v>0</v>
      </c>
      <c r="AF195" s="16">
        <v>50000</v>
      </c>
      <c r="AG195" s="16">
        <v>0</v>
      </c>
      <c r="AH195" s="16">
        <v>100000</v>
      </c>
      <c r="AI195" s="16">
        <v>220000</v>
      </c>
      <c r="AJ195" s="16">
        <v>0</v>
      </c>
      <c r="AK195" s="16">
        <v>0</v>
      </c>
      <c r="AL195" s="16">
        <v>50000</v>
      </c>
      <c r="AM195" s="16">
        <v>0</v>
      </c>
      <c r="AN195" s="16">
        <v>70000</v>
      </c>
      <c r="AO195" s="16">
        <v>50000</v>
      </c>
      <c r="AP195" s="16">
        <v>150000</v>
      </c>
      <c r="AQ195" s="16">
        <v>40000</v>
      </c>
      <c r="AR195" s="16">
        <v>0</v>
      </c>
      <c r="AS195" s="16">
        <v>0</v>
      </c>
      <c r="AT195" s="16">
        <v>0</v>
      </c>
      <c r="AU195" s="16">
        <v>0</v>
      </c>
      <c r="AV195" s="16">
        <v>0</v>
      </c>
      <c r="AW195" s="16">
        <v>0</v>
      </c>
      <c r="AX195" s="16">
        <v>0</v>
      </c>
      <c r="AY195" s="16">
        <v>0</v>
      </c>
      <c r="AZ195" s="16">
        <v>0</v>
      </c>
      <c r="BA195" s="16"/>
      <c r="BB195" s="15">
        <f t="shared" si="135"/>
        <v>1071945</v>
      </c>
      <c r="BC195" s="15">
        <v>0</v>
      </c>
      <c r="BD195" s="16">
        <v>290840</v>
      </c>
      <c r="BE195" s="16">
        <v>0</v>
      </c>
      <c r="BF195" s="16">
        <v>29080</v>
      </c>
      <c r="BG195" s="16">
        <v>0</v>
      </c>
      <c r="BH195" s="16">
        <v>221450</v>
      </c>
      <c r="BI195" s="16">
        <v>226350</v>
      </c>
      <c r="BJ195" s="16">
        <v>42525</v>
      </c>
      <c r="BK195" s="16">
        <v>18200</v>
      </c>
      <c r="BL195" s="16">
        <v>140000</v>
      </c>
      <c r="BM195" s="16">
        <v>0</v>
      </c>
      <c r="BN195" s="16">
        <v>73500</v>
      </c>
      <c r="BO195" s="16">
        <v>0</v>
      </c>
      <c r="BP195" s="16">
        <v>0</v>
      </c>
      <c r="BQ195" s="16">
        <v>0</v>
      </c>
      <c r="BR195" s="16">
        <v>30000</v>
      </c>
      <c r="BS195" s="16">
        <v>0</v>
      </c>
      <c r="BT195" s="16">
        <v>0</v>
      </c>
      <c r="BU195" s="16">
        <v>0</v>
      </c>
      <c r="BV195" s="16">
        <v>0</v>
      </c>
      <c r="BW195" s="16">
        <v>0</v>
      </c>
    </row>
    <row r="196" spans="1:75" ht="18" hidden="1" customHeight="1" outlineLevel="1">
      <c r="J196" s="9"/>
      <c r="Q196" s="5">
        <v>2021</v>
      </c>
      <c r="R196" s="5">
        <v>5</v>
      </c>
      <c r="S196" s="14" t="s">
        <v>54</v>
      </c>
      <c r="T196" s="15">
        <f t="shared" si="133"/>
        <v>4753916</v>
      </c>
      <c r="U196" s="15">
        <f t="shared" si="134"/>
        <v>6074350</v>
      </c>
      <c r="V196" s="16">
        <v>3630000</v>
      </c>
      <c r="W196" s="16">
        <v>1355670</v>
      </c>
      <c r="X196" s="16">
        <v>0</v>
      </c>
      <c r="Y196" s="16">
        <v>0</v>
      </c>
      <c r="Z196" s="16">
        <v>0</v>
      </c>
      <c r="AA196" s="16">
        <v>0</v>
      </c>
      <c r="AB196" s="16">
        <v>0</v>
      </c>
      <c r="AC196" s="16">
        <v>448680</v>
      </c>
      <c r="AD196" s="16">
        <v>0</v>
      </c>
      <c r="AE196" s="16">
        <v>0</v>
      </c>
      <c r="AF196" s="16">
        <v>50000</v>
      </c>
      <c r="AG196" s="16">
        <v>0</v>
      </c>
      <c r="AH196" s="16">
        <v>100000</v>
      </c>
      <c r="AI196" s="16">
        <v>220000</v>
      </c>
      <c r="AJ196" s="16">
        <v>150000</v>
      </c>
      <c r="AK196" s="16">
        <v>0</v>
      </c>
      <c r="AL196" s="16">
        <v>50000</v>
      </c>
      <c r="AM196" s="16">
        <v>0</v>
      </c>
      <c r="AN196" s="16">
        <v>70000</v>
      </c>
      <c r="AO196" s="16">
        <v>0</v>
      </c>
      <c r="AP196" s="16">
        <v>0</v>
      </c>
      <c r="AQ196" s="16">
        <v>0</v>
      </c>
      <c r="AR196" s="16">
        <v>0</v>
      </c>
      <c r="AS196" s="16">
        <v>0</v>
      </c>
      <c r="AT196" s="16">
        <v>0</v>
      </c>
      <c r="AU196" s="16">
        <v>0</v>
      </c>
      <c r="AV196" s="16">
        <v>0</v>
      </c>
      <c r="AW196" s="16">
        <v>0</v>
      </c>
      <c r="AX196" s="16">
        <v>0</v>
      </c>
      <c r="AY196" s="16">
        <v>0</v>
      </c>
      <c r="AZ196" s="16">
        <v>0</v>
      </c>
      <c r="BA196" s="16"/>
      <c r="BB196" s="15">
        <f t="shared" si="135"/>
        <v>1320434</v>
      </c>
      <c r="BC196" s="15">
        <v>0</v>
      </c>
      <c r="BD196" s="16">
        <v>377680</v>
      </c>
      <c r="BE196" s="16">
        <v>0</v>
      </c>
      <c r="BF196" s="16">
        <v>37760</v>
      </c>
      <c r="BG196" s="16">
        <v>0</v>
      </c>
      <c r="BH196" s="16">
        <v>221450</v>
      </c>
      <c r="BI196" s="16">
        <v>226350</v>
      </c>
      <c r="BJ196" s="16">
        <v>46994</v>
      </c>
      <c r="BK196" s="16">
        <v>18200</v>
      </c>
      <c r="BL196" s="16">
        <v>140000</v>
      </c>
      <c r="BM196" s="16">
        <v>150000</v>
      </c>
      <c r="BN196" s="16">
        <v>102000</v>
      </c>
      <c r="BO196" s="16">
        <v>0</v>
      </c>
      <c r="BP196" s="16">
        <v>0</v>
      </c>
      <c r="BQ196" s="16">
        <v>0</v>
      </c>
      <c r="BR196" s="16">
        <v>0</v>
      </c>
      <c r="BS196" s="16">
        <v>0</v>
      </c>
      <c r="BT196" s="16">
        <v>0</v>
      </c>
      <c r="BU196" s="16">
        <v>0</v>
      </c>
      <c r="BV196" s="16">
        <v>0</v>
      </c>
      <c r="BW196" s="16">
        <v>0</v>
      </c>
    </row>
    <row r="197" spans="1:75" ht="18" hidden="1" customHeight="1" outlineLevel="1">
      <c r="B197" s="7">
        <v>2021</v>
      </c>
      <c r="C197" s="8" t="s">
        <v>12</v>
      </c>
      <c r="E197" s="8">
        <v>6867</v>
      </c>
      <c r="J197" s="9"/>
      <c r="Q197" s="5">
        <v>2021</v>
      </c>
      <c r="R197" s="5">
        <v>4</v>
      </c>
      <c r="S197" s="14" t="s">
        <v>54</v>
      </c>
      <c r="T197" s="15">
        <f t="shared" si="133"/>
        <v>4267492</v>
      </c>
      <c r="U197" s="15">
        <f t="shared" si="134"/>
        <v>5343500</v>
      </c>
      <c r="V197" s="16">
        <v>3548000</v>
      </c>
      <c r="W197" s="16">
        <v>1325500</v>
      </c>
      <c r="X197" s="16">
        <v>0</v>
      </c>
      <c r="Y197" s="16">
        <v>0</v>
      </c>
      <c r="Z197" s="16">
        <v>0</v>
      </c>
      <c r="AA197" s="16">
        <v>0</v>
      </c>
      <c r="AB197" s="16">
        <v>0</v>
      </c>
      <c r="AC197" s="16">
        <v>0</v>
      </c>
      <c r="AD197" s="16">
        <v>0</v>
      </c>
      <c r="AE197" s="16">
        <v>0</v>
      </c>
      <c r="AF197" s="16">
        <v>50000</v>
      </c>
      <c r="AG197" s="16">
        <v>0</v>
      </c>
      <c r="AH197" s="16">
        <v>100000</v>
      </c>
      <c r="AI197" s="16">
        <v>200000</v>
      </c>
      <c r="AJ197" s="16">
        <v>0</v>
      </c>
      <c r="AK197" s="16">
        <v>0</v>
      </c>
      <c r="AL197" s="16">
        <v>50000</v>
      </c>
      <c r="AM197" s="16">
        <v>0</v>
      </c>
      <c r="AN197" s="16">
        <v>70000</v>
      </c>
      <c r="AO197" s="16">
        <v>0</v>
      </c>
      <c r="AP197" s="16">
        <v>0</v>
      </c>
      <c r="AQ197" s="16">
        <v>0</v>
      </c>
      <c r="AR197" s="16">
        <v>0</v>
      </c>
      <c r="AS197" s="16">
        <v>0</v>
      </c>
      <c r="AT197" s="16">
        <v>0</v>
      </c>
      <c r="AU197" s="16">
        <v>0</v>
      </c>
      <c r="AV197" s="16">
        <v>0</v>
      </c>
      <c r="AW197" s="16">
        <v>0</v>
      </c>
      <c r="AX197" s="16">
        <v>0</v>
      </c>
      <c r="AY197" s="16">
        <v>0</v>
      </c>
      <c r="AZ197" s="16">
        <v>0</v>
      </c>
      <c r="BA197" s="16"/>
      <c r="BB197" s="15">
        <f t="shared" si="135"/>
        <v>1076008</v>
      </c>
      <c r="BC197" s="15">
        <v>0</v>
      </c>
      <c r="BD197" s="16">
        <v>272990</v>
      </c>
      <c r="BE197" s="16">
        <v>0</v>
      </c>
      <c r="BF197" s="16">
        <v>27290</v>
      </c>
      <c r="BG197" s="16">
        <v>0</v>
      </c>
      <c r="BH197" s="16">
        <v>221450</v>
      </c>
      <c r="BI197" s="16">
        <v>226350</v>
      </c>
      <c r="BJ197" s="16">
        <v>41148</v>
      </c>
      <c r="BK197" s="16">
        <v>17800</v>
      </c>
      <c r="BL197" s="16">
        <v>140000</v>
      </c>
      <c r="BM197" s="16">
        <v>0</v>
      </c>
      <c r="BN197" s="16">
        <v>110800</v>
      </c>
      <c r="BO197" s="16">
        <v>18180</v>
      </c>
      <c r="BP197" s="16">
        <v>0</v>
      </c>
      <c r="BQ197" s="16">
        <v>0</v>
      </c>
      <c r="BR197" s="16">
        <v>0</v>
      </c>
      <c r="BS197" s="16">
        <v>0</v>
      </c>
      <c r="BT197" s="16">
        <v>0</v>
      </c>
      <c r="BU197" s="16">
        <v>0</v>
      </c>
      <c r="BV197" s="16">
        <v>0</v>
      </c>
      <c r="BW197" s="16">
        <v>0</v>
      </c>
    </row>
    <row r="198" spans="1:75" ht="18" hidden="1" customHeight="1" outlineLevel="1">
      <c r="B198" s="7">
        <v>2021</v>
      </c>
      <c r="C198" s="8" t="s">
        <v>12</v>
      </c>
      <c r="E198" s="8">
        <v>6867</v>
      </c>
      <c r="J198" s="9"/>
      <c r="Q198" s="5">
        <v>2021</v>
      </c>
      <c r="R198" s="5">
        <v>4</v>
      </c>
      <c r="S198" s="14" t="s">
        <v>28</v>
      </c>
      <c r="T198" s="15">
        <f t="shared" si="133"/>
        <v>6100910</v>
      </c>
      <c r="U198" s="15">
        <f t="shared" si="134"/>
        <v>7699092</v>
      </c>
      <c r="V198" s="16">
        <v>0</v>
      </c>
      <c r="W198" s="16">
        <v>0</v>
      </c>
      <c r="X198" s="16">
        <v>0</v>
      </c>
      <c r="Y198" s="16">
        <v>0</v>
      </c>
      <c r="Z198" s="16">
        <v>0</v>
      </c>
      <c r="AA198" s="16">
        <v>0</v>
      </c>
      <c r="AB198" s="16">
        <v>0</v>
      </c>
      <c r="AC198" s="16">
        <v>0</v>
      </c>
      <c r="AD198" s="16">
        <v>6199092</v>
      </c>
      <c r="AE198" s="16">
        <v>1500000</v>
      </c>
      <c r="AF198" s="16">
        <v>0</v>
      </c>
      <c r="AG198" s="16">
        <v>0</v>
      </c>
      <c r="AH198" s="16">
        <v>0</v>
      </c>
      <c r="AI198" s="16">
        <v>0</v>
      </c>
      <c r="AJ198" s="16">
        <v>0</v>
      </c>
      <c r="AK198" s="16">
        <v>0</v>
      </c>
      <c r="AL198" s="16">
        <v>0</v>
      </c>
      <c r="AM198" s="16">
        <v>0</v>
      </c>
      <c r="AN198" s="16">
        <v>0</v>
      </c>
      <c r="AO198" s="16">
        <v>0</v>
      </c>
      <c r="AP198" s="16">
        <v>0</v>
      </c>
      <c r="AQ198" s="16">
        <v>0</v>
      </c>
      <c r="AR198" s="16">
        <v>0</v>
      </c>
      <c r="AS198" s="16">
        <v>0</v>
      </c>
      <c r="AT198" s="16">
        <v>0</v>
      </c>
      <c r="AU198" s="16">
        <v>0</v>
      </c>
      <c r="AV198" s="16">
        <v>0</v>
      </c>
      <c r="AW198" s="16">
        <v>0</v>
      </c>
      <c r="AX198" s="16">
        <v>0</v>
      </c>
      <c r="AY198" s="16">
        <v>0</v>
      </c>
      <c r="AZ198" s="16">
        <v>0</v>
      </c>
      <c r="BA198" s="16"/>
      <c r="BB198" s="15">
        <f t="shared" si="135"/>
        <v>1598182</v>
      </c>
      <c r="BC198" s="15">
        <v>0</v>
      </c>
      <c r="BD198" s="16">
        <v>1396900</v>
      </c>
      <c r="BE198" s="16">
        <v>0</v>
      </c>
      <c r="BF198" s="16">
        <v>139690</v>
      </c>
      <c r="BG198" s="16">
        <v>0</v>
      </c>
      <c r="BH198" s="16">
        <v>0</v>
      </c>
      <c r="BI198" s="16">
        <v>0</v>
      </c>
      <c r="BJ198" s="16">
        <v>61592</v>
      </c>
      <c r="BK198" s="16">
        <v>0</v>
      </c>
      <c r="BL198" s="16">
        <v>0</v>
      </c>
      <c r="BM198" s="16">
        <v>0</v>
      </c>
      <c r="BN198" s="16">
        <v>0</v>
      </c>
      <c r="BO198" s="16">
        <v>0</v>
      </c>
      <c r="BP198" s="16">
        <v>0</v>
      </c>
      <c r="BQ198" s="16">
        <v>0</v>
      </c>
      <c r="BR198" s="16">
        <v>0</v>
      </c>
      <c r="BS198" s="16">
        <v>0</v>
      </c>
      <c r="BT198" s="16">
        <v>0</v>
      </c>
      <c r="BU198" s="16">
        <v>0</v>
      </c>
      <c r="BV198" s="16">
        <v>0</v>
      </c>
      <c r="BW198" s="16">
        <v>0</v>
      </c>
    </row>
    <row r="199" spans="1:75" ht="18" hidden="1" customHeight="1" outlineLevel="1">
      <c r="B199" s="7">
        <v>2022</v>
      </c>
      <c r="C199" s="8" t="s">
        <v>12</v>
      </c>
      <c r="E199" s="8">
        <v>6867</v>
      </c>
      <c r="J199" s="9"/>
      <c r="Q199" s="5">
        <v>2021</v>
      </c>
      <c r="R199" s="5">
        <v>3</v>
      </c>
      <c r="S199" s="14" t="s">
        <v>54</v>
      </c>
      <c r="T199" s="15">
        <f t="shared" si="133"/>
        <v>4422402</v>
      </c>
      <c r="U199" s="15">
        <f t="shared" si="134"/>
        <v>5273500</v>
      </c>
      <c r="V199" s="16">
        <v>3548000</v>
      </c>
      <c r="W199" s="16">
        <v>1325500</v>
      </c>
      <c r="X199" s="16">
        <v>0</v>
      </c>
      <c r="Y199" s="16">
        <v>0</v>
      </c>
      <c r="Z199" s="16">
        <v>0</v>
      </c>
      <c r="AA199" s="16">
        <v>0</v>
      </c>
      <c r="AB199" s="16">
        <v>0</v>
      </c>
      <c r="AC199" s="16">
        <v>0</v>
      </c>
      <c r="AD199" s="16">
        <v>0</v>
      </c>
      <c r="AE199" s="16">
        <v>0</v>
      </c>
      <c r="AF199" s="16">
        <v>50000</v>
      </c>
      <c r="AG199" s="16">
        <v>0</v>
      </c>
      <c r="AH199" s="16">
        <v>100000</v>
      </c>
      <c r="AI199" s="16">
        <v>200000</v>
      </c>
      <c r="AJ199" s="16">
        <v>0</v>
      </c>
      <c r="AK199" s="16">
        <v>0</v>
      </c>
      <c r="AL199" s="16">
        <v>50000</v>
      </c>
      <c r="AM199" s="16">
        <v>0</v>
      </c>
      <c r="AN199" s="16">
        <v>0</v>
      </c>
      <c r="AO199" s="16">
        <v>0</v>
      </c>
      <c r="AP199" s="16">
        <v>0</v>
      </c>
      <c r="AQ199" s="16">
        <v>0</v>
      </c>
      <c r="AR199" s="16">
        <v>0</v>
      </c>
      <c r="AS199" s="16">
        <v>0</v>
      </c>
      <c r="AT199" s="16">
        <v>0</v>
      </c>
      <c r="AU199" s="16">
        <v>0</v>
      </c>
      <c r="AV199" s="16">
        <v>0</v>
      </c>
      <c r="AW199" s="16">
        <v>0</v>
      </c>
      <c r="AX199" s="16">
        <v>0</v>
      </c>
      <c r="AY199" s="16">
        <v>0</v>
      </c>
      <c r="AZ199" s="16">
        <v>0</v>
      </c>
      <c r="BA199" s="16"/>
      <c r="BB199" s="15">
        <f t="shared" si="135"/>
        <v>851098</v>
      </c>
      <c r="BC199" s="15">
        <v>0</v>
      </c>
      <c r="BD199" s="16">
        <v>264060</v>
      </c>
      <c r="BE199" s="16">
        <v>0</v>
      </c>
      <c r="BF199" s="16">
        <v>26400</v>
      </c>
      <c r="BG199" s="16">
        <v>0</v>
      </c>
      <c r="BH199" s="16">
        <v>220900</v>
      </c>
      <c r="BI199" s="16">
        <v>226350</v>
      </c>
      <c r="BJ199" s="16">
        <v>40588</v>
      </c>
      <c r="BK199" s="16">
        <v>17800</v>
      </c>
      <c r="BL199" s="16">
        <v>0</v>
      </c>
      <c r="BM199" s="16">
        <v>0</v>
      </c>
      <c r="BN199" s="16">
        <v>55000</v>
      </c>
      <c r="BO199" s="16">
        <v>0</v>
      </c>
      <c r="BP199" s="16">
        <v>0</v>
      </c>
      <c r="BQ199" s="16">
        <v>0</v>
      </c>
      <c r="BR199" s="16">
        <v>0</v>
      </c>
      <c r="BS199" s="16">
        <v>0</v>
      </c>
      <c r="BT199" s="16">
        <v>0</v>
      </c>
      <c r="BU199" s="16">
        <v>0</v>
      </c>
      <c r="BV199" s="16">
        <v>0</v>
      </c>
      <c r="BW199" s="16">
        <v>0</v>
      </c>
    </row>
    <row r="200" spans="1:75" ht="18" hidden="1" customHeight="1" outlineLevel="1">
      <c r="B200" s="7">
        <v>2023</v>
      </c>
      <c r="C200" s="8" t="s">
        <v>12</v>
      </c>
      <c r="E200" s="8">
        <v>6867</v>
      </c>
      <c r="J200" s="9"/>
      <c r="Q200" s="5">
        <v>2021</v>
      </c>
      <c r="R200" s="5">
        <v>2</v>
      </c>
      <c r="S200" s="14" t="s">
        <v>54</v>
      </c>
      <c r="T200" s="15">
        <f t="shared" si="133"/>
        <v>4295752</v>
      </c>
      <c r="U200" s="15">
        <f t="shared" si="134"/>
        <v>5423500</v>
      </c>
      <c r="V200" s="16">
        <v>3548000</v>
      </c>
      <c r="W200" s="16">
        <v>1325500</v>
      </c>
      <c r="X200" s="16">
        <v>0</v>
      </c>
      <c r="Y200" s="16">
        <v>0</v>
      </c>
      <c r="Z200" s="16">
        <v>0</v>
      </c>
      <c r="AA200" s="16">
        <v>0</v>
      </c>
      <c r="AB200" s="16">
        <v>0</v>
      </c>
      <c r="AC200" s="16">
        <v>0</v>
      </c>
      <c r="AD200" s="16">
        <v>0</v>
      </c>
      <c r="AE200" s="16">
        <v>0</v>
      </c>
      <c r="AF200" s="16">
        <v>50000</v>
      </c>
      <c r="AG200" s="16">
        <v>0</v>
      </c>
      <c r="AH200" s="16">
        <v>100000</v>
      </c>
      <c r="AI200" s="16">
        <v>200000</v>
      </c>
      <c r="AJ200" s="16">
        <v>150000</v>
      </c>
      <c r="AK200" s="16">
        <v>0</v>
      </c>
      <c r="AL200" s="16">
        <v>50000</v>
      </c>
      <c r="AM200" s="16">
        <v>0</v>
      </c>
      <c r="AN200" s="16">
        <v>0</v>
      </c>
      <c r="AO200" s="16">
        <v>0</v>
      </c>
      <c r="AP200" s="16">
        <v>0</v>
      </c>
      <c r="AQ200" s="16">
        <v>0</v>
      </c>
      <c r="AR200" s="16">
        <v>0</v>
      </c>
      <c r="AS200" s="16">
        <v>0</v>
      </c>
      <c r="AT200" s="16">
        <v>0</v>
      </c>
      <c r="AU200" s="16">
        <v>0</v>
      </c>
      <c r="AV200" s="16">
        <v>0</v>
      </c>
      <c r="AW200" s="16">
        <v>0</v>
      </c>
      <c r="AX200" s="16">
        <v>0</v>
      </c>
      <c r="AY200" s="16">
        <v>0</v>
      </c>
      <c r="AZ200" s="16">
        <v>0</v>
      </c>
      <c r="BA200" s="16"/>
      <c r="BB200" s="15">
        <f t="shared" si="135"/>
        <v>1127748</v>
      </c>
      <c r="BC200" s="15">
        <v>142440</v>
      </c>
      <c r="BD200" s="16">
        <v>224980</v>
      </c>
      <c r="BE200" s="16">
        <v>0</v>
      </c>
      <c r="BF200" s="16">
        <v>22490</v>
      </c>
      <c r="BG200" s="16">
        <v>0</v>
      </c>
      <c r="BH200" s="16">
        <v>220900</v>
      </c>
      <c r="BI200" s="16">
        <v>226350</v>
      </c>
      <c r="BJ200" s="16">
        <v>41788</v>
      </c>
      <c r="BK200" s="16">
        <v>17800</v>
      </c>
      <c r="BL200" s="16">
        <v>0</v>
      </c>
      <c r="BM200" s="16">
        <v>150000</v>
      </c>
      <c r="BN200" s="16">
        <v>75800</v>
      </c>
      <c r="BO200" s="16">
        <v>0</v>
      </c>
      <c r="BP200" s="16">
        <v>5200</v>
      </c>
      <c r="BQ200" s="16">
        <v>0</v>
      </c>
      <c r="BR200" s="16">
        <v>0</v>
      </c>
      <c r="BS200" s="16">
        <v>0</v>
      </c>
      <c r="BT200" s="16">
        <v>0</v>
      </c>
      <c r="BU200" s="16">
        <v>0</v>
      </c>
      <c r="BV200" s="16">
        <v>0</v>
      </c>
      <c r="BW200" s="16">
        <v>0</v>
      </c>
    </row>
    <row r="201" spans="1:75" ht="18" hidden="1" customHeight="1" outlineLevel="1">
      <c r="B201" s="7">
        <v>2024</v>
      </c>
      <c r="C201" s="8" t="s">
        <v>12</v>
      </c>
      <c r="E201" s="8">
        <v>6867</v>
      </c>
      <c r="J201" s="9"/>
      <c r="Q201" s="5">
        <v>2021</v>
      </c>
      <c r="R201" s="5">
        <v>1</v>
      </c>
      <c r="S201" s="14" t="s">
        <v>54</v>
      </c>
      <c r="T201" s="15">
        <f t="shared" si="133"/>
        <v>4535984</v>
      </c>
      <c r="U201" s="15">
        <f t="shared" si="134"/>
        <v>5307453</v>
      </c>
      <c r="V201" s="16">
        <v>3548000</v>
      </c>
      <c r="W201" s="16">
        <v>1325500</v>
      </c>
      <c r="X201" s="16">
        <v>0</v>
      </c>
      <c r="Y201" s="16">
        <v>0</v>
      </c>
      <c r="Z201" s="16">
        <v>0</v>
      </c>
      <c r="AA201" s="16">
        <v>0</v>
      </c>
      <c r="AB201" s="16">
        <v>0</v>
      </c>
      <c r="AC201" s="16">
        <v>0</v>
      </c>
      <c r="AD201" s="16">
        <v>0</v>
      </c>
      <c r="AE201" s="16">
        <v>0</v>
      </c>
      <c r="AF201" s="16">
        <v>50000</v>
      </c>
      <c r="AG201" s="16">
        <v>0</v>
      </c>
      <c r="AH201" s="16">
        <v>100000</v>
      </c>
      <c r="AI201" s="16">
        <v>200000</v>
      </c>
      <c r="AJ201" s="16">
        <v>0</v>
      </c>
      <c r="AK201" s="16">
        <v>0</v>
      </c>
      <c r="AL201" s="16">
        <v>50000</v>
      </c>
      <c r="AM201" s="16">
        <v>0</v>
      </c>
      <c r="AN201" s="16">
        <v>0</v>
      </c>
      <c r="AO201" s="16">
        <v>0</v>
      </c>
      <c r="AP201" s="16">
        <v>0</v>
      </c>
      <c r="AQ201" s="16">
        <v>0</v>
      </c>
      <c r="AR201" s="16">
        <v>0</v>
      </c>
      <c r="AS201" s="16">
        <v>33953</v>
      </c>
      <c r="AT201" s="16">
        <v>0</v>
      </c>
      <c r="AU201" s="16">
        <v>0</v>
      </c>
      <c r="AV201" s="16">
        <v>0</v>
      </c>
      <c r="AW201" s="16">
        <v>0</v>
      </c>
      <c r="AX201" s="16">
        <v>0</v>
      </c>
      <c r="AY201" s="16">
        <v>0</v>
      </c>
      <c r="AZ201" s="16">
        <v>0</v>
      </c>
      <c r="BA201" s="16"/>
      <c r="BB201" s="15">
        <f t="shared" si="135"/>
        <v>771469</v>
      </c>
      <c r="BC201" s="15">
        <v>0</v>
      </c>
      <c r="BD201" s="16">
        <v>212600</v>
      </c>
      <c r="BE201" s="16">
        <v>0</v>
      </c>
      <c r="BF201" s="16">
        <v>21260</v>
      </c>
      <c r="BG201" s="16">
        <v>0</v>
      </c>
      <c r="BH201" s="16">
        <v>220900</v>
      </c>
      <c r="BI201" s="16">
        <v>226350</v>
      </c>
      <c r="BJ201" s="16">
        <v>40859</v>
      </c>
      <c r="BK201" s="16">
        <v>17800</v>
      </c>
      <c r="BL201" s="16">
        <v>0</v>
      </c>
      <c r="BM201" s="16">
        <v>0</v>
      </c>
      <c r="BN201" s="16">
        <v>15600</v>
      </c>
      <c r="BO201" s="16">
        <v>16100</v>
      </c>
      <c r="BP201" s="16">
        <v>0</v>
      </c>
      <c r="BQ201" s="16">
        <v>0</v>
      </c>
      <c r="BR201" s="16">
        <v>0</v>
      </c>
      <c r="BS201" s="16">
        <v>0</v>
      </c>
      <c r="BT201" s="16">
        <v>0</v>
      </c>
      <c r="BU201" s="16">
        <v>0</v>
      </c>
      <c r="BV201" s="16">
        <v>0</v>
      </c>
      <c r="BW201" s="16">
        <v>0</v>
      </c>
    </row>
    <row r="202" spans="1:75" s="1" customFormat="1" ht="18" customHeight="1" collapsed="1">
      <c r="A202" s="10"/>
      <c r="B202" s="11"/>
      <c r="C202" s="12"/>
      <c r="D202" s="11"/>
      <c r="E202" s="12"/>
      <c r="F202" s="12"/>
      <c r="G202" s="12"/>
      <c r="H202" s="12"/>
      <c r="I202" s="12"/>
      <c r="J202" s="3"/>
      <c r="K202" s="12"/>
      <c r="L202" s="12"/>
      <c r="M202" s="12"/>
      <c r="N202" s="12"/>
      <c r="O202" s="13"/>
      <c r="Q202" s="667" t="s">
        <v>61</v>
      </c>
      <c r="R202" s="667"/>
      <c r="S202" s="667"/>
      <c r="T202" s="23">
        <f t="shared" ref="T202:AZ202" si="136">SUMIF($Q$2:$Q$793,$Q203,T$2:T$793)</f>
        <v>63727008</v>
      </c>
      <c r="U202" s="23">
        <f t="shared" si="136"/>
        <v>71875468</v>
      </c>
      <c r="V202" s="23">
        <f t="shared" si="136"/>
        <v>42520000</v>
      </c>
      <c r="W202" s="23">
        <f t="shared" si="136"/>
        <v>15884360</v>
      </c>
      <c r="X202" s="23">
        <f t="shared" si="136"/>
        <v>0</v>
      </c>
      <c r="Y202" s="23">
        <f t="shared" si="136"/>
        <v>0</v>
      </c>
      <c r="Z202" s="23">
        <f t="shared" si="136"/>
        <v>0</v>
      </c>
      <c r="AA202" s="23">
        <f t="shared" si="136"/>
        <v>0</v>
      </c>
      <c r="AB202" s="23">
        <f t="shared" si="136"/>
        <v>0</v>
      </c>
      <c r="AC202" s="23">
        <f t="shared" si="136"/>
        <v>77640</v>
      </c>
      <c r="AD202" s="23">
        <f t="shared" si="136"/>
        <v>8043468</v>
      </c>
      <c r="AE202" s="23">
        <f t="shared" si="136"/>
        <v>0</v>
      </c>
      <c r="AF202" s="23">
        <f t="shared" si="136"/>
        <v>400000</v>
      </c>
      <c r="AG202" s="23">
        <f t="shared" si="136"/>
        <v>0</v>
      </c>
      <c r="AH202" s="23">
        <f t="shared" si="136"/>
        <v>1200000</v>
      </c>
      <c r="AI202" s="23">
        <f t="shared" si="136"/>
        <v>2400000</v>
      </c>
      <c r="AJ202" s="23">
        <f t="shared" si="136"/>
        <v>450000</v>
      </c>
      <c r="AK202" s="23">
        <f t="shared" si="136"/>
        <v>300000</v>
      </c>
      <c r="AL202" s="23">
        <f t="shared" si="136"/>
        <v>600000</v>
      </c>
      <c r="AM202" s="23">
        <f t="shared" si="136"/>
        <v>0</v>
      </c>
      <c r="AN202" s="23">
        <f t="shared" si="136"/>
        <v>0</v>
      </c>
      <c r="AO202" s="23">
        <f t="shared" si="136"/>
        <v>0</v>
      </c>
      <c r="AP202" s="23">
        <f t="shared" si="136"/>
        <v>0</v>
      </c>
      <c r="AQ202" s="23">
        <f t="shared" si="136"/>
        <v>0</v>
      </c>
      <c r="AR202" s="23">
        <f t="shared" si="136"/>
        <v>0</v>
      </c>
      <c r="AS202" s="23">
        <f t="shared" si="136"/>
        <v>0</v>
      </c>
      <c r="AT202" s="23">
        <f t="shared" si="136"/>
        <v>0</v>
      </c>
      <c r="AU202" s="23">
        <f t="shared" si="136"/>
        <v>0</v>
      </c>
      <c r="AV202" s="23">
        <f t="shared" si="136"/>
        <v>0</v>
      </c>
      <c r="AW202" s="23">
        <f t="shared" si="136"/>
        <v>0</v>
      </c>
      <c r="AX202" s="23">
        <f t="shared" si="136"/>
        <v>0</v>
      </c>
      <c r="AY202" s="23">
        <f t="shared" si="136"/>
        <v>0</v>
      </c>
      <c r="AZ202" s="23">
        <f t="shared" si="136"/>
        <v>0</v>
      </c>
      <c r="BA202" s="23"/>
      <c r="BB202" s="23">
        <f t="shared" ref="BB202:BW202" si="137">SUMIF($Q$2:$Q$793,$Q203,BB$2:BB$793)</f>
        <v>8148460</v>
      </c>
      <c r="BC202" s="23">
        <f t="shared" si="137"/>
        <v>-2670690</v>
      </c>
      <c r="BD202" s="23">
        <f t="shared" si="137"/>
        <v>3695630</v>
      </c>
      <c r="BE202" s="23">
        <f t="shared" si="137"/>
        <v>0</v>
      </c>
      <c r="BF202" s="23">
        <f t="shared" si="137"/>
        <v>369520</v>
      </c>
      <c r="BG202" s="23">
        <f t="shared" si="137"/>
        <v>0</v>
      </c>
      <c r="BH202" s="23">
        <f t="shared" si="137"/>
        <v>2536260</v>
      </c>
      <c r="BI202" s="23">
        <f t="shared" si="137"/>
        <v>2670300</v>
      </c>
      <c r="BJ202" s="23">
        <f t="shared" si="137"/>
        <v>555800</v>
      </c>
      <c r="BK202" s="23">
        <f t="shared" si="137"/>
        <v>213200</v>
      </c>
      <c r="BL202" s="23">
        <f t="shared" si="137"/>
        <v>0</v>
      </c>
      <c r="BM202" s="23">
        <f t="shared" si="137"/>
        <v>450000</v>
      </c>
      <c r="BN202" s="23">
        <f t="shared" si="137"/>
        <v>178300</v>
      </c>
      <c r="BO202" s="23">
        <f t="shared" si="137"/>
        <v>144940</v>
      </c>
      <c r="BP202" s="23">
        <f t="shared" si="137"/>
        <v>5200</v>
      </c>
      <c r="BQ202" s="23">
        <f t="shared" si="137"/>
        <v>0</v>
      </c>
      <c r="BR202" s="23">
        <f t="shared" si="137"/>
        <v>0</v>
      </c>
      <c r="BS202" s="23">
        <f t="shared" si="137"/>
        <v>0</v>
      </c>
      <c r="BT202" s="23">
        <f t="shared" si="137"/>
        <v>0</v>
      </c>
      <c r="BU202" s="23">
        <f t="shared" si="137"/>
        <v>0</v>
      </c>
      <c r="BV202" s="23">
        <f t="shared" si="137"/>
        <v>0</v>
      </c>
      <c r="BW202" s="23">
        <f t="shared" si="137"/>
        <v>0</v>
      </c>
    </row>
    <row r="203" spans="1:75" ht="18" hidden="1" customHeight="1" outlineLevel="1">
      <c r="D203" s="7" t="s">
        <v>11</v>
      </c>
      <c r="F203" s="8">
        <v>4717</v>
      </c>
      <c r="G203" s="8">
        <v>5848</v>
      </c>
      <c r="K203" s="8">
        <v>2400</v>
      </c>
      <c r="L203" s="8">
        <f t="shared" ref="L203:L208" si="138">K203*12</f>
        <v>28800</v>
      </c>
      <c r="M203" s="8">
        <f t="shared" ref="M203:M208" si="139">L203*1.13</f>
        <v>32543.999999999996</v>
      </c>
      <c r="N203" s="8">
        <v>21014</v>
      </c>
      <c r="O203" s="9">
        <f t="shared" ref="O203:O208" si="140">N203/M203</f>
        <v>0.64571042281219282</v>
      </c>
      <c r="Q203" s="5">
        <v>2020</v>
      </c>
      <c r="R203" s="5">
        <v>12</v>
      </c>
      <c r="S203" s="14" t="s">
        <v>54</v>
      </c>
      <c r="T203" s="15">
        <f t="shared" ref="T203:T215" si="141">IF(U203=U203-BB203,0,U203-BB203)</f>
        <v>4484212</v>
      </c>
      <c r="U203" s="15">
        <f t="shared" ref="U203:U215" si="142">SUM(V203:BA203)</f>
        <v>5273500</v>
      </c>
      <c r="V203" s="16">
        <v>3548000</v>
      </c>
      <c r="W203" s="16">
        <v>1325500</v>
      </c>
      <c r="X203" s="16">
        <v>0</v>
      </c>
      <c r="Y203" s="16">
        <v>0</v>
      </c>
      <c r="Z203" s="16">
        <v>0</v>
      </c>
      <c r="AA203" s="16">
        <v>0</v>
      </c>
      <c r="AB203" s="16">
        <v>0</v>
      </c>
      <c r="AC203" s="16">
        <v>0</v>
      </c>
      <c r="AD203" s="16">
        <v>0</v>
      </c>
      <c r="AE203" s="16">
        <v>0</v>
      </c>
      <c r="AF203" s="16">
        <v>50000</v>
      </c>
      <c r="AG203" s="16">
        <v>0</v>
      </c>
      <c r="AH203" s="16">
        <v>100000</v>
      </c>
      <c r="AI203" s="16">
        <v>200000</v>
      </c>
      <c r="AJ203" s="16">
        <v>0</v>
      </c>
      <c r="AK203" s="16">
        <v>0</v>
      </c>
      <c r="AL203" s="16">
        <v>50000</v>
      </c>
      <c r="AM203" s="16">
        <v>0</v>
      </c>
      <c r="AN203" s="16">
        <v>0</v>
      </c>
      <c r="AO203" s="16">
        <v>0</v>
      </c>
      <c r="AP203" s="16">
        <v>0</v>
      </c>
      <c r="AQ203" s="16">
        <v>0</v>
      </c>
      <c r="AR203" s="16">
        <v>0</v>
      </c>
      <c r="AS203" s="16">
        <v>0</v>
      </c>
      <c r="AT203" s="16">
        <v>0</v>
      </c>
      <c r="AU203" s="16">
        <v>0</v>
      </c>
      <c r="AV203" s="16">
        <v>0</v>
      </c>
      <c r="AW203" s="16">
        <v>0</v>
      </c>
      <c r="AX203" s="16">
        <v>0</v>
      </c>
      <c r="AY203" s="16">
        <v>0</v>
      </c>
      <c r="AZ203" s="16">
        <v>0</v>
      </c>
      <c r="BA203" s="16"/>
      <c r="BB203" s="15">
        <f t="shared" ref="BB203:BB215" si="143">SUM(BC203:BW203)</f>
        <v>789288</v>
      </c>
      <c r="BC203" s="15">
        <v>0</v>
      </c>
      <c r="BD203" s="16">
        <v>208470</v>
      </c>
      <c r="BE203" s="16">
        <v>0</v>
      </c>
      <c r="BF203" s="16">
        <v>20840</v>
      </c>
      <c r="BG203" s="16">
        <v>0</v>
      </c>
      <c r="BH203" s="16">
        <v>212340</v>
      </c>
      <c r="BI203" s="16">
        <v>226350</v>
      </c>
      <c r="BJ203" s="16">
        <v>40588</v>
      </c>
      <c r="BK203" s="16">
        <v>17800</v>
      </c>
      <c r="BL203" s="16">
        <v>0</v>
      </c>
      <c r="BM203" s="16">
        <v>0</v>
      </c>
      <c r="BN203" s="16">
        <v>46800</v>
      </c>
      <c r="BO203" s="16">
        <v>16100</v>
      </c>
      <c r="BP203" s="16">
        <v>0</v>
      </c>
      <c r="BQ203" s="16">
        <v>0</v>
      </c>
      <c r="BR203" s="16">
        <v>0</v>
      </c>
      <c r="BS203" s="16">
        <v>0</v>
      </c>
      <c r="BT203" s="16">
        <v>0</v>
      </c>
      <c r="BU203" s="16">
        <v>0</v>
      </c>
      <c r="BV203" s="16">
        <v>0</v>
      </c>
      <c r="BW203" s="16">
        <v>0</v>
      </c>
    </row>
    <row r="204" spans="1:75" ht="18" hidden="1" customHeight="1" outlineLevel="1">
      <c r="D204" s="7" t="s">
        <v>11</v>
      </c>
      <c r="F204" s="8">
        <v>4717</v>
      </c>
      <c r="G204" s="8">
        <v>5848</v>
      </c>
      <c r="K204" s="8">
        <v>2400</v>
      </c>
      <c r="L204" s="8">
        <f t="shared" si="138"/>
        <v>28800</v>
      </c>
      <c r="M204" s="8">
        <f t="shared" si="139"/>
        <v>32543.999999999996</v>
      </c>
      <c r="N204" s="8">
        <v>21014</v>
      </c>
      <c r="O204" s="9">
        <f t="shared" si="140"/>
        <v>0.64571042281219282</v>
      </c>
      <c r="Q204" s="5">
        <v>2020</v>
      </c>
      <c r="R204" s="5">
        <v>11</v>
      </c>
      <c r="S204" s="14" t="s">
        <v>54</v>
      </c>
      <c r="T204" s="15">
        <f t="shared" si="141"/>
        <v>4456712</v>
      </c>
      <c r="U204" s="15">
        <f t="shared" si="142"/>
        <v>5273500</v>
      </c>
      <c r="V204" s="16">
        <v>3548000</v>
      </c>
      <c r="W204" s="16">
        <v>1325500</v>
      </c>
      <c r="X204" s="16">
        <v>0</v>
      </c>
      <c r="Y204" s="16">
        <v>0</v>
      </c>
      <c r="Z204" s="16">
        <v>0</v>
      </c>
      <c r="AA204" s="16">
        <v>0</v>
      </c>
      <c r="AB204" s="16">
        <v>0</v>
      </c>
      <c r="AC204" s="16">
        <v>0</v>
      </c>
      <c r="AD204" s="16">
        <v>0</v>
      </c>
      <c r="AE204" s="16">
        <v>0</v>
      </c>
      <c r="AF204" s="16">
        <v>50000</v>
      </c>
      <c r="AG204" s="16">
        <v>0</v>
      </c>
      <c r="AH204" s="16">
        <v>100000</v>
      </c>
      <c r="AI204" s="16">
        <v>200000</v>
      </c>
      <c r="AJ204" s="16">
        <v>0</v>
      </c>
      <c r="AK204" s="16">
        <v>0</v>
      </c>
      <c r="AL204" s="16">
        <v>50000</v>
      </c>
      <c r="AM204" s="16">
        <v>0</v>
      </c>
      <c r="AN204" s="16">
        <v>0</v>
      </c>
      <c r="AO204" s="16">
        <v>0</v>
      </c>
      <c r="AP204" s="16">
        <v>0</v>
      </c>
      <c r="AQ204" s="16">
        <v>0</v>
      </c>
      <c r="AR204" s="16">
        <v>0</v>
      </c>
      <c r="AS204" s="16">
        <v>0</v>
      </c>
      <c r="AT204" s="16">
        <v>0</v>
      </c>
      <c r="AU204" s="16">
        <v>0</v>
      </c>
      <c r="AV204" s="16">
        <v>0</v>
      </c>
      <c r="AW204" s="16">
        <v>0</v>
      </c>
      <c r="AX204" s="16">
        <v>0</v>
      </c>
      <c r="AY204" s="16">
        <v>0</v>
      </c>
      <c r="AZ204" s="16">
        <v>0</v>
      </c>
      <c r="BA204" s="16"/>
      <c r="BB204" s="15">
        <f t="shared" si="143"/>
        <v>816788</v>
      </c>
      <c r="BC204" s="15">
        <v>0</v>
      </c>
      <c r="BD204" s="16">
        <v>208470</v>
      </c>
      <c r="BE204" s="16">
        <v>0</v>
      </c>
      <c r="BF204" s="16">
        <v>20840</v>
      </c>
      <c r="BG204" s="16">
        <v>0</v>
      </c>
      <c r="BH204" s="16">
        <v>212340</v>
      </c>
      <c r="BI204" s="16">
        <v>226350</v>
      </c>
      <c r="BJ204" s="16">
        <v>40588</v>
      </c>
      <c r="BK204" s="16">
        <v>17800</v>
      </c>
      <c r="BL204" s="16">
        <v>0</v>
      </c>
      <c r="BM204" s="16">
        <v>0</v>
      </c>
      <c r="BN204" s="16">
        <v>74300</v>
      </c>
      <c r="BO204" s="16">
        <v>16100</v>
      </c>
      <c r="BP204" s="16">
        <v>0</v>
      </c>
      <c r="BQ204" s="16">
        <v>0</v>
      </c>
      <c r="BR204" s="16">
        <v>0</v>
      </c>
      <c r="BS204" s="16">
        <v>0</v>
      </c>
      <c r="BT204" s="16">
        <v>0</v>
      </c>
      <c r="BU204" s="16">
        <v>0</v>
      </c>
      <c r="BV204" s="16">
        <v>0</v>
      </c>
      <c r="BW204" s="16">
        <v>0</v>
      </c>
    </row>
    <row r="205" spans="1:75" ht="18" hidden="1" customHeight="1" outlineLevel="1">
      <c r="D205" s="7" t="s">
        <v>11</v>
      </c>
      <c r="F205" s="8">
        <v>4717</v>
      </c>
      <c r="G205" s="8">
        <v>5848</v>
      </c>
      <c r="K205" s="8">
        <v>2400</v>
      </c>
      <c r="L205" s="8">
        <f t="shared" si="138"/>
        <v>28800</v>
      </c>
      <c r="M205" s="8">
        <f t="shared" si="139"/>
        <v>32543.999999999996</v>
      </c>
      <c r="N205" s="8">
        <v>21014</v>
      </c>
      <c r="O205" s="9">
        <f t="shared" si="140"/>
        <v>0.64571042281219282</v>
      </c>
      <c r="Q205" s="5">
        <v>2020</v>
      </c>
      <c r="R205" s="5">
        <v>10</v>
      </c>
      <c r="S205" s="14" t="s">
        <v>54</v>
      </c>
      <c r="T205" s="15">
        <f t="shared" si="141"/>
        <v>4496342</v>
      </c>
      <c r="U205" s="15">
        <f t="shared" si="142"/>
        <v>5298500</v>
      </c>
      <c r="V205" s="16">
        <v>3548000</v>
      </c>
      <c r="W205" s="16">
        <v>1325500</v>
      </c>
      <c r="X205" s="16">
        <v>0</v>
      </c>
      <c r="Y205" s="16">
        <v>0</v>
      </c>
      <c r="Z205" s="16">
        <v>0</v>
      </c>
      <c r="AA205" s="16">
        <v>0</v>
      </c>
      <c r="AB205" s="16">
        <v>0</v>
      </c>
      <c r="AC205" s="16">
        <v>0</v>
      </c>
      <c r="AD205" s="16">
        <v>0</v>
      </c>
      <c r="AE205" s="16">
        <v>0</v>
      </c>
      <c r="AF205" s="16">
        <v>75000</v>
      </c>
      <c r="AG205" s="16">
        <v>0</v>
      </c>
      <c r="AH205" s="16">
        <v>100000</v>
      </c>
      <c r="AI205" s="16">
        <v>200000</v>
      </c>
      <c r="AJ205" s="16">
        <v>0</v>
      </c>
      <c r="AK205" s="16">
        <v>0</v>
      </c>
      <c r="AL205" s="16">
        <v>50000</v>
      </c>
      <c r="AM205" s="16">
        <v>0</v>
      </c>
      <c r="AN205" s="16">
        <v>0</v>
      </c>
      <c r="AO205" s="16">
        <v>0</v>
      </c>
      <c r="AP205" s="16">
        <v>0</v>
      </c>
      <c r="AQ205" s="16">
        <v>0</v>
      </c>
      <c r="AR205" s="16">
        <v>0</v>
      </c>
      <c r="AS205" s="16">
        <v>0</v>
      </c>
      <c r="AT205" s="16">
        <v>0</v>
      </c>
      <c r="AU205" s="16">
        <v>0</v>
      </c>
      <c r="AV205" s="16">
        <v>0</v>
      </c>
      <c r="AW205" s="16">
        <v>0</v>
      </c>
      <c r="AX205" s="16">
        <v>0</v>
      </c>
      <c r="AY205" s="16">
        <v>0</v>
      </c>
      <c r="AZ205" s="16">
        <v>0</v>
      </c>
      <c r="BA205" s="16"/>
      <c r="BB205" s="15">
        <f t="shared" si="143"/>
        <v>802158</v>
      </c>
      <c r="BC205" s="15">
        <v>0</v>
      </c>
      <c r="BD205" s="16">
        <v>210530</v>
      </c>
      <c r="BE205" s="16">
        <v>0</v>
      </c>
      <c r="BF205" s="16">
        <v>21050</v>
      </c>
      <c r="BG205" s="16">
        <v>0</v>
      </c>
      <c r="BH205" s="16">
        <v>212340</v>
      </c>
      <c r="BI205" s="16">
        <v>226350</v>
      </c>
      <c r="BJ205" s="16">
        <v>40788</v>
      </c>
      <c r="BK205" s="16">
        <v>17800</v>
      </c>
      <c r="BL205" s="16">
        <v>0</v>
      </c>
      <c r="BM205" s="16">
        <v>0</v>
      </c>
      <c r="BN205" s="16">
        <v>57200</v>
      </c>
      <c r="BO205" s="16">
        <v>16100</v>
      </c>
      <c r="BP205" s="16">
        <v>0</v>
      </c>
      <c r="BQ205" s="16">
        <v>0</v>
      </c>
      <c r="BR205" s="16">
        <v>0</v>
      </c>
      <c r="BS205" s="16">
        <v>0</v>
      </c>
      <c r="BT205" s="16">
        <v>0</v>
      </c>
      <c r="BU205" s="16">
        <v>0</v>
      </c>
      <c r="BV205" s="16">
        <v>0</v>
      </c>
      <c r="BW205" s="16">
        <v>0</v>
      </c>
    </row>
    <row r="206" spans="1:75" ht="18" hidden="1" customHeight="1" outlineLevel="1">
      <c r="D206" s="7" t="s">
        <v>12</v>
      </c>
      <c r="F206" s="8">
        <v>6867</v>
      </c>
      <c r="G206" s="8">
        <v>6867</v>
      </c>
      <c r="K206" s="8">
        <v>2400</v>
      </c>
      <c r="L206" s="8">
        <f t="shared" si="138"/>
        <v>28800</v>
      </c>
      <c r="M206" s="8">
        <f t="shared" si="139"/>
        <v>32543.999999999996</v>
      </c>
      <c r="N206" s="8">
        <v>21014</v>
      </c>
      <c r="O206" s="9">
        <f t="shared" si="140"/>
        <v>0.64571042281219282</v>
      </c>
      <c r="Q206" s="5">
        <v>2020</v>
      </c>
      <c r="R206" s="5">
        <v>9</v>
      </c>
      <c r="S206" s="14" t="s">
        <v>54</v>
      </c>
      <c r="T206" s="15">
        <f t="shared" si="141"/>
        <v>4491392</v>
      </c>
      <c r="U206" s="15">
        <f t="shared" si="142"/>
        <v>5398500</v>
      </c>
      <c r="V206" s="16">
        <v>3548000</v>
      </c>
      <c r="W206" s="16">
        <v>1325500</v>
      </c>
      <c r="X206" s="16">
        <v>0</v>
      </c>
      <c r="Y206" s="16">
        <v>0</v>
      </c>
      <c r="Z206" s="16">
        <v>0</v>
      </c>
      <c r="AA206" s="16">
        <v>0</v>
      </c>
      <c r="AB206" s="16">
        <v>0</v>
      </c>
      <c r="AC206" s="16">
        <v>0</v>
      </c>
      <c r="AD206" s="16">
        <v>0</v>
      </c>
      <c r="AE206" s="16">
        <v>0</v>
      </c>
      <c r="AF206" s="16">
        <v>25000</v>
      </c>
      <c r="AG206" s="16">
        <v>0</v>
      </c>
      <c r="AH206" s="16">
        <v>100000</v>
      </c>
      <c r="AI206" s="16">
        <v>200000</v>
      </c>
      <c r="AJ206" s="16">
        <v>150000</v>
      </c>
      <c r="AK206" s="16">
        <v>0</v>
      </c>
      <c r="AL206" s="16">
        <v>50000</v>
      </c>
      <c r="AM206" s="16">
        <v>0</v>
      </c>
      <c r="AN206" s="16">
        <v>0</v>
      </c>
      <c r="AO206" s="16">
        <v>0</v>
      </c>
      <c r="AP206" s="16">
        <v>0</v>
      </c>
      <c r="AQ206" s="16">
        <v>0</v>
      </c>
      <c r="AR206" s="16">
        <v>0</v>
      </c>
      <c r="AS206" s="16">
        <v>0</v>
      </c>
      <c r="AT206" s="16">
        <v>0</v>
      </c>
      <c r="AU206" s="16">
        <v>0</v>
      </c>
      <c r="AV206" s="16">
        <v>0</v>
      </c>
      <c r="AW206" s="16">
        <v>0</v>
      </c>
      <c r="AX206" s="16">
        <v>0</v>
      </c>
      <c r="AY206" s="16">
        <v>0</v>
      </c>
      <c r="AZ206" s="16">
        <v>0</v>
      </c>
      <c r="BA206" s="16"/>
      <c r="BB206" s="15">
        <f t="shared" si="143"/>
        <v>907108</v>
      </c>
      <c r="BC206" s="15">
        <v>0</v>
      </c>
      <c r="BD206" s="16">
        <v>220850</v>
      </c>
      <c r="BE206" s="16">
        <v>0</v>
      </c>
      <c r="BF206" s="16">
        <v>22080</v>
      </c>
      <c r="BG206" s="16">
        <v>0</v>
      </c>
      <c r="BH206" s="16">
        <v>212340</v>
      </c>
      <c r="BI206" s="16">
        <v>226350</v>
      </c>
      <c r="BJ206" s="16">
        <v>41588</v>
      </c>
      <c r="BK206" s="16">
        <v>17800</v>
      </c>
      <c r="BL206" s="16">
        <v>0</v>
      </c>
      <c r="BM206" s="16">
        <v>150000</v>
      </c>
      <c r="BN206" s="16">
        <v>0</v>
      </c>
      <c r="BO206" s="16">
        <v>16100</v>
      </c>
      <c r="BP206" s="16">
        <v>0</v>
      </c>
      <c r="BQ206" s="16">
        <v>0</v>
      </c>
      <c r="BR206" s="16">
        <v>0</v>
      </c>
      <c r="BS206" s="16">
        <v>0</v>
      </c>
      <c r="BT206" s="16">
        <v>0</v>
      </c>
      <c r="BU206" s="16">
        <v>0</v>
      </c>
      <c r="BV206" s="16">
        <v>0</v>
      </c>
      <c r="BW206" s="16">
        <v>0</v>
      </c>
    </row>
    <row r="207" spans="1:75" ht="18" hidden="1" customHeight="1" outlineLevel="1">
      <c r="D207" s="7" t="s">
        <v>13</v>
      </c>
      <c r="F207" s="8">
        <v>7988</v>
      </c>
      <c r="G207" s="8" t="s">
        <v>2</v>
      </c>
      <c r="H207" s="8" t="s">
        <v>17</v>
      </c>
      <c r="I207" s="8">
        <v>171</v>
      </c>
      <c r="K207" s="8">
        <v>2400</v>
      </c>
      <c r="L207" s="8">
        <f t="shared" si="138"/>
        <v>28800</v>
      </c>
      <c r="M207" s="8">
        <f t="shared" si="139"/>
        <v>32543.999999999996</v>
      </c>
      <c r="N207" s="8">
        <v>21014</v>
      </c>
      <c r="O207" s="9">
        <f t="shared" si="140"/>
        <v>0.64571042281219282</v>
      </c>
      <c r="Q207" s="5">
        <v>2020</v>
      </c>
      <c r="R207" s="5">
        <v>8</v>
      </c>
      <c r="S207" s="14" t="s">
        <v>54</v>
      </c>
      <c r="T207" s="15">
        <f t="shared" si="141"/>
        <v>4508482</v>
      </c>
      <c r="U207" s="15">
        <f t="shared" si="142"/>
        <v>5248500</v>
      </c>
      <c r="V207" s="16">
        <v>3548000</v>
      </c>
      <c r="W207" s="16">
        <v>1325500</v>
      </c>
      <c r="X207" s="16">
        <v>0</v>
      </c>
      <c r="Y207" s="16">
        <v>0</v>
      </c>
      <c r="Z207" s="16">
        <v>0</v>
      </c>
      <c r="AA207" s="16">
        <v>0</v>
      </c>
      <c r="AB207" s="16">
        <v>0</v>
      </c>
      <c r="AC207" s="16">
        <v>0</v>
      </c>
      <c r="AD207" s="16">
        <v>0</v>
      </c>
      <c r="AE207" s="16">
        <v>0</v>
      </c>
      <c r="AF207" s="16">
        <v>25000</v>
      </c>
      <c r="AG207" s="16">
        <v>0</v>
      </c>
      <c r="AH207" s="16">
        <v>100000</v>
      </c>
      <c r="AI207" s="16">
        <v>200000</v>
      </c>
      <c r="AJ207" s="16">
        <v>0</v>
      </c>
      <c r="AK207" s="16">
        <v>0</v>
      </c>
      <c r="AL207" s="16">
        <v>50000</v>
      </c>
      <c r="AM207" s="16">
        <v>0</v>
      </c>
      <c r="AN207" s="16">
        <v>0</v>
      </c>
      <c r="AO207" s="16">
        <v>0</v>
      </c>
      <c r="AP207" s="16">
        <v>0</v>
      </c>
      <c r="AQ207" s="16">
        <v>0</v>
      </c>
      <c r="AR207" s="16">
        <v>0</v>
      </c>
      <c r="AS207" s="16">
        <v>0</v>
      </c>
      <c r="AT207" s="16">
        <v>0</v>
      </c>
      <c r="AU207" s="16">
        <v>0</v>
      </c>
      <c r="AV207" s="16">
        <v>0</v>
      </c>
      <c r="AW207" s="16">
        <v>0</v>
      </c>
      <c r="AX207" s="16">
        <v>0</v>
      </c>
      <c r="AY207" s="16">
        <v>0</v>
      </c>
      <c r="AZ207" s="16">
        <v>0</v>
      </c>
      <c r="BA207" s="16"/>
      <c r="BB207" s="15">
        <f t="shared" si="143"/>
        <v>740018</v>
      </c>
      <c r="BC207" s="15">
        <v>0</v>
      </c>
      <c r="BD207" s="16">
        <v>206400</v>
      </c>
      <c r="BE207" s="16">
        <v>0</v>
      </c>
      <c r="BF207" s="16">
        <v>20640</v>
      </c>
      <c r="BG207" s="16">
        <v>0</v>
      </c>
      <c r="BH207" s="16">
        <v>212340</v>
      </c>
      <c r="BI207" s="16">
        <v>226350</v>
      </c>
      <c r="BJ207" s="16">
        <v>40388</v>
      </c>
      <c r="BK207" s="16">
        <v>17800</v>
      </c>
      <c r="BL207" s="16">
        <v>0</v>
      </c>
      <c r="BM207" s="16">
        <v>0</v>
      </c>
      <c r="BN207" s="16">
        <v>0</v>
      </c>
      <c r="BO207" s="16">
        <v>16100</v>
      </c>
      <c r="BP207" s="16">
        <v>0</v>
      </c>
      <c r="BQ207" s="16">
        <v>0</v>
      </c>
      <c r="BR207" s="16">
        <v>0</v>
      </c>
      <c r="BS207" s="16">
        <v>0</v>
      </c>
      <c r="BT207" s="16">
        <v>0</v>
      </c>
      <c r="BU207" s="16">
        <v>0</v>
      </c>
      <c r="BV207" s="16">
        <v>0</v>
      </c>
      <c r="BW207" s="16">
        <v>0</v>
      </c>
    </row>
    <row r="208" spans="1:75" ht="18" hidden="1" customHeight="1" outlineLevel="1">
      <c r="D208" s="7" t="s">
        <v>13</v>
      </c>
      <c r="F208" s="8">
        <v>7988</v>
      </c>
      <c r="G208" s="8" t="s">
        <v>2</v>
      </c>
      <c r="H208" s="8" t="s">
        <v>17</v>
      </c>
      <c r="I208" s="8">
        <v>171</v>
      </c>
      <c r="K208" s="8">
        <v>2400</v>
      </c>
      <c r="L208" s="8">
        <f t="shared" si="138"/>
        <v>28800</v>
      </c>
      <c r="M208" s="8">
        <f t="shared" si="139"/>
        <v>32543.999999999996</v>
      </c>
      <c r="N208" s="8">
        <v>21014</v>
      </c>
      <c r="O208" s="9">
        <f t="shared" si="140"/>
        <v>0.64571042281219282</v>
      </c>
      <c r="Q208" s="5">
        <v>2020</v>
      </c>
      <c r="R208" s="5">
        <v>7</v>
      </c>
      <c r="S208" s="14" t="s">
        <v>54</v>
      </c>
      <c r="T208" s="15">
        <f t="shared" si="141"/>
        <v>4772032</v>
      </c>
      <c r="U208" s="15">
        <f t="shared" si="142"/>
        <v>5548500</v>
      </c>
      <c r="V208" s="16">
        <v>3548000</v>
      </c>
      <c r="W208" s="16">
        <v>1325500</v>
      </c>
      <c r="X208" s="16">
        <v>0</v>
      </c>
      <c r="Y208" s="16">
        <v>0</v>
      </c>
      <c r="Z208" s="16">
        <v>0</v>
      </c>
      <c r="AA208" s="16">
        <v>0</v>
      </c>
      <c r="AB208" s="16">
        <v>0</v>
      </c>
      <c r="AC208" s="16">
        <v>0</v>
      </c>
      <c r="AD208" s="16">
        <v>0</v>
      </c>
      <c r="AE208" s="16">
        <v>0</v>
      </c>
      <c r="AF208" s="16">
        <v>25000</v>
      </c>
      <c r="AG208" s="16">
        <v>0</v>
      </c>
      <c r="AH208" s="16">
        <v>100000</v>
      </c>
      <c r="AI208" s="16">
        <v>200000</v>
      </c>
      <c r="AJ208" s="16">
        <v>0</v>
      </c>
      <c r="AK208" s="16">
        <v>300000</v>
      </c>
      <c r="AL208" s="16">
        <v>50000</v>
      </c>
      <c r="AM208" s="16">
        <v>0</v>
      </c>
      <c r="AN208" s="16">
        <v>0</v>
      </c>
      <c r="AO208" s="16">
        <v>0</v>
      </c>
      <c r="AP208" s="16">
        <v>0</v>
      </c>
      <c r="AQ208" s="16">
        <v>0</v>
      </c>
      <c r="AR208" s="16">
        <v>0</v>
      </c>
      <c r="AS208" s="16">
        <v>0</v>
      </c>
      <c r="AT208" s="16">
        <v>0</v>
      </c>
      <c r="AU208" s="16">
        <v>0</v>
      </c>
      <c r="AV208" s="16">
        <v>0</v>
      </c>
      <c r="AW208" s="16">
        <v>0</v>
      </c>
      <c r="AX208" s="16">
        <v>0</v>
      </c>
      <c r="AY208" s="16">
        <v>0</v>
      </c>
      <c r="AZ208" s="16">
        <v>0</v>
      </c>
      <c r="BA208" s="16"/>
      <c r="BB208" s="15">
        <f t="shared" si="143"/>
        <v>776468</v>
      </c>
      <c r="BC208" s="15">
        <v>0</v>
      </c>
      <c r="BD208" s="16">
        <v>237360</v>
      </c>
      <c r="BE208" s="16">
        <v>0</v>
      </c>
      <c r="BF208" s="16">
        <v>23730</v>
      </c>
      <c r="BG208" s="16">
        <v>0</v>
      </c>
      <c r="BH208" s="16">
        <v>212340</v>
      </c>
      <c r="BI208" s="16">
        <v>226350</v>
      </c>
      <c r="BJ208" s="16">
        <v>42788</v>
      </c>
      <c r="BK208" s="16">
        <v>17800</v>
      </c>
      <c r="BL208" s="16">
        <v>0</v>
      </c>
      <c r="BM208" s="16">
        <v>0</v>
      </c>
      <c r="BN208" s="16">
        <v>0</v>
      </c>
      <c r="BO208" s="16">
        <v>16100</v>
      </c>
      <c r="BP208" s="16">
        <v>0</v>
      </c>
      <c r="BQ208" s="16">
        <v>0</v>
      </c>
      <c r="BR208" s="16">
        <v>0</v>
      </c>
      <c r="BS208" s="16">
        <v>0</v>
      </c>
      <c r="BT208" s="16">
        <v>0</v>
      </c>
      <c r="BU208" s="16">
        <v>0</v>
      </c>
      <c r="BV208" s="16">
        <v>0</v>
      </c>
      <c r="BW208" s="16">
        <v>0</v>
      </c>
    </row>
    <row r="209" spans="1:75" ht="18" hidden="1" customHeight="1" outlineLevel="1">
      <c r="H209" s="8" t="s">
        <v>18</v>
      </c>
      <c r="I209" s="8">
        <v>122</v>
      </c>
      <c r="J209" s="9"/>
      <c r="Q209" s="5">
        <v>2020</v>
      </c>
      <c r="R209" s="5">
        <v>6</v>
      </c>
      <c r="S209" s="14" t="s">
        <v>54</v>
      </c>
      <c r="T209" s="15">
        <f t="shared" si="141"/>
        <v>4516132</v>
      </c>
      <c r="U209" s="15">
        <f t="shared" si="142"/>
        <v>5248500</v>
      </c>
      <c r="V209" s="16">
        <v>3548000</v>
      </c>
      <c r="W209" s="16">
        <v>1325500</v>
      </c>
      <c r="X209" s="16">
        <v>0</v>
      </c>
      <c r="Y209" s="16">
        <v>0</v>
      </c>
      <c r="Z209" s="16">
        <v>0</v>
      </c>
      <c r="AA209" s="16">
        <v>0</v>
      </c>
      <c r="AB209" s="16">
        <v>0</v>
      </c>
      <c r="AC209" s="16">
        <v>0</v>
      </c>
      <c r="AD209" s="16">
        <v>0</v>
      </c>
      <c r="AE209" s="16">
        <v>0</v>
      </c>
      <c r="AF209" s="16">
        <v>25000</v>
      </c>
      <c r="AG209" s="16">
        <v>0</v>
      </c>
      <c r="AH209" s="16">
        <v>100000</v>
      </c>
      <c r="AI209" s="16">
        <v>200000</v>
      </c>
      <c r="AJ209" s="16">
        <v>0</v>
      </c>
      <c r="AK209" s="16">
        <v>0</v>
      </c>
      <c r="AL209" s="16">
        <v>50000</v>
      </c>
      <c r="AM209" s="16">
        <v>0</v>
      </c>
      <c r="AN209" s="16">
        <v>0</v>
      </c>
      <c r="AO209" s="16">
        <v>0</v>
      </c>
      <c r="AP209" s="16">
        <v>0</v>
      </c>
      <c r="AQ209" s="16">
        <v>0</v>
      </c>
      <c r="AR209" s="16">
        <v>0</v>
      </c>
      <c r="AS209" s="16">
        <v>0</v>
      </c>
      <c r="AT209" s="16">
        <v>0</v>
      </c>
      <c r="AU209" s="16">
        <v>0</v>
      </c>
      <c r="AV209" s="16">
        <v>0</v>
      </c>
      <c r="AW209" s="16">
        <v>0</v>
      </c>
      <c r="AX209" s="16">
        <v>0</v>
      </c>
      <c r="AY209" s="16">
        <v>0</v>
      </c>
      <c r="AZ209" s="16">
        <v>0</v>
      </c>
      <c r="BA209" s="16"/>
      <c r="BB209" s="15">
        <f t="shared" si="143"/>
        <v>732368</v>
      </c>
      <c r="BC209" s="15">
        <v>0</v>
      </c>
      <c r="BD209" s="16">
        <v>206400</v>
      </c>
      <c r="BE209" s="16">
        <v>0</v>
      </c>
      <c r="BF209" s="16">
        <v>20640</v>
      </c>
      <c r="BG209" s="16">
        <v>0</v>
      </c>
      <c r="BH209" s="16">
        <v>212340</v>
      </c>
      <c r="BI209" s="16">
        <v>218700</v>
      </c>
      <c r="BJ209" s="16">
        <v>40388</v>
      </c>
      <c r="BK209" s="16">
        <v>17800</v>
      </c>
      <c r="BL209" s="16">
        <v>0</v>
      </c>
      <c r="BM209" s="16">
        <v>0</v>
      </c>
      <c r="BN209" s="16">
        <v>0</v>
      </c>
      <c r="BO209" s="16">
        <v>16100</v>
      </c>
      <c r="BP209" s="16">
        <v>0</v>
      </c>
      <c r="BQ209" s="16">
        <v>0</v>
      </c>
      <c r="BR209" s="16">
        <v>0</v>
      </c>
      <c r="BS209" s="16">
        <v>0</v>
      </c>
      <c r="BT209" s="16">
        <v>0</v>
      </c>
      <c r="BU209" s="16">
        <v>0</v>
      </c>
      <c r="BV209" s="16">
        <v>0</v>
      </c>
      <c r="BW209" s="16">
        <v>0</v>
      </c>
    </row>
    <row r="210" spans="1:75" ht="18" hidden="1" customHeight="1" outlineLevel="1">
      <c r="J210" s="9"/>
      <c r="Q210" s="5">
        <v>2020</v>
      </c>
      <c r="R210" s="5">
        <v>5</v>
      </c>
      <c r="S210" s="14" t="s">
        <v>54</v>
      </c>
      <c r="T210" s="15">
        <f t="shared" si="141"/>
        <v>4566971</v>
      </c>
      <c r="U210" s="15">
        <f t="shared" si="142"/>
        <v>5476140</v>
      </c>
      <c r="V210" s="16">
        <v>3548000</v>
      </c>
      <c r="W210" s="16">
        <v>1325500</v>
      </c>
      <c r="X210" s="16">
        <v>0</v>
      </c>
      <c r="Y210" s="16">
        <v>0</v>
      </c>
      <c r="Z210" s="16">
        <v>0</v>
      </c>
      <c r="AA210" s="16">
        <v>0</v>
      </c>
      <c r="AB210" s="16">
        <v>0</v>
      </c>
      <c r="AC210" s="16">
        <v>77640</v>
      </c>
      <c r="AD210" s="16">
        <v>0</v>
      </c>
      <c r="AE210" s="16">
        <v>0</v>
      </c>
      <c r="AF210" s="16">
        <v>25000</v>
      </c>
      <c r="AG210" s="16">
        <v>0</v>
      </c>
      <c r="AH210" s="16">
        <v>100000</v>
      </c>
      <c r="AI210" s="16">
        <v>200000</v>
      </c>
      <c r="AJ210" s="16">
        <v>150000</v>
      </c>
      <c r="AK210" s="16">
        <v>0</v>
      </c>
      <c r="AL210" s="16">
        <v>50000</v>
      </c>
      <c r="AM210" s="16">
        <v>0</v>
      </c>
      <c r="AN210" s="16">
        <v>0</v>
      </c>
      <c r="AO210" s="16">
        <v>0</v>
      </c>
      <c r="AP210" s="16">
        <v>0</v>
      </c>
      <c r="AQ210" s="16">
        <v>0</v>
      </c>
      <c r="AR210" s="16">
        <v>0</v>
      </c>
      <c r="AS210" s="16">
        <v>0</v>
      </c>
      <c r="AT210" s="16">
        <v>0</v>
      </c>
      <c r="AU210" s="16">
        <v>0</v>
      </c>
      <c r="AV210" s="16">
        <v>0</v>
      </c>
      <c r="AW210" s="16">
        <v>0</v>
      </c>
      <c r="AX210" s="16">
        <v>0</v>
      </c>
      <c r="AY210" s="16">
        <v>0</v>
      </c>
      <c r="AZ210" s="16">
        <v>0</v>
      </c>
      <c r="BA210" s="16"/>
      <c r="BB210" s="15">
        <f t="shared" si="143"/>
        <v>909169</v>
      </c>
      <c r="BC210" s="15">
        <v>0</v>
      </c>
      <c r="BD210" s="16">
        <v>229110</v>
      </c>
      <c r="BE210" s="16">
        <v>0</v>
      </c>
      <c r="BF210" s="16">
        <v>22910</v>
      </c>
      <c r="BG210" s="16">
        <v>0</v>
      </c>
      <c r="BH210" s="16">
        <v>212340</v>
      </c>
      <c r="BI210" s="16">
        <v>218700</v>
      </c>
      <c r="BJ210" s="16">
        <v>42209</v>
      </c>
      <c r="BK210" s="16">
        <v>17800</v>
      </c>
      <c r="BL210" s="16">
        <v>0</v>
      </c>
      <c r="BM210" s="16">
        <v>150000</v>
      </c>
      <c r="BN210" s="16">
        <v>0</v>
      </c>
      <c r="BO210" s="16">
        <v>16100</v>
      </c>
      <c r="BP210" s="16">
        <v>0</v>
      </c>
      <c r="BQ210" s="16">
        <v>0</v>
      </c>
      <c r="BR210" s="16">
        <v>0</v>
      </c>
      <c r="BS210" s="16">
        <v>0</v>
      </c>
      <c r="BT210" s="16">
        <v>0</v>
      </c>
      <c r="BU210" s="16">
        <v>0</v>
      </c>
      <c r="BV210" s="16">
        <v>0</v>
      </c>
      <c r="BW210" s="16">
        <v>0</v>
      </c>
    </row>
    <row r="211" spans="1:75" ht="18" hidden="1" customHeight="1" outlineLevel="1">
      <c r="B211" s="7">
        <v>2021</v>
      </c>
      <c r="C211" s="8" t="s">
        <v>12</v>
      </c>
      <c r="E211" s="8">
        <v>6867</v>
      </c>
      <c r="J211" s="9"/>
      <c r="Q211" s="5">
        <v>2020</v>
      </c>
      <c r="R211" s="5">
        <v>4</v>
      </c>
      <c r="S211" s="14" t="s">
        <v>28</v>
      </c>
      <c r="T211" s="15">
        <f t="shared" si="141"/>
        <v>6902851</v>
      </c>
      <c r="U211" s="15">
        <f t="shared" si="142"/>
        <v>8043468</v>
      </c>
      <c r="V211" s="16">
        <v>0</v>
      </c>
      <c r="W211" s="16">
        <v>0</v>
      </c>
      <c r="X211" s="16">
        <v>0</v>
      </c>
      <c r="Y211" s="16">
        <v>0</v>
      </c>
      <c r="Z211" s="16">
        <v>0</v>
      </c>
      <c r="AA211" s="16">
        <v>0</v>
      </c>
      <c r="AB211" s="16">
        <v>0</v>
      </c>
      <c r="AC211" s="16">
        <v>0</v>
      </c>
      <c r="AD211" s="16">
        <v>8043468</v>
      </c>
      <c r="AE211" s="16">
        <v>0</v>
      </c>
      <c r="AF211" s="16">
        <v>0</v>
      </c>
      <c r="AG211" s="16">
        <v>0</v>
      </c>
      <c r="AH211" s="16">
        <v>0</v>
      </c>
      <c r="AI211" s="16">
        <v>0</v>
      </c>
      <c r="AJ211" s="16">
        <v>0</v>
      </c>
      <c r="AK211" s="16">
        <v>0</v>
      </c>
      <c r="AL211" s="16">
        <v>0</v>
      </c>
      <c r="AM211" s="16">
        <v>0</v>
      </c>
      <c r="AN211" s="16">
        <v>0</v>
      </c>
      <c r="AO211" s="16">
        <v>0</v>
      </c>
      <c r="AP211" s="16">
        <v>0</v>
      </c>
      <c r="AQ211" s="16">
        <v>0</v>
      </c>
      <c r="AR211" s="16">
        <v>0</v>
      </c>
      <c r="AS211" s="16">
        <v>0</v>
      </c>
      <c r="AT211" s="16">
        <v>0</v>
      </c>
      <c r="AU211" s="16">
        <v>0</v>
      </c>
      <c r="AV211" s="16">
        <v>0</v>
      </c>
      <c r="AW211" s="16">
        <v>0</v>
      </c>
      <c r="AX211" s="16">
        <v>0</v>
      </c>
      <c r="AY211" s="16">
        <v>0</v>
      </c>
      <c r="AZ211" s="16">
        <v>0</v>
      </c>
      <c r="BA211" s="16"/>
      <c r="BB211" s="15">
        <f t="shared" si="143"/>
        <v>1140617</v>
      </c>
      <c r="BC211" s="15">
        <v>0</v>
      </c>
      <c r="BD211" s="16">
        <v>978430</v>
      </c>
      <c r="BE211" s="16">
        <v>0</v>
      </c>
      <c r="BF211" s="16">
        <v>97840</v>
      </c>
      <c r="BG211" s="16">
        <v>0</v>
      </c>
      <c r="BH211" s="16">
        <v>0</v>
      </c>
      <c r="BI211" s="16">
        <v>0</v>
      </c>
      <c r="BJ211" s="16">
        <v>64347</v>
      </c>
      <c r="BK211" s="16">
        <v>0</v>
      </c>
      <c r="BL211" s="16">
        <v>0</v>
      </c>
      <c r="BM211" s="16">
        <v>0</v>
      </c>
      <c r="BN211" s="16">
        <v>0</v>
      </c>
      <c r="BO211" s="16">
        <v>0</v>
      </c>
      <c r="BP211" s="16">
        <v>0</v>
      </c>
      <c r="BQ211" s="16">
        <v>0</v>
      </c>
      <c r="BR211" s="16">
        <v>0</v>
      </c>
      <c r="BS211" s="16">
        <v>0</v>
      </c>
      <c r="BT211" s="16">
        <v>0</v>
      </c>
      <c r="BU211" s="16">
        <v>0</v>
      </c>
      <c r="BV211" s="16">
        <v>0</v>
      </c>
      <c r="BW211" s="16">
        <v>0</v>
      </c>
    </row>
    <row r="212" spans="1:75" ht="18" hidden="1" customHeight="1" outlineLevel="1">
      <c r="B212" s="7">
        <v>2021</v>
      </c>
      <c r="C212" s="8" t="s">
        <v>12</v>
      </c>
      <c r="E212" s="8">
        <v>6867</v>
      </c>
      <c r="J212" s="9"/>
      <c r="Q212" s="5">
        <v>2020</v>
      </c>
      <c r="R212" s="5">
        <v>4</v>
      </c>
      <c r="S212" s="14" t="s">
        <v>54</v>
      </c>
      <c r="T212" s="15">
        <f t="shared" si="141"/>
        <v>4499208</v>
      </c>
      <c r="U212" s="15">
        <f t="shared" si="142"/>
        <v>5229090</v>
      </c>
      <c r="V212" s="16">
        <v>3534000</v>
      </c>
      <c r="W212" s="16">
        <v>1320090</v>
      </c>
      <c r="X212" s="16">
        <v>0</v>
      </c>
      <c r="Y212" s="16">
        <v>0</v>
      </c>
      <c r="Z212" s="16">
        <v>0</v>
      </c>
      <c r="AA212" s="16">
        <v>0</v>
      </c>
      <c r="AB212" s="16">
        <v>0</v>
      </c>
      <c r="AC212" s="16">
        <v>0</v>
      </c>
      <c r="AD212" s="16">
        <v>0</v>
      </c>
      <c r="AE212" s="16">
        <v>0</v>
      </c>
      <c r="AF212" s="16">
        <v>25000</v>
      </c>
      <c r="AG212" s="16">
        <v>0</v>
      </c>
      <c r="AH212" s="16">
        <v>100000</v>
      </c>
      <c r="AI212" s="16">
        <v>200000</v>
      </c>
      <c r="AJ212" s="16">
        <v>0</v>
      </c>
      <c r="AK212" s="16">
        <v>0</v>
      </c>
      <c r="AL212" s="16">
        <v>50000</v>
      </c>
      <c r="AM212" s="16">
        <v>0</v>
      </c>
      <c r="AN212" s="16">
        <v>0</v>
      </c>
      <c r="AO212" s="16">
        <v>0</v>
      </c>
      <c r="AP212" s="16">
        <v>0</v>
      </c>
      <c r="AQ212" s="16">
        <v>0</v>
      </c>
      <c r="AR212" s="16">
        <v>0</v>
      </c>
      <c r="AS212" s="16">
        <v>0</v>
      </c>
      <c r="AT212" s="16">
        <v>0</v>
      </c>
      <c r="AU212" s="16">
        <v>0</v>
      </c>
      <c r="AV212" s="16">
        <v>0</v>
      </c>
      <c r="AW212" s="16">
        <v>0</v>
      </c>
      <c r="AX212" s="16">
        <v>0</v>
      </c>
      <c r="AY212" s="16">
        <v>0</v>
      </c>
      <c r="AZ212" s="16">
        <v>0</v>
      </c>
      <c r="BA212" s="16"/>
      <c r="BB212" s="15">
        <f t="shared" si="143"/>
        <v>729882</v>
      </c>
      <c r="BC212" s="15">
        <v>0</v>
      </c>
      <c r="BD212" s="16">
        <v>204340</v>
      </c>
      <c r="BE212" s="16">
        <v>0</v>
      </c>
      <c r="BF212" s="16">
        <v>20430</v>
      </c>
      <c r="BG212" s="16">
        <v>0</v>
      </c>
      <c r="BH212" s="16">
        <v>212340</v>
      </c>
      <c r="BI212" s="16">
        <v>218700</v>
      </c>
      <c r="BJ212" s="16">
        <v>40232</v>
      </c>
      <c r="BK212" s="16">
        <v>17700</v>
      </c>
      <c r="BL212" s="16">
        <v>0</v>
      </c>
      <c r="BM212" s="16">
        <v>0</v>
      </c>
      <c r="BN212" s="16">
        <v>0</v>
      </c>
      <c r="BO212" s="16">
        <v>16140</v>
      </c>
      <c r="BP212" s="16">
        <v>0</v>
      </c>
      <c r="BQ212" s="16">
        <v>0</v>
      </c>
      <c r="BR212" s="16">
        <v>0</v>
      </c>
      <c r="BS212" s="16">
        <v>0</v>
      </c>
      <c r="BT212" s="16">
        <v>0</v>
      </c>
      <c r="BU212" s="16">
        <v>0</v>
      </c>
      <c r="BV212" s="16">
        <v>0</v>
      </c>
      <c r="BW212" s="16">
        <v>0</v>
      </c>
    </row>
    <row r="213" spans="1:75" ht="18" hidden="1" customHeight="1" outlineLevel="1">
      <c r="B213" s="7">
        <v>2022</v>
      </c>
      <c r="C213" s="8" t="s">
        <v>12</v>
      </c>
      <c r="E213" s="8">
        <v>6867</v>
      </c>
      <c r="J213" s="9"/>
      <c r="Q213" s="5">
        <v>2020</v>
      </c>
      <c r="R213" s="5">
        <v>3</v>
      </c>
      <c r="S213" s="14" t="s">
        <v>54</v>
      </c>
      <c r="T213" s="15">
        <f t="shared" si="141"/>
        <v>4519288</v>
      </c>
      <c r="U213" s="15">
        <f t="shared" si="142"/>
        <v>5229090</v>
      </c>
      <c r="V213" s="16">
        <v>3534000</v>
      </c>
      <c r="W213" s="16">
        <v>1320090</v>
      </c>
      <c r="X213" s="16">
        <v>0</v>
      </c>
      <c r="Y213" s="16">
        <v>0</v>
      </c>
      <c r="Z213" s="16">
        <v>0</v>
      </c>
      <c r="AA213" s="16">
        <v>0</v>
      </c>
      <c r="AB213" s="16">
        <v>0</v>
      </c>
      <c r="AC213" s="16">
        <v>0</v>
      </c>
      <c r="AD213" s="16">
        <v>0</v>
      </c>
      <c r="AE213" s="16">
        <v>0</v>
      </c>
      <c r="AF213" s="16">
        <v>25000</v>
      </c>
      <c r="AG213" s="16">
        <v>0</v>
      </c>
      <c r="AH213" s="16">
        <v>100000</v>
      </c>
      <c r="AI213" s="16">
        <v>200000</v>
      </c>
      <c r="AJ213" s="16">
        <v>0</v>
      </c>
      <c r="AK213" s="16">
        <v>0</v>
      </c>
      <c r="AL213" s="16">
        <v>50000</v>
      </c>
      <c r="AM213" s="16">
        <v>0</v>
      </c>
      <c r="AN213" s="16">
        <v>0</v>
      </c>
      <c r="AO213" s="16">
        <v>0</v>
      </c>
      <c r="AP213" s="16">
        <v>0</v>
      </c>
      <c r="AQ213" s="16">
        <v>0</v>
      </c>
      <c r="AR213" s="16">
        <v>0</v>
      </c>
      <c r="AS213" s="16">
        <v>0</v>
      </c>
      <c r="AT213" s="16">
        <v>0</v>
      </c>
      <c r="AU213" s="16">
        <v>0</v>
      </c>
      <c r="AV213" s="16">
        <v>0</v>
      </c>
      <c r="AW213" s="16">
        <v>0</v>
      </c>
      <c r="AX213" s="16">
        <v>0</v>
      </c>
      <c r="AY213" s="16">
        <v>0</v>
      </c>
      <c r="AZ213" s="16">
        <v>0</v>
      </c>
      <c r="BA213" s="16"/>
      <c r="BB213" s="15">
        <f t="shared" si="143"/>
        <v>709802</v>
      </c>
      <c r="BC213" s="15">
        <v>0</v>
      </c>
      <c r="BD213" s="16">
        <v>204340</v>
      </c>
      <c r="BE213" s="16">
        <v>0</v>
      </c>
      <c r="BF213" s="16">
        <v>20430</v>
      </c>
      <c r="BG213" s="16">
        <v>0</v>
      </c>
      <c r="BH213" s="16">
        <v>208400</v>
      </c>
      <c r="BI213" s="16">
        <v>218700</v>
      </c>
      <c r="BJ213" s="16">
        <v>40232</v>
      </c>
      <c r="BK213" s="16">
        <v>17700</v>
      </c>
      <c r="BL213" s="16">
        <v>0</v>
      </c>
      <c r="BM213" s="16">
        <v>0</v>
      </c>
      <c r="BN213" s="16">
        <v>0</v>
      </c>
      <c r="BO213" s="16">
        <v>0</v>
      </c>
      <c r="BP213" s="16">
        <v>0</v>
      </c>
      <c r="BQ213" s="16">
        <v>0</v>
      </c>
      <c r="BR213" s="16">
        <v>0</v>
      </c>
      <c r="BS213" s="16">
        <v>0</v>
      </c>
      <c r="BT213" s="16">
        <v>0</v>
      </c>
      <c r="BU213" s="16">
        <v>0</v>
      </c>
      <c r="BV213" s="16">
        <v>0</v>
      </c>
      <c r="BW213" s="16">
        <v>0</v>
      </c>
    </row>
    <row r="214" spans="1:75" ht="18" hidden="1" customHeight="1" outlineLevel="1">
      <c r="B214" s="7">
        <v>2023</v>
      </c>
      <c r="C214" s="8" t="s">
        <v>12</v>
      </c>
      <c r="E214" s="8">
        <v>6867</v>
      </c>
      <c r="J214" s="9"/>
      <c r="Q214" s="5">
        <v>2020</v>
      </c>
      <c r="R214" s="5">
        <v>2</v>
      </c>
      <c r="S214" s="14" t="s">
        <v>54</v>
      </c>
      <c r="T214" s="15">
        <f t="shared" si="141"/>
        <v>7098678</v>
      </c>
      <c r="U214" s="15">
        <f t="shared" si="142"/>
        <v>5229090</v>
      </c>
      <c r="V214" s="16">
        <v>3534000</v>
      </c>
      <c r="W214" s="16">
        <v>1320090</v>
      </c>
      <c r="X214" s="16">
        <v>0</v>
      </c>
      <c r="Y214" s="16">
        <v>0</v>
      </c>
      <c r="Z214" s="16">
        <v>0</v>
      </c>
      <c r="AA214" s="16">
        <v>0</v>
      </c>
      <c r="AB214" s="16">
        <v>0</v>
      </c>
      <c r="AC214" s="16">
        <v>0</v>
      </c>
      <c r="AD214" s="16">
        <v>0</v>
      </c>
      <c r="AE214" s="16">
        <v>0</v>
      </c>
      <c r="AF214" s="16">
        <v>25000</v>
      </c>
      <c r="AG214" s="16">
        <v>0</v>
      </c>
      <c r="AH214" s="16">
        <v>100000</v>
      </c>
      <c r="AI214" s="16">
        <v>200000</v>
      </c>
      <c r="AJ214" s="16">
        <v>0</v>
      </c>
      <c r="AK214" s="16">
        <v>0</v>
      </c>
      <c r="AL214" s="16">
        <v>50000</v>
      </c>
      <c r="AM214" s="16">
        <v>0</v>
      </c>
      <c r="AN214" s="16">
        <v>0</v>
      </c>
      <c r="AO214" s="16">
        <v>0</v>
      </c>
      <c r="AP214" s="16">
        <v>0</v>
      </c>
      <c r="AQ214" s="16">
        <v>0</v>
      </c>
      <c r="AR214" s="16">
        <v>0</v>
      </c>
      <c r="AS214" s="16">
        <v>0</v>
      </c>
      <c r="AT214" s="16">
        <v>0</v>
      </c>
      <c r="AU214" s="16">
        <v>0</v>
      </c>
      <c r="AV214" s="16">
        <v>0</v>
      </c>
      <c r="AW214" s="16">
        <v>0</v>
      </c>
      <c r="AX214" s="16">
        <v>0</v>
      </c>
      <c r="AY214" s="16">
        <v>0</v>
      </c>
      <c r="AZ214" s="16">
        <v>0</v>
      </c>
      <c r="BA214" s="16"/>
      <c r="BB214" s="15">
        <f t="shared" si="143"/>
        <v>-1869588</v>
      </c>
      <c r="BC214" s="15">
        <v>-2670690</v>
      </c>
      <c r="BD214" s="16">
        <v>282610</v>
      </c>
      <c r="BE214" s="16">
        <v>0</v>
      </c>
      <c r="BF214" s="16">
        <v>28260</v>
      </c>
      <c r="BG214" s="16">
        <v>0</v>
      </c>
      <c r="BH214" s="16">
        <v>208400</v>
      </c>
      <c r="BI214" s="16">
        <v>218700</v>
      </c>
      <c r="BJ214" s="16">
        <v>40232</v>
      </c>
      <c r="BK214" s="16">
        <v>17700</v>
      </c>
      <c r="BL214" s="16">
        <v>0</v>
      </c>
      <c r="BM214" s="16">
        <v>0</v>
      </c>
      <c r="BN214" s="16">
        <v>0</v>
      </c>
      <c r="BO214" s="16">
        <v>0</v>
      </c>
      <c r="BP214" s="16">
        <v>5200</v>
      </c>
      <c r="BQ214" s="16">
        <v>0</v>
      </c>
      <c r="BR214" s="16">
        <v>0</v>
      </c>
      <c r="BS214" s="16">
        <v>0</v>
      </c>
      <c r="BT214" s="16">
        <v>0</v>
      </c>
      <c r="BU214" s="16">
        <v>0</v>
      </c>
      <c r="BV214" s="16">
        <v>0</v>
      </c>
      <c r="BW214" s="16">
        <v>0</v>
      </c>
    </row>
    <row r="215" spans="1:75" ht="18" hidden="1" customHeight="1" outlineLevel="1">
      <c r="B215" s="7">
        <v>2024</v>
      </c>
      <c r="C215" s="8" t="s">
        <v>12</v>
      </c>
      <c r="E215" s="8">
        <v>6867</v>
      </c>
      <c r="J215" s="9"/>
      <c r="Q215" s="5">
        <v>2020</v>
      </c>
      <c r="R215" s="5">
        <v>1</v>
      </c>
      <c r="S215" s="14" t="s">
        <v>54</v>
      </c>
      <c r="T215" s="15">
        <f t="shared" si="141"/>
        <v>4414708</v>
      </c>
      <c r="U215" s="15">
        <f t="shared" si="142"/>
        <v>5379090</v>
      </c>
      <c r="V215" s="16">
        <v>3534000</v>
      </c>
      <c r="W215" s="16">
        <v>1320090</v>
      </c>
      <c r="X215" s="16">
        <v>0</v>
      </c>
      <c r="Y215" s="16">
        <v>0</v>
      </c>
      <c r="Z215" s="16">
        <v>0</v>
      </c>
      <c r="AA215" s="16">
        <v>0</v>
      </c>
      <c r="AB215" s="16">
        <v>0</v>
      </c>
      <c r="AC215" s="16">
        <v>0</v>
      </c>
      <c r="AD215" s="16">
        <v>0</v>
      </c>
      <c r="AE215" s="16">
        <v>0</v>
      </c>
      <c r="AF215" s="16">
        <v>25000</v>
      </c>
      <c r="AG215" s="16">
        <v>0</v>
      </c>
      <c r="AH215" s="16">
        <v>100000</v>
      </c>
      <c r="AI215" s="16">
        <v>200000</v>
      </c>
      <c r="AJ215" s="16">
        <v>150000</v>
      </c>
      <c r="AK215" s="16">
        <v>0</v>
      </c>
      <c r="AL215" s="16">
        <v>50000</v>
      </c>
      <c r="AM215" s="16">
        <v>0</v>
      </c>
      <c r="AN215" s="16">
        <v>0</v>
      </c>
      <c r="AO215" s="16">
        <v>0</v>
      </c>
      <c r="AP215" s="16">
        <v>0</v>
      </c>
      <c r="AQ215" s="16">
        <v>0</v>
      </c>
      <c r="AR215" s="16">
        <v>0</v>
      </c>
      <c r="AS215" s="16">
        <v>0</v>
      </c>
      <c r="AT215" s="16">
        <v>0</v>
      </c>
      <c r="AU215" s="16">
        <v>0</v>
      </c>
      <c r="AV215" s="16">
        <v>0</v>
      </c>
      <c r="AW215" s="16">
        <v>0</v>
      </c>
      <c r="AX215" s="16">
        <v>0</v>
      </c>
      <c r="AY215" s="16">
        <v>0</v>
      </c>
      <c r="AZ215" s="16">
        <v>0</v>
      </c>
      <c r="BA215" s="16"/>
      <c r="BB215" s="15">
        <f t="shared" si="143"/>
        <v>964382</v>
      </c>
      <c r="BC215" s="15">
        <v>0</v>
      </c>
      <c r="BD215" s="16">
        <v>298320</v>
      </c>
      <c r="BE215" s="16">
        <v>0</v>
      </c>
      <c r="BF215" s="16">
        <v>29830</v>
      </c>
      <c r="BG215" s="16">
        <v>0</v>
      </c>
      <c r="BH215" s="16">
        <v>208400</v>
      </c>
      <c r="BI215" s="16">
        <v>218700</v>
      </c>
      <c r="BJ215" s="16">
        <v>41432</v>
      </c>
      <c r="BK215" s="16">
        <v>17700</v>
      </c>
      <c r="BL215" s="16">
        <v>0</v>
      </c>
      <c r="BM215" s="16">
        <v>150000</v>
      </c>
      <c r="BN215" s="16">
        <v>0</v>
      </c>
      <c r="BO215" s="16">
        <v>0</v>
      </c>
      <c r="BP215" s="16">
        <v>0</v>
      </c>
      <c r="BQ215" s="16">
        <v>0</v>
      </c>
      <c r="BR215" s="16">
        <v>0</v>
      </c>
      <c r="BS215" s="16">
        <v>0</v>
      </c>
      <c r="BT215" s="16">
        <v>0</v>
      </c>
      <c r="BU215" s="16">
        <v>0</v>
      </c>
      <c r="BV215" s="16">
        <v>0</v>
      </c>
      <c r="BW215" s="16">
        <v>0</v>
      </c>
    </row>
    <row r="216" spans="1:75" s="1" customFormat="1" ht="18" customHeight="1" collapsed="1">
      <c r="A216" s="10"/>
      <c r="B216" s="18"/>
      <c r="C216" s="19"/>
      <c r="D216" s="18"/>
      <c r="E216" s="19"/>
      <c r="F216" s="19"/>
      <c r="G216" s="19"/>
      <c r="H216" s="19"/>
      <c r="I216" s="19"/>
      <c r="J216" s="20"/>
      <c r="K216" s="19"/>
      <c r="L216" s="19"/>
      <c r="M216" s="19"/>
      <c r="N216" s="19"/>
      <c r="O216" s="21"/>
      <c r="P216" s="22"/>
      <c r="Q216" s="667" t="s">
        <v>126</v>
      </c>
      <c r="R216" s="667"/>
      <c r="S216" s="667"/>
      <c r="T216" s="23">
        <f t="shared" ref="T216:AZ216" si="144">SUMIF($Q$2:$Q$793,$Q217,T$2:T$793)</f>
        <v>58780949</v>
      </c>
      <c r="U216" s="23">
        <f t="shared" si="144"/>
        <v>71353975</v>
      </c>
      <c r="V216" s="23">
        <f t="shared" si="144"/>
        <v>42200000</v>
      </c>
      <c r="W216" s="23">
        <f t="shared" si="144"/>
        <v>15762080</v>
      </c>
      <c r="X216" s="23">
        <f t="shared" si="144"/>
        <v>0</v>
      </c>
      <c r="Y216" s="23">
        <f t="shared" si="144"/>
        <v>0</v>
      </c>
      <c r="Z216" s="23">
        <f t="shared" si="144"/>
        <v>0</v>
      </c>
      <c r="AA216" s="23">
        <f t="shared" si="144"/>
        <v>0</v>
      </c>
      <c r="AB216" s="23">
        <f t="shared" si="144"/>
        <v>0</v>
      </c>
      <c r="AC216" s="23">
        <f t="shared" si="144"/>
        <v>287000</v>
      </c>
      <c r="AD216" s="23">
        <f t="shared" si="144"/>
        <v>6427454</v>
      </c>
      <c r="AE216" s="23">
        <f t="shared" si="144"/>
        <v>800000</v>
      </c>
      <c r="AF216" s="23">
        <f t="shared" si="144"/>
        <v>534676</v>
      </c>
      <c r="AG216" s="23">
        <f t="shared" si="144"/>
        <v>0</v>
      </c>
      <c r="AH216" s="23">
        <f t="shared" si="144"/>
        <v>200000</v>
      </c>
      <c r="AI216" s="23">
        <f t="shared" si="144"/>
        <v>2400000</v>
      </c>
      <c r="AJ216" s="23">
        <f t="shared" si="144"/>
        <v>450000</v>
      </c>
      <c r="AK216" s="23">
        <f t="shared" si="144"/>
        <v>300000</v>
      </c>
      <c r="AL216" s="23">
        <f t="shared" si="144"/>
        <v>600000</v>
      </c>
      <c r="AM216" s="23">
        <f t="shared" si="144"/>
        <v>0</v>
      </c>
      <c r="AN216" s="23">
        <f t="shared" si="144"/>
        <v>0</v>
      </c>
      <c r="AO216" s="23">
        <f t="shared" si="144"/>
        <v>600000</v>
      </c>
      <c r="AP216" s="23">
        <f t="shared" si="144"/>
        <v>50000</v>
      </c>
      <c r="AQ216" s="23">
        <f t="shared" si="144"/>
        <v>40000</v>
      </c>
      <c r="AR216" s="23">
        <f t="shared" si="144"/>
        <v>702765</v>
      </c>
      <c r="AS216" s="23">
        <f t="shared" si="144"/>
        <v>0</v>
      </c>
      <c r="AT216" s="23">
        <f t="shared" si="144"/>
        <v>0</v>
      </c>
      <c r="AU216" s="23">
        <f t="shared" si="144"/>
        <v>0</v>
      </c>
      <c r="AV216" s="23">
        <f t="shared" si="144"/>
        <v>0</v>
      </c>
      <c r="AW216" s="23">
        <f t="shared" si="144"/>
        <v>0</v>
      </c>
      <c r="AX216" s="23">
        <f t="shared" si="144"/>
        <v>0</v>
      </c>
      <c r="AY216" s="23">
        <f t="shared" si="144"/>
        <v>0</v>
      </c>
      <c r="AZ216" s="23">
        <f t="shared" si="144"/>
        <v>0</v>
      </c>
      <c r="BA216" s="23"/>
      <c r="BB216" s="23">
        <f t="shared" ref="BB216:BW216" si="145">SUMIF($Q$2:$Q$793,$Q217,BB$2:BB$793)</f>
        <v>12573026</v>
      </c>
      <c r="BC216" s="23">
        <f t="shared" si="145"/>
        <v>-725380</v>
      </c>
      <c r="BD216" s="23">
        <f t="shared" si="145"/>
        <v>6082850</v>
      </c>
      <c r="BE216" s="23">
        <f t="shared" si="145"/>
        <v>0</v>
      </c>
      <c r="BF216" s="23">
        <f t="shared" si="145"/>
        <v>608200</v>
      </c>
      <c r="BG216" s="23">
        <f t="shared" si="145"/>
        <v>0</v>
      </c>
      <c r="BH216" s="23">
        <f t="shared" si="145"/>
        <v>2267880</v>
      </c>
      <c r="BI216" s="23">
        <f t="shared" si="145"/>
        <v>2527740</v>
      </c>
      <c r="BJ216" s="23">
        <f t="shared" si="145"/>
        <v>473116</v>
      </c>
      <c r="BK216" s="23">
        <f t="shared" si="145"/>
        <v>211600</v>
      </c>
      <c r="BL216" s="23">
        <f t="shared" si="145"/>
        <v>0</v>
      </c>
      <c r="BM216" s="23">
        <f t="shared" si="145"/>
        <v>450000</v>
      </c>
      <c r="BN216" s="23">
        <f t="shared" si="145"/>
        <v>181400</v>
      </c>
      <c r="BO216" s="23">
        <f t="shared" si="145"/>
        <v>460080</v>
      </c>
      <c r="BP216" s="23">
        <f t="shared" si="145"/>
        <v>5540</v>
      </c>
      <c r="BQ216" s="23">
        <f t="shared" si="145"/>
        <v>0</v>
      </c>
      <c r="BR216" s="23">
        <f t="shared" si="145"/>
        <v>30000</v>
      </c>
      <c r="BS216" s="23">
        <f t="shared" si="145"/>
        <v>0</v>
      </c>
      <c r="BT216" s="23">
        <f t="shared" si="145"/>
        <v>0</v>
      </c>
      <c r="BU216" s="23">
        <f t="shared" si="145"/>
        <v>0</v>
      </c>
      <c r="BV216" s="23">
        <f t="shared" si="145"/>
        <v>0</v>
      </c>
      <c r="BW216" s="23">
        <f t="shared" si="145"/>
        <v>0</v>
      </c>
    </row>
    <row r="217" spans="1:75" ht="18" hidden="1" customHeight="1" outlineLevel="1">
      <c r="B217" s="7">
        <v>2025</v>
      </c>
      <c r="C217" s="8" t="s">
        <v>13</v>
      </c>
      <c r="D217" s="7">
        <v>4</v>
      </c>
      <c r="E217" s="8">
        <v>7988</v>
      </c>
      <c r="Q217" s="5">
        <v>2019</v>
      </c>
      <c r="R217" s="5">
        <v>12</v>
      </c>
      <c r="S217" s="14" t="s">
        <v>54</v>
      </c>
      <c r="T217" s="15">
        <f t="shared" ref="T217:T230" si="146">IF(U217=U217-BB217,0,U217-BB217)</f>
        <v>4365208</v>
      </c>
      <c r="U217" s="15">
        <f t="shared" ref="U217:U230" si="147">SUM(V217:BA217)</f>
        <v>5229090</v>
      </c>
      <c r="V217" s="16">
        <v>3534000</v>
      </c>
      <c r="W217" s="16">
        <v>1320090</v>
      </c>
      <c r="X217" s="16">
        <v>0</v>
      </c>
      <c r="Y217" s="16">
        <v>0</v>
      </c>
      <c r="Z217" s="16">
        <v>0</v>
      </c>
      <c r="AA217" s="16">
        <v>0</v>
      </c>
      <c r="AB217" s="16">
        <v>0</v>
      </c>
      <c r="AC217" s="16">
        <v>0</v>
      </c>
      <c r="AD217" s="16">
        <v>0</v>
      </c>
      <c r="AE217" s="16">
        <v>0</v>
      </c>
      <c r="AF217" s="16">
        <v>25000</v>
      </c>
      <c r="AG217" s="16">
        <v>0</v>
      </c>
      <c r="AH217" s="16">
        <v>100000</v>
      </c>
      <c r="AI217" s="16">
        <v>200000</v>
      </c>
      <c r="AJ217" s="16">
        <v>0</v>
      </c>
      <c r="AK217" s="16">
        <v>0</v>
      </c>
      <c r="AL217" s="16">
        <v>50000</v>
      </c>
      <c r="AM217" s="16">
        <v>0</v>
      </c>
      <c r="AN217" s="16">
        <v>0</v>
      </c>
      <c r="AO217" s="16">
        <v>0</v>
      </c>
      <c r="AP217" s="16">
        <v>0</v>
      </c>
      <c r="AQ217" s="16">
        <v>0</v>
      </c>
      <c r="AR217" s="16">
        <v>0</v>
      </c>
      <c r="AS217" s="16">
        <v>0</v>
      </c>
      <c r="AT217" s="16">
        <v>0</v>
      </c>
      <c r="AU217" s="16">
        <v>0</v>
      </c>
      <c r="AV217" s="16">
        <v>0</v>
      </c>
      <c r="AW217" s="16">
        <v>0</v>
      </c>
      <c r="AX217" s="16">
        <v>0</v>
      </c>
      <c r="AY217" s="16">
        <v>0</v>
      </c>
      <c r="AZ217" s="16">
        <v>0</v>
      </c>
      <c r="BA217" s="16"/>
      <c r="BB217" s="15">
        <f t="shared" ref="BB217:BB230" si="148">SUM(BC217:BW217)</f>
        <v>863882</v>
      </c>
      <c r="BC217" s="15">
        <v>0</v>
      </c>
      <c r="BD217" s="16">
        <v>353270</v>
      </c>
      <c r="BE217" s="16">
        <v>0</v>
      </c>
      <c r="BF217" s="16">
        <v>35320</v>
      </c>
      <c r="BG217" s="16">
        <v>0</v>
      </c>
      <c r="BH217" s="16">
        <v>198660</v>
      </c>
      <c r="BI217" s="16">
        <v>218700</v>
      </c>
      <c r="BJ217" s="16">
        <v>40232</v>
      </c>
      <c r="BK217" s="16">
        <v>17700</v>
      </c>
      <c r="BL217" s="16">
        <v>0</v>
      </c>
      <c r="BM217" s="16">
        <v>0</v>
      </c>
      <c r="BN217" s="16">
        <v>0</v>
      </c>
      <c r="BO217" s="16">
        <v>0</v>
      </c>
      <c r="BP217" s="16">
        <v>0</v>
      </c>
      <c r="BQ217" s="16">
        <v>0</v>
      </c>
      <c r="BR217" s="16">
        <v>0</v>
      </c>
      <c r="BS217" s="16">
        <v>0</v>
      </c>
      <c r="BT217" s="16">
        <v>0</v>
      </c>
      <c r="BU217" s="16">
        <v>0</v>
      </c>
      <c r="BV217" s="16">
        <v>0</v>
      </c>
      <c r="BW217" s="16">
        <v>0</v>
      </c>
    </row>
    <row r="218" spans="1:75" ht="18" hidden="1" customHeight="1" outlineLevel="1">
      <c r="B218" s="7">
        <v>2026</v>
      </c>
      <c r="C218" s="8" t="s">
        <v>13</v>
      </c>
      <c r="D218" s="7">
        <v>4</v>
      </c>
      <c r="E218" s="8">
        <v>7988</v>
      </c>
      <c r="Q218" s="5">
        <v>2019</v>
      </c>
      <c r="R218" s="5">
        <v>11</v>
      </c>
      <c r="S218" s="14" t="s">
        <v>54</v>
      </c>
      <c r="T218" s="15">
        <f t="shared" si="146"/>
        <v>4353086</v>
      </c>
      <c r="U218" s="15">
        <f t="shared" si="147"/>
        <v>5213766</v>
      </c>
      <c r="V218" s="16">
        <v>3534000</v>
      </c>
      <c r="W218" s="16">
        <v>1320090</v>
      </c>
      <c r="X218" s="16">
        <v>0</v>
      </c>
      <c r="Y218" s="16">
        <v>0</v>
      </c>
      <c r="Z218" s="16">
        <v>0</v>
      </c>
      <c r="AA218" s="16">
        <v>0</v>
      </c>
      <c r="AB218" s="16">
        <v>0</v>
      </c>
      <c r="AC218" s="16">
        <v>0</v>
      </c>
      <c r="AD218" s="16">
        <v>0</v>
      </c>
      <c r="AE218" s="16">
        <v>0</v>
      </c>
      <c r="AF218" s="16">
        <v>9676</v>
      </c>
      <c r="AG218" s="16">
        <v>0</v>
      </c>
      <c r="AH218" s="16">
        <v>100000</v>
      </c>
      <c r="AI218" s="16">
        <v>200000</v>
      </c>
      <c r="AJ218" s="16">
        <v>0</v>
      </c>
      <c r="AK218" s="16">
        <v>0</v>
      </c>
      <c r="AL218" s="16">
        <v>50000</v>
      </c>
      <c r="AM218" s="16">
        <v>0</v>
      </c>
      <c r="AN218" s="16">
        <v>0</v>
      </c>
      <c r="AO218" s="16">
        <v>0</v>
      </c>
      <c r="AP218" s="16">
        <v>0</v>
      </c>
      <c r="AQ218" s="16">
        <v>0</v>
      </c>
      <c r="AR218" s="16">
        <v>0</v>
      </c>
      <c r="AS218" s="16">
        <v>0</v>
      </c>
      <c r="AT218" s="16">
        <v>0</v>
      </c>
      <c r="AU218" s="16">
        <v>0</v>
      </c>
      <c r="AV218" s="16">
        <v>0</v>
      </c>
      <c r="AW218" s="16">
        <v>0</v>
      </c>
      <c r="AX218" s="16">
        <v>0</v>
      </c>
      <c r="AY218" s="16">
        <v>0</v>
      </c>
      <c r="AZ218" s="16">
        <v>0</v>
      </c>
      <c r="BA218" s="16"/>
      <c r="BB218" s="15">
        <f t="shared" si="148"/>
        <v>860680</v>
      </c>
      <c r="BC218" s="15">
        <v>0</v>
      </c>
      <c r="BD218" s="16">
        <v>350470</v>
      </c>
      <c r="BE218" s="16">
        <v>0</v>
      </c>
      <c r="BF218" s="16">
        <v>35040</v>
      </c>
      <c r="BG218" s="16">
        <v>0</v>
      </c>
      <c r="BH218" s="16">
        <v>198660</v>
      </c>
      <c r="BI218" s="16">
        <v>218700</v>
      </c>
      <c r="BJ218" s="16">
        <v>40110</v>
      </c>
      <c r="BK218" s="16">
        <v>17700</v>
      </c>
      <c r="BL218" s="16">
        <v>0</v>
      </c>
      <c r="BM218" s="16">
        <v>0</v>
      </c>
      <c r="BN218" s="16">
        <v>0</v>
      </c>
      <c r="BO218" s="16">
        <v>0</v>
      </c>
      <c r="BP218" s="16">
        <v>0</v>
      </c>
      <c r="BQ218" s="16">
        <v>0</v>
      </c>
      <c r="BR218" s="16">
        <v>0</v>
      </c>
      <c r="BS218" s="16">
        <v>0</v>
      </c>
      <c r="BT218" s="16">
        <v>0</v>
      </c>
      <c r="BU218" s="16">
        <v>0</v>
      </c>
      <c r="BV218" s="16">
        <v>0</v>
      </c>
      <c r="BW218" s="16">
        <v>0</v>
      </c>
    </row>
    <row r="219" spans="1:75" ht="18" hidden="1" customHeight="1" outlineLevel="1">
      <c r="B219" s="7">
        <v>2027</v>
      </c>
      <c r="C219" s="8" t="s">
        <v>13</v>
      </c>
      <c r="Q219" s="5">
        <v>2019</v>
      </c>
      <c r="R219" s="5">
        <v>10</v>
      </c>
      <c r="S219" s="14" t="s">
        <v>54</v>
      </c>
      <c r="T219" s="15">
        <f t="shared" si="146"/>
        <v>4907318</v>
      </c>
      <c r="U219" s="15">
        <f t="shared" si="147"/>
        <v>5804090</v>
      </c>
      <c r="V219" s="16">
        <v>3534000</v>
      </c>
      <c r="W219" s="16">
        <v>1320090</v>
      </c>
      <c r="X219" s="16">
        <v>0</v>
      </c>
      <c r="Y219" s="16">
        <v>0</v>
      </c>
      <c r="Z219" s="16">
        <v>0</v>
      </c>
      <c r="AA219" s="16">
        <v>0</v>
      </c>
      <c r="AB219" s="16">
        <v>0</v>
      </c>
      <c r="AC219" s="16">
        <v>0</v>
      </c>
      <c r="AD219" s="16">
        <v>0</v>
      </c>
      <c r="AE219" s="16">
        <v>0</v>
      </c>
      <c r="AF219" s="16">
        <v>50000</v>
      </c>
      <c r="AG219" s="16">
        <v>0</v>
      </c>
      <c r="AH219" s="16">
        <v>0</v>
      </c>
      <c r="AI219" s="16">
        <v>200000</v>
      </c>
      <c r="AJ219" s="16">
        <v>0</v>
      </c>
      <c r="AK219" s="16">
        <v>0</v>
      </c>
      <c r="AL219" s="16">
        <v>50000</v>
      </c>
      <c r="AM219" s="16">
        <v>0</v>
      </c>
      <c r="AN219" s="16">
        <v>0</v>
      </c>
      <c r="AO219" s="16">
        <v>600000</v>
      </c>
      <c r="AP219" s="16">
        <v>50000</v>
      </c>
      <c r="AQ219" s="16">
        <v>0</v>
      </c>
      <c r="AR219" s="16">
        <v>0</v>
      </c>
      <c r="AS219" s="16">
        <v>0</v>
      </c>
      <c r="AT219" s="16">
        <v>0</v>
      </c>
      <c r="AU219" s="16">
        <v>0</v>
      </c>
      <c r="AV219" s="16">
        <v>0</v>
      </c>
      <c r="AW219" s="16">
        <v>0</v>
      </c>
      <c r="AX219" s="16">
        <v>0</v>
      </c>
      <c r="AY219" s="16">
        <v>0</v>
      </c>
      <c r="AZ219" s="16">
        <v>0</v>
      </c>
      <c r="BA219" s="16"/>
      <c r="BB219" s="15">
        <f t="shared" si="148"/>
        <v>896772</v>
      </c>
      <c r="BC219" s="15">
        <v>0</v>
      </c>
      <c r="BD219" s="16">
        <v>356080</v>
      </c>
      <c r="BE219" s="16">
        <v>0</v>
      </c>
      <c r="BF219" s="16">
        <v>35600</v>
      </c>
      <c r="BG219" s="16">
        <v>0</v>
      </c>
      <c r="BH219" s="16">
        <v>198660</v>
      </c>
      <c r="BI219" s="16">
        <v>218700</v>
      </c>
      <c r="BJ219" s="16">
        <v>40432</v>
      </c>
      <c r="BK219" s="16">
        <v>17700</v>
      </c>
      <c r="BL219" s="16">
        <v>0</v>
      </c>
      <c r="BM219" s="16">
        <v>0</v>
      </c>
      <c r="BN219" s="16">
        <v>29100</v>
      </c>
      <c r="BO219" s="16">
        <v>0</v>
      </c>
      <c r="BP219" s="16">
        <v>500</v>
      </c>
      <c r="BQ219" s="16">
        <v>0</v>
      </c>
      <c r="BR219" s="16">
        <v>0</v>
      </c>
      <c r="BS219" s="16">
        <v>0</v>
      </c>
      <c r="BT219" s="16">
        <v>0</v>
      </c>
      <c r="BU219" s="16">
        <v>0</v>
      </c>
      <c r="BV219" s="16">
        <v>0</v>
      </c>
      <c r="BW219" s="16">
        <v>0</v>
      </c>
    </row>
    <row r="220" spans="1:75" ht="18" hidden="1" customHeight="1" outlineLevel="1">
      <c r="B220" s="7">
        <v>2028</v>
      </c>
      <c r="C220" s="8" t="s">
        <v>13</v>
      </c>
      <c r="Q220" s="5">
        <v>2019</v>
      </c>
      <c r="R220" s="5">
        <v>9</v>
      </c>
      <c r="S220" s="14" t="s">
        <v>54</v>
      </c>
      <c r="T220" s="15">
        <f t="shared" si="146"/>
        <v>4220604</v>
      </c>
      <c r="U220" s="15">
        <f t="shared" si="147"/>
        <v>5344090</v>
      </c>
      <c r="V220" s="16">
        <v>3534000</v>
      </c>
      <c r="W220" s="16">
        <v>1320090</v>
      </c>
      <c r="X220" s="16">
        <v>0</v>
      </c>
      <c r="Y220" s="16">
        <v>0</v>
      </c>
      <c r="Z220" s="16">
        <v>0</v>
      </c>
      <c r="AA220" s="16">
        <v>0</v>
      </c>
      <c r="AB220" s="16">
        <v>0</v>
      </c>
      <c r="AC220" s="16">
        <v>0</v>
      </c>
      <c r="AD220" s="16">
        <v>0</v>
      </c>
      <c r="AE220" s="16">
        <v>0</v>
      </c>
      <c r="AF220" s="16">
        <v>50000</v>
      </c>
      <c r="AG220" s="16">
        <v>0</v>
      </c>
      <c r="AH220" s="16">
        <v>0</v>
      </c>
      <c r="AI220" s="16">
        <v>200000</v>
      </c>
      <c r="AJ220" s="16">
        <v>150000</v>
      </c>
      <c r="AK220" s="16">
        <v>0</v>
      </c>
      <c r="AL220" s="16">
        <v>50000</v>
      </c>
      <c r="AM220" s="16">
        <v>0</v>
      </c>
      <c r="AN220" s="16">
        <v>0</v>
      </c>
      <c r="AO220" s="16">
        <v>0</v>
      </c>
      <c r="AP220" s="16">
        <v>0</v>
      </c>
      <c r="AQ220" s="16">
        <v>40000</v>
      </c>
      <c r="AR220" s="16">
        <v>0</v>
      </c>
      <c r="AS220" s="16">
        <v>0</v>
      </c>
      <c r="AT220" s="16">
        <v>0</v>
      </c>
      <c r="AU220" s="16">
        <v>0</v>
      </c>
      <c r="AV220" s="16">
        <v>0</v>
      </c>
      <c r="AW220" s="16">
        <v>0</v>
      </c>
      <c r="AX220" s="16">
        <v>0</v>
      </c>
      <c r="AY220" s="16">
        <v>0</v>
      </c>
      <c r="AZ220" s="16">
        <v>0</v>
      </c>
      <c r="BA220" s="16"/>
      <c r="BB220" s="15">
        <f t="shared" si="148"/>
        <v>1123486</v>
      </c>
      <c r="BC220" s="15">
        <v>0</v>
      </c>
      <c r="BD220" s="16">
        <v>384130</v>
      </c>
      <c r="BE220" s="16">
        <v>0</v>
      </c>
      <c r="BF220" s="16">
        <v>38410</v>
      </c>
      <c r="BG220" s="16">
        <v>0</v>
      </c>
      <c r="BH220" s="16">
        <v>198660</v>
      </c>
      <c r="BI220" s="16">
        <v>218700</v>
      </c>
      <c r="BJ220" s="16">
        <v>34086</v>
      </c>
      <c r="BK220" s="16">
        <v>17700</v>
      </c>
      <c r="BL220" s="16">
        <v>0</v>
      </c>
      <c r="BM220" s="16">
        <v>150000</v>
      </c>
      <c r="BN220" s="16">
        <v>81800</v>
      </c>
      <c r="BO220" s="16">
        <v>0</v>
      </c>
      <c r="BP220" s="16">
        <v>0</v>
      </c>
      <c r="BQ220" s="16">
        <v>0</v>
      </c>
      <c r="BR220" s="16">
        <v>0</v>
      </c>
      <c r="BS220" s="16">
        <v>0</v>
      </c>
      <c r="BT220" s="16">
        <v>0</v>
      </c>
      <c r="BU220" s="16">
        <v>0</v>
      </c>
      <c r="BV220" s="16">
        <v>0</v>
      </c>
      <c r="BW220" s="16">
        <v>0</v>
      </c>
    </row>
    <row r="221" spans="1:75" ht="18" hidden="1" customHeight="1" outlineLevel="1">
      <c r="B221" s="7">
        <v>2029</v>
      </c>
      <c r="C221" s="8" t="s">
        <v>13</v>
      </c>
      <c r="Q221" s="5">
        <v>2019</v>
      </c>
      <c r="R221" s="5">
        <v>8</v>
      </c>
      <c r="S221" s="14" t="s">
        <v>54</v>
      </c>
      <c r="T221" s="15">
        <f t="shared" si="146"/>
        <v>4101989</v>
      </c>
      <c r="U221" s="15">
        <f t="shared" si="147"/>
        <v>5154090</v>
      </c>
      <c r="V221" s="16">
        <v>3534000</v>
      </c>
      <c r="W221" s="16">
        <v>1320090</v>
      </c>
      <c r="X221" s="16">
        <v>0</v>
      </c>
      <c r="Y221" s="16">
        <v>0</v>
      </c>
      <c r="Z221" s="16">
        <v>0</v>
      </c>
      <c r="AA221" s="16">
        <v>0</v>
      </c>
      <c r="AB221" s="16">
        <v>0</v>
      </c>
      <c r="AC221" s="16">
        <v>0</v>
      </c>
      <c r="AD221" s="16">
        <v>0</v>
      </c>
      <c r="AE221" s="16">
        <v>0</v>
      </c>
      <c r="AF221" s="16">
        <v>50000</v>
      </c>
      <c r="AG221" s="16">
        <v>0</v>
      </c>
      <c r="AH221" s="16">
        <v>0</v>
      </c>
      <c r="AI221" s="16">
        <v>200000</v>
      </c>
      <c r="AJ221" s="16">
        <v>0</v>
      </c>
      <c r="AK221" s="16">
        <v>0</v>
      </c>
      <c r="AL221" s="16">
        <v>50000</v>
      </c>
      <c r="AM221" s="16">
        <v>0</v>
      </c>
      <c r="AN221" s="16">
        <v>0</v>
      </c>
      <c r="AO221" s="16">
        <v>0</v>
      </c>
      <c r="AP221" s="16">
        <v>0</v>
      </c>
      <c r="AQ221" s="16">
        <v>0</v>
      </c>
      <c r="AR221" s="16">
        <v>0</v>
      </c>
      <c r="AS221" s="16">
        <v>0</v>
      </c>
      <c r="AT221" s="16">
        <v>0</v>
      </c>
      <c r="AU221" s="16">
        <v>0</v>
      </c>
      <c r="AV221" s="16">
        <v>0</v>
      </c>
      <c r="AW221" s="16">
        <v>0</v>
      </c>
      <c r="AX221" s="16">
        <v>0</v>
      </c>
      <c r="AY221" s="16">
        <v>0</v>
      </c>
      <c r="AZ221" s="16">
        <v>0</v>
      </c>
      <c r="BA221" s="16"/>
      <c r="BB221" s="15">
        <f t="shared" si="148"/>
        <v>1052101</v>
      </c>
      <c r="BC221" s="15">
        <v>0</v>
      </c>
      <c r="BD221" s="16">
        <v>356080</v>
      </c>
      <c r="BE221" s="16">
        <v>0</v>
      </c>
      <c r="BF221" s="16">
        <v>35600</v>
      </c>
      <c r="BG221" s="16">
        <v>0</v>
      </c>
      <c r="BH221" s="16">
        <v>198660</v>
      </c>
      <c r="BI221" s="16">
        <v>218700</v>
      </c>
      <c r="BJ221" s="16">
        <v>32851</v>
      </c>
      <c r="BK221" s="16">
        <v>17700</v>
      </c>
      <c r="BL221" s="16">
        <v>0</v>
      </c>
      <c r="BM221" s="16">
        <v>0</v>
      </c>
      <c r="BN221" s="16">
        <v>70500</v>
      </c>
      <c r="BO221" s="16">
        <v>92010</v>
      </c>
      <c r="BP221" s="16">
        <v>0</v>
      </c>
      <c r="BQ221" s="16">
        <v>0</v>
      </c>
      <c r="BR221" s="16">
        <v>30000</v>
      </c>
      <c r="BS221" s="16">
        <v>0</v>
      </c>
      <c r="BT221" s="16">
        <v>0</v>
      </c>
      <c r="BU221" s="16">
        <v>0</v>
      </c>
      <c r="BV221" s="16">
        <v>0</v>
      </c>
      <c r="BW221" s="16">
        <v>0</v>
      </c>
    </row>
    <row r="222" spans="1:75" ht="18" hidden="1" customHeight="1" outlineLevel="1">
      <c r="B222" s="7">
        <v>2030</v>
      </c>
      <c r="C222" s="8" t="s">
        <v>13</v>
      </c>
      <c r="Q222" s="5">
        <v>2019</v>
      </c>
      <c r="R222" s="5">
        <v>7</v>
      </c>
      <c r="S222" s="14" t="s">
        <v>54</v>
      </c>
      <c r="T222" s="15">
        <f t="shared" si="146"/>
        <v>4453759</v>
      </c>
      <c r="U222" s="15">
        <f t="shared" si="147"/>
        <v>5454090</v>
      </c>
      <c r="V222" s="16">
        <v>3534000</v>
      </c>
      <c r="W222" s="16">
        <v>1320090</v>
      </c>
      <c r="X222" s="16">
        <v>0</v>
      </c>
      <c r="Y222" s="16">
        <v>0</v>
      </c>
      <c r="Z222" s="16">
        <v>0</v>
      </c>
      <c r="AA222" s="16">
        <v>0</v>
      </c>
      <c r="AB222" s="16">
        <v>0</v>
      </c>
      <c r="AC222" s="16">
        <v>0</v>
      </c>
      <c r="AD222" s="16">
        <v>0</v>
      </c>
      <c r="AE222" s="16">
        <v>0</v>
      </c>
      <c r="AF222" s="16">
        <v>50000</v>
      </c>
      <c r="AG222" s="16">
        <v>0</v>
      </c>
      <c r="AH222" s="16">
        <v>0</v>
      </c>
      <c r="AI222" s="16">
        <v>200000</v>
      </c>
      <c r="AJ222" s="16">
        <v>0</v>
      </c>
      <c r="AK222" s="16">
        <v>300000</v>
      </c>
      <c r="AL222" s="16">
        <v>50000</v>
      </c>
      <c r="AM222" s="16">
        <v>0</v>
      </c>
      <c r="AN222" s="16">
        <v>0</v>
      </c>
      <c r="AO222" s="16">
        <v>0</v>
      </c>
      <c r="AP222" s="16">
        <v>0</v>
      </c>
      <c r="AQ222" s="16">
        <v>0</v>
      </c>
      <c r="AR222" s="16">
        <v>0</v>
      </c>
      <c r="AS222" s="16">
        <v>0</v>
      </c>
      <c r="AT222" s="16">
        <v>0</v>
      </c>
      <c r="AU222" s="16">
        <v>0</v>
      </c>
      <c r="AV222" s="16">
        <v>0</v>
      </c>
      <c r="AW222" s="16">
        <v>0</v>
      </c>
      <c r="AX222" s="16">
        <v>0</v>
      </c>
      <c r="AY222" s="16">
        <v>0</v>
      </c>
      <c r="AZ222" s="16">
        <v>0</v>
      </c>
      <c r="BA222" s="16"/>
      <c r="BB222" s="15">
        <f t="shared" si="148"/>
        <v>1000331</v>
      </c>
      <c r="BC222" s="15">
        <v>0</v>
      </c>
      <c r="BD222" s="16">
        <v>398150</v>
      </c>
      <c r="BE222" s="16">
        <v>0</v>
      </c>
      <c r="BF222" s="16">
        <v>39810</v>
      </c>
      <c r="BG222" s="16">
        <v>0</v>
      </c>
      <c r="BH222" s="16">
        <v>198660</v>
      </c>
      <c r="BI222" s="16">
        <v>218700</v>
      </c>
      <c r="BJ222" s="16">
        <v>34801</v>
      </c>
      <c r="BK222" s="16">
        <v>17700</v>
      </c>
      <c r="BL222" s="16">
        <v>0</v>
      </c>
      <c r="BM222" s="16">
        <v>0</v>
      </c>
      <c r="BN222" s="16">
        <v>0</v>
      </c>
      <c r="BO222" s="16">
        <v>92010</v>
      </c>
      <c r="BP222" s="16">
        <v>500</v>
      </c>
      <c r="BQ222" s="16">
        <v>0</v>
      </c>
      <c r="BR222" s="16">
        <v>0</v>
      </c>
      <c r="BS222" s="16">
        <v>0</v>
      </c>
      <c r="BT222" s="16">
        <v>0</v>
      </c>
      <c r="BU222" s="16">
        <v>0</v>
      </c>
      <c r="BV222" s="16">
        <v>0</v>
      </c>
      <c r="BW222" s="16">
        <v>0</v>
      </c>
    </row>
    <row r="223" spans="1:75" ht="18" hidden="1" customHeight="1" outlineLevel="1">
      <c r="B223" s="7">
        <v>2031</v>
      </c>
      <c r="C223" s="8" t="s">
        <v>13</v>
      </c>
      <c r="J223" s="9"/>
      <c r="Q223" s="5">
        <v>2019</v>
      </c>
      <c r="R223" s="5">
        <v>6</v>
      </c>
      <c r="S223" s="14" t="s">
        <v>54</v>
      </c>
      <c r="T223" s="15">
        <f t="shared" si="146"/>
        <v>4218599</v>
      </c>
      <c r="U223" s="15">
        <f t="shared" si="147"/>
        <v>5154090</v>
      </c>
      <c r="V223" s="16">
        <v>3534000</v>
      </c>
      <c r="W223" s="16">
        <v>1320090</v>
      </c>
      <c r="X223" s="16">
        <v>0</v>
      </c>
      <c r="Y223" s="16">
        <v>0</v>
      </c>
      <c r="Z223" s="16">
        <v>0</v>
      </c>
      <c r="AA223" s="16">
        <v>0</v>
      </c>
      <c r="AB223" s="16">
        <v>0</v>
      </c>
      <c r="AC223" s="16">
        <v>0</v>
      </c>
      <c r="AD223" s="16">
        <v>0</v>
      </c>
      <c r="AE223" s="16">
        <v>0</v>
      </c>
      <c r="AF223" s="16">
        <v>50000</v>
      </c>
      <c r="AG223" s="16">
        <v>0</v>
      </c>
      <c r="AH223" s="16">
        <v>0</v>
      </c>
      <c r="AI223" s="16">
        <v>200000</v>
      </c>
      <c r="AJ223" s="16">
        <v>0</v>
      </c>
      <c r="AK223" s="16">
        <v>0</v>
      </c>
      <c r="AL223" s="16">
        <v>50000</v>
      </c>
      <c r="AM223" s="16">
        <v>0</v>
      </c>
      <c r="AN223" s="16">
        <v>0</v>
      </c>
      <c r="AO223" s="16">
        <v>0</v>
      </c>
      <c r="AP223" s="16">
        <v>0</v>
      </c>
      <c r="AQ223" s="16">
        <v>0</v>
      </c>
      <c r="AR223" s="16">
        <v>0</v>
      </c>
      <c r="AS223" s="16">
        <v>0</v>
      </c>
      <c r="AT223" s="16">
        <v>0</v>
      </c>
      <c r="AU223" s="16">
        <v>0</v>
      </c>
      <c r="AV223" s="16">
        <v>0</v>
      </c>
      <c r="AW223" s="16">
        <v>0</v>
      </c>
      <c r="AX223" s="16">
        <v>0</v>
      </c>
      <c r="AY223" s="16">
        <v>0</v>
      </c>
      <c r="AZ223" s="16">
        <v>0</v>
      </c>
      <c r="BA223" s="16"/>
      <c r="BB223" s="15">
        <f t="shared" si="148"/>
        <v>935491</v>
      </c>
      <c r="BC223" s="15">
        <v>0</v>
      </c>
      <c r="BD223" s="16">
        <v>356080</v>
      </c>
      <c r="BE223" s="16">
        <v>0</v>
      </c>
      <c r="BF223" s="16">
        <v>35600</v>
      </c>
      <c r="BG223" s="16">
        <v>0</v>
      </c>
      <c r="BH223" s="16">
        <v>198660</v>
      </c>
      <c r="BI223" s="16">
        <v>202590</v>
      </c>
      <c r="BJ223" s="16">
        <v>32851</v>
      </c>
      <c r="BK223" s="16">
        <v>17700</v>
      </c>
      <c r="BL223" s="16">
        <v>0</v>
      </c>
      <c r="BM223" s="16">
        <v>0</v>
      </c>
      <c r="BN223" s="16">
        <v>0</v>
      </c>
      <c r="BO223" s="16">
        <v>92010</v>
      </c>
      <c r="BP223" s="16">
        <v>0</v>
      </c>
      <c r="BQ223" s="16">
        <v>0</v>
      </c>
      <c r="BR223" s="16">
        <v>0</v>
      </c>
      <c r="BS223" s="16">
        <v>0</v>
      </c>
      <c r="BT223" s="16">
        <v>0</v>
      </c>
      <c r="BU223" s="16">
        <v>0</v>
      </c>
      <c r="BV223" s="16">
        <v>0</v>
      </c>
      <c r="BW223" s="16">
        <v>0</v>
      </c>
    </row>
    <row r="224" spans="1:75" ht="18" hidden="1" customHeight="1" outlineLevel="1">
      <c r="B224" s="7">
        <v>2032</v>
      </c>
      <c r="C224" s="8" t="s">
        <v>13</v>
      </c>
      <c r="J224" s="9"/>
      <c r="Q224" s="5">
        <v>2019</v>
      </c>
      <c r="R224" s="5">
        <v>5</v>
      </c>
      <c r="S224" s="14" t="s">
        <v>54</v>
      </c>
      <c r="T224" s="15">
        <f t="shared" si="146"/>
        <v>4434878</v>
      </c>
      <c r="U224" s="15">
        <f t="shared" si="147"/>
        <v>5591090</v>
      </c>
      <c r="V224" s="16">
        <v>3534000</v>
      </c>
      <c r="W224" s="16">
        <v>1320090</v>
      </c>
      <c r="X224" s="16">
        <v>0</v>
      </c>
      <c r="Y224" s="16">
        <v>0</v>
      </c>
      <c r="Z224" s="16">
        <v>0</v>
      </c>
      <c r="AA224" s="16">
        <v>0</v>
      </c>
      <c r="AB224" s="16">
        <v>0</v>
      </c>
      <c r="AC224" s="16">
        <v>287000</v>
      </c>
      <c r="AD224" s="16">
        <v>0</v>
      </c>
      <c r="AE224" s="16">
        <v>0</v>
      </c>
      <c r="AF224" s="16">
        <v>50000</v>
      </c>
      <c r="AG224" s="16">
        <v>0</v>
      </c>
      <c r="AH224" s="16">
        <v>0</v>
      </c>
      <c r="AI224" s="16">
        <v>200000</v>
      </c>
      <c r="AJ224" s="16">
        <v>150000</v>
      </c>
      <c r="AK224" s="16">
        <v>0</v>
      </c>
      <c r="AL224" s="16">
        <v>50000</v>
      </c>
      <c r="AM224" s="16">
        <v>0</v>
      </c>
      <c r="AN224" s="16">
        <v>0</v>
      </c>
      <c r="AO224" s="16">
        <v>0</v>
      </c>
      <c r="AP224" s="16">
        <v>0</v>
      </c>
      <c r="AQ224" s="16">
        <v>0</v>
      </c>
      <c r="AR224" s="16">
        <v>0</v>
      </c>
      <c r="AS224" s="16">
        <v>0</v>
      </c>
      <c r="AT224" s="16">
        <v>0</v>
      </c>
      <c r="AU224" s="16">
        <v>0</v>
      </c>
      <c r="AV224" s="16">
        <v>0</v>
      </c>
      <c r="AW224" s="16">
        <v>0</v>
      </c>
      <c r="AX224" s="16">
        <v>0</v>
      </c>
      <c r="AY224" s="16">
        <v>0</v>
      </c>
      <c r="AZ224" s="16">
        <v>0</v>
      </c>
      <c r="BA224" s="16"/>
      <c r="BB224" s="15">
        <f t="shared" si="148"/>
        <v>1156212</v>
      </c>
      <c r="BC224" s="15">
        <v>0</v>
      </c>
      <c r="BD224" s="16">
        <v>417790</v>
      </c>
      <c r="BE224" s="16">
        <v>0</v>
      </c>
      <c r="BF224" s="16">
        <v>41770</v>
      </c>
      <c r="BG224" s="16">
        <v>0</v>
      </c>
      <c r="BH224" s="16">
        <v>198660</v>
      </c>
      <c r="BI224" s="16">
        <v>202590</v>
      </c>
      <c r="BJ224" s="16">
        <v>35692</v>
      </c>
      <c r="BK224" s="16">
        <v>17700</v>
      </c>
      <c r="BL224" s="16">
        <v>0</v>
      </c>
      <c r="BM224" s="16">
        <v>150000</v>
      </c>
      <c r="BN224" s="16">
        <v>0</v>
      </c>
      <c r="BO224" s="16">
        <v>92010</v>
      </c>
      <c r="BP224" s="16">
        <v>0</v>
      </c>
      <c r="BQ224" s="16">
        <v>0</v>
      </c>
      <c r="BR224" s="16">
        <v>0</v>
      </c>
      <c r="BS224" s="16">
        <v>0</v>
      </c>
      <c r="BT224" s="16">
        <v>0</v>
      </c>
      <c r="BU224" s="16">
        <v>0</v>
      </c>
      <c r="BV224" s="16">
        <v>0</v>
      </c>
      <c r="BW224" s="16">
        <v>0</v>
      </c>
    </row>
    <row r="225" spans="1:75" ht="18" hidden="1" customHeight="1" outlineLevel="1">
      <c r="B225" s="7">
        <v>2033</v>
      </c>
      <c r="C225" s="8" t="s">
        <v>13</v>
      </c>
      <c r="J225" s="9"/>
      <c r="Q225" s="5">
        <v>2019</v>
      </c>
      <c r="R225" s="5">
        <v>4</v>
      </c>
      <c r="S225" s="5" t="s">
        <v>28</v>
      </c>
      <c r="T225" s="15">
        <f t="shared" si="146"/>
        <v>4644866</v>
      </c>
      <c r="U225" s="15">
        <f t="shared" si="147"/>
        <v>6427454</v>
      </c>
      <c r="V225" s="16">
        <v>0</v>
      </c>
      <c r="W225" s="16">
        <v>0</v>
      </c>
      <c r="X225" s="16">
        <v>0</v>
      </c>
      <c r="Y225" s="16">
        <v>0</v>
      </c>
      <c r="Z225" s="16">
        <v>0</v>
      </c>
      <c r="AA225" s="16">
        <v>0</v>
      </c>
      <c r="AB225" s="16">
        <v>0</v>
      </c>
      <c r="AC225" s="16">
        <v>0</v>
      </c>
      <c r="AD225" s="16">
        <v>6427454</v>
      </c>
      <c r="AE225" s="16">
        <v>0</v>
      </c>
      <c r="AF225" s="16">
        <v>0</v>
      </c>
      <c r="AG225" s="16">
        <v>0</v>
      </c>
      <c r="AH225" s="16">
        <v>0</v>
      </c>
      <c r="AI225" s="16">
        <v>0</v>
      </c>
      <c r="AJ225" s="16">
        <v>0</v>
      </c>
      <c r="AK225" s="16">
        <v>0</v>
      </c>
      <c r="AL225" s="16">
        <v>0</v>
      </c>
      <c r="AM225" s="16">
        <v>0</v>
      </c>
      <c r="AN225" s="16">
        <v>0</v>
      </c>
      <c r="AO225" s="16">
        <v>0</v>
      </c>
      <c r="AP225" s="16">
        <v>0</v>
      </c>
      <c r="AQ225" s="16">
        <v>0</v>
      </c>
      <c r="AR225" s="16">
        <v>0</v>
      </c>
      <c r="AS225" s="16">
        <v>0</v>
      </c>
      <c r="AT225" s="16">
        <v>0</v>
      </c>
      <c r="AU225" s="16">
        <v>0</v>
      </c>
      <c r="AV225" s="16">
        <v>0</v>
      </c>
      <c r="AW225" s="16">
        <v>0</v>
      </c>
      <c r="AX225" s="16">
        <v>0</v>
      </c>
      <c r="AY225" s="16">
        <v>0</v>
      </c>
      <c r="AZ225" s="16">
        <v>0</v>
      </c>
      <c r="BA225" s="16"/>
      <c r="BB225" s="15">
        <f t="shared" si="148"/>
        <v>1782588</v>
      </c>
      <c r="BC225" s="15">
        <v>0</v>
      </c>
      <c r="BD225" s="16">
        <v>1582560</v>
      </c>
      <c r="BE225" s="16">
        <v>0</v>
      </c>
      <c r="BF225" s="16">
        <v>158250</v>
      </c>
      <c r="BG225" s="16">
        <v>0</v>
      </c>
      <c r="BH225" s="16">
        <v>0</v>
      </c>
      <c r="BI225" s="16">
        <v>0</v>
      </c>
      <c r="BJ225" s="16">
        <v>41778</v>
      </c>
      <c r="BK225" s="16">
        <v>0</v>
      </c>
      <c r="BL225" s="16">
        <v>0</v>
      </c>
      <c r="BM225" s="16">
        <v>0</v>
      </c>
      <c r="BN225" s="16">
        <v>0</v>
      </c>
      <c r="BO225" s="16">
        <v>0</v>
      </c>
      <c r="BP225" s="16">
        <v>0</v>
      </c>
      <c r="BQ225" s="16">
        <v>0</v>
      </c>
      <c r="BR225" s="16">
        <v>0</v>
      </c>
      <c r="BS225" s="16">
        <v>0</v>
      </c>
      <c r="BT225" s="16">
        <v>0</v>
      </c>
      <c r="BU225" s="16">
        <v>0</v>
      </c>
      <c r="BV225" s="16">
        <v>0</v>
      </c>
      <c r="BW225" s="16">
        <v>0</v>
      </c>
    </row>
    <row r="226" spans="1:75" ht="18" hidden="1" customHeight="1" outlineLevel="1">
      <c r="B226" s="7">
        <v>2033</v>
      </c>
      <c r="C226" s="8" t="s">
        <v>13</v>
      </c>
      <c r="J226" s="9"/>
      <c r="Q226" s="5">
        <v>2019</v>
      </c>
      <c r="R226" s="5">
        <v>4</v>
      </c>
      <c r="S226" s="5" t="s">
        <v>29</v>
      </c>
      <c r="T226" s="15">
        <f t="shared" si="146"/>
        <v>794800</v>
      </c>
      <c r="U226" s="15">
        <f t="shared" si="147"/>
        <v>800000</v>
      </c>
      <c r="V226" s="16">
        <v>0</v>
      </c>
      <c r="W226" s="16">
        <v>0</v>
      </c>
      <c r="X226" s="16">
        <v>0</v>
      </c>
      <c r="Y226" s="16">
        <v>0</v>
      </c>
      <c r="Z226" s="16">
        <v>0</v>
      </c>
      <c r="AA226" s="16">
        <v>0</v>
      </c>
      <c r="AB226" s="16">
        <v>0</v>
      </c>
      <c r="AC226" s="16">
        <v>0</v>
      </c>
      <c r="AD226" s="16">
        <v>0</v>
      </c>
      <c r="AE226" s="16">
        <v>800000</v>
      </c>
      <c r="AF226" s="16">
        <v>0</v>
      </c>
      <c r="AG226" s="16">
        <v>0</v>
      </c>
      <c r="AH226" s="16">
        <v>0</v>
      </c>
      <c r="AI226" s="16">
        <v>0</v>
      </c>
      <c r="AJ226" s="16">
        <v>0</v>
      </c>
      <c r="AK226" s="16">
        <v>0</v>
      </c>
      <c r="AL226" s="16">
        <v>0</v>
      </c>
      <c r="AM226" s="16">
        <v>0</v>
      </c>
      <c r="AN226" s="16">
        <v>0</v>
      </c>
      <c r="AO226" s="16">
        <v>0</v>
      </c>
      <c r="AP226" s="16">
        <v>0</v>
      </c>
      <c r="AQ226" s="16">
        <v>0</v>
      </c>
      <c r="AR226" s="16">
        <v>0</v>
      </c>
      <c r="AS226" s="16">
        <v>0</v>
      </c>
      <c r="AT226" s="16">
        <v>0</v>
      </c>
      <c r="AU226" s="16">
        <v>0</v>
      </c>
      <c r="AV226" s="16">
        <v>0</v>
      </c>
      <c r="AW226" s="16">
        <v>0</v>
      </c>
      <c r="AX226" s="16">
        <v>0</v>
      </c>
      <c r="AY226" s="16">
        <v>0</v>
      </c>
      <c r="AZ226" s="16">
        <v>0</v>
      </c>
      <c r="BA226" s="16"/>
      <c r="BB226" s="15">
        <f t="shared" si="148"/>
        <v>5200</v>
      </c>
      <c r="BC226" s="15">
        <v>0</v>
      </c>
      <c r="BD226" s="16">
        <v>0</v>
      </c>
      <c r="BE226" s="16">
        <v>0</v>
      </c>
      <c r="BF226" s="16">
        <v>0</v>
      </c>
      <c r="BG226" s="16">
        <v>0</v>
      </c>
      <c r="BH226" s="16">
        <v>0</v>
      </c>
      <c r="BI226" s="16">
        <v>0</v>
      </c>
      <c r="BJ226" s="16">
        <v>5200</v>
      </c>
      <c r="BK226" s="16">
        <v>0</v>
      </c>
      <c r="BL226" s="16">
        <v>0</v>
      </c>
      <c r="BM226" s="16">
        <v>0</v>
      </c>
      <c r="BN226" s="16">
        <v>0</v>
      </c>
      <c r="BO226" s="16">
        <v>0</v>
      </c>
      <c r="BP226" s="16">
        <v>0</v>
      </c>
      <c r="BQ226" s="16">
        <v>0</v>
      </c>
      <c r="BR226" s="16">
        <v>0</v>
      </c>
      <c r="BS226" s="16">
        <v>0</v>
      </c>
      <c r="BT226" s="16">
        <v>0</v>
      </c>
      <c r="BU226" s="16">
        <v>0</v>
      </c>
      <c r="BV226" s="16">
        <v>0</v>
      </c>
      <c r="BW226" s="16">
        <v>0</v>
      </c>
    </row>
    <row r="227" spans="1:75" ht="18" hidden="1" customHeight="1" outlineLevel="1">
      <c r="B227" s="7">
        <v>2033</v>
      </c>
      <c r="C227" s="8" t="s">
        <v>13</v>
      </c>
      <c r="J227" s="9"/>
      <c r="Q227" s="5">
        <v>2019</v>
      </c>
      <c r="R227" s="5">
        <v>4</v>
      </c>
      <c r="S227" s="14" t="s">
        <v>54</v>
      </c>
      <c r="T227" s="15">
        <f t="shared" si="146"/>
        <v>4156245</v>
      </c>
      <c r="U227" s="15">
        <f t="shared" si="147"/>
        <v>5082340</v>
      </c>
      <c r="V227" s="16">
        <v>3482000</v>
      </c>
      <c r="W227" s="16">
        <v>1300340</v>
      </c>
      <c r="X227" s="16">
        <v>0</v>
      </c>
      <c r="Y227" s="16">
        <v>0</v>
      </c>
      <c r="Z227" s="16">
        <v>0</v>
      </c>
      <c r="AA227" s="16">
        <v>0</v>
      </c>
      <c r="AB227" s="16">
        <v>0</v>
      </c>
      <c r="AC227" s="16">
        <v>0</v>
      </c>
      <c r="AD227" s="16">
        <v>0</v>
      </c>
      <c r="AE227" s="16">
        <v>0</v>
      </c>
      <c r="AF227" s="16">
        <v>50000</v>
      </c>
      <c r="AG227" s="16">
        <v>0</v>
      </c>
      <c r="AH227" s="16">
        <v>0</v>
      </c>
      <c r="AI227" s="16">
        <v>200000</v>
      </c>
      <c r="AJ227" s="16">
        <v>0</v>
      </c>
      <c r="AK227" s="16">
        <v>0</v>
      </c>
      <c r="AL227" s="16">
        <v>50000</v>
      </c>
      <c r="AM227" s="16">
        <v>0</v>
      </c>
      <c r="AN227" s="16">
        <v>0</v>
      </c>
      <c r="AO227" s="16">
        <v>0</v>
      </c>
      <c r="AP227" s="16">
        <v>0</v>
      </c>
      <c r="AQ227" s="16">
        <v>0</v>
      </c>
      <c r="AR227" s="16">
        <v>0</v>
      </c>
      <c r="AS227" s="16">
        <v>0</v>
      </c>
      <c r="AT227" s="16">
        <v>0</v>
      </c>
      <c r="AU227" s="16">
        <v>0</v>
      </c>
      <c r="AV227" s="16">
        <v>0</v>
      </c>
      <c r="AW227" s="16">
        <v>0</v>
      </c>
      <c r="AX227" s="16">
        <v>0</v>
      </c>
      <c r="AY227" s="16">
        <v>0</v>
      </c>
      <c r="AZ227" s="16">
        <v>0</v>
      </c>
      <c r="BA227" s="16"/>
      <c r="BB227" s="15">
        <f t="shared" si="148"/>
        <v>926095</v>
      </c>
      <c r="BC227" s="15">
        <v>0</v>
      </c>
      <c r="BD227" s="16">
        <v>347660</v>
      </c>
      <c r="BE227" s="16">
        <v>0</v>
      </c>
      <c r="BF227" s="16">
        <v>34760</v>
      </c>
      <c r="BG227" s="16">
        <v>0</v>
      </c>
      <c r="BH227" s="16">
        <v>198660</v>
      </c>
      <c r="BI227" s="16">
        <v>202590</v>
      </c>
      <c r="BJ227" s="16">
        <v>32385</v>
      </c>
      <c r="BK227" s="16">
        <v>17500</v>
      </c>
      <c r="BL227" s="16">
        <v>0</v>
      </c>
      <c r="BM227" s="16">
        <v>0</v>
      </c>
      <c r="BN227" s="16">
        <v>0</v>
      </c>
      <c r="BO227" s="16">
        <v>92040</v>
      </c>
      <c r="BP227" s="16">
        <v>500</v>
      </c>
      <c r="BQ227" s="16">
        <v>0</v>
      </c>
      <c r="BR227" s="16">
        <v>0</v>
      </c>
      <c r="BS227" s="16">
        <v>0</v>
      </c>
      <c r="BT227" s="16">
        <v>0</v>
      </c>
      <c r="BU227" s="16">
        <v>0</v>
      </c>
      <c r="BV227" s="16">
        <v>0</v>
      </c>
      <c r="BW227" s="16">
        <v>0</v>
      </c>
    </row>
    <row r="228" spans="1:75" ht="18" hidden="1" customHeight="1" outlineLevel="1">
      <c r="B228" s="7">
        <v>2034</v>
      </c>
      <c r="C228" s="8" t="s">
        <v>21</v>
      </c>
      <c r="J228" s="9"/>
      <c r="Q228" s="5">
        <v>2019</v>
      </c>
      <c r="R228" s="5">
        <v>3</v>
      </c>
      <c r="S228" s="14" t="s">
        <v>54</v>
      </c>
      <c r="T228" s="15">
        <f t="shared" si="146"/>
        <v>4287465</v>
      </c>
      <c r="U228" s="15">
        <f t="shared" si="147"/>
        <v>5082340</v>
      </c>
      <c r="V228" s="16">
        <v>3482000</v>
      </c>
      <c r="W228" s="16">
        <v>1300340</v>
      </c>
      <c r="X228" s="16">
        <v>0</v>
      </c>
      <c r="Y228" s="16">
        <v>0</v>
      </c>
      <c r="Z228" s="16">
        <v>0</v>
      </c>
      <c r="AA228" s="16">
        <v>0</v>
      </c>
      <c r="AB228" s="16">
        <v>0</v>
      </c>
      <c r="AC228" s="16">
        <v>0</v>
      </c>
      <c r="AD228" s="16">
        <v>0</v>
      </c>
      <c r="AE228" s="16">
        <v>0</v>
      </c>
      <c r="AF228" s="16">
        <v>50000</v>
      </c>
      <c r="AG228" s="16">
        <v>0</v>
      </c>
      <c r="AH228" s="16">
        <v>0</v>
      </c>
      <c r="AI228" s="16">
        <v>200000</v>
      </c>
      <c r="AJ228" s="16">
        <v>0</v>
      </c>
      <c r="AK228" s="16">
        <v>0</v>
      </c>
      <c r="AL228" s="16">
        <v>50000</v>
      </c>
      <c r="AM228" s="16">
        <v>0</v>
      </c>
      <c r="AN228" s="16">
        <v>0</v>
      </c>
      <c r="AO228" s="16">
        <v>0</v>
      </c>
      <c r="AP228" s="16">
        <v>0</v>
      </c>
      <c r="AQ228" s="16">
        <v>0</v>
      </c>
      <c r="AR228" s="16">
        <v>0</v>
      </c>
      <c r="AS228" s="16">
        <v>0</v>
      </c>
      <c r="AT228" s="16">
        <v>0</v>
      </c>
      <c r="AU228" s="16">
        <v>0</v>
      </c>
      <c r="AV228" s="16">
        <v>0</v>
      </c>
      <c r="AW228" s="16">
        <v>0</v>
      </c>
      <c r="AX228" s="16">
        <v>0</v>
      </c>
      <c r="AY228" s="16">
        <v>0</v>
      </c>
      <c r="AZ228" s="16">
        <v>0</v>
      </c>
      <c r="BA228" s="16"/>
      <c r="BB228" s="15">
        <f t="shared" si="148"/>
        <v>794875</v>
      </c>
      <c r="BC228" s="15">
        <v>0</v>
      </c>
      <c r="BD228" s="16">
        <v>347660</v>
      </c>
      <c r="BE228" s="16">
        <v>0</v>
      </c>
      <c r="BF228" s="16">
        <v>34760</v>
      </c>
      <c r="BG228" s="16">
        <v>0</v>
      </c>
      <c r="BH228" s="16">
        <v>159980</v>
      </c>
      <c r="BI228" s="16">
        <v>202590</v>
      </c>
      <c r="BJ228" s="16">
        <v>32385</v>
      </c>
      <c r="BK228" s="16">
        <v>17500</v>
      </c>
      <c r="BL228" s="16">
        <v>0</v>
      </c>
      <c r="BM228" s="16">
        <v>0</v>
      </c>
      <c r="BN228" s="16">
        <v>0</v>
      </c>
      <c r="BO228" s="16">
        <v>0</v>
      </c>
      <c r="BP228" s="16">
        <v>0</v>
      </c>
      <c r="BQ228" s="16">
        <v>0</v>
      </c>
      <c r="BR228" s="16">
        <v>0</v>
      </c>
      <c r="BS228" s="16">
        <v>0</v>
      </c>
      <c r="BT228" s="16">
        <v>0</v>
      </c>
      <c r="BU228" s="16">
        <v>0</v>
      </c>
      <c r="BV228" s="16">
        <v>0</v>
      </c>
      <c r="BW228" s="16">
        <v>0</v>
      </c>
    </row>
    <row r="229" spans="1:75" ht="18" hidden="1" customHeight="1" outlineLevel="1">
      <c r="B229" s="7">
        <v>2035</v>
      </c>
      <c r="J229" s="9"/>
      <c r="Q229" s="5">
        <v>2019</v>
      </c>
      <c r="R229" s="5">
        <v>2</v>
      </c>
      <c r="S229" s="14" t="s">
        <v>54</v>
      </c>
      <c r="T229" s="15">
        <f t="shared" si="146"/>
        <v>5008805</v>
      </c>
      <c r="U229" s="15">
        <f t="shared" si="147"/>
        <v>5082340</v>
      </c>
      <c r="V229" s="16">
        <v>3482000</v>
      </c>
      <c r="W229" s="16">
        <v>1300340</v>
      </c>
      <c r="X229" s="16">
        <v>0</v>
      </c>
      <c r="Y229" s="16">
        <v>0</v>
      </c>
      <c r="Z229" s="16">
        <v>0</v>
      </c>
      <c r="AA229" s="16">
        <v>0</v>
      </c>
      <c r="AB229" s="16">
        <v>0</v>
      </c>
      <c r="AC229" s="16">
        <v>0</v>
      </c>
      <c r="AD229" s="16">
        <v>0</v>
      </c>
      <c r="AE229" s="16">
        <v>0</v>
      </c>
      <c r="AF229" s="16">
        <v>50000</v>
      </c>
      <c r="AG229" s="16">
        <v>0</v>
      </c>
      <c r="AH229" s="16">
        <v>0</v>
      </c>
      <c r="AI229" s="16">
        <v>200000</v>
      </c>
      <c r="AJ229" s="16">
        <v>0</v>
      </c>
      <c r="AK229" s="16">
        <v>0</v>
      </c>
      <c r="AL229" s="16">
        <v>50000</v>
      </c>
      <c r="AM229" s="16">
        <v>0</v>
      </c>
      <c r="AN229" s="16">
        <v>0</v>
      </c>
      <c r="AO229" s="16">
        <v>0</v>
      </c>
      <c r="AP229" s="16">
        <v>0</v>
      </c>
      <c r="AQ229" s="16">
        <v>0</v>
      </c>
      <c r="AR229" s="16">
        <v>0</v>
      </c>
      <c r="AS229" s="16">
        <v>0</v>
      </c>
      <c r="AT229" s="16">
        <v>0</v>
      </c>
      <c r="AU229" s="16">
        <v>0</v>
      </c>
      <c r="AV229" s="16">
        <v>0</v>
      </c>
      <c r="AW229" s="16">
        <v>0</v>
      </c>
      <c r="AX229" s="16">
        <v>0</v>
      </c>
      <c r="AY229" s="16">
        <v>0</v>
      </c>
      <c r="AZ229" s="16">
        <v>0</v>
      </c>
      <c r="BA229" s="16"/>
      <c r="BB229" s="15">
        <f t="shared" si="148"/>
        <v>73535</v>
      </c>
      <c r="BC229" s="16">
        <v>-725380</v>
      </c>
      <c r="BD229" s="16">
        <v>347660</v>
      </c>
      <c r="BE229" s="16">
        <v>0</v>
      </c>
      <c r="BF229" s="16">
        <v>34760</v>
      </c>
      <c r="BG229" s="16">
        <v>0</v>
      </c>
      <c r="BH229" s="16">
        <v>159980</v>
      </c>
      <c r="BI229" s="16">
        <v>202590</v>
      </c>
      <c r="BJ229" s="16">
        <v>32385</v>
      </c>
      <c r="BK229" s="16">
        <v>17500</v>
      </c>
      <c r="BL229" s="16">
        <v>0</v>
      </c>
      <c r="BM229" s="16">
        <v>0</v>
      </c>
      <c r="BN229" s="16">
        <v>0</v>
      </c>
      <c r="BO229" s="16">
        <v>0</v>
      </c>
      <c r="BP229" s="16">
        <v>4040</v>
      </c>
      <c r="BQ229" s="16">
        <v>0</v>
      </c>
      <c r="BR229" s="16">
        <v>0</v>
      </c>
      <c r="BS229" s="16">
        <v>0</v>
      </c>
      <c r="BT229" s="16">
        <v>0</v>
      </c>
      <c r="BU229" s="16">
        <v>0</v>
      </c>
      <c r="BV229" s="16">
        <v>0</v>
      </c>
      <c r="BW229" s="16">
        <v>0</v>
      </c>
    </row>
    <row r="230" spans="1:75" ht="18" hidden="1" customHeight="1" outlineLevel="1">
      <c r="B230" s="7">
        <v>2036</v>
      </c>
      <c r="J230" s="9"/>
      <c r="Q230" s="5">
        <v>2019</v>
      </c>
      <c r="R230" s="5">
        <v>1</v>
      </c>
      <c r="S230" s="14" t="s">
        <v>54</v>
      </c>
      <c r="T230" s="15">
        <f t="shared" si="146"/>
        <v>4833327</v>
      </c>
      <c r="U230" s="15">
        <f t="shared" si="147"/>
        <v>5935105</v>
      </c>
      <c r="V230" s="16">
        <v>3482000</v>
      </c>
      <c r="W230" s="16">
        <v>1300340</v>
      </c>
      <c r="X230" s="16">
        <v>0</v>
      </c>
      <c r="Y230" s="16">
        <v>0</v>
      </c>
      <c r="Z230" s="16">
        <v>0</v>
      </c>
      <c r="AA230" s="16">
        <v>0</v>
      </c>
      <c r="AB230" s="16">
        <v>0</v>
      </c>
      <c r="AC230" s="16">
        <v>0</v>
      </c>
      <c r="AD230" s="16">
        <v>0</v>
      </c>
      <c r="AE230" s="16">
        <v>0</v>
      </c>
      <c r="AF230" s="16">
        <v>50000</v>
      </c>
      <c r="AG230" s="16">
        <v>0</v>
      </c>
      <c r="AH230" s="16">
        <v>0</v>
      </c>
      <c r="AI230" s="16">
        <v>200000</v>
      </c>
      <c r="AJ230" s="16">
        <v>150000</v>
      </c>
      <c r="AK230" s="16">
        <v>0</v>
      </c>
      <c r="AL230" s="16">
        <v>50000</v>
      </c>
      <c r="AM230" s="16">
        <v>0</v>
      </c>
      <c r="AN230" s="16">
        <v>0</v>
      </c>
      <c r="AO230" s="16">
        <v>0</v>
      </c>
      <c r="AP230" s="16">
        <v>0</v>
      </c>
      <c r="AQ230" s="16">
        <v>0</v>
      </c>
      <c r="AR230" s="16">
        <v>702765</v>
      </c>
      <c r="AS230" s="16">
        <v>0</v>
      </c>
      <c r="AT230" s="16">
        <v>0</v>
      </c>
      <c r="AU230" s="16">
        <v>0</v>
      </c>
      <c r="AV230" s="16">
        <v>0</v>
      </c>
      <c r="AW230" s="16">
        <v>0</v>
      </c>
      <c r="AX230" s="16">
        <v>0</v>
      </c>
      <c r="AY230" s="16">
        <v>0</v>
      </c>
      <c r="AZ230" s="16">
        <v>0</v>
      </c>
      <c r="BA230" s="16"/>
      <c r="BB230" s="15">
        <f t="shared" si="148"/>
        <v>1101778</v>
      </c>
      <c r="BC230" s="16">
        <v>0</v>
      </c>
      <c r="BD230" s="16">
        <v>485260</v>
      </c>
      <c r="BE230" s="16">
        <v>0</v>
      </c>
      <c r="BF230" s="16">
        <v>48520</v>
      </c>
      <c r="BG230" s="16">
        <v>0</v>
      </c>
      <c r="BH230" s="16">
        <v>159980</v>
      </c>
      <c r="BI230" s="16">
        <v>202590</v>
      </c>
      <c r="BJ230" s="16">
        <v>37928</v>
      </c>
      <c r="BK230" s="16">
        <v>17500</v>
      </c>
      <c r="BL230" s="16">
        <v>0</v>
      </c>
      <c r="BM230" s="16">
        <v>150000</v>
      </c>
      <c r="BN230" s="16">
        <v>0</v>
      </c>
      <c r="BO230" s="16">
        <v>0</v>
      </c>
      <c r="BP230" s="16">
        <v>0</v>
      </c>
      <c r="BQ230" s="16">
        <v>0</v>
      </c>
      <c r="BR230" s="16">
        <v>0</v>
      </c>
      <c r="BS230" s="16">
        <v>0</v>
      </c>
      <c r="BT230" s="16">
        <v>0</v>
      </c>
      <c r="BU230" s="16">
        <v>0</v>
      </c>
      <c r="BV230" s="16">
        <v>0</v>
      </c>
      <c r="BW230" s="16">
        <v>0</v>
      </c>
    </row>
    <row r="231" spans="1:75" s="1" customFormat="1" ht="18" customHeight="1" collapsed="1">
      <c r="A231" s="10"/>
      <c r="B231" s="18"/>
      <c r="C231" s="19"/>
      <c r="D231" s="18"/>
      <c r="E231" s="19"/>
      <c r="F231" s="19"/>
      <c r="G231" s="19"/>
      <c r="H231" s="19"/>
      <c r="I231" s="19"/>
      <c r="J231" s="20"/>
      <c r="K231" s="19"/>
      <c r="L231" s="19"/>
      <c r="M231" s="19"/>
      <c r="N231" s="19"/>
      <c r="O231" s="21"/>
      <c r="P231" s="22"/>
      <c r="Q231" s="667" t="s">
        <v>127</v>
      </c>
      <c r="R231" s="667"/>
      <c r="S231" s="667"/>
      <c r="T231" s="23">
        <f t="shared" ref="T231:AZ231" si="149">SUMIF($Q$2:$Q$793,$Q232,T$2:T$793)</f>
        <v>60891846</v>
      </c>
      <c r="U231" s="23">
        <f t="shared" si="149"/>
        <v>70219448</v>
      </c>
      <c r="V231" s="23">
        <f t="shared" si="149"/>
        <v>41478000</v>
      </c>
      <c r="W231" s="23">
        <f t="shared" si="149"/>
        <v>15487840</v>
      </c>
      <c r="X231" s="23">
        <f t="shared" si="149"/>
        <v>0</v>
      </c>
      <c r="Y231" s="23">
        <f t="shared" si="149"/>
        <v>0</v>
      </c>
      <c r="Z231" s="23">
        <f t="shared" si="149"/>
        <v>0</v>
      </c>
      <c r="AA231" s="23">
        <f t="shared" si="149"/>
        <v>0</v>
      </c>
      <c r="AB231" s="23">
        <f t="shared" si="149"/>
        <v>0</v>
      </c>
      <c r="AC231" s="23">
        <f t="shared" si="149"/>
        <v>422240</v>
      </c>
      <c r="AD231" s="23">
        <f t="shared" si="149"/>
        <v>6481368</v>
      </c>
      <c r="AE231" s="23">
        <f t="shared" si="149"/>
        <v>1000000</v>
      </c>
      <c r="AF231" s="23">
        <f t="shared" si="149"/>
        <v>600000</v>
      </c>
      <c r="AG231" s="23">
        <f t="shared" si="149"/>
        <v>0</v>
      </c>
      <c r="AH231" s="23">
        <f t="shared" si="149"/>
        <v>0</v>
      </c>
      <c r="AI231" s="23">
        <f t="shared" si="149"/>
        <v>2400000</v>
      </c>
      <c r="AJ231" s="23">
        <f t="shared" si="149"/>
        <v>450000</v>
      </c>
      <c r="AK231" s="23">
        <f t="shared" si="149"/>
        <v>300000</v>
      </c>
      <c r="AL231" s="23">
        <f t="shared" si="149"/>
        <v>600000</v>
      </c>
      <c r="AM231" s="23">
        <f t="shared" si="149"/>
        <v>0</v>
      </c>
      <c r="AN231" s="23">
        <f t="shared" si="149"/>
        <v>0</v>
      </c>
      <c r="AO231" s="23">
        <f t="shared" si="149"/>
        <v>600000</v>
      </c>
      <c r="AP231" s="23">
        <f t="shared" si="149"/>
        <v>400000</v>
      </c>
      <c r="AQ231" s="23">
        <f t="shared" si="149"/>
        <v>0</v>
      </c>
      <c r="AR231" s="23">
        <f t="shared" si="149"/>
        <v>0</v>
      </c>
      <c r="AS231" s="23">
        <f t="shared" si="149"/>
        <v>0</v>
      </c>
      <c r="AT231" s="23">
        <f t="shared" si="149"/>
        <v>0</v>
      </c>
      <c r="AU231" s="23">
        <f t="shared" si="149"/>
        <v>0</v>
      </c>
      <c r="AV231" s="23">
        <f t="shared" si="149"/>
        <v>0</v>
      </c>
      <c r="AW231" s="23">
        <f t="shared" si="149"/>
        <v>0</v>
      </c>
      <c r="AX231" s="23">
        <f t="shared" si="149"/>
        <v>0</v>
      </c>
      <c r="AY231" s="23">
        <f t="shared" si="149"/>
        <v>0</v>
      </c>
      <c r="AZ231" s="23">
        <f t="shared" si="149"/>
        <v>0</v>
      </c>
      <c r="BA231" s="23"/>
      <c r="BB231" s="23">
        <f t="shared" ref="BB231:BW231" si="150">SUMIF($Q$2:$Q$793,$Q232,BB$2:BB$793)</f>
        <v>9327602</v>
      </c>
      <c r="BC231" s="23">
        <f t="shared" si="150"/>
        <v>-1184660</v>
      </c>
      <c r="BD231" s="23">
        <f t="shared" si="150"/>
        <v>4659440</v>
      </c>
      <c r="BE231" s="23">
        <f t="shared" si="150"/>
        <v>0</v>
      </c>
      <c r="BF231" s="23">
        <f t="shared" si="150"/>
        <v>465900</v>
      </c>
      <c r="BG231" s="23">
        <f t="shared" si="150"/>
        <v>0</v>
      </c>
      <c r="BH231" s="23">
        <f t="shared" si="150"/>
        <v>1818720</v>
      </c>
      <c r="BI231" s="23">
        <f t="shared" si="150"/>
        <v>2384880</v>
      </c>
      <c r="BJ231" s="23">
        <f t="shared" si="150"/>
        <v>442122</v>
      </c>
      <c r="BK231" s="23">
        <f t="shared" si="150"/>
        <v>208200</v>
      </c>
      <c r="BL231" s="23">
        <f t="shared" si="150"/>
        <v>0</v>
      </c>
      <c r="BM231" s="23">
        <f t="shared" si="150"/>
        <v>450000</v>
      </c>
      <c r="BN231" s="23">
        <f t="shared" si="150"/>
        <v>0</v>
      </c>
      <c r="BO231" s="23">
        <f t="shared" si="150"/>
        <v>47460</v>
      </c>
      <c r="BP231" s="23">
        <f t="shared" si="150"/>
        <v>5540</v>
      </c>
      <c r="BQ231" s="23">
        <f t="shared" si="150"/>
        <v>0</v>
      </c>
      <c r="BR231" s="23">
        <f t="shared" si="150"/>
        <v>0</v>
      </c>
      <c r="BS231" s="23">
        <f t="shared" si="150"/>
        <v>0</v>
      </c>
      <c r="BT231" s="23">
        <f t="shared" si="150"/>
        <v>30000</v>
      </c>
      <c r="BU231" s="23">
        <f t="shared" si="150"/>
        <v>0</v>
      </c>
      <c r="BV231" s="23">
        <f t="shared" si="150"/>
        <v>0</v>
      </c>
      <c r="BW231" s="23">
        <f t="shared" si="150"/>
        <v>0</v>
      </c>
    </row>
    <row r="232" spans="1:75" ht="18" hidden="1" customHeight="1" outlineLevel="1">
      <c r="B232" s="7">
        <v>2037</v>
      </c>
      <c r="Q232" s="5">
        <v>2018</v>
      </c>
      <c r="R232" s="5">
        <v>12</v>
      </c>
      <c r="S232" s="14" t="s">
        <v>54</v>
      </c>
      <c r="T232" s="15">
        <f t="shared" ref="T232:T245" si="151">IF(U232=U232-BB232,0,U232-BB232)</f>
        <v>4371025</v>
      </c>
      <c r="U232" s="15">
        <f t="shared" ref="U232:U245" si="152">SUM(V232:BA232)</f>
        <v>5082340</v>
      </c>
      <c r="V232" s="16">
        <v>3482000</v>
      </c>
      <c r="W232" s="16">
        <v>1300340</v>
      </c>
      <c r="X232" s="16">
        <v>0</v>
      </c>
      <c r="Y232" s="16">
        <v>0</v>
      </c>
      <c r="Z232" s="16">
        <v>0</v>
      </c>
      <c r="AA232" s="16">
        <v>0</v>
      </c>
      <c r="AB232" s="16">
        <v>0</v>
      </c>
      <c r="AC232" s="16">
        <v>0</v>
      </c>
      <c r="AD232" s="16">
        <v>0</v>
      </c>
      <c r="AE232" s="16">
        <v>0</v>
      </c>
      <c r="AF232" s="16">
        <v>50000</v>
      </c>
      <c r="AG232" s="16">
        <v>0</v>
      </c>
      <c r="AH232" s="16">
        <v>0</v>
      </c>
      <c r="AI232" s="16">
        <v>200000</v>
      </c>
      <c r="AJ232" s="16">
        <v>0</v>
      </c>
      <c r="AK232" s="16">
        <v>0</v>
      </c>
      <c r="AL232" s="16">
        <v>50000</v>
      </c>
      <c r="AM232" s="16">
        <v>0</v>
      </c>
      <c r="AN232" s="16">
        <v>0</v>
      </c>
      <c r="AO232" s="16">
        <v>0</v>
      </c>
      <c r="AP232" s="16">
        <v>0</v>
      </c>
      <c r="AQ232" s="16">
        <v>0</v>
      </c>
      <c r="AR232" s="16">
        <v>0</v>
      </c>
      <c r="AS232" s="16">
        <v>0</v>
      </c>
      <c r="AT232" s="16">
        <v>0</v>
      </c>
      <c r="AU232" s="16">
        <v>0</v>
      </c>
      <c r="AV232" s="16">
        <v>0</v>
      </c>
      <c r="AW232" s="16">
        <v>0</v>
      </c>
      <c r="AX232" s="16">
        <v>0</v>
      </c>
      <c r="AY232" s="16">
        <v>0</v>
      </c>
      <c r="AZ232" s="16">
        <v>0</v>
      </c>
      <c r="BA232" s="16"/>
      <c r="BB232" s="15">
        <f t="shared" ref="BB232:BB245" si="153">SUM(BC232:BW232)</f>
        <v>711315</v>
      </c>
      <c r="BC232" s="16">
        <v>0</v>
      </c>
      <c r="BD232" s="16">
        <v>278120</v>
      </c>
      <c r="BE232" s="16">
        <v>0</v>
      </c>
      <c r="BF232" s="16">
        <v>27810</v>
      </c>
      <c r="BG232" s="16">
        <v>0</v>
      </c>
      <c r="BH232" s="16">
        <v>152910</v>
      </c>
      <c r="BI232" s="16">
        <v>202590</v>
      </c>
      <c r="BJ232" s="16">
        <v>32385</v>
      </c>
      <c r="BK232" s="16">
        <v>17500</v>
      </c>
      <c r="BL232" s="16">
        <v>0</v>
      </c>
      <c r="BM232" s="16">
        <v>0</v>
      </c>
      <c r="BN232" s="16">
        <v>0</v>
      </c>
      <c r="BO232" s="16">
        <v>0</v>
      </c>
      <c r="BP232" s="16">
        <v>0</v>
      </c>
      <c r="BQ232" s="16">
        <v>0</v>
      </c>
      <c r="BR232" s="16">
        <v>0</v>
      </c>
      <c r="BS232" s="16">
        <v>0</v>
      </c>
      <c r="BT232" s="16">
        <v>0</v>
      </c>
      <c r="BU232" s="16">
        <v>0</v>
      </c>
      <c r="BV232" s="16">
        <v>0</v>
      </c>
      <c r="BW232" s="16">
        <v>0</v>
      </c>
    </row>
    <row r="233" spans="1:75" ht="18" hidden="1" customHeight="1" outlineLevel="1">
      <c r="B233" s="7">
        <v>2038</v>
      </c>
      <c r="Q233" s="5">
        <v>2018</v>
      </c>
      <c r="R233" s="5">
        <v>11</v>
      </c>
      <c r="S233" s="14" t="s">
        <v>54</v>
      </c>
      <c r="T233" s="15">
        <f t="shared" si="151"/>
        <v>4371025</v>
      </c>
      <c r="U233" s="15">
        <f t="shared" si="152"/>
        <v>5082340</v>
      </c>
      <c r="V233" s="16">
        <v>3482000</v>
      </c>
      <c r="W233" s="16">
        <v>1300340</v>
      </c>
      <c r="X233" s="16">
        <v>0</v>
      </c>
      <c r="Y233" s="16">
        <v>0</v>
      </c>
      <c r="Z233" s="16">
        <v>0</v>
      </c>
      <c r="AA233" s="16">
        <v>0</v>
      </c>
      <c r="AB233" s="16">
        <v>0</v>
      </c>
      <c r="AC233" s="16">
        <v>0</v>
      </c>
      <c r="AD233" s="16">
        <v>0</v>
      </c>
      <c r="AE233" s="16">
        <v>0</v>
      </c>
      <c r="AF233" s="16">
        <v>50000</v>
      </c>
      <c r="AG233" s="16">
        <v>0</v>
      </c>
      <c r="AH233" s="16">
        <v>0</v>
      </c>
      <c r="AI233" s="16">
        <v>200000</v>
      </c>
      <c r="AJ233" s="16">
        <v>0</v>
      </c>
      <c r="AK233" s="16">
        <v>0</v>
      </c>
      <c r="AL233" s="16">
        <v>50000</v>
      </c>
      <c r="AM233" s="16">
        <v>0</v>
      </c>
      <c r="AN233" s="16">
        <v>0</v>
      </c>
      <c r="AO233" s="16">
        <v>0</v>
      </c>
      <c r="AP233" s="16">
        <v>0</v>
      </c>
      <c r="AQ233" s="16">
        <v>0</v>
      </c>
      <c r="AR233" s="16">
        <v>0</v>
      </c>
      <c r="AS233" s="16">
        <v>0</v>
      </c>
      <c r="AT233" s="16">
        <v>0</v>
      </c>
      <c r="AU233" s="16">
        <v>0</v>
      </c>
      <c r="AV233" s="16">
        <v>0</v>
      </c>
      <c r="AW233" s="16">
        <v>0</v>
      </c>
      <c r="AX233" s="16">
        <v>0</v>
      </c>
      <c r="AY233" s="16">
        <v>0</v>
      </c>
      <c r="AZ233" s="16">
        <v>0</v>
      </c>
      <c r="BA233" s="16"/>
      <c r="BB233" s="15">
        <f t="shared" si="153"/>
        <v>711315</v>
      </c>
      <c r="BC233" s="16">
        <v>0</v>
      </c>
      <c r="BD233" s="16">
        <v>278120</v>
      </c>
      <c r="BE233" s="16">
        <v>0</v>
      </c>
      <c r="BF233" s="16">
        <v>27810</v>
      </c>
      <c r="BG233" s="16">
        <v>0</v>
      </c>
      <c r="BH233" s="16">
        <v>152910</v>
      </c>
      <c r="BI233" s="16">
        <v>202590</v>
      </c>
      <c r="BJ233" s="16">
        <v>32385</v>
      </c>
      <c r="BK233" s="16">
        <v>17500</v>
      </c>
      <c r="BL233" s="16">
        <v>0</v>
      </c>
      <c r="BM233" s="16">
        <v>0</v>
      </c>
      <c r="BN233" s="16">
        <v>0</v>
      </c>
      <c r="BO233" s="16">
        <v>0</v>
      </c>
      <c r="BP233" s="16">
        <v>0</v>
      </c>
      <c r="BQ233" s="16">
        <v>0</v>
      </c>
      <c r="BR233" s="16">
        <v>0</v>
      </c>
      <c r="BS233" s="16">
        <v>0</v>
      </c>
      <c r="BT233" s="16">
        <v>0</v>
      </c>
      <c r="BU233" s="16">
        <v>0</v>
      </c>
      <c r="BV233" s="16">
        <v>0</v>
      </c>
      <c r="BW233" s="16">
        <v>0</v>
      </c>
    </row>
    <row r="234" spans="1:75" ht="18" hidden="1" customHeight="1" outlineLevel="1">
      <c r="B234" s="7">
        <v>2039</v>
      </c>
      <c r="Q234" s="5">
        <v>2018</v>
      </c>
      <c r="R234" s="5">
        <v>10</v>
      </c>
      <c r="S234" s="14" t="s">
        <v>54</v>
      </c>
      <c r="T234" s="15">
        <f t="shared" si="151"/>
        <v>4370525</v>
      </c>
      <c r="U234" s="15">
        <f t="shared" si="152"/>
        <v>5082340</v>
      </c>
      <c r="V234" s="16">
        <v>3482000</v>
      </c>
      <c r="W234" s="16">
        <v>1300340</v>
      </c>
      <c r="X234" s="16">
        <v>0</v>
      </c>
      <c r="Y234" s="16">
        <v>0</v>
      </c>
      <c r="Z234" s="16">
        <v>0</v>
      </c>
      <c r="AA234" s="16">
        <v>0</v>
      </c>
      <c r="AB234" s="16">
        <v>0</v>
      </c>
      <c r="AC234" s="16">
        <v>0</v>
      </c>
      <c r="AD234" s="16">
        <v>0</v>
      </c>
      <c r="AE234" s="16">
        <v>0</v>
      </c>
      <c r="AF234" s="16">
        <v>50000</v>
      </c>
      <c r="AG234" s="16">
        <v>0</v>
      </c>
      <c r="AH234" s="16">
        <v>0</v>
      </c>
      <c r="AI234" s="16">
        <v>200000</v>
      </c>
      <c r="AJ234" s="16">
        <v>0</v>
      </c>
      <c r="AK234" s="16">
        <v>0</v>
      </c>
      <c r="AL234" s="16">
        <v>50000</v>
      </c>
      <c r="AM234" s="16">
        <v>0</v>
      </c>
      <c r="AN234" s="16">
        <v>0</v>
      </c>
      <c r="AO234" s="16">
        <v>0</v>
      </c>
      <c r="AP234" s="16">
        <v>0</v>
      </c>
      <c r="AQ234" s="16">
        <v>0</v>
      </c>
      <c r="AR234" s="16">
        <v>0</v>
      </c>
      <c r="AS234" s="16">
        <v>0</v>
      </c>
      <c r="AT234" s="16">
        <v>0</v>
      </c>
      <c r="AU234" s="16">
        <v>0</v>
      </c>
      <c r="AV234" s="16">
        <v>0</v>
      </c>
      <c r="AW234" s="16">
        <v>0</v>
      </c>
      <c r="AX234" s="16">
        <v>0</v>
      </c>
      <c r="AY234" s="16">
        <v>0</v>
      </c>
      <c r="AZ234" s="16">
        <v>0</v>
      </c>
      <c r="BA234" s="16"/>
      <c r="BB234" s="15">
        <f t="shared" si="153"/>
        <v>711815</v>
      </c>
      <c r="BC234" s="16">
        <v>0</v>
      </c>
      <c r="BD234" s="16">
        <v>278120</v>
      </c>
      <c r="BE234" s="16">
        <v>0</v>
      </c>
      <c r="BF234" s="16">
        <v>27810</v>
      </c>
      <c r="BG234" s="16">
        <v>0</v>
      </c>
      <c r="BH234" s="16">
        <v>152910</v>
      </c>
      <c r="BI234" s="16">
        <v>202590</v>
      </c>
      <c r="BJ234" s="16">
        <v>32385</v>
      </c>
      <c r="BK234" s="16">
        <v>17500</v>
      </c>
      <c r="BL234" s="16">
        <v>0</v>
      </c>
      <c r="BM234" s="16">
        <v>0</v>
      </c>
      <c r="BN234" s="16">
        <v>0</v>
      </c>
      <c r="BO234" s="16">
        <v>0</v>
      </c>
      <c r="BP234" s="16">
        <v>500</v>
      </c>
      <c r="BQ234" s="16">
        <v>0</v>
      </c>
      <c r="BR234" s="16">
        <v>0</v>
      </c>
      <c r="BS234" s="16">
        <v>0</v>
      </c>
      <c r="BT234" s="16">
        <v>0</v>
      </c>
      <c r="BU234" s="16">
        <v>0</v>
      </c>
      <c r="BV234" s="16">
        <v>0</v>
      </c>
      <c r="BW234" s="16">
        <v>0</v>
      </c>
    </row>
    <row r="235" spans="1:75" ht="18" hidden="1" customHeight="1" outlineLevel="1">
      <c r="B235" s="7">
        <v>2040</v>
      </c>
      <c r="Q235" s="5">
        <v>2018</v>
      </c>
      <c r="R235" s="5">
        <v>9</v>
      </c>
      <c r="S235" s="14" t="s">
        <v>54</v>
      </c>
      <c r="T235" s="15">
        <f t="shared" si="151"/>
        <v>4352760</v>
      </c>
      <c r="U235" s="15">
        <f t="shared" si="152"/>
        <v>5232340</v>
      </c>
      <c r="V235" s="16">
        <v>3482000</v>
      </c>
      <c r="W235" s="16">
        <v>1300340</v>
      </c>
      <c r="X235" s="16">
        <v>0</v>
      </c>
      <c r="Y235" s="16">
        <v>0</v>
      </c>
      <c r="Z235" s="16">
        <v>0</v>
      </c>
      <c r="AA235" s="16">
        <v>0</v>
      </c>
      <c r="AB235" s="16">
        <v>0</v>
      </c>
      <c r="AC235" s="16">
        <v>0</v>
      </c>
      <c r="AD235" s="16">
        <v>0</v>
      </c>
      <c r="AE235" s="16">
        <v>0</v>
      </c>
      <c r="AF235" s="16">
        <v>50000</v>
      </c>
      <c r="AG235" s="16">
        <v>0</v>
      </c>
      <c r="AH235" s="16">
        <v>0</v>
      </c>
      <c r="AI235" s="16">
        <v>200000</v>
      </c>
      <c r="AJ235" s="16">
        <v>150000</v>
      </c>
      <c r="AK235" s="16">
        <v>0</v>
      </c>
      <c r="AL235" s="16">
        <v>50000</v>
      </c>
      <c r="AM235" s="16">
        <v>0</v>
      </c>
      <c r="AN235" s="16">
        <v>0</v>
      </c>
      <c r="AO235" s="16">
        <v>0</v>
      </c>
      <c r="AP235" s="16">
        <v>0</v>
      </c>
      <c r="AQ235" s="16">
        <v>0</v>
      </c>
      <c r="AR235" s="16">
        <v>0</v>
      </c>
      <c r="AS235" s="16">
        <v>0</v>
      </c>
      <c r="AT235" s="16">
        <v>0</v>
      </c>
      <c r="AU235" s="16">
        <v>0</v>
      </c>
      <c r="AV235" s="16">
        <v>0</v>
      </c>
      <c r="AW235" s="16">
        <v>0</v>
      </c>
      <c r="AX235" s="16">
        <v>0</v>
      </c>
      <c r="AY235" s="16">
        <v>0</v>
      </c>
      <c r="AZ235" s="16">
        <v>0</v>
      </c>
      <c r="BA235" s="16"/>
      <c r="BB235" s="15">
        <f t="shared" si="153"/>
        <v>879580</v>
      </c>
      <c r="BC235" s="16">
        <v>0</v>
      </c>
      <c r="BD235" s="16">
        <v>293840</v>
      </c>
      <c r="BE235" s="16">
        <v>0</v>
      </c>
      <c r="BF235" s="16">
        <v>29380</v>
      </c>
      <c r="BG235" s="16">
        <v>0</v>
      </c>
      <c r="BH235" s="16">
        <v>152910</v>
      </c>
      <c r="BI235" s="16">
        <v>202590</v>
      </c>
      <c r="BJ235" s="16">
        <v>33360</v>
      </c>
      <c r="BK235" s="16">
        <v>17500</v>
      </c>
      <c r="BL235" s="16">
        <v>0</v>
      </c>
      <c r="BM235" s="16">
        <v>150000</v>
      </c>
      <c r="BN235" s="16">
        <v>0</v>
      </c>
      <c r="BO235" s="16">
        <v>0</v>
      </c>
      <c r="BP235" s="16">
        <v>0</v>
      </c>
      <c r="BQ235" s="16">
        <v>0</v>
      </c>
      <c r="BR235" s="16">
        <v>0</v>
      </c>
      <c r="BS235" s="16">
        <v>0</v>
      </c>
      <c r="BT235" s="16">
        <v>0</v>
      </c>
      <c r="BU235" s="16">
        <v>0</v>
      </c>
      <c r="BV235" s="16">
        <v>0</v>
      </c>
      <c r="BW235" s="16">
        <v>0</v>
      </c>
    </row>
    <row r="236" spans="1:75" ht="18" hidden="1" customHeight="1" outlineLevel="1">
      <c r="B236" s="7">
        <v>2041</v>
      </c>
      <c r="Q236" s="5">
        <v>2018</v>
      </c>
      <c r="R236" s="5">
        <v>8</v>
      </c>
      <c r="S236" s="14" t="s">
        <v>54</v>
      </c>
      <c r="T236" s="15">
        <f t="shared" si="151"/>
        <v>4371025</v>
      </c>
      <c r="U236" s="15">
        <f t="shared" si="152"/>
        <v>5082340</v>
      </c>
      <c r="V236" s="16">
        <v>3482000</v>
      </c>
      <c r="W236" s="16">
        <v>1300340</v>
      </c>
      <c r="X236" s="16">
        <v>0</v>
      </c>
      <c r="Y236" s="16">
        <v>0</v>
      </c>
      <c r="Z236" s="16">
        <v>0</v>
      </c>
      <c r="AA236" s="16">
        <v>0</v>
      </c>
      <c r="AB236" s="16">
        <v>0</v>
      </c>
      <c r="AC236" s="16">
        <v>0</v>
      </c>
      <c r="AD236" s="16">
        <v>0</v>
      </c>
      <c r="AE236" s="16">
        <v>0</v>
      </c>
      <c r="AF236" s="16">
        <v>50000</v>
      </c>
      <c r="AG236" s="16">
        <v>0</v>
      </c>
      <c r="AH236" s="16">
        <v>0</v>
      </c>
      <c r="AI236" s="16">
        <v>200000</v>
      </c>
      <c r="AJ236" s="16">
        <v>0</v>
      </c>
      <c r="AK236" s="16">
        <v>0</v>
      </c>
      <c r="AL236" s="16">
        <v>50000</v>
      </c>
      <c r="AM236" s="16">
        <v>0</v>
      </c>
      <c r="AN236" s="16">
        <v>0</v>
      </c>
      <c r="AO236" s="16">
        <v>0</v>
      </c>
      <c r="AP236" s="16">
        <v>0</v>
      </c>
      <c r="AQ236" s="16">
        <v>0</v>
      </c>
      <c r="AR236" s="16">
        <v>0</v>
      </c>
      <c r="AS236" s="16">
        <v>0</v>
      </c>
      <c r="AT236" s="16">
        <v>0</v>
      </c>
      <c r="AU236" s="16">
        <v>0</v>
      </c>
      <c r="AV236" s="16">
        <v>0</v>
      </c>
      <c r="AW236" s="16">
        <v>0</v>
      </c>
      <c r="AX236" s="16">
        <v>0</v>
      </c>
      <c r="AY236" s="16">
        <v>0</v>
      </c>
      <c r="AZ236" s="16">
        <v>0</v>
      </c>
      <c r="BA236" s="16"/>
      <c r="BB236" s="15">
        <f t="shared" si="153"/>
        <v>711315</v>
      </c>
      <c r="BC236" s="16">
        <v>0</v>
      </c>
      <c r="BD236" s="16">
        <v>278120</v>
      </c>
      <c r="BE236" s="16">
        <v>0</v>
      </c>
      <c r="BF236" s="16">
        <v>27810</v>
      </c>
      <c r="BG236" s="16">
        <v>0</v>
      </c>
      <c r="BH236" s="16">
        <v>152910</v>
      </c>
      <c r="BI236" s="16">
        <v>202590</v>
      </c>
      <c r="BJ236" s="16">
        <v>32385</v>
      </c>
      <c r="BK236" s="16">
        <v>17500</v>
      </c>
      <c r="BL236" s="16">
        <v>0</v>
      </c>
      <c r="BM236" s="16">
        <v>0</v>
      </c>
      <c r="BN236" s="16">
        <v>0</v>
      </c>
      <c r="BO236" s="16">
        <v>0</v>
      </c>
      <c r="BP236" s="16">
        <v>0</v>
      </c>
      <c r="BQ236" s="16">
        <v>0</v>
      </c>
      <c r="BR236" s="16">
        <v>0</v>
      </c>
      <c r="BS236" s="16">
        <v>0</v>
      </c>
      <c r="BT236" s="16">
        <v>0</v>
      </c>
      <c r="BU236" s="16">
        <v>0</v>
      </c>
      <c r="BV236" s="16">
        <v>0</v>
      </c>
      <c r="BW236" s="16">
        <v>0</v>
      </c>
    </row>
    <row r="237" spans="1:75" ht="18" hidden="1" customHeight="1" outlineLevel="1">
      <c r="B237" s="7">
        <v>2042</v>
      </c>
      <c r="Q237" s="5">
        <v>2018</v>
      </c>
      <c r="R237" s="5">
        <v>7</v>
      </c>
      <c r="S237" s="14" t="s">
        <v>54</v>
      </c>
      <c r="T237" s="15">
        <f t="shared" si="151"/>
        <v>4753882</v>
      </c>
      <c r="U237" s="15">
        <f t="shared" si="152"/>
        <v>5522860</v>
      </c>
      <c r="V237" s="16">
        <v>3482000</v>
      </c>
      <c r="W237" s="16">
        <v>1300340</v>
      </c>
      <c r="X237" s="16">
        <v>0</v>
      </c>
      <c r="Y237" s="16">
        <v>0</v>
      </c>
      <c r="Z237" s="16">
        <v>0</v>
      </c>
      <c r="AA237" s="16">
        <v>0</v>
      </c>
      <c r="AB237" s="16">
        <v>0</v>
      </c>
      <c r="AC237" s="16">
        <v>140520</v>
      </c>
      <c r="AD237" s="16">
        <v>0</v>
      </c>
      <c r="AE237" s="16">
        <v>0</v>
      </c>
      <c r="AF237" s="16">
        <v>50000</v>
      </c>
      <c r="AG237" s="16">
        <v>0</v>
      </c>
      <c r="AH237" s="16">
        <v>0</v>
      </c>
      <c r="AI237" s="16">
        <v>200000</v>
      </c>
      <c r="AJ237" s="16">
        <v>0</v>
      </c>
      <c r="AK237" s="16">
        <v>300000</v>
      </c>
      <c r="AL237" s="16">
        <v>50000</v>
      </c>
      <c r="AM237" s="16">
        <v>0</v>
      </c>
      <c r="AN237" s="16">
        <v>0</v>
      </c>
      <c r="AO237" s="16">
        <v>0</v>
      </c>
      <c r="AP237" s="16">
        <v>0</v>
      </c>
      <c r="AQ237" s="16">
        <v>0</v>
      </c>
      <c r="AR237" s="16">
        <v>0</v>
      </c>
      <c r="AS237" s="16">
        <v>0</v>
      </c>
      <c r="AT237" s="16">
        <v>0</v>
      </c>
      <c r="AU237" s="16">
        <v>0</v>
      </c>
      <c r="AV237" s="16">
        <v>0</v>
      </c>
      <c r="AW237" s="16">
        <v>0</v>
      </c>
      <c r="AX237" s="16">
        <v>0</v>
      </c>
      <c r="AY237" s="16">
        <v>0</v>
      </c>
      <c r="AZ237" s="16">
        <v>0</v>
      </c>
      <c r="BA237" s="16"/>
      <c r="BB237" s="15">
        <f t="shared" si="153"/>
        <v>768978</v>
      </c>
      <c r="BC237" s="16">
        <v>0</v>
      </c>
      <c r="BD237" s="16">
        <v>327490</v>
      </c>
      <c r="BE237" s="16">
        <v>0</v>
      </c>
      <c r="BF237" s="16">
        <v>32740</v>
      </c>
      <c r="BG237" s="16">
        <v>0</v>
      </c>
      <c r="BH237" s="16">
        <v>152910</v>
      </c>
      <c r="BI237" s="16">
        <v>202590</v>
      </c>
      <c r="BJ237" s="16">
        <v>35248</v>
      </c>
      <c r="BK237" s="16">
        <v>17500</v>
      </c>
      <c r="BL237" s="16">
        <v>0</v>
      </c>
      <c r="BM237" s="16">
        <v>0</v>
      </c>
      <c r="BN237" s="16">
        <v>0</v>
      </c>
      <c r="BO237" s="16">
        <v>0</v>
      </c>
      <c r="BP237" s="16">
        <v>500</v>
      </c>
      <c r="BQ237" s="16">
        <v>0</v>
      </c>
      <c r="BR237" s="16">
        <v>0</v>
      </c>
      <c r="BS237" s="16">
        <v>0</v>
      </c>
      <c r="BT237" s="16">
        <v>0</v>
      </c>
      <c r="BU237" s="16">
        <v>0</v>
      </c>
      <c r="BV237" s="16">
        <v>0</v>
      </c>
      <c r="BW237" s="16">
        <v>0</v>
      </c>
    </row>
    <row r="238" spans="1:75" ht="18" hidden="1" customHeight="1" outlineLevel="1">
      <c r="B238" s="7">
        <v>2043</v>
      </c>
      <c r="Q238" s="5">
        <v>2018</v>
      </c>
      <c r="R238" s="5">
        <v>6</v>
      </c>
      <c r="S238" s="14" t="s">
        <v>54</v>
      </c>
      <c r="T238" s="15">
        <f t="shared" si="151"/>
        <v>4360488</v>
      </c>
      <c r="U238" s="15">
        <f t="shared" si="152"/>
        <v>5058920</v>
      </c>
      <c r="V238" s="16">
        <v>3465000</v>
      </c>
      <c r="W238" s="16">
        <v>1293920</v>
      </c>
      <c r="X238" s="16">
        <v>0</v>
      </c>
      <c r="Y238" s="16">
        <v>0</v>
      </c>
      <c r="Z238" s="16">
        <v>0</v>
      </c>
      <c r="AA238" s="16">
        <v>0</v>
      </c>
      <c r="AB238" s="16">
        <v>0</v>
      </c>
      <c r="AC238" s="16">
        <v>0</v>
      </c>
      <c r="AD238" s="16">
        <v>0</v>
      </c>
      <c r="AE238" s="16">
        <v>0</v>
      </c>
      <c r="AF238" s="16">
        <v>50000</v>
      </c>
      <c r="AG238" s="16">
        <v>0</v>
      </c>
      <c r="AH238" s="16">
        <v>0</v>
      </c>
      <c r="AI238" s="16">
        <v>200000</v>
      </c>
      <c r="AJ238" s="16">
        <v>0</v>
      </c>
      <c r="AK238" s="16">
        <v>0</v>
      </c>
      <c r="AL238" s="16">
        <v>50000</v>
      </c>
      <c r="AM238" s="16">
        <v>0</v>
      </c>
      <c r="AN238" s="16">
        <v>0</v>
      </c>
      <c r="AO238" s="16">
        <v>0</v>
      </c>
      <c r="AP238" s="16">
        <v>0</v>
      </c>
      <c r="AQ238" s="16">
        <v>0</v>
      </c>
      <c r="AR238" s="16">
        <v>0</v>
      </c>
      <c r="AS238" s="16">
        <v>0</v>
      </c>
      <c r="AT238" s="16">
        <v>0</v>
      </c>
      <c r="AU238" s="16">
        <v>0</v>
      </c>
      <c r="AV238" s="16">
        <v>0</v>
      </c>
      <c r="AW238" s="16">
        <v>0</v>
      </c>
      <c r="AX238" s="16">
        <v>0</v>
      </c>
      <c r="AY238" s="16">
        <v>0</v>
      </c>
      <c r="AZ238" s="16">
        <v>0</v>
      </c>
      <c r="BA238" s="16"/>
      <c r="BB238" s="15">
        <f t="shared" si="153"/>
        <v>698432</v>
      </c>
      <c r="BC238" s="16">
        <v>0</v>
      </c>
      <c r="BD238" s="16">
        <v>273640</v>
      </c>
      <c r="BE238" s="16">
        <v>0</v>
      </c>
      <c r="BF238" s="16">
        <v>27360</v>
      </c>
      <c r="BG238" s="16">
        <v>0</v>
      </c>
      <c r="BH238" s="16">
        <v>152910</v>
      </c>
      <c r="BI238" s="16">
        <v>194890</v>
      </c>
      <c r="BJ238" s="16">
        <v>32232</v>
      </c>
      <c r="BK238" s="16">
        <v>17400</v>
      </c>
      <c r="BL238" s="16">
        <v>0</v>
      </c>
      <c r="BM238" s="16">
        <v>0</v>
      </c>
      <c r="BN238" s="16">
        <v>0</v>
      </c>
      <c r="BO238" s="16">
        <v>0</v>
      </c>
      <c r="BP238" s="16">
        <v>0</v>
      </c>
      <c r="BQ238" s="16">
        <v>0</v>
      </c>
      <c r="BR238" s="16">
        <v>0</v>
      </c>
      <c r="BS238" s="16">
        <v>0</v>
      </c>
      <c r="BT238" s="16">
        <v>0</v>
      </c>
      <c r="BU238" s="16">
        <v>0</v>
      </c>
      <c r="BV238" s="16">
        <v>0</v>
      </c>
      <c r="BW238" s="16">
        <v>0</v>
      </c>
    </row>
    <row r="239" spans="1:75" ht="18" hidden="1" customHeight="1" outlineLevel="1">
      <c r="B239" s="7">
        <v>2044</v>
      </c>
      <c r="Q239" s="5">
        <v>2018</v>
      </c>
      <c r="R239" s="5">
        <v>5</v>
      </c>
      <c r="S239" s="14" t="s">
        <v>54</v>
      </c>
      <c r="T239" s="15">
        <f t="shared" si="151"/>
        <v>5585101</v>
      </c>
      <c r="U239" s="15">
        <f t="shared" si="152"/>
        <v>6490640</v>
      </c>
      <c r="V239" s="16">
        <v>3465000</v>
      </c>
      <c r="W239" s="16">
        <v>1293920</v>
      </c>
      <c r="X239" s="16">
        <v>0</v>
      </c>
      <c r="Y239" s="16">
        <v>0</v>
      </c>
      <c r="Z239" s="16">
        <v>0</v>
      </c>
      <c r="AA239" s="16">
        <v>0</v>
      </c>
      <c r="AB239" s="16">
        <v>0</v>
      </c>
      <c r="AC239" s="16">
        <v>281720</v>
      </c>
      <c r="AD239" s="16">
        <v>0</v>
      </c>
      <c r="AE239" s="16">
        <v>0</v>
      </c>
      <c r="AF239" s="16">
        <v>50000</v>
      </c>
      <c r="AG239" s="16">
        <v>0</v>
      </c>
      <c r="AH239" s="16">
        <v>0</v>
      </c>
      <c r="AI239" s="16">
        <v>200000</v>
      </c>
      <c r="AJ239" s="16">
        <v>150000</v>
      </c>
      <c r="AK239" s="16">
        <v>0</v>
      </c>
      <c r="AL239" s="16">
        <v>50000</v>
      </c>
      <c r="AM239" s="16">
        <v>0</v>
      </c>
      <c r="AN239" s="16">
        <v>0</v>
      </c>
      <c r="AO239" s="16">
        <v>600000</v>
      </c>
      <c r="AP239" s="16">
        <v>400000</v>
      </c>
      <c r="AQ239" s="16">
        <v>0</v>
      </c>
      <c r="AR239" s="16">
        <v>0</v>
      </c>
      <c r="AS239" s="16">
        <v>0</v>
      </c>
      <c r="AT239" s="16">
        <v>0</v>
      </c>
      <c r="AU239" s="16">
        <v>0</v>
      </c>
      <c r="AV239" s="16">
        <v>0</v>
      </c>
      <c r="AW239" s="16">
        <v>0</v>
      </c>
      <c r="AX239" s="16">
        <v>0</v>
      </c>
      <c r="AY239" s="16">
        <v>0</v>
      </c>
      <c r="AZ239" s="16">
        <v>0</v>
      </c>
      <c r="BA239" s="16"/>
      <c r="BB239" s="15">
        <f t="shared" si="153"/>
        <v>905539</v>
      </c>
      <c r="BC239" s="16">
        <v>0</v>
      </c>
      <c r="BD239" s="16">
        <v>323000</v>
      </c>
      <c r="BE239" s="16">
        <v>0</v>
      </c>
      <c r="BF239" s="16">
        <v>32300</v>
      </c>
      <c r="BG239" s="16">
        <v>0</v>
      </c>
      <c r="BH239" s="16">
        <v>152910</v>
      </c>
      <c r="BI239" s="16">
        <v>194890</v>
      </c>
      <c r="BJ239" s="16">
        <v>35039</v>
      </c>
      <c r="BK239" s="16">
        <v>17400</v>
      </c>
      <c r="BL239" s="16">
        <v>0</v>
      </c>
      <c r="BM239" s="16">
        <v>150000</v>
      </c>
      <c r="BN239" s="16">
        <v>0</v>
      </c>
      <c r="BO239" s="16">
        <v>0</v>
      </c>
      <c r="BP239" s="16">
        <v>0</v>
      </c>
      <c r="BQ239" s="16">
        <v>0</v>
      </c>
      <c r="BR239" s="16">
        <v>0</v>
      </c>
      <c r="BS239" s="16">
        <v>0</v>
      </c>
      <c r="BT239" s="16">
        <v>0</v>
      </c>
      <c r="BU239" s="16">
        <v>0</v>
      </c>
      <c r="BV239" s="16">
        <v>0</v>
      </c>
      <c r="BW239" s="16">
        <v>0</v>
      </c>
    </row>
    <row r="240" spans="1:75" ht="18" hidden="1" customHeight="1" outlineLevel="1">
      <c r="B240" s="7">
        <v>2033</v>
      </c>
      <c r="C240" s="8" t="s">
        <v>13</v>
      </c>
      <c r="J240" s="9"/>
      <c r="Q240" s="5">
        <v>2018</v>
      </c>
      <c r="R240" s="5">
        <v>4</v>
      </c>
      <c r="S240" s="5" t="s">
        <v>28</v>
      </c>
      <c r="T240" s="15">
        <f t="shared" si="151"/>
        <v>5223940</v>
      </c>
      <c r="U240" s="15">
        <f t="shared" si="152"/>
        <v>6481368</v>
      </c>
      <c r="V240" s="16">
        <v>0</v>
      </c>
      <c r="W240" s="16">
        <v>0</v>
      </c>
      <c r="X240" s="16">
        <v>0</v>
      </c>
      <c r="Y240" s="16">
        <v>0</v>
      </c>
      <c r="Z240" s="16">
        <v>0</v>
      </c>
      <c r="AA240" s="16">
        <v>0</v>
      </c>
      <c r="AB240" s="16">
        <v>0</v>
      </c>
      <c r="AC240" s="16">
        <v>0</v>
      </c>
      <c r="AD240" s="16">
        <v>6481368</v>
      </c>
      <c r="AE240" s="16">
        <v>0</v>
      </c>
      <c r="AF240" s="16">
        <v>0</v>
      </c>
      <c r="AG240" s="16">
        <v>0</v>
      </c>
      <c r="AH240" s="16">
        <v>0</v>
      </c>
      <c r="AI240" s="16">
        <v>0</v>
      </c>
      <c r="AJ240" s="16">
        <v>0</v>
      </c>
      <c r="AK240" s="16">
        <v>0</v>
      </c>
      <c r="AL240" s="16">
        <v>0</v>
      </c>
      <c r="AM240" s="16">
        <v>0</v>
      </c>
      <c r="AN240" s="16">
        <v>0</v>
      </c>
      <c r="AO240" s="16">
        <v>0</v>
      </c>
      <c r="AP240" s="16">
        <v>0</v>
      </c>
      <c r="AQ240" s="16">
        <v>0</v>
      </c>
      <c r="AR240" s="16">
        <v>0</v>
      </c>
      <c r="AS240" s="16">
        <v>0</v>
      </c>
      <c r="AT240" s="16">
        <v>0</v>
      </c>
      <c r="AU240" s="16">
        <v>0</v>
      </c>
      <c r="AV240" s="16">
        <v>0</v>
      </c>
      <c r="AW240" s="16">
        <v>0</v>
      </c>
      <c r="AX240" s="16">
        <v>0</v>
      </c>
      <c r="AY240" s="16">
        <v>0</v>
      </c>
      <c r="AZ240" s="16">
        <v>0</v>
      </c>
      <c r="BA240" s="16"/>
      <c r="BB240" s="15">
        <f t="shared" si="153"/>
        <v>1257428</v>
      </c>
      <c r="BC240" s="15"/>
      <c r="BD240" s="16">
        <v>1104820</v>
      </c>
      <c r="BE240" s="16">
        <v>0</v>
      </c>
      <c r="BF240" s="16">
        <v>110480</v>
      </c>
      <c r="BG240" s="16">
        <v>0</v>
      </c>
      <c r="BH240" s="16">
        <v>0</v>
      </c>
      <c r="BI240" s="16">
        <v>0</v>
      </c>
      <c r="BJ240" s="16">
        <v>42128</v>
      </c>
      <c r="BK240" s="16">
        <v>0</v>
      </c>
      <c r="BL240" s="16">
        <v>0</v>
      </c>
      <c r="BM240" s="16">
        <v>0</v>
      </c>
      <c r="BN240" s="16">
        <v>0</v>
      </c>
      <c r="BO240" s="16">
        <v>0</v>
      </c>
      <c r="BP240" s="16">
        <v>0</v>
      </c>
      <c r="BQ240" s="16">
        <v>0</v>
      </c>
      <c r="BR240" s="16">
        <v>0</v>
      </c>
      <c r="BS240" s="16">
        <v>0</v>
      </c>
      <c r="BT240" s="16">
        <v>0</v>
      </c>
      <c r="BU240" s="16">
        <v>0</v>
      </c>
      <c r="BV240" s="16">
        <v>0</v>
      </c>
      <c r="BW240" s="16">
        <v>0</v>
      </c>
    </row>
    <row r="241" spans="1:75" ht="18" hidden="1" customHeight="1" outlineLevel="1">
      <c r="B241" s="7">
        <v>2033</v>
      </c>
      <c r="C241" s="8" t="s">
        <v>13</v>
      </c>
      <c r="J241" s="9"/>
      <c r="Q241" s="5">
        <v>2018</v>
      </c>
      <c r="R241" s="5">
        <v>4</v>
      </c>
      <c r="S241" s="5" t="s">
        <v>29</v>
      </c>
      <c r="T241" s="15">
        <f t="shared" si="151"/>
        <v>993500</v>
      </c>
      <c r="U241" s="15">
        <f t="shared" si="152"/>
        <v>1000000</v>
      </c>
      <c r="V241" s="16">
        <v>0</v>
      </c>
      <c r="W241" s="16">
        <v>0</v>
      </c>
      <c r="X241" s="16">
        <v>0</v>
      </c>
      <c r="Y241" s="16">
        <v>0</v>
      </c>
      <c r="Z241" s="16">
        <v>0</v>
      </c>
      <c r="AA241" s="16">
        <v>0</v>
      </c>
      <c r="AB241" s="16">
        <v>0</v>
      </c>
      <c r="AC241" s="16">
        <v>0</v>
      </c>
      <c r="AD241" s="16">
        <v>0</v>
      </c>
      <c r="AE241" s="16">
        <v>1000000</v>
      </c>
      <c r="AF241" s="16">
        <v>0</v>
      </c>
      <c r="AG241" s="16">
        <v>0</v>
      </c>
      <c r="AH241" s="16">
        <v>0</v>
      </c>
      <c r="AI241" s="16">
        <v>0</v>
      </c>
      <c r="AJ241" s="16">
        <v>0</v>
      </c>
      <c r="AK241" s="16">
        <v>0</v>
      </c>
      <c r="AL241" s="16">
        <v>0</v>
      </c>
      <c r="AM241" s="16">
        <v>0</v>
      </c>
      <c r="AN241" s="16">
        <v>0</v>
      </c>
      <c r="AO241" s="16">
        <v>0</v>
      </c>
      <c r="AP241" s="16">
        <v>0</v>
      </c>
      <c r="AQ241" s="16">
        <v>0</v>
      </c>
      <c r="AR241" s="16">
        <v>0</v>
      </c>
      <c r="AS241" s="16">
        <v>0</v>
      </c>
      <c r="AT241" s="16">
        <v>0</v>
      </c>
      <c r="AU241" s="16">
        <v>0</v>
      </c>
      <c r="AV241" s="16">
        <v>0</v>
      </c>
      <c r="AW241" s="16">
        <v>0</v>
      </c>
      <c r="AX241" s="16">
        <v>0</v>
      </c>
      <c r="AY241" s="16">
        <v>0</v>
      </c>
      <c r="AZ241" s="16">
        <v>0</v>
      </c>
      <c r="BA241" s="16"/>
      <c r="BB241" s="15">
        <f t="shared" si="153"/>
        <v>6500</v>
      </c>
      <c r="BC241" s="15">
        <v>0</v>
      </c>
      <c r="BD241" s="16">
        <v>0</v>
      </c>
      <c r="BE241" s="16">
        <v>0</v>
      </c>
      <c r="BF241" s="16">
        <v>0</v>
      </c>
      <c r="BG241" s="16">
        <v>0</v>
      </c>
      <c r="BH241" s="16">
        <v>0</v>
      </c>
      <c r="BI241" s="16">
        <v>0</v>
      </c>
      <c r="BJ241" s="16">
        <v>6500</v>
      </c>
      <c r="BK241" s="16">
        <v>0</v>
      </c>
      <c r="BL241" s="16">
        <v>0</v>
      </c>
      <c r="BM241" s="16">
        <v>0</v>
      </c>
      <c r="BN241" s="16">
        <v>0</v>
      </c>
      <c r="BO241" s="16">
        <v>0</v>
      </c>
      <c r="BP241" s="16">
        <v>0</v>
      </c>
      <c r="BQ241" s="16">
        <v>0</v>
      </c>
      <c r="BR241" s="16">
        <v>0</v>
      </c>
      <c r="BS241" s="16">
        <v>0</v>
      </c>
      <c r="BT241" s="16">
        <v>0</v>
      </c>
      <c r="BU241" s="16">
        <v>0</v>
      </c>
      <c r="BV241" s="16">
        <v>0</v>
      </c>
      <c r="BW241" s="16">
        <v>0</v>
      </c>
    </row>
    <row r="242" spans="1:75" ht="18" hidden="1" customHeight="1" outlineLevel="1">
      <c r="B242" s="7">
        <v>2045</v>
      </c>
      <c r="Q242" s="5">
        <v>2018</v>
      </c>
      <c r="R242" s="5">
        <v>4</v>
      </c>
      <c r="S242" s="14" t="s">
        <v>54</v>
      </c>
      <c r="T242" s="15">
        <f t="shared" si="151"/>
        <v>4250255</v>
      </c>
      <c r="U242" s="15">
        <f t="shared" si="152"/>
        <v>4988490</v>
      </c>
      <c r="V242" s="16">
        <v>3414000</v>
      </c>
      <c r="W242" s="16">
        <v>1274490</v>
      </c>
      <c r="X242" s="16">
        <v>0</v>
      </c>
      <c r="Y242" s="16">
        <v>0</v>
      </c>
      <c r="Z242" s="16">
        <v>0</v>
      </c>
      <c r="AA242" s="16">
        <v>0</v>
      </c>
      <c r="AB242" s="16">
        <v>0</v>
      </c>
      <c r="AC242" s="16">
        <v>0</v>
      </c>
      <c r="AD242" s="16">
        <v>0</v>
      </c>
      <c r="AE242" s="16">
        <v>0</v>
      </c>
      <c r="AF242" s="16">
        <v>50000</v>
      </c>
      <c r="AG242" s="16">
        <v>0</v>
      </c>
      <c r="AH242" s="16">
        <v>0</v>
      </c>
      <c r="AI242" s="16">
        <v>200000</v>
      </c>
      <c r="AJ242" s="16">
        <v>0</v>
      </c>
      <c r="AK242" s="16">
        <v>0</v>
      </c>
      <c r="AL242" s="16">
        <v>50000</v>
      </c>
      <c r="AM242" s="16">
        <v>0</v>
      </c>
      <c r="AN242" s="16">
        <v>0</v>
      </c>
      <c r="AO242" s="16">
        <v>0</v>
      </c>
      <c r="AP242" s="16">
        <v>0</v>
      </c>
      <c r="AQ242" s="16">
        <v>0</v>
      </c>
      <c r="AR242" s="16">
        <v>0</v>
      </c>
      <c r="AS242" s="16">
        <v>0</v>
      </c>
      <c r="AT242" s="16">
        <v>0</v>
      </c>
      <c r="AU242" s="16">
        <v>0</v>
      </c>
      <c r="AV242" s="16">
        <v>0</v>
      </c>
      <c r="AW242" s="16">
        <v>0</v>
      </c>
      <c r="AX242" s="16">
        <v>0</v>
      </c>
      <c r="AY242" s="16">
        <v>0</v>
      </c>
      <c r="AZ242" s="16">
        <v>0</v>
      </c>
      <c r="BA242" s="16"/>
      <c r="BB242" s="15">
        <f t="shared" si="153"/>
        <v>738235</v>
      </c>
      <c r="BC242" s="16">
        <v>0</v>
      </c>
      <c r="BD242" s="16">
        <v>266910</v>
      </c>
      <c r="BE242" s="16">
        <v>0</v>
      </c>
      <c r="BF242" s="16">
        <v>26690</v>
      </c>
      <c r="BG242" s="16">
        <v>0</v>
      </c>
      <c r="BH242" s="16">
        <v>152910</v>
      </c>
      <c r="BI242" s="16">
        <v>194890</v>
      </c>
      <c r="BJ242" s="16">
        <v>31775</v>
      </c>
      <c r="BK242" s="16">
        <v>17100</v>
      </c>
      <c r="BL242" s="16">
        <v>0</v>
      </c>
      <c r="BM242" s="16">
        <v>0</v>
      </c>
      <c r="BN242" s="16">
        <v>0</v>
      </c>
      <c r="BO242" s="16">
        <v>47460</v>
      </c>
      <c r="BP242" s="16">
        <v>500</v>
      </c>
      <c r="BQ242" s="16">
        <v>0</v>
      </c>
      <c r="BR242" s="16">
        <v>0</v>
      </c>
      <c r="BS242" s="16">
        <v>0</v>
      </c>
      <c r="BT242" s="16">
        <v>0</v>
      </c>
      <c r="BU242" s="16">
        <v>0</v>
      </c>
      <c r="BV242" s="16">
        <v>0</v>
      </c>
      <c r="BW242" s="16">
        <v>0</v>
      </c>
    </row>
    <row r="243" spans="1:75" ht="18" hidden="1" customHeight="1" outlineLevel="1">
      <c r="B243" s="7">
        <v>2046</v>
      </c>
      <c r="Q243" s="5">
        <v>2018</v>
      </c>
      <c r="R243" s="5">
        <v>3</v>
      </c>
      <c r="S243" s="14" t="s">
        <v>54</v>
      </c>
      <c r="T243" s="15">
        <f t="shared" si="151"/>
        <v>4299575</v>
      </c>
      <c r="U243" s="15">
        <f t="shared" si="152"/>
        <v>4988490</v>
      </c>
      <c r="V243" s="16">
        <v>3414000</v>
      </c>
      <c r="W243" s="16">
        <v>1274490</v>
      </c>
      <c r="X243" s="16">
        <v>0</v>
      </c>
      <c r="Y243" s="16">
        <v>0</v>
      </c>
      <c r="Z243" s="16">
        <v>0</v>
      </c>
      <c r="AA243" s="16">
        <v>0</v>
      </c>
      <c r="AB243" s="16">
        <v>0</v>
      </c>
      <c r="AC243" s="16">
        <v>0</v>
      </c>
      <c r="AD243" s="16">
        <v>0</v>
      </c>
      <c r="AE243" s="16">
        <v>0</v>
      </c>
      <c r="AF243" s="16">
        <v>50000</v>
      </c>
      <c r="AG243" s="16">
        <v>0</v>
      </c>
      <c r="AH243" s="16">
        <v>0</v>
      </c>
      <c r="AI243" s="16">
        <v>200000</v>
      </c>
      <c r="AJ243" s="16">
        <v>0</v>
      </c>
      <c r="AK243" s="16">
        <v>0</v>
      </c>
      <c r="AL243" s="16">
        <v>50000</v>
      </c>
      <c r="AM243" s="16">
        <v>0</v>
      </c>
      <c r="AN243" s="16">
        <v>0</v>
      </c>
      <c r="AO243" s="16">
        <v>0</v>
      </c>
      <c r="AP243" s="16">
        <v>0</v>
      </c>
      <c r="AQ243" s="16">
        <v>0</v>
      </c>
      <c r="AR243" s="16">
        <v>0</v>
      </c>
      <c r="AS243" s="16">
        <v>0</v>
      </c>
      <c r="AT243" s="16">
        <v>0</v>
      </c>
      <c r="AU243" s="16">
        <v>0</v>
      </c>
      <c r="AV243" s="16">
        <v>0</v>
      </c>
      <c r="AW243" s="16">
        <v>0</v>
      </c>
      <c r="AX243" s="16">
        <v>0</v>
      </c>
      <c r="AY243" s="16">
        <v>0</v>
      </c>
      <c r="AZ243" s="16">
        <v>0</v>
      </c>
      <c r="BA243" s="16"/>
      <c r="BB243" s="15">
        <f t="shared" si="153"/>
        <v>688915</v>
      </c>
      <c r="BC243" s="16">
        <v>0</v>
      </c>
      <c r="BD243" s="16">
        <v>266910</v>
      </c>
      <c r="BE243" s="16">
        <v>0</v>
      </c>
      <c r="BF243" s="16">
        <v>26690</v>
      </c>
      <c r="BG243" s="16">
        <v>0</v>
      </c>
      <c r="BH243" s="16">
        <v>147510</v>
      </c>
      <c r="BI243" s="16">
        <v>194890</v>
      </c>
      <c r="BJ243" s="16">
        <v>31775</v>
      </c>
      <c r="BK243" s="16">
        <v>17100</v>
      </c>
      <c r="BL243" s="16">
        <v>0</v>
      </c>
      <c r="BM243" s="16">
        <v>0</v>
      </c>
      <c r="BN243" s="16">
        <v>0</v>
      </c>
      <c r="BO243" s="16">
        <v>0</v>
      </c>
      <c r="BP243" s="16">
        <v>4040</v>
      </c>
      <c r="BQ243" s="16">
        <v>0</v>
      </c>
      <c r="BR243" s="16">
        <v>0</v>
      </c>
      <c r="BS243" s="16">
        <v>0</v>
      </c>
      <c r="BT243" s="16">
        <v>0</v>
      </c>
      <c r="BU243" s="16">
        <v>0</v>
      </c>
      <c r="BV243" s="16">
        <v>0</v>
      </c>
      <c r="BW243" s="16">
        <v>0</v>
      </c>
    </row>
    <row r="244" spans="1:75" ht="18" hidden="1" customHeight="1" outlineLevel="1">
      <c r="B244" s="7">
        <v>2047</v>
      </c>
      <c r="Q244" s="5">
        <v>2018</v>
      </c>
      <c r="R244" s="5">
        <v>2</v>
      </c>
      <c r="S244" s="14" t="s">
        <v>54</v>
      </c>
      <c r="T244" s="15">
        <f t="shared" si="151"/>
        <v>5392310</v>
      </c>
      <c r="U244" s="15">
        <f t="shared" si="152"/>
        <v>5138490</v>
      </c>
      <c r="V244" s="16">
        <v>3414000</v>
      </c>
      <c r="W244" s="16">
        <v>1274490</v>
      </c>
      <c r="X244" s="16">
        <v>0</v>
      </c>
      <c r="Y244" s="16">
        <v>0</v>
      </c>
      <c r="Z244" s="16">
        <v>0</v>
      </c>
      <c r="AA244" s="16">
        <v>0</v>
      </c>
      <c r="AB244" s="16">
        <v>0</v>
      </c>
      <c r="AC244" s="16">
        <v>0</v>
      </c>
      <c r="AD244" s="16">
        <v>0</v>
      </c>
      <c r="AE244" s="16">
        <v>0</v>
      </c>
      <c r="AF244" s="16">
        <v>50000</v>
      </c>
      <c r="AG244" s="16">
        <v>0</v>
      </c>
      <c r="AH244" s="16">
        <v>0</v>
      </c>
      <c r="AI244" s="16">
        <v>200000</v>
      </c>
      <c r="AJ244" s="16">
        <v>150000</v>
      </c>
      <c r="AK244" s="16">
        <v>0</v>
      </c>
      <c r="AL244" s="16">
        <v>50000</v>
      </c>
      <c r="AM244" s="16">
        <v>0</v>
      </c>
      <c r="AN244" s="16">
        <v>0</v>
      </c>
      <c r="AO244" s="16">
        <v>0</v>
      </c>
      <c r="AP244" s="16">
        <v>0</v>
      </c>
      <c r="AQ244" s="16">
        <v>0</v>
      </c>
      <c r="AR244" s="16">
        <v>0</v>
      </c>
      <c r="AS244" s="16">
        <v>0</v>
      </c>
      <c r="AT244" s="16">
        <v>0</v>
      </c>
      <c r="AU244" s="16">
        <v>0</v>
      </c>
      <c r="AV244" s="16">
        <v>0</v>
      </c>
      <c r="AW244" s="16">
        <v>0</v>
      </c>
      <c r="AX244" s="16">
        <v>0</v>
      </c>
      <c r="AY244" s="16">
        <v>0</v>
      </c>
      <c r="AZ244" s="16">
        <v>0</v>
      </c>
      <c r="BA244" s="16"/>
      <c r="BB244" s="15">
        <f t="shared" si="153"/>
        <v>-253820</v>
      </c>
      <c r="BC244" s="16">
        <v>-1184660</v>
      </c>
      <c r="BD244" s="16">
        <v>353270</v>
      </c>
      <c r="BE244" s="16">
        <v>0</v>
      </c>
      <c r="BF244" s="16">
        <v>35320</v>
      </c>
      <c r="BG244" s="16">
        <v>0</v>
      </c>
      <c r="BH244" s="16">
        <v>147510</v>
      </c>
      <c r="BI244" s="16">
        <v>194890</v>
      </c>
      <c r="BJ244" s="16">
        <v>32750</v>
      </c>
      <c r="BK244" s="16">
        <v>17100</v>
      </c>
      <c r="BL244" s="16">
        <v>0</v>
      </c>
      <c r="BM244" s="16">
        <v>150000</v>
      </c>
      <c r="BN244" s="16">
        <v>0</v>
      </c>
      <c r="BO244" s="16">
        <v>0</v>
      </c>
      <c r="BP244" s="16">
        <v>0</v>
      </c>
      <c r="BQ244" s="16">
        <v>0</v>
      </c>
      <c r="BR244" s="16">
        <v>0</v>
      </c>
      <c r="BS244" s="16">
        <v>0</v>
      </c>
      <c r="BT244" s="16">
        <v>0</v>
      </c>
      <c r="BU244" s="16">
        <v>0</v>
      </c>
      <c r="BV244" s="16">
        <v>0</v>
      </c>
      <c r="BW244" s="16">
        <v>0</v>
      </c>
    </row>
    <row r="245" spans="1:75" ht="18" hidden="1" customHeight="1" outlineLevel="1">
      <c r="B245" s="7">
        <v>2048</v>
      </c>
      <c r="Q245" s="5">
        <v>2018</v>
      </c>
      <c r="R245" s="5">
        <v>1</v>
      </c>
      <c r="S245" s="14" t="s">
        <v>54</v>
      </c>
      <c r="T245" s="15">
        <f t="shared" si="151"/>
        <v>4196435</v>
      </c>
      <c r="U245" s="15">
        <f t="shared" si="152"/>
        <v>4988490</v>
      </c>
      <c r="V245" s="16">
        <v>3414000</v>
      </c>
      <c r="W245" s="16">
        <v>1274490</v>
      </c>
      <c r="X245" s="16">
        <v>0</v>
      </c>
      <c r="Y245" s="16">
        <v>0</v>
      </c>
      <c r="Z245" s="16">
        <v>0</v>
      </c>
      <c r="AA245" s="16">
        <v>0</v>
      </c>
      <c r="AB245" s="16">
        <v>0</v>
      </c>
      <c r="AC245" s="16">
        <v>0</v>
      </c>
      <c r="AD245" s="16">
        <v>0</v>
      </c>
      <c r="AE245" s="16">
        <v>0</v>
      </c>
      <c r="AF245" s="16">
        <v>50000</v>
      </c>
      <c r="AG245" s="16">
        <v>0</v>
      </c>
      <c r="AH245" s="16">
        <v>0</v>
      </c>
      <c r="AI245" s="16">
        <v>200000</v>
      </c>
      <c r="AJ245" s="16">
        <v>0</v>
      </c>
      <c r="AK245" s="16">
        <v>0</v>
      </c>
      <c r="AL245" s="16">
        <v>50000</v>
      </c>
      <c r="AM245" s="16">
        <v>0</v>
      </c>
      <c r="AN245" s="16">
        <v>0</v>
      </c>
      <c r="AO245" s="16">
        <v>0</v>
      </c>
      <c r="AP245" s="16">
        <v>0</v>
      </c>
      <c r="AQ245" s="16">
        <v>0</v>
      </c>
      <c r="AR245" s="16">
        <v>0</v>
      </c>
      <c r="AS245" s="16">
        <v>0</v>
      </c>
      <c r="AT245" s="16">
        <v>0</v>
      </c>
      <c r="AU245" s="16">
        <v>0</v>
      </c>
      <c r="AV245" s="16">
        <v>0</v>
      </c>
      <c r="AW245" s="16">
        <v>0</v>
      </c>
      <c r="AX245" s="16">
        <v>0</v>
      </c>
      <c r="AY245" s="16">
        <v>0</v>
      </c>
      <c r="AZ245" s="16">
        <v>0</v>
      </c>
      <c r="BA245" s="16"/>
      <c r="BB245" s="15">
        <f t="shared" si="153"/>
        <v>792055</v>
      </c>
      <c r="BC245" s="16">
        <v>0</v>
      </c>
      <c r="BD245" s="16">
        <v>337080</v>
      </c>
      <c r="BE245" s="16">
        <v>0</v>
      </c>
      <c r="BF245" s="16">
        <v>33700</v>
      </c>
      <c r="BG245" s="16">
        <v>0</v>
      </c>
      <c r="BH245" s="16">
        <v>147510</v>
      </c>
      <c r="BI245" s="16">
        <v>194890</v>
      </c>
      <c r="BJ245" s="16">
        <v>31775</v>
      </c>
      <c r="BK245" s="16">
        <v>17100</v>
      </c>
      <c r="BL245" s="16">
        <v>0</v>
      </c>
      <c r="BM245" s="16">
        <v>0</v>
      </c>
      <c r="BN245" s="16">
        <v>0</v>
      </c>
      <c r="BO245" s="16">
        <v>0</v>
      </c>
      <c r="BP245" s="16">
        <v>0</v>
      </c>
      <c r="BQ245" s="16">
        <v>0</v>
      </c>
      <c r="BR245" s="16">
        <v>0</v>
      </c>
      <c r="BS245" s="16">
        <v>0</v>
      </c>
      <c r="BT245" s="16">
        <v>30000</v>
      </c>
      <c r="BU245" s="16">
        <v>0</v>
      </c>
      <c r="BV245" s="16">
        <v>0</v>
      </c>
      <c r="BW245" s="16">
        <v>0</v>
      </c>
    </row>
    <row r="246" spans="1:75" s="1" customFormat="1" ht="18" customHeight="1" collapsed="1">
      <c r="A246" s="10"/>
      <c r="B246" s="18"/>
      <c r="C246" s="19"/>
      <c r="D246" s="18"/>
      <c r="E246" s="19"/>
      <c r="F246" s="19"/>
      <c r="G246" s="19"/>
      <c r="H246" s="19"/>
      <c r="I246" s="19"/>
      <c r="J246" s="20"/>
      <c r="K246" s="19"/>
      <c r="L246" s="19"/>
      <c r="M246" s="19"/>
      <c r="N246" s="19"/>
      <c r="O246" s="21"/>
      <c r="P246" s="22"/>
      <c r="Q246" s="667" t="s">
        <v>128</v>
      </c>
      <c r="R246" s="667"/>
      <c r="S246" s="667"/>
      <c r="T246" s="23">
        <f t="shared" ref="T246:AZ246" si="154">SUMIF($Q$2:$Q$793,$Q247,T$2:T$793)</f>
        <v>48155406</v>
      </c>
      <c r="U246" s="23">
        <f t="shared" si="154"/>
        <v>55976620</v>
      </c>
      <c r="V246" s="23">
        <f t="shared" si="154"/>
        <v>32340000</v>
      </c>
      <c r="W246" s="23">
        <f t="shared" si="154"/>
        <v>12080880</v>
      </c>
      <c r="X246" s="23">
        <f t="shared" si="154"/>
        <v>0</v>
      </c>
      <c r="Y246" s="23">
        <f t="shared" si="154"/>
        <v>0</v>
      </c>
      <c r="Z246" s="23">
        <f t="shared" si="154"/>
        <v>0</v>
      </c>
      <c r="AA246" s="23">
        <f t="shared" si="154"/>
        <v>0</v>
      </c>
      <c r="AB246" s="23">
        <f t="shared" si="154"/>
        <v>0</v>
      </c>
      <c r="AC246" s="23">
        <f t="shared" si="154"/>
        <v>0</v>
      </c>
      <c r="AD246" s="23">
        <f t="shared" si="154"/>
        <v>6481005</v>
      </c>
      <c r="AE246" s="23">
        <f t="shared" si="154"/>
        <v>1000000</v>
      </c>
      <c r="AF246" s="23">
        <f t="shared" si="154"/>
        <v>150000</v>
      </c>
      <c r="AG246" s="23">
        <f t="shared" si="154"/>
        <v>0</v>
      </c>
      <c r="AH246" s="23">
        <f t="shared" si="154"/>
        <v>0</v>
      </c>
      <c r="AI246" s="23">
        <f t="shared" si="154"/>
        <v>2400000</v>
      </c>
      <c r="AJ246" s="23">
        <f t="shared" si="154"/>
        <v>450000</v>
      </c>
      <c r="AK246" s="23">
        <f t="shared" si="154"/>
        <v>300000</v>
      </c>
      <c r="AL246" s="23">
        <f t="shared" si="154"/>
        <v>600000</v>
      </c>
      <c r="AM246" s="23">
        <f t="shared" si="154"/>
        <v>0</v>
      </c>
      <c r="AN246" s="23">
        <f t="shared" si="154"/>
        <v>0</v>
      </c>
      <c r="AO246" s="23">
        <f t="shared" si="154"/>
        <v>0</v>
      </c>
      <c r="AP246" s="23">
        <f t="shared" si="154"/>
        <v>0</v>
      </c>
      <c r="AQ246" s="23">
        <f t="shared" si="154"/>
        <v>20000</v>
      </c>
      <c r="AR246" s="23">
        <f t="shared" si="154"/>
        <v>0</v>
      </c>
      <c r="AS246" s="23">
        <f t="shared" si="154"/>
        <v>154735</v>
      </c>
      <c r="AT246" s="23">
        <f t="shared" si="154"/>
        <v>0</v>
      </c>
      <c r="AU246" s="23">
        <f t="shared" si="154"/>
        <v>0</v>
      </c>
      <c r="AV246" s="23">
        <f t="shared" si="154"/>
        <v>0</v>
      </c>
      <c r="AW246" s="23">
        <f t="shared" si="154"/>
        <v>0</v>
      </c>
      <c r="AX246" s="23">
        <f t="shared" si="154"/>
        <v>0</v>
      </c>
      <c r="AY246" s="23">
        <f t="shared" si="154"/>
        <v>0</v>
      </c>
      <c r="AZ246" s="23">
        <f t="shared" si="154"/>
        <v>0</v>
      </c>
      <c r="BA246" s="23"/>
      <c r="BB246" s="23">
        <f t="shared" ref="BB246:BW246" si="155">SUMIF($Q$2:$Q$793,$Q247,BB$2:BB$793)</f>
        <v>7821214</v>
      </c>
      <c r="BC246" s="23">
        <f t="shared" si="155"/>
        <v>-1100880</v>
      </c>
      <c r="BD246" s="23">
        <f t="shared" si="155"/>
        <v>3481130</v>
      </c>
      <c r="BE246" s="23">
        <f t="shared" si="155"/>
        <v>0</v>
      </c>
      <c r="BF246" s="23">
        <f t="shared" si="155"/>
        <v>348070</v>
      </c>
      <c r="BG246" s="23">
        <f t="shared" si="155"/>
        <v>0</v>
      </c>
      <c r="BH246" s="23">
        <f t="shared" si="155"/>
        <v>1738380</v>
      </c>
      <c r="BI246" s="23">
        <f t="shared" si="155"/>
        <v>2341140</v>
      </c>
      <c r="BJ246" s="23">
        <f t="shared" si="155"/>
        <v>356044</v>
      </c>
      <c r="BK246" s="23">
        <f t="shared" si="155"/>
        <v>162000</v>
      </c>
      <c r="BL246" s="23">
        <f t="shared" si="155"/>
        <v>0</v>
      </c>
      <c r="BM246" s="23">
        <f t="shared" si="155"/>
        <v>450000</v>
      </c>
      <c r="BN246" s="23">
        <f t="shared" si="155"/>
        <v>0</v>
      </c>
      <c r="BO246" s="23">
        <f t="shared" si="155"/>
        <v>39790</v>
      </c>
      <c r="BP246" s="23">
        <f t="shared" si="155"/>
        <v>5540</v>
      </c>
      <c r="BQ246" s="23">
        <f t="shared" si="155"/>
        <v>0</v>
      </c>
      <c r="BR246" s="23">
        <f t="shared" si="155"/>
        <v>0</v>
      </c>
      <c r="BS246" s="23">
        <f t="shared" si="155"/>
        <v>0</v>
      </c>
      <c r="BT246" s="23">
        <f t="shared" si="155"/>
        <v>0</v>
      </c>
      <c r="BU246" s="23">
        <f t="shared" si="155"/>
        <v>0</v>
      </c>
      <c r="BV246" s="23">
        <f t="shared" si="155"/>
        <v>0</v>
      </c>
      <c r="BW246" s="23">
        <f t="shared" si="155"/>
        <v>0</v>
      </c>
    </row>
    <row r="247" spans="1:75" ht="18" hidden="1" customHeight="1" outlineLevel="1">
      <c r="B247" s="7">
        <v>2049</v>
      </c>
      <c r="Q247" s="5">
        <v>2017</v>
      </c>
      <c r="R247" s="5">
        <v>12</v>
      </c>
      <c r="S247" s="14" t="s">
        <v>54</v>
      </c>
      <c r="T247" s="15">
        <f t="shared" ref="T247:T259" si="156">IF(U247=U247-BB247,0,U247-BB247)</f>
        <v>3407059</v>
      </c>
      <c r="U247" s="15">
        <f t="shared" ref="U247:U259" si="157">SUM(V247:BA247)</f>
        <v>4001740</v>
      </c>
      <c r="V247" s="16">
        <v>2695000</v>
      </c>
      <c r="W247" s="16">
        <v>1006740</v>
      </c>
      <c r="X247" s="16">
        <v>0</v>
      </c>
      <c r="Y247" s="16">
        <v>0</v>
      </c>
      <c r="Z247" s="16">
        <v>0</v>
      </c>
      <c r="AA247" s="16">
        <v>0</v>
      </c>
      <c r="AB247" s="16">
        <v>0</v>
      </c>
      <c r="AC247" s="16">
        <v>0</v>
      </c>
      <c r="AD247" s="16">
        <v>0</v>
      </c>
      <c r="AE247" s="16">
        <v>0</v>
      </c>
      <c r="AF247" s="16">
        <v>50000</v>
      </c>
      <c r="AG247" s="16">
        <v>0</v>
      </c>
      <c r="AH247" s="16">
        <v>0</v>
      </c>
      <c r="AI247" s="16">
        <v>200000</v>
      </c>
      <c r="AJ247" s="16">
        <v>0</v>
      </c>
      <c r="AK247" s="16">
        <v>0</v>
      </c>
      <c r="AL247" s="16">
        <v>50000</v>
      </c>
      <c r="AM247" s="16">
        <v>0</v>
      </c>
      <c r="AN247" s="16">
        <v>0</v>
      </c>
      <c r="AO247" s="16">
        <v>0</v>
      </c>
      <c r="AP247" s="16">
        <v>0</v>
      </c>
      <c r="AQ247" s="16">
        <v>0</v>
      </c>
      <c r="AR247" s="16">
        <v>0</v>
      </c>
      <c r="AS247" s="16">
        <v>0</v>
      </c>
      <c r="AT247" s="16">
        <v>0</v>
      </c>
      <c r="AU247" s="16">
        <v>0</v>
      </c>
      <c r="AV247" s="16">
        <v>0</v>
      </c>
      <c r="AW247" s="16">
        <v>0</v>
      </c>
      <c r="AX247" s="16">
        <v>0</v>
      </c>
      <c r="AY247" s="16">
        <v>0</v>
      </c>
      <c r="AZ247" s="16">
        <v>0</v>
      </c>
      <c r="BA247" s="16"/>
      <c r="BB247" s="15">
        <f t="shared" ref="BB247:BB259" si="158">SUM(BC247:BW247)</f>
        <v>594681</v>
      </c>
      <c r="BC247" s="16">
        <v>0</v>
      </c>
      <c r="BD247" s="16">
        <v>197610</v>
      </c>
      <c r="BE247" s="16">
        <v>0</v>
      </c>
      <c r="BF247" s="16">
        <v>19760</v>
      </c>
      <c r="BG247" s="16">
        <v>0</v>
      </c>
      <c r="BH247" s="16">
        <v>143560</v>
      </c>
      <c r="BI247" s="16">
        <v>194890</v>
      </c>
      <c r="BJ247" s="16">
        <v>25361</v>
      </c>
      <c r="BK247" s="16">
        <v>13500</v>
      </c>
      <c r="BL247" s="16">
        <v>0</v>
      </c>
      <c r="BM247" s="16">
        <v>0</v>
      </c>
      <c r="BN247" s="16">
        <v>0</v>
      </c>
      <c r="BO247" s="16">
        <v>0</v>
      </c>
      <c r="BP247" s="16">
        <v>0</v>
      </c>
      <c r="BQ247" s="16">
        <v>0</v>
      </c>
      <c r="BR247" s="16">
        <v>0</v>
      </c>
      <c r="BS247" s="16">
        <v>0</v>
      </c>
      <c r="BT247" s="16">
        <v>0</v>
      </c>
      <c r="BU247" s="16">
        <v>0</v>
      </c>
      <c r="BV247" s="16">
        <v>0</v>
      </c>
      <c r="BW247" s="16">
        <v>0</v>
      </c>
    </row>
    <row r="248" spans="1:75" ht="18" hidden="1" customHeight="1" outlineLevel="1">
      <c r="Q248" s="5">
        <v>2017</v>
      </c>
      <c r="R248" s="5">
        <v>11</v>
      </c>
      <c r="S248" s="14" t="s">
        <v>54</v>
      </c>
      <c r="T248" s="15">
        <f t="shared" si="156"/>
        <v>3407059</v>
      </c>
      <c r="U248" s="15">
        <f t="shared" si="157"/>
        <v>4001740</v>
      </c>
      <c r="V248" s="16">
        <v>2695000</v>
      </c>
      <c r="W248" s="16">
        <v>1006740</v>
      </c>
      <c r="X248" s="16">
        <v>0</v>
      </c>
      <c r="Y248" s="16">
        <v>0</v>
      </c>
      <c r="Z248" s="16">
        <v>0</v>
      </c>
      <c r="AA248" s="16">
        <v>0</v>
      </c>
      <c r="AB248" s="16">
        <v>0</v>
      </c>
      <c r="AC248" s="16">
        <v>0</v>
      </c>
      <c r="AD248" s="16">
        <v>0</v>
      </c>
      <c r="AE248" s="16">
        <v>0</v>
      </c>
      <c r="AF248" s="16">
        <v>50000</v>
      </c>
      <c r="AG248" s="16">
        <v>0</v>
      </c>
      <c r="AH248" s="16">
        <v>0</v>
      </c>
      <c r="AI248" s="16">
        <v>200000</v>
      </c>
      <c r="AJ248" s="16">
        <v>0</v>
      </c>
      <c r="AK248" s="16">
        <v>0</v>
      </c>
      <c r="AL248" s="16">
        <v>50000</v>
      </c>
      <c r="AM248" s="16">
        <v>0</v>
      </c>
      <c r="AN248" s="16">
        <v>0</v>
      </c>
      <c r="AO248" s="16">
        <v>0</v>
      </c>
      <c r="AP248" s="16">
        <v>0</v>
      </c>
      <c r="AQ248" s="16">
        <v>0</v>
      </c>
      <c r="AR248" s="16">
        <v>0</v>
      </c>
      <c r="AS248" s="16">
        <v>0</v>
      </c>
      <c r="AT248" s="16">
        <v>0</v>
      </c>
      <c r="AU248" s="16">
        <v>0</v>
      </c>
      <c r="AV248" s="16">
        <v>0</v>
      </c>
      <c r="AW248" s="16">
        <v>0</v>
      </c>
      <c r="AX248" s="16">
        <v>0</v>
      </c>
      <c r="AY248" s="16">
        <v>0</v>
      </c>
      <c r="AZ248" s="16">
        <v>0</v>
      </c>
      <c r="BA248" s="16"/>
      <c r="BB248" s="15">
        <f t="shared" si="158"/>
        <v>594681</v>
      </c>
      <c r="BC248" s="16">
        <v>0</v>
      </c>
      <c r="BD248" s="16">
        <v>197610</v>
      </c>
      <c r="BE248" s="16">
        <v>0</v>
      </c>
      <c r="BF248" s="16">
        <v>19760</v>
      </c>
      <c r="BG248" s="16">
        <v>0</v>
      </c>
      <c r="BH248" s="16">
        <v>143560</v>
      </c>
      <c r="BI248" s="16">
        <v>194890</v>
      </c>
      <c r="BJ248" s="16">
        <v>25361</v>
      </c>
      <c r="BK248" s="16">
        <v>13500</v>
      </c>
      <c r="BL248" s="16">
        <v>0</v>
      </c>
      <c r="BM248" s="16">
        <v>0</v>
      </c>
      <c r="BN248" s="16">
        <v>0</v>
      </c>
      <c r="BO248" s="16">
        <v>0</v>
      </c>
      <c r="BP248" s="16">
        <v>0</v>
      </c>
      <c r="BQ248" s="16">
        <v>0</v>
      </c>
      <c r="BR248" s="16">
        <v>0</v>
      </c>
      <c r="BS248" s="16">
        <v>0</v>
      </c>
      <c r="BT248" s="16">
        <v>0</v>
      </c>
      <c r="BU248" s="16">
        <v>0</v>
      </c>
      <c r="BV248" s="16">
        <v>0</v>
      </c>
      <c r="BW248" s="16">
        <v>0</v>
      </c>
    </row>
    <row r="249" spans="1:75" ht="18" hidden="1" customHeight="1" outlineLevel="1">
      <c r="Q249" s="5">
        <v>2017</v>
      </c>
      <c r="R249" s="5">
        <v>10</v>
      </c>
      <c r="S249" s="14" t="s">
        <v>54</v>
      </c>
      <c r="T249" s="15">
        <f t="shared" si="156"/>
        <v>3384514</v>
      </c>
      <c r="U249" s="15">
        <f t="shared" si="157"/>
        <v>4151740</v>
      </c>
      <c r="V249" s="16">
        <v>2695000</v>
      </c>
      <c r="W249" s="16">
        <v>1006740</v>
      </c>
      <c r="X249" s="16">
        <v>0</v>
      </c>
      <c r="Y249" s="16">
        <v>0</v>
      </c>
      <c r="Z249" s="16">
        <v>0</v>
      </c>
      <c r="AA249" s="16">
        <v>0</v>
      </c>
      <c r="AB249" s="16">
        <v>0</v>
      </c>
      <c r="AC249" s="16">
        <v>0</v>
      </c>
      <c r="AD249" s="16">
        <v>0</v>
      </c>
      <c r="AE249" s="16">
        <v>0</v>
      </c>
      <c r="AF249" s="16">
        <v>50000</v>
      </c>
      <c r="AG249" s="16">
        <v>0</v>
      </c>
      <c r="AH249" s="16">
        <v>0</v>
      </c>
      <c r="AI249" s="16">
        <v>200000</v>
      </c>
      <c r="AJ249" s="16">
        <v>150000</v>
      </c>
      <c r="AK249" s="16">
        <v>0</v>
      </c>
      <c r="AL249" s="16">
        <v>50000</v>
      </c>
      <c r="AM249" s="16">
        <v>0</v>
      </c>
      <c r="AN249" s="16">
        <v>0</v>
      </c>
      <c r="AO249" s="16">
        <v>0</v>
      </c>
      <c r="AP249" s="16">
        <v>0</v>
      </c>
      <c r="AQ249" s="16">
        <v>0</v>
      </c>
      <c r="AR249" s="16">
        <v>0</v>
      </c>
      <c r="AS249" s="16">
        <v>0</v>
      </c>
      <c r="AT249" s="16">
        <v>0</v>
      </c>
      <c r="AU249" s="16">
        <v>0</v>
      </c>
      <c r="AV249" s="16">
        <v>0</v>
      </c>
      <c r="AW249" s="16">
        <v>0</v>
      </c>
      <c r="AX249" s="16">
        <v>0</v>
      </c>
      <c r="AY249" s="16">
        <v>0</v>
      </c>
      <c r="AZ249" s="16">
        <v>0</v>
      </c>
      <c r="BA249" s="16"/>
      <c r="BB249" s="15">
        <f t="shared" si="158"/>
        <v>767226</v>
      </c>
      <c r="BC249" s="16">
        <v>0</v>
      </c>
      <c r="BD249" s="16">
        <v>216770</v>
      </c>
      <c r="BE249" s="16">
        <v>0</v>
      </c>
      <c r="BF249" s="16">
        <v>21670</v>
      </c>
      <c r="BG249" s="16">
        <v>0</v>
      </c>
      <c r="BH249" s="16">
        <v>143560</v>
      </c>
      <c r="BI249" s="16">
        <v>194890</v>
      </c>
      <c r="BJ249" s="16">
        <v>26336</v>
      </c>
      <c r="BK249" s="16">
        <v>13500</v>
      </c>
      <c r="BL249" s="16">
        <v>0</v>
      </c>
      <c r="BM249" s="16">
        <v>150000</v>
      </c>
      <c r="BN249" s="16">
        <v>0</v>
      </c>
      <c r="BO249" s="16">
        <v>0</v>
      </c>
      <c r="BP249" s="16">
        <v>500</v>
      </c>
      <c r="BQ249" s="16">
        <v>0</v>
      </c>
      <c r="BR249" s="16">
        <v>0</v>
      </c>
      <c r="BS249" s="16">
        <v>0</v>
      </c>
      <c r="BT249" s="16">
        <v>0</v>
      </c>
      <c r="BU249" s="16">
        <v>0</v>
      </c>
      <c r="BV249" s="16">
        <v>0</v>
      </c>
      <c r="BW249" s="16">
        <v>0</v>
      </c>
    </row>
    <row r="250" spans="1:75" ht="18" hidden="1" customHeight="1" outlineLevel="1">
      <c r="Q250" s="5">
        <v>2017</v>
      </c>
      <c r="R250" s="5">
        <v>9</v>
      </c>
      <c r="S250" s="14" t="s">
        <v>54</v>
      </c>
      <c r="T250" s="15">
        <f t="shared" si="156"/>
        <v>3366194</v>
      </c>
      <c r="U250" s="15">
        <f t="shared" si="157"/>
        <v>3951740</v>
      </c>
      <c r="V250" s="16">
        <v>2695000</v>
      </c>
      <c r="W250" s="16">
        <v>1006740</v>
      </c>
      <c r="X250" s="16">
        <v>0</v>
      </c>
      <c r="Y250" s="16">
        <v>0</v>
      </c>
      <c r="Z250" s="16">
        <v>0</v>
      </c>
      <c r="AA250" s="16">
        <v>0</v>
      </c>
      <c r="AB250" s="16">
        <v>0</v>
      </c>
      <c r="AC250" s="16">
        <v>0</v>
      </c>
      <c r="AD250" s="16">
        <v>0</v>
      </c>
      <c r="AE250" s="16">
        <v>0</v>
      </c>
      <c r="AF250" s="16">
        <v>0</v>
      </c>
      <c r="AG250" s="16">
        <v>0</v>
      </c>
      <c r="AH250" s="16">
        <v>0</v>
      </c>
      <c r="AI250" s="16">
        <v>200000</v>
      </c>
      <c r="AJ250" s="16">
        <v>0</v>
      </c>
      <c r="AK250" s="16">
        <v>0</v>
      </c>
      <c r="AL250" s="16">
        <v>50000</v>
      </c>
      <c r="AM250" s="16">
        <v>0</v>
      </c>
      <c r="AN250" s="16">
        <v>0</v>
      </c>
      <c r="AO250" s="16">
        <v>0</v>
      </c>
      <c r="AP250" s="16">
        <v>0</v>
      </c>
      <c r="AQ250" s="16">
        <v>0</v>
      </c>
      <c r="AR250" s="16">
        <v>0</v>
      </c>
      <c r="AS250" s="16">
        <v>0</v>
      </c>
      <c r="AT250" s="16">
        <v>0</v>
      </c>
      <c r="AU250" s="16">
        <v>0</v>
      </c>
      <c r="AV250" s="16">
        <v>0</v>
      </c>
      <c r="AW250" s="16">
        <v>0</v>
      </c>
      <c r="AX250" s="16">
        <v>0</v>
      </c>
      <c r="AY250" s="16">
        <v>0</v>
      </c>
      <c r="AZ250" s="16">
        <v>0</v>
      </c>
      <c r="BA250" s="16"/>
      <c r="BB250" s="15">
        <f t="shared" si="158"/>
        <v>585546</v>
      </c>
      <c r="BC250" s="16">
        <v>0</v>
      </c>
      <c r="BD250" s="16">
        <v>189600</v>
      </c>
      <c r="BE250" s="16">
        <v>0</v>
      </c>
      <c r="BF250" s="16">
        <v>18960</v>
      </c>
      <c r="BG250" s="16">
        <v>0</v>
      </c>
      <c r="BH250" s="16">
        <v>143560</v>
      </c>
      <c r="BI250" s="16">
        <v>194890</v>
      </c>
      <c r="BJ250" s="16">
        <v>25036</v>
      </c>
      <c r="BK250" s="16">
        <v>13500</v>
      </c>
      <c r="BL250" s="16">
        <v>0</v>
      </c>
      <c r="BM250" s="16">
        <v>0</v>
      </c>
      <c r="BN250" s="16">
        <v>0</v>
      </c>
      <c r="BO250" s="16">
        <v>0</v>
      </c>
      <c r="BP250" s="16">
        <v>0</v>
      </c>
      <c r="BQ250" s="16">
        <v>0</v>
      </c>
      <c r="BR250" s="16">
        <v>0</v>
      </c>
      <c r="BS250" s="16">
        <v>0</v>
      </c>
      <c r="BT250" s="16">
        <v>0</v>
      </c>
      <c r="BU250" s="16">
        <v>0</v>
      </c>
      <c r="BV250" s="16">
        <v>0</v>
      </c>
      <c r="BW250" s="16">
        <v>0</v>
      </c>
    </row>
    <row r="251" spans="1:75" ht="18" hidden="1" customHeight="1" outlineLevel="1">
      <c r="Q251" s="5">
        <v>2017</v>
      </c>
      <c r="R251" s="5">
        <v>8</v>
      </c>
      <c r="S251" s="14" t="s">
        <v>54</v>
      </c>
      <c r="T251" s="15">
        <f t="shared" si="156"/>
        <v>3383134</v>
      </c>
      <c r="U251" s="15">
        <f t="shared" si="157"/>
        <v>3971740</v>
      </c>
      <c r="V251" s="16">
        <v>2695000</v>
      </c>
      <c r="W251" s="16">
        <v>1006740</v>
      </c>
      <c r="X251" s="16">
        <v>0</v>
      </c>
      <c r="Y251" s="16">
        <v>0</v>
      </c>
      <c r="Z251" s="16">
        <v>0</v>
      </c>
      <c r="AA251" s="16">
        <v>0</v>
      </c>
      <c r="AB251" s="16">
        <v>0</v>
      </c>
      <c r="AC251" s="16">
        <v>0</v>
      </c>
      <c r="AD251" s="16">
        <v>0</v>
      </c>
      <c r="AE251" s="16">
        <v>0</v>
      </c>
      <c r="AF251" s="16">
        <v>0</v>
      </c>
      <c r="AG251" s="16">
        <v>0</v>
      </c>
      <c r="AH251" s="16">
        <v>0</v>
      </c>
      <c r="AI251" s="16">
        <v>200000</v>
      </c>
      <c r="AJ251" s="16">
        <v>0</v>
      </c>
      <c r="AK251" s="16">
        <v>0</v>
      </c>
      <c r="AL251" s="16">
        <v>50000</v>
      </c>
      <c r="AM251" s="16">
        <v>0</v>
      </c>
      <c r="AN251" s="16">
        <v>0</v>
      </c>
      <c r="AO251" s="16">
        <v>0</v>
      </c>
      <c r="AP251" s="16">
        <v>0</v>
      </c>
      <c r="AQ251" s="16">
        <v>20000</v>
      </c>
      <c r="AR251" s="16">
        <v>0</v>
      </c>
      <c r="AS251" s="16">
        <v>0</v>
      </c>
      <c r="AT251" s="16">
        <v>0</v>
      </c>
      <c r="AU251" s="16">
        <v>0</v>
      </c>
      <c r="AV251" s="16">
        <v>0</v>
      </c>
      <c r="AW251" s="16">
        <v>0</v>
      </c>
      <c r="AX251" s="16">
        <v>0</v>
      </c>
      <c r="AY251" s="16">
        <v>0</v>
      </c>
      <c r="AZ251" s="16">
        <v>0</v>
      </c>
      <c r="BA251" s="16"/>
      <c r="BB251" s="15">
        <f t="shared" si="158"/>
        <v>588606</v>
      </c>
      <c r="BC251" s="16">
        <v>0</v>
      </c>
      <c r="BD251" s="16">
        <v>192270</v>
      </c>
      <c r="BE251" s="16">
        <v>0</v>
      </c>
      <c r="BF251" s="16">
        <v>19220</v>
      </c>
      <c r="BG251" s="16">
        <v>0</v>
      </c>
      <c r="BH251" s="16">
        <v>143560</v>
      </c>
      <c r="BI251" s="16">
        <v>194890</v>
      </c>
      <c r="BJ251" s="16">
        <v>25166</v>
      </c>
      <c r="BK251" s="16">
        <v>13500</v>
      </c>
      <c r="BL251" s="16">
        <v>0</v>
      </c>
      <c r="BM251" s="16">
        <v>0</v>
      </c>
      <c r="BN251" s="16">
        <v>0</v>
      </c>
      <c r="BO251" s="16">
        <v>0</v>
      </c>
      <c r="BP251" s="16">
        <v>0</v>
      </c>
      <c r="BQ251" s="16">
        <v>0</v>
      </c>
      <c r="BR251" s="16">
        <v>0</v>
      </c>
      <c r="BS251" s="16">
        <v>0</v>
      </c>
      <c r="BT251" s="16">
        <v>0</v>
      </c>
      <c r="BU251" s="16">
        <v>0</v>
      </c>
      <c r="BV251" s="16">
        <v>0</v>
      </c>
      <c r="BW251" s="16">
        <v>0</v>
      </c>
    </row>
    <row r="252" spans="1:75" ht="18" hidden="1" customHeight="1" outlineLevel="1">
      <c r="Q252" s="5">
        <v>2017</v>
      </c>
      <c r="R252" s="5">
        <v>7</v>
      </c>
      <c r="S252" s="14" t="s">
        <v>54</v>
      </c>
      <c r="T252" s="15">
        <f t="shared" si="156"/>
        <v>3618444</v>
      </c>
      <c r="U252" s="15">
        <f t="shared" si="157"/>
        <v>4251740</v>
      </c>
      <c r="V252" s="16">
        <v>2695000</v>
      </c>
      <c r="W252" s="16">
        <v>1006740</v>
      </c>
      <c r="X252" s="16">
        <v>0</v>
      </c>
      <c r="Y252" s="16">
        <v>0</v>
      </c>
      <c r="Z252" s="16">
        <v>0</v>
      </c>
      <c r="AA252" s="16">
        <v>0</v>
      </c>
      <c r="AB252" s="16">
        <v>0</v>
      </c>
      <c r="AC252" s="16">
        <v>0</v>
      </c>
      <c r="AD252" s="16">
        <v>0</v>
      </c>
      <c r="AE252" s="16">
        <v>0</v>
      </c>
      <c r="AF252" s="16">
        <v>0</v>
      </c>
      <c r="AG252" s="16">
        <v>0</v>
      </c>
      <c r="AH252" s="16">
        <v>0</v>
      </c>
      <c r="AI252" s="16">
        <v>200000</v>
      </c>
      <c r="AJ252" s="16">
        <v>0</v>
      </c>
      <c r="AK252" s="16">
        <v>300000</v>
      </c>
      <c r="AL252" s="16">
        <v>50000</v>
      </c>
      <c r="AM252" s="16">
        <v>0</v>
      </c>
      <c r="AN252" s="16">
        <v>0</v>
      </c>
      <c r="AO252" s="16">
        <v>0</v>
      </c>
      <c r="AP252" s="16">
        <v>0</v>
      </c>
      <c r="AQ252" s="16">
        <v>0</v>
      </c>
      <c r="AR252" s="16">
        <v>0</v>
      </c>
      <c r="AS252" s="16">
        <v>0</v>
      </c>
      <c r="AT252" s="16">
        <v>0</v>
      </c>
      <c r="AU252" s="16">
        <v>0</v>
      </c>
      <c r="AV252" s="16">
        <v>0</v>
      </c>
      <c r="AW252" s="16">
        <v>0</v>
      </c>
      <c r="AX252" s="16">
        <v>0</v>
      </c>
      <c r="AY252" s="16">
        <v>0</v>
      </c>
      <c r="AZ252" s="16">
        <v>0</v>
      </c>
      <c r="BA252" s="16"/>
      <c r="BB252" s="15">
        <f t="shared" si="158"/>
        <v>633296</v>
      </c>
      <c r="BC252" s="16">
        <v>0</v>
      </c>
      <c r="BD252" s="16">
        <v>230790</v>
      </c>
      <c r="BE252" s="16"/>
      <c r="BF252" s="16">
        <v>23070</v>
      </c>
      <c r="BG252" s="16"/>
      <c r="BH252" s="16">
        <v>143560</v>
      </c>
      <c r="BI252" s="16">
        <v>194890</v>
      </c>
      <c r="BJ252" s="16">
        <v>26986</v>
      </c>
      <c r="BK252" s="16">
        <v>13500</v>
      </c>
      <c r="BL252" s="16">
        <v>0</v>
      </c>
      <c r="BM252" s="16">
        <v>0</v>
      </c>
      <c r="BN252" s="16">
        <v>0</v>
      </c>
      <c r="BO252" s="16">
        <v>0</v>
      </c>
      <c r="BP252" s="16">
        <v>500</v>
      </c>
      <c r="BQ252" s="16">
        <v>0</v>
      </c>
      <c r="BR252" s="16">
        <v>0</v>
      </c>
      <c r="BS252" s="16"/>
      <c r="BT252" s="16"/>
      <c r="BU252" s="16"/>
      <c r="BV252" s="16"/>
      <c r="BW252" s="16"/>
    </row>
    <row r="253" spans="1:75" ht="18" hidden="1" customHeight="1" outlineLevel="1">
      <c r="Q253" s="5">
        <v>2017</v>
      </c>
      <c r="R253" s="5">
        <v>6</v>
      </c>
      <c r="S253" s="14" t="s">
        <v>54</v>
      </c>
      <c r="T253" s="15">
        <f t="shared" si="156"/>
        <v>3365784</v>
      </c>
      <c r="U253" s="15">
        <f t="shared" si="157"/>
        <v>3951740</v>
      </c>
      <c r="V253" s="16">
        <v>2695000</v>
      </c>
      <c r="W253" s="16">
        <v>1006740</v>
      </c>
      <c r="X253" s="16">
        <v>0</v>
      </c>
      <c r="Y253" s="16">
        <v>0</v>
      </c>
      <c r="Z253" s="16">
        <v>0</v>
      </c>
      <c r="AA253" s="16">
        <v>0</v>
      </c>
      <c r="AB253" s="16">
        <v>0</v>
      </c>
      <c r="AC253" s="16">
        <v>0</v>
      </c>
      <c r="AD253" s="16">
        <v>0</v>
      </c>
      <c r="AE253" s="16">
        <v>0</v>
      </c>
      <c r="AF253" s="16">
        <v>0</v>
      </c>
      <c r="AG253" s="16">
        <v>0</v>
      </c>
      <c r="AH253" s="16">
        <v>0</v>
      </c>
      <c r="AI253" s="16">
        <v>200000</v>
      </c>
      <c r="AJ253" s="16">
        <v>0</v>
      </c>
      <c r="AK253" s="16">
        <v>0</v>
      </c>
      <c r="AL253" s="16">
        <v>50000</v>
      </c>
      <c r="AM253" s="16">
        <v>0</v>
      </c>
      <c r="AN253" s="16">
        <v>0</v>
      </c>
      <c r="AO253" s="16">
        <v>0</v>
      </c>
      <c r="AP253" s="16">
        <v>0</v>
      </c>
      <c r="AQ253" s="16">
        <v>0</v>
      </c>
      <c r="AR253" s="16">
        <v>0</v>
      </c>
      <c r="AS253" s="16">
        <v>0</v>
      </c>
      <c r="AT253" s="16">
        <v>0</v>
      </c>
      <c r="AU253" s="16">
        <v>0</v>
      </c>
      <c r="AV253" s="16">
        <v>0</v>
      </c>
      <c r="AW253" s="16">
        <v>0</v>
      </c>
      <c r="AX253" s="16">
        <v>0</v>
      </c>
      <c r="AY253" s="16">
        <v>0</v>
      </c>
      <c r="AZ253" s="16">
        <v>0</v>
      </c>
      <c r="BA253" s="16"/>
      <c r="BB253" s="15">
        <f t="shared" si="158"/>
        <v>585956</v>
      </c>
      <c r="BC253" s="16">
        <v>0</v>
      </c>
      <c r="BD253" s="16">
        <v>189600</v>
      </c>
      <c r="BE253" s="16">
        <v>0</v>
      </c>
      <c r="BF253" s="16">
        <v>18960</v>
      </c>
      <c r="BG253" s="16">
        <v>0</v>
      </c>
      <c r="BH253" s="16">
        <v>143560</v>
      </c>
      <c r="BI253" s="16">
        <v>195300</v>
      </c>
      <c r="BJ253" s="16">
        <v>25036</v>
      </c>
      <c r="BK253" s="16">
        <v>13500</v>
      </c>
      <c r="BL253" s="16">
        <v>0</v>
      </c>
      <c r="BM253" s="16">
        <v>0</v>
      </c>
      <c r="BN253" s="16">
        <v>0</v>
      </c>
      <c r="BO253" s="16">
        <v>0</v>
      </c>
      <c r="BP253" s="16">
        <v>0</v>
      </c>
      <c r="BQ253" s="16">
        <v>0</v>
      </c>
      <c r="BR253" s="16">
        <v>0</v>
      </c>
      <c r="BS253" s="16">
        <v>0</v>
      </c>
      <c r="BT253" s="16">
        <v>0</v>
      </c>
      <c r="BU253" s="16">
        <v>0</v>
      </c>
      <c r="BV253" s="16">
        <v>0</v>
      </c>
      <c r="BW253" s="16">
        <v>0</v>
      </c>
    </row>
    <row r="254" spans="1:75" ht="18" hidden="1" customHeight="1" outlineLevel="1">
      <c r="Q254" s="5">
        <v>2017</v>
      </c>
      <c r="R254" s="5">
        <v>5</v>
      </c>
      <c r="S254" s="14" t="s">
        <v>54</v>
      </c>
      <c r="T254" s="15">
        <f t="shared" si="156"/>
        <v>4171074</v>
      </c>
      <c r="U254" s="15">
        <f t="shared" si="157"/>
        <v>5151740</v>
      </c>
      <c r="V254" s="16">
        <v>2695000</v>
      </c>
      <c r="W254" s="16">
        <v>1006740</v>
      </c>
      <c r="X254" s="16">
        <v>0</v>
      </c>
      <c r="Y254" s="16">
        <v>0</v>
      </c>
      <c r="Z254" s="16">
        <v>0</v>
      </c>
      <c r="AA254" s="16">
        <v>0</v>
      </c>
      <c r="AB254" s="16">
        <v>0</v>
      </c>
      <c r="AC254" s="16">
        <v>0</v>
      </c>
      <c r="AD254" s="16">
        <v>0</v>
      </c>
      <c r="AE254" s="16">
        <v>1000000</v>
      </c>
      <c r="AF254" s="16">
        <v>0</v>
      </c>
      <c r="AG254" s="16">
        <v>0</v>
      </c>
      <c r="AH254" s="16">
        <v>0</v>
      </c>
      <c r="AI254" s="16">
        <v>200000</v>
      </c>
      <c r="AJ254" s="16">
        <v>200000</v>
      </c>
      <c r="AK254" s="16">
        <v>0</v>
      </c>
      <c r="AL254" s="16">
        <v>50000</v>
      </c>
      <c r="AM254" s="16">
        <v>0</v>
      </c>
      <c r="AN254" s="16">
        <v>0</v>
      </c>
      <c r="AO254" s="16">
        <v>0</v>
      </c>
      <c r="AP254" s="16">
        <v>0</v>
      </c>
      <c r="AQ254" s="16">
        <v>0</v>
      </c>
      <c r="AR254" s="16">
        <v>0</v>
      </c>
      <c r="AS254" s="16">
        <v>0</v>
      </c>
      <c r="AT254" s="16">
        <v>0</v>
      </c>
      <c r="AU254" s="16">
        <v>0</v>
      </c>
      <c r="AV254" s="16">
        <v>0</v>
      </c>
      <c r="AW254" s="16">
        <v>0</v>
      </c>
      <c r="AX254" s="16">
        <v>0</v>
      </c>
      <c r="AY254" s="16">
        <v>0</v>
      </c>
      <c r="AZ254" s="16">
        <v>0</v>
      </c>
      <c r="BA254" s="16"/>
      <c r="BB254" s="15">
        <f t="shared" si="158"/>
        <v>980666</v>
      </c>
      <c r="BC254" s="16">
        <v>0</v>
      </c>
      <c r="BD254" s="16">
        <v>359520</v>
      </c>
      <c r="BE254" s="16">
        <v>0</v>
      </c>
      <c r="BF254" s="16">
        <v>35950</v>
      </c>
      <c r="BG254" s="16">
        <v>0</v>
      </c>
      <c r="BH254" s="16">
        <v>143560</v>
      </c>
      <c r="BI254" s="16">
        <v>195300</v>
      </c>
      <c r="BJ254" s="16">
        <v>32836</v>
      </c>
      <c r="BK254" s="16">
        <v>13500</v>
      </c>
      <c r="BL254" s="16">
        <v>0</v>
      </c>
      <c r="BM254" s="16">
        <v>200000</v>
      </c>
      <c r="BN254" s="16">
        <v>0</v>
      </c>
      <c r="BO254" s="16">
        <v>0</v>
      </c>
      <c r="BP254" s="16">
        <v>0</v>
      </c>
      <c r="BQ254" s="16">
        <v>0</v>
      </c>
      <c r="BR254" s="16">
        <v>0</v>
      </c>
      <c r="BS254" s="16">
        <v>0</v>
      </c>
      <c r="BT254" s="16">
        <v>0</v>
      </c>
      <c r="BU254" s="16">
        <v>0</v>
      </c>
      <c r="BV254" s="16">
        <v>0</v>
      </c>
      <c r="BW254" s="16">
        <v>0</v>
      </c>
    </row>
    <row r="255" spans="1:75" ht="18" hidden="1" customHeight="1" outlineLevel="1">
      <c r="Q255" s="5">
        <v>2017</v>
      </c>
      <c r="R255" s="5">
        <v>4</v>
      </c>
      <c r="S255" s="5" t="s">
        <v>28</v>
      </c>
      <c r="T255" s="15">
        <f t="shared" si="156"/>
        <v>5433429</v>
      </c>
      <c r="U255" s="15">
        <f t="shared" si="157"/>
        <v>6481005</v>
      </c>
      <c r="V255" s="16">
        <v>0</v>
      </c>
      <c r="W255" s="16">
        <v>0</v>
      </c>
      <c r="X255" s="16">
        <v>0</v>
      </c>
      <c r="Y255" s="16">
        <v>0</v>
      </c>
      <c r="Z255" s="16">
        <v>0</v>
      </c>
      <c r="AA255" s="16">
        <v>0</v>
      </c>
      <c r="AB255" s="16">
        <v>0</v>
      </c>
      <c r="AC255" s="16">
        <v>0</v>
      </c>
      <c r="AD255" s="16">
        <v>6481005</v>
      </c>
      <c r="AE255" s="16">
        <v>0</v>
      </c>
      <c r="AF255" s="16">
        <v>0</v>
      </c>
      <c r="AG255" s="16">
        <v>0</v>
      </c>
      <c r="AH255" s="16">
        <v>0</v>
      </c>
      <c r="AI255" s="16">
        <v>0</v>
      </c>
      <c r="AJ255" s="16">
        <v>0</v>
      </c>
      <c r="AK255" s="16">
        <v>0</v>
      </c>
      <c r="AL255" s="16">
        <v>0</v>
      </c>
      <c r="AM255" s="16">
        <v>0</v>
      </c>
      <c r="AN255" s="16">
        <v>0</v>
      </c>
      <c r="AO255" s="16">
        <v>0</v>
      </c>
      <c r="AP255" s="16">
        <v>0</v>
      </c>
      <c r="AQ255" s="16">
        <v>0</v>
      </c>
      <c r="AR255" s="16">
        <v>0</v>
      </c>
      <c r="AS255" s="16">
        <v>0</v>
      </c>
      <c r="AT255" s="16">
        <v>0</v>
      </c>
      <c r="AU255" s="16">
        <v>0</v>
      </c>
      <c r="AV255" s="16">
        <v>0</v>
      </c>
      <c r="AW255" s="16">
        <v>0</v>
      </c>
      <c r="AX255" s="16">
        <v>0</v>
      </c>
      <c r="AY255" s="16">
        <v>0</v>
      </c>
      <c r="AZ255" s="16">
        <v>0</v>
      </c>
      <c r="BA255" s="16"/>
      <c r="BB255" s="15">
        <f t="shared" si="158"/>
        <v>1047576</v>
      </c>
      <c r="BC255" s="16">
        <v>0</v>
      </c>
      <c r="BD255" s="16">
        <v>914050</v>
      </c>
      <c r="BE255" s="16">
        <v>0</v>
      </c>
      <c r="BF255" s="16">
        <v>91400</v>
      </c>
      <c r="BG255" s="16">
        <v>0</v>
      </c>
      <c r="BH255" s="16">
        <v>0</v>
      </c>
      <c r="BI255" s="16">
        <v>0</v>
      </c>
      <c r="BJ255" s="16">
        <v>42126</v>
      </c>
      <c r="BK255" s="16">
        <v>0</v>
      </c>
      <c r="BL255" s="16">
        <v>0</v>
      </c>
      <c r="BM255" s="16">
        <v>0</v>
      </c>
      <c r="BN255" s="16">
        <v>0</v>
      </c>
      <c r="BO255" s="16">
        <v>0</v>
      </c>
      <c r="BP255" s="16">
        <v>0</v>
      </c>
      <c r="BQ255" s="16">
        <v>0</v>
      </c>
      <c r="BR255" s="16">
        <v>0</v>
      </c>
      <c r="BS255" s="16">
        <v>0</v>
      </c>
      <c r="BT255" s="16">
        <v>0</v>
      </c>
      <c r="BU255" s="16">
        <v>0</v>
      </c>
      <c r="BV255" s="16">
        <v>0</v>
      </c>
      <c r="BW255" s="16">
        <v>0</v>
      </c>
    </row>
    <row r="256" spans="1:75" ht="18" hidden="1" customHeight="1" outlineLevel="1">
      <c r="Q256" s="5">
        <v>2017</v>
      </c>
      <c r="R256" s="5">
        <v>4</v>
      </c>
      <c r="S256" s="14" t="s">
        <v>54</v>
      </c>
      <c r="T256" s="15">
        <f t="shared" si="156"/>
        <v>3353194</v>
      </c>
      <c r="U256" s="15">
        <f t="shared" si="157"/>
        <v>3951740</v>
      </c>
      <c r="V256" s="16">
        <v>2695000</v>
      </c>
      <c r="W256" s="16">
        <v>1006740</v>
      </c>
      <c r="X256" s="16">
        <v>0</v>
      </c>
      <c r="Y256" s="16">
        <v>0</v>
      </c>
      <c r="Z256" s="16">
        <v>0</v>
      </c>
      <c r="AA256" s="16">
        <v>0</v>
      </c>
      <c r="AB256" s="16">
        <v>0</v>
      </c>
      <c r="AC256" s="16">
        <v>0</v>
      </c>
      <c r="AD256" s="16">
        <v>0</v>
      </c>
      <c r="AE256" s="16">
        <v>0</v>
      </c>
      <c r="AF256" s="16">
        <v>0</v>
      </c>
      <c r="AG256" s="16">
        <v>0</v>
      </c>
      <c r="AH256" s="16">
        <v>0</v>
      </c>
      <c r="AI256" s="16">
        <v>200000</v>
      </c>
      <c r="AJ256" s="16">
        <v>0</v>
      </c>
      <c r="AK256" s="16">
        <v>0</v>
      </c>
      <c r="AL256" s="16">
        <v>50000</v>
      </c>
      <c r="AM256" s="16">
        <v>0</v>
      </c>
      <c r="AN256" s="16">
        <v>0</v>
      </c>
      <c r="AO256" s="16">
        <v>0</v>
      </c>
      <c r="AP256" s="16">
        <v>0</v>
      </c>
      <c r="AQ256" s="16">
        <v>0</v>
      </c>
      <c r="AR256" s="16">
        <v>0</v>
      </c>
      <c r="AS256" s="16">
        <v>0</v>
      </c>
      <c r="AT256" s="16">
        <v>0</v>
      </c>
      <c r="AU256" s="16">
        <v>0</v>
      </c>
      <c r="AV256" s="16">
        <v>0</v>
      </c>
      <c r="AW256" s="16">
        <v>0</v>
      </c>
      <c r="AX256" s="16">
        <v>0</v>
      </c>
      <c r="AY256" s="16">
        <v>0</v>
      </c>
      <c r="AZ256" s="16">
        <v>0</v>
      </c>
      <c r="BA256" s="16"/>
      <c r="BB256" s="15">
        <f t="shared" si="158"/>
        <v>598546</v>
      </c>
      <c r="BC256" s="16">
        <v>0</v>
      </c>
      <c r="BD256" s="16">
        <v>189600</v>
      </c>
      <c r="BE256" s="16">
        <v>0</v>
      </c>
      <c r="BF256" s="16">
        <v>18960</v>
      </c>
      <c r="BG256" s="16">
        <v>0</v>
      </c>
      <c r="BH256" s="16">
        <v>143560</v>
      </c>
      <c r="BI256" s="16">
        <v>195300</v>
      </c>
      <c r="BJ256" s="16">
        <v>25036</v>
      </c>
      <c r="BK256" s="16">
        <v>13500</v>
      </c>
      <c r="BL256" s="16">
        <v>0</v>
      </c>
      <c r="BM256" s="16">
        <v>0</v>
      </c>
      <c r="BN256" s="16">
        <v>0</v>
      </c>
      <c r="BO256" s="16">
        <v>12090</v>
      </c>
      <c r="BP256" s="16">
        <v>500</v>
      </c>
      <c r="BQ256" s="16">
        <v>0</v>
      </c>
      <c r="BR256" s="16">
        <v>0</v>
      </c>
      <c r="BS256" s="16">
        <v>0</v>
      </c>
      <c r="BT256" s="16">
        <v>0</v>
      </c>
      <c r="BU256" s="16">
        <v>0</v>
      </c>
      <c r="BV256" s="16">
        <v>0</v>
      </c>
      <c r="BW256" s="16">
        <v>0</v>
      </c>
    </row>
    <row r="257" spans="1:75" ht="18" hidden="1" customHeight="1" outlineLevel="1">
      <c r="Q257" s="5">
        <v>2017</v>
      </c>
      <c r="R257" s="5">
        <v>3</v>
      </c>
      <c r="S257" s="14" t="s">
        <v>54</v>
      </c>
      <c r="T257" s="15">
        <f t="shared" si="156"/>
        <v>3360564</v>
      </c>
      <c r="U257" s="15">
        <f t="shared" si="157"/>
        <v>3951740</v>
      </c>
      <c r="V257" s="16">
        <v>2695000</v>
      </c>
      <c r="W257" s="16">
        <v>1006740</v>
      </c>
      <c r="X257" s="16">
        <v>0</v>
      </c>
      <c r="Y257" s="16">
        <v>0</v>
      </c>
      <c r="Z257" s="16">
        <v>0</v>
      </c>
      <c r="AA257" s="16">
        <v>0</v>
      </c>
      <c r="AB257" s="16">
        <v>0</v>
      </c>
      <c r="AC257" s="16">
        <v>0</v>
      </c>
      <c r="AD257" s="16">
        <v>0</v>
      </c>
      <c r="AE257" s="16">
        <v>0</v>
      </c>
      <c r="AF257" s="16">
        <v>0</v>
      </c>
      <c r="AG257" s="16">
        <v>0</v>
      </c>
      <c r="AH257" s="16">
        <v>0</v>
      </c>
      <c r="AI257" s="16">
        <v>200000</v>
      </c>
      <c r="AJ257" s="16">
        <v>0</v>
      </c>
      <c r="AK257" s="16">
        <v>0</v>
      </c>
      <c r="AL257" s="16">
        <v>50000</v>
      </c>
      <c r="AM257" s="16">
        <v>0</v>
      </c>
      <c r="AN257" s="16">
        <v>0</v>
      </c>
      <c r="AO257" s="16">
        <v>0</v>
      </c>
      <c r="AP257" s="16">
        <v>0</v>
      </c>
      <c r="AQ257" s="16">
        <v>0</v>
      </c>
      <c r="AR257" s="16">
        <v>0</v>
      </c>
      <c r="AS257" s="16">
        <v>0</v>
      </c>
      <c r="AT257" s="16">
        <v>0</v>
      </c>
      <c r="AU257" s="16">
        <v>0</v>
      </c>
      <c r="AV257" s="16">
        <v>0</v>
      </c>
      <c r="AW257" s="16">
        <v>0</v>
      </c>
      <c r="AX257" s="16">
        <v>0</v>
      </c>
      <c r="AY257" s="16">
        <v>0</v>
      </c>
      <c r="AZ257" s="16">
        <v>0</v>
      </c>
      <c r="BA257" s="16"/>
      <c r="BB257" s="15">
        <f t="shared" si="158"/>
        <v>591176</v>
      </c>
      <c r="BC257" s="16">
        <v>0</v>
      </c>
      <c r="BD257" s="16">
        <v>189600</v>
      </c>
      <c r="BE257" s="16">
        <v>0</v>
      </c>
      <c r="BF257" s="16">
        <v>18960</v>
      </c>
      <c r="BG257" s="16">
        <v>0</v>
      </c>
      <c r="BH257" s="16">
        <v>148780</v>
      </c>
      <c r="BI257" s="16">
        <v>195300</v>
      </c>
      <c r="BJ257" s="16">
        <v>25036</v>
      </c>
      <c r="BK257" s="16">
        <v>13500</v>
      </c>
      <c r="BL257" s="16">
        <v>0</v>
      </c>
      <c r="BM257" s="16">
        <v>0</v>
      </c>
      <c r="BN257" s="16">
        <v>0</v>
      </c>
      <c r="BO257" s="16">
        <v>0</v>
      </c>
      <c r="BP257" s="16">
        <v>0</v>
      </c>
      <c r="BQ257" s="16">
        <v>0</v>
      </c>
      <c r="BR257" s="16">
        <v>0</v>
      </c>
      <c r="BS257" s="16">
        <v>0</v>
      </c>
      <c r="BT257" s="16">
        <v>0</v>
      </c>
      <c r="BU257" s="16">
        <v>0</v>
      </c>
      <c r="BV257" s="16">
        <v>0</v>
      </c>
      <c r="BW257" s="16">
        <v>0</v>
      </c>
    </row>
    <row r="258" spans="1:75" ht="18" hidden="1" customHeight="1" outlineLevel="1">
      <c r="Q258" s="5">
        <v>2017</v>
      </c>
      <c r="R258" s="5">
        <v>2</v>
      </c>
      <c r="S258" s="14" t="s">
        <v>54</v>
      </c>
      <c r="T258" s="15">
        <f t="shared" si="156"/>
        <v>4442074</v>
      </c>
      <c r="U258" s="15">
        <f t="shared" si="157"/>
        <v>4051740</v>
      </c>
      <c r="V258" s="16">
        <v>2695000</v>
      </c>
      <c r="W258" s="16">
        <v>1006740</v>
      </c>
      <c r="X258" s="16">
        <v>0</v>
      </c>
      <c r="Y258" s="16">
        <v>0</v>
      </c>
      <c r="Z258" s="16">
        <v>0</v>
      </c>
      <c r="AA258" s="16">
        <v>0</v>
      </c>
      <c r="AB258" s="16">
        <v>0</v>
      </c>
      <c r="AC258" s="16">
        <v>0</v>
      </c>
      <c r="AD258" s="16">
        <v>0</v>
      </c>
      <c r="AE258" s="16">
        <v>0</v>
      </c>
      <c r="AF258" s="16">
        <v>0</v>
      </c>
      <c r="AG258" s="16">
        <v>0</v>
      </c>
      <c r="AH258" s="16">
        <v>0</v>
      </c>
      <c r="AI258" s="16">
        <v>200000</v>
      </c>
      <c r="AJ258" s="16">
        <v>100000</v>
      </c>
      <c r="AK258" s="16">
        <v>0</v>
      </c>
      <c r="AL258" s="16">
        <v>50000</v>
      </c>
      <c r="AM258" s="16">
        <v>0</v>
      </c>
      <c r="AN258" s="16">
        <v>0</v>
      </c>
      <c r="AO258" s="16">
        <v>0</v>
      </c>
      <c r="AP258" s="16">
        <v>0</v>
      </c>
      <c r="AQ258" s="16">
        <v>0</v>
      </c>
      <c r="AR258" s="16">
        <v>0</v>
      </c>
      <c r="AS258" s="16">
        <v>0</v>
      </c>
      <c r="AT258" s="16">
        <v>0</v>
      </c>
      <c r="AU258" s="16">
        <v>0</v>
      </c>
      <c r="AV258" s="16">
        <v>0</v>
      </c>
      <c r="AW258" s="16">
        <v>0</v>
      </c>
      <c r="AX258" s="16">
        <v>0</v>
      </c>
      <c r="AY258" s="16">
        <v>0</v>
      </c>
      <c r="AZ258" s="16">
        <v>0</v>
      </c>
      <c r="BA258" s="16"/>
      <c r="BB258" s="15">
        <f t="shared" si="158"/>
        <v>-390334</v>
      </c>
      <c r="BC258" s="16">
        <v>-1100880</v>
      </c>
      <c r="BD258" s="16">
        <v>202950</v>
      </c>
      <c r="BE258" s="16">
        <v>0</v>
      </c>
      <c r="BF258" s="16">
        <v>20290</v>
      </c>
      <c r="BG258" s="16">
        <v>0</v>
      </c>
      <c r="BH258" s="16">
        <v>148780</v>
      </c>
      <c r="BI258" s="16">
        <v>195300</v>
      </c>
      <c r="BJ258" s="16">
        <v>25686</v>
      </c>
      <c r="BK258" s="16">
        <v>13500</v>
      </c>
      <c r="BL258" s="16">
        <v>0</v>
      </c>
      <c r="BM258" s="16">
        <v>100000</v>
      </c>
      <c r="BN258" s="16">
        <v>0</v>
      </c>
      <c r="BO258" s="16">
        <v>0</v>
      </c>
      <c r="BP258" s="16">
        <v>4040</v>
      </c>
      <c r="BQ258" s="16">
        <v>0</v>
      </c>
      <c r="BR258" s="16">
        <v>0</v>
      </c>
      <c r="BS258" s="16">
        <v>0</v>
      </c>
      <c r="BT258" s="16">
        <v>0</v>
      </c>
      <c r="BU258" s="16">
        <v>0</v>
      </c>
      <c r="BV258" s="16">
        <v>0</v>
      </c>
      <c r="BW258" s="16">
        <v>0</v>
      </c>
    </row>
    <row r="259" spans="1:75" ht="18" hidden="1" customHeight="1" outlineLevel="1">
      <c r="Q259" s="5">
        <v>2017</v>
      </c>
      <c r="R259" s="5">
        <v>1</v>
      </c>
      <c r="S259" s="14" t="s">
        <v>54</v>
      </c>
      <c r="T259" s="15">
        <f t="shared" si="156"/>
        <v>3462883</v>
      </c>
      <c r="U259" s="15">
        <f t="shared" si="157"/>
        <v>4106475</v>
      </c>
      <c r="V259" s="16">
        <v>2695000</v>
      </c>
      <c r="W259" s="16">
        <v>1006740</v>
      </c>
      <c r="X259" s="16">
        <v>0</v>
      </c>
      <c r="Y259" s="16">
        <v>0</v>
      </c>
      <c r="Z259" s="16">
        <v>0</v>
      </c>
      <c r="AA259" s="16">
        <v>0</v>
      </c>
      <c r="AB259" s="16">
        <v>0</v>
      </c>
      <c r="AC259" s="16">
        <v>0</v>
      </c>
      <c r="AD259" s="16">
        <v>0</v>
      </c>
      <c r="AE259" s="16">
        <v>0</v>
      </c>
      <c r="AF259" s="16">
        <v>0</v>
      </c>
      <c r="AG259" s="16">
        <v>0</v>
      </c>
      <c r="AH259" s="16">
        <v>0</v>
      </c>
      <c r="AI259" s="16">
        <v>200000</v>
      </c>
      <c r="AJ259" s="16">
        <v>0</v>
      </c>
      <c r="AK259" s="16">
        <v>0</v>
      </c>
      <c r="AL259" s="16">
        <v>50000</v>
      </c>
      <c r="AM259" s="16">
        <v>0</v>
      </c>
      <c r="AN259" s="16">
        <v>0</v>
      </c>
      <c r="AO259" s="16">
        <v>0</v>
      </c>
      <c r="AP259" s="16">
        <v>0</v>
      </c>
      <c r="AQ259" s="16">
        <v>0</v>
      </c>
      <c r="AR259" s="16">
        <v>0</v>
      </c>
      <c r="AS259" s="16">
        <v>154735</v>
      </c>
      <c r="AT259" s="16">
        <v>0</v>
      </c>
      <c r="AU259" s="16">
        <v>0</v>
      </c>
      <c r="AV259" s="16">
        <v>0</v>
      </c>
      <c r="AW259" s="16">
        <v>0</v>
      </c>
      <c r="AX259" s="16">
        <v>0</v>
      </c>
      <c r="AY259" s="16">
        <v>0</v>
      </c>
      <c r="AZ259" s="16">
        <v>0</v>
      </c>
      <c r="BA259" s="16"/>
      <c r="BB259" s="15">
        <f t="shared" si="158"/>
        <v>643592</v>
      </c>
      <c r="BC259" s="16">
        <v>0</v>
      </c>
      <c r="BD259" s="16">
        <v>211160</v>
      </c>
      <c r="BE259" s="16">
        <v>0</v>
      </c>
      <c r="BF259" s="16">
        <v>21110</v>
      </c>
      <c r="BG259" s="16">
        <v>0</v>
      </c>
      <c r="BH259" s="16">
        <v>148780</v>
      </c>
      <c r="BI259" s="16">
        <v>195300</v>
      </c>
      <c r="BJ259" s="16">
        <v>26042</v>
      </c>
      <c r="BK259" s="16">
        <v>13500</v>
      </c>
      <c r="BL259" s="16">
        <v>0</v>
      </c>
      <c r="BM259" s="16">
        <v>0</v>
      </c>
      <c r="BN259" s="16">
        <v>0</v>
      </c>
      <c r="BO259" s="16">
        <v>27700</v>
      </c>
      <c r="BP259" s="16">
        <v>0</v>
      </c>
      <c r="BQ259" s="16">
        <v>0</v>
      </c>
      <c r="BR259" s="16">
        <v>0</v>
      </c>
      <c r="BS259" s="16">
        <v>0</v>
      </c>
      <c r="BT259" s="16">
        <v>0</v>
      </c>
      <c r="BU259" s="16">
        <v>0</v>
      </c>
      <c r="BV259" s="16">
        <v>0</v>
      </c>
      <c r="BW259" s="16">
        <v>0</v>
      </c>
    </row>
    <row r="260" spans="1:75" s="1" customFormat="1" ht="18" customHeight="1" collapsed="1">
      <c r="A260" s="10"/>
      <c r="B260" s="18"/>
      <c r="C260" s="19"/>
      <c r="D260" s="18"/>
      <c r="E260" s="19"/>
      <c r="F260" s="19"/>
      <c r="G260" s="19"/>
      <c r="H260" s="19"/>
      <c r="I260" s="19"/>
      <c r="J260" s="20"/>
      <c r="K260" s="19"/>
      <c r="L260" s="19"/>
      <c r="M260" s="19"/>
      <c r="N260" s="19"/>
      <c r="O260" s="21"/>
      <c r="P260" s="22"/>
      <c r="Q260" s="667" t="s">
        <v>62</v>
      </c>
      <c r="R260" s="667"/>
      <c r="S260" s="667"/>
      <c r="T260" s="23">
        <f t="shared" ref="T260:AZ260" si="159">SUMIF($Q$2:$Q$793,$Q261,T$2:T$793)</f>
        <v>46516938</v>
      </c>
      <c r="U260" s="23">
        <f t="shared" si="159"/>
        <v>54039978</v>
      </c>
      <c r="V260" s="23">
        <f t="shared" si="159"/>
        <v>32340000</v>
      </c>
      <c r="W260" s="23">
        <f t="shared" si="159"/>
        <v>12080880</v>
      </c>
      <c r="X260" s="23">
        <f t="shared" si="159"/>
        <v>0</v>
      </c>
      <c r="Y260" s="23">
        <f t="shared" si="159"/>
        <v>0</v>
      </c>
      <c r="Z260" s="23">
        <f t="shared" si="159"/>
        <v>0</v>
      </c>
      <c r="AA260" s="23">
        <f t="shared" si="159"/>
        <v>0</v>
      </c>
      <c r="AB260" s="23">
        <f t="shared" si="159"/>
        <v>0</v>
      </c>
      <c r="AC260" s="23">
        <f t="shared" si="159"/>
        <v>0</v>
      </c>
      <c r="AD260" s="23">
        <f t="shared" si="159"/>
        <v>5969098</v>
      </c>
      <c r="AE260" s="23">
        <f t="shared" si="159"/>
        <v>0</v>
      </c>
      <c r="AF260" s="23">
        <f t="shared" si="159"/>
        <v>0</v>
      </c>
      <c r="AG260" s="23">
        <f t="shared" si="159"/>
        <v>0</v>
      </c>
      <c r="AH260" s="23">
        <f t="shared" si="159"/>
        <v>0</v>
      </c>
      <c r="AI260" s="23">
        <f t="shared" si="159"/>
        <v>2400000</v>
      </c>
      <c r="AJ260" s="23">
        <f t="shared" si="159"/>
        <v>350000</v>
      </c>
      <c r="AK260" s="23">
        <f t="shared" si="159"/>
        <v>300000</v>
      </c>
      <c r="AL260" s="23">
        <f t="shared" si="159"/>
        <v>600000</v>
      </c>
      <c r="AM260" s="23">
        <f t="shared" si="159"/>
        <v>0</v>
      </c>
      <c r="AN260" s="23">
        <f t="shared" si="159"/>
        <v>0</v>
      </c>
      <c r="AO260" s="23">
        <f t="shared" si="159"/>
        <v>0</v>
      </c>
      <c r="AP260" s="23">
        <f t="shared" si="159"/>
        <v>0</v>
      </c>
      <c r="AQ260" s="23">
        <f t="shared" si="159"/>
        <v>0</v>
      </c>
      <c r="AR260" s="23">
        <f t="shared" si="159"/>
        <v>0</v>
      </c>
      <c r="AS260" s="23">
        <f t="shared" si="159"/>
        <v>0</v>
      </c>
      <c r="AT260" s="23">
        <f t="shared" si="159"/>
        <v>0</v>
      </c>
      <c r="AU260" s="23">
        <f t="shared" si="159"/>
        <v>0</v>
      </c>
      <c r="AV260" s="23">
        <f t="shared" si="159"/>
        <v>0</v>
      </c>
      <c r="AW260" s="23">
        <f t="shared" si="159"/>
        <v>0</v>
      </c>
      <c r="AX260" s="23">
        <f t="shared" si="159"/>
        <v>0</v>
      </c>
      <c r="AY260" s="23">
        <f t="shared" si="159"/>
        <v>0</v>
      </c>
      <c r="AZ260" s="23">
        <f t="shared" si="159"/>
        <v>0</v>
      </c>
      <c r="BA260" s="23"/>
      <c r="BB260" s="23">
        <f t="shared" ref="BB260:BW260" si="160">SUMIF($Q$2:$Q$793,$Q261,BB$2:BB$793)</f>
        <v>7523040</v>
      </c>
      <c r="BC260" s="23">
        <f t="shared" si="160"/>
        <v>-1159400</v>
      </c>
      <c r="BD260" s="23">
        <f t="shared" si="160"/>
        <v>3214900</v>
      </c>
      <c r="BE260" s="23">
        <f t="shared" si="160"/>
        <v>0</v>
      </c>
      <c r="BF260" s="23">
        <f t="shared" si="160"/>
        <v>321460</v>
      </c>
      <c r="BG260" s="23">
        <f t="shared" si="160"/>
        <v>0</v>
      </c>
      <c r="BH260" s="23">
        <f t="shared" si="160"/>
        <v>1710630</v>
      </c>
      <c r="BI260" s="23">
        <f t="shared" si="160"/>
        <v>2197500</v>
      </c>
      <c r="BJ260" s="23">
        <f t="shared" si="160"/>
        <v>343456</v>
      </c>
      <c r="BK260" s="23">
        <f t="shared" si="160"/>
        <v>97200</v>
      </c>
      <c r="BL260" s="23">
        <f t="shared" si="160"/>
        <v>0</v>
      </c>
      <c r="BM260" s="23">
        <f t="shared" si="160"/>
        <v>350000</v>
      </c>
      <c r="BN260" s="23">
        <f t="shared" si="160"/>
        <v>192400</v>
      </c>
      <c r="BO260" s="23">
        <f t="shared" si="160"/>
        <v>249350</v>
      </c>
      <c r="BP260" s="23">
        <f t="shared" si="160"/>
        <v>5540</v>
      </c>
      <c r="BQ260" s="23">
        <f t="shared" si="160"/>
        <v>4</v>
      </c>
      <c r="BR260" s="23">
        <f t="shared" si="160"/>
        <v>0</v>
      </c>
      <c r="BS260" s="23">
        <f t="shared" si="160"/>
        <v>0</v>
      </c>
      <c r="BT260" s="23">
        <f t="shared" si="160"/>
        <v>0</v>
      </c>
      <c r="BU260" s="23">
        <f t="shared" si="160"/>
        <v>0</v>
      </c>
      <c r="BV260" s="23">
        <f t="shared" si="160"/>
        <v>0</v>
      </c>
      <c r="BW260" s="23">
        <f t="shared" si="160"/>
        <v>0</v>
      </c>
    </row>
    <row r="261" spans="1:75" ht="18" hidden="1" customHeight="1" outlineLevel="1">
      <c r="Q261" s="5">
        <v>2016</v>
      </c>
      <c r="R261" s="5">
        <v>12</v>
      </c>
      <c r="S261" s="5" t="s">
        <v>56</v>
      </c>
      <c r="T261" s="15">
        <f t="shared" ref="T261:T273" si="161">IF(U261=U261-BB261,0,U261-BB261)</f>
        <v>3338264</v>
      </c>
      <c r="U261" s="15">
        <f t="shared" ref="U261:U273" si="162">SUM(V261:BA261)</f>
        <v>3951740</v>
      </c>
      <c r="V261" s="16">
        <v>2695000</v>
      </c>
      <c r="W261" s="16">
        <v>1006740</v>
      </c>
      <c r="X261" s="16">
        <v>0</v>
      </c>
      <c r="Y261" s="16">
        <v>0</v>
      </c>
      <c r="Z261" s="16">
        <v>0</v>
      </c>
      <c r="AA261" s="16">
        <v>0</v>
      </c>
      <c r="AB261" s="16">
        <v>0</v>
      </c>
      <c r="AC261" s="16">
        <v>0</v>
      </c>
      <c r="AD261" s="16">
        <v>0</v>
      </c>
      <c r="AE261" s="16">
        <v>0</v>
      </c>
      <c r="AF261" s="16">
        <v>0</v>
      </c>
      <c r="AG261" s="16">
        <v>0</v>
      </c>
      <c r="AH261" s="16">
        <v>0</v>
      </c>
      <c r="AI261" s="16">
        <v>200000</v>
      </c>
      <c r="AJ261" s="16">
        <v>0</v>
      </c>
      <c r="AK261" s="16">
        <v>0</v>
      </c>
      <c r="AL261" s="16">
        <v>50000</v>
      </c>
      <c r="AM261" s="16">
        <v>0</v>
      </c>
      <c r="AN261" s="16">
        <v>0</v>
      </c>
      <c r="AO261" s="16">
        <v>0</v>
      </c>
      <c r="AP261" s="16">
        <v>0</v>
      </c>
      <c r="AQ261" s="16">
        <v>0</v>
      </c>
      <c r="AR261" s="16">
        <v>0</v>
      </c>
      <c r="AS261" s="16">
        <v>0</v>
      </c>
      <c r="AT261" s="16">
        <v>0</v>
      </c>
      <c r="AU261" s="16">
        <v>0</v>
      </c>
      <c r="AV261" s="16">
        <v>0</v>
      </c>
      <c r="AW261" s="16">
        <v>0</v>
      </c>
      <c r="AX261" s="16">
        <v>0</v>
      </c>
      <c r="AY261" s="16">
        <v>0</v>
      </c>
      <c r="AZ261" s="16">
        <v>0</v>
      </c>
      <c r="BA261" s="16"/>
      <c r="BB261" s="15">
        <f t="shared" ref="BB261:BB273" si="163">SUM(BC261:BW261)</f>
        <v>613476</v>
      </c>
      <c r="BC261" s="16">
        <v>0</v>
      </c>
      <c r="BD261" s="16">
        <v>189600</v>
      </c>
      <c r="BE261" s="16">
        <v>0</v>
      </c>
      <c r="BF261" s="16">
        <v>18960</v>
      </c>
      <c r="BG261" s="16">
        <v>0</v>
      </c>
      <c r="BH261" s="16">
        <v>148780</v>
      </c>
      <c r="BI261" s="16">
        <v>195300</v>
      </c>
      <c r="BJ261" s="16">
        <v>25036</v>
      </c>
      <c r="BK261" s="16">
        <v>8100</v>
      </c>
      <c r="BL261" s="16">
        <v>0</v>
      </c>
      <c r="BM261" s="16">
        <v>0</v>
      </c>
      <c r="BN261" s="16">
        <v>0</v>
      </c>
      <c r="BO261" s="16">
        <v>27700</v>
      </c>
      <c r="BP261" s="16">
        <v>0</v>
      </c>
      <c r="BQ261" s="16">
        <v>0</v>
      </c>
      <c r="BR261" s="16">
        <v>0</v>
      </c>
      <c r="BS261" s="16">
        <v>0</v>
      </c>
      <c r="BT261" s="16">
        <v>0</v>
      </c>
      <c r="BU261" s="16">
        <v>0</v>
      </c>
      <c r="BV261" s="16">
        <v>0</v>
      </c>
      <c r="BW261" s="16">
        <v>0</v>
      </c>
    </row>
    <row r="262" spans="1:75" ht="18" hidden="1" customHeight="1" outlineLevel="1">
      <c r="Q262" s="5">
        <v>2016</v>
      </c>
      <c r="R262" s="5">
        <v>11</v>
      </c>
      <c r="S262" s="5" t="s">
        <v>56</v>
      </c>
      <c r="T262" s="15">
        <f t="shared" si="161"/>
        <v>3338264</v>
      </c>
      <c r="U262" s="15">
        <f t="shared" si="162"/>
        <v>3951740</v>
      </c>
      <c r="V262" s="16">
        <v>2695000</v>
      </c>
      <c r="W262" s="16">
        <v>1006740</v>
      </c>
      <c r="X262" s="16">
        <v>0</v>
      </c>
      <c r="Y262" s="16">
        <v>0</v>
      </c>
      <c r="Z262" s="16">
        <v>0</v>
      </c>
      <c r="AA262" s="16">
        <v>0</v>
      </c>
      <c r="AB262" s="16">
        <v>0</v>
      </c>
      <c r="AC262" s="16">
        <v>0</v>
      </c>
      <c r="AD262" s="16">
        <v>0</v>
      </c>
      <c r="AE262" s="16">
        <v>0</v>
      </c>
      <c r="AF262" s="16">
        <v>0</v>
      </c>
      <c r="AG262" s="16">
        <v>0</v>
      </c>
      <c r="AH262" s="16">
        <v>0</v>
      </c>
      <c r="AI262" s="16">
        <v>200000</v>
      </c>
      <c r="AJ262" s="16">
        <v>0</v>
      </c>
      <c r="AK262" s="16">
        <v>0</v>
      </c>
      <c r="AL262" s="16">
        <v>50000</v>
      </c>
      <c r="AM262" s="16">
        <v>0</v>
      </c>
      <c r="AN262" s="16">
        <v>0</v>
      </c>
      <c r="AO262" s="16">
        <v>0</v>
      </c>
      <c r="AP262" s="16">
        <v>0</v>
      </c>
      <c r="AQ262" s="16">
        <v>0</v>
      </c>
      <c r="AR262" s="16">
        <v>0</v>
      </c>
      <c r="AS262" s="16">
        <v>0</v>
      </c>
      <c r="AT262" s="16">
        <v>0</v>
      </c>
      <c r="AU262" s="16">
        <v>0</v>
      </c>
      <c r="AV262" s="16">
        <v>0</v>
      </c>
      <c r="AW262" s="16">
        <v>0</v>
      </c>
      <c r="AX262" s="16">
        <v>0</v>
      </c>
      <c r="AY262" s="16">
        <v>0</v>
      </c>
      <c r="AZ262" s="16">
        <v>0</v>
      </c>
      <c r="BA262" s="16"/>
      <c r="BB262" s="15">
        <f t="shared" si="163"/>
        <v>613476</v>
      </c>
      <c r="BC262" s="16">
        <v>0</v>
      </c>
      <c r="BD262" s="16">
        <v>189600</v>
      </c>
      <c r="BE262" s="16">
        <v>0</v>
      </c>
      <c r="BF262" s="16">
        <v>18960</v>
      </c>
      <c r="BG262" s="16">
        <v>0</v>
      </c>
      <c r="BH262" s="16">
        <v>148780</v>
      </c>
      <c r="BI262" s="16">
        <v>195300</v>
      </c>
      <c r="BJ262" s="16">
        <v>25036</v>
      </c>
      <c r="BK262" s="16">
        <v>8100</v>
      </c>
      <c r="BL262" s="16">
        <v>0</v>
      </c>
      <c r="BM262" s="16">
        <v>0</v>
      </c>
      <c r="BN262" s="16">
        <v>0</v>
      </c>
      <c r="BO262" s="16">
        <v>27700</v>
      </c>
      <c r="BP262" s="16">
        <v>0</v>
      </c>
      <c r="BQ262" s="16">
        <v>0</v>
      </c>
      <c r="BR262" s="16">
        <v>0</v>
      </c>
      <c r="BS262" s="16">
        <v>0</v>
      </c>
      <c r="BT262" s="16">
        <v>0</v>
      </c>
      <c r="BU262" s="16">
        <v>0</v>
      </c>
      <c r="BV262" s="16">
        <v>0</v>
      </c>
      <c r="BW262" s="16">
        <v>0</v>
      </c>
    </row>
    <row r="263" spans="1:75" ht="18" hidden="1" customHeight="1" outlineLevel="1">
      <c r="Q263" s="5">
        <v>2016</v>
      </c>
      <c r="R263" s="5">
        <v>10</v>
      </c>
      <c r="S263" s="5" t="s">
        <v>56</v>
      </c>
      <c r="T263" s="15">
        <f t="shared" si="161"/>
        <v>3337764</v>
      </c>
      <c r="U263" s="15">
        <f t="shared" si="162"/>
        <v>3951740</v>
      </c>
      <c r="V263" s="16">
        <v>2695000</v>
      </c>
      <c r="W263" s="16">
        <v>1006740</v>
      </c>
      <c r="X263" s="16">
        <v>0</v>
      </c>
      <c r="Y263" s="16">
        <v>0</v>
      </c>
      <c r="Z263" s="16">
        <v>0</v>
      </c>
      <c r="AA263" s="16">
        <v>0</v>
      </c>
      <c r="AB263" s="16">
        <v>0</v>
      </c>
      <c r="AC263" s="16">
        <v>0</v>
      </c>
      <c r="AD263" s="16">
        <v>0</v>
      </c>
      <c r="AE263" s="16">
        <v>0</v>
      </c>
      <c r="AF263" s="16">
        <v>0</v>
      </c>
      <c r="AG263" s="16">
        <v>0</v>
      </c>
      <c r="AH263" s="16">
        <v>0</v>
      </c>
      <c r="AI263" s="16">
        <v>200000</v>
      </c>
      <c r="AJ263" s="16">
        <v>0</v>
      </c>
      <c r="AK263" s="16">
        <v>0</v>
      </c>
      <c r="AL263" s="16">
        <v>50000</v>
      </c>
      <c r="AM263" s="16">
        <v>0</v>
      </c>
      <c r="AN263" s="16">
        <v>0</v>
      </c>
      <c r="AO263" s="16">
        <v>0</v>
      </c>
      <c r="AP263" s="16">
        <v>0</v>
      </c>
      <c r="AQ263" s="16">
        <v>0</v>
      </c>
      <c r="AR263" s="16">
        <v>0</v>
      </c>
      <c r="AS263" s="16">
        <v>0</v>
      </c>
      <c r="AT263" s="16">
        <v>0</v>
      </c>
      <c r="AU263" s="16">
        <v>0</v>
      </c>
      <c r="AV263" s="16">
        <v>0</v>
      </c>
      <c r="AW263" s="16">
        <v>0</v>
      </c>
      <c r="AX263" s="16">
        <v>0</v>
      </c>
      <c r="AY263" s="16">
        <v>0</v>
      </c>
      <c r="AZ263" s="16">
        <v>0</v>
      </c>
      <c r="BA263" s="16"/>
      <c r="BB263" s="15">
        <f t="shared" si="163"/>
        <v>613976</v>
      </c>
      <c r="BC263" s="16">
        <v>0</v>
      </c>
      <c r="BD263" s="16">
        <v>189600</v>
      </c>
      <c r="BE263" s="16">
        <v>0</v>
      </c>
      <c r="BF263" s="16">
        <v>18960</v>
      </c>
      <c r="BG263" s="16">
        <v>0</v>
      </c>
      <c r="BH263" s="16">
        <v>148780</v>
      </c>
      <c r="BI263" s="16">
        <v>195300</v>
      </c>
      <c r="BJ263" s="16">
        <v>25036</v>
      </c>
      <c r="BK263" s="16">
        <v>8100</v>
      </c>
      <c r="BL263" s="16">
        <v>0</v>
      </c>
      <c r="BM263" s="16">
        <v>0</v>
      </c>
      <c r="BN263" s="16">
        <v>0</v>
      </c>
      <c r="BO263" s="16">
        <v>27700</v>
      </c>
      <c r="BP263" s="16">
        <v>500</v>
      </c>
      <c r="BQ263" s="16">
        <v>0</v>
      </c>
      <c r="BR263" s="16">
        <v>0</v>
      </c>
      <c r="BS263" s="16">
        <v>0</v>
      </c>
      <c r="BT263" s="16">
        <v>0</v>
      </c>
      <c r="BU263" s="16">
        <v>0</v>
      </c>
      <c r="BV263" s="16">
        <v>0</v>
      </c>
      <c r="BW263" s="16">
        <v>0</v>
      </c>
    </row>
    <row r="264" spans="1:75" ht="18" hidden="1" customHeight="1" outlineLevel="1">
      <c r="Q264" s="5">
        <v>2016</v>
      </c>
      <c r="R264" s="5">
        <v>9</v>
      </c>
      <c r="S264" s="5" t="s">
        <v>56</v>
      </c>
      <c r="T264" s="15">
        <f t="shared" si="161"/>
        <v>3322934</v>
      </c>
      <c r="U264" s="15">
        <f t="shared" si="162"/>
        <v>4051740</v>
      </c>
      <c r="V264" s="16">
        <v>2695000</v>
      </c>
      <c r="W264" s="16">
        <v>1006740</v>
      </c>
      <c r="X264" s="16">
        <v>0</v>
      </c>
      <c r="Y264" s="16">
        <v>0</v>
      </c>
      <c r="Z264" s="16">
        <v>0</v>
      </c>
      <c r="AA264" s="16">
        <v>0</v>
      </c>
      <c r="AB264" s="16">
        <v>0</v>
      </c>
      <c r="AC264" s="16">
        <v>0</v>
      </c>
      <c r="AD264" s="16">
        <v>0</v>
      </c>
      <c r="AE264" s="16">
        <v>0</v>
      </c>
      <c r="AF264" s="16">
        <v>0</v>
      </c>
      <c r="AG264" s="16">
        <v>0</v>
      </c>
      <c r="AH264" s="16">
        <v>0</v>
      </c>
      <c r="AI264" s="16">
        <v>200000</v>
      </c>
      <c r="AJ264" s="16">
        <v>100000</v>
      </c>
      <c r="AK264" s="16">
        <v>0</v>
      </c>
      <c r="AL264" s="16">
        <v>50000</v>
      </c>
      <c r="AM264" s="16">
        <v>0</v>
      </c>
      <c r="AN264" s="16">
        <v>0</v>
      </c>
      <c r="AO264" s="16">
        <v>0</v>
      </c>
      <c r="AP264" s="16">
        <v>0</v>
      </c>
      <c r="AQ264" s="16">
        <v>0</v>
      </c>
      <c r="AR264" s="16">
        <v>0</v>
      </c>
      <c r="AS264" s="16">
        <v>0</v>
      </c>
      <c r="AT264" s="16">
        <v>0</v>
      </c>
      <c r="AU264" s="16">
        <v>0</v>
      </c>
      <c r="AV264" s="16">
        <v>0</v>
      </c>
      <c r="AW264" s="16">
        <v>0</v>
      </c>
      <c r="AX264" s="16">
        <v>0</v>
      </c>
      <c r="AY264" s="16">
        <v>0</v>
      </c>
      <c r="AZ264" s="16">
        <v>0</v>
      </c>
      <c r="BA264" s="16"/>
      <c r="BB264" s="15">
        <f t="shared" si="163"/>
        <v>728806</v>
      </c>
      <c r="BC264" s="16">
        <v>0</v>
      </c>
      <c r="BD264" s="16">
        <v>202950</v>
      </c>
      <c r="BE264" s="16">
        <v>0</v>
      </c>
      <c r="BF264" s="16">
        <v>20290</v>
      </c>
      <c r="BG264" s="16">
        <v>0</v>
      </c>
      <c r="BH264" s="16">
        <v>148780</v>
      </c>
      <c r="BI264" s="16">
        <v>195300</v>
      </c>
      <c r="BJ264" s="16">
        <v>25686</v>
      </c>
      <c r="BK264" s="16">
        <v>8100</v>
      </c>
      <c r="BL264" s="16">
        <v>0</v>
      </c>
      <c r="BM264" s="16">
        <v>100000</v>
      </c>
      <c r="BN264" s="16">
        <v>0</v>
      </c>
      <c r="BO264" s="16">
        <v>27700</v>
      </c>
      <c r="BP264" s="16">
        <v>0</v>
      </c>
      <c r="BQ264" s="16">
        <v>0</v>
      </c>
      <c r="BR264" s="16">
        <v>0</v>
      </c>
      <c r="BS264" s="16">
        <v>0</v>
      </c>
      <c r="BT264" s="16">
        <v>0</v>
      </c>
      <c r="BU264" s="16">
        <v>0</v>
      </c>
      <c r="BV264" s="16">
        <v>0</v>
      </c>
      <c r="BW264" s="16">
        <v>0</v>
      </c>
    </row>
    <row r="265" spans="1:75" ht="18" hidden="1" customHeight="1" outlineLevel="1">
      <c r="Q265" s="5">
        <v>2016</v>
      </c>
      <c r="R265" s="5">
        <v>8</v>
      </c>
      <c r="S265" s="5" t="s">
        <v>56</v>
      </c>
      <c r="T265" s="15">
        <f t="shared" si="161"/>
        <v>3338264</v>
      </c>
      <c r="U265" s="15">
        <f t="shared" si="162"/>
        <v>3951740</v>
      </c>
      <c r="V265" s="16">
        <v>2695000</v>
      </c>
      <c r="W265" s="16">
        <v>1006740</v>
      </c>
      <c r="X265" s="16">
        <v>0</v>
      </c>
      <c r="Y265" s="16">
        <v>0</v>
      </c>
      <c r="Z265" s="16">
        <v>0</v>
      </c>
      <c r="AA265" s="16">
        <v>0</v>
      </c>
      <c r="AB265" s="16">
        <v>0</v>
      </c>
      <c r="AC265" s="16">
        <v>0</v>
      </c>
      <c r="AD265" s="16">
        <v>0</v>
      </c>
      <c r="AE265" s="16">
        <v>0</v>
      </c>
      <c r="AF265" s="16">
        <v>0</v>
      </c>
      <c r="AG265" s="16">
        <v>0</v>
      </c>
      <c r="AH265" s="16">
        <v>0</v>
      </c>
      <c r="AI265" s="16">
        <v>200000</v>
      </c>
      <c r="AJ265" s="16">
        <v>0</v>
      </c>
      <c r="AK265" s="16">
        <v>0</v>
      </c>
      <c r="AL265" s="16">
        <v>50000</v>
      </c>
      <c r="AM265" s="16">
        <v>0</v>
      </c>
      <c r="AN265" s="16">
        <v>0</v>
      </c>
      <c r="AO265" s="16">
        <v>0</v>
      </c>
      <c r="AP265" s="16">
        <v>0</v>
      </c>
      <c r="AQ265" s="16">
        <v>0</v>
      </c>
      <c r="AR265" s="16">
        <v>0</v>
      </c>
      <c r="AS265" s="16">
        <v>0</v>
      </c>
      <c r="AT265" s="16">
        <v>0</v>
      </c>
      <c r="AU265" s="16">
        <v>0</v>
      </c>
      <c r="AV265" s="16">
        <v>0</v>
      </c>
      <c r="AW265" s="16">
        <v>0</v>
      </c>
      <c r="AX265" s="16">
        <v>0</v>
      </c>
      <c r="AY265" s="16">
        <v>0</v>
      </c>
      <c r="AZ265" s="16">
        <v>0</v>
      </c>
      <c r="BA265" s="16"/>
      <c r="BB265" s="15">
        <f t="shared" si="163"/>
        <v>613476</v>
      </c>
      <c r="BC265" s="16">
        <v>0</v>
      </c>
      <c r="BD265" s="16">
        <v>189600</v>
      </c>
      <c r="BE265" s="16">
        <v>0</v>
      </c>
      <c r="BF265" s="16">
        <v>18960</v>
      </c>
      <c r="BG265" s="16">
        <v>0</v>
      </c>
      <c r="BH265" s="16">
        <v>148780</v>
      </c>
      <c r="BI265" s="16">
        <v>195300</v>
      </c>
      <c r="BJ265" s="16">
        <v>25036</v>
      </c>
      <c r="BK265" s="16">
        <v>8100</v>
      </c>
      <c r="BL265" s="16">
        <v>0</v>
      </c>
      <c r="BM265" s="16">
        <v>0</v>
      </c>
      <c r="BN265" s="16">
        <v>0</v>
      </c>
      <c r="BO265" s="16">
        <v>27700</v>
      </c>
      <c r="BP265" s="16">
        <v>0</v>
      </c>
      <c r="BQ265" s="16">
        <v>0</v>
      </c>
      <c r="BR265" s="16">
        <v>0</v>
      </c>
      <c r="BS265" s="16">
        <v>0</v>
      </c>
      <c r="BT265" s="16">
        <v>0</v>
      </c>
      <c r="BU265" s="16">
        <v>0</v>
      </c>
      <c r="BV265" s="16">
        <v>0</v>
      </c>
      <c r="BW265" s="16">
        <v>0</v>
      </c>
    </row>
    <row r="266" spans="1:75" ht="18" hidden="1" customHeight="1" outlineLevel="1">
      <c r="Q266" s="5">
        <v>2016</v>
      </c>
      <c r="R266" s="5">
        <v>7</v>
      </c>
      <c r="S266" s="5" t="s">
        <v>56</v>
      </c>
      <c r="T266" s="15">
        <f t="shared" si="161"/>
        <v>3590514</v>
      </c>
      <c r="U266" s="15">
        <f t="shared" si="162"/>
        <v>4251740</v>
      </c>
      <c r="V266" s="16">
        <v>2695000</v>
      </c>
      <c r="W266" s="16">
        <v>1006740</v>
      </c>
      <c r="X266" s="16">
        <v>0</v>
      </c>
      <c r="Y266" s="16">
        <v>0</v>
      </c>
      <c r="Z266" s="16">
        <v>0</v>
      </c>
      <c r="AA266" s="16">
        <v>0</v>
      </c>
      <c r="AB266" s="16">
        <v>0</v>
      </c>
      <c r="AC266" s="16">
        <v>0</v>
      </c>
      <c r="AD266" s="16">
        <v>0</v>
      </c>
      <c r="AE266" s="16">
        <v>0</v>
      </c>
      <c r="AF266" s="16">
        <v>0</v>
      </c>
      <c r="AG266" s="16">
        <v>0</v>
      </c>
      <c r="AH266" s="16">
        <v>0</v>
      </c>
      <c r="AI266" s="16">
        <v>200000</v>
      </c>
      <c r="AJ266" s="16">
        <v>0</v>
      </c>
      <c r="AK266" s="16">
        <v>300000</v>
      </c>
      <c r="AL266" s="16">
        <v>50000</v>
      </c>
      <c r="AM266" s="16">
        <v>0</v>
      </c>
      <c r="AN266" s="16">
        <v>0</v>
      </c>
      <c r="AO266" s="16">
        <v>0</v>
      </c>
      <c r="AP266" s="16">
        <v>0</v>
      </c>
      <c r="AQ266" s="16">
        <v>0</v>
      </c>
      <c r="AR266" s="16">
        <v>0</v>
      </c>
      <c r="AS266" s="16">
        <v>0</v>
      </c>
      <c r="AT266" s="16">
        <v>0</v>
      </c>
      <c r="AU266" s="16">
        <v>0</v>
      </c>
      <c r="AV266" s="16">
        <v>0</v>
      </c>
      <c r="AW266" s="16">
        <v>0</v>
      </c>
      <c r="AX266" s="16">
        <v>0</v>
      </c>
      <c r="AY266" s="16">
        <v>0</v>
      </c>
      <c r="AZ266" s="16">
        <v>0</v>
      </c>
      <c r="BA266" s="16"/>
      <c r="BB266" s="15">
        <f t="shared" si="163"/>
        <v>661226</v>
      </c>
      <c r="BC266" s="16">
        <v>0</v>
      </c>
      <c r="BD266" s="16">
        <v>230790</v>
      </c>
      <c r="BE266" s="16">
        <v>0</v>
      </c>
      <c r="BF266" s="16">
        <v>23070</v>
      </c>
      <c r="BG266" s="16">
        <v>0</v>
      </c>
      <c r="BH266" s="16">
        <v>148780</v>
      </c>
      <c r="BI266" s="16">
        <v>195300</v>
      </c>
      <c r="BJ266" s="16">
        <v>26986</v>
      </c>
      <c r="BK266" s="16">
        <v>8100</v>
      </c>
      <c r="BL266" s="16">
        <v>0</v>
      </c>
      <c r="BM266" s="16">
        <v>0</v>
      </c>
      <c r="BN266" s="16">
        <v>0</v>
      </c>
      <c r="BO266" s="16">
        <v>27700</v>
      </c>
      <c r="BP266" s="16">
        <v>500</v>
      </c>
      <c r="BQ266" s="16">
        <v>0</v>
      </c>
      <c r="BR266" s="16">
        <v>0</v>
      </c>
      <c r="BS266" s="16">
        <v>0</v>
      </c>
      <c r="BT266" s="16">
        <v>0</v>
      </c>
      <c r="BU266" s="16">
        <v>0</v>
      </c>
      <c r="BV266" s="16">
        <v>0</v>
      </c>
      <c r="BW266" s="16">
        <v>0</v>
      </c>
    </row>
    <row r="267" spans="1:75" ht="18" hidden="1" customHeight="1" outlineLevel="1">
      <c r="Q267" s="5">
        <v>2016</v>
      </c>
      <c r="R267" s="5">
        <v>6</v>
      </c>
      <c r="S267" s="5" t="s">
        <v>56</v>
      </c>
      <c r="T267" s="15">
        <f t="shared" si="161"/>
        <v>3362614</v>
      </c>
      <c r="U267" s="15">
        <f t="shared" si="162"/>
        <v>3951740</v>
      </c>
      <c r="V267" s="16">
        <v>2695000</v>
      </c>
      <c r="W267" s="16">
        <v>1006740</v>
      </c>
      <c r="X267" s="16">
        <v>0</v>
      </c>
      <c r="Y267" s="16">
        <v>0</v>
      </c>
      <c r="Z267" s="16">
        <v>0</v>
      </c>
      <c r="AA267" s="16">
        <v>0</v>
      </c>
      <c r="AB267" s="16">
        <v>0</v>
      </c>
      <c r="AC267" s="16">
        <v>0</v>
      </c>
      <c r="AD267" s="16">
        <v>0</v>
      </c>
      <c r="AE267" s="16">
        <v>0</v>
      </c>
      <c r="AF267" s="16">
        <v>0</v>
      </c>
      <c r="AG267" s="16">
        <v>0</v>
      </c>
      <c r="AH267" s="16">
        <v>0</v>
      </c>
      <c r="AI267" s="16">
        <v>200000</v>
      </c>
      <c r="AJ267" s="16">
        <v>0</v>
      </c>
      <c r="AK267" s="16">
        <v>0</v>
      </c>
      <c r="AL267" s="16">
        <v>50000</v>
      </c>
      <c r="AM267" s="16">
        <v>0</v>
      </c>
      <c r="AN267" s="16">
        <v>0</v>
      </c>
      <c r="AO267" s="16">
        <v>0</v>
      </c>
      <c r="AP267" s="16">
        <v>0</v>
      </c>
      <c r="AQ267" s="16">
        <v>0</v>
      </c>
      <c r="AR267" s="16">
        <v>0</v>
      </c>
      <c r="AS267" s="16">
        <v>0</v>
      </c>
      <c r="AT267" s="16">
        <v>0</v>
      </c>
      <c r="AU267" s="16">
        <v>0</v>
      </c>
      <c r="AV267" s="16">
        <v>0</v>
      </c>
      <c r="AW267" s="16">
        <v>0</v>
      </c>
      <c r="AX267" s="16">
        <v>0</v>
      </c>
      <c r="AY267" s="16">
        <v>0</v>
      </c>
      <c r="AZ267" s="16">
        <v>0</v>
      </c>
      <c r="BA267" s="16"/>
      <c r="BB267" s="15">
        <f t="shared" si="163"/>
        <v>589126</v>
      </c>
      <c r="BC267" s="16">
        <v>0</v>
      </c>
      <c r="BD267" s="16">
        <v>189600</v>
      </c>
      <c r="BE267" s="16">
        <v>0</v>
      </c>
      <c r="BF267" s="16">
        <v>18960</v>
      </c>
      <c r="BG267" s="16">
        <v>0</v>
      </c>
      <c r="BH267" s="16">
        <v>148780</v>
      </c>
      <c r="BI267" s="16">
        <v>170950</v>
      </c>
      <c r="BJ267" s="16">
        <v>25036</v>
      </c>
      <c r="BK267" s="16">
        <v>8100</v>
      </c>
      <c r="BL267" s="16">
        <v>0</v>
      </c>
      <c r="BM267" s="16">
        <v>0</v>
      </c>
      <c r="BN267" s="16">
        <v>0</v>
      </c>
      <c r="BO267" s="16">
        <v>27700</v>
      </c>
      <c r="BP267" s="16">
        <v>0</v>
      </c>
      <c r="BQ267" s="16">
        <v>0</v>
      </c>
      <c r="BR267" s="16">
        <v>0</v>
      </c>
      <c r="BS267" s="16">
        <v>0</v>
      </c>
      <c r="BT267" s="16">
        <v>0</v>
      </c>
      <c r="BU267" s="16">
        <v>0</v>
      </c>
      <c r="BV267" s="16">
        <v>0</v>
      </c>
      <c r="BW267" s="16">
        <v>0</v>
      </c>
    </row>
    <row r="268" spans="1:75" ht="18" hidden="1" customHeight="1" outlineLevel="1">
      <c r="Q268" s="5">
        <v>2016</v>
      </c>
      <c r="R268" s="5">
        <v>5</v>
      </c>
      <c r="S268" s="5" t="s">
        <v>28</v>
      </c>
      <c r="T268" s="15">
        <f t="shared" si="161"/>
        <v>4995029</v>
      </c>
      <c r="U268" s="15">
        <f t="shared" si="162"/>
        <v>5969098</v>
      </c>
      <c r="V268" s="16">
        <v>0</v>
      </c>
      <c r="W268" s="16">
        <v>0</v>
      </c>
      <c r="X268" s="16">
        <v>0</v>
      </c>
      <c r="Y268" s="16">
        <v>0</v>
      </c>
      <c r="Z268" s="16">
        <v>0</v>
      </c>
      <c r="AA268" s="16">
        <v>0</v>
      </c>
      <c r="AB268" s="16">
        <v>0</v>
      </c>
      <c r="AC268" s="16">
        <v>0</v>
      </c>
      <c r="AD268" s="16">
        <v>5969098</v>
      </c>
      <c r="AE268" s="16">
        <v>0</v>
      </c>
      <c r="AF268" s="16">
        <v>0</v>
      </c>
      <c r="AG268" s="16">
        <v>0</v>
      </c>
      <c r="AH268" s="16">
        <v>0</v>
      </c>
      <c r="AI268" s="16">
        <v>0</v>
      </c>
      <c r="AJ268" s="16">
        <v>0</v>
      </c>
      <c r="AK268" s="16">
        <v>0</v>
      </c>
      <c r="AL268" s="16">
        <v>0</v>
      </c>
      <c r="AM268" s="16">
        <v>0</v>
      </c>
      <c r="AN268" s="16">
        <v>0</v>
      </c>
      <c r="AO268" s="16">
        <v>0</v>
      </c>
      <c r="AP268" s="16">
        <v>0</v>
      </c>
      <c r="AQ268" s="16">
        <v>0</v>
      </c>
      <c r="AR268" s="16">
        <v>0</v>
      </c>
      <c r="AS268" s="16">
        <v>0</v>
      </c>
      <c r="AT268" s="16">
        <v>0</v>
      </c>
      <c r="AU268" s="16">
        <v>0</v>
      </c>
      <c r="AV268" s="16">
        <v>0</v>
      </c>
      <c r="AW268" s="16">
        <v>0</v>
      </c>
      <c r="AX268" s="16">
        <v>0</v>
      </c>
      <c r="AY268" s="16">
        <v>0</v>
      </c>
      <c r="AZ268" s="16">
        <v>0</v>
      </c>
      <c r="BA268" s="16"/>
      <c r="BB268" s="15">
        <f t="shared" si="163"/>
        <v>974069</v>
      </c>
      <c r="BC268" s="16">
        <v>0</v>
      </c>
      <c r="BD268" s="16">
        <v>850250</v>
      </c>
      <c r="BE268" s="16">
        <v>0</v>
      </c>
      <c r="BF268" s="16">
        <v>85020</v>
      </c>
      <c r="BG268" s="16">
        <v>0</v>
      </c>
      <c r="BH268" s="16">
        <v>0</v>
      </c>
      <c r="BI268" s="16">
        <v>0</v>
      </c>
      <c r="BJ268" s="16">
        <v>38799</v>
      </c>
      <c r="BK268" s="16">
        <v>0</v>
      </c>
      <c r="BL268" s="16">
        <v>0</v>
      </c>
      <c r="BM268" s="16">
        <v>0</v>
      </c>
      <c r="BN268" s="16">
        <v>0</v>
      </c>
      <c r="BO268" s="16">
        <v>0</v>
      </c>
      <c r="BP268" s="16">
        <v>0</v>
      </c>
      <c r="BQ268" s="16">
        <v>0</v>
      </c>
      <c r="BR268" s="16">
        <v>0</v>
      </c>
      <c r="BS268" s="16">
        <v>0</v>
      </c>
      <c r="BT268" s="16">
        <v>0</v>
      </c>
      <c r="BU268" s="16">
        <v>0</v>
      </c>
      <c r="BV268" s="16">
        <v>0</v>
      </c>
      <c r="BW268" s="16">
        <v>0</v>
      </c>
    </row>
    <row r="269" spans="1:75" ht="18" hidden="1" customHeight="1" outlineLevel="1">
      <c r="Q269" s="5">
        <v>2016</v>
      </c>
      <c r="R269" s="5">
        <v>5</v>
      </c>
      <c r="S269" s="5" t="s">
        <v>56</v>
      </c>
      <c r="T269" s="15">
        <f t="shared" si="161"/>
        <v>3337929</v>
      </c>
      <c r="U269" s="15">
        <f t="shared" si="162"/>
        <v>4101740</v>
      </c>
      <c r="V269" s="16">
        <v>2695000</v>
      </c>
      <c r="W269" s="16">
        <v>1006740</v>
      </c>
      <c r="X269" s="16">
        <v>0</v>
      </c>
      <c r="Y269" s="16">
        <v>0</v>
      </c>
      <c r="Z269" s="16">
        <v>0</v>
      </c>
      <c r="AA269" s="16">
        <v>0</v>
      </c>
      <c r="AB269" s="16">
        <v>0</v>
      </c>
      <c r="AC269" s="16">
        <v>0</v>
      </c>
      <c r="AD269" s="16">
        <v>0</v>
      </c>
      <c r="AE269" s="16">
        <v>0</v>
      </c>
      <c r="AF269" s="16">
        <v>0</v>
      </c>
      <c r="AG269" s="16">
        <v>0</v>
      </c>
      <c r="AH269" s="16">
        <v>0</v>
      </c>
      <c r="AI269" s="16">
        <v>200000</v>
      </c>
      <c r="AJ269" s="16">
        <v>150000</v>
      </c>
      <c r="AK269" s="16">
        <v>0</v>
      </c>
      <c r="AL269" s="16">
        <v>50000</v>
      </c>
      <c r="AM269" s="16">
        <v>0</v>
      </c>
      <c r="AN269" s="16">
        <v>0</v>
      </c>
      <c r="AO269" s="16">
        <v>0</v>
      </c>
      <c r="AP269" s="16">
        <v>0</v>
      </c>
      <c r="AQ269" s="16">
        <v>0</v>
      </c>
      <c r="AR269" s="16">
        <v>0</v>
      </c>
      <c r="AS269" s="16">
        <v>0</v>
      </c>
      <c r="AT269" s="16">
        <v>0</v>
      </c>
      <c r="AU269" s="16">
        <v>0</v>
      </c>
      <c r="AV269" s="16">
        <v>0</v>
      </c>
      <c r="AW269" s="16">
        <v>0</v>
      </c>
      <c r="AX269" s="16">
        <v>0</v>
      </c>
      <c r="AY269" s="16">
        <v>0</v>
      </c>
      <c r="AZ269" s="16">
        <v>0</v>
      </c>
      <c r="BA269" s="16"/>
      <c r="BB269" s="15">
        <f t="shared" si="163"/>
        <v>763811</v>
      </c>
      <c r="BC269" s="16">
        <v>0</v>
      </c>
      <c r="BD269" s="16">
        <v>211160</v>
      </c>
      <c r="BE269" s="16">
        <v>0</v>
      </c>
      <c r="BF269" s="16">
        <v>21110</v>
      </c>
      <c r="BG269" s="16">
        <v>0</v>
      </c>
      <c r="BH269" s="16">
        <v>148780</v>
      </c>
      <c r="BI269" s="16">
        <v>170950</v>
      </c>
      <c r="BJ269" s="16">
        <v>26011</v>
      </c>
      <c r="BK269" s="16">
        <v>8100</v>
      </c>
      <c r="BL269" s="16">
        <v>0</v>
      </c>
      <c r="BM269" s="16">
        <v>150000</v>
      </c>
      <c r="BN269" s="16">
        <v>0</v>
      </c>
      <c r="BO269" s="16">
        <v>27700</v>
      </c>
      <c r="BP269" s="16">
        <v>0</v>
      </c>
      <c r="BQ269" s="16">
        <v>0</v>
      </c>
      <c r="BR269" s="16">
        <v>0</v>
      </c>
      <c r="BS269" s="16">
        <v>0</v>
      </c>
      <c r="BT269" s="16">
        <v>0</v>
      </c>
      <c r="BU269" s="16">
        <v>0</v>
      </c>
      <c r="BV269" s="16">
        <v>0</v>
      </c>
      <c r="BW269" s="16">
        <v>0</v>
      </c>
    </row>
    <row r="270" spans="1:75" ht="18" hidden="1" customHeight="1" outlineLevel="1">
      <c r="Q270" s="5">
        <v>2016</v>
      </c>
      <c r="R270" s="5">
        <v>4</v>
      </c>
      <c r="S270" s="5" t="s">
        <v>56</v>
      </c>
      <c r="T270" s="15">
        <f t="shared" si="161"/>
        <v>3330560</v>
      </c>
      <c r="U270" s="15">
        <f t="shared" si="162"/>
        <v>3951740</v>
      </c>
      <c r="V270" s="16">
        <v>2695000</v>
      </c>
      <c r="W270" s="16">
        <v>1006740</v>
      </c>
      <c r="X270" s="16">
        <v>0</v>
      </c>
      <c r="Y270" s="16">
        <v>0</v>
      </c>
      <c r="Z270" s="16">
        <v>0</v>
      </c>
      <c r="AA270" s="16">
        <v>0</v>
      </c>
      <c r="AB270" s="16">
        <v>0</v>
      </c>
      <c r="AC270" s="16">
        <v>0</v>
      </c>
      <c r="AD270" s="16">
        <v>0</v>
      </c>
      <c r="AE270" s="16">
        <v>0</v>
      </c>
      <c r="AF270" s="16">
        <v>0</v>
      </c>
      <c r="AG270" s="16">
        <v>0</v>
      </c>
      <c r="AH270" s="16">
        <v>0</v>
      </c>
      <c r="AI270" s="16">
        <v>200000</v>
      </c>
      <c r="AJ270" s="16">
        <v>0</v>
      </c>
      <c r="AK270" s="16">
        <v>0</v>
      </c>
      <c r="AL270" s="16">
        <v>50000</v>
      </c>
      <c r="AM270" s="16">
        <v>0</v>
      </c>
      <c r="AN270" s="16">
        <v>0</v>
      </c>
      <c r="AO270" s="16">
        <v>0</v>
      </c>
      <c r="AP270" s="16">
        <v>0</v>
      </c>
      <c r="AQ270" s="16">
        <v>0</v>
      </c>
      <c r="AR270" s="16">
        <v>0</v>
      </c>
      <c r="AS270" s="16">
        <v>0</v>
      </c>
      <c r="AT270" s="16">
        <v>0</v>
      </c>
      <c r="AU270" s="16">
        <v>0</v>
      </c>
      <c r="AV270" s="16">
        <v>0</v>
      </c>
      <c r="AW270" s="16">
        <v>0</v>
      </c>
      <c r="AX270" s="16">
        <v>0</v>
      </c>
      <c r="AY270" s="16">
        <v>0</v>
      </c>
      <c r="AZ270" s="16">
        <v>0</v>
      </c>
      <c r="BA270" s="16"/>
      <c r="BB270" s="15">
        <f t="shared" si="163"/>
        <v>621180</v>
      </c>
      <c r="BC270" s="16">
        <v>0</v>
      </c>
      <c r="BD270" s="16">
        <v>189600</v>
      </c>
      <c r="BE270" s="16">
        <v>0</v>
      </c>
      <c r="BF270" s="16">
        <v>18960</v>
      </c>
      <c r="BG270" s="16">
        <v>0</v>
      </c>
      <c r="BH270" s="16">
        <v>148780</v>
      </c>
      <c r="BI270" s="16">
        <v>170950</v>
      </c>
      <c r="BJ270" s="16">
        <v>25036</v>
      </c>
      <c r="BK270" s="16">
        <v>8100</v>
      </c>
      <c r="BL270" s="16">
        <v>0</v>
      </c>
      <c r="BM270" s="16">
        <v>0</v>
      </c>
      <c r="BN270" s="16">
        <v>31500</v>
      </c>
      <c r="BO270" s="16">
        <v>27750</v>
      </c>
      <c r="BP270" s="16">
        <v>500</v>
      </c>
      <c r="BQ270" s="16">
        <v>4</v>
      </c>
      <c r="BR270" s="16">
        <v>0</v>
      </c>
      <c r="BS270" s="16">
        <v>0</v>
      </c>
      <c r="BT270" s="16">
        <v>0</v>
      </c>
      <c r="BU270" s="16">
        <v>0</v>
      </c>
      <c r="BV270" s="16">
        <v>0</v>
      </c>
      <c r="BW270" s="16">
        <v>0</v>
      </c>
    </row>
    <row r="271" spans="1:75" ht="18" hidden="1" customHeight="1" outlineLevel="1">
      <c r="Q271" s="5">
        <v>2016</v>
      </c>
      <c r="R271" s="5">
        <v>3</v>
      </c>
      <c r="S271" s="5" t="s">
        <v>56</v>
      </c>
      <c r="T271" s="15">
        <f t="shared" si="161"/>
        <v>3382524</v>
      </c>
      <c r="U271" s="15">
        <f t="shared" si="162"/>
        <v>3951740</v>
      </c>
      <c r="V271" s="16">
        <v>2695000</v>
      </c>
      <c r="W271" s="16">
        <v>1006740</v>
      </c>
      <c r="X271" s="16">
        <v>0</v>
      </c>
      <c r="Y271" s="16">
        <v>0</v>
      </c>
      <c r="Z271" s="16">
        <v>0</v>
      </c>
      <c r="AA271" s="16">
        <v>0</v>
      </c>
      <c r="AB271" s="16">
        <v>0</v>
      </c>
      <c r="AC271" s="16">
        <v>0</v>
      </c>
      <c r="AD271" s="16">
        <v>0</v>
      </c>
      <c r="AE271" s="16">
        <v>0</v>
      </c>
      <c r="AF271" s="16">
        <v>0</v>
      </c>
      <c r="AG271" s="16">
        <v>0</v>
      </c>
      <c r="AH271" s="16">
        <v>0</v>
      </c>
      <c r="AI271" s="16">
        <v>200000</v>
      </c>
      <c r="AJ271" s="16">
        <v>0</v>
      </c>
      <c r="AK271" s="16">
        <v>0</v>
      </c>
      <c r="AL271" s="16">
        <v>50000</v>
      </c>
      <c r="AM271" s="16">
        <v>0</v>
      </c>
      <c r="AN271" s="16">
        <v>0</v>
      </c>
      <c r="AO271" s="16">
        <v>0</v>
      </c>
      <c r="AP271" s="16">
        <v>0</v>
      </c>
      <c r="AQ271" s="16">
        <v>0</v>
      </c>
      <c r="AR271" s="16">
        <v>0</v>
      </c>
      <c r="AS271" s="16">
        <v>0</v>
      </c>
      <c r="AT271" s="16">
        <v>0</v>
      </c>
      <c r="AU271" s="16">
        <v>0</v>
      </c>
      <c r="AV271" s="16">
        <v>0</v>
      </c>
      <c r="AW271" s="16">
        <v>0</v>
      </c>
      <c r="AX271" s="16">
        <v>0</v>
      </c>
      <c r="AY271" s="16">
        <v>0</v>
      </c>
      <c r="AZ271" s="16">
        <v>0</v>
      </c>
      <c r="BA271" s="16"/>
      <c r="BB271" s="15">
        <f t="shared" si="163"/>
        <v>569216</v>
      </c>
      <c r="BC271" s="16">
        <v>0</v>
      </c>
      <c r="BD271" s="16">
        <v>189600</v>
      </c>
      <c r="BE271" s="16">
        <v>0</v>
      </c>
      <c r="BF271" s="16">
        <v>18960</v>
      </c>
      <c r="BG271" s="16">
        <v>0</v>
      </c>
      <c r="BH271" s="16">
        <v>123870</v>
      </c>
      <c r="BI271" s="16">
        <v>170950</v>
      </c>
      <c r="BJ271" s="16">
        <v>25036</v>
      </c>
      <c r="BK271" s="16">
        <v>8100</v>
      </c>
      <c r="BL271" s="16">
        <v>0</v>
      </c>
      <c r="BM271" s="16">
        <v>0</v>
      </c>
      <c r="BN271" s="16">
        <v>32700</v>
      </c>
      <c r="BO271" s="16">
        <v>0</v>
      </c>
      <c r="BP271" s="16">
        <v>0</v>
      </c>
      <c r="BQ271" s="16">
        <v>0</v>
      </c>
      <c r="BR271" s="16">
        <v>0</v>
      </c>
      <c r="BS271" s="16">
        <v>0</v>
      </c>
      <c r="BT271" s="16">
        <v>0</v>
      </c>
      <c r="BU271" s="16">
        <v>0</v>
      </c>
      <c r="BV271" s="16">
        <v>0</v>
      </c>
      <c r="BW271" s="16">
        <v>0</v>
      </c>
    </row>
    <row r="272" spans="1:75" ht="18" hidden="1" customHeight="1" outlineLevel="1">
      <c r="Q272" s="5">
        <v>2016</v>
      </c>
      <c r="R272" s="5">
        <v>2</v>
      </c>
      <c r="S272" s="5" t="s">
        <v>56</v>
      </c>
      <c r="T272" s="15">
        <f t="shared" si="161"/>
        <v>4494554</v>
      </c>
      <c r="U272" s="15">
        <f t="shared" si="162"/>
        <v>4051740</v>
      </c>
      <c r="V272" s="16">
        <v>2695000</v>
      </c>
      <c r="W272" s="16">
        <v>1006740</v>
      </c>
      <c r="X272" s="16">
        <v>0</v>
      </c>
      <c r="Y272" s="16">
        <v>0</v>
      </c>
      <c r="Z272" s="16">
        <v>0</v>
      </c>
      <c r="AA272" s="16">
        <v>0</v>
      </c>
      <c r="AB272" s="16">
        <v>0</v>
      </c>
      <c r="AC272" s="16">
        <v>0</v>
      </c>
      <c r="AD272" s="16">
        <v>0</v>
      </c>
      <c r="AE272" s="16">
        <v>0</v>
      </c>
      <c r="AF272" s="16">
        <v>0</v>
      </c>
      <c r="AG272" s="16">
        <v>0</v>
      </c>
      <c r="AH272" s="16">
        <v>0</v>
      </c>
      <c r="AI272" s="16">
        <v>200000</v>
      </c>
      <c r="AJ272" s="16">
        <v>100000</v>
      </c>
      <c r="AK272" s="16">
        <v>0</v>
      </c>
      <c r="AL272" s="16">
        <v>50000</v>
      </c>
      <c r="AM272" s="16">
        <v>0</v>
      </c>
      <c r="AN272" s="16">
        <v>0</v>
      </c>
      <c r="AO272" s="16">
        <v>0</v>
      </c>
      <c r="AP272" s="16">
        <v>0</v>
      </c>
      <c r="AQ272" s="16">
        <v>0</v>
      </c>
      <c r="AR272" s="16">
        <v>0</v>
      </c>
      <c r="AS272" s="16">
        <v>0</v>
      </c>
      <c r="AT272" s="16">
        <v>0</v>
      </c>
      <c r="AU272" s="16">
        <v>0</v>
      </c>
      <c r="AV272" s="16">
        <v>0</v>
      </c>
      <c r="AW272" s="16">
        <v>0</v>
      </c>
      <c r="AX272" s="16">
        <v>0</v>
      </c>
      <c r="AY272" s="16">
        <v>0</v>
      </c>
      <c r="AZ272" s="16">
        <v>0</v>
      </c>
      <c r="BA272" s="16"/>
      <c r="BB272" s="15">
        <f t="shared" si="163"/>
        <v>-442814</v>
      </c>
      <c r="BC272" s="16">
        <v>-1159400</v>
      </c>
      <c r="BD272" s="16">
        <v>202950</v>
      </c>
      <c r="BE272" s="16">
        <v>0</v>
      </c>
      <c r="BF272" s="16">
        <v>20290</v>
      </c>
      <c r="BG272" s="16">
        <v>0</v>
      </c>
      <c r="BH272" s="16">
        <v>123870</v>
      </c>
      <c r="BI272" s="16">
        <v>170950</v>
      </c>
      <c r="BJ272" s="16">
        <v>25686</v>
      </c>
      <c r="BK272" s="16">
        <v>8100</v>
      </c>
      <c r="BL272" s="16">
        <v>0</v>
      </c>
      <c r="BM272" s="16">
        <v>100000</v>
      </c>
      <c r="BN272" s="16">
        <v>60700</v>
      </c>
      <c r="BO272" s="16">
        <v>0</v>
      </c>
      <c r="BP272" s="16">
        <v>4040</v>
      </c>
      <c r="BQ272" s="16">
        <v>0</v>
      </c>
      <c r="BR272" s="16">
        <v>0</v>
      </c>
      <c r="BS272" s="16">
        <v>0</v>
      </c>
      <c r="BT272" s="16">
        <v>0</v>
      </c>
      <c r="BU272" s="16">
        <v>0</v>
      </c>
      <c r="BV272" s="16">
        <v>0</v>
      </c>
      <c r="BW272" s="16">
        <v>0</v>
      </c>
    </row>
    <row r="273" spans="1:75" ht="18" hidden="1" customHeight="1" outlineLevel="1">
      <c r="Q273" s="5">
        <v>2016</v>
      </c>
      <c r="R273" s="5">
        <v>1</v>
      </c>
      <c r="S273" s="5" t="s">
        <v>56</v>
      </c>
      <c r="T273" s="15">
        <f t="shared" si="161"/>
        <v>3347724</v>
      </c>
      <c r="U273" s="15">
        <f t="shared" si="162"/>
        <v>3951740</v>
      </c>
      <c r="V273" s="16">
        <v>2695000</v>
      </c>
      <c r="W273" s="16">
        <v>1006740</v>
      </c>
      <c r="X273" s="16">
        <v>0</v>
      </c>
      <c r="Y273" s="16">
        <v>0</v>
      </c>
      <c r="Z273" s="16">
        <v>0</v>
      </c>
      <c r="AA273" s="16">
        <v>0</v>
      </c>
      <c r="AB273" s="16">
        <v>0</v>
      </c>
      <c r="AC273" s="16">
        <v>0</v>
      </c>
      <c r="AD273" s="16">
        <v>0</v>
      </c>
      <c r="AE273" s="16">
        <v>0</v>
      </c>
      <c r="AF273" s="16">
        <v>0</v>
      </c>
      <c r="AG273" s="16">
        <v>0</v>
      </c>
      <c r="AH273" s="16">
        <v>0</v>
      </c>
      <c r="AI273" s="16">
        <v>200000</v>
      </c>
      <c r="AJ273" s="16">
        <v>0</v>
      </c>
      <c r="AK273" s="16">
        <v>0</v>
      </c>
      <c r="AL273" s="16">
        <v>50000</v>
      </c>
      <c r="AM273" s="16">
        <v>0</v>
      </c>
      <c r="AN273" s="16">
        <v>0</v>
      </c>
      <c r="AO273" s="16">
        <v>0</v>
      </c>
      <c r="AP273" s="16">
        <v>0</v>
      </c>
      <c r="AQ273" s="16">
        <v>0</v>
      </c>
      <c r="AR273" s="16">
        <v>0</v>
      </c>
      <c r="AS273" s="16">
        <v>0</v>
      </c>
      <c r="AT273" s="16">
        <v>0</v>
      </c>
      <c r="AU273" s="16">
        <v>0</v>
      </c>
      <c r="AV273" s="16">
        <v>0</v>
      </c>
      <c r="AW273" s="16">
        <v>0</v>
      </c>
      <c r="AX273" s="16">
        <v>0</v>
      </c>
      <c r="AY273" s="16">
        <v>0</v>
      </c>
      <c r="AZ273" s="16">
        <v>0</v>
      </c>
      <c r="BA273" s="16"/>
      <c r="BB273" s="15">
        <f t="shared" si="163"/>
        <v>604016</v>
      </c>
      <c r="BC273" s="16">
        <v>0</v>
      </c>
      <c r="BD273" s="16">
        <v>189600</v>
      </c>
      <c r="BE273" s="16">
        <v>0</v>
      </c>
      <c r="BF273" s="16">
        <v>18960</v>
      </c>
      <c r="BG273" s="16">
        <v>0</v>
      </c>
      <c r="BH273" s="16">
        <v>123870</v>
      </c>
      <c r="BI273" s="16">
        <v>170950</v>
      </c>
      <c r="BJ273" s="16">
        <v>25036</v>
      </c>
      <c r="BK273" s="16">
        <v>8100</v>
      </c>
      <c r="BL273" s="16">
        <v>0</v>
      </c>
      <c r="BM273" s="16">
        <v>0</v>
      </c>
      <c r="BN273" s="16">
        <v>67500</v>
      </c>
      <c r="BO273" s="16">
        <v>0</v>
      </c>
      <c r="BP273" s="16">
        <v>0</v>
      </c>
      <c r="BQ273" s="16">
        <v>0</v>
      </c>
      <c r="BR273" s="16">
        <v>0</v>
      </c>
      <c r="BS273" s="16">
        <v>0</v>
      </c>
      <c r="BT273" s="16">
        <v>0</v>
      </c>
      <c r="BU273" s="16">
        <v>0</v>
      </c>
      <c r="BV273" s="16">
        <v>0</v>
      </c>
      <c r="BW273" s="16">
        <v>0</v>
      </c>
    </row>
    <row r="274" spans="1:75" s="1" customFormat="1" ht="18" customHeight="1" collapsed="1">
      <c r="A274" s="10"/>
      <c r="B274" s="18"/>
      <c r="C274" s="19"/>
      <c r="D274" s="18"/>
      <c r="E274" s="19"/>
      <c r="F274" s="19"/>
      <c r="G274" s="19"/>
      <c r="H274" s="19"/>
      <c r="I274" s="19"/>
      <c r="J274" s="20"/>
      <c r="K274" s="19"/>
      <c r="L274" s="19"/>
      <c r="M274" s="19"/>
      <c r="N274" s="19"/>
      <c r="O274" s="21"/>
      <c r="P274" s="22"/>
      <c r="Q274" s="667" t="s">
        <v>63</v>
      </c>
      <c r="R274" s="667"/>
      <c r="S274" s="667"/>
      <c r="T274" s="23">
        <f t="shared" ref="T274:AZ274" si="164">SUMIF($Q$2:$Q$793,$Q275,T$2:T$793)</f>
        <v>48936160</v>
      </c>
      <c r="U274" s="23">
        <f t="shared" si="164"/>
        <v>56164173</v>
      </c>
      <c r="V274" s="23">
        <f t="shared" si="164"/>
        <v>32340000</v>
      </c>
      <c r="W274" s="23">
        <f t="shared" si="164"/>
        <v>12080880</v>
      </c>
      <c r="X274" s="23">
        <f t="shared" si="164"/>
        <v>0</v>
      </c>
      <c r="Y274" s="23">
        <f t="shared" si="164"/>
        <v>0</v>
      </c>
      <c r="Z274" s="23">
        <f t="shared" si="164"/>
        <v>0</v>
      </c>
      <c r="AA274" s="23">
        <f t="shared" si="164"/>
        <v>0</v>
      </c>
      <c r="AB274" s="23">
        <f t="shared" si="164"/>
        <v>0</v>
      </c>
      <c r="AC274" s="23">
        <f t="shared" si="164"/>
        <v>0</v>
      </c>
      <c r="AD274" s="23">
        <f t="shared" si="164"/>
        <v>6703293</v>
      </c>
      <c r="AE274" s="23">
        <f t="shared" si="164"/>
        <v>1100000</v>
      </c>
      <c r="AF274" s="23">
        <f t="shared" si="164"/>
        <v>0</v>
      </c>
      <c r="AG274" s="23">
        <f t="shared" si="164"/>
        <v>0</v>
      </c>
      <c r="AH274" s="23">
        <f t="shared" si="164"/>
        <v>0</v>
      </c>
      <c r="AI274" s="23">
        <f t="shared" si="164"/>
        <v>2400000</v>
      </c>
      <c r="AJ274" s="23">
        <f t="shared" si="164"/>
        <v>350000</v>
      </c>
      <c r="AK274" s="23">
        <f t="shared" si="164"/>
        <v>300000</v>
      </c>
      <c r="AL274" s="23">
        <f t="shared" si="164"/>
        <v>600000</v>
      </c>
      <c r="AM274" s="23">
        <f t="shared" si="164"/>
        <v>0</v>
      </c>
      <c r="AN274" s="23">
        <f t="shared" si="164"/>
        <v>0</v>
      </c>
      <c r="AO274" s="23">
        <f t="shared" si="164"/>
        <v>50000</v>
      </c>
      <c r="AP274" s="23">
        <f t="shared" si="164"/>
        <v>150000</v>
      </c>
      <c r="AQ274" s="23">
        <f t="shared" si="164"/>
        <v>90000</v>
      </c>
      <c r="AR274" s="23">
        <f t="shared" si="164"/>
        <v>0</v>
      </c>
      <c r="AS274" s="23">
        <f t="shared" si="164"/>
        <v>0</v>
      </c>
      <c r="AT274" s="23">
        <f t="shared" si="164"/>
        <v>0</v>
      </c>
      <c r="AU274" s="23">
        <f t="shared" si="164"/>
        <v>0</v>
      </c>
      <c r="AV274" s="23">
        <f t="shared" si="164"/>
        <v>0</v>
      </c>
      <c r="AW274" s="23">
        <f t="shared" si="164"/>
        <v>0</v>
      </c>
      <c r="AX274" s="23">
        <f t="shared" si="164"/>
        <v>0</v>
      </c>
      <c r="AY274" s="23">
        <f t="shared" si="164"/>
        <v>0</v>
      </c>
      <c r="AZ274" s="23">
        <f t="shared" si="164"/>
        <v>0</v>
      </c>
      <c r="BA274" s="23"/>
      <c r="BB274" s="23">
        <f t="shared" ref="BB274:BW274" si="165">SUMIF($Q$2:$Q$793,$Q275,BB$2:BB$793)</f>
        <v>7228013</v>
      </c>
      <c r="BC274" s="23">
        <f t="shared" si="165"/>
        <v>-957550</v>
      </c>
      <c r="BD274" s="23">
        <f t="shared" si="165"/>
        <v>3427920</v>
      </c>
      <c r="BE274" s="23">
        <f t="shared" si="165"/>
        <v>0</v>
      </c>
      <c r="BF274" s="23">
        <f t="shared" si="165"/>
        <v>342740</v>
      </c>
      <c r="BG274" s="23">
        <f t="shared" si="165"/>
        <v>0</v>
      </c>
      <c r="BH274" s="23">
        <f t="shared" si="165"/>
        <v>1493790</v>
      </c>
      <c r="BI274" s="23">
        <f t="shared" si="165"/>
        <v>2100300</v>
      </c>
      <c r="BJ274" s="23">
        <f t="shared" si="165"/>
        <v>355963</v>
      </c>
      <c r="BK274" s="23">
        <f t="shared" si="165"/>
        <v>97200</v>
      </c>
      <c r="BL274" s="23">
        <f t="shared" si="165"/>
        <v>0</v>
      </c>
      <c r="BM274" s="23">
        <f t="shared" si="165"/>
        <v>350000</v>
      </c>
      <c r="BN274" s="23">
        <f t="shared" si="165"/>
        <v>73500</v>
      </c>
      <c r="BO274" s="23">
        <f t="shared" si="165"/>
        <v>-70400</v>
      </c>
      <c r="BP274" s="23">
        <f t="shared" si="165"/>
        <v>6550</v>
      </c>
      <c r="BQ274" s="23">
        <f t="shared" si="165"/>
        <v>0</v>
      </c>
      <c r="BR274" s="23">
        <f t="shared" si="165"/>
        <v>0</v>
      </c>
      <c r="BS274" s="23">
        <f t="shared" si="165"/>
        <v>8000</v>
      </c>
      <c r="BT274" s="23">
        <f t="shared" si="165"/>
        <v>0</v>
      </c>
      <c r="BU274" s="23">
        <f t="shared" si="165"/>
        <v>0</v>
      </c>
      <c r="BV274" s="23">
        <f t="shared" si="165"/>
        <v>0</v>
      </c>
      <c r="BW274" s="23">
        <f t="shared" si="165"/>
        <v>0</v>
      </c>
    </row>
    <row r="275" spans="1:75" ht="18" hidden="1" customHeight="1" outlineLevel="1">
      <c r="Q275" s="5">
        <v>2015</v>
      </c>
      <c r="R275" s="5">
        <v>12</v>
      </c>
      <c r="S275" s="5" t="s">
        <v>56</v>
      </c>
      <c r="T275" s="15">
        <f t="shared" ref="T275:T287" si="166">IF(U275=U275-BB275,0,U275-BB275)</f>
        <v>3589234</v>
      </c>
      <c r="U275" s="15">
        <f t="shared" ref="U275:U287" si="167">SUM(V275:BA275)</f>
        <v>4151740</v>
      </c>
      <c r="V275" s="16">
        <v>2695000</v>
      </c>
      <c r="W275" s="16">
        <v>1006740</v>
      </c>
      <c r="X275" s="16">
        <v>0</v>
      </c>
      <c r="Y275" s="16">
        <v>0</v>
      </c>
      <c r="Z275" s="16">
        <v>0</v>
      </c>
      <c r="AA275" s="16">
        <v>0</v>
      </c>
      <c r="AB275" s="16">
        <v>0</v>
      </c>
      <c r="AC275" s="16">
        <v>0</v>
      </c>
      <c r="AD275" s="16">
        <v>0</v>
      </c>
      <c r="AE275" s="16">
        <v>0</v>
      </c>
      <c r="AF275" s="16">
        <v>0</v>
      </c>
      <c r="AG275" s="16">
        <v>0</v>
      </c>
      <c r="AH275" s="16">
        <v>0</v>
      </c>
      <c r="AI275" s="16">
        <v>200000</v>
      </c>
      <c r="AJ275" s="16">
        <v>0</v>
      </c>
      <c r="AK275" s="16">
        <v>0</v>
      </c>
      <c r="AL275" s="16">
        <v>50000</v>
      </c>
      <c r="AM275" s="16">
        <v>0</v>
      </c>
      <c r="AN275" s="16">
        <v>0</v>
      </c>
      <c r="AO275" s="16">
        <v>50000</v>
      </c>
      <c r="AP275" s="16">
        <v>150000</v>
      </c>
      <c r="AQ275" s="16">
        <v>0</v>
      </c>
      <c r="AR275" s="16">
        <v>0</v>
      </c>
      <c r="AS275" s="16">
        <v>0</v>
      </c>
      <c r="AT275" s="16">
        <v>0</v>
      </c>
      <c r="AU275" s="16">
        <v>0</v>
      </c>
      <c r="AV275" s="16">
        <v>0</v>
      </c>
      <c r="AW275" s="16">
        <v>0</v>
      </c>
      <c r="AX275" s="16">
        <v>0</v>
      </c>
      <c r="AY275" s="16">
        <v>0</v>
      </c>
      <c r="AZ275" s="16">
        <v>0</v>
      </c>
      <c r="BA275" s="16"/>
      <c r="BB275" s="15">
        <f t="shared" ref="BB275:BB287" si="168">SUM(BC275:BW275)</f>
        <v>562506</v>
      </c>
      <c r="BC275" s="16">
        <v>0</v>
      </c>
      <c r="BD275" s="16">
        <v>189600</v>
      </c>
      <c r="BE275" s="16">
        <v>0</v>
      </c>
      <c r="BF275" s="16">
        <v>18960</v>
      </c>
      <c r="BG275" s="16">
        <v>0</v>
      </c>
      <c r="BH275" s="16">
        <v>122860</v>
      </c>
      <c r="BI275" s="16">
        <v>170950</v>
      </c>
      <c r="BJ275" s="16">
        <v>25036</v>
      </c>
      <c r="BK275" s="16">
        <v>8100</v>
      </c>
      <c r="BL275" s="16">
        <v>0</v>
      </c>
      <c r="BM275" s="16">
        <v>0</v>
      </c>
      <c r="BN275" s="16">
        <v>27000</v>
      </c>
      <c r="BO275" s="16">
        <v>0</v>
      </c>
      <c r="BP275" s="16">
        <v>0</v>
      </c>
      <c r="BQ275" s="16">
        <v>0</v>
      </c>
      <c r="BR275" s="16">
        <v>0</v>
      </c>
      <c r="BS275" s="16">
        <v>0</v>
      </c>
      <c r="BT275" s="16">
        <v>0</v>
      </c>
      <c r="BU275" s="16">
        <v>0</v>
      </c>
      <c r="BV275" s="16">
        <v>0</v>
      </c>
      <c r="BW275" s="16">
        <v>0</v>
      </c>
    </row>
    <row r="276" spans="1:75" ht="18" hidden="1" customHeight="1" outlineLevel="1">
      <c r="Q276" s="5">
        <v>2015</v>
      </c>
      <c r="R276" s="5">
        <v>11</v>
      </c>
      <c r="S276" s="5" t="s">
        <v>56</v>
      </c>
      <c r="T276" s="15">
        <f t="shared" si="166"/>
        <v>3482969</v>
      </c>
      <c r="U276" s="15">
        <f t="shared" si="167"/>
        <v>4041740</v>
      </c>
      <c r="V276" s="16">
        <v>2695000</v>
      </c>
      <c r="W276" s="16">
        <v>1006740</v>
      </c>
      <c r="X276" s="16">
        <v>0</v>
      </c>
      <c r="Y276" s="16">
        <v>0</v>
      </c>
      <c r="Z276" s="16">
        <v>0</v>
      </c>
      <c r="AA276" s="16">
        <v>0</v>
      </c>
      <c r="AB276" s="16">
        <v>0</v>
      </c>
      <c r="AC276" s="16">
        <v>0</v>
      </c>
      <c r="AD276" s="16">
        <v>0</v>
      </c>
      <c r="AE276" s="16">
        <v>0</v>
      </c>
      <c r="AF276" s="16">
        <v>0</v>
      </c>
      <c r="AG276" s="16">
        <v>0</v>
      </c>
      <c r="AH276" s="16">
        <v>0</v>
      </c>
      <c r="AI276" s="16">
        <v>200000</v>
      </c>
      <c r="AJ276" s="16">
        <v>0</v>
      </c>
      <c r="AK276" s="16">
        <v>0</v>
      </c>
      <c r="AL276" s="16">
        <v>50000</v>
      </c>
      <c r="AM276" s="16">
        <v>0</v>
      </c>
      <c r="AN276" s="16">
        <v>0</v>
      </c>
      <c r="AO276" s="16">
        <v>0</v>
      </c>
      <c r="AP276" s="16">
        <v>0</v>
      </c>
      <c r="AQ276" s="16">
        <v>90000</v>
      </c>
      <c r="AR276" s="16">
        <v>0</v>
      </c>
      <c r="AS276" s="16">
        <v>0</v>
      </c>
      <c r="AT276" s="16">
        <v>0</v>
      </c>
      <c r="AU276" s="16">
        <v>0</v>
      </c>
      <c r="AV276" s="16">
        <v>0</v>
      </c>
      <c r="AW276" s="16">
        <v>0</v>
      </c>
      <c r="AX276" s="16">
        <v>0</v>
      </c>
      <c r="AY276" s="16">
        <v>0</v>
      </c>
      <c r="AZ276" s="16">
        <v>0</v>
      </c>
      <c r="BA276" s="16"/>
      <c r="BB276" s="15">
        <f t="shared" si="168"/>
        <v>558771</v>
      </c>
      <c r="BC276" s="16">
        <v>0</v>
      </c>
      <c r="BD276" s="16">
        <v>202950</v>
      </c>
      <c r="BE276" s="16">
        <v>0</v>
      </c>
      <c r="BF276" s="16">
        <v>20290</v>
      </c>
      <c r="BG276" s="16">
        <v>0</v>
      </c>
      <c r="BH276" s="16">
        <v>122860</v>
      </c>
      <c r="BI276" s="16">
        <v>170950</v>
      </c>
      <c r="BJ276" s="16">
        <v>25621</v>
      </c>
      <c r="BK276" s="16">
        <v>8100</v>
      </c>
      <c r="BL276" s="16">
        <v>0</v>
      </c>
      <c r="BM276" s="16">
        <v>0</v>
      </c>
      <c r="BN276" s="16">
        <v>0</v>
      </c>
      <c r="BO276" s="16">
        <v>0</v>
      </c>
      <c r="BP276" s="16">
        <v>0</v>
      </c>
      <c r="BQ276" s="16">
        <v>0</v>
      </c>
      <c r="BR276" s="16">
        <v>0</v>
      </c>
      <c r="BS276" s="16">
        <v>8000</v>
      </c>
      <c r="BT276" s="16">
        <v>0</v>
      </c>
      <c r="BU276" s="16">
        <v>0</v>
      </c>
      <c r="BV276" s="16">
        <v>0</v>
      </c>
      <c r="BW276" s="16">
        <v>0</v>
      </c>
    </row>
    <row r="277" spans="1:75" ht="18" hidden="1" customHeight="1" outlineLevel="1">
      <c r="Q277" s="5">
        <v>2015</v>
      </c>
      <c r="R277" s="5">
        <v>10</v>
      </c>
      <c r="S277" s="5" t="s">
        <v>56</v>
      </c>
      <c r="T277" s="15">
        <f t="shared" si="166"/>
        <v>3415734</v>
      </c>
      <c r="U277" s="15">
        <f t="shared" si="167"/>
        <v>3951740</v>
      </c>
      <c r="V277" s="16">
        <v>2695000</v>
      </c>
      <c r="W277" s="16">
        <v>1006740</v>
      </c>
      <c r="X277" s="16">
        <v>0</v>
      </c>
      <c r="Y277" s="16">
        <v>0</v>
      </c>
      <c r="Z277" s="16">
        <v>0</v>
      </c>
      <c r="AA277" s="16">
        <v>0</v>
      </c>
      <c r="AB277" s="16">
        <v>0</v>
      </c>
      <c r="AC277" s="16">
        <v>0</v>
      </c>
      <c r="AD277" s="16">
        <v>0</v>
      </c>
      <c r="AE277" s="16">
        <v>0</v>
      </c>
      <c r="AF277" s="16">
        <v>0</v>
      </c>
      <c r="AG277" s="16">
        <v>0</v>
      </c>
      <c r="AH277" s="16">
        <v>0</v>
      </c>
      <c r="AI277" s="16">
        <v>200000</v>
      </c>
      <c r="AJ277" s="16">
        <v>0</v>
      </c>
      <c r="AK277" s="16">
        <v>0</v>
      </c>
      <c r="AL277" s="16">
        <v>50000</v>
      </c>
      <c r="AM277" s="16">
        <v>0</v>
      </c>
      <c r="AN277" s="16">
        <v>0</v>
      </c>
      <c r="AO277" s="16">
        <v>0</v>
      </c>
      <c r="AP277" s="16">
        <v>0</v>
      </c>
      <c r="AQ277" s="16">
        <v>0</v>
      </c>
      <c r="AR277" s="16">
        <v>0</v>
      </c>
      <c r="AS277" s="16">
        <v>0</v>
      </c>
      <c r="AT277" s="16">
        <v>0</v>
      </c>
      <c r="AU277" s="16">
        <v>0</v>
      </c>
      <c r="AV277" s="16">
        <v>0</v>
      </c>
      <c r="AW277" s="16">
        <v>0</v>
      </c>
      <c r="AX277" s="16">
        <v>0</v>
      </c>
      <c r="AY277" s="16">
        <v>0</v>
      </c>
      <c r="AZ277" s="16">
        <v>0</v>
      </c>
      <c r="BA277" s="16"/>
      <c r="BB277" s="15">
        <f t="shared" si="168"/>
        <v>536006</v>
      </c>
      <c r="BC277" s="16">
        <v>0</v>
      </c>
      <c r="BD277" s="16">
        <v>189600</v>
      </c>
      <c r="BE277" s="16">
        <v>0</v>
      </c>
      <c r="BF277" s="16">
        <v>18960</v>
      </c>
      <c r="BG277" s="16">
        <v>0</v>
      </c>
      <c r="BH277" s="16">
        <v>122860</v>
      </c>
      <c r="BI277" s="16">
        <v>170950</v>
      </c>
      <c r="BJ277" s="16">
        <v>25036</v>
      </c>
      <c r="BK277" s="16">
        <v>8100</v>
      </c>
      <c r="BL277" s="16">
        <v>0</v>
      </c>
      <c r="BM277" s="16">
        <v>0</v>
      </c>
      <c r="BN277" s="16">
        <v>0</v>
      </c>
      <c r="BO277" s="16">
        <v>0</v>
      </c>
      <c r="BP277" s="16">
        <v>500</v>
      </c>
      <c r="BQ277" s="16">
        <v>0</v>
      </c>
      <c r="BR277" s="16">
        <v>0</v>
      </c>
      <c r="BS277" s="16">
        <v>0</v>
      </c>
      <c r="BT277" s="16">
        <v>0</v>
      </c>
      <c r="BU277" s="16">
        <v>0</v>
      </c>
      <c r="BV277" s="16">
        <v>0</v>
      </c>
      <c r="BW277" s="16">
        <v>0</v>
      </c>
    </row>
    <row r="278" spans="1:75" ht="18" hidden="1" customHeight="1" outlineLevel="1">
      <c r="Q278" s="5">
        <v>2015</v>
      </c>
      <c r="R278" s="5">
        <v>9</v>
      </c>
      <c r="S278" s="5" t="s">
        <v>56</v>
      </c>
      <c r="T278" s="15">
        <f t="shared" si="166"/>
        <v>3396404</v>
      </c>
      <c r="U278" s="15">
        <f t="shared" si="167"/>
        <v>4051740</v>
      </c>
      <c r="V278" s="16">
        <v>2695000</v>
      </c>
      <c r="W278" s="16">
        <v>1006740</v>
      </c>
      <c r="X278" s="16">
        <v>0</v>
      </c>
      <c r="Y278" s="16">
        <v>0</v>
      </c>
      <c r="Z278" s="16">
        <v>0</v>
      </c>
      <c r="AA278" s="16">
        <v>0</v>
      </c>
      <c r="AB278" s="16">
        <v>0</v>
      </c>
      <c r="AC278" s="16">
        <v>0</v>
      </c>
      <c r="AD278" s="16">
        <v>0</v>
      </c>
      <c r="AE278" s="16">
        <v>0</v>
      </c>
      <c r="AF278" s="16">
        <v>0</v>
      </c>
      <c r="AG278" s="16">
        <v>0</v>
      </c>
      <c r="AH278" s="16">
        <v>0</v>
      </c>
      <c r="AI278" s="16">
        <v>200000</v>
      </c>
      <c r="AJ278" s="16">
        <v>100000</v>
      </c>
      <c r="AK278" s="16">
        <v>0</v>
      </c>
      <c r="AL278" s="16">
        <v>50000</v>
      </c>
      <c r="AM278" s="16">
        <v>0</v>
      </c>
      <c r="AN278" s="16">
        <v>0</v>
      </c>
      <c r="AO278" s="16">
        <v>0</v>
      </c>
      <c r="AP278" s="16">
        <v>0</v>
      </c>
      <c r="AQ278" s="16">
        <v>0</v>
      </c>
      <c r="AR278" s="16">
        <v>0</v>
      </c>
      <c r="AS278" s="16">
        <v>0</v>
      </c>
      <c r="AT278" s="16">
        <v>0</v>
      </c>
      <c r="AU278" s="16">
        <v>0</v>
      </c>
      <c r="AV278" s="16">
        <v>0</v>
      </c>
      <c r="AW278" s="16">
        <v>0</v>
      </c>
      <c r="AX278" s="16">
        <v>0</v>
      </c>
      <c r="AY278" s="16">
        <v>0</v>
      </c>
      <c r="AZ278" s="16">
        <v>0</v>
      </c>
      <c r="BA278" s="16"/>
      <c r="BB278" s="15">
        <f t="shared" si="168"/>
        <v>655336</v>
      </c>
      <c r="BC278" s="16">
        <v>0</v>
      </c>
      <c r="BD278" s="16">
        <v>202950</v>
      </c>
      <c r="BE278" s="16">
        <v>0</v>
      </c>
      <c r="BF278" s="16">
        <v>20290</v>
      </c>
      <c r="BG278" s="16">
        <v>0</v>
      </c>
      <c r="BH278" s="16">
        <v>122860</v>
      </c>
      <c r="BI278" s="16">
        <v>170950</v>
      </c>
      <c r="BJ278" s="16">
        <v>25686</v>
      </c>
      <c r="BK278" s="16">
        <v>8100</v>
      </c>
      <c r="BL278" s="16">
        <v>0</v>
      </c>
      <c r="BM278" s="16">
        <v>100000</v>
      </c>
      <c r="BN278" s="16">
        <v>4500</v>
      </c>
      <c r="BO278" s="16">
        <v>0</v>
      </c>
      <c r="BP278" s="16">
        <v>0</v>
      </c>
      <c r="BQ278" s="16">
        <v>0</v>
      </c>
      <c r="BR278" s="16">
        <v>0</v>
      </c>
      <c r="BS278" s="16">
        <v>0</v>
      </c>
      <c r="BT278" s="16">
        <v>0</v>
      </c>
      <c r="BU278" s="16">
        <v>0</v>
      </c>
      <c r="BV278" s="16">
        <v>0</v>
      </c>
      <c r="BW278" s="16">
        <v>0</v>
      </c>
    </row>
    <row r="279" spans="1:75" ht="18" hidden="1" customHeight="1" outlineLevel="1">
      <c r="Q279" s="5">
        <v>2015</v>
      </c>
      <c r="R279" s="5">
        <v>8</v>
      </c>
      <c r="S279" s="5" t="s">
        <v>56</v>
      </c>
      <c r="T279" s="15">
        <f t="shared" si="166"/>
        <v>3407234</v>
      </c>
      <c r="U279" s="15">
        <f t="shared" si="167"/>
        <v>3951740</v>
      </c>
      <c r="V279" s="16">
        <v>2695000</v>
      </c>
      <c r="W279" s="16">
        <v>1006740</v>
      </c>
      <c r="X279" s="16">
        <v>0</v>
      </c>
      <c r="Y279" s="16">
        <v>0</v>
      </c>
      <c r="Z279" s="16">
        <v>0</v>
      </c>
      <c r="AA279" s="16">
        <v>0</v>
      </c>
      <c r="AB279" s="16">
        <v>0</v>
      </c>
      <c r="AC279" s="16">
        <v>0</v>
      </c>
      <c r="AD279" s="16">
        <v>0</v>
      </c>
      <c r="AE279" s="16">
        <v>0</v>
      </c>
      <c r="AF279" s="16">
        <v>0</v>
      </c>
      <c r="AG279" s="16">
        <v>0</v>
      </c>
      <c r="AH279" s="16">
        <v>0</v>
      </c>
      <c r="AI279" s="16">
        <v>200000</v>
      </c>
      <c r="AJ279" s="16">
        <v>0</v>
      </c>
      <c r="AK279" s="16">
        <v>0</v>
      </c>
      <c r="AL279" s="16">
        <v>50000</v>
      </c>
      <c r="AM279" s="16">
        <v>0</v>
      </c>
      <c r="AN279" s="16">
        <v>0</v>
      </c>
      <c r="AO279" s="16">
        <v>0</v>
      </c>
      <c r="AP279" s="16">
        <v>0</v>
      </c>
      <c r="AQ279" s="16">
        <v>0</v>
      </c>
      <c r="AR279" s="16">
        <v>0</v>
      </c>
      <c r="AS279" s="16">
        <v>0</v>
      </c>
      <c r="AT279" s="16">
        <v>0</v>
      </c>
      <c r="AU279" s="16">
        <v>0</v>
      </c>
      <c r="AV279" s="16">
        <v>0</v>
      </c>
      <c r="AW279" s="16">
        <v>0</v>
      </c>
      <c r="AX279" s="16">
        <v>0</v>
      </c>
      <c r="AY279" s="16">
        <v>0</v>
      </c>
      <c r="AZ279" s="16">
        <v>0</v>
      </c>
      <c r="BA279" s="16"/>
      <c r="BB279" s="15">
        <f t="shared" si="168"/>
        <v>544506</v>
      </c>
      <c r="BC279" s="16">
        <v>0</v>
      </c>
      <c r="BD279" s="16">
        <v>189600</v>
      </c>
      <c r="BE279" s="16">
        <v>0</v>
      </c>
      <c r="BF279" s="16">
        <v>18960</v>
      </c>
      <c r="BG279" s="16">
        <v>0</v>
      </c>
      <c r="BH279" s="16">
        <v>122860</v>
      </c>
      <c r="BI279" s="16">
        <v>170950</v>
      </c>
      <c r="BJ279" s="16">
        <v>25036</v>
      </c>
      <c r="BK279" s="16">
        <v>8100</v>
      </c>
      <c r="BL279" s="16">
        <v>0</v>
      </c>
      <c r="BM279" s="16">
        <v>0</v>
      </c>
      <c r="BN279" s="16">
        <v>9000</v>
      </c>
      <c r="BO279" s="16">
        <v>0</v>
      </c>
      <c r="BP279" s="16">
        <v>0</v>
      </c>
      <c r="BQ279" s="16">
        <v>0</v>
      </c>
      <c r="BR279" s="16">
        <v>0</v>
      </c>
      <c r="BS279" s="16">
        <v>0</v>
      </c>
      <c r="BT279" s="16">
        <v>0</v>
      </c>
      <c r="BU279" s="16">
        <v>0</v>
      </c>
      <c r="BV279" s="16">
        <v>0</v>
      </c>
      <c r="BW279" s="16">
        <v>0</v>
      </c>
    </row>
    <row r="280" spans="1:75" ht="18" hidden="1" customHeight="1" outlineLevel="1">
      <c r="Q280" s="5">
        <v>2015</v>
      </c>
      <c r="R280" s="5">
        <v>7</v>
      </c>
      <c r="S280" s="5" t="s">
        <v>56</v>
      </c>
      <c r="T280" s="15">
        <f t="shared" si="166"/>
        <v>3668134</v>
      </c>
      <c r="U280" s="15">
        <f t="shared" si="167"/>
        <v>4251740</v>
      </c>
      <c r="V280" s="16">
        <v>2695000</v>
      </c>
      <c r="W280" s="16">
        <v>1006740</v>
      </c>
      <c r="X280" s="16">
        <v>0</v>
      </c>
      <c r="Y280" s="16">
        <v>0</v>
      </c>
      <c r="Z280" s="16">
        <v>0</v>
      </c>
      <c r="AA280" s="16">
        <v>0</v>
      </c>
      <c r="AB280" s="16">
        <v>0</v>
      </c>
      <c r="AC280" s="16">
        <v>0</v>
      </c>
      <c r="AD280" s="16">
        <v>0</v>
      </c>
      <c r="AE280" s="16">
        <v>0</v>
      </c>
      <c r="AF280" s="16">
        <v>0</v>
      </c>
      <c r="AG280" s="16">
        <v>0</v>
      </c>
      <c r="AH280" s="16">
        <v>0</v>
      </c>
      <c r="AI280" s="16">
        <v>200000</v>
      </c>
      <c r="AJ280" s="16">
        <v>0</v>
      </c>
      <c r="AK280" s="16">
        <v>300000</v>
      </c>
      <c r="AL280" s="16">
        <v>50000</v>
      </c>
      <c r="AM280" s="16">
        <v>0</v>
      </c>
      <c r="AN280" s="16">
        <v>0</v>
      </c>
      <c r="AO280" s="16">
        <v>0</v>
      </c>
      <c r="AP280" s="16">
        <v>0</v>
      </c>
      <c r="AQ280" s="16">
        <v>0</v>
      </c>
      <c r="AR280" s="16">
        <v>0</v>
      </c>
      <c r="AS280" s="16">
        <v>0</v>
      </c>
      <c r="AT280" s="16">
        <v>0</v>
      </c>
      <c r="AU280" s="16">
        <v>0</v>
      </c>
      <c r="AV280" s="16">
        <v>0</v>
      </c>
      <c r="AW280" s="16">
        <v>0</v>
      </c>
      <c r="AX280" s="16">
        <v>0</v>
      </c>
      <c r="AY280" s="16">
        <v>0</v>
      </c>
      <c r="AZ280" s="16">
        <v>0</v>
      </c>
      <c r="BA280" s="16"/>
      <c r="BB280" s="15">
        <f t="shared" si="168"/>
        <v>583606</v>
      </c>
      <c r="BC280" s="16">
        <v>0</v>
      </c>
      <c r="BD280" s="16">
        <v>230790</v>
      </c>
      <c r="BE280" s="16">
        <v>0</v>
      </c>
      <c r="BF280" s="16">
        <v>23070</v>
      </c>
      <c r="BG280" s="16">
        <v>0</v>
      </c>
      <c r="BH280" s="16">
        <v>122860</v>
      </c>
      <c r="BI280" s="16">
        <v>170950</v>
      </c>
      <c r="BJ280" s="16">
        <v>26986</v>
      </c>
      <c r="BK280" s="16">
        <v>8100</v>
      </c>
      <c r="BL280" s="16">
        <v>0</v>
      </c>
      <c r="BM280" s="16">
        <v>0</v>
      </c>
      <c r="BN280" s="16">
        <v>0</v>
      </c>
      <c r="BO280" s="16">
        <v>0</v>
      </c>
      <c r="BP280" s="16">
        <v>850</v>
      </c>
      <c r="BQ280" s="16">
        <v>0</v>
      </c>
      <c r="BR280" s="16">
        <v>0</v>
      </c>
      <c r="BS280" s="16">
        <v>0</v>
      </c>
      <c r="BT280" s="16">
        <v>0</v>
      </c>
      <c r="BU280" s="16">
        <v>0</v>
      </c>
      <c r="BV280" s="16">
        <v>0</v>
      </c>
      <c r="BW280" s="16">
        <v>0</v>
      </c>
    </row>
    <row r="281" spans="1:75" ht="18" hidden="1" customHeight="1" outlineLevel="1">
      <c r="Q281" s="5">
        <v>2015</v>
      </c>
      <c r="R281" s="5">
        <v>6</v>
      </c>
      <c r="S281" s="5" t="s">
        <v>56</v>
      </c>
      <c r="T281" s="15">
        <f t="shared" si="166"/>
        <v>4410814</v>
      </c>
      <c r="U281" s="15">
        <f t="shared" si="167"/>
        <v>5051740</v>
      </c>
      <c r="V281" s="16">
        <v>2695000</v>
      </c>
      <c r="W281" s="16">
        <v>1006740</v>
      </c>
      <c r="X281" s="16">
        <v>0</v>
      </c>
      <c r="Y281" s="16">
        <v>0</v>
      </c>
      <c r="Z281" s="16">
        <v>0</v>
      </c>
      <c r="AA281" s="16">
        <v>0</v>
      </c>
      <c r="AB281" s="16">
        <v>0</v>
      </c>
      <c r="AC281" s="16">
        <v>0</v>
      </c>
      <c r="AD281" s="16">
        <v>0</v>
      </c>
      <c r="AE281" s="16">
        <v>1100000</v>
      </c>
      <c r="AF281" s="16">
        <v>0</v>
      </c>
      <c r="AG281" s="16">
        <v>0</v>
      </c>
      <c r="AH281" s="16">
        <v>0</v>
      </c>
      <c r="AI281" s="16">
        <v>200000</v>
      </c>
      <c r="AJ281" s="16">
        <v>0</v>
      </c>
      <c r="AK281" s="16">
        <v>0</v>
      </c>
      <c r="AL281" s="16">
        <v>50000</v>
      </c>
      <c r="AM281" s="16">
        <v>0</v>
      </c>
      <c r="AN281" s="16">
        <v>0</v>
      </c>
      <c r="AO281" s="16">
        <v>0</v>
      </c>
      <c r="AP281" s="16">
        <v>0</v>
      </c>
      <c r="AQ281" s="16">
        <v>0</v>
      </c>
      <c r="AR281" s="16">
        <v>0</v>
      </c>
      <c r="AS281" s="16">
        <v>0</v>
      </c>
      <c r="AT281" s="16">
        <v>0</v>
      </c>
      <c r="AU281" s="16">
        <v>0</v>
      </c>
      <c r="AV281" s="16">
        <v>0</v>
      </c>
      <c r="AW281" s="16">
        <v>0</v>
      </c>
      <c r="AX281" s="16">
        <v>0</v>
      </c>
      <c r="AY281" s="16">
        <v>0</v>
      </c>
      <c r="AZ281" s="16">
        <v>0</v>
      </c>
      <c r="BA281" s="16"/>
      <c r="BB281" s="15">
        <f t="shared" si="168"/>
        <v>640926</v>
      </c>
      <c r="BC281" s="16">
        <v>0</v>
      </c>
      <c r="BD281" s="16">
        <v>335530</v>
      </c>
      <c r="BE281" s="16">
        <v>0</v>
      </c>
      <c r="BF281" s="16">
        <v>33550</v>
      </c>
      <c r="BG281" s="16">
        <v>0</v>
      </c>
      <c r="BH281" s="16">
        <v>122860</v>
      </c>
      <c r="BI281" s="16">
        <v>179100</v>
      </c>
      <c r="BJ281" s="16">
        <v>32186</v>
      </c>
      <c r="BK281" s="16">
        <v>8100</v>
      </c>
      <c r="BL281" s="16">
        <v>0</v>
      </c>
      <c r="BM281" s="16">
        <v>0</v>
      </c>
      <c r="BN281" s="16">
        <v>0</v>
      </c>
      <c r="BO281" s="16">
        <v>-70400</v>
      </c>
      <c r="BP281" s="16">
        <v>0</v>
      </c>
      <c r="BQ281" s="16">
        <v>0</v>
      </c>
      <c r="BR281" s="16">
        <v>0</v>
      </c>
      <c r="BS281" s="16">
        <v>0</v>
      </c>
      <c r="BT281" s="16">
        <v>0</v>
      </c>
      <c r="BU281" s="16">
        <v>0</v>
      </c>
      <c r="BV281" s="16">
        <v>0</v>
      </c>
      <c r="BW281" s="16">
        <v>0</v>
      </c>
    </row>
    <row r="282" spans="1:75" ht="18" hidden="1" customHeight="1" outlineLevel="1">
      <c r="Q282" s="5">
        <v>2015</v>
      </c>
      <c r="R282" s="5">
        <v>5</v>
      </c>
      <c r="S282" s="5" t="s">
        <v>28</v>
      </c>
      <c r="T282" s="15">
        <f t="shared" si="166"/>
        <v>5614852</v>
      </c>
      <c r="U282" s="15">
        <f t="shared" si="167"/>
        <v>6703293</v>
      </c>
      <c r="V282" s="16">
        <v>0</v>
      </c>
      <c r="W282" s="16">
        <v>0</v>
      </c>
      <c r="X282" s="16">
        <v>0</v>
      </c>
      <c r="Y282" s="16">
        <v>0</v>
      </c>
      <c r="Z282" s="16">
        <v>0</v>
      </c>
      <c r="AA282" s="16">
        <v>0</v>
      </c>
      <c r="AB282" s="16">
        <v>0</v>
      </c>
      <c r="AC282" s="16">
        <v>0</v>
      </c>
      <c r="AD282" s="16">
        <v>6703293</v>
      </c>
      <c r="AE282" s="16">
        <v>0</v>
      </c>
      <c r="AF282" s="16">
        <v>0</v>
      </c>
      <c r="AG282" s="16">
        <v>0</v>
      </c>
      <c r="AH282" s="16">
        <v>0</v>
      </c>
      <c r="AI282" s="16">
        <v>0</v>
      </c>
      <c r="AJ282" s="16">
        <v>0</v>
      </c>
      <c r="AK282" s="16">
        <v>0</v>
      </c>
      <c r="AL282" s="16">
        <v>0</v>
      </c>
      <c r="AM282" s="16">
        <v>0</v>
      </c>
      <c r="AN282" s="16">
        <v>0</v>
      </c>
      <c r="AO282" s="16">
        <v>0</v>
      </c>
      <c r="AP282" s="16">
        <v>0</v>
      </c>
      <c r="AQ282" s="16">
        <v>0</v>
      </c>
      <c r="AR282" s="16">
        <v>0</v>
      </c>
      <c r="AS282" s="16">
        <v>0</v>
      </c>
      <c r="AT282" s="16">
        <v>0</v>
      </c>
      <c r="AU282" s="16">
        <v>0</v>
      </c>
      <c r="AV282" s="16">
        <v>0</v>
      </c>
      <c r="AW282" s="16">
        <v>0</v>
      </c>
      <c r="AX282" s="16">
        <v>0</v>
      </c>
      <c r="AY282" s="16">
        <v>0</v>
      </c>
      <c r="AZ282" s="16">
        <v>0</v>
      </c>
      <c r="BA282" s="16"/>
      <c r="BB282" s="15">
        <f t="shared" si="168"/>
        <v>1088441</v>
      </c>
      <c r="BC282" s="16">
        <v>0</v>
      </c>
      <c r="BD282" s="16">
        <v>949890</v>
      </c>
      <c r="BE282" s="16">
        <v>0</v>
      </c>
      <c r="BF282" s="16">
        <v>94980</v>
      </c>
      <c r="BG282" s="16">
        <v>0</v>
      </c>
      <c r="BH282" s="16">
        <v>0</v>
      </c>
      <c r="BI282" s="16">
        <v>0</v>
      </c>
      <c r="BJ282" s="16">
        <v>43571</v>
      </c>
      <c r="BK282" s="16">
        <v>0</v>
      </c>
      <c r="BL282" s="16">
        <v>0</v>
      </c>
      <c r="BM282" s="16">
        <v>0</v>
      </c>
      <c r="BN282" s="16">
        <v>0</v>
      </c>
      <c r="BO282" s="16">
        <v>0</v>
      </c>
      <c r="BP282" s="16">
        <v>0</v>
      </c>
      <c r="BQ282" s="16">
        <v>0</v>
      </c>
      <c r="BR282" s="16">
        <v>0</v>
      </c>
      <c r="BS282" s="16">
        <v>0</v>
      </c>
      <c r="BT282" s="16">
        <v>0</v>
      </c>
      <c r="BU282" s="16">
        <v>0</v>
      </c>
      <c r="BV282" s="16">
        <v>0</v>
      </c>
      <c r="BW282" s="16">
        <v>0</v>
      </c>
    </row>
    <row r="283" spans="1:75" ht="18" hidden="1" customHeight="1" outlineLevel="1">
      <c r="Q283" s="5">
        <v>2015</v>
      </c>
      <c r="R283" s="5">
        <v>5</v>
      </c>
      <c r="S283" s="5" t="s">
        <v>56</v>
      </c>
      <c r="T283" s="15">
        <f t="shared" si="166"/>
        <v>3396329</v>
      </c>
      <c r="U283" s="15">
        <f t="shared" si="167"/>
        <v>4101740</v>
      </c>
      <c r="V283" s="16">
        <v>2695000</v>
      </c>
      <c r="W283" s="16">
        <v>1006740</v>
      </c>
      <c r="X283" s="16">
        <v>0</v>
      </c>
      <c r="Y283" s="16">
        <v>0</v>
      </c>
      <c r="Z283" s="16">
        <v>0</v>
      </c>
      <c r="AA283" s="16">
        <v>0</v>
      </c>
      <c r="AB283" s="16">
        <v>0</v>
      </c>
      <c r="AC283" s="16">
        <v>0</v>
      </c>
      <c r="AD283" s="16">
        <v>0</v>
      </c>
      <c r="AE283" s="16">
        <v>0</v>
      </c>
      <c r="AF283" s="16">
        <v>0</v>
      </c>
      <c r="AG283" s="16">
        <v>0</v>
      </c>
      <c r="AH283" s="16">
        <v>0</v>
      </c>
      <c r="AI283" s="16">
        <v>200000</v>
      </c>
      <c r="AJ283" s="16">
        <v>150000</v>
      </c>
      <c r="AK283" s="16">
        <v>0</v>
      </c>
      <c r="AL283" s="16">
        <v>50000</v>
      </c>
      <c r="AM283" s="16">
        <v>0</v>
      </c>
      <c r="AN283" s="16">
        <v>0</v>
      </c>
      <c r="AO283" s="16">
        <v>0</v>
      </c>
      <c r="AP283" s="16">
        <v>0</v>
      </c>
      <c r="AQ283" s="16">
        <v>0</v>
      </c>
      <c r="AR283" s="16">
        <v>0</v>
      </c>
      <c r="AS283" s="16">
        <v>0</v>
      </c>
      <c r="AT283" s="16">
        <v>0</v>
      </c>
      <c r="AU283" s="16">
        <v>0</v>
      </c>
      <c r="AV283" s="16">
        <v>0</v>
      </c>
      <c r="AW283" s="16">
        <v>0</v>
      </c>
      <c r="AX283" s="16">
        <v>0</v>
      </c>
      <c r="AY283" s="16">
        <v>0</v>
      </c>
      <c r="AZ283" s="16">
        <v>0</v>
      </c>
      <c r="BA283" s="16"/>
      <c r="BB283" s="15">
        <f t="shared" si="168"/>
        <v>705411</v>
      </c>
      <c r="BC283" s="16">
        <v>-2750</v>
      </c>
      <c r="BD283" s="16">
        <v>201900</v>
      </c>
      <c r="BE283" s="16">
        <v>0</v>
      </c>
      <c r="BF283" s="16">
        <v>20190</v>
      </c>
      <c r="BG283" s="16">
        <v>0</v>
      </c>
      <c r="BH283" s="16">
        <v>122860</v>
      </c>
      <c r="BI283" s="16">
        <v>179100</v>
      </c>
      <c r="BJ283" s="16">
        <v>26011</v>
      </c>
      <c r="BK283" s="16">
        <v>8100</v>
      </c>
      <c r="BL283" s="16">
        <v>0</v>
      </c>
      <c r="BM283" s="16">
        <v>150000</v>
      </c>
      <c r="BN283" s="16">
        <v>0</v>
      </c>
      <c r="BO283" s="16">
        <v>0</v>
      </c>
      <c r="BP283" s="16">
        <v>0</v>
      </c>
      <c r="BQ283" s="16">
        <v>0</v>
      </c>
      <c r="BR283" s="16">
        <v>0</v>
      </c>
      <c r="BS283" s="16">
        <v>0</v>
      </c>
      <c r="BT283" s="16">
        <v>0</v>
      </c>
      <c r="BU283" s="16">
        <v>0</v>
      </c>
      <c r="BV283" s="16">
        <v>0</v>
      </c>
      <c r="BW283" s="16">
        <v>0</v>
      </c>
    </row>
    <row r="284" spans="1:75" ht="18" hidden="1" customHeight="1" outlineLevel="1">
      <c r="Q284" s="5">
        <v>2015</v>
      </c>
      <c r="R284" s="5">
        <v>4</v>
      </c>
      <c r="S284" s="5" t="s">
        <v>56</v>
      </c>
      <c r="T284" s="15">
        <f t="shared" si="166"/>
        <v>3414944</v>
      </c>
      <c r="U284" s="15">
        <f t="shared" si="167"/>
        <v>3951740</v>
      </c>
      <c r="V284" s="16">
        <v>2695000</v>
      </c>
      <c r="W284" s="16">
        <v>1006740</v>
      </c>
      <c r="X284" s="16">
        <v>0</v>
      </c>
      <c r="Y284" s="16">
        <v>0</v>
      </c>
      <c r="Z284" s="16">
        <v>0</v>
      </c>
      <c r="AA284" s="16">
        <v>0</v>
      </c>
      <c r="AB284" s="16">
        <v>0</v>
      </c>
      <c r="AC284" s="16">
        <v>0</v>
      </c>
      <c r="AD284" s="16">
        <v>0</v>
      </c>
      <c r="AE284" s="16">
        <v>0</v>
      </c>
      <c r="AF284" s="16">
        <v>0</v>
      </c>
      <c r="AG284" s="16">
        <v>0</v>
      </c>
      <c r="AH284" s="16">
        <v>0</v>
      </c>
      <c r="AI284" s="16">
        <v>200000</v>
      </c>
      <c r="AJ284" s="16">
        <v>0</v>
      </c>
      <c r="AK284" s="16">
        <v>0</v>
      </c>
      <c r="AL284" s="16">
        <v>50000</v>
      </c>
      <c r="AM284" s="16">
        <v>0</v>
      </c>
      <c r="AN284" s="16">
        <v>0</v>
      </c>
      <c r="AO284" s="16">
        <v>0</v>
      </c>
      <c r="AP284" s="16">
        <v>0</v>
      </c>
      <c r="AQ284" s="16">
        <v>0</v>
      </c>
      <c r="AR284" s="16">
        <v>0</v>
      </c>
      <c r="AS284" s="16">
        <v>0</v>
      </c>
      <c r="AT284" s="16">
        <v>0</v>
      </c>
      <c r="AU284" s="16">
        <v>0</v>
      </c>
      <c r="AV284" s="16">
        <v>0</v>
      </c>
      <c r="AW284" s="16">
        <v>0</v>
      </c>
      <c r="AX284" s="16">
        <v>0</v>
      </c>
      <c r="AY284" s="16">
        <v>0</v>
      </c>
      <c r="AZ284" s="16">
        <v>0</v>
      </c>
      <c r="BA284" s="16"/>
      <c r="BB284" s="15">
        <f t="shared" si="168"/>
        <v>536796</v>
      </c>
      <c r="BC284" s="16">
        <v>0</v>
      </c>
      <c r="BD284" s="16">
        <v>180460</v>
      </c>
      <c r="BE284" s="16">
        <v>0</v>
      </c>
      <c r="BF284" s="16">
        <v>18040</v>
      </c>
      <c r="BG284" s="16">
        <v>0</v>
      </c>
      <c r="BH284" s="16">
        <v>122860</v>
      </c>
      <c r="BI284" s="16">
        <v>179100</v>
      </c>
      <c r="BJ284" s="16">
        <v>25036</v>
      </c>
      <c r="BK284" s="16">
        <v>8100</v>
      </c>
      <c r="BL284" s="16">
        <v>0</v>
      </c>
      <c r="BM284" s="16">
        <v>0</v>
      </c>
      <c r="BN284" s="16">
        <v>2200</v>
      </c>
      <c r="BO284" s="16">
        <v>0</v>
      </c>
      <c r="BP284" s="16">
        <v>1000</v>
      </c>
      <c r="BQ284" s="16">
        <v>0</v>
      </c>
      <c r="BR284" s="16">
        <v>0</v>
      </c>
      <c r="BS284" s="16">
        <v>0</v>
      </c>
      <c r="BT284" s="16">
        <v>0</v>
      </c>
      <c r="BU284" s="16">
        <v>0</v>
      </c>
      <c r="BV284" s="16">
        <v>0</v>
      </c>
      <c r="BW284" s="16">
        <v>0</v>
      </c>
    </row>
    <row r="285" spans="1:75" ht="18" hidden="1" customHeight="1" outlineLevel="1">
      <c r="Q285" s="5">
        <v>2015</v>
      </c>
      <c r="R285" s="5">
        <v>3</v>
      </c>
      <c r="S285" s="5" t="s">
        <v>56</v>
      </c>
      <c r="T285" s="15">
        <f t="shared" si="166"/>
        <v>3402654</v>
      </c>
      <c r="U285" s="15">
        <f t="shared" si="167"/>
        <v>3951740</v>
      </c>
      <c r="V285" s="16">
        <v>2695000</v>
      </c>
      <c r="W285" s="16">
        <v>1006740</v>
      </c>
      <c r="X285" s="16">
        <v>0</v>
      </c>
      <c r="Y285" s="16">
        <v>0</v>
      </c>
      <c r="Z285" s="16">
        <v>0</v>
      </c>
      <c r="AA285" s="16">
        <v>0</v>
      </c>
      <c r="AB285" s="16">
        <v>0</v>
      </c>
      <c r="AC285" s="16">
        <v>0</v>
      </c>
      <c r="AD285" s="16">
        <v>0</v>
      </c>
      <c r="AE285" s="16">
        <v>0</v>
      </c>
      <c r="AF285" s="16">
        <v>0</v>
      </c>
      <c r="AG285" s="16">
        <v>0</v>
      </c>
      <c r="AH285" s="16">
        <v>0</v>
      </c>
      <c r="AI285" s="16">
        <v>200000</v>
      </c>
      <c r="AJ285" s="16">
        <v>0</v>
      </c>
      <c r="AK285" s="16">
        <v>0</v>
      </c>
      <c r="AL285" s="16">
        <v>50000</v>
      </c>
      <c r="AM285" s="16">
        <v>0</v>
      </c>
      <c r="AN285" s="16">
        <v>0</v>
      </c>
      <c r="AO285" s="16">
        <v>0</v>
      </c>
      <c r="AP285" s="16">
        <v>0</v>
      </c>
      <c r="AQ285" s="16">
        <v>0</v>
      </c>
      <c r="AR285" s="16">
        <v>0</v>
      </c>
      <c r="AS285" s="16">
        <v>0</v>
      </c>
      <c r="AT285" s="16">
        <v>0</v>
      </c>
      <c r="AU285" s="16">
        <v>0</v>
      </c>
      <c r="AV285" s="16">
        <v>0</v>
      </c>
      <c r="AW285" s="16">
        <v>0</v>
      </c>
      <c r="AX285" s="16">
        <v>0</v>
      </c>
      <c r="AY285" s="16">
        <v>0</v>
      </c>
      <c r="AZ285" s="16">
        <v>0</v>
      </c>
      <c r="BA285" s="16"/>
      <c r="BB285" s="15">
        <f t="shared" si="168"/>
        <v>549086</v>
      </c>
      <c r="BC285" s="16">
        <v>0</v>
      </c>
      <c r="BD285" s="16">
        <v>180460</v>
      </c>
      <c r="BE285" s="16">
        <v>0</v>
      </c>
      <c r="BF285" s="16">
        <v>18040</v>
      </c>
      <c r="BG285" s="16">
        <v>0</v>
      </c>
      <c r="BH285" s="16">
        <v>129350</v>
      </c>
      <c r="BI285" s="16">
        <v>179100</v>
      </c>
      <c r="BJ285" s="16">
        <v>25036</v>
      </c>
      <c r="BK285" s="16">
        <v>8100</v>
      </c>
      <c r="BL285" s="16">
        <v>0</v>
      </c>
      <c r="BM285" s="16">
        <v>0</v>
      </c>
      <c r="BN285" s="16">
        <v>9000</v>
      </c>
      <c r="BO285" s="16">
        <v>0</v>
      </c>
      <c r="BP285" s="16">
        <v>0</v>
      </c>
      <c r="BQ285" s="16">
        <v>0</v>
      </c>
      <c r="BR285" s="16">
        <v>0</v>
      </c>
      <c r="BS285" s="16">
        <v>0</v>
      </c>
      <c r="BT285" s="16">
        <v>0</v>
      </c>
      <c r="BU285" s="16">
        <v>0</v>
      </c>
      <c r="BV285" s="16">
        <v>0</v>
      </c>
      <c r="BW285" s="16">
        <v>0</v>
      </c>
    </row>
    <row r="286" spans="1:75" ht="18" hidden="1" customHeight="1" outlineLevel="1">
      <c r="Q286" s="5">
        <v>2015</v>
      </c>
      <c r="R286" s="5">
        <v>2</v>
      </c>
      <c r="S286" s="5" t="s">
        <v>56</v>
      </c>
      <c r="T286" s="15">
        <f t="shared" si="166"/>
        <v>4342504</v>
      </c>
      <c r="U286" s="15">
        <f t="shared" si="167"/>
        <v>4051740</v>
      </c>
      <c r="V286" s="16">
        <v>2695000</v>
      </c>
      <c r="W286" s="16">
        <v>1006740</v>
      </c>
      <c r="X286" s="16">
        <v>0</v>
      </c>
      <c r="Y286" s="16">
        <v>0</v>
      </c>
      <c r="Z286" s="16">
        <v>0</v>
      </c>
      <c r="AA286" s="16">
        <v>0</v>
      </c>
      <c r="AB286" s="16">
        <v>0</v>
      </c>
      <c r="AC286" s="16">
        <v>0</v>
      </c>
      <c r="AD286" s="16">
        <v>0</v>
      </c>
      <c r="AE286" s="16">
        <v>0</v>
      </c>
      <c r="AF286" s="16">
        <v>0</v>
      </c>
      <c r="AG286" s="16">
        <v>0</v>
      </c>
      <c r="AH286" s="16">
        <v>0</v>
      </c>
      <c r="AI286" s="16">
        <v>200000</v>
      </c>
      <c r="AJ286" s="16">
        <v>100000</v>
      </c>
      <c r="AK286" s="16">
        <v>0</v>
      </c>
      <c r="AL286" s="16">
        <v>50000</v>
      </c>
      <c r="AM286" s="16">
        <v>0</v>
      </c>
      <c r="AN286" s="16">
        <v>0</v>
      </c>
      <c r="AO286" s="16">
        <v>0</v>
      </c>
      <c r="AP286" s="16">
        <v>0</v>
      </c>
      <c r="AQ286" s="16">
        <v>0</v>
      </c>
      <c r="AR286" s="16">
        <v>0</v>
      </c>
      <c r="AS286" s="16">
        <v>0</v>
      </c>
      <c r="AT286" s="16">
        <v>0</v>
      </c>
      <c r="AU286" s="16">
        <v>0</v>
      </c>
      <c r="AV286" s="16">
        <v>0</v>
      </c>
      <c r="AW286" s="16">
        <v>0</v>
      </c>
      <c r="AX286" s="16">
        <v>0</v>
      </c>
      <c r="AY286" s="16">
        <v>0</v>
      </c>
      <c r="AZ286" s="16">
        <v>0</v>
      </c>
      <c r="BA286" s="16"/>
      <c r="BB286" s="15">
        <f t="shared" si="168"/>
        <v>-290764</v>
      </c>
      <c r="BC286" s="16">
        <v>-954800</v>
      </c>
      <c r="BD286" s="16">
        <v>193730</v>
      </c>
      <c r="BE286" s="16">
        <v>0</v>
      </c>
      <c r="BF286" s="16">
        <v>19370</v>
      </c>
      <c r="BG286" s="16">
        <v>0</v>
      </c>
      <c r="BH286" s="16">
        <v>129350</v>
      </c>
      <c r="BI286" s="16">
        <v>179100</v>
      </c>
      <c r="BJ286" s="16">
        <v>25686</v>
      </c>
      <c r="BK286" s="16">
        <v>8100</v>
      </c>
      <c r="BL286" s="16">
        <v>0</v>
      </c>
      <c r="BM286" s="16">
        <v>100000</v>
      </c>
      <c r="BN286" s="16">
        <v>4500</v>
      </c>
      <c r="BO286" s="16">
        <v>0</v>
      </c>
      <c r="BP286" s="16">
        <v>4200</v>
      </c>
      <c r="BQ286" s="16">
        <v>0</v>
      </c>
      <c r="BR286" s="16">
        <v>0</v>
      </c>
      <c r="BS286" s="16">
        <v>0</v>
      </c>
      <c r="BT286" s="16">
        <v>0</v>
      </c>
      <c r="BU286" s="16">
        <v>0</v>
      </c>
      <c r="BV286" s="16">
        <v>0</v>
      </c>
      <c r="BW286" s="16">
        <v>0</v>
      </c>
    </row>
    <row r="287" spans="1:75" ht="18" hidden="1" customHeight="1" outlineLevel="1">
      <c r="Q287" s="5">
        <v>2015</v>
      </c>
      <c r="R287" s="5">
        <v>1</v>
      </c>
      <c r="S287" s="5" t="s">
        <v>56</v>
      </c>
      <c r="T287" s="15">
        <f t="shared" si="166"/>
        <v>3394354</v>
      </c>
      <c r="U287" s="15">
        <f t="shared" si="167"/>
        <v>3951740</v>
      </c>
      <c r="V287" s="16">
        <v>2695000</v>
      </c>
      <c r="W287" s="16">
        <v>1006740</v>
      </c>
      <c r="X287" s="16">
        <v>0</v>
      </c>
      <c r="Y287" s="16">
        <v>0</v>
      </c>
      <c r="Z287" s="16">
        <v>0</v>
      </c>
      <c r="AA287" s="16">
        <v>0</v>
      </c>
      <c r="AB287" s="16">
        <v>0</v>
      </c>
      <c r="AC287" s="16">
        <v>0</v>
      </c>
      <c r="AD287" s="16">
        <v>0</v>
      </c>
      <c r="AE287" s="16">
        <v>0</v>
      </c>
      <c r="AF287" s="16">
        <v>0</v>
      </c>
      <c r="AG287" s="16">
        <v>0</v>
      </c>
      <c r="AH287" s="16">
        <v>0</v>
      </c>
      <c r="AI287" s="16">
        <v>200000</v>
      </c>
      <c r="AJ287" s="16">
        <v>0</v>
      </c>
      <c r="AK287" s="16">
        <v>0</v>
      </c>
      <c r="AL287" s="16">
        <v>50000</v>
      </c>
      <c r="AM287" s="16">
        <v>0</v>
      </c>
      <c r="AN287" s="16">
        <v>0</v>
      </c>
      <c r="AO287" s="16">
        <v>0</v>
      </c>
      <c r="AP287" s="16">
        <v>0</v>
      </c>
      <c r="AQ287" s="16">
        <v>0</v>
      </c>
      <c r="AR287" s="16">
        <v>0</v>
      </c>
      <c r="AS287" s="16">
        <v>0</v>
      </c>
      <c r="AT287" s="16">
        <v>0</v>
      </c>
      <c r="AU287" s="16">
        <v>0</v>
      </c>
      <c r="AV287" s="16">
        <v>0</v>
      </c>
      <c r="AW287" s="16">
        <v>0</v>
      </c>
      <c r="AX287" s="16">
        <v>0</v>
      </c>
      <c r="AY287" s="16">
        <v>0</v>
      </c>
      <c r="AZ287" s="16">
        <v>0</v>
      </c>
      <c r="BA287" s="16"/>
      <c r="BB287" s="15">
        <f t="shared" si="168"/>
        <v>557386</v>
      </c>
      <c r="BC287" s="16">
        <v>0</v>
      </c>
      <c r="BD287" s="16">
        <v>180460</v>
      </c>
      <c r="BE287" s="16">
        <v>0</v>
      </c>
      <c r="BF287" s="16">
        <v>18040</v>
      </c>
      <c r="BG287" s="16">
        <v>0</v>
      </c>
      <c r="BH287" s="16">
        <v>129350</v>
      </c>
      <c r="BI287" s="16">
        <v>179100</v>
      </c>
      <c r="BJ287" s="16">
        <v>25036</v>
      </c>
      <c r="BK287" s="16">
        <v>8100</v>
      </c>
      <c r="BL287" s="16">
        <v>0</v>
      </c>
      <c r="BM287" s="16">
        <v>0</v>
      </c>
      <c r="BN287" s="16">
        <v>17300</v>
      </c>
      <c r="BO287" s="16">
        <v>0</v>
      </c>
      <c r="BP287" s="16">
        <v>0</v>
      </c>
      <c r="BQ287" s="16">
        <v>0</v>
      </c>
      <c r="BR287" s="16">
        <v>0</v>
      </c>
      <c r="BS287" s="16">
        <v>0</v>
      </c>
      <c r="BT287" s="16">
        <v>0</v>
      </c>
      <c r="BU287" s="16">
        <v>0</v>
      </c>
      <c r="BV287" s="16">
        <v>0</v>
      </c>
      <c r="BW287" s="16">
        <v>0</v>
      </c>
    </row>
    <row r="288" spans="1:75" s="1" customFormat="1" ht="18" customHeight="1" collapsed="1">
      <c r="A288" s="10"/>
      <c r="B288" s="18"/>
      <c r="C288" s="19"/>
      <c r="D288" s="18"/>
      <c r="E288" s="19"/>
      <c r="F288" s="19"/>
      <c r="G288" s="19"/>
      <c r="H288" s="19"/>
      <c r="I288" s="19"/>
      <c r="J288" s="20"/>
      <c r="K288" s="19"/>
      <c r="L288" s="19"/>
      <c r="M288" s="19"/>
      <c r="N288" s="19"/>
      <c r="O288" s="21"/>
      <c r="P288" s="22"/>
      <c r="Q288" s="667" t="s">
        <v>129</v>
      </c>
      <c r="R288" s="667"/>
      <c r="S288" s="667"/>
      <c r="T288" s="23">
        <f t="shared" ref="T288:AZ288" si="169">SUMIF($Q$2:$Q$793,$Q289,T$2:T$793)</f>
        <v>39560603</v>
      </c>
      <c r="U288" s="23">
        <f t="shared" si="169"/>
        <v>46593124</v>
      </c>
      <c r="V288" s="23">
        <f t="shared" si="169"/>
        <v>30572875</v>
      </c>
      <c r="W288" s="23">
        <f t="shared" si="169"/>
        <v>11421187</v>
      </c>
      <c r="X288" s="23">
        <f t="shared" si="169"/>
        <v>0</v>
      </c>
      <c r="Y288" s="23">
        <f t="shared" si="169"/>
        <v>0</v>
      </c>
      <c r="Z288" s="23">
        <f t="shared" si="169"/>
        <v>0</v>
      </c>
      <c r="AA288" s="23">
        <f t="shared" si="169"/>
        <v>0</v>
      </c>
      <c r="AB288" s="23">
        <f t="shared" si="169"/>
        <v>0</v>
      </c>
      <c r="AC288" s="23">
        <f t="shared" si="169"/>
        <v>371741</v>
      </c>
      <c r="AD288" s="23">
        <f t="shared" si="169"/>
        <v>0</v>
      </c>
      <c r="AE288" s="23">
        <f t="shared" si="169"/>
        <v>1100000</v>
      </c>
      <c r="AF288" s="23">
        <f t="shared" si="169"/>
        <v>0</v>
      </c>
      <c r="AG288" s="23">
        <f t="shared" si="169"/>
        <v>0</v>
      </c>
      <c r="AH288" s="23">
        <f t="shared" si="169"/>
        <v>0</v>
      </c>
      <c r="AI288" s="23">
        <f t="shared" si="169"/>
        <v>2000000</v>
      </c>
      <c r="AJ288" s="23">
        <f t="shared" si="169"/>
        <v>350000</v>
      </c>
      <c r="AK288" s="23">
        <f t="shared" si="169"/>
        <v>300000</v>
      </c>
      <c r="AL288" s="23">
        <f t="shared" si="169"/>
        <v>500000</v>
      </c>
      <c r="AM288" s="23">
        <f t="shared" si="169"/>
        <v>0</v>
      </c>
      <c r="AN288" s="23">
        <f t="shared" si="169"/>
        <v>0</v>
      </c>
      <c r="AO288" s="23">
        <f t="shared" si="169"/>
        <v>0</v>
      </c>
      <c r="AP288" s="23">
        <f t="shared" si="169"/>
        <v>0</v>
      </c>
      <c r="AQ288" s="23">
        <f t="shared" si="169"/>
        <v>0</v>
      </c>
      <c r="AR288" s="23">
        <f t="shared" si="169"/>
        <v>0</v>
      </c>
      <c r="AS288" s="23">
        <f t="shared" si="169"/>
        <v>0</v>
      </c>
      <c r="AT288" s="23">
        <f t="shared" si="169"/>
        <v>-22679</v>
      </c>
      <c r="AU288" s="23">
        <f t="shared" si="169"/>
        <v>0</v>
      </c>
      <c r="AV288" s="23">
        <f t="shared" si="169"/>
        <v>0</v>
      </c>
      <c r="AW288" s="23">
        <f t="shared" si="169"/>
        <v>0</v>
      </c>
      <c r="AX288" s="23">
        <f t="shared" si="169"/>
        <v>0</v>
      </c>
      <c r="AY288" s="23">
        <f t="shared" si="169"/>
        <v>0</v>
      </c>
      <c r="AZ288" s="23">
        <f t="shared" si="169"/>
        <v>0</v>
      </c>
      <c r="BA288" s="23"/>
      <c r="BB288" s="23">
        <f t="shared" ref="BB288:BW288" si="170">SUMIF($Q$2:$Q$793,$Q289,BB$2:BB$793)</f>
        <v>7032521</v>
      </c>
      <c r="BC288" s="23">
        <f t="shared" si="170"/>
        <v>-8140</v>
      </c>
      <c r="BD288" s="23">
        <f t="shared" si="170"/>
        <v>2154770</v>
      </c>
      <c r="BE288" s="23">
        <f t="shared" si="170"/>
        <v>0</v>
      </c>
      <c r="BF288" s="23">
        <f t="shared" si="170"/>
        <v>215400</v>
      </c>
      <c r="BG288" s="23">
        <f t="shared" si="170"/>
        <v>0</v>
      </c>
      <c r="BH288" s="23">
        <f t="shared" si="170"/>
        <v>1404040</v>
      </c>
      <c r="BI288" s="23">
        <f t="shared" si="170"/>
        <v>2149200</v>
      </c>
      <c r="BJ288" s="23">
        <f t="shared" si="170"/>
        <v>296351</v>
      </c>
      <c r="BK288" s="23">
        <f t="shared" si="170"/>
        <v>96000</v>
      </c>
      <c r="BL288" s="23">
        <f t="shared" si="170"/>
        <v>0</v>
      </c>
      <c r="BM288" s="23">
        <f t="shared" si="170"/>
        <v>350000</v>
      </c>
      <c r="BN288" s="23">
        <f t="shared" si="170"/>
        <v>367800</v>
      </c>
      <c r="BO288" s="23">
        <f t="shared" si="170"/>
        <v>0</v>
      </c>
      <c r="BP288" s="23">
        <f t="shared" si="170"/>
        <v>7100</v>
      </c>
      <c r="BQ288" s="23">
        <f t="shared" si="170"/>
        <v>0</v>
      </c>
      <c r="BR288" s="23">
        <f t="shared" si="170"/>
        <v>0</v>
      </c>
      <c r="BS288" s="23">
        <f t="shared" si="170"/>
        <v>0</v>
      </c>
      <c r="BT288" s="23">
        <f t="shared" si="170"/>
        <v>0</v>
      </c>
      <c r="BU288" s="23">
        <f t="shared" si="170"/>
        <v>0</v>
      </c>
      <c r="BV288" s="23">
        <f t="shared" si="170"/>
        <v>0</v>
      </c>
      <c r="BW288" s="23">
        <f t="shared" si="170"/>
        <v>0</v>
      </c>
    </row>
    <row r="289" spans="17:75" ht="18" hidden="1" customHeight="1" outlineLevel="1">
      <c r="Q289" s="5">
        <v>2014</v>
      </c>
      <c r="R289" s="5">
        <v>12</v>
      </c>
      <c r="S289" s="5" t="s">
        <v>56</v>
      </c>
      <c r="T289" s="15">
        <f t="shared" ref="T289:T300" si="171">IF(U289=U289-BB289,0,U289-BB289)</f>
        <v>3400464</v>
      </c>
      <c r="U289" s="15">
        <f t="shared" ref="U289:U300" si="172">SUM(V289:BA289)</f>
        <v>3951740</v>
      </c>
      <c r="V289" s="16">
        <v>2695000</v>
      </c>
      <c r="W289" s="16">
        <v>1006740</v>
      </c>
      <c r="X289" s="16">
        <v>0</v>
      </c>
      <c r="Y289" s="16">
        <v>0</v>
      </c>
      <c r="Z289" s="16">
        <v>0</v>
      </c>
      <c r="AA289" s="16">
        <v>0</v>
      </c>
      <c r="AB289" s="16">
        <v>0</v>
      </c>
      <c r="AC289" s="16">
        <v>0</v>
      </c>
      <c r="AD289" s="16">
        <v>0</v>
      </c>
      <c r="AE289" s="16">
        <v>0</v>
      </c>
      <c r="AF289" s="16">
        <v>0</v>
      </c>
      <c r="AG289" s="16">
        <v>0</v>
      </c>
      <c r="AH289" s="16">
        <v>0</v>
      </c>
      <c r="AI289" s="16">
        <v>200000</v>
      </c>
      <c r="AJ289" s="16">
        <v>0</v>
      </c>
      <c r="AK289" s="16">
        <v>0</v>
      </c>
      <c r="AL289" s="16">
        <v>50000</v>
      </c>
      <c r="AM289" s="16">
        <v>0</v>
      </c>
      <c r="AN289" s="16">
        <v>0</v>
      </c>
      <c r="AO289" s="16">
        <v>0</v>
      </c>
      <c r="AP289" s="16">
        <v>0</v>
      </c>
      <c r="AQ289" s="16">
        <v>0</v>
      </c>
      <c r="AR289" s="16">
        <v>0</v>
      </c>
      <c r="AS289" s="16">
        <v>0</v>
      </c>
      <c r="AT289" s="16">
        <v>0</v>
      </c>
      <c r="AU289" s="16">
        <v>0</v>
      </c>
      <c r="AV289" s="16">
        <v>0</v>
      </c>
      <c r="AW289" s="16">
        <v>0</v>
      </c>
      <c r="AX289" s="16">
        <v>0</v>
      </c>
      <c r="AY289" s="16">
        <v>0</v>
      </c>
      <c r="AZ289" s="16">
        <v>0</v>
      </c>
      <c r="BA289" s="16"/>
      <c r="BB289" s="15">
        <f t="shared" ref="BB289:BB300" si="173">SUM(BC289:BW289)</f>
        <v>551276</v>
      </c>
      <c r="BC289" s="16">
        <v>0</v>
      </c>
      <c r="BD289" s="16">
        <v>180460</v>
      </c>
      <c r="BE289" s="16">
        <v>0</v>
      </c>
      <c r="BF289" s="16">
        <v>18040</v>
      </c>
      <c r="BG289" s="16">
        <v>0</v>
      </c>
      <c r="BH289" s="16">
        <v>127640</v>
      </c>
      <c r="BI289" s="16">
        <v>179100</v>
      </c>
      <c r="BJ289" s="16">
        <v>25036</v>
      </c>
      <c r="BK289" s="16">
        <v>8100</v>
      </c>
      <c r="BL289" s="16">
        <v>0</v>
      </c>
      <c r="BM289" s="16">
        <v>0</v>
      </c>
      <c r="BN289" s="16">
        <v>12900</v>
      </c>
      <c r="BO289" s="16">
        <v>0</v>
      </c>
      <c r="BP289" s="16">
        <v>0</v>
      </c>
      <c r="BQ289" s="16">
        <v>0</v>
      </c>
      <c r="BR289" s="16">
        <v>0</v>
      </c>
      <c r="BS289" s="16">
        <v>0</v>
      </c>
      <c r="BT289" s="16">
        <v>0</v>
      </c>
      <c r="BU289" s="16">
        <v>0</v>
      </c>
      <c r="BV289" s="16">
        <v>0</v>
      </c>
      <c r="BW289" s="16">
        <v>0</v>
      </c>
    </row>
    <row r="290" spans="17:75" ht="18" hidden="1" customHeight="1" outlineLevel="1">
      <c r="Q290" s="5">
        <v>2014</v>
      </c>
      <c r="R290" s="5">
        <v>11</v>
      </c>
      <c r="S290" s="5" t="s">
        <v>56</v>
      </c>
      <c r="T290" s="15">
        <f t="shared" si="171"/>
        <v>3374564</v>
      </c>
      <c r="U290" s="15">
        <f t="shared" si="172"/>
        <v>3951740</v>
      </c>
      <c r="V290" s="16">
        <v>2695000</v>
      </c>
      <c r="W290" s="16">
        <v>1006740</v>
      </c>
      <c r="X290" s="16">
        <v>0</v>
      </c>
      <c r="Y290" s="16">
        <v>0</v>
      </c>
      <c r="Z290" s="16">
        <v>0</v>
      </c>
      <c r="AA290" s="16">
        <v>0</v>
      </c>
      <c r="AB290" s="16">
        <v>0</v>
      </c>
      <c r="AC290" s="16">
        <v>0</v>
      </c>
      <c r="AD290" s="16">
        <v>0</v>
      </c>
      <c r="AE290" s="16">
        <v>0</v>
      </c>
      <c r="AF290" s="16">
        <v>0</v>
      </c>
      <c r="AG290" s="16">
        <v>0</v>
      </c>
      <c r="AH290" s="16">
        <v>0</v>
      </c>
      <c r="AI290" s="16">
        <v>200000</v>
      </c>
      <c r="AJ290" s="16">
        <v>0</v>
      </c>
      <c r="AK290" s="16">
        <v>0</v>
      </c>
      <c r="AL290" s="16">
        <v>50000</v>
      </c>
      <c r="AM290" s="16">
        <v>0</v>
      </c>
      <c r="AN290" s="16">
        <v>0</v>
      </c>
      <c r="AO290" s="16">
        <v>0</v>
      </c>
      <c r="AP290" s="16">
        <v>0</v>
      </c>
      <c r="AQ290" s="16">
        <v>0</v>
      </c>
      <c r="AR290" s="16">
        <v>0</v>
      </c>
      <c r="AS290" s="16">
        <v>0</v>
      </c>
      <c r="AT290" s="16">
        <v>0</v>
      </c>
      <c r="AU290" s="16">
        <v>0</v>
      </c>
      <c r="AV290" s="16">
        <v>0</v>
      </c>
      <c r="AW290" s="16">
        <v>0</v>
      </c>
      <c r="AX290" s="16">
        <v>0</v>
      </c>
      <c r="AY290" s="16">
        <v>0</v>
      </c>
      <c r="AZ290" s="16">
        <v>0</v>
      </c>
      <c r="BA290" s="16"/>
      <c r="BB290" s="15">
        <f t="shared" si="173"/>
        <v>577176</v>
      </c>
      <c r="BC290" s="16">
        <v>0</v>
      </c>
      <c r="BD290" s="16">
        <v>180460</v>
      </c>
      <c r="BE290" s="16">
        <v>0</v>
      </c>
      <c r="BF290" s="16">
        <v>18040</v>
      </c>
      <c r="BG290" s="16">
        <v>0</v>
      </c>
      <c r="BH290" s="16">
        <v>127640</v>
      </c>
      <c r="BI290" s="16">
        <v>179100</v>
      </c>
      <c r="BJ290" s="16">
        <v>25036</v>
      </c>
      <c r="BK290" s="16">
        <v>8100</v>
      </c>
      <c r="BL290" s="16">
        <v>0</v>
      </c>
      <c r="BM290" s="16">
        <v>0</v>
      </c>
      <c r="BN290" s="16">
        <v>38800</v>
      </c>
      <c r="BO290" s="16">
        <v>0</v>
      </c>
      <c r="BP290" s="16">
        <v>0</v>
      </c>
      <c r="BQ290" s="16">
        <v>0</v>
      </c>
      <c r="BR290" s="16">
        <v>0</v>
      </c>
      <c r="BS290" s="16">
        <v>0</v>
      </c>
      <c r="BT290" s="16">
        <v>0</v>
      </c>
      <c r="BU290" s="16">
        <v>0</v>
      </c>
      <c r="BV290" s="16">
        <v>0</v>
      </c>
      <c r="BW290" s="16">
        <v>0</v>
      </c>
    </row>
    <row r="291" spans="17:75" ht="18" hidden="1" customHeight="1" outlineLevel="1">
      <c r="Q291" s="5">
        <v>2014</v>
      </c>
      <c r="R291" s="5">
        <v>10</v>
      </c>
      <c r="S291" s="5" t="s">
        <v>56</v>
      </c>
      <c r="T291" s="15">
        <f t="shared" si="171"/>
        <v>3387064</v>
      </c>
      <c r="U291" s="15">
        <f t="shared" si="172"/>
        <v>3951740</v>
      </c>
      <c r="V291" s="16">
        <v>2695000</v>
      </c>
      <c r="W291" s="16">
        <v>1006740</v>
      </c>
      <c r="X291" s="16">
        <v>0</v>
      </c>
      <c r="Y291" s="16">
        <v>0</v>
      </c>
      <c r="Z291" s="16">
        <v>0</v>
      </c>
      <c r="AA291" s="16">
        <v>0</v>
      </c>
      <c r="AB291" s="16">
        <v>0</v>
      </c>
      <c r="AC291" s="16">
        <v>0</v>
      </c>
      <c r="AD291" s="16">
        <v>0</v>
      </c>
      <c r="AE291" s="16">
        <v>0</v>
      </c>
      <c r="AF291" s="16">
        <v>0</v>
      </c>
      <c r="AG291" s="16">
        <v>0</v>
      </c>
      <c r="AH291" s="16">
        <v>0</v>
      </c>
      <c r="AI291" s="16">
        <v>200000</v>
      </c>
      <c r="AJ291" s="16">
        <v>0</v>
      </c>
      <c r="AK291" s="16">
        <v>0</v>
      </c>
      <c r="AL291" s="16">
        <v>50000</v>
      </c>
      <c r="AM291" s="16">
        <v>0</v>
      </c>
      <c r="AN291" s="16">
        <v>0</v>
      </c>
      <c r="AO291" s="16">
        <v>0</v>
      </c>
      <c r="AP291" s="16">
        <v>0</v>
      </c>
      <c r="AQ291" s="16">
        <v>0</v>
      </c>
      <c r="AR291" s="16">
        <v>0</v>
      </c>
      <c r="AS291" s="16">
        <v>0</v>
      </c>
      <c r="AT291" s="16">
        <v>0</v>
      </c>
      <c r="AU291" s="16">
        <v>0</v>
      </c>
      <c r="AV291" s="16">
        <v>0</v>
      </c>
      <c r="AW291" s="16">
        <v>0</v>
      </c>
      <c r="AX291" s="16">
        <v>0</v>
      </c>
      <c r="AY291" s="16">
        <v>0</v>
      </c>
      <c r="AZ291" s="16">
        <v>0</v>
      </c>
      <c r="BA291" s="16"/>
      <c r="BB291" s="15">
        <f t="shared" si="173"/>
        <v>564676</v>
      </c>
      <c r="BC291" s="16">
        <v>0</v>
      </c>
      <c r="BD291" s="16">
        <v>180460</v>
      </c>
      <c r="BE291" s="16">
        <v>0</v>
      </c>
      <c r="BF291" s="16">
        <v>18040</v>
      </c>
      <c r="BG291" s="16">
        <v>0</v>
      </c>
      <c r="BH291" s="16">
        <v>127640</v>
      </c>
      <c r="BI291" s="16">
        <v>179100</v>
      </c>
      <c r="BJ291" s="16">
        <v>25036</v>
      </c>
      <c r="BK291" s="16">
        <v>8100</v>
      </c>
      <c r="BL291" s="16">
        <v>0</v>
      </c>
      <c r="BM291" s="16">
        <v>0</v>
      </c>
      <c r="BN291" s="16">
        <v>25800</v>
      </c>
      <c r="BO291" s="16">
        <v>0</v>
      </c>
      <c r="BP291" s="16">
        <v>500</v>
      </c>
      <c r="BQ291" s="16">
        <v>0</v>
      </c>
      <c r="BR291" s="16">
        <v>0</v>
      </c>
      <c r="BS291" s="16">
        <v>0</v>
      </c>
      <c r="BT291" s="16">
        <v>0</v>
      </c>
      <c r="BU291" s="16">
        <v>0</v>
      </c>
      <c r="BV291" s="16">
        <v>0</v>
      </c>
      <c r="BW291" s="16">
        <v>0</v>
      </c>
    </row>
    <row r="292" spans="17:75" ht="18" hidden="1" customHeight="1" outlineLevel="1">
      <c r="Q292" s="5">
        <v>2014</v>
      </c>
      <c r="R292" s="5">
        <v>9</v>
      </c>
      <c r="S292" s="5" t="s">
        <v>56</v>
      </c>
      <c r="T292" s="15">
        <f t="shared" si="171"/>
        <v>3346514</v>
      </c>
      <c r="U292" s="15">
        <f t="shared" si="172"/>
        <v>4051740</v>
      </c>
      <c r="V292" s="16">
        <v>2695000</v>
      </c>
      <c r="W292" s="16">
        <v>1006740</v>
      </c>
      <c r="X292" s="16">
        <v>0</v>
      </c>
      <c r="Y292" s="16">
        <v>0</v>
      </c>
      <c r="Z292" s="16">
        <v>0</v>
      </c>
      <c r="AA292" s="16">
        <v>0</v>
      </c>
      <c r="AB292" s="16">
        <v>0</v>
      </c>
      <c r="AC292" s="16">
        <v>0</v>
      </c>
      <c r="AD292" s="16">
        <v>0</v>
      </c>
      <c r="AE292" s="16">
        <v>0</v>
      </c>
      <c r="AF292" s="16">
        <v>0</v>
      </c>
      <c r="AG292" s="16">
        <v>0</v>
      </c>
      <c r="AH292" s="16">
        <v>0</v>
      </c>
      <c r="AI292" s="16">
        <v>200000</v>
      </c>
      <c r="AJ292" s="16">
        <v>100000</v>
      </c>
      <c r="AK292" s="16">
        <v>0</v>
      </c>
      <c r="AL292" s="16">
        <v>50000</v>
      </c>
      <c r="AM292" s="16">
        <v>0</v>
      </c>
      <c r="AN292" s="16">
        <v>0</v>
      </c>
      <c r="AO292" s="16">
        <v>0</v>
      </c>
      <c r="AP292" s="16">
        <v>0</v>
      </c>
      <c r="AQ292" s="16">
        <v>0</v>
      </c>
      <c r="AR292" s="16">
        <v>0</v>
      </c>
      <c r="AS292" s="16">
        <v>0</v>
      </c>
      <c r="AT292" s="16">
        <v>0</v>
      </c>
      <c r="AU292" s="16">
        <v>0</v>
      </c>
      <c r="AV292" s="16">
        <v>0</v>
      </c>
      <c r="AW292" s="16">
        <v>0</v>
      </c>
      <c r="AX292" s="16">
        <v>0</v>
      </c>
      <c r="AY292" s="16">
        <v>0</v>
      </c>
      <c r="AZ292" s="16">
        <v>0</v>
      </c>
      <c r="BA292" s="16"/>
      <c r="BB292" s="15">
        <f t="shared" si="173"/>
        <v>705226</v>
      </c>
      <c r="BC292" s="16">
        <v>0</v>
      </c>
      <c r="BD292" s="16">
        <v>193730</v>
      </c>
      <c r="BE292" s="16">
        <v>0</v>
      </c>
      <c r="BF292" s="16">
        <v>19370</v>
      </c>
      <c r="BG292" s="16">
        <v>0</v>
      </c>
      <c r="BH292" s="16">
        <v>127640</v>
      </c>
      <c r="BI292" s="16">
        <v>179100</v>
      </c>
      <c r="BJ292" s="16">
        <v>25686</v>
      </c>
      <c r="BK292" s="16">
        <v>8100</v>
      </c>
      <c r="BL292" s="16">
        <v>0</v>
      </c>
      <c r="BM292" s="16">
        <v>100000</v>
      </c>
      <c r="BN292" s="16">
        <v>51600</v>
      </c>
      <c r="BO292" s="16">
        <v>0</v>
      </c>
      <c r="BP292" s="16">
        <v>0</v>
      </c>
      <c r="BQ292" s="16">
        <v>0</v>
      </c>
      <c r="BR292" s="16">
        <v>0</v>
      </c>
      <c r="BS292" s="16">
        <v>0</v>
      </c>
      <c r="BT292" s="16">
        <v>0</v>
      </c>
      <c r="BU292" s="16">
        <v>0</v>
      </c>
      <c r="BV292" s="16">
        <v>0</v>
      </c>
      <c r="BW292" s="16">
        <v>0</v>
      </c>
    </row>
    <row r="293" spans="17:75" ht="18" hidden="1" customHeight="1" outlineLevel="1">
      <c r="Q293" s="5">
        <v>2014</v>
      </c>
      <c r="R293" s="5">
        <v>8</v>
      </c>
      <c r="S293" s="5" t="s">
        <v>56</v>
      </c>
      <c r="T293" s="15">
        <f t="shared" si="171"/>
        <v>3350964</v>
      </c>
      <c r="U293" s="15">
        <f t="shared" si="172"/>
        <v>3951740</v>
      </c>
      <c r="V293" s="16">
        <v>2695000</v>
      </c>
      <c r="W293" s="16">
        <v>1006740</v>
      </c>
      <c r="X293" s="16">
        <v>0</v>
      </c>
      <c r="Y293" s="16">
        <v>0</v>
      </c>
      <c r="Z293" s="16">
        <v>0</v>
      </c>
      <c r="AA293" s="16">
        <v>0</v>
      </c>
      <c r="AB293" s="16">
        <v>0</v>
      </c>
      <c r="AC293" s="16">
        <v>0</v>
      </c>
      <c r="AD293" s="16">
        <v>0</v>
      </c>
      <c r="AE293" s="16">
        <v>0</v>
      </c>
      <c r="AF293" s="16">
        <v>0</v>
      </c>
      <c r="AG293" s="16">
        <v>0</v>
      </c>
      <c r="AH293" s="16">
        <v>0</v>
      </c>
      <c r="AI293" s="16">
        <v>200000</v>
      </c>
      <c r="AJ293" s="16">
        <v>0</v>
      </c>
      <c r="AK293" s="16">
        <v>0</v>
      </c>
      <c r="AL293" s="16">
        <v>50000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c r="BB293" s="15">
        <f t="shared" si="173"/>
        <v>600776</v>
      </c>
      <c r="BC293" s="16">
        <v>0</v>
      </c>
      <c r="BD293" s="16">
        <v>180460</v>
      </c>
      <c r="BE293" s="16">
        <v>0</v>
      </c>
      <c r="BF293" s="16">
        <v>18040</v>
      </c>
      <c r="BG293" s="16">
        <v>0</v>
      </c>
      <c r="BH293" s="16">
        <v>127640</v>
      </c>
      <c r="BI293" s="16">
        <v>179100</v>
      </c>
      <c r="BJ293" s="16">
        <v>25036</v>
      </c>
      <c r="BK293" s="16">
        <v>8100</v>
      </c>
      <c r="BL293" s="16">
        <v>0</v>
      </c>
      <c r="BM293" s="16">
        <v>0</v>
      </c>
      <c r="BN293" s="16">
        <v>62400</v>
      </c>
      <c r="BO293" s="16">
        <v>0</v>
      </c>
      <c r="BP293" s="16">
        <v>0</v>
      </c>
      <c r="BQ293" s="16">
        <v>0</v>
      </c>
      <c r="BR293" s="16">
        <v>0</v>
      </c>
      <c r="BS293" s="16">
        <v>0</v>
      </c>
      <c r="BT293" s="16">
        <v>0</v>
      </c>
      <c r="BU293" s="16">
        <v>0</v>
      </c>
      <c r="BV293" s="16">
        <v>0</v>
      </c>
      <c r="BW293" s="16">
        <v>0</v>
      </c>
    </row>
    <row r="294" spans="17:75" ht="18" hidden="1" customHeight="1" outlineLevel="1">
      <c r="Q294" s="5">
        <v>2014</v>
      </c>
      <c r="R294" s="5">
        <v>7</v>
      </c>
      <c r="S294" s="5" t="s">
        <v>56</v>
      </c>
      <c r="T294" s="15">
        <f t="shared" si="171"/>
        <v>4532943</v>
      </c>
      <c r="U294" s="15">
        <f t="shared" si="172"/>
        <v>5329061</v>
      </c>
      <c r="V294" s="16">
        <v>2695000</v>
      </c>
      <c r="W294" s="16">
        <v>1006740</v>
      </c>
      <c r="X294" s="16">
        <v>0</v>
      </c>
      <c r="Y294" s="16">
        <v>0</v>
      </c>
      <c r="Z294" s="16">
        <v>0</v>
      </c>
      <c r="AA294" s="16">
        <v>0</v>
      </c>
      <c r="AB294" s="16">
        <v>0</v>
      </c>
      <c r="AC294" s="16">
        <v>0</v>
      </c>
      <c r="AD294" s="16">
        <v>0</v>
      </c>
      <c r="AE294" s="16">
        <v>1100000</v>
      </c>
      <c r="AF294" s="16">
        <v>0</v>
      </c>
      <c r="AG294" s="16">
        <v>0</v>
      </c>
      <c r="AH294" s="16">
        <v>0</v>
      </c>
      <c r="AI294" s="16">
        <v>200000</v>
      </c>
      <c r="AJ294" s="16">
        <v>0</v>
      </c>
      <c r="AK294" s="16">
        <v>300000</v>
      </c>
      <c r="AL294" s="16">
        <v>50000</v>
      </c>
      <c r="AM294" s="16">
        <v>0</v>
      </c>
      <c r="AN294" s="16">
        <v>0</v>
      </c>
      <c r="AO294" s="16">
        <v>0</v>
      </c>
      <c r="AP294" s="16">
        <v>0</v>
      </c>
      <c r="AQ294" s="16">
        <v>0</v>
      </c>
      <c r="AR294" s="16">
        <v>0</v>
      </c>
      <c r="AS294" s="16">
        <v>0</v>
      </c>
      <c r="AT294" s="16">
        <v>-22679</v>
      </c>
      <c r="AU294" s="16">
        <v>0</v>
      </c>
      <c r="AV294" s="16">
        <v>0</v>
      </c>
      <c r="AW294" s="16">
        <v>0</v>
      </c>
      <c r="AX294" s="16">
        <v>0</v>
      </c>
      <c r="AY294" s="16">
        <v>0</v>
      </c>
      <c r="AZ294" s="16">
        <v>0</v>
      </c>
      <c r="BA294" s="16"/>
      <c r="BB294" s="15">
        <f t="shared" si="173"/>
        <v>796118</v>
      </c>
      <c r="BC294" s="16">
        <v>0</v>
      </c>
      <c r="BD294" s="16">
        <v>374590</v>
      </c>
      <c r="BE294" s="16">
        <v>0</v>
      </c>
      <c r="BF294" s="16">
        <v>37450</v>
      </c>
      <c r="BG294" s="16">
        <v>0</v>
      </c>
      <c r="BH294" s="16">
        <v>127640</v>
      </c>
      <c r="BI294" s="16">
        <v>179100</v>
      </c>
      <c r="BJ294" s="16">
        <v>33988</v>
      </c>
      <c r="BK294" s="16">
        <v>8100</v>
      </c>
      <c r="BL294" s="16">
        <v>0</v>
      </c>
      <c r="BM294" s="16">
        <v>0</v>
      </c>
      <c r="BN294" s="16">
        <v>34400</v>
      </c>
      <c r="BO294" s="16">
        <v>0</v>
      </c>
      <c r="BP294" s="16">
        <v>850</v>
      </c>
      <c r="BQ294" s="16">
        <v>0</v>
      </c>
      <c r="BR294" s="16">
        <v>0</v>
      </c>
      <c r="BS294" s="16">
        <v>0</v>
      </c>
      <c r="BT294" s="16">
        <v>0</v>
      </c>
      <c r="BU294" s="16">
        <v>0</v>
      </c>
      <c r="BV294" s="16">
        <v>0</v>
      </c>
      <c r="BW294" s="16">
        <v>0</v>
      </c>
    </row>
    <row r="295" spans="17:75" ht="18" hidden="1" customHeight="1" outlineLevel="1">
      <c r="Q295" s="5">
        <v>2014</v>
      </c>
      <c r="R295" s="5">
        <v>6</v>
      </c>
      <c r="S295" s="5" t="s">
        <v>56</v>
      </c>
      <c r="T295" s="15">
        <f t="shared" si="171"/>
        <v>3686492</v>
      </c>
      <c r="U295" s="15">
        <f t="shared" si="172"/>
        <v>4327651</v>
      </c>
      <c r="V295" s="16">
        <v>2698000</v>
      </c>
      <c r="W295" s="16">
        <v>1007910</v>
      </c>
      <c r="X295" s="16">
        <v>0</v>
      </c>
      <c r="Y295" s="16">
        <v>0</v>
      </c>
      <c r="Z295" s="16">
        <v>0</v>
      </c>
      <c r="AA295" s="16">
        <v>0</v>
      </c>
      <c r="AB295" s="16">
        <v>0</v>
      </c>
      <c r="AC295" s="16">
        <v>371741</v>
      </c>
      <c r="AD295" s="16">
        <v>0</v>
      </c>
      <c r="AE295" s="16">
        <v>0</v>
      </c>
      <c r="AF295" s="16">
        <v>0</v>
      </c>
      <c r="AG295" s="16">
        <v>0</v>
      </c>
      <c r="AH295" s="16">
        <v>0</v>
      </c>
      <c r="AI295" s="16">
        <v>200000</v>
      </c>
      <c r="AJ295" s="16">
        <v>0</v>
      </c>
      <c r="AK295" s="16">
        <v>0</v>
      </c>
      <c r="AL295" s="16">
        <v>50000</v>
      </c>
      <c r="AM295" s="16">
        <v>0</v>
      </c>
      <c r="AN295" s="16">
        <v>0</v>
      </c>
      <c r="AO295" s="16">
        <v>0</v>
      </c>
      <c r="AP295" s="16">
        <v>0</v>
      </c>
      <c r="AQ295" s="16">
        <v>0</v>
      </c>
      <c r="AR295" s="16">
        <v>0</v>
      </c>
      <c r="AS295" s="16">
        <v>0</v>
      </c>
      <c r="AT295" s="16">
        <v>0</v>
      </c>
      <c r="AU295" s="16">
        <v>0</v>
      </c>
      <c r="AV295" s="16">
        <v>0</v>
      </c>
      <c r="AW295" s="16">
        <v>0</v>
      </c>
      <c r="AX295" s="16">
        <v>0</v>
      </c>
      <c r="AY295" s="16">
        <v>0</v>
      </c>
      <c r="AZ295" s="16">
        <v>0</v>
      </c>
      <c r="BA295" s="16"/>
      <c r="BB295" s="15">
        <f t="shared" si="173"/>
        <v>641159</v>
      </c>
      <c r="BC295" s="16">
        <v>0</v>
      </c>
      <c r="BD295" s="16">
        <v>232590</v>
      </c>
      <c r="BE295" s="16">
        <v>0</v>
      </c>
      <c r="BF295" s="16">
        <v>23250</v>
      </c>
      <c r="BG295" s="16">
        <v>0</v>
      </c>
      <c r="BH295" s="16">
        <v>127640</v>
      </c>
      <c r="BI295" s="16">
        <v>179100</v>
      </c>
      <c r="BJ295" s="16">
        <v>27479</v>
      </c>
      <c r="BK295" s="16">
        <v>8100</v>
      </c>
      <c r="BL295" s="16">
        <v>0</v>
      </c>
      <c r="BM295" s="16">
        <v>0</v>
      </c>
      <c r="BN295" s="16">
        <v>43000</v>
      </c>
      <c r="BO295" s="16">
        <v>0</v>
      </c>
      <c r="BP295" s="16">
        <v>0</v>
      </c>
      <c r="BQ295" s="16">
        <v>0</v>
      </c>
      <c r="BR295" s="16">
        <v>0</v>
      </c>
      <c r="BS295" s="16">
        <v>0</v>
      </c>
      <c r="BT295" s="16">
        <v>0</v>
      </c>
      <c r="BU295" s="16">
        <v>0</v>
      </c>
      <c r="BV295" s="16">
        <v>0</v>
      </c>
      <c r="BW295" s="16">
        <v>0</v>
      </c>
    </row>
    <row r="296" spans="17:75" ht="18" hidden="1" customHeight="1" outlineLevel="1">
      <c r="Q296" s="5">
        <v>2014</v>
      </c>
      <c r="R296" s="5">
        <v>5</v>
      </c>
      <c r="S296" s="5" t="s">
        <v>56</v>
      </c>
      <c r="T296" s="15">
        <f t="shared" si="171"/>
        <v>3261546</v>
      </c>
      <c r="U296" s="15">
        <f t="shared" si="172"/>
        <v>4022160</v>
      </c>
      <c r="V296" s="16">
        <v>2637000</v>
      </c>
      <c r="W296" s="16">
        <v>985160</v>
      </c>
      <c r="X296" s="16">
        <v>0</v>
      </c>
      <c r="Y296" s="16">
        <v>0</v>
      </c>
      <c r="Z296" s="16">
        <v>0</v>
      </c>
      <c r="AA296" s="16">
        <v>0</v>
      </c>
      <c r="AB296" s="16">
        <v>0</v>
      </c>
      <c r="AC296" s="16">
        <v>0</v>
      </c>
      <c r="AD296" s="16">
        <v>0</v>
      </c>
      <c r="AE296" s="16">
        <v>0</v>
      </c>
      <c r="AF296" s="16">
        <v>0</v>
      </c>
      <c r="AG296" s="16">
        <v>0</v>
      </c>
      <c r="AH296" s="16">
        <v>0</v>
      </c>
      <c r="AI296" s="16">
        <v>200000</v>
      </c>
      <c r="AJ296" s="16">
        <v>150000</v>
      </c>
      <c r="AK296" s="16">
        <v>0</v>
      </c>
      <c r="AL296" s="16">
        <v>50000</v>
      </c>
      <c r="AM296" s="16">
        <v>0</v>
      </c>
      <c r="AN296" s="16">
        <v>0</v>
      </c>
      <c r="AO296" s="16">
        <v>0</v>
      </c>
      <c r="AP296" s="16">
        <v>0</v>
      </c>
      <c r="AQ296" s="16">
        <v>0</v>
      </c>
      <c r="AR296" s="16">
        <v>0</v>
      </c>
      <c r="AS296" s="16">
        <v>0</v>
      </c>
      <c r="AT296" s="16">
        <v>0</v>
      </c>
      <c r="AU296" s="16">
        <v>0</v>
      </c>
      <c r="AV296" s="16">
        <v>0</v>
      </c>
      <c r="AW296" s="16">
        <v>0</v>
      </c>
      <c r="AX296" s="16">
        <v>0</v>
      </c>
      <c r="AY296" s="16">
        <v>0</v>
      </c>
      <c r="AZ296" s="16">
        <v>0</v>
      </c>
      <c r="BA296" s="16"/>
      <c r="BB296" s="15">
        <f t="shared" si="173"/>
        <v>760614</v>
      </c>
      <c r="BC296" s="16">
        <v>0</v>
      </c>
      <c r="BD296" s="16">
        <v>191080</v>
      </c>
      <c r="BE296" s="16">
        <v>0</v>
      </c>
      <c r="BF296" s="16">
        <v>19100</v>
      </c>
      <c r="BG296" s="16">
        <v>0</v>
      </c>
      <c r="BH296" s="16">
        <v>127640</v>
      </c>
      <c r="BI296" s="16">
        <v>179100</v>
      </c>
      <c r="BJ296" s="16">
        <v>25494</v>
      </c>
      <c r="BK296" s="16">
        <v>8000</v>
      </c>
      <c r="BL296" s="16">
        <v>0</v>
      </c>
      <c r="BM296" s="16">
        <v>150000</v>
      </c>
      <c r="BN296" s="16">
        <v>60200</v>
      </c>
      <c r="BO296" s="16">
        <v>0</v>
      </c>
      <c r="BP296" s="16">
        <v>0</v>
      </c>
      <c r="BQ296" s="16">
        <v>0</v>
      </c>
      <c r="BR296" s="16">
        <v>0</v>
      </c>
      <c r="BS296" s="16">
        <v>0</v>
      </c>
      <c r="BT296" s="16">
        <v>0</v>
      </c>
      <c r="BU296" s="16">
        <v>0</v>
      </c>
      <c r="BV296" s="16">
        <v>0</v>
      </c>
      <c r="BW296" s="16">
        <v>0</v>
      </c>
    </row>
    <row r="297" spans="17:75" ht="18" hidden="1" customHeight="1" outlineLevel="1">
      <c r="Q297" s="5">
        <v>2014</v>
      </c>
      <c r="R297" s="5">
        <v>4</v>
      </c>
      <c r="S297" s="5" t="s">
        <v>56</v>
      </c>
      <c r="T297" s="15">
        <f t="shared" si="171"/>
        <v>3306381</v>
      </c>
      <c r="U297" s="15">
        <f t="shared" si="172"/>
        <v>3872160</v>
      </c>
      <c r="V297" s="16">
        <v>2637000</v>
      </c>
      <c r="W297" s="16">
        <v>985160</v>
      </c>
      <c r="X297" s="16">
        <v>0</v>
      </c>
      <c r="Y297" s="16">
        <v>0</v>
      </c>
      <c r="Z297" s="16">
        <v>0</v>
      </c>
      <c r="AA297" s="16">
        <v>0</v>
      </c>
      <c r="AB297" s="16">
        <v>0</v>
      </c>
      <c r="AC297" s="16">
        <v>0</v>
      </c>
      <c r="AD297" s="16">
        <v>0</v>
      </c>
      <c r="AE297" s="16">
        <v>0</v>
      </c>
      <c r="AF297" s="16">
        <v>0</v>
      </c>
      <c r="AG297" s="16">
        <v>0</v>
      </c>
      <c r="AH297" s="16">
        <v>0</v>
      </c>
      <c r="AI297" s="16">
        <v>200000</v>
      </c>
      <c r="AJ297" s="16">
        <v>0</v>
      </c>
      <c r="AK297" s="16">
        <v>0</v>
      </c>
      <c r="AL297" s="16">
        <v>50000</v>
      </c>
      <c r="AM297" s="16">
        <v>0</v>
      </c>
      <c r="AN297" s="16">
        <v>0</v>
      </c>
      <c r="AO297" s="16">
        <v>0</v>
      </c>
      <c r="AP297" s="16">
        <v>0</v>
      </c>
      <c r="AQ297" s="16">
        <v>0</v>
      </c>
      <c r="AR297" s="16">
        <v>0</v>
      </c>
      <c r="AS297" s="16">
        <v>0</v>
      </c>
      <c r="AT297" s="16">
        <v>0</v>
      </c>
      <c r="AU297" s="16">
        <v>0</v>
      </c>
      <c r="AV297" s="16">
        <v>0</v>
      </c>
      <c r="AW297" s="16">
        <v>0</v>
      </c>
      <c r="AX297" s="16">
        <v>0</v>
      </c>
      <c r="AY297" s="16">
        <v>0</v>
      </c>
      <c r="AZ297" s="16">
        <v>0</v>
      </c>
      <c r="BA297" s="16"/>
      <c r="BB297" s="15">
        <f t="shared" si="173"/>
        <v>565779</v>
      </c>
      <c r="BC297" s="16">
        <v>0</v>
      </c>
      <c r="BD297" s="16">
        <v>169840</v>
      </c>
      <c r="BE297" s="16">
        <v>0</v>
      </c>
      <c r="BF297" s="16">
        <v>16980</v>
      </c>
      <c r="BG297" s="16">
        <v>0</v>
      </c>
      <c r="BH297" s="16">
        <v>127640</v>
      </c>
      <c r="BI297" s="16">
        <v>179100</v>
      </c>
      <c r="BJ297" s="16">
        <v>24519</v>
      </c>
      <c r="BK297" s="16">
        <v>8000</v>
      </c>
      <c r="BL297" s="16">
        <v>0</v>
      </c>
      <c r="BM297" s="16">
        <v>0</v>
      </c>
      <c r="BN297" s="16">
        <v>38700</v>
      </c>
      <c r="BO297" s="16">
        <v>0</v>
      </c>
      <c r="BP297" s="16">
        <v>1000</v>
      </c>
      <c r="BQ297" s="16">
        <v>0</v>
      </c>
      <c r="BR297" s="16">
        <v>0</v>
      </c>
      <c r="BS297" s="16">
        <v>0</v>
      </c>
      <c r="BT297" s="16">
        <v>0</v>
      </c>
      <c r="BU297" s="16">
        <v>0</v>
      </c>
      <c r="BV297" s="16">
        <v>0</v>
      </c>
      <c r="BW297" s="16">
        <v>0</v>
      </c>
    </row>
    <row r="298" spans="17:75" ht="18" hidden="1" customHeight="1" outlineLevel="1">
      <c r="Q298" s="5">
        <v>2014</v>
      </c>
      <c r="R298" s="5">
        <v>3</v>
      </c>
      <c r="S298" s="5" t="s">
        <v>56</v>
      </c>
      <c r="T298" s="15">
        <f t="shared" si="171"/>
        <v>3256874</v>
      </c>
      <c r="U298" s="15">
        <f t="shared" si="172"/>
        <v>3755313</v>
      </c>
      <c r="V298" s="16">
        <v>2551934</v>
      </c>
      <c r="W298" s="16">
        <v>953379</v>
      </c>
      <c r="X298" s="16">
        <v>0</v>
      </c>
      <c r="Y298" s="16">
        <v>0</v>
      </c>
      <c r="Z298" s="16">
        <v>0</v>
      </c>
      <c r="AA298" s="16">
        <v>0</v>
      </c>
      <c r="AB298" s="16">
        <v>0</v>
      </c>
      <c r="AC298" s="16">
        <v>0</v>
      </c>
      <c r="AD298" s="16">
        <v>0</v>
      </c>
      <c r="AE298" s="16">
        <v>0</v>
      </c>
      <c r="AF298" s="16">
        <v>0</v>
      </c>
      <c r="AG298" s="16">
        <v>0</v>
      </c>
      <c r="AH298" s="16">
        <v>0</v>
      </c>
      <c r="AI298" s="16">
        <v>200000</v>
      </c>
      <c r="AJ298" s="16">
        <v>0</v>
      </c>
      <c r="AK298" s="16">
        <v>0</v>
      </c>
      <c r="AL298" s="16">
        <v>50000</v>
      </c>
      <c r="AM298" s="16">
        <v>0</v>
      </c>
      <c r="AN298" s="16">
        <v>0</v>
      </c>
      <c r="AO298" s="16">
        <v>0</v>
      </c>
      <c r="AP298" s="16">
        <v>0</v>
      </c>
      <c r="AQ298" s="16">
        <v>0</v>
      </c>
      <c r="AR298" s="16">
        <v>0</v>
      </c>
      <c r="AS298" s="16">
        <v>0</v>
      </c>
      <c r="AT298" s="16">
        <v>0</v>
      </c>
      <c r="AU298" s="16">
        <v>0</v>
      </c>
      <c r="AV298" s="16">
        <v>0</v>
      </c>
      <c r="AW298" s="16">
        <v>0</v>
      </c>
      <c r="AX298" s="16">
        <v>0</v>
      </c>
      <c r="AY298" s="16">
        <v>0</v>
      </c>
      <c r="AZ298" s="16">
        <v>0</v>
      </c>
      <c r="BA298" s="16"/>
      <c r="BB298" s="15">
        <f t="shared" si="173"/>
        <v>498439</v>
      </c>
      <c r="BC298" s="16">
        <v>-8140</v>
      </c>
      <c r="BD298" s="16">
        <v>153080</v>
      </c>
      <c r="BE298" s="16">
        <v>0</v>
      </c>
      <c r="BF298" s="16">
        <v>15300</v>
      </c>
      <c r="BG298" s="16">
        <v>0</v>
      </c>
      <c r="BH298" s="16">
        <v>127640</v>
      </c>
      <c r="BI298" s="16">
        <v>179100</v>
      </c>
      <c r="BJ298" s="16">
        <v>23759</v>
      </c>
      <c r="BK298" s="16">
        <v>7700</v>
      </c>
      <c r="BL298" s="16">
        <v>0</v>
      </c>
      <c r="BM298" s="16">
        <v>0</v>
      </c>
      <c r="BN298" s="16">
        <v>0</v>
      </c>
      <c r="BO298" s="16">
        <v>0</v>
      </c>
      <c r="BP298" s="16">
        <v>0</v>
      </c>
      <c r="BQ298" s="16">
        <v>0</v>
      </c>
      <c r="BR298" s="16">
        <v>0</v>
      </c>
      <c r="BS298" s="16">
        <v>0</v>
      </c>
      <c r="BT298" s="16">
        <v>0</v>
      </c>
      <c r="BU298" s="16">
        <v>0</v>
      </c>
      <c r="BV298" s="16">
        <v>0</v>
      </c>
      <c r="BW298" s="16">
        <v>0</v>
      </c>
    </row>
    <row r="299" spans="17:75" ht="18" hidden="1" customHeight="1" outlineLevel="1">
      <c r="Q299" s="5">
        <v>2014</v>
      </c>
      <c r="R299" s="5">
        <v>2</v>
      </c>
      <c r="S299" s="5" t="s">
        <v>56</v>
      </c>
      <c r="T299" s="15">
        <f t="shared" si="171"/>
        <v>2393823</v>
      </c>
      <c r="U299" s="15">
        <f t="shared" si="172"/>
        <v>2997728</v>
      </c>
      <c r="V299" s="16">
        <v>2109600</v>
      </c>
      <c r="W299" s="16">
        <v>788128</v>
      </c>
      <c r="X299" s="16">
        <v>0</v>
      </c>
      <c r="Y299" s="16">
        <v>0</v>
      </c>
      <c r="Z299" s="16">
        <v>0</v>
      </c>
      <c r="AA299" s="16">
        <v>0</v>
      </c>
      <c r="AB299" s="16">
        <v>0</v>
      </c>
      <c r="AC299" s="16">
        <v>0</v>
      </c>
      <c r="AD299" s="16">
        <v>0</v>
      </c>
      <c r="AE299" s="16">
        <v>0</v>
      </c>
      <c r="AF299" s="16">
        <v>0</v>
      </c>
      <c r="AG299" s="16">
        <v>0</v>
      </c>
      <c r="AH299" s="16">
        <v>0</v>
      </c>
      <c r="AI299" s="16">
        <v>0</v>
      </c>
      <c r="AJ299" s="16">
        <v>100000</v>
      </c>
      <c r="AK299" s="16">
        <v>0</v>
      </c>
      <c r="AL299" s="16">
        <v>0</v>
      </c>
      <c r="AM299" s="16">
        <v>0</v>
      </c>
      <c r="AN299" s="16">
        <v>0</v>
      </c>
      <c r="AO299" s="16">
        <v>0</v>
      </c>
      <c r="AP299" s="16">
        <v>0</v>
      </c>
      <c r="AQ299" s="16">
        <v>0</v>
      </c>
      <c r="AR299" s="16">
        <v>0</v>
      </c>
      <c r="AS299" s="16">
        <v>0</v>
      </c>
      <c r="AT299" s="16">
        <v>0</v>
      </c>
      <c r="AU299" s="16">
        <v>0</v>
      </c>
      <c r="AV299" s="16">
        <v>0</v>
      </c>
      <c r="AW299" s="16">
        <v>0</v>
      </c>
      <c r="AX299" s="16">
        <v>0</v>
      </c>
      <c r="AY299" s="16">
        <v>0</v>
      </c>
      <c r="AZ299" s="16">
        <v>0</v>
      </c>
      <c r="BA299" s="16"/>
      <c r="BB299" s="15">
        <f t="shared" si="173"/>
        <v>603905</v>
      </c>
      <c r="BC299" s="16">
        <v>0</v>
      </c>
      <c r="BD299" s="16">
        <v>86590</v>
      </c>
      <c r="BE299" s="16">
        <v>0</v>
      </c>
      <c r="BF299" s="16">
        <v>8650</v>
      </c>
      <c r="BG299" s="16">
        <v>0</v>
      </c>
      <c r="BH299" s="16">
        <v>127640</v>
      </c>
      <c r="BI299" s="16">
        <v>248840</v>
      </c>
      <c r="BJ299" s="16">
        <v>19485</v>
      </c>
      <c r="BK299" s="16">
        <v>8500</v>
      </c>
      <c r="BL299" s="16">
        <v>0</v>
      </c>
      <c r="BM299" s="16">
        <v>100000</v>
      </c>
      <c r="BN299" s="16">
        <v>0</v>
      </c>
      <c r="BO299" s="16">
        <v>0</v>
      </c>
      <c r="BP299" s="16">
        <v>4200</v>
      </c>
      <c r="BQ299" s="16">
        <v>0</v>
      </c>
      <c r="BR299" s="16">
        <v>0</v>
      </c>
      <c r="BS299" s="16">
        <v>0</v>
      </c>
      <c r="BT299" s="16">
        <v>0</v>
      </c>
      <c r="BU299" s="16">
        <v>0</v>
      </c>
      <c r="BV299" s="16">
        <v>0</v>
      </c>
      <c r="BW299" s="16">
        <v>0</v>
      </c>
    </row>
    <row r="300" spans="17:75" ht="18" hidden="1" customHeight="1" outlineLevel="1">
      <c r="Q300" s="5">
        <v>2014</v>
      </c>
      <c r="R300" s="5">
        <v>1</v>
      </c>
      <c r="S300" s="5" t="s">
        <v>56</v>
      </c>
      <c r="T300" s="15">
        <f t="shared" si="171"/>
        <v>2262974</v>
      </c>
      <c r="U300" s="15">
        <f t="shared" si="172"/>
        <v>2430351</v>
      </c>
      <c r="V300" s="16">
        <v>1769341</v>
      </c>
      <c r="W300" s="16">
        <v>661010</v>
      </c>
      <c r="X300" s="16">
        <v>0</v>
      </c>
      <c r="Y300" s="16">
        <v>0</v>
      </c>
      <c r="Z300" s="16">
        <v>0</v>
      </c>
      <c r="AA300" s="16">
        <v>0</v>
      </c>
      <c r="AB300" s="16">
        <v>0</v>
      </c>
      <c r="AC300" s="16">
        <v>0</v>
      </c>
      <c r="AD300" s="16">
        <v>0</v>
      </c>
      <c r="AE300" s="16">
        <v>0</v>
      </c>
      <c r="AF300" s="16">
        <v>0</v>
      </c>
      <c r="AG300" s="16">
        <v>0</v>
      </c>
      <c r="AH300" s="16">
        <v>0</v>
      </c>
      <c r="AI300" s="16">
        <v>0</v>
      </c>
      <c r="AJ300" s="16">
        <v>0</v>
      </c>
      <c r="AK300" s="16">
        <v>0</v>
      </c>
      <c r="AL300" s="16">
        <v>0</v>
      </c>
      <c r="AM300" s="16">
        <v>0</v>
      </c>
      <c r="AN300" s="16">
        <v>0</v>
      </c>
      <c r="AO300" s="16">
        <v>0</v>
      </c>
      <c r="AP300" s="16">
        <v>0</v>
      </c>
      <c r="AQ300" s="16">
        <v>0</v>
      </c>
      <c r="AR300" s="16">
        <v>0</v>
      </c>
      <c r="AS300" s="16">
        <v>0</v>
      </c>
      <c r="AT300" s="16">
        <v>0</v>
      </c>
      <c r="AU300" s="16">
        <v>0</v>
      </c>
      <c r="AV300" s="16">
        <v>0</v>
      </c>
      <c r="AW300" s="16">
        <v>0</v>
      </c>
      <c r="AX300" s="16">
        <v>0</v>
      </c>
      <c r="AY300" s="16">
        <v>0</v>
      </c>
      <c r="AZ300" s="16">
        <v>0</v>
      </c>
      <c r="BA300" s="16"/>
      <c r="BB300" s="15">
        <f t="shared" si="173"/>
        <v>167377</v>
      </c>
      <c r="BC300" s="16">
        <v>0</v>
      </c>
      <c r="BD300" s="16">
        <v>31430</v>
      </c>
      <c r="BE300" s="16">
        <v>0</v>
      </c>
      <c r="BF300" s="16">
        <v>3140</v>
      </c>
      <c r="BG300" s="16">
        <v>0</v>
      </c>
      <c r="BH300" s="16">
        <v>0</v>
      </c>
      <c r="BI300" s="16">
        <v>109360</v>
      </c>
      <c r="BJ300" s="16">
        <v>15797</v>
      </c>
      <c r="BK300" s="16">
        <v>7100</v>
      </c>
      <c r="BL300" s="16">
        <v>0</v>
      </c>
      <c r="BM300" s="16">
        <v>0</v>
      </c>
      <c r="BN300" s="16">
        <v>0</v>
      </c>
      <c r="BO300" s="16">
        <v>0</v>
      </c>
      <c r="BP300" s="16">
        <v>550</v>
      </c>
      <c r="BQ300" s="16">
        <v>0</v>
      </c>
      <c r="BR300" s="16">
        <v>0</v>
      </c>
      <c r="BS300" s="16">
        <v>0</v>
      </c>
      <c r="BT300" s="16">
        <v>0</v>
      </c>
      <c r="BU300" s="16">
        <v>0</v>
      </c>
      <c r="BV300" s="16">
        <v>0</v>
      </c>
      <c r="BW300" s="16">
        <v>0</v>
      </c>
    </row>
    <row r="301" spans="17:75" ht="18" customHeight="1" collapsed="1">
      <c r="Q301" s="5"/>
      <c r="R301" s="5"/>
      <c r="S301" s="5"/>
    </row>
    <row r="302" spans="17:75" ht="18" customHeight="1">
      <c r="Q302" s="5"/>
      <c r="R302" s="5"/>
      <c r="S302" s="5"/>
      <c r="T302" s="57"/>
    </row>
    <row r="303" spans="17:75" ht="18" customHeight="1">
      <c r="Q303" s="5"/>
      <c r="R303" s="5"/>
      <c r="S303" s="5"/>
      <c r="V303" s="9"/>
    </row>
    <row r="304" spans="17:75" ht="18" customHeight="1">
      <c r="Q304" s="5"/>
      <c r="R304" s="5"/>
      <c r="S304" s="5"/>
      <c r="V304" s="9"/>
    </row>
    <row r="305" spans="17:19" ht="18" customHeight="1">
      <c r="Q305" s="5"/>
      <c r="R305" s="5"/>
      <c r="S305" s="5"/>
    </row>
    <row r="306" spans="17:19" ht="18" customHeight="1">
      <c r="Q306" s="5"/>
      <c r="R306" s="5"/>
      <c r="S306" s="5"/>
    </row>
  </sheetData>
  <mergeCells count="22">
    <mergeCell ref="Q3:S3"/>
    <mergeCell ref="Q145:S145"/>
    <mergeCell ref="Q188:S188"/>
    <mergeCell ref="Q288:S288"/>
    <mergeCell ref="Q202:S202"/>
    <mergeCell ref="Q216:S216"/>
    <mergeCell ref="Q231:S231"/>
    <mergeCell ref="Q246:S246"/>
    <mergeCell ref="Q260:S260"/>
    <mergeCell ref="Q274:S274"/>
    <mergeCell ref="Q174:S174"/>
    <mergeCell ref="Q160:S160"/>
    <mergeCell ref="Q130:S130"/>
    <mergeCell ref="Q116:S116"/>
    <mergeCell ref="Q102:S102"/>
    <mergeCell ref="Q88:S88"/>
    <mergeCell ref="Q74:S74"/>
    <mergeCell ref="Q60:S60"/>
    <mergeCell ref="Q32:S32"/>
    <mergeCell ref="Q46:S46"/>
    <mergeCell ref="Q4:S4"/>
    <mergeCell ref="Q18:S18"/>
  </mergeCells>
  <phoneticPr fontId="5" type="noConversion"/>
  <pageMargins left="0.7" right="0.7" top="0.75" bottom="0.75" header="0.3" footer="0.3"/>
  <pageSetup paperSize="9" scale="14" orientation="portrait" horizontalDpi="300" verticalDpi="12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colBreaks count="1" manualBreakCount="1">
    <brk id="8" max="159" man="1"/>
  </colBreaks>
  <ignoredErrors>
    <ignoredError sqref="AZ188:BC288 T174 T160 T145:U145 AN188:AS288 BB174 T102 BB157:BB160 U275:W287 T288:W288 U261:W273 T274:W274 U247:W259 T260:W260 U232:W245 T246:W246 U217:W230 T231:W231 U203:W215 T216:W216 U189:W201 T202:W202 T188:W188 U157:U174 U142:U144 BB151:BB155 U151:U155 T130 T116 T18:U88 U146:U149 BB142:BB149 AH188:AL288 BB140 U140 U135:U138 BB135:BB138 BB127:BB133 U127:U133 AD188:AF288 U102:U124 BB102:BB124 U125 BB125" formula="1"/>
    <ignoredError sqref="AC111 AC55"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Z160"/>
  <sheetViews>
    <sheetView tabSelected="1" zoomScale="70" zoomScaleNormal="70" zoomScaleSheetLayoutView="50" workbookViewId="0">
      <pane xSplit="5" ySplit="4" topLeftCell="BP120" activePane="bottomRight" state="frozen"/>
      <selection activeCell="E8" sqref="E8"/>
      <selection pane="topRight" activeCell="E8" sqref="E8"/>
      <selection pane="bottomLeft" activeCell="E8" sqref="E8"/>
      <selection pane="bottomRight" activeCell="BV133" sqref="BV133"/>
    </sheetView>
  </sheetViews>
  <sheetFormatPr defaultColWidth="8.75" defaultRowHeight="12.75" outlineLevelRow="2" outlineLevelCol="1"/>
  <cols>
    <col min="1" max="1" width="7.75" style="5" customWidth="1"/>
    <col min="2" max="2" width="20.75" style="3" customWidth="1"/>
    <col min="3" max="3" width="15.25" style="3" customWidth="1"/>
    <col min="4" max="4" width="12.375" style="5" customWidth="1"/>
    <col min="5" max="5" width="8.375" style="5" customWidth="1"/>
    <col min="6" max="6" width="11.75" style="5" hidden="1" customWidth="1" outlineLevel="1"/>
    <col min="7" max="7" width="11.75" style="5" customWidth="1" collapsed="1"/>
    <col min="8" max="8" width="8.375" style="5" customWidth="1"/>
    <col min="9" max="20" width="11.75" style="5" hidden="1" customWidth="1" outlineLevel="1"/>
    <col min="21" max="21" width="11.75" style="5" customWidth="1" collapsed="1"/>
    <col min="22" max="22" width="8.375" style="5" customWidth="1"/>
    <col min="23" max="34" width="11.75" style="5" hidden="1" customWidth="1" outlineLevel="1"/>
    <col min="35" max="35" width="11.75" style="5" customWidth="1" collapsed="1"/>
    <col min="36" max="36" width="8.375" style="5" customWidth="1"/>
    <col min="37" max="48" width="11.75" style="5" hidden="1" customWidth="1" outlineLevel="1"/>
    <col min="49" max="49" width="11.75" style="5" customWidth="1" collapsed="1"/>
    <col min="50" max="50" width="8.375" style="5" customWidth="1"/>
    <col min="51" max="62" width="11.75" style="5" hidden="1" customWidth="1" outlineLevel="1"/>
    <col min="63" max="63" width="11.75" style="5" customWidth="1" collapsed="1"/>
    <col min="64" max="64" width="8.375" style="5" customWidth="1"/>
    <col min="65" max="76" width="11.75" style="5" customWidth="1" outlineLevel="1"/>
    <col min="77" max="77" width="11.75" style="5" customWidth="1"/>
    <col min="78" max="78" width="8.375" style="5" customWidth="1"/>
    <col min="79" max="90" width="11.75" style="5" customWidth="1" outlineLevel="1"/>
    <col min="91" max="91" width="11.75" style="5" customWidth="1"/>
    <col min="92" max="103" width="11.75" style="5" customWidth="1" outlineLevel="1"/>
    <col min="104" max="104" width="11.75" style="5" customWidth="1"/>
    <col min="105" max="116" width="11.75" style="5" customWidth="1" outlineLevel="1"/>
    <col min="117" max="117" width="11.75" style="5" customWidth="1"/>
    <col min="118" max="129" width="11.75" style="5" customWidth="1" outlineLevel="1"/>
    <col min="130" max="130" width="11.75" style="5" customWidth="1"/>
    <col min="131" max="16384" width="8.75" style="5"/>
  </cols>
  <sheetData>
    <row r="1" spans="1:130" ht="13.5">
      <c r="A1" s="329" t="s">
        <v>3648</v>
      </c>
      <c r="B1" s="204"/>
      <c r="C1" s="492" t="s">
        <v>3304</v>
      </c>
      <c r="D1" s="340">
        <v>0</v>
      </c>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c r="AU1" s="218"/>
      <c r="AV1" s="218"/>
      <c r="AW1" s="218"/>
      <c r="AX1" s="218"/>
      <c r="AY1" s="218"/>
      <c r="AZ1" s="218"/>
      <c r="BA1" s="218"/>
      <c r="BB1" s="218"/>
      <c r="BC1" s="218"/>
      <c r="BD1" s="218"/>
      <c r="BE1" s="218"/>
      <c r="BF1" s="218"/>
      <c r="BG1" s="218"/>
      <c r="BH1" s="218"/>
      <c r="BI1" s="218"/>
      <c r="BJ1" s="218"/>
      <c r="BK1" s="218"/>
      <c r="BL1" s="218"/>
      <c r="BM1" s="218"/>
      <c r="BN1" s="218"/>
      <c r="BO1" s="218"/>
      <c r="BP1" s="218"/>
      <c r="BQ1" s="218"/>
      <c r="BR1" s="218"/>
      <c r="BS1" s="218"/>
      <c r="BT1" s="218"/>
      <c r="BU1" s="218"/>
      <c r="BV1" s="218"/>
      <c r="BW1" s="218"/>
      <c r="BX1" s="218"/>
      <c r="BY1" s="218"/>
      <c r="BZ1" s="218"/>
      <c r="CA1" s="218"/>
      <c r="CB1" s="218"/>
      <c r="CC1" s="218"/>
      <c r="CD1" s="218"/>
      <c r="CE1" s="218"/>
      <c r="CF1" s="218"/>
      <c r="CG1" s="218"/>
      <c r="CH1" s="218"/>
      <c r="CI1" s="218"/>
      <c r="CJ1" s="218"/>
      <c r="CK1" s="218"/>
      <c r="CL1" s="218"/>
      <c r="CM1" s="218"/>
      <c r="CN1" s="218"/>
      <c r="CO1" s="218"/>
      <c r="CP1" s="218"/>
      <c r="CQ1" s="218"/>
      <c r="CR1" s="218"/>
      <c r="CS1" s="218"/>
      <c r="CT1" s="218"/>
      <c r="CU1" s="218"/>
      <c r="CV1" s="218"/>
      <c r="CW1" s="218"/>
      <c r="CX1" s="218"/>
      <c r="CY1" s="218"/>
      <c r="CZ1" s="218"/>
      <c r="DA1" s="218"/>
      <c r="DB1" s="218"/>
      <c r="DC1" s="218"/>
      <c r="DD1" s="218"/>
      <c r="DE1" s="218"/>
      <c r="DF1" s="218"/>
      <c r="DG1" s="218"/>
      <c r="DH1" s="218"/>
      <c r="DI1" s="218"/>
      <c r="DJ1" s="218"/>
      <c r="DK1" s="218"/>
      <c r="DL1" s="218"/>
      <c r="DM1" s="218"/>
      <c r="DN1" s="218"/>
      <c r="DO1" s="218"/>
      <c r="DP1" s="218"/>
      <c r="DQ1" s="218"/>
      <c r="DR1" s="218"/>
      <c r="DS1" s="218"/>
      <c r="DT1" s="218"/>
      <c r="DU1" s="218"/>
      <c r="DV1" s="218"/>
      <c r="DW1" s="218"/>
      <c r="DX1" s="218"/>
      <c r="DY1" s="218"/>
      <c r="DZ1" s="218"/>
    </row>
    <row r="2" spans="1:130" ht="13.5">
      <c r="A2" s="218"/>
      <c r="B2" s="204"/>
      <c r="C2" s="204" t="s">
        <v>3305</v>
      </c>
      <c r="D2" s="340">
        <v>71030421</v>
      </c>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row>
    <row r="3" spans="1:130" ht="20.45" customHeight="1">
      <c r="A3" s="59" t="s">
        <v>279</v>
      </c>
      <c r="B3" s="59" t="s">
        <v>280</v>
      </c>
      <c r="C3" s="59" t="s">
        <v>281</v>
      </c>
      <c r="D3" s="59" t="s">
        <v>282</v>
      </c>
      <c r="E3" s="59" t="s">
        <v>283</v>
      </c>
      <c r="F3" s="60" t="s">
        <v>284</v>
      </c>
      <c r="G3" s="189" t="s">
        <v>2500</v>
      </c>
      <c r="H3" s="198" t="s">
        <v>283</v>
      </c>
      <c r="I3" s="60" t="s">
        <v>285</v>
      </c>
      <c r="J3" s="60" t="s">
        <v>286</v>
      </c>
      <c r="K3" s="60" t="s">
        <v>287</v>
      </c>
      <c r="L3" s="60" t="s">
        <v>288</v>
      </c>
      <c r="M3" s="60" t="s">
        <v>289</v>
      </c>
      <c r="N3" s="60" t="s">
        <v>290</v>
      </c>
      <c r="O3" s="60" t="s">
        <v>291</v>
      </c>
      <c r="P3" s="60" t="s">
        <v>292</v>
      </c>
      <c r="Q3" s="60" t="s">
        <v>293</v>
      </c>
      <c r="R3" s="60" t="s">
        <v>294</v>
      </c>
      <c r="S3" s="60" t="s">
        <v>295</v>
      </c>
      <c r="T3" s="60" t="s">
        <v>296</v>
      </c>
      <c r="U3" s="189" t="s">
        <v>1677</v>
      </c>
      <c r="V3" s="198" t="s">
        <v>283</v>
      </c>
      <c r="W3" s="60" t="s">
        <v>297</v>
      </c>
      <c r="X3" s="60" t="s">
        <v>298</v>
      </c>
      <c r="Y3" s="60" t="s">
        <v>299</v>
      </c>
      <c r="Z3" s="60" t="s">
        <v>300</v>
      </c>
      <c r="AA3" s="60" t="s">
        <v>2501</v>
      </c>
      <c r="AB3" s="60" t="s">
        <v>2502</v>
      </c>
      <c r="AC3" s="60" t="s">
        <v>2503</v>
      </c>
      <c r="AD3" s="60" t="s">
        <v>2504</v>
      </c>
      <c r="AE3" s="60" t="s">
        <v>2505</v>
      </c>
      <c r="AF3" s="60" t="s">
        <v>2506</v>
      </c>
      <c r="AG3" s="60" t="s">
        <v>1674</v>
      </c>
      <c r="AH3" s="60" t="s">
        <v>1675</v>
      </c>
      <c r="AI3" s="189" t="s">
        <v>1678</v>
      </c>
      <c r="AJ3" s="198" t="s">
        <v>283</v>
      </c>
      <c r="AK3" s="60" t="s">
        <v>1676</v>
      </c>
      <c r="AL3" s="60" t="s">
        <v>2507</v>
      </c>
      <c r="AM3" s="60" t="s">
        <v>2508</v>
      </c>
      <c r="AN3" s="60" t="s">
        <v>2509</v>
      </c>
      <c r="AO3" s="60" t="s">
        <v>2510</v>
      </c>
      <c r="AP3" s="60" t="s">
        <v>2511</v>
      </c>
      <c r="AQ3" s="60" t="s">
        <v>2512</v>
      </c>
      <c r="AR3" s="60" t="s">
        <v>2513</v>
      </c>
      <c r="AS3" s="60" t="s">
        <v>2514</v>
      </c>
      <c r="AT3" s="60" t="s">
        <v>2515</v>
      </c>
      <c r="AU3" s="60" t="s">
        <v>2516</v>
      </c>
      <c r="AV3" s="60" t="s">
        <v>2517</v>
      </c>
      <c r="AW3" s="189" t="s">
        <v>1679</v>
      </c>
      <c r="AX3" s="198" t="s">
        <v>283</v>
      </c>
      <c r="AY3" s="60" t="s">
        <v>2518</v>
      </c>
      <c r="AZ3" s="60" t="s">
        <v>2519</v>
      </c>
      <c r="BA3" s="60" t="s">
        <v>2520</v>
      </c>
      <c r="BB3" s="60" t="s">
        <v>2521</v>
      </c>
      <c r="BC3" s="60" t="s">
        <v>2522</v>
      </c>
      <c r="BD3" s="60" t="s">
        <v>2523</v>
      </c>
      <c r="BE3" s="60" t="s">
        <v>2524</v>
      </c>
      <c r="BF3" s="60" t="s">
        <v>2525</v>
      </c>
      <c r="BG3" s="60" t="s">
        <v>2526</v>
      </c>
      <c r="BH3" s="60" t="s">
        <v>2527</v>
      </c>
      <c r="BI3" s="60" t="s">
        <v>2528</v>
      </c>
      <c r="BJ3" s="60" t="s">
        <v>2529</v>
      </c>
      <c r="BK3" s="189" t="s">
        <v>2530</v>
      </c>
      <c r="BL3" s="198" t="s">
        <v>283</v>
      </c>
      <c r="BM3" s="60" t="s">
        <v>2531</v>
      </c>
      <c r="BN3" s="60" t="s">
        <v>2532</v>
      </c>
      <c r="BO3" s="60" t="s">
        <v>2533</v>
      </c>
      <c r="BP3" s="60" t="s">
        <v>2534</v>
      </c>
      <c r="BQ3" s="60" t="s">
        <v>2535</v>
      </c>
      <c r="BR3" s="60" t="s">
        <v>2536</v>
      </c>
      <c r="BS3" s="60" t="s">
        <v>2537</v>
      </c>
      <c r="BT3" s="60" t="s">
        <v>2538</v>
      </c>
      <c r="BU3" s="60" t="s">
        <v>2539</v>
      </c>
      <c r="BV3" s="60" t="s">
        <v>2540</v>
      </c>
      <c r="BW3" s="60" t="s">
        <v>2541</v>
      </c>
      <c r="BX3" s="60" t="s">
        <v>2542</v>
      </c>
      <c r="BY3" s="189" t="s">
        <v>2543</v>
      </c>
      <c r="BZ3" s="198" t="s">
        <v>283</v>
      </c>
      <c r="CA3" s="60" t="s">
        <v>2544</v>
      </c>
      <c r="CB3" s="60" t="s">
        <v>2545</v>
      </c>
      <c r="CC3" s="60" t="s">
        <v>2546</v>
      </c>
      <c r="CD3" s="60" t="s">
        <v>2547</v>
      </c>
      <c r="CE3" s="60" t="s">
        <v>2548</v>
      </c>
      <c r="CF3" s="60" t="s">
        <v>2549</v>
      </c>
      <c r="CG3" s="60" t="s">
        <v>2550</v>
      </c>
      <c r="CH3" s="60" t="s">
        <v>2551</v>
      </c>
      <c r="CI3" s="60" t="s">
        <v>2552</v>
      </c>
      <c r="CJ3" s="60" t="s">
        <v>2553</v>
      </c>
      <c r="CK3" s="60" t="s">
        <v>2554</v>
      </c>
      <c r="CL3" s="60" t="s">
        <v>2555</v>
      </c>
      <c r="CM3" s="189" t="s">
        <v>2556</v>
      </c>
      <c r="CN3" s="60" t="s">
        <v>2557</v>
      </c>
      <c r="CO3" s="60" t="s">
        <v>2558</v>
      </c>
      <c r="CP3" s="60" t="s">
        <v>2559</v>
      </c>
      <c r="CQ3" s="60" t="s">
        <v>2560</v>
      </c>
      <c r="CR3" s="60" t="s">
        <v>2561</v>
      </c>
      <c r="CS3" s="60" t="s">
        <v>2562</v>
      </c>
      <c r="CT3" s="60" t="s">
        <v>2563</v>
      </c>
      <c r="CU3" s="60" t="s">
        <v>2564</v>
      </c>
      <c r="CV3" s="60" t="s">
        <v>2565</v>
      </c>
      <c r="CW3" s="60" t="s">
        <v>2566</v>
      </c>
      <c r="CX3" s="60" t="s">
        <v>2567</v>
      </c>
      <c r="CY3" s="60" t="s">
        <v>2568</v>
      </c>
      <c r="CZ3" s="189" t="s">
        <v>2569</v>
      </c>
      <c r="DA3" s="60" t="s">
        <v>2570</v>
      </c>
      <c r="DB3" s="60" t="s">
        <v>2571</v>
      </c>
      <c r="DC3" s="60" t="s">
        <v>2572</v>
      </c>
      <c r="DD3" s="60" t="s">
        <v>2573</v>
      </c>
      <c r="DE3" s="60" t="s">
        <v>2574</v>
      </c>
      <c r="DF3" s="60" t="s">
        <v>2575</v>
      </c>
      <c r="DG3" s="60" t="s">
        <v>2576</v>
      </c>
      <c r="DH3" s="60" t="s">
        <v>2577</v>
      </c>
      <c r="DI3" s="60" t="s">
        <v>2578</v>
      </c>
      <c r="DJ3" s="60" t="s">
        <v>2579</v>
      </c>
      <c r="DK3" s="60" t="s">
        <v>2580</v>
      </c>
      <c r="DL3" s="60" t="s">
        <v>2581</v>
      </c>
      <c r="DM3" s="189" t="s">
        <v>2582</v>
      </c>
      <c r="DN3" s="60" t="s">
        <v>2583</v>
      </c>
      <c r="DO3" s="60" t="s">
        <v>2584</v>
      </c>
      <c r="DP3" s="60" t="s">
        <v>2585</v>
      </c>
      <c r="DQ3" s="60" t="s">
        <v>2586</v>
      </c>
      <c r="DR3" s="60" t="s">
        <v>2587</v>
      </c>
      <c r="DS3" s="60" t="s">
        <v>2588</v>
      </c>
      <c r="DT3" s="60" t="s">
        <v>2589</v>
      </c>
      <c r="DU3" s="60" t="s">
        <v>2590</v>
      </c>
      <c r="DV3" s="60" t="s">
        <v>2591</v>
      </c>
      <c r="DW3" s="60" t="s">
        <v>2592</v>
      </c>
      <c r="DX3" s="60" t="s">
        <v>2593</v>
      </c>
      <c r="DY3" s="60" t="s">
        <v>2594</v>
      </c>
      <c r="DZ3" s="189" t="s">
        <v>2595</v>
      </c>
    </row>
    <row r="4" spans="1:130" s="194" customFormat="1" ht="20.45" customHeight="1">
      <c r="A4" s="546" t="s">
        <v>301</v>
      </c>
      <c r="B4" s="191"/>
      <c r="C4" s="327" t="s">
        <v>2596</v>
      </c>
      <c r="D4" s="61">
        <f t="shared" ref="D4:D68" si="0">SUM(F4:FJ4)-G4-U4-AI4-AW4-BK4-BY4-CM4-CZ4-DM4-DZ4-H4-V4-AJ4-AX4-BL4-BZ4</f>
        <v>359069549</v>
      </c>
      <c r="E4" s="185">
        <f>SUM(E5:E24)</f>
        <v>0.99999999999999989</v>
      </c>
      <c r="F4" s="62">
        <f>SUM(F5:F24)</f>
        <v>4377905</v>
      </c>
      <c r="G4" s="193">
        <f t="shared" ref="G4" si="1">SUM(F4)</f>
        <v>4377905</v>
      </c>
      <c r="H4" s="196">
        <f t="shared" ref="H4:T4" si="2">SUM(H5:H24)</f>
        <v>1</v>
      </c>
      <c r="I4" s="192">
        <f t="shared" si="2"/>
        <v>4894615</v>
      </c>
      <c r="J4" s="192">
        <f t="shared" si="2"/>
        <v>4525241</v>
      </c>
      <c r="K4" s="192">
        <f t="shared" si="2"/>
        <v>4326795</v>
      </c>
      <c r="L4" s="192">
        <f t="shared" si="2"/>
        <v>5063647</v>
      </c>
      <c r="M4" s="192">
        <f t="shared" si="2"/>
        <v>4508988</v>
      </c>
      <c r="N4" s="192">
        <f t="shared" si="2"/>
        <v>4519080</v>
      </c>
      <c r="O4" s="192">
        <f t="shared" si="2"/>
        <v>4729700</v>
      </c>
      <c r="P4" s="192">
        <f t="shared" si="2"/>
        <v>4755407</v>
      </c>
      <c r="Q4" s="192">
        <f t="shared" si="2"/>
        <v>4788160</v>
      </c>
      <c r="R4" s="192">
        <f t="shared" si="2"/>
        <v>4498510</v>
      </c>
      <c r="S4" s="192">
        <f t="shared" si="2"/>
        <v>4564198</v>
      </c>
      <c r="T4" s="192">
        <f t="shared" si="2"/>
        <v>8784705</v>
      </c>
      <c r="U4" s="193">
        <f>SUM(I4:T4)</f>
        <v>59959046</v>
      </c>
      <c r="V4" s="196">
        <f t="shared" ref="V4" si="3">SUM(V5:V24)</f>
        <v>0.99999999999999989</v>
      </c>
      <c r="W4" s="192">
        <f t="shared" ref="W4:AH4" si="4">SUM(W5:W24)</f>
        <v>5559784</v>
      </c>
      <c r="X4" s="192">
        <f t="shared" si="4"/>
        <v>4732013</v>
      </c>
      <c r="Y4" s="192">
        <f t="shared" si="4"/>
        <v>8521849</v>
      </c>
      <c r="Z4" s="192">
        <f t="shared" si="4"/>
        <v>6472112</v>
      </c>
      <c r="AA4" s="192">
        <f t="shared" si="4"/>
        <v>6843556</v>
      </c>
      <c r="AB4" s="192">
        <f t="shared" si="4"/>
        <v>7103153</v>
      </c>
      <c r="AC4" s="192">
        <f t="shared" si="4"/>
        <v>16975591</v>
      </c>
      <c r="AD4" s="192">
        <f t="shared" si="4"/>
        <v>5895919</v>
      </c>
      <c r="AE4" s="192">
        <f t="shared" si="4"/>
        <v>5845771</v>
      </c>
      <c r="AF4" s="192">
        <f t="shared" si="4"/>
        <v>5969411</v>
      </c>
      <c r="AG4" s="192">
        <f t="shared" si="4"/>
        <v>5903110</v>
      </c>
      <c r="AH4" s="192">
        <f t="shared" si="4"/>
        <v>5895911</v>
      </c>
      <c r="AI4" s="193">
        <f>SUM(W4:AH4)</f>
        <v>85718180</v>
      </c>
      <c r="AJ4" s="196">
        <f t="shared" ref="AJ4" si="5">SUM(AJ5:AJ24)</f>
        <v>1</v>
      </c>
      <c r="AK4" s="192">
        <f t="shared" ref="AK4:AV4" si="6">SUM(AK5:AK24)</f>
        <v>6119996</v>
      </c>
      <c r="AL4" s="192">
        <f t="shared" si="6"/>
        <v>7615191</v>
      </c>
      <c r="AM4" s="192">
        <f t="shared" si="6"/>
        <v>6058871</v>
      </c>
      <c r="AN4" s="192">
        <f t="shared" si="6"/>
        <v>6155871</v>
      </c>
      <c r="AO4" s="192">
        <f t="shared" si="6"/>
        <v>6676207</v>
      </c>
      <c r="AP4" s="192">
        <f t="shared" si="6"/>
        <v>5987005</v>
      </c>
      <c r="AQ4" s="192">
        <f t="shared" si="6"/>
        <v>6281700</v>
      </c>
      <c r="AR4" s="192">
        <f t="shared" si="6"/>
        <v>6054033</v>
      </c>
      <c r="AS4" s="192">
        <f t="shared" si="6"/>
        <v>5808550</v>
      </c>
      <c r="AT4" s="192">
        <f t="shared" si="6"/>
        <v>8023566</v>
      </c>
      <c r="AU4" s="192">
        <f t="shared" si="6"/>
        <v>2105903</v>
      </c>
      <c r="AV4" s="192">
        <f t="shared" si="6"/>
        <v>5651498</v>
      </c>
      <c r="AW4" s="193">
        <f>SUM(AK4:AV4)</f>
        <v>72538391</v>
      </c>
      <c r="AX4" s="196">
        <f t="shared" ref="AX4" si="7">SUM(AX5:AX24)</f>
        <v>1.0000000000000002</v>
      </c>
      <c r="AY4" s="192">
        <f t="shared" ref="AY4:BJ4" si="8">SUM(AY5:AY24)</f>
        <v>3079666</v>
      </c>
      <c r="AZ4" s="192">
        <f t="shared" si="8"/>
        <v>9803308</v>
      </c>
      <c r="BA4" s="192">
        <f t="shared" si="8"/>
        <v>5072364</v>
      </c>
      <c r="BB4" s="192">
        <f t="shared" si="8"/>
        <v>10607324</v>
      </c>
      <c r="BC4" s="192">
        <f t="shared" si="8"/>
        <v>4562657</v>
      </c>
      <c r="BD4" s="192">
        <f t="shared" si="8"/>
        <v>6337748</v>
      </c>
      <c r="BE4" s="192">
        <f t="shared" si="8"/>
        <v>-779814</v>
      </c>
      <c r="BF4" s="192">
        <f t="shared" si="8"/>
        <v>5902776</v>
      </c>
      <c r="BG4" s="192">
        <f t="shared" si="8"/>
        <v>8514252</v>
      </c>
      <c r="BH4" s="192">
        <f t="shared" si="8"/>
        <v>3491293</v>
      </c>
      <c r="BI4" s="192">
        <f t="shared" si="8"/>
        <v>9065065</v>
      </c>
      <c r="BJ4" s="192">
        <f t="shared" si="8"/>
        <v>12299433</v>
      </c>
      <c r="BK4" s="193">
        <f>SUM(AY4:BJ4)</f>
        <v>77956072</v>
      </c>
      <c r="BL4" s="196">
        <f t="shared" ref="BL4" si="9">SUM(BL5:BL24)</f>
        <v>1</v>
      </c>
      <c r="BM4" s="192">
        <f t="shared" ref="BM4:BX4" si="10">SUM(BM5:BM24)</f>
        <v>4202419</v>
      </c>
      <c r="BN4" s="192">
        <f t="shared" si="10"/>
        <v>8906591</v>
      </c>
      <c r="BO4" s="192">
        <f t="shared" si="10"/>
        <v>11294036</v>
      </c>
      <c r="BP4" s="192">
        <f t="shared" si="10"/>
        <v>20168579</v>
      </c>
      <c r="BQ4" s="192">
        <f t="shared" si="10"/>
        <v>13948329.999999996</v>
      </c>
      <c r="BR4" s="192">
        <f t="shared" si="10"/>
        <v>0</v>
      </c>
      <c r="BS4" s="192">
        <f t="shared" si="10"/>
        <v>0</v>
      </c>
      <c r="BT4" s="192">
        <f t="shared" si="10"/>
        <v>0</v>
      </c>
      <c r="BU4" s="192">
        <f t="shared" si="10"/>
        <v>0</v>
      </c>
      <c r="BV4" s="192">
        <f t="shared" si="10"/>
        <v>0</v>
      </c>
      <c r="BW4" s="192">
        <f t="shared" si="10"/>
        <v>0</v>
      </c>
      <c r="BX4" s="192">
        <f t="shared" si="10"/>
        <v>0</v>
      </c>
      <c r="BY4" s="193">
        <f>SUM(BM4:BX4)</f>
        <v>58519955</v>
      </c>
      <c r="BZ4" s="196">
        <f t="shared" ref="BZ4" si="11">SUM(BZ5:BZ24)</f>
        <v>0.99999999999999989</v>
      </c>
      <c r="CA4" s="192">
        <f t="shared" ref="CA4:CL4" si="12">SUM(CA5:CA24)</f>
        <v>0</v>
      </c>
      <c r="CB4" s="192">
        <f t="shared" si="12"/>
        <v>0</v>
      </c>
      <c r="CC4" s="192">
        <f t="shared" si="12"/>
        <v>0</v>
      </c>
      <c r="CD4" s="192">
        <f t="shared" si="12"/>
        <v>0</v>
      </c>
      <c r="CE4" s="192">
        <f t="shared" si="12"/>
        <v>0</v>
      </c>
      <c r="CF4" s="192">
        <f t="shared" si="12"/>
        <v>0</v>
      </c>
      <c r="CG4" s="192">
        <f t="shared" si="12"/>
        <v>0</v>
      </c>
      <c r="CH4" s="192">
        <f t="shared" si="12"/>
        <v>0</v>
      </c>
      <c r="CI4" s="192">
        <f t="shared" si="12"/>
        <v>0</v>
      </c>
      <c r="CJ4" s="192">
        <f t="shared" si="12"/>
        <v>0</v>
      </c>
      <c r="CK4" s="192">
        <f t="shared" si="12"/>
        <v>0</v>
      </c>
      <c r="CL4" s="192">
        <f t="shared" si="12"/>
        <v>0</v>
      </c>
      <c r="CM4" s="193">
        <f>SUM(CA4:CL4)</f>
        <v>0</v>
      </c>
      <c r="CN4" s="192">
        <f t="shared" ref="CN4:CY4" si="13">SUM(CN5:CN24)</f>
        <v>0</v>
      </c>
      <c r="CO4" s="192">
        <f t="shared" si="13"/>
        <v>0</v>
      </c>
      <c r="CP4" s="192">
        <f t="shared" si="13"/>
        <v>0</v>
      </c>
      <c r="CQ4" s="192">
        <f t="shared" si="13"/>
        <v>0</v>
      </c>
      <c r="CR4" s="192">
        <f t="shared" si="13"/>
        <v>0</v>
      </c>
      <c r="CS4" s="192">
        <f t="shared" si="13"/>
        <v>0</v>
      </c>
      <c r="CT4" s="192">
        <f t="shared" si="13"/>
        <v>0</v>
      </c>
      <c r="CU4" s="192">
        <f t="shared" si="13"/>
        <v>0</v>
      </c>
      <c r="CV4" s="192">
        <f t="shared" si="13"/>
        <v>0</v>
      </c>
      <c r="CW4" s="192">
        <f t="shared" si="13"/>
        <v>0</v>
      </c>
      <c r="CX4" s="192">
        <f t="shared" si="13"/>
        <v>0</v>
      </c>
      <c r="CY4" s="192">
        <f t="shared" si="13"/>
        <v>0</v>
      </c>
      <c r="CZ4" s="193">
        <f>SUM(CN4:CY4)</f>
        <v>0</v>
      </c>
      <c r="DA4" s="192">
        <f t="shared" ref="DA4:DL4" si="14">SUM(DA5:DA24)</f>
        <v>0</v>
      </c>
      <c r="DB4" s="192">
        <f t="shared" si="14"/>
        <v>0</v>
      </c>
      <c r="DC4" s="192">
        <f t="shared" si="14"/>
        <v>0</v>
      </c>
      <c r="DD4" s="192">
        <f t="shared" si="14"/>
        <v>0</v>
      </c>
      <c r="DE4" s="192">
        <f t="shared" si="14"/>
        <v>0</v>
      </c>
      <c r="DF4" s="192">
        <f t="shared" si="14"/>
        <v>0</v>
      </c>
      <c r="DG4" s="192">
        <f t="shared" si="14"/>
        <v>0</v>
      </c>
      <c r="DH4" s="192">
        <f t="shared" si="14"/>
        <v>0</v>
      </c>
      <c r="DI4" s="192">
        <f t="shared" si="14"/>
        <v>0</v>
      </c>
      <c r="DJ4" s="192">
        <f t="shared" si="14"/>
        <v>0</v>
      </c>
      <c r="DK4" s="192">
        <f t="shared" si="14"/>
        <v>0</v>
      </c>
      <c r="DL4" s="192">
        <f t="shared" si="14"/>
        <v>0</v>
      </c>
      <c r="DM4" s="193">
        <f>SUM(DA4:DL4)</f>
        <v>0</v>
      </c>
      <c r="DN4" s="192">
        <f t="shared" ref="DN4:DY4" si="15">SUM(DN5:DN24)</f>
        <v>0</v>
      </c>
      <c r="DO4" s="192">
        <f t="shared" si="15"/>
        <v>0</v>
      </c>
      <c r="DP4" s="192">
        <f t="shared" si="15"/>
        <v>0</v>
      </c>
      <c r="DQ4" s="192">
        <f t="shared" si="15"/>
        <v>0</v>
      </c>
      <c r="DR4" s="192">
        <f t="shared" si="15"/>
        <v>0</v>
      </c>
      <c r="DS4" s="192">
        <f t="shared" si="15"/>
        <v>0</v>
      </c>
      <c r="DT4" s="192">
        <f t="shared" si="15"/>
        <v>0</v>
      </c>
      <c r="DU4" s="192">
        <f t="shared" si="15"/>
        <v>0</v>
      </c>
      <c r="DV4" s="192">
        <f t="shared" si="15"/>
        <v>0</v>
      </c>
      <c r="DW4" s="192">
        <f t="shared" si="15"/>
        <v>0</v>
      </c>
      <c r="DX4" s="192">
        <f t="shared" si="15"/>
        <v>0</v>
      </c>
      <c r="DY4" s="192">
        <f t="shared" si="15"/>
        <v>0</v>
      </c>
      <c r="DZ4" s="193">
        <f>SUM(DN4:DY4)</f>
        <v>0</v>
      </c>
    </row>
    <row r="5" spans="1:130" ht="20.45" customHeight="1" outlineLevel="1">
      <c r="A5" s="547"/>
      <c r="B5" s="538" t="s">
        <v>2597</v>
      </c>
      <c r="C5" s="539"/>
      <c r="D5" s="62">
        <f t="shared" si="0"/>
        <v>299082097.99999994</v>
      </c>
      <c r="E5" s="184">
        <f>D5/D$4</f>
        <v>0.83293640141007874</v>
      </c>
      <c r="F5" s="62">
        <f>4334005+43900</f>
        <v>4377905</v>
      </c>
      <c r="G5" s="190">
        <f>SUM(F5)</f>
        <v>4377905</v>
      </c>
      <c r="H5" s="197">
        <f>G5/G$4</f>
        <v>1</v>
      </c>
      <c r="I5" s="62">
        <v>4320945</v>
      </c>
      <c r="J5" s="62">
        <v>4524675</v>
      </c>
      <c r="K5" s="62">
        <v>4326795</v>
      </c>
      <c r="L5" s="62">
        <v>5063647</v>
      </c>
      <c r="M5" s="62">
        <v>4507930</v>
      </c>
      <c r="N5" s="62">
        <v>4519080</v>
      </c>
      <c r="O5" s="62">
        <v>4729700</v>
      </c>
      <c r="P5" s="62">
        <v>4454430</v>
      </c>
      <c r="Q5" s="62">
        <v>4517660</v>
      </c>
      <c r="R5" s="62">
        <v>4498510</v>
      </c>
      <c r="S5" s="62">
        <v>4563510</v>
      </c>
      <c r="T5" s="62">
        <v>4879445</v>
      </c>
      <c r="U5" s="190">
        <f t="shared" ref="U5:U87" si="16">SUM(I5:T5)</f>
        <v>54906327</v>
      </c>
      <c r="V5" s="197">
        <f>U5/U$4</f>
        <v>0.91573049711297938</v>
      </c>
      <c r="W5" s="62">
        <v>5559784</v>
      </c>
      <c r="X5" s="62">
        <f>4731477-577720</f>
        <v>4153757</v>
      </c>
      <c r="Y5" s="62">
        <v>5620894</v>
      </c>
      <c r="Z5" s="62">
        <v>6389412</v>
      </c>
      <c r="AA5" s="62">
        <v>5766661</v>
      </c>
      <c r="AB5" s="62">
        <v>5897561</v>
      </c>
      <c r="AC5" s="62">
        <v>6136791</v>
      </c>
      <c r="AD5" s="62">
        <v>5894271</v>
      </c>
      <c r="AE5" s="62">
        <v>5845771</v>
      </c>
      <c r="AF5" s="62">
        <v>5916911</v>
      </c>
      <c r="AG5" s="62">
        <v>5901271</v>
      </c>
      <c r="AH5" s="62">
        <v>5895911</v>
      </c>
      <c r="AI5" s="190">
        <f t="shared" ref="AI5:AI87" si="17">SUM(W5:AH5)</f>
        <v>68978995</v>
      </c>
      <c r="AJ5" s="197">
        <f>AI5/AI$4</f>
        <v>0.80471838062824008</v>
      </c>
      <c r="AK5" s="62">
        <v>6119996</v>
      </c>
      <c r="AL5" s="62">
        <v>5840341</v>
      </c>
      <c r="AM5" s="62">
        <v>6058871</v>
      </c>
      <c r="AN5" s="62">
        <v>5832171</v>
      </c>
      <c r="AO5" s="62">
        <v>6674414</v>
      </c>
      <c r="AP5" s="62">
        <v>5987005</v>
      </c>
      <c r="AQ5" s="62">
        <v>6281700</v>
      </c>
      <c r="AR5" s="62">
        <v>6051950</v>
      </c>
      <c r="AS5" s="62">
        <v>5808550</v>
      </c>
      <c r="AT5" s="62">
        <v>6037350</v>
      </c>
      <c r="AU5" s="62">
        <v>6034950</v>
      </c>
      <c r="AV5" s="62">
        <v>6500850</v>
      </c>
      <c r="AW5" s="190">
        <f t="shared" ref="AW5:AW87" si="18">SUM(AK5:AV5)</f>
        <v>73228148</v>
      </c>
      <c r="AX5" s="197">
        <f>AW5/AW$4</f>
        <v>1.0095088544216537</v>
      </c>
      <c r="AY5" s="62">
        <v>6109890</v>
      </c>
      <c r="AZ5" s="62">
        <v>6108470</v>
      </c>
      <c r="BA5" s="62">
        <v>6102788</v>
      </c>
      <c r="BB5" s="62">
        <v>8311835</v>
      </c>
      <c r="BC5" s="62">
        <v>6187900</v>
      </c>
      <c r="BD5" s="62">
        <v>0</v>
      </c>
      <c r="BE5" s="62">
        <v>297300</v>
      </c>
      <c r="BF5" s="62">
        <v>0</v>
      </c>
      <c r="BG5" s="62">
        <v>6692690</v>
      </c>
      <c r="BH5" s="62">
        <v>8478985</v>
      </c>
      <c r="BI5" s="62">
        <v>6642107</v>
      </c>
      <c r="BJ5" s="62">
        <v>6544037</v>
      </c>
      <c r="BK5" s="190">
        <f t="shared" ref="BK5:BK87" si="19">SUM(AY5:BJ5)</f>
        <v>61476002</v>
      </c>
      <c r="BL5" s="197">
        <f>BK5/BK$4</f>
        <v>0.78859799400872843</v>
      </c>
      <c r="BM5" s="62">
        <v>7832817</v>
      </c>
      <c r="BN5" s="62">
        <v>6606207</v>
      </c>
      <c r="BO5" s="62">
        <v>6725227</v>
      </c>
      <c r="BP5" s="62">
        <v>6689092</v>
      </c>
      <c r="BQ5" s="62">
        <v>8261378</v>
      </c>
      <c r="BR5" s="62">
        <v>0</v>
      </c>
      <c r="BS5" s="62">
        <v>0</v>
      </c>
      <c r="BT5" s="62">
        <v>0</v>
      </c>
      <c r="BU5" s="62">
        <v>0</v>
      </c>
      <c r="BV5" s="62">
        <v>0</v>
      </c>
      <c r="BW5" s="62">
        <v>0</v>
      </c>
      <c r="BX5" s="62">
        <v>0</v>
      </c>
      <c r="BY5" s="190">
        <f t="shared" ref="BY5:BY87" si="20">SUM(BM5:BX5)</f>
        <v>36114721</v>
      </c>
      <c r="BZ5" s="197">
        <f>BY5/BY$4</f>
        <v>0.61713514646414203</v>
      </c>
      <c r="CA5" s="62">
        <v>0</v>
      </c>
      <c r="CB5" s="62">
        <v>0</v>
      </c>
      <c r="CC5" s="62">
        <v>0</v>
      </c>
      <c r="CD5" s="62">
        <v>0</v>
      </c>
      <c r="CE5" s="62">
        <v>0</v>
      </c>
      <c r="CF5" s="62">
        <v>0</v>
      </c>
      <c r="CG5" s="62">
        <v>0</v>
      </c>
      <c r="CH5" s="62">
        <v>0</v>
      </c>
      <c r="CI5" s="62">
        <v>0</v>
      </c>
      <c r="CJ5" s="62">
        <v>0</v>
      </c>
      <c r="CK5" s="62">
        <v>0</v>
      </c>
      <c r="CL5" s="62">
        <v>0</v>
      </c>
      <c r="CM5" s="190">
        <f t="shared" ref="CM5:CM87" si="21">SUM(CA5:CL5)</f>
        <v>0</v>
      </c>
      <c r="CN5" s="62">
        <v>0</v>
      </c>
      <c r="CO5" s="62">
        <v>0</v>
      </c>
      <c r="CP5" s="62">
        <v>0</v>
      </c>
      <c r="CQ5" s="62">
        <v>0</v>
      </c>
      <c r="CR5" s="62">
        <v>0</v>
      </c>
      <c r="CS5" s="62">
        <v>0</v>
      </c>
      <c r="CT5" s="62">
        <v>0</v>
      </c>
      <c r="CU5" s="62">
        <v>0</v>
      </c>
      <c r="CV5" s="62">
        <v>0</v>
      </c>
      <c r="CW5" s="62">
        <v>0</v>
      </c>
      <c r="CX5" s="62">
        <v>0</v>
      </c>
      <c r="CY5" s="62">
        <v>0</v>
      </c>
      <c r="CZ5" s="190">
        <f t="shared" ref="CZ5:CZ87" si="22">SUM(CN5:CY5)</f>
        <v>0</v>
      </c>
      <c r="DA5" s="62">
        <v>0</v>
      </c>
      <c r="DB5" s="62">
        <v>0</v>
      </c>
      <c r="DC5" s="62">
        <v>0</v>
      </c>
      <c r="DD5" s="62">
        <v>0</v>
      </c>
      <c r="DE5" s="62">
        <v>0</v>
      </c>
      <c r="DF5" s="62">
        <v>0</v>
      </c>
      <c r="DG5" s="62">
        <v>0</v>
      </c>
      <c r="DH5" s="62">
        <v>0</v>
      </c>
      <c r="DI5" s="62">
        <v>0</v>
      </c>
      <c r="DJ5" s="62">
        <v>0</v>
      </c>
      <c r="DK5" s="62">
        <v>0</v>
      </c>
      <c r="DL5" s="62">
        <v>0</v>
      </c>
      <c r="DM5" s="190">
        <f t="shared" ref="DM5:DM87" si="23">SUM(DA5:DL5)</f>
        <v>0</v>
      </c>
      <c r="DN5" s="62">
        <v>0</v>
      </c>
      <c r="DO5" s="62">
        <v>0</v>
      </c>
      <c r="DP5" s="62">
        <v>0</v>
      </c>
      <c r="DQ5" s="62">
        <v>0</v>
      </c>
      <c r="DR5" s="62">
        <v>0</v>
      </c>
      <c r="DS5" s="62">
        <v>0</v>
      </c>
      <c r="DT5" s="62">
        <v>0</v>
      </c>
      <c r="DU5" s="62">
        <v>0</v>
      </c>
      <c r="DV5" s="62">
        <v>0</v>
      </c>
      <c r="DW5" s="62">
        <v>0</v>
      </c>
      <c r="DX5" s="62">
        <v>0</v>
      </c>
      <c r="DY5" s="62">
        <v>0</v>
      </c>
      <c r="DZ5" s="190">
        <f t="shared" ref="DZ5:DZ87" si="24">SUM(DN5:DY5)</f>
        <v>0</v>
      </c>
    </row>
    <row r="6" spans="1:130" ht="20.45" customHeight="1" outlineLevel="1">
      <c r="A6" s="548"/>
      <c r="B6" s="545" t="s">
        <v>3596</v>
      </c>
      <c r="C6" s="539"/>
      <c r="D6" s="62">
        <f t="shared" ref="D6" si="25">SUM(F6:FJ6)-G6-U6-AI6-AW6-BK6-BY6-CM6-CZ6-DM6-DZ6-H6-V6-AJ6-AX6-BL6-BZ6</f>
        <v>4752568.9999999991</v>
      </c>
      <c r="E6" s="184">
        <f>D6/D$4</f>
        <v>1.3235789593508525E-2</v>
      </c>
      <c r="F6" s="62">
        <v>0</v>
      </c>
      <c r="G6" s="190">
        <f>SUM(F6)</f>
        <v>0</v>
      </c>
      <c r="H6" s="197">
        <f>G6/G$4</f>
        <v>0</v>
      </c>
      <c r="I6" s="62">
        <v>0</v>
      </c>
      <c r="J6" s="62">
        <v>0</v>
      </c>
      <c r="K6" s="62">
        <v>0</v>
      </c>
      <c r="L6" s="62">
        <v>0</v>
      </c>
      <c r="M6" s="62">
        <v>0</v>
      </c>
      <c r="N6" s="62">
        <v>0</v>
      </c>
      <c r="O6" s="62">
        <v>0</v>
      </c>
      <c r="P6" s="62">
        <v>0</v>
      </c>
      <c r="Q6" s="62">
        <v>0</v>
      </c>
      <c r="R6" s="62">
        <v>0</v>
      </c>
      <c r="S6" s="62">
        <v>0</v>
      </c>
      <c r="T6" s="62">
        <v>0</v>
      </c>
      <c r="U6" s="190">
        <f t="shared" ref="U6" si="26">SUM(I6:T6)</f>
        <v>0</v>
      </c>
      <c r="V6" s="197">
        <f>U6/U$4</f>
        <v>0</v>
      </c>
      <c r="W6" s="62">
        <v>0</v>
      </c>
      <c r="X6" s="62">
        <v>0</v>
      </c>
      <c r="Y6" s="62">
        <v>0</v>
      </c>
      <c r="Z6" s="62">
        <v>0</v>
      </c>
      <c r="AA6" s="62">
        <v>0</v>
      </c>
      <c r="AB6" s="62">
        <v>0</v>
      </c>
      <c r="AC6" s="62">
        <v>0</v>
      </c>
      <c r="AD6" s="62">
        <v>0</v>
      </c>
      <c r="AE6" s="62">
        <v>0</v>
      </c>
      <c r="AF6" s="62">
        <v>0</v>
      </c>
      <c r="AG6" s="62">
        <v>0</v>
      </c>
      <c r="AH6" s="62">
        <v>0</v>
      </c>
      <c r="AI6" s="190">
        <f t="shared" ref="AI6" si="27">SUM(W6:AH6)</f>
        <v>0</v>
      </c>
      <c r="AJ6" s="197">
        <f>AI6/AI$4</f>
        <v>0</v>
      </c>
      <c r="AK6" s="62">
        <v>0</v>
      </c>
      <c r="AL6" s="62">
        <v>0</v>
      </c>
      <c r="AM6" s="62">
        <v>0</v>
      </c>
      <c r="AN6" s="62">
        <v>0</v>
      </c>
      <c r="AO6" s="62">
        <v>0</v>
      </c>
      <c r="AP6" s="62">
        <v>0</v>
      </c>
      <c r="AQ6" s="62">
        <v>0</v>
      </c>
      <c r="AR6" s="62">
        <v>0</v>
      </c>
      <c r="AS6" s="62">
        <v>0</v>
      </c>
      <c r="AT6" s="62">
        <v>0</v>
      </c>
      <c r="AU6" s="62">
        <v>0</v>
      </c>
      <c r="AV6" s="62">
        <v>0</v>
      </c>
      <c r="AW6" s="190">
        <f t="shared" ref="AW6" si="28">SUM(AK6:AV6)</f>
        <v>0</v>
      </c>
      <c r="AX6" s="197">
        <f>AW6/AW$4</f>
        <v>0</v>
      </c>
      <c r="AY6" s="62">
        <v>0</v>
      </c>
      <c r="AZ6" s="62">
        <v>0</v>
      </c>
      <c r="BA6" s="62">
        <v>0</v>
      </c>
      <c r="BB6" s="62">
        <v>0</v>
      </c>
      <c r="BC6" s="62">
        <v>0</v>
      </c>
      <c r="BD6" s="62">
        <v>0</v>
      </c>
      <c r="BE6" s="62">
        <v>0</v>
      </c>
      <c r="BF6" s="62">
        <v>0</v>
      </c>
      <c r="BG6" s="62">
        <v>0</v>
      </c>
      <c r="BH6" s="62">
        <v>0</v>
      </c>
      <c r="BI6" s="62">
        <v>0</v>
      </c>
      <c r="BJ6" s="62">
        <v>0</v>
      </c>
      <c r="BK6" s="190">
        <f t="shared" ref="BK6" si="29">SUM(AY6:BJ6)</f>
        <v>0</v>
      </c>
      <c r="BL6" s="197">
        <f>BK6/BK$4</f>
        <v>0</v>
      </c>
      <c r="BM6" s="62">
        <v>0</v>
      </c>
      <c r="BN6" s="62">
        <v>0</v>
      </c>
      <c r="BO6" s="62">
        <v>0</v>
      </c>
      <c r="BP6" s="62">
        <v>4752569</v>
      </c>
      <c r="BQ6" s="62">
        <v>0</v>
      </c>
      <c r="BR6" s="62">
        <v>0</v>
      </c>
      <c r="BS6" s="62">
        <v>0</v>
      </c>
      <c r="BT6" s="62">
        <v>0</v>
      </c>
      <c r="BU6" s="62">
        <v>0</v>
      </c>
      <c r="BV6" s="62">
        <v>0</v>
      </c>
      <c r="BW6" s="62">
        <v>0</v>
      </c>
      <c r="BX6" s="62">
        <v>0</v>
      </c>
      <c r="BY6" s="190">
        <f t="shared" ref="BY6" si="30">SUM(BM6:BX6)</f>
        <v>4752569</v>
      </c>
      <c r="BZ6" s="197">
        <f>BY6/BY$4</f>
        <v>8.1212793140391176E-2</v>
      </c>
      <c r="CA6" s="62">
        <v>0</v>
      </c>
      <c r="CB6" s="62">
        <v>0</v>
      </c>
      <c r="CC6" s="62">
        <v>0</v>
      </c>
      <c r="CD6" s="62">
        <v>0</v>
      </c>
      <c r="CE6" s="62">
        <v>0</v>
      </c>
      <c r="CF6" s="62">
        <v>0</v>
      </c>
      <c r="CG6" s="62">
        <v>0</v>
      </c>
      <c r="CH6" s="62">
        <v>0</v>
      </c>
      <c r="CI6" s="62">
        <v>0</v>
      </c>
      <c r="CJ6" s="62">
        <v>0</v>
      </c>
      <c r="CK6" s="62">
        <v>0</v>
      </c>
      <c r="CL6" s="62">
        <v>0</v>
      </c>
      <c r="CM6" s="190">
        <f t="shared" ref="CM6" si="31">SUM(CA6:CL6)</f>
        <v>0</v>
      </c>
      <c r="CN6" s="62">
        <v>0</v>
      </c>
      <c r="CO6" s="62">
        <v>0</v>
      </c>
      <c r="CP6" s="62">
        <v>0</v>
      </c>
      <c r="CQ6" s="62">
        <v>0</v>
      </c>
      <c r="CR6" s="62">
        <v>0</v>
      </c>
      <c r="CS6" s="62">
        <v>0</v>
      </c>
      <c r="CT6" s="62">
        <v>0</v>
      </c>
      <c r="CU6" s="62">
        <v>0</v>
      </c>
      <c r="CV6" s="62">
        <v>0</v>
      </c>
      <c r="CW6" s="62">
        <v>0</v>
      </c>
      <c r="CX6" s="62">
        <v>0</v>
      </c>
      <c r="CY6" s="62">
        <v>0</v>
      </c>
      <c r="CZ6" s="190">
        <f t="shared" ref="CZ6" si="32">SUM(CN6:CY6)</f>
        <v>0</v>
      </c>
      <c r="DA6" s="62">
        <v>0</v>
      </c>
      <c r="DB6" s="62">
        <v>0</v>
      </c>
      <c r="DC6" s="62">
        <v>0</v>
      </c>
      <c r="DD6" s="62">
        <v>0</v>
      </c>
      <c r="DE6" s="62">
        <v>0</v>
      </c>
      <c r="DF6" s="62">
        <v>0</v>
      </c>
      <c r="DG6" s="62">
        <v>0</v>
      </c>
      <c r="DH6" s="62">
        <v>0</v>
      </c>
      <c r="DI6" s="62">
        <v>0</v>
      </c>
      <c r="DJ6" s="62">
        <v>0</v>
      </c>
      <c r="DK6" s="62">
        <v>0</v>
      </c>
      <c r="DL6" s="62">
        <v>0</v>
      </c>
      <c r="DM6" s="190">
        <f t="shared" ref="DM6" si="33">SUM(DA6:DL6)</f>
        <v>0</v>
      </c>
      <c r="DN6" s="62">
        <v>0</v>
      </c>
      <c r="DO6" s="62">
        <v>0</v>
      </c>
      <c r="DP6" s="62">
        <v>0</v>
      </c>
      <c r="DQ6" s="62">
        <v>0</v>
      </c>
      <c r="DR6" s="62">
        <v>0</v>
      </c>
      <c r="DS6" s="62">
        <v>0</v>
      </c>
      <c r="DT6" s="62">
        <v>0</v>
      </c>
      <c r="DU6" s="62">
        <v>0</v>
      </c>
      <c r="DV6" s="62">
        <v>0</v>
      </c>
      <c r="DW6" s="62">
        <v>0</v>
      </c>
      <c r="DX6" s="62">
        <v>0</v>
      </c>
      <c r="DY6" s="62">
        <v>0</v>
      </c>
      <c r="DZ6" s="190">
        <f t="shared" ref="DZ6" si="34">SUM(DN6:DY6)</f>
        <v>0</v>
      </c>
    </row>
    <row r="7" spans="1:130" ht="20.45" customHeight="1" outlineLevel="1">
      <c r="A7" s="548"/>
      <c r="B7" s="538" t="s">
        <v>2598</v>
      </c>
      <c r="C7" s="539"/>
      <c r="D7" s="62">
        <f t="shared" si="0"/>
        <v>6240595.9999999991</v>
      </c>
      <c r="E7" s="184">
        <f t="shared" ref="E7:E24" si="35">D7/D$4</f>
        <v>1.7379908759681536E-2</v>
      </c>
      <c r="F7" s="62">
        <v>0</v>
      </c>
      <c r="G7" s="190">
        <f t="shared" ref="G7:G88" si="36">SUM(F7)</f>
        <v>0</v>
      </c>
      <c r="H7" s="197">
        <f t="shared" ref="H7:H24" si="37">G7/G$4</f>
        <v>0</v>
      </c>
      <c r="I7" s="62">
        <v>0</v>
      </c>
      <c r="J7" s="62">
        <v>0</v>
      </c>
      <c r="K7" s="62">
        <v>0</v>
      </c>
      <c r="L7" s="62">
        <v>0</v>
      </c>
      <c r="M7" s="62">
        <v>0</v>
      </c>
      <c r="N7" s="62">
        <v>0</v>
      </c>
      <c r="O7" s="62">
        <v>0</v>
      </c>
      <c r="P7" s="62">
        <v>0</v>
      </c>
      <c r="Q7" s="62">
        <v>0</v>
      </c>
      <c r="R7" s="62">
        <v>0</v>
      </c>
      <c r="S7" s="62">
        <v>0</v>
      </c>
      <c r="T7" s="62">
        <v>0</v>
      </c>
      <c r="U7" s="190">
        <f t="shared" si="16"/>
        <v>0</v>
      </c>
      <c r="V7" s="197">
        <f t="shared" ref="V7:V24" si="38">U7/U$4</f>
        <v>0</v>
      </c>
      <c r="W7" s="62">
        <v>0</v>
      </c>
      <c r="X7" s="62">
        <v>0</v>
      </c>
      <c r="Y7" s="62">
        <v>2900955</v>
      </c>
      <c r="Z7" s="62">
        <v>0</v>
      </c>
      <c r="AA7" s="62">
        <v>812032</v>
      </c>
      <c r="AB7" s="62">
        <v>0</v>
      </c>
      <c r="AC7" s="62">
        <v>0</v>
      </c>
      <c r="AD7" s="62">
        <v>0</v>
      </c>
      <c r="AE7" s="62">
        <v>0</v>
      </c>
      <c r="AF7" s="62">
        <v>0</v>
      </c>
      <c r="AG7" s="62">
        <v>0</v>
      </c>
      <c r="AH7" s="62">
        <v>0</v>
      </c>
      <c r="AI7" s="190">
        <f t="shared" si="17"/>
        <v>3712987</v>
      </c>
      <c r="AJ7" s="197">
        <f t="shared" ref="AJ7:AJ24" si="39">AI7/AI$4</f>
        <v>4.3316213666692409E-2</v>
      </c>
      <c r="AK7" s="62">
        <v>0</v>
      </c>
      <c r="AL7" s="62">
        <v>0</v>
      </c>
      <c r="AM7" s="62">
        <v>0</v>
      </c>
      <c r="AN7" s="62">
        <v>0</v>
      </c>
      <c r="AO7" s="62">
        <v>0</v>
      </c>
      <c r="AP7" s="62">
        <v>0</v>
      </c>
      <c r="AQ7" s="62">
        <v>0</v>
      </c>
      <c r="AR7" s="62">
        <v>0</v>
      </c>
      <c r="AS7" s="62">
        <v>0</v>
      </c>
      <c r="AT7" s="62">
        <v>0</v>
      </c>
      <c r="AU7" s="62">
        <v>0</v>
      </c>
      <c r="AV7" s="62">
        <f>877190+768659</f>
        <v>1645849</v>
      </c>
      <c r="AW7" s="190">
        <f t="shared" si="18"/>
        <v>1645849</v>
      </c>
      <c r="AX7" s="197">
        <f t="shared" ref="AX7:AX24" si="40">AW7/AW$4</f>
        <v>2.268935080183954E-2</v>
      </c>
      <c r="AY7" s="62">
        <v>0</v>
      </c>
      <c r="AZ7" s="62">
        <v>0</v>
      </c>
      <c r="BA7" s="62">
        <v>0</v>
      </c>
      <c r="BB7" s="62">
        <v>0</v>
      </c>
      <c r="BC7" s="62">
        <v>0</v>
      </c>
      <c r="BD7" s="62">
        <v>0</v>
      </c>
      <c r="BE7" s="62">
        <v>0</v>
      </c>
      <c r="BF7" s="62">
        <v>0</v>
      </c>
      <c r="BG7" s="62">
        <v>0</v>
      </c>
      <c r="BH7" s="62">
        <v>0</v>
      </c>
      <c r="BI7" s="62">
        <v>881760</v>
      </c>
      <c r="BJ7" s="62">
        <v>0</v>
      </c>
      <c r="BK7" s="190">
        <f t="shared" si="19"/>
        <v>881760</v>
      </c>
      <c r="BL7" s="197">
        <f t="shared" ref="BL7:BL24" si="41">BK7/BK$4</f>
        <v>1.131098549962856E-2</v>
      </c>
      <c r="BM7" s="62">
        <v>0</v>
      </c>
      <c r="BN7" s="62">
        <v>0</v>
      </c>
      <c r="BO7" s="62">
        <v>0</v>
      </c>
      <c r="BP7" s="62">
        <v>0</v>
      </c>
      <c r="BQ7" s="62">
        <v>0</v>
      </c>
      <c r="BR7" s="62">
        <v>0</v>
      </c>
      <c r="BS7" s="62">
        <v>0</v>
      </c>
      <c r="BT7" s="62">
        <v>0</v>
      </c>
      <c r="BU7" s="62">
        <v>0</v>
      </c>
      <c r="BV7" s="62">
        <v>0</v>
      </c>
      <c r="BW7" s="62">
        <v>0</v>
      </c>
      <c r="BX7" s="62">
        <v>0</v>
      </c>
      <c r="BY7" s="190">
        <f t="shared" si="20"/>
        <v>0</v>
      </c>
      <c r="BZ7" s="197">
        <f t="shared" ref="BZ7:BZ24" si="42">BY7/BY$4</f>
        <v>0</v>
      </c>
      <c r="CA7" s="62">
        <v>0</v>
      </c>
      <c r="CB7" s="62">
        <v>0</v>
      </c>
      <c r="CC7" s="62">
        <v>0</v>
      </c>
      <c r="CD7" s="62">
        <v>0</v>
      </c>
      <c r="CE7" s="62">
        <v>0</v>
      </c>
      <c r="CF7" s="62">
        <v>0</v>
      </c>
      <c r="CG7" s="62">
        <v>0</v>
      </c>
      <c r="CH7" s="62">
        <v>0</v>
      </c>
      <c r="CI7" s="62">
        <v>0</v>
      </c>
      <c r="CJ7" s="62">
        <v>0</v>
      </c>
      <c r="CK7" s="62">
        <v>0</v>
      </c>
      <c r="CL7" s="62">
        <v>0</v>
      </c>
      <c r="CM7" s="190">
        <f t="shared" si="21"/>
        <v>0</v>
      </c>
      <c r="CN7" s="62">
        <v>0</v>
      </c>
      <c r="CO7" s="62">
        <v>0</v>
      </c>
      <c r="CP7" s="62">
        <v>0</v>
      </c>
      <c r="CQ7" s="62">
        <v>0</v>
      </c>
      <c r="CR7" s="62">
        <v>0</v>
      </c>
      <c r="CS7" s="62">
        <v>0</v>
      </c>
      <c r="CT7" s="62">
        <v>0</v>
      </c>
      <c r="CU7" s="62">
        <v>0</v>
      </c>
      <c r="CV7" s="62">
        <v>0</v>
      </c>
      <c r="CW7" s="62">
        <v>0</v>
      </c>
      <c r="CX7" s="62">
        <v>0</v>
      </c>
      <c r="CY7" s="62">
        <v>0</v>
      </c>
      <c r="CZ7" s="190">
        <f t="shared" si="22"/>
        <v>0</v>
      </c>
      <c r="DA7" s="62">
        <v>0</v>
      </c>
      <c r="DB7" s="62">
        <v>0</v>
      </c>
      <c r="DC7" s="62">
        <v>0</v>
      </c>
      <c r="DD7" s="62">
        <v>0</v>
      </c>
      <c r="DE7" s="62">
        <v>0</v>
      </c>
      <c r="DF7" s="62">
        <v>0</v>
      </c>
      <c r="DG7" s="62">
        <v>0</v>
      </c>
      <c r="DH7" s="62">
        <v>0</v>
      </c>
      <c r="DI7" s="62">
        <v>0</v>
      </c>
      <c r="DJ7" s="62">
        <v>0</v>
      </c>
      <c r="DK7" s="62">
        <v>0</v>
      </c>
      <c r="DL7" s="62">
        <v>0</v>
      </c>
      <c r="DM7" s="190">
        <f t="shared" si="23"/>
        <v>0</v>
      </c>
      <c r="DN7" s="62">
        <v>0</v>
      </c>
      <c r="DO7" s="62">
        <v>0</v>
      </c>
      <c r="DP7" s="62">
        <v>0</v>
      </c>
      <c r="DQ7" s="62">
        <v>0</v>
      </c>
      <c r="DR7" s="62">
        <v>0</v>
      </c>
      <c r="DS7" s="62">
        <v>0</v>
      </c>
      <c r="DT7" s="62">
        <v>0</v>
      </c>
      <c r="DU7" s="62">
        <v>0</v>
      </c>
      <c r="DV7" s="62">
        <v>0</v>
      </c>
      <c r="DW7" s="62">
        <v>0</v>
      </c>
      <c r="DX7" s="62">
        <v>0</v>
      </c>
      <c r="DY7" s="62">
        <v>0</v>
      </c>
      <c r="DZ7" s="190">
        <f t="shared" si="24"/>
        <v>0</v>
      </c>
    </row>
    <row r="8" spans="1:130" ht="20.45" customHeight="1" outlineLevel="1">
      <c r="A8" s="548"/>
      <c r="B8" s="538" t="s">
        <v>2599</v>
      </c>
      <c r="C8" s="539"/>
      <c r="D8" s="62">
        <f t="shared" si="0"/>
        <v>308999.99999999994</v>
      </c>
      <c r="E8" s="184">
        <f t="shared" si="35"/>
        <v>8.6055751834305486E-4</v>
      </c>
      <c r="F8" s="62">
        <v>0</v>
      </c>
      <c r="G8" s="190">
        <f t="shared" si="36"/>
        <v>0</v>
      </c>
      <c r="H8" s="197">
        <f t="shared" si="37"/>
        <v>0</v>
      </c>
      <c r="I8" s="62">
        <v>0</v>
      </c>
      <c r="J8" s="62">
        <v>0</v>
      </c>
      <c r="K8" s="62">
        <v>0</v>
      </c>
      <c r="L8" s="62">
        <v>0</v>
      </c>
      <c r="M8" s="62">
        <v>0</v>
      </c>
      <c r="N8" s="62">
        <v>0</v>
      </c>
      <c r="O8" s="62">
        <v>0</v>
      </c>
      <c r="P8" s="62">
        <v>0</v>
      </c>
      <c r="Q8" s="62">
        <v>0</v>
      </c>
      <c r="R8" s="62">
        <v>0</v>
      </c>
      <c r="S8" s="62">
        <v>0</v>
      </c>
      <c r="T8" s="62">
        <v>0</v>
      </c>
      <c r="U8" s="190">
        <f t="shared" si="16"/>
        <v>0</v>
      </c>
      <c r="V8" s="197">
        <f t="shared" si="38"/>
        <v>0</v>
      </c>
      <c r="W8" s="62">
        <v>0</v>
      </c>
      <c r="X8" s="62">
        <v>0</v>
      </c>
      <c r="Y8" s="62">
        <v>0</v>
      </c>
      <c r="Z8" s="62">
        <v>45100</v>
      </c>
      <c r="AA8" s="62">
        <f>45400+218500</f>
        <v>263900</v>
      </c>
      <c r="AB8" s="62">
        <v>0</v>
      </c>
      <c r="AC8" s="62">
        <v>0</v>
      </c>
      <c r="AD8" s="62">
        <v>0</v>
      </c>
      <c r="AE8" s="62">
        <v>0</v>
      </c>
      <c r="AF8" s="62">
        <v>0</v>
      </c>
      <c r="AG8" s="62">
        <v>0</v>
      </c>
      <c r="AH8" s="62">
        <v>0</v>
      </c>
      <c r="AI8" s="190">
        <f t="shared" si="17"/>
        <v>309000</v>
      </c>
      <c r="AJ8" s="197">
        <f t="shared" si="39"/>
        <v>3.6048362202743922E-3</v>
      </c>
      <c r="AK8" s="62">
        <v>0</v>
      </c>
      <c r="AL8" s="62">
        <v>0</v>
      </c>
      <c r="AM8" s="62">
        <v>0</v>
      </c>
      <c r="AN8" s="62">
        <v>0</v>
      </c>
      <c r="AO8" s="62">
        <v>0</v>
      </c>
      <c r="AP8" s="62">
        <v>0</v>
      </c>
      <c r="AQ8" s="62">
        <v>0</v>
      </c>
      <c r="AR8" s="62">
        <v>0</v>
      </c>
      <c r="AS8" s="62">
        <v>0</v>
      </c>
      <c r="AT8" s="62">
        <v>0</v>
      </c>
      <c r="AU8" s="62">
        <v>0</v>
      </c>
      <c r="AV8" s="62">
        <v>0</v>
      </c>
      <c r="AW8" s="190">
        <f t="shared" si="18"/>
        <v>0</v>
      </c>
      <c r="AX8" s="197">
        <f t="shared" si="40"/>
        <v>0</v>
      </c>
      <c r="AY8" s="62">
        <v>0</v>
      </c>
      <c r="AZ8" s="62">
        <v>0</v>
      </c>
      <c r="BA8" s="62">
        <v>0</v>
      </c>
      <c r="BB8" s="62">
        <v>0</v>
      </c>
      <c r="BC8" s="62">
        <v>0</v>
      </c>
      <c r="BD8" s="62">
        <v>0</v>
      </c>
      <c r="BE8" s="62">
        <v>0</v>
      </c>
      <c r="BF8" s="62">
        <v>0</v>
      </c>
      <c r="BG8" s="62">
        <v>0</v>
      </c>
      <c r="BH8" s="62">
        <v>0</v>
      </c>
      <c r="BI8" s="62">
        <v>0</v>
      </c>
      <c r="BJ8" s="62">
        <v>0</v>
      </c>
      <c r="BK8" s="190">
        <f t="shared" si="19"/>
        <v>0</v>
      </c>
      <c r="BL8" s="197">
        <f t="shared" si="41"/>
        <v>0</v>
      </c>
      <c r="BM8" s="62">
        <v>0</v>
      </c>
      <c r="BN8" s="62">
        <v>0</v>
      </c>
      <c r="BO8" s="62">
        <v>0</v>
      </c>
      <c r="BP8" s="62">
        <v>0</v>
      </c>
      <c r="BQ8" s="62">
        <v>0</v>
      </c>
      <c r="BR8" s="62">
        <v>0</v>
      </c>
      <c r="BS8" s="62">
        <v>0</v>
      </c>
      <c r="BT8" s="62">
        <v>0</v>
      </c>
      <c r="BU8" s="62">
        <v>0</v>
      </c>
      <c r="BV8" s="62">
        <v>0</v>
      </c>
      <c r="BW8" s="62">
        <v>0</v>
      </c>
      <c r="BX8" s="62">
        <v>0</v>
      </c>
      <c r="BY8" s="190">
        <f t="shared" si="20"/>
        <v>0</v>
      </c>
      <c r="BZ8" s="197">
        <f t="shared" si="42"/>
        <v>0</v>
      </c>
      <c r="CA8" s="62">
        <v>0</v>
      </c>
      <c r="CB8" s="62">
        <v>0</v>
      </c>
      <c r="CC8" s="62">
        <v>0</v>
      </c>
      <c r="CD8" s="62">
        <v>0</v>
      </c>
      <c r="CE8" s="62">
        <v>0</v>
      </c>
      <c r="CF8" s="62">
        <v>0</v>
      </c>
      <c r="CG8" s="62">
        <v>0</v>
      </c>
      <c r="CH8" s="62">
        <v>0</v>
      </c>
      <c r="CI8" s="62">
        <v>0</v>
      </c>
      <c r="CJ8" s="62">
        <v>0</v>
      </c>
      <c r="CK8" s="62">
        <v>0</v>
      </c>
      <c r="CL8" s="62">
        <v>0</v>
      </c>
      <c r="CM8" s="190">
        <f t="shared" si="21"/>
        <v>0</v>
      </c>
      <c r="CN8" s="62">
        <v>0</v>
      </c>
      <c r="CO8" s="62">
        <v>0</v>
      </c>
      <c r="CP8" s="62">
        <v>0</v>
      </c>
      <c r="CQ8" s="62">
        <v>0</v>
      </c>
      <c r="CR8" s="62">
        <v>0</v>
      </c>
      <c r="CS8" s="62">
        <v>0</v>
      </c>
      <c r="CT8" s="62">
        <v>0</v>
      </c>
      <c r="CU8" s="62">
        <v>0</v>
      </c>
      <c r="CV8" s="62">
        <v>0</v>
      </c>
      <c r="CW8" s="62">
        <v>0</v>
      </c>
      <c r="CX8" s="62">
        <v>0</v>
      </c>
      <c r="CY8" s="62">
        <v>0</v>
      </c>
      <c r="CZ8" s="190">
        <f t="shared" si="22"/>
        <v>0</v>
      </c>
      <c r="DA8" s="62">
        <v>0</v>
      </c>
      <c r="DB8" s="62">
        <v>0</v>
      </c>
      <c r="DC8" s="62">
        <v>0</v>
      </c>
      <c r="DD8" s="62">
        <v>0</v>
      </c>
      <c r="DE8" s="62">
        <v>0</v>
      </c>
      <c r="DF8" s="62">
        <v>0</v>
      </c>
      <c r="DG8" s="62">
        <v>0</v>
      </c>
      <c r="DH8" s="62">
        <v>0</v>
      </c>
      <c r="DI8" s="62">
        <v>0</v>
      </c>
      <c r="DJ8" s="62">
        <v>0</v>
      </c>
      <c r="DK8" s="62">
        <v>0</v>
      </c>
      <c r="DL8" s="62">
        <v>0</v>
      </c>
      <c r="DM8" s="190">
        <f t="shared" si="23"/>
        <v>0</v>
      </c>
      <c r="DN8" s="62">
        <v>0</v>
      </c>
      <c r="DO8" s="62">
        <v>0</v>
      </c>
      <c r="DP8" s="62">
        <v>0</v>
      </c>
      <c r="DQ8" s="62">
        <v>0</v>
      </c>
      <c r="DR8" s="62">
        <v>0</v>
      </c>
      <c r="DS8" s="62">
        <v>0</v>
      </c>
      <c r="DT8" s="62">
        <v>0</v>
      </c>
      <c r="DU8" s="62">
        <v>0</v>
      </c>
      <c r="DV8" s="62">
        <v>0</v>
      </c>
      <c r="DW8" s="62">
        <v>0</v>
      </c>
      <c r="DX8" s="62">
        <v>0</v>
      </c>
      <c r="DY8" s="62">
        <v>0</v>
      </c>
      <c r="DZ8" s="190">
        <f t="shared" si="24"/>
        <v>0</v>
      </c>
    </row>
    <row r="9" spans="1:130" ht="20.45" customHeight="1" outlineLevel="1">
      <c r="A9" s="548"/>
      <c r="B9" s="538" t="s">
        <v>3218</v>
      </c>
      <c r="C9" s="539"/>
      <c r="D9" s="62">
        <f t="shared" si="0"/>
        <v>7629030</v>
      </c>
      <c r="E9" s="184">
        <f t="shared" si="35"/>
        <v>2.1246663832248276E-2</v>
      </c>
      <c r="F9" s="62">
        <v>0</v>
      </c>
      <c r="G9" s="190">
        <f t="shared" si="36"/>
        <v>0</v>
      </c>
      <c r="H9" s="197">
        <f t="shared" si="37"/>
        <v>0</v>
      </c>
      <c r="I9" s="62">
        <v>0</v>
      </c>
      <c r="J9" s="62">
        <v>0</v>
      </c>
      <c r="K9" s="62">
        <v>0</v>
      </c>
      <c r="L9" s="62">
        <v>0</v>
      </c>
      <c r="M9" s="62">
        <v>0</v>
      </c>
      <c r="N9" s="62">
        <v>0</v>
      </c>
      <c r="O9" s="62">
        <v>0</v>
      </c>
      <c r="P9" s="62">
        <v>0</v>
      </c>
      <c r="Q9" s="62">
        <v>0</v>
      </c>
      <c r="R9" s="62">
        <v>0</v>
      </c>
      <c r="S9" s="62">
        <v>0</v>
      </c>
      <c r="T9" s="62">
        <v>0</v>
      </c>
      <c r="U9" s="190">
        <f t="shared" ref="U9" si="43">SUM(I9:T9)</f>
        <v>0</v>
      </c>
      <c r="V9" s="197">
        <f t="shared" si="38"/>
        <v>0</v>
      </c>
      <c r="W9" s="62">
        <v>0</v>
      </c>
      <c r="X9" s="62">
        <v>0</v>
      </c>
      <c r="Y9" s="62">
        <v>0</v>
      </c>
      <c r="Z9" s="62">
        <v>0</v>
      </c>
      <c r="AA9" s="62">
        <v>0</v>
      </c>
      <c r="AB9" s="62">
        <v>0</v>
      </c>
      <c r="AC9" s="62">
        <v>0</v>
      </c>
      <c r="AD9" s="62">
        <v>0</v>
      </c>
      <c r="AE9" s="62">
        <v>0</v>
      </c>
      <c r="AF9" s="62">
        <v>0</v>
      </c>
      <c r="AG9" s="62">
        <v>0</v>
      </c>
      <c r="AH9" s="62">
        <v>0</v>
      </c>
      <c r="AI9" s="190">
        <f t="shared" ref="AI9" si="44">SUM(W9:AH9)</f>
        <v>0</v>
      </c>
      <c r="AJ9" s="197">
        <f t="shared" si="39"/>
        <v>0</v>
      </c>
      <c r="AK9" s="62">
        <v>0</v>
      </c>
      <c r="AL9" s="62">
        <v>0</v>
      </c>
      <c r="AM9" s="62">
        <v>0</v>
      </c>
      <c r="AN9" s="62">
        <v>0</v>
      </c>
      <c r="AO9" s="62">
        <v>0</v>
      </c>
      <c r="AP9" s="62">
        <v>0</v>
      </c>
      <c r="AQ9" s="62">
        <v>0</v>
      </c>
      <c r="AR9" s="62">
        <v>0</v>
      </c>
      <c r="AS9" s="62">
        <v>0</v>
      </c>
      <c r="AT9" s="62">
        <v>0</v>
      </c>
      <c r="AU9" s="62">
        <v>0</v>
      </c>
      <c r="AV9" s="62">
        <v>0</v>
      </c>
      <c r="AW9" s="190">
        <f t="shared" ref="AW9" si="45">SUM(AK9:AV9)</f>
        <v>0</v>
      </c>
      <c r="AX9" s="197">
        <f t="shared" si="40"/>
        <v>0</v>
      </c>
      <c r="AY9" s="62">
        <v>0</v>
      </c>
      <c r="AZ9" s="62">
        <v>0</v>
      </c>
      <c r="BA9" s="62">
        <v>0</v>
      </c>
      <c r="BB9" s="62">
        <v>0</v>
      </c>
      <c r="BC9" s="62">
        <v>0</v>
      </c>
      <c r="BD9" s="62">
        <v>2500000</v>
      </c>
      <c r="BE9" s="62">
        <v>0</v>
      </c>
      <c r="BF9" s="62">
        <v>5129030</v>
      </c>
      <c r="BG9" s="62">
        <v>0</v>
      </c>
      <c r="BH9" s="62">
        <v>0</v>
      </c>
      <c r="BI9" s="62">
        <v>0</v>
      </c>
      <c r="BJ9" s="62">
        <v>0</v>
      </c>
      <c r="BK9" s="190">
        <f t="shared" ref="BK9" si="46">SUM(AY9:BJ9)</f>
        <v>7629030</v>
      </c>
      <c r="BL9" s="197">
        <f t="shared" si="41"/>
        <v>9.7863191465059965E-2</v>
      </c>
      <c r="BM9" s="62">
        <v>0</v>
      </c>
      <c r="BN9" s="62">
        <v>0</v>
      </c>
      <c r="BO9" s="62">
        <v>0</v>
      </c>
      <c r="BP9" s="62">
        <v>0</v>
      </c>
      <c r="BQ9" s="62">
        <v>0</v>
      </c>
      <c r="BR9" s="62">
        <v>0</v>
      </c>
      <c r="BS9" s="62">
        <v>0</v>
      </c>
      <c r="BT9" s="62">
        <v>0</v>
      </c>
      <c r="BU9" s="62">
        <v>0</v>
      </c>
      <c r="BV9" s="62">
        <v>0</v>
      </c>
      <c r="BW9" s="62">
        <v>0</v>
      </c>
      <c r="BX9" s="62">
        <v>0</v>
      </c>
      <c r="BY9" s="190">
        <f t="shared" ref="BY9" si="47">SUM(BM9:BX9)</f>
        <v>0</v>
      </c>
      <c r="BZ9" s="197">
        <f t="shared" si="42"/>
        <v>0</v>
      </c>
      <c r="CA9" s="62">
        <v>0</v>
      </c>
      <c r="CB9" s="62">
        <v>0</v>
      </c>
      <c r="CC9" s="62">
        <v>0</v>
      </c>
      <c r="CD9" s="62">
        <v>0</v>
      </c>
      <c r="CE9" s="62">
        <v>0</v>
      </c>
      <c r="CF9" s="62">
        <v>0</v>
      </c>
      <c r="CG9" s="62">
        <v>0</v>
      </c>
      <c r="CH9" s="62">
        <v>0</v>
      </c>
      <c r="CI9" s="62">
        <v>0</v>
      </c>
      <c r="CJ9" s="62">
        <v>0</v>
      </c>
      <c r="CK9" s="62">
        <v>0</v>
      </c>
      <c r="CL9" s="62">
        <v>0</v>
      </c>
      <c r="CM9" s="190">
        <f t="shared" ref="CM9" si="48">SUM(CA9:CL9)</f>
        <v>0</v>
      </c>
      <c r="CN9" s="62">
        <v>0</v>
      </c>
      <c r="CO9" s="62">
        <v>0</v>
      </c>
      <c r="CP9" s="62">
        <v>0</v>
      </c>
      <c r="CQ9" s="62">
        <v>0</v>
      </c>
      <c r="CR9" s="62">
        <v>0</v>
      </c>
      <c r="CS9" s="62">
        <v>0</v>
      </c>
      <c r="CT9" s="62">
        <v>0</v>
      </c>
      <c r="CU9" s="62">
        <v>0</v>
      </c>
      <c r="CV9" s="62">
        <v>0</v>
      </c>
      <c r="CW9" s="62">
        <v>0</v>
      </c>
      <c r="CX9" s="62">
        <v>0</v>
      </c>
      <c r="CY9" s="62">
        <v>0</v>
      </c>
      <c r="CZ9" s="190">
        <f t="shared" ref="CZ9" si="49">SUM(CN9:CY9)</f>
        <v>0</v>
      </c>
      <c r="DA9" s="62">
        <v>0</v>
      </c>
      <c r="DB9" s="62">
        <v>0</v>
      </c>
      <c r="DC9" s="62">
        <v>0</v>
      </c>
      <c r="DD9" s="62">
        <v>0</v>
      </c>
      <c r="DE9" s="62">
        <v>0</v>
      </c>
      <c r="DF9" s="62">
        <v>0</v>
      </c>
      <c r="DG9" s="62">
        <v>0</v>
      </c>
      <c r="DH9" s="62">
        <v>0</v>
      </c>
      <c r="DI9" s="62">
        <v>0</v>
      </c>
      <c r="DJ9" s="62">
        <v>0</v>
      </c>
      <c r="DK9" s="62">
        <v>0</v>
      </c>
      <c r="DL9" s="62">
        <v>0</v>
      </c>
      <c r="DM9" s="190">
        <f t="shared" ref="DM9" si="50">SUM(DA9:DL9)</f>
        <v>0</v>
      </c>
      <c r="DN9" s="62">
        <v>0</v>
      </c>
      <c r="DO9" s="62">
        <v>0</v>
      </c>
      <c r="DP9" s="62">
        <v>0</v>
      </c>
      <c r="DQ9" s="62">
        <v>0</v>
      </c>
      <c r="DR9" s="62">
        <v>0</v>
      </c>
      <c r="DS9" s="62">
        <v>0</v>
      </c>
      <c r="DT9" s="62">
        <v>0</v>
      </c>
      <c r="DU9" s="62">
        <v>0</v>
      </c>
      <c r="DV9" s="62">
        <v>0</v>
      </c>
      <c r="DW9" s="62">
        <v>0</v>
      </c>
      <c r="DX9" s="62">
        <v>0</v>
      </c>
      <c r="DY9" s="62">
        <v>0</v>
      </c>
      <c r="DZ9" s="190">
        <f t="shared" ref="DZ9" si="51">SUM(DN9:DY9)</f>
        <v>0</v>
      </c>
    </row>
    <row r="10" spans="1:130" ht="20.45" customHeight="1" outlineLevel="1">
      <c r="A10" s="547"/>
      <c r="B10" s="538" t="s">
        <v>42</v>
      </c>
      <c r="C10" s="539"/>
      <c r="D10" s="62">
        <f t="shared" si="0"/>
        <v>5192560.0000000009</v>
      </c>
      <c r="E10" s="184">
        <f t="shared" si="35"/>
        <v>1.4461153875234351E-2</v>
      </c>
      <c r="F10" s="62">
        <v>0</v>
      </c>
      <c r="G10" s="190">
        <f t="shared" si="36"/>
        <v>0</v>
      </c>
      <c r="H10" s="197">
        <f t="shared" si="37"/>
        <v>0</v>
      </c>
      <c r="I10" s="62">
        <v>573670</v>
      </c>
      <c r="J10" s="62">
        <v>0</v>
      </c>
      <c r="K10" s="62">
        <v>0</v>
      </c>
      <c r="L10" s="62">
        <v>0</v>
      </c>
      <c r="M10" s="62">
        <v>0</v>
      </c>
      <c r="N10" s="62">
        <v>0</v>
      </c>
      <c r="O10" s="62">
        <v>0</v>
      </c>
      <c r="P10" s="62">
        <v>0</v>
      </c>
      <c r="Q10" s="62">
        <v>0</v>
      </c>
      <c r="R10" s="62">
        <v>0</v>
      </c>
      <c r="S10" s="62">
        <v>0</v>
      </c>
      <c r="T10" s="62">
        <v>0</v>
      </c>
      <c r="U10" s="190">
        <f t="shared" si="16"/>
        <v>573670</v>
      </c>
      <c r="V10" s="197">
        <f t="shared" si="38"/>
        <v>9.5676972578916612E-3</v>
      </c>
      <c r="W10" s="62">
        <v>0</v>
      </c>
      <c r="X10" s="62">
        <v>577720</v>
      </c>
      <c r="Y10" s="62">
        <v>0</v>
      </c>
      <c r="Z10" s="62">
        <v>0</v>
      </c>
      <c r="AA10" s="62">
        <v>0</v>
      </c>
      <c r="AB10" s="62">
        <v>0</v>
      </c>
      <c r="AC10" s="62">
        <v>0</v>
      </c>
      <c r="AD10" s="62">
        <v>0</v>
      </c>
      <c r="AE10" s="62">
        <v>0</v>
      </c>
      <c r="AF10" s="62">
        <v>0</v>
      </c>
      <c r="AG10" s="62">
        <v>0</v>
      </c>
      <c r="AH10" s="62">
        <v>0</v>
      </c>
      <c r="AI10" s="190">
        <f t="shared" si="17"/>
        <v>577720</v>
      </c>
      <c r="AJ10" s="197">
        <f t="shared" si="39"/>
        <v>6.7397604568832422E-3</v>
      </c>
      <c r="AK10" s="62">
        <v>0</v>
      </c>
      <c r="AL10" s="62">
        <v>1413340</v>
      </c>
      <c r="AM10" s="62">
        <v>0</v>
      </c>
      <c r="AN10" s="62">
        <v>0</v>
      </c>
      <c r="AO10" s="62">
        <v>0</v>
      </c>
      <c r="AP10" s="62">
        <v>0</v>
      </c>
      <c r="AQ10" s="62">
        <v>0</v>
      </c>
      <c r="AR10" s="62">
        <v>0</v>
      </c>
      <c r="AS10" s="62">
        <v>0</v>
      </c>
      <c r="AT10" s="62">
        <v>0</v>
      </c>
      <c r="AU10" s="62">
        <v>0</v>
      </c>
      <c r="AV10" s="62">
        <v>0</v>
      </c>
      <c r="AW10" s="190">
        <f t="shared" si="18"/>
        <v>1413340</v>
      </c>
      <c r="AX10" s="197">
        <f t="shared" si="40"/>
        <v>1.9484027430385104E-2</v>
      </c>
      <c r="AY10" s="62">
        <v>0</v>
      </c>
      <c r="AZ10" s="62">
        <v>-230270</v>
      </c>
      <c r="BA10" s="62">
        <v>0</v>
      </c>
      <c r="BB10" s="62">
        <v>0</v>
      </c>
      <c r="BC10" s="62">
        <v>73090</v>
      </c>
      <c r="BD10" s="62">
        <f>7300</f>
        <v>7300</v>
      </c>
      <c r="BE10" s="62">
        <f>1920+190</f>
        <v>2110</v>
      </c>
      <c r="BF10" s="62">
        <v>0</v>
      </c>
      <c r="BG10" s="62">
        <v>0</v>
      </c>
      <c r="BH10" s="62">
        <v>0</v>
      </c>
      <c r="BI10" s="62">
        <v>0</v>
      </c>
      <c r="BJ10" s="62">
        <v>0</v>
      </c>
      <c r="BK10" s="190">
        <f t="shared" si="19"/>
        <v>-147770</v>
      </c>
      <c r="BL10" s="197">
        <f t="shared" si="41"/>
        <v>-1.8955547170206319E-3</v>
      </c>
      <c r="BM10" s="62">
        <v>0</v>
      </c>
      <c r="BN10" s="62">
        <v>2775600</v>
      </c>
      <c r="BO10" s="62">
        <v>0</v>
      </c>
      <c r="BP10" s="62">
        <v>0</v>
      </c>
      <c r="BQ10" s="62">
        <v>0</v>
      </c>
      <c r="BR10" s="62">
        <v>0</v>
      </c>
      <c r="BS10" s="62">
        <v>0</v>
      </c>
      <c r="BT10" s="62">
        <v>0</v>
      </c>
      <c r="BU10" s="62">
        <v>0</v>
      </c>
      <c r="BV10" s="62">
        <v>0</v>
      </c>
      <c r="BW10" s="62">
        <v>0</v>
      </c>
      <c r="BX10" s="62">
        <v>0</v>
      </c>
      <c r="BY10" s="190">
        <f t="shared" si="20"/>
        <v>2775600</v>
      </c>
      <c r="BZ10" s="197">
        <f t="shared" si="42"/>
        <v>4.7429974954697078E-2</v>
      </c>
      <c r="CA10" s="62">
        <v>0</v>
      </c>
      <c r="CB10" s="62">
        <v>0</v>
      </c>
      <c r="CC10" s="62">
        <v>0</v>
      </c>
      <c r="CD10" s="62">
        <v>0</v>
      </c>
      <c r="CE10" s="62">
        <v>0</v>
      </c>
      <c r="CF10" s="62">
        <v>0</v>
      </c>
      <c r="CG10" s="62">
        <v>0</v>
      </c>
      <c r="CH10" s="62">
        <v>0</v>
      </c>
      <c r="CI10" s="62">
        <v>0</v>
      </c>
      <c r="CJ10" s="62">
        <v>0</v>
      </c>
      <c r="CK10" s="62">
        <v>0</v>
      </c>
      <c r="CL10" s="62">
        <v>0</v>
      </c>
      <c r="CM10" s="190">
        <f t="shared" si="21"/>
        <v>0</v>
      </c>
      <c r="CN10" s="62">
        <v>0</v>
      </c>
      <c r="CO10" s="62">
        <v>0</v>
      </c>
      <c r="CP10" s="62">
        <v>0</v>
      </c>
      <c r="CQ10" s="62">
        <v>0</v>
      </c>
      <c r="CR10" s="62">
        <v>0</v>
      </c>
      <c r="CS10" s="62">
        <v>0</v>
      </c>
      <c r="CT10" s="62">
        <v>0</v>
      </c>
      <c r="CU10" s="62">
        <v>0</v>
      </c>
      <c r="CV10" s="62">
        <v>0</v>
      </c>
      <c r="CW10" s="62">
        <v>0</v>
      </c>
      <c r="CX10" s="62">
        <v>0</v>
      </c>
      <c r="CY10" s="62">
        <v>0</v>
      </c>
      <c r="CZ10" s="190">
        <f t="shared" si="22"/>
        <v>0</v>
      </c>
      <c r="DA10" s="62">
        <v>0</v>
      </c>
      <c r="DB10" s="62">
        <v>0</v>
      </c>
      <c r="DC10" s="62">
        <v>0</v>
      </c>
      <c r="DD10" s="62">
        <v>0</v>
      </c>
      <c r="DE10" s="62">
        <v>0</v>
      </c>
      <c r="DF10" s="62">
        <v>0</v>
      </c>
      <c r="DG10" s="62">
        <v>0</v>
      </c>
      <c r="DH10" s="62">
        <v>0</v>
      </c>
      <c r="DI10" s="62">
        <v>0</v>
      </c>
      <c r="DJ10" s="62">
        <v>0</v>
      </c>
      <c r="DK10" s="62">
        <v>0</v>
      </c>
      <c r="DL10" s="62">
        <v>0</v>
      </c>
      <c r="DM10" s="190">
        <f t="shared" si="23"/>
        <v>0</v>
      </c>
      <c r="DN10" s="62">
        <v>0</v>
      </c>
      <c r="DO10" s="62">
        <v>0</v>
      </c>
      <c r="DP10" s="62">
        <v>0</v>
      </c>
      <c r="DQ10" s="62">
        <v>0</v>
      </c>
      <c r="DR10" s="62">
        <v>0</v>
      </c>
      <c r="DS10" s="62">
        <v>0</v>
      </c>
      <c r="DT10" s="62">
        <v>0</v>
      </c>
      <c r="DU10" s="62">
        <v>0</v>
      </c>
      <c r="DV10" s="62">
        <v>0</v>
      </c>
      <c r="DW10" s="62">
        <v>0</v>
      </c>
      <c r="DX10" s="62">
        <v>0</v>
      </c>
      <c r="DY10" s="62">
        <v>0</v>
      </c>
      <c r="DZ10" s="190">
        <f t="shared" si="24"/>
        <v>0</v>
      </c>
    </row>
    <row r="11" spans="1:130" ht="20.45" customHeight="1" outlineLevel="1">
      <c r="A11" s="548"/>
      <c r="B11" s="538" t="s">
        <v>2781</v>
      </c>
      <c r="C11" s="539"/>
      <c r="D11" s="62">
        <f t="shared" si="0"/>
        <v>230270</v>
      </c>
      <c r="E11" s="184">
        <f t="shared" ref="E11" si="52">D11/D$4</f>
        <v>6.4129637459176469E-4</v>
      </c>
      <c r="F11" s="62">
        <v>0</v>
      </c>
      <c r="G11" s="190">
        <f t="shared" ref="G11" si="53">SUM(F11)</f>
        <v>0</v>
      </c>
      <c r="H11" s="197">
        <f t="shared" ref="H11" si="54">G11/G$4</f>
        <v>0</v>
      </c>
      <c r="I11" s="62">
        <v>0</v>
      </c>
      <c r="J11" s="62">
        <v>0</v>
      </c>
      <c r="K11" s="62">
        <v>0</v>
      </c>
      <c r="L11" s="62">
        <v>0</v>
      </c>
      <c r="M11" s="62">
        <v>0</v>
      </c>
      <c r="N11" s="62">
        <v>0</v>
      </c>
      <c r="O11" s="62">
        <v>0</v>
      </c>
      <c r="P11" s="62">
        <v>0</v>
      </c>
      <c r="Q11" s="62">
        <v>0</v>
      </c>
      <c r="R11" s="62">
        <v>0</v>
      </c>
      <c r="S11" s="62">
        <v>0</v>
      </c>
      <c r="T11" s="62">
        <v>0</v>
      </c>
      <c r="U11" s="190">
        <f t="shared" ref="U11" si="55">SUM(I11:T11)</f>
        <v>0</v>
      </c>
      <c r="V11" s="197">
        <f t="shared" si="38"/>
        <v>0</v>
      </c>
      <c r="W11" s="62">
        <v>0</v>
      </c>
      <c r="X11" s="62">
        <v>0</v>
      </c>
      <c r="Y11" s="62">
        <v>0</v>
      </c>
      <c r="Z11" s="62">
        <v>0</v>
      </c>
      <c r="AA11" s="62">
        <v>0</v>
      </c>
      <c r="AB11" s="62">
        <v>0</v>
      </c>
      <c r="AC11" s="62">
        <v>0</v>
      </c>
      <c r="AD11" s="62">
        <v>0</v>
      </c>
      <c r="AE11" s="62">
        <v>0</v>
      </c>
      <c r="AF11" s="62">
        <v>0</v>
      </c>
      <c r="AG11" s="62">
        <v>0</v>
      </c>
      <c r="AH11" s="62">
        <v>0</v>
      </c>
      <c r="AI11" s="190">
        <f t="shared" ref="AI11" si="56">SUM(W11:AH11)</f>
        <v>0</v>
      </c>
      <c r="AJ11" s="197">
        <f t="shared" si="39"/>
        <v>0</v>
      </c>
      <c r="AK11" s="62">
        <v>0</v>
      </c>
      <c r="AL11" s="62">
        <v>0</v>
      </c>
      <c r="AM11" s="62">
        <v>0</v>
      </c>
      <c r="AN11" s="62">
        <v>0</v>
      </c>
      <c r="AO11" s="62">
        <v>0</v>
      </c>
      <c r="AP11" s="62">
        <v>0</v>
      </c>
      <c r="AQ11" s="62">
        <v>0</v>
      </c>
      <c r="AR11" s="62">
        <v>0</v>
      </c>
      <c r="AS11" s="62">
        <v>0</v>
      </c>
      <c r="AT11" s="62">
        <v>0</v>
      </c>
      <c r="AU11" s="62">
        <v>0</v>
      </c>
      <c r="AV11" s="62">
        <v>0</v>
      </c>
      <c r="AW11" s="190">
        <f t="shared" ref="AW11" si="57">SUM(AK11:AV11)</f>
        <v>0</v>
      </c>
      <c r="AX11" s="197">
        <f t="shared" si="40"/>
        <v>0</v>
      </c>
      <c r="AY11" s="62">
        <v>0</v>
      </c>
      <c r="AZ11" s="62">
        <v>230270</v>
      </c>
      <c r="BA11" s="62">
        <v>0</v>
      </c>
      <c r="BB11" s="62">
        <v>0</v>
      </c>
      <c r="BC11" s="62">
        <v>0</v>
      </c>
      <c r="BD11" s="62">
        <v>0</v>
      </c>
      <c r="BE11" s="62">
        <v>0</v>
      </c>
      <c r="BF11" s="62">
        <v>0</v>
      </c>
      <c r="BG11" s="62">
        <v>0</v>
      </c>
      <c r="BH11" s="62">
        <v>0</v>
      </c>
      <c r="BI11" s="62">
        <v>0</v>
      </c>
      <c r="BJ11" s="62">
        <v>0</v>
      </c>
      <c r="BK11" s="190">
        <f t="shared" ref="BK11" si="58">SUM(AY11:BJ11)</f>
        <v>230270</v>
      </c>
      <c r="BL11" s="197">
        <f t="shared" si="41"/>
        <v>2.9538430309828849E-3</v>
      </c>
      <c r="BM11" s="62">
        <v>0</v>
      </c>
      <c r="BN11" s="62">
        <v>0</v>
      </c>
      <c r="BO11" s="62">
        <v>0</v>
      </c>
      <c r="BP11" s="62">
        <v>0</v>
      </c>
      <c r="BQ11" s="62">
        <v>0</v>
      </c>
      <c r="BR11" s="62">
        <v>0</v>
      </c>
      <c r="BS11" s="62">
        <v>0</v>
      </c>
      <c r="BT11" s="62">
        <v>0</v>
      </c>
      <c r="BU11" s="62">
        <v>0</v>
      </c>
      <c r="BV11" s="62">
        <v>0</v>
      </c>
      <c r="BW11" s="62">
        <v>0</v>
      </c>
      <c r="BX11" s="62">
        <v>0</v>
      </c>
      <c r="BY11" s="190">
        <f t="shared" ref="BY11" si="59">SUM(BM11:BX11)</f>
        <v>0</v>
      </c>
      <c r="BZ11" s="197">
        <f t="shared" si="42"/>
        <v>0</v>
      </c>
      <c r="CA11" s="62">
        <v>0</v>
      </c>
      <c r="CB11" s="62">
        <v>0</v>
      </c>
      <c r="CC11" s="62">
        <v>0</v>
      </c>
      <c r="CD11" s="62">
        <v>0</v>
      </c>
      <c r="CE11" s="62">
        <v>0</v>
      </c>
      <c r="CF11" s="62">
        <v>0</v>
      </c>
      <c r="CG11" s="62">
        <v>0</v>
      </c>
      <c r="CH11" s="62">
        <v>0</v>
      </c>
      <c r="CI11" s="62">
        <v>0</v>
      </c>
      <c r="CJ11" s="62">
        <v>0</v>
      </c>
      <c r="CK11" s="62">
        <v>0</v>
      </c>
      <c r="CL11" s="62">
        <v>0</v>
      </c>
      <c r="CM11" s="190">
        <f t="shared" ref="CM11" si="60">SUM(CA11:CL11)</f>
        <v>0</v>
      </c>
      <c r="CN11" s="62">
        <v>0</v>
      </c>
      <c r="CO11" s="62">
        <v>0</v>
      </c>
      <c r="CP11" s="62">
        <v>0</v>
      </c>
      <c r="CQ11" s="62">
        <v>0</v>
      </c>
      <c r="CR11" s="62">
        <v>0</v>
      </c>
      <c r="CS11" s="62">
        <v>0</v>
      </c>
      <c r="CT11" s="62">
        <v>0</v>
      </c>
      <c r="CU11" s="62">
        <v>0</v>
      </c>
      <c r="CV11" s="62">
        <v>0</v>
      </c>
      <c r="CW11" s="62">
        <v>0</v>
      </c>
      <c r="CX11" s="62">
        <v>0</v>
      </c>
      <c r="CY11" s="62">
        <v>0</v>
      </c>
      <c r="CZ11" s="190">
        <f t="shared" ref="CZ11" si="61">SUM(CN11:CY11)</f>
        <v>0</v>
      </c>
      <c r="DA11" s="62">
        <v>0</v>
      </c>
      <c r="DB11" s="62">
        <v>0</v>
      </c>
      <c r="DC11" s="62">
        <v>0</v>
      </c>
      <c r="DD11" s="62">
        <v>0</v>
      </c>
      <c r="DE11" s="62">
        <v>0</v>
      </c>
      <c r="DF11" s="62">
        <v>0</v>
      </c>
      <c r="DG11" s="62">
        <v>0</v>
      </c>
      <c r="DH11" s="62">
        <v>0</v>
      </c>
      <c r="DI11" s="62">
        <v>0</v>
      </c>
      <c r="DJ11" s="62">
        <v>0</v>
      </c>
      <c r="DK11" s="62">
        <v>0</v>
      </c>
      <c r="DL11" s="62">
        <v>0</v>
      </c>
      <c r="DM11" s="190">
        <f t="shared" ref="DM11" si="62">SUM(DA11:DL11)</f>
        <v>0</v>
      </c>
      <c r="DN11" s="62">
        <v>0</v>
      </c>
      <c r="DO11" s="62">
        <v>0</v>
      </c>
      <c r="DP11" s="62">
        <v>0</v>
      </c>
      <c r="DQ11" s="62">
        <v>0</v>
      </c>
      <c r="DR11" s="62">
        <v>0</v>
      </c>
      <c r="DS11" s="62">
        <v>0</v>
      </c>
      <c r="DT11" s="62">
        <v>0</v>
      </c>
      <c r="DU11" s="62">
        <v>0</v>
      </c>
      <c r="DV11" s="62">
        <v>0</v>
      </c>
      <c r="DW11" s="62">
        <v>0</v>
      </c>
      <c r="DX11" s="62">
        <v>0</v>
      </c>
      <c r="DY11" s="62">
        <v>0</v>
      </c>
      <c r="DZ11" s="190">
        <f t="shared" ref="DZ11" si="63">SUM(DN11:DY11)</f>
        <v>0</v>
      </c>
    </row>
    <row r="12" spans="1:130" ht="20.45" customHeight="1" outlineLevel="1">
      <c r="A12" s="547"/>
      <c r="B12" s="538" t="s">
        <v>3219</v>
      </c>
      <c r="C12" s="539"/>
      <c r="D12" s="62">
        <f t="shared" si="0"/>
        <v>131300.00000000003</v>
      </c>
      <c r="E12" s="184">
        <f t="shared" si="35"/>
        <v>3.656673209011105E-4</v>
      </c>
      <c r="F12" s="62">
        <v>0</v>
      </c>
      <c r="G12" s="190">
        <f t="shared" si="36"/>
        <v>0</v>
      </c>
      <c r="H12" s="197">
        <f t="shared" si="37"/>
        <v>0</v>
      </c>
      <c r="I12" s="62">
        <v>0</v>
      </c>
      <c r="J12" s="62">
        <v>566</v>
      </c>
      <c r="K12" s="62">
        <v>0</v>
      </c>
      <c r="L12" s="62">
        <v>0</v>
      </c>
      <c r="M12" s="62">
        <v>1058</v>
      </c>
      <c r="N12" s="62">
        <v>0</v>
      </c>
      <c r="O12" s="62">
        <v>0</v>
      </c>
      <c r="P12" s="62">
        <v>977</v>
      </c>
      <c r="Q12" s="62">
        <v>0</v>
      </c>
      <c r="R12" s="62">
        <v>0</v>
      </c>
      <c r="S12" s="62">
        <v>688</v>
      </c>
      <c r="T12" s="62">
        <v>0</v>
      </c>
      <c r="U12" s="190">
        <f t="shared" si="16"/>
        <v>3289</v>
      </c>
      <c r="V12" s="197">
        <f t="shared" si="38"/>
        <v>5.485410825248954E-5</v>
      </c>
      <c r="W12" s="62">
        <v>0</v>
      </c>
      <c r="X12" s="62">
        <v>536</v>
      </c>
      <c r="Y12" s="62">
        <v>0</v>
      </c>
      <c r="Z12" s="62">
        <v>0</v>
      </c>
      <c r="AA12" s="62">
        <v>963</v>
      </c>
      <c r="AB12" s="62">
        <v>0</v>
      </c>
      <c r="AC12" s="62">
        <v>0</v>
      </c>
      <c r="AD12" s="62">
        <v>1648</v>
      </c>
      <c r="AE12" s="62">
        <v>0</v>
      </c>
      <c r="AF12" s="62">
        <v>0</v>
      </c>
      <c r="AG12" s="62">
        <v>1839</v>
      </c>
      <c r="AH12" s="62">
        <v>0</v>
      </c>
      <c r="AI12" s="190">
        <f t="shared" si="17"/>
        <v>4986</v>
      </c>
      <c r="AJ12" s="197">
        <f t="shared" si="39"/>
        <v>5.8167357263068346E-5</v>
      </c>
      <c r="AK12" s="62">
        <v>0</v>
      </c>
      <c r="AL12" s="62">
        <v>1510</v>
      </c>
      <c r="AM12" s="62">
        <v>0</v>
      </c>
      <c r="AN12" s="62">
        <v>0</v>
      </c>
      <c r="AO12" s="62">
        <v>1793</v>
      </c>
      <c r="AP12" s="62">
        <v>0</v>
      </c>
      <c r="AQ12" s="62">
        <v>0</v>
      </c>
      <c r="AR12" s="62">
        <v>2083</v>
      </c>
      <c r="AS12" s="62">
        <v>0</v>
      </c>
      <c r="AT12" s="62">
        <v>0</v>
      </c>
      <c r="AU12" s="62">
        <v>1589</v>
      </c>
      <c r="AV12" s="62">
        <v>0</v>
      </c>
      <c r="AW12" s="190">
        <f t="shared" si="18"/>
        <v>6975</v>
      </c>
      <c r="AX12" s="197">
        <f t="shared" si="40"/>
        <v>9.6155978976704895E-5</v>
      </c>
      <c r="AY12" s="62">
        <v>110735</v>
      </c>
      <c r="AZ12" s="62">
        <v>860</v>
      </c>
      <c r="BA12" s="62">
        <v>248</v>
      </c>
      <c r="BB12" s="62">
        <v>0</v>
      </c>
      <c r="BC12" s="62">
        <v>1396</v>
      </c>
      <c r="BD12" s="62">
        <v>0</v>
      </c>
      <c r="BE12" s="62">
        <v>0</v>
      </c>
      <c r="BF12" s="62">
        <v>841</v>
      </c>
      <c r="BG12" s="62">
        <v>0</v>
      </c>
      <c r="BH12" s="62">
        <v>0</v>
      </c>
      <c r="BI12" s="62">
        <f>1298</f>
        <v>1298</v>
      </c>
      <c r="BJ12" s="62">
        <v>0</v>
      </c>
      <c r="BK12" s="190">
        <f t="shared" si="19"/>
        <v>115378</v>
      </c>
      <c r="BL12" s="197">
        <f t="shared" si="41"/>
        <v>1.480038655616204E-3</v>
      </c>
      <c r="BM12" s="62">
        <v>0</v>
      </c>
      <c r="BN12" s="62">
        <v>672</v>
      </c>
      <c r="BO12" s="62">
        <v>0</v>
      </c>
      <c r="BP12" s="62">
        <v>0</v>
      </c>
      <c r="BQ12" s="62">
        <v>0</v>
      </c>
      <c r="BR12" s="62">
        <v>0</v>
      </c>
      <c r="BS12" s="62">
        <v>0</v>
      </c>
      <c r="BT12" s="62">
        <v>0</v>
      </c>
      <c r="BU12" s="62">
        <v>0</v>
      </c>
      <c r="BV12" s="62">
        <v>0</v>
      </c>
      <c r="BW12" s="62">
        <v>0</v>
      </c>
      <c r="BX12" s="62">
        <v>0</v>
      </c>
      <c r="BY12" s="190">
        <f t="shared" si="20"/>
        <v>672</v>
      </c>
      <c r="BZ12" s="197">
        <f t="shared" si="42"/>
        <v>1.1483262418776638E-5</v>
      </c>
      <c r="CA12" s="62">
        <v>0</v>
      </c>
      <c r="CB12" s="62">
        <v>0</v>
      </c>
      <c r="CC12" s="62">
        <v>0</v>
      </c>
      <c r="CD12" s="62">
        <v>0</v>
      </c>
      <c r="CE12" s="62">
        <v>0</v>
      </c>
      <c r="CF12" s="62">
        <v>0</v>
      </c>
      <c r="CG12" s="62">
        <v>0</v>
      </c>
      <c r="CH12" s="62">
        <v>0</v>
      </c>
      <c r="CI12" s="62">
        <v>0</v>
      </c>
      <c r="CJ12" s="62">
        <v>0</v>
      </c>
      <c r="CK12" s="62">
        <v>0</v>
      </c>
      <c r="CL12" s="62">
        <v>0</v>
      </c>
      <c r="CM12" s="190">
        <f t="shared" si="21"/>
        <v>0</v>
      </c>
      <c r="CN12" s="62">
        <v>0</v>
      </c>
      <c r="CO12" s="62">
        <v>0</v>
      </c>
      <c r="CP12" s="62">
        <v>0</v>
      </c>
      <c r="CQ12" s="62">
        <v>0</v>
      </c>
      <c r="CR12" s="62">
        <v>0</v>
      </c>
      <c r="CS12" s="62">
        <v>0</v>
      </c>
      <c r="CT12" s="62">
        <v>0</v>
      </c>
      <c r="CU12" s="62">
        <v>0</v>
      </c>
      <c r="CV12" s="62">
        <v>0</v>
      </c>
      <c r="CW12" s="62">
        <v>0</v>
      </c>
      <c r="CX12" s="62">
        <v>0</v>
      </c>
      <c r="CY12" s="62">
        <v>0</v>
      </c>
      <c r="CZ12" s="190">
        <f t="shared" si="22"/>
        <v>0</v>
      </c>
      <c r="DA12" s="62">
        <v>0</v>
      </c>
      <c r="DB12" s="62">
        <v>0</v>
      </c>
      <c r="DC12" s="62">
        <v>0</v>
      </c>
      <c r="DD12" s="62">
        <v>0</v>
      </c>
      <c r="DE12" s="62">
        <v>0</v>
      </c>
      <c r="DF12" s="62">
        <v>0</v>
      </c>
      <c r="DG12" s="62">
        <v>0</v>
      </c>
      <c r="DH12" s="62">
        <v>0</v>
      </c>
      <c r="DI12" s="62">
        <v>0</v>
      </c>
      <c r="DJ12" s="62">
        <v>0</v>
      </c>
      <c r="DK12" s="62">
        <v>0</v>
      </c>
      <c r="DL12" s="62">
        <v>0</v>
      </c>
      <c r="DM12" s="190">
        <f t="shared" si="23"/>
        <v>0</v>
      </c>
      <c r="DN12" s="62">
        <v>0</v>
      </c>
      <c r="DO12" s="62">
        <v>0</v>
      </c>
      <c r="DP12" s="62">
        <v>0</v>
      </c>
      <c r="DQ12" s="62">
        <v>0</v>
      </c>
      <c r="DR12" s="62">
        <v>0</v>
      </c>
      <c r="DS12" s="62">
        <v>0</v>
      </c>
      <c r="DT12" s="62">
        <v>0</v>
      </c>
      <c r="DU12" s="62">
        <v>0</v>
      </c>
      <c r="DV12" s="62">
        <v>0</v>
      </c>
      <c r="DW12" s="62">
        <v>0</v>
      </c>
      <c r="DX12" s="62">
        <v>0</v>
      </c>
      <c r="DY12" s="62">
        <v>0</v>
      </c>
      <c r="DZ12" s="190">
        <f t="shared" si="24"/>
        <v>0</v>
      </c>
    </row>
    <row r="13" spans="1:130" ht="20.45" customHeight="1" outlineLevel="1">
      <c r="A13" s="548"/>
      <c r="B13" s="538" t="s">
        <v>2782</v>
      </c>
      <c r="C13" s="539"/>
      <c r="D13" s="62">
        <f t="shared" si="0"/>
        <v>36500.000000000007</v>
      </c>
      <c r="E13" s="184">
        <f t="shared" ref="E13:E14" si="64">D13/D$4</f>
        <v>1.0165161624440619E-4</v>
      </c>
      <c r="F13" s="62">
        <v>0</v>
      </c>
      <c r="G13" s="190">
        <f t="shared" ref="G13:G14" si="65">SUM(F13)</f>
        <v>0</v>
      </c>
      <c r="H13" s="197">
        <f t="shared" ref="H13:H14" si="66">G13/G$4</f>
        <v>0</v>
      </c>
      <c r="I13" s="62">
        <v>0</v>
      </c>
      <c r="J13" s="62">
        <v>0</v>
      </c>
      <c r="K13" s="62">
        <v>0</v>
      </c>
      <c r="L13" s="62">
        <v>0</v>
      </c>
      <c r="M13" s="62">
        <v>0</v>
      </c>
      <c r="N13" s="62">
        <v>0</v>
      </c>
      <c r="O13" s="62">
        <v>0</v>
      </c>
      <c r="P13" s="62">
        <v>0</v>
      </c>
      <c r="Q13" s="62">
        <v>0</v>
      </c>
      <c r="R13" s="62">
        <v>0</v>
      </c>
      <c r="S13" s="62">
        <v>0</v>
      </c>
      <c r="T13" s="62">
        <v>0</v>
      </c>
      <c r="U13" s="190">
        <f t="shared" ref="U13" si="67">SUM(I13:T13)</f>
        <v>0</v>
      </c>
      <c r="V13" s="197">
        <f t="shared" si="38"/>
        <v>0</v>
      </c>
      <c r="W13" s="62">
        <v>0</v>
      </c>
      <c r="X13" s="62">
        <v>0</v>
      </c>
      <c r="Y13" s="62">
        <v>0</v>
      </c>
      <c r="Z13" s="62">
        <v>0</v>
      </c>
      <c r="AA13" s="62">
        <v>0</v>
      </c>
      <c r="AB13" s="62">
        <v>0</v>
      </c>
      <c r="AC13" s="62">
        <v>0</v>
      </c>
      <c r="AD13" s="62">
        <v>0</v>
      </c>
      <c r="AE13" s="62">
        <v>0</v>
      </c>
      <c r="AF13" s="62">
        <v>0</v>
      </c>
      <c r="AG13" s="62">
        <v>0</v>
      </c>
      <c r="AH13" s="62">
        <v>0</v>
      </c>
      <c r="AI13" s="190">
        <f t="shared" ref="AI13:AI14" si="68">SUM(W13:AH13)</f>
        <v>0</v>
      </c>
      <c r="AJ13" s="197">
        <f t="shared" si="39"/>
        <v>0</v>
      </c>
      <c r="AK13" s="62">
        <v>0</v>
      </c>
      <c r="AL13" s="62">
        <v>0</v>
      </c>
      <c r="AM13" s="62">
        <v>0</v>
      </c>
      <c r="AN13" s="62">
        <v>0</v>
      </c>
      <c r="AO13" s="62">
        <v>0</v>
      </c>
      <c r="AP13" s="62">
        <v>0</v>
      </c>
      <c r="AQ13" s="62">
        <v>0</v>
      </c>
      <c r="AR13" s="62">
        <v>0</v>
      </c>
      <c r="AS13" s="62">
        <v>0</v>
      </c>
      <c r="AT13" s="62">
        <v>40000</v>
      </c>
      <c r="AU13" s="62">
        <f>25000</f>
        <v>25000</v>
      </c>
      <c r="AV13" s="62">
        <f>15000+25000+6500</f>
        <v>46500</v>
      </c>
      <c r="AW13" s="190">
        <f t="shared" ref="AW13:AW14" si="69">SUM(AK13:AV13)</f>
        <v>111500</v>
      </c>
      <c r="AX13" s="197">
        <f t="shared" si="40"/>
        <v>1.5371170832835263E-3</v>
      </c>
      <c r="AY13" s="62">
        <v>0</v>
      </c>
      <c r="AZ13" s="62">
        <v>0</v>
      </c>
      <c r="BA13" s="62">
        <v>0</v>
      </c>
      <c r="BB13" s="62">
        <v>0</v>
      </c>
      <c r="BC13" s="62">
        <v>-75000</v>
      </c>
      <c r="BD13" s="62">
        <v>0</v>
      </c>
      <c r="BE13" s="62">
        <v>0</v>
      </c>
      <c r="BF13" s="62">
        <v>0</v>
      </c>
      <c r="BG13" s="62">
        <v>0</v>
      </c>
      <c r="BH13" s="62">
        <v>0</v>
      </c>
      <c r="BI13" s="62">
        <v>0</v>
      </c>
      <c r="BJ13" s="62">
        <v>0</v>
      </c>
      <c r="BK13" s="190">
        <f t="shared" ref="BK13" si="70">SUM(AY13:BJ13)</f>
        <v>-75000</v>
      </c>
      <c r="BL13" s="197">
        <f t="shared" si="41"/>
        <v>-9.6208028542023002E-4</v>
      </c>
      <c r="BM13" s="62">
        <v>0</v>
      </c>
      <c r="BN13" s="62">
        <v>0</v>
      </c>
      <c r="BO13" s="62">
        <v>0</v>
      </c>
      <c r="BP13" s="62">
        <v>0</v>
      </c>
      <c r="BQ13" s="62">
        <v>0</v>
      </c>
      <c r="BR13" s="62">
        <v>0</v>
      </c>
      <c r="BS13" s="62">
        <v>0</v>
      </c>
      <c r="BT13" s="62">
        <v>0</v>
      </c>
      <c r="BU13" s="62">
        <v>0</v>
      </c>
      <c r="BV13" s="62">
        <v>0</v>
      </c>
      <c r="BW13" s="62">
        <v>0</v>
      </c>
      <c r="BX13" s="62">
        <v>0</v>
      </c>
      <c r="BY13" s="190">
        <f t="shared" ref="BY13" si="71">SUM(BM13:BX13)</f>
        <v>0</v>
      </c>
      <c r="BZ13" s="197">
        <f t="shared" si="42"/>
        <v>0</v>
      </c>
      <c r="CA13" s="62">
        <v>0</v>
      </c>
      <c r="CB13" s="62">
        <v>0</v>
      </c>
      <c r="CC13" s="62">
        <v>0</v>
      </c>
      <c r="CD13" s="62">
        <v>0</v>
      </c>
      <c r="CE13" s="62">
        <v>0</v>
      </c>
      <c r="CF13" s="62">
        <v>0</v>
      </c>
      <c r="CG13" s="62">
        <v>0</v>
      </c>
      <c r="CH13" s="62">
        <v>0</v>
      </c>
      <c r="CI13" s="62">
        <v>0</v>
      </c>
      <c r="CJ13" s="62">
        <v>0</v>
      </c>
      <c r="CK13" s="62">
        <v>0</v>
      </c>
      <c r="CL13" s="62">
        <v>0</v>
      </c>
      <c r="CM13" s="190">
        <f t="shared" ref="CM13" si="72">SUM(CA13:CL13)</f>
        <v>0</v>
      </c>
      <c r="CN13" s="62">
        <v>0</v>
      </c>
      <c r="CO13" s="62">
        <v>0</v>
      </c>
      <c r="CP13" s="62">
        <v>0</v>
      </c>
      <c r="CQ13" s="62">
        <v>0</v>
      </c>
      <c r="CR13" s="62">
        <v>0</v>
      </c>
      <c r="CS13" s="62">
        <v>0</v>
      </c>
      <c r="CT13" s="62">
        <v>0</v>
      </c>
      <c r="CU13" s="62">
        <v>0</v>
      </c>
      <c r="CV13" s="62">
        <v>0</v>
      </c>
      <c r="CW13" s="62">
        <v>0</v>
      </c>
      <c r="CX13" s="62">
        <v>0</v>
      </c>
      <c r="CY13" s="62">
        <v>0</v>
      </c>
      <c r="CZ13" s="190">
        <f t="shared" ref="CZ13" si="73">SUM(CN13:CY13)</f>
        <v>0</v>
      </c>
      <c r="DA13" s="62">
        <v>0</v>
      </c>
      <c r="DB13" s="62">
        <v>0</v>
      </c>
      <c r="DC13" s="62">
        <v>0</v>
      </c>
      <c r="DD13" s="62">
        <v>0</v>
      </c>
      <c r="DE13" s="62">
        <v>0</v>
      </c>
      <c r="DF13" s="62">
        <v>0</v>
      </c>
      <c r="DG13" s="62">
        <v>0</v>
      </c>
      <c r="DH13" s="62">
        <v>0</v>
      </c>
      <c r="DI13" s="62">
        <v>0</v>
      </c>
      <c r="DJ13" s="62">
        <v>0</v>
      </c>
      <c r="DK13" s="62">
        <v>0</v>
      </c>
      <c r="DL13" s="62">
        <v>0</v>
      </c>
      <c r="DM13" s="190">
        <f t="shared" ref="DM13" si="74">SUM(DA13:DL13)</f>
        <v>0</v>
      </c>
      <c r="DN13" s="62">
        <v>0</v>
      </c>
      <c r="DO13" s="62">
        <v>0</v>
      </c>
      <c r="DP13" s="62">
        <v>0</v>
      </c>
      <c r="DQ13" s="62">
        <v>0</v>
      </c>
      <c r="DR13" s="62">
        <v>0</v>
      </c>
      <c r="DS13" s="62">
        <v>0</v>
      </c>
      <c r="DT13" s="62">
        <v>0</v>
      </c>
      <c r="DU13" s="62">
        <v>0</v>
      </c>
      <c r="DV13" s="62">
        <v>0</v>
      </c>
      <c r="DW13" s="62">
        <v>0</v>
      </c>
      <c r="DX13" s="62">
        <v>0</v>
      </c>
      <c r="DY13" s="62">
        <v>0</v>
      </c>
      <c r="DZ13" s="190">
        <f t="shared" ref="DZ13" si="75">SUM(DN13:DY13)</f>
        <v>0</v>
      </c>
    </row>
    <row r="14" spans="1:130" ht="20.45" customHeight="1" outlineLevel="1">
      <c r="A14" s="548"/>
      <c r="B14" s="538" t="s">
        <v>2783</v>
      </c>
      <c r="C14" s="539"/>
      <c r="D14" s="62">
        <f t="shared" si="0"/>
        <v>570000.00000000012</v>
      </c>
      <c r="E14" s="184">
        <f t="shared" si="64"/>
        <v>1.5874361988852475E-3</v>
      </c>
      <c r="F14" s="62">
        <v>0</v>
      </c>
      <c r="G14" s="190">
        <f t="shared" si="65"/>
        <v>0</v>
      </c>
      <c r="H14" s="197">
        <f t="shared" si="66"/>
        <v>0</v>
      </c>
      <c r="I14" s="62">
        <v>0</v>
      </c>
      <c r="J14" s="62">
        <v>0</v>
      </c>
      <c r="K14" s="62">
        <v>0</v>
      </c>
      <c r="L14" s="62">
        <v>0</v>
      </c>
      <c r="M14" s="62">
        <v>0</v>
      </c>
      <c r="N14" s="62">
        <v>0</v>
      </c>
      <c r="O14" s="62">
        <v>0</v>
      </c>
      <c r="P14" s="62">
        <v>0</v>
      </c>
      <c r="Q14" s="62">
        <v>0</v>
      </c>
      <c r="R14" s="62">
        <v>0</v>
      </c>
      <c r="S14" s="62">
        <v>0</v>
      </c>
      <c r="T14" s="62">
        <v>0</v>
      </c>
      <c r="U14" s="190">
        <f t="shared" ref="U14" si="76">SUM(I14:T14)</f>
        <v>0</v>
      </c>
      <c r="V14" s="197">
        <f t="shared" si="38"/>
        <v>0</v>
      </c>
      <c r="W14" s="62">
        <v>0</v>
      </c>
      <c r="X14" s="62">
        <v>0</v>
      </c>
      <c r="Y14" s="62">
        <v>0</v>
      </c>
      <c r="Z14" s="62">
        <v>0</v>
      </c>
      <c r="AA14" s="62">
        <v>0</v>
      </c>
      <c r="AB14" s="62">
        <v>0</v>
      </c>
      <c r="AC14" s="62">
        <v>0</v>
      </c>
      <c r="AD14" s="62">
        <v>0</v>
      </c>
      <c r="AE14" s="62">
        <v>0</v>
      </c>
      <c r="AF14" s="62">
        <v>0</v>
      </c>
      <c r="AG14" s="62">
        <v>0</v>
      </c>
      <c r="AH14" s="62">
        <v>0</v>
      </c>
      <c r="AI14" s="190">
        <f t="shared" si="68"/>
        <v>0</v>
      </c>
      <c r="AJ14" s="197">
        <f t="shared" si="39"/>
        <v>0</v>
      </c>
      <c r="AK14" s="62">
        <v>0</v>
      </c>
      <c r="AL14" s="62">
        <v>0</v>
      </c>
      <c r="AM14" s="62">
        <v>0</v>
      </c>
      <c r="AN14" s="62">
        <v>0</v>
      </c>
      <c r="AO14" s="62">
        <v>0</v>
      </c>
      <c r="AP14" s="62">
        <v>0</v>
      </c>
      <c r="AQ14" s="62">
        <v>0</v>
      </c>
      <c r="AR14" s="62">
        <v>0</v>
      </c>
      <c r="AS14" s="62">
        <v>0</v>
      </c>
      <c r="AT14" s="62">
        <v>0</v>
      </c>
      <c r="AU14" s="62">
        <v>0</v>
      </c>
      <c r="AV14" s="62">
        <v>0</v>
      </c>
      <c r="AW14" s="190">
        <f t="shared" si="69"/>
        <v>0</v>
      </c>
      <c r="AX14" s="197">
        <f t="shared" si="40"/>
        <v>0</v>
      </c>
      <c r="AY14" s="62">
        <v>0</v>
      </c>
      <c r="AZ14" s="62">
        <v>1995000</v>
      </c>
      <c r="BA14" s="62">
        <v>0</v>
      </c>
      <c r="BB14" s="62">
        <v>0</v>
      </c>
      <c r="BC14" s="62">
        <v>-1425000</v>
      </c>
      <c r="BD14" s="62">
        <v>0</v>
      </c>
      <c r="BE14" s="62">
        <v>0</v>
      </c>
      <c r="BF14" s="62">
        <v>0</v>
      </c>
      <c r="BG14" s="62">
        <v>0</v>
      </c>
      <c r="BH14" s="62">
        <v>0</v>
      </c>
      <c r="BI14" s="62">
        <v>0</v>
      </c>
      <c r="BJ14" s="62">
        <v>0</v>
      </c>
      <c r="BK14" s="190">
        <f t="shared" ref="BK14" si="77">SUM(AY14:BJ14)</f>
        <v>570000</v>
      </c>
      <c r="BL14" s="197">
        <f t="shared" si="41"/>
        <v>7.3118101691937477E-3</v>
      </c>
      <c r="BM14" s="62">
        <v>0</v>
      </c>
      <c r="BN14" s="62">
        <v>0</v>
      </c>
      <c r="BO14" s="62">
        <v>0</v>
      </c>
      <c r="BP14" s="62">
        <v>0</v>
      </c>
      <c r="BQ14" s="62">
        <v>0</v>
      </c>
      <c r="BR14" s="62">
        <v>0</v>
      </c>
      <c r="BS14" s="62">
        <v>0</v>
      </c>
      <c r="BT14" s="62">
        <v>0</v>
      </c>
      <c r="BU14" s="62">
        <v>0</v>
      </c>
      <c r="BV14" s="62">
        <v>0</v>
      </c>
      <c r="BW14" s="62">
        <v>0</v>
      </c>
      <c r="BX14" s="62">
        <v>0</v>
      </c>
      <c r="BY14" s="190">
        <f t="shared" ref="BY14" si="78">SUM(BM14:BX14)</f>
        <v>0</v>
      </c>
      <c r="BZ14" s="197">
        <f t="shared" si="42"/>
        <v>0</v>
      </c>
      <c r="CA14" s="62">
        <v>0</v>
      </c>
      <c r="CB14" s="62">
        <v>0</v>
      </c>
      <c r="CC14" s="62">
        <v>0</v>
      </c>
      <c r="CD14" s="62">
        <v>0</v>
      </c>
      <c r="CE14" s="62">
        <v>0</v>
      </c>
      <c r="CF14" s="62">
        <v>0</v>
      </c>
      <c r="CG14" s="62">
        <v>0</v>
      </c>
      <c r="CH14" s="62">
        <v>0</v>
      </c>
      <c r="CI14" s="62">
        <v>0</v>
      </c>
      <c r="CJ14" s="62">
        <v>0</v>
      </c>
      <c r="CK14" s="62">
        <v>0</v>
      </c>
      <c r="CL14" s="62">
        <v>0</v>
      </c>
      <c r="CM14" s="190">
        <f t="shared" ref="CM14" si="79">SUM(CA14:CL14)</f>
        <v>0</v>
      </c>
      <c r="CN14" s="62">
        <v>0</v>
      </c>
      <c r="CO14" s="62">
        <v>0</v>
      </c>
      <c r="CP14" s="62">
        <v>0</v>
      </c>
      <c r="CQ14" s="62">
        <v>0</v>
      </c>
      <c r="CR14" s="62">
        <v>0</v>
      </c>
      <c r="CS14" s="62">
        <v>0</v>
      </c>
      <c r="CT14" s="62">
        <v>0</v>
      </c>
      <c r="CU14" s="62">
        <v>0</v>
      </c>
      <c r="CV14" s="62">
        <v>0</v>
      </c>
      <c r="CW14" s="62">
        <v>0</v>
      </c>
      <c r="CX14" s="62">
        <v>0</v>
      </c>
      <c r="CY14" s="62">
        <v>0</v>
      </c>
      <c r="CZ14" s="190">
        <f t="shared" ref="CZ14" si="80">SUM(CN14:CY14)</f>
        <v>0</v>
      </c>
      <c r="DA14" s="62">
        <v>0</v>
      </c>
      <c r="DB14" s="62">
        <v>0</v>
      </c>
      <c r="DC14" s="62">
        <v>0</v>
      </c>
      <c r="DD14" s="62">
        <v>0</v>
      </c>
      <c r="DE14" s="62">
        <v>0</v>
      </c>
      <c r="DF14" s="62">
        <v>0</v>
      </c>
      <c r="DG14" s="62">
        <v>0</v>
      </c>
      <c r="DH14" s="62">
        <v>0</v>
      </c>
      <c r="DI14" s="62">
        <v>0</v>
      </c>
      <c r="DJ14" s="62">
        <v>0</v>
      </c>
      <c r="DK14" s="62">
        <v>0</v>
      </c>
      <c r="DL14" s="62">
        <v>0</v>
      </c>
      <c r="DM14" s="190">
        <f t="shared" ref="DM14" si="81">SUM(DA14:DL14)</f>
        <v>0</v>
      </c>
      <c r="DN14" s="62">
        <v>0</v>
      </c>
      <c r="DO14" s="62">
        <v>0</v>
      </c>
      <c r="DP14" s="62">
        <v>0</v>
      </c>
      <c r="DQ14" s="62">
        <v>0</v>
      </c>
      <c r="DR14" s="62">
        <v>0</v>
      </c>
      <c r="DS14" s="62">
        <v>0</v>
      </c>
      <c r="DT14" s="62">
        <v>0</v>
      </c>
      <c r="DU14" s="62">
        <v>0</v>
      </c>
      <c r="DV14" s="62">
        <v>0</v>
      </c>
      <c r="DW14" s="62">
        <v>0</v>
      </c>
      <c r="DX14" s="62">
        <v>0</v>
      </c>
      <c r="DY14" s="62">
        <v>0</v>
      </c>
      <c r="DZ14" s="190">
        <f t="shared" ref="DZ14" si="82">SUM(DN14:DY14)</f>
        <v>0</v>
      </c>
    </row>
    <row r="15" spans="1:130" ht="20.45" customHeight="1" outlineLevel="1">
      <c r="A15" s="548"/>
      <c r="B15" s="538" t="s">
        <v>2784</v>
      </c>
      <c r="C15" s="539"/>
      <c r="D15" s="62">
        <f t="shared" si="0"/>
        <v>994946.99999999965</v>
      </c>
      <c r="E15" s="184">
        <f t="shared" ref="E15" si="83">D15/D$4</f>
        <v>2.7709033048636481E-3</v>
      </c>
      <c r="F15" s="62">
        <v>0</v>
      </c>
      <c r="G15" s="190">
        <f t="shared" ref="G15" si="84">SUM(F15)</f>
        <v>0</v>
      </c>
      <c r="H15" s="197">
        <f t="shared" ref="H15" si="85">G15/G$4</f>
        <v>0</v>
      </c>
      <c r="I15" s="62">
        <v>0</v>
      </c>
      <c r="J15" s="62">
        <v>0</v>
      </c>
      <c r="K15" s="62">
        <v>0</v>
      </c>
      <c r="L15" s="62">
        <v>0</v>
      </c>
      <c r="M15" s="62">
        <v>0</v>
      </c>
      <c r="N15" s="62">
        <v>0</v>
      </c>
      <c r="O15" s="62">
        <v>0</v>
      </c>
      <c r="P15" s="62">
        <v>0</v>
      </c>
      <c r="Q15" s="62">
        <v>0</v>
      </c>
      <c r="R15" s="62">
        <v>0</v>
      </c>
      <c r="S15" s="62">
        <v>0</v>
      </c>
      <c r="T15" s="62">
        <v>0</v>
      </c>
      <c r="U15" s="190">
        <f t="shared" ref="U15" si="86">SUM(I15:T15)</f>
        <v>0</v>
      </c>
      <c r="V15" s="197">
        <f t="shared" si="38"/>
        <v>0</v>
      </c>
      <c r="W15" s="62">
        <v>0</v>
      </c>
      <c r="X15" s="62">
        <v>0</v>
      </c>
      <c r="Y15" s="62">
        <v>0</v>
      </c>
      <c r="Z15" s="62">
        <v>0</v>
      </c>
      <c r="AA15" s="62">
        <v>0</v>
      </c>
      <c r="AB15" s="62">
        <v>0</v>
      </c>
      <c r="AC15" s="62">
        <v>0</v>
      </c>
      <c r="AD15" s="62">
        <v>0</v>
      </c>
      <c r="AE15" s="62">
        <v>0</v>
      </c>
      <c r="AF15" s="62">
        <v>0</v>
      </c>
      <c r="AG15" s="62">
        <v>0</v>
      </c>
      <c r="AH15" s="62">
        <v>0</v>
      </c>
      <c r="AI15" s="190">
        <f t="shared" ref="AI15" si="87">SUM(W15:AH15)</f>
        <v>0</v>
      </c>
      <c r="AJ15" s="197">
        <f t="shared" si="39"/>
        <v>0</v>
      </c>
      <c r="AK15" s="62">
        <v>0</v>
      </c>
      <c r="AL15" s="62">
        <v>0</v>
      </c>
      <c r="AM15" s="62">
        <v>0</v>
      </c>
      <c r="AN15" s="62">
        <v>0</v>
      </c>
      <c r="AO15" s="62">
        <v>0</v>
      </c>
      <c r="AP15" s="62">
        <v>0</v>
      </c>
      <c r="AQ15" s="62">
        <v>0</v>
      </c>
      <c r="AR15" s="62">
        <v>0</v>
      </c>
      <c r="AS15" s="62">
        <v>0</v>
      </c>
      <c r="AT15" s="62">
        <v>1872616</v>
      </c>
      <c r="AU15" s="62">
        <v>-632801</v>
      </c>
      <c r="AV15" s="62">
        <v>1222534</v>
      </c>
      <c r="AW15" s="190">
        <f t="shared" ref="AW15" si="88">SUM(AK15:AV15)</f>
        <v>2462349</v>
      </c>
      <c r="AX15" s="197">
        <f t="shared" si="40"/>
        <v>3.3945459308574961E-2</v>
      </c>
      <c r="AY15" s="62">
        <f>-2657890</f>
        <v>-2657890</v>
      </c>
      <c r="AZ15" s="62">
        <v>-318328</v>
      </c>
      <c r="BA15" s="62">
        <v>-403241</v>
      </c>
      <c r="BB15" s="62">
        <v>970960</v>
      </c>
      <c r="BC15" s="62">
        <v>-1189208</v>
      </c>
      <c r="BD15" s="62">
        <v>2725893</v>
      </c>
      <c r="BE15" s="62">
        <v>407153</v>
      </c>
      <c r="BF15" s="62">
        <v>-99448</v>
      </c>
      <c r="BG15" s="62">
        <v>-902487</v>
      </c>
      <c r="BH15" s="62">
        <v>-806</v>
      </c>
      <c r="BI15" s="62">
        <v>0</v>
      </c>
      <c r="BJ15" s="62">
        <v>0</v>
      </c>
      <c r="BK15" s="190">
        <f t="shared" ref="BK15" si="89">SUM(AY15:BJ15)</f>
        <v>-1467402</v>
      </c>
      <c r="BL15" s="197">
        <f t="shared" si="41"/>
        <v>-1.8823447133149551E-2</v>
      </c>
      <c r="BM15" s="62">
        <v>0</v>
      </c>
      <c r="BN15" s="62">
        <v>0</v>
      </c>
      <c r="BO15" s="62">
        <v>0</v>
      </c>
      <c r="BP15" s="62">
        <v>0</v>
      </c>
      <c r="BQ15" s="62">
        <v>0</v>
      </c>
      <c r="BR15" s="62">
        <v>0</v>
      </c>
      <c r="BS15" s="62">
        <v>0</v>
      </c>
      <c r="BT15" s="62">
        <v>0</v>
      </c>
      <c r="BU15" s="62">
        <v>0</v>
      </c>
      <c r="BV15" s="62">
        <v>0</v>
      </c>
      <c r="BW15" s="62">
        <v>0</v>
      </c>
      <c r="BX15" s="62">
        <v>0</v>
      </c>
      <c r="BY15" s="190">
        <f t="shared" ref="BY15" si="90">SUM(BM15:BX15)</f>
        <v>0</v>
      </c>
      <c r="BZ15" s="197">
        <f t="shared" si="42"/>
        <v>0</v>
      </c>
      <c r="CA15" s="62">
        <v>0</v>
      </c>
      <c r="CB15" s="62">
        <v>0</v>
      </c>
      <c r="CC15" s="62">
        <v>0</v>
      </c>
      <c r="CD15" s="62">
        <v>0</v>
      </c>
      <c r="CE15" s="62">
        <v>0</v>
      </c>
      <c r="CF15" s="62">
        <v>0</v>
      </c>
      <c r="CG15" s="62">
        <v>0</v>
      </c>
      <c r="CH15" s="62">
        <v>0</v>
      </c>
      <c r="CI15" s="62">
        <v>0</v>
      </c>
      <c r="CJ15" s="62">
        <v>0</v>
      </c>
      <c r="CK15" s="62">
        <v>0</v>
      </c>
      <c r="CL15" s="62">
        <v>0</v>
      </c>
      <c r="CM15" s="190">
        <f t="shared" ref="CM15" si="91">SUM(CA15:CL15)</f>
        <v>0</v>
      </c>
      <c r="CN15" s="62">
        <v>0</v>
      </c>
      <c r="CO15" s="62">
        <v>0</v>
      </c>
      <c r="CP15" s="62">
        <v>0</v>
      </c>
      <c r="CQ15" s="62">
        <v>0</v>
      </c>
      <c r="CR15" s="62">
        <v>0</v>
      </c>
      <c r="CS15" s="62">
        <v>0</v>
      </c>
      <c r="CT15" s="62">
        <v>0</v>
      </c>
      <c r="CU15" s="62">
        <v>0</v>
      </c>
      <c r="CV15" s="62">
        <v>0</v>
      </c>
      <c r="CW15" s="62">
        <v>0</v>
      </c>
      <c r="CX15" s="62">
        <v>0</v>
      </c>
      <c r="CY15" s="62">
        <v>0</v>
      </c>
      <c r="CZ15" s="190">
        <f t="shared" ref="CZ15" si="92">SUM(CN15:CY15)</f>
        <v>0</v>
      </c>
      <c r="DA15" s="62">
        <v>0</v>
      </c>
      <c r="DB15" s="62">
        <v>0</v>
      </c>
      <c r="DC15" s="62">
        <v>0</v>
      </c>
      <c r="DD15" s="62">
        <v>0</v>
      </c>
      <c r="DE15" s="62">
        <v>0</v>
      </c>
      <c r="DF15" s="62">
        <v>0</v>
      </c>
      <c r="DG15" s="62">
        <v>0</v>
      </c>
      <c r="DH15" s="62">
        <v>0</v>
      </c>
      <c r="DI15" s="62">
        <v>0</v>
      </c>
      <c r="DJ15" s="62">
        <v>0</v>
      </c>
      <c r="DK15" s="62">
        <v>0</v>
      </c>
      <c r="DL15" s="62">
        <v>0</v>
      </c>
      <c r="DM15" s="190">
        <f t="shared" ref="DM15" si="93">SUM(DA15:DL15)</f>
        <v>0</v>
      </c>
      <c r="DN15" s="62">
        <v>0</v>
      </c>
      <c r="DO15" s="62">
        <v>0</v>
      </c>
      <c r="DP15" s="62">
        <v>0</v>
      </c>
      <c r="DQ15" s="62">
        <v>0</v>
      </c>
      <c r="DR15" s="62">
        <v>0</v>
      </c>
      <c r="DS15" s="62">
        <v>0</v>
      </c>
      <c r="DT15" s="62">
        <v>0</v>
      </c>
      <c r="DU15" s="62">
        <v>0</v>
      </c>
      <c r="DV15" s="62">
        <v>0</v>
      </c>
      <c r="DW15" s="62">
        <v>0</v>
      </c>
      <c r="DX15" s="62">
        <v>0</v>
      </c>
      <c r="DY15" s="62">
        <v>0</v>
      </c>
      <c r="DZ15" s="190">
        <f t="shared" ref="DZ15" si="94">SUM(DN15:DY15)</f>
        <v>0</v>
      </c>
    </row>
    <row r="16" spans="1:130" ht="20.45" customHeight="1" outlineLevel="1">
      <c r="A16" s="548"/>
      <c r="B16" s="538" t="s">
        <v>3303</v>
      </c>
      <c r="C16" s="539"/>
      <c r="D16" s="62">
        <f t="shared" si="0"/>
        <v>11030420.999999994</v>
      </c>
      <c r="E16" s="184">
        <f t="shared" ref="E16" si="95">D16/D$4</f>
        <v>3.0719455411129821E-2</v>
      </c>
      <c r="F16" s="62">
        <v>0</v>
      </c>
      <c r="G16" s="190">
        <f t="shared" ref="G16" si="96">SUM(F16)</f>
        <v>0</v>
      </c>
      <c r="H16" s="197">
        <f t="shared" ref="H16" si="97">G16/G$4</f>
        <v>0</v>
      </c>
      <c r="I16" s="62">
        <v>0</v>
      </c>
      <c r="J16" s="62">
        <v>0</v>
      </c>
      <c r="K16" s="62">
        <v>0</v>
      </c>
      <c r="L16" s="62">
        <v>0</v>
      </c>
      <c r="M16" s="62">
        <v>0</v>
      </c>
      <c r="N16" s="62">
        <v>0</v>
      </c>
      <c r="O16" s="62">
        <v>0</v>
      </c>
      <c r="P16" s="62">
        <v>0</v>
      </c>
      <c r="Q16" s="62">
        <v>0</v>
      </c>
      <c r="R16" s="62">
        <v>0</v>
      </c>
      <c r="S16" s="62">
        <v>0</v>
      </c>
      <c r="T16" s="62">
        <v>0</v>
      </c>
      <c r="U16" s="190">
        <f t="shared" ref="U16" si="98">SUM(I16:T16)</f>
        <v>0</v>
      </c>
      <c r="V16" s="197">
        <f t="shared" si="38"/>
        <v>0</v>
      </c>
      <c r="W16" s="62">
        <v>0</v>
      </c>
      <c r="X16" s="62">
        <v>0</v>
      </c>
      <c r="Y16" s="62">
        <v>0</v>
      </c>
      <c r="Z16" s="62">
        <v>0</v>
      </c>
      <c r="AA16" s="62">
        <v>0</v>
      </c>
      <c r="AB16" s="62">
        <v>0</v>
      </c>
      <c r="AC16" s="62">
        <v>0</v>
      </c>
      <c r="AD16" s="62">
        <v>0</v>
      </c>
      <c r="AE16" s="62">
        <v>0</v>
      </c>
      <c r="AF16" s="62">
        <v>0</v>
      </c>
      <c r="AG16" s="62">
        <v>0</v>
      </c>
      <c r="AH16" s="62">
        <v>0</v>
      </c>
      <c r="AI16" s="190">
        <f t="shared" ref="AI16" si="99">SUM(W16:AH16)</f>
        <v>0</v>
      </c>
      <c r="AJ16" s="197">
        <f t="shared" si="39"/>
        <v>0</v>
      </c>
      <c r="AK16" s="62">
        <v>0</v>
      </c>
      <c r="AL16" s="62">
        <v>0</v>
      </c>
      <c r="AM16" s="62">
        <v>0</v>
      </c>
      <c r="AN16" s="62">
        <v>0</v>
      </c>
      <c r="AO16" s="62">
        <v>0</v>
      </c>
      <c r="AP16" s="62">
        <v>0</v>
      </c>
      <c r="AQ16" s="62">
        <v>0</v>
      </c>
      <c r="AR16" s="62">
        <v>0</v>
      </c>
      <c r="AS16" s="62">
        <v>0</v>
      </c>
      <c r="AT16" s="62">
        <v>0</v>
      </c>
      <c r="AU16" s="62">
        <v>-3811876</v>
      </c>
      <c r="AV16" s="62">
        <v>-3808335</v>
      </c>
      <c r="AW16" s="190">
        <f t="shared" ref="AW16" si="100">SUM(AK16:AV16)</f>
        <v>-7620211</v>
      </c>
      <c r="AX16" s="197">
        <f t="shared" si="40"/>
        <v>-0.10505073099843089</v>
      </c>
      <c r="AY16" s="62">
        <v>-483069</v>
      </c>
      <c r="AZ16" s="62">
        <v>-982694</v>
      </c>
      <c r="BA16" s="62">
        <v>-627431</v>
      </c>
      <c r="BB16" s="62">
        <v>1274529</v>
      </c>
      <c r="BC16" s="62">
        <v>932103</v>
      </c>
      <c r="BD16" s="62">
        <v>1104555</v>
      </c>
      <c r="BE16" s="62">
        <v>-1486377</v>
      </c>
      <c r="BF16" s="62">
        <v>872353</v>
      </c>
      <c r="BG16" s="62">
        <v>1307289</v>
      </c>
      <c r="BH16" s="62">
        <v>-4986886</v>
      </c>
      <c r="BI16" s="62">
        <v>1539900</v>
      </c>
      <c r="BJ16" s="62">
        <v>5755396</v>
      </c>
      <c r="BK16" s="190">
        <f t="shared" ref="BK16" si="101">SUM(AY16:BJ16)</f>
        <v>4219668</v>
      </c>
      <c r="BL16" s="197">
        <f t="shared" si="41"/>
        <v>5.4128791917581479E-2</v>
      </c>
      <c r="BM16" s="62">
        <v>-3630398</v>
      </c>
      <c r="BN16" s="62">
        <v>-891317</v>
      </c>
      <c r="BO16" s="62">
        <v>4568809</v>
      </c>
      <c r="BP16" s="62">
        <v>8696918</v>
      </c>
      <c r="BQ16" s="62">
        <f>-27000000+$D$2-$D$148-AT16-AU16-AV16-AY16-AZ16-BA16-BB16-BC16-BD16-BE16-BF16-BG16-BH16-BI16-BJ16-BM16-BN16-BO16-BP16</f>
        <v>5686951.9999999963</v>
      </c>
      <c r="BR16" s="62">
        <v>0</v>
      </c>
      <c r="BS16" s="62">
        <v>0</v>
      </c>
      <c r="BT16" s="62">
        <v>0</v>
      </c>
      <c r="BU16" s="62">
        <v>0</v>
      </c>
      <c r="BV16" s="62">
        <v>0</v>
      </c>
      <c r="BW16" s="62">
        <v>0</v>
      </c>
      <c r="BX16" s="62">
        <v>0</v>
      </c>
      <c r="BY16" s="190">
        <f t="shared" ref="BY16" si="102">SUM(BM16:BX16)</f>
        <v>14430963.999999996</v>
      </c>
      <c r="BZ16" s="197">
        <f t="shared" si="42"/>
        <v>0.24659902763083116</v>
      </c>
      <c r="CA16" s="62">
        <v>0</v>
      </c>
      <c r="CB16" s="62">
        <v>0</v>
      </c>
      <c r="CC16" s="62">
        <v>0</v>
      </c>
      <c r="CD16" s="62">
        <v>0</v>
      </c>
      <c r="CE16" s="62">
        <v>0</v>
      </c>
      <c r="CF16" s="62">
        <v>0</v>
      </c>
      <c r="CG16" s="62">
        <v>0</v>
      </c>
      <c r="CH16" s="62">
        <v>0</v>
      </c>
      <c r="CI16" s="62">
        <v>0</v>
      </c>
      <c r="CJ16" s="62">
        <v>0</v>
      </c>
      <c r="CK16" s="62">
        <v>0</v>
      </c>
      <c r="CL16" s="62">
        <v>0</v>
      </c>
      <c r="CM16" s="190">
        <f t="shared" ref="CM16" si="103">SUM(CA16:CL16)</f>
        <v>0</v>
      </c>
      <c r="CN16" s="62">
        <v>0</v>
      </c>
      <c r="CO16" s="62">
        <v>0</v>
      </c>
      <c r="CP16" s="62">
        <v>0</v>
      </c>
      <c r="CQ16" s="62">
        <v>0</v>
      </c>
      <c r="CR16" s="62">
        <v>0</v>
      </c>
      <c r="CS16" s="62">
        <v>0</v>
      </c>
      <c r="CT16" s="62">
        <v>0</v>
      </c>
      <c r="CU16" s="62">
        <v>0</v>
      </c>
      <c r="CV16" s="62">
        <v>0</v>
      </c>
      <c r="CW16" s="62">
        <v>0</v>
      </c>
      <c r="CX16" s="62">
        <v>0</v>
      </c>
      <c r="CY16" s="62">
        <v>0</v>
      </c>
      <c r="CZ16" s="190">
        <f t="shared" ref="CZ16" si="104">SUM(CN16:CY16)</f>
        <v>0</v>
      </c>
      <c r="DA16" s="62">
        <v>0</v>
      </c>
      <c r="DB16" s="62">
        <v>0</v>
      </c>
      <c r="DC16" s="62">
        <v>0</v>
      </c>
      <c r="DD16" s="62">
        <v>0</v>
      </c>
      <c r="DE16" s="62">
        <v>0</v>
      </c>
      <c r="DF16" s="62">
        <v>0</v>
      </c>
      <c r="DG16" s="62">
        <v>0</v>
      </c>
      <c r="DH16" s="62">
        <v>0</v>
      </c>
      <c r="DI16" s="62">
        <v>0</v>
      </c>
      <c r="DJ16" s="62">
        <v>0</v>
      </c>
      <c r="DK16" s="62">
        <v>0</v>
      </c>
      <c r="DL16" s="62">
        <v>0</v>
      </c>
      <c r="DM16" s="190">
        <f t="shared" ref="DM16" si="105">SUM(DA16:DL16)</f>
        <v>0</v>
      </c>
      <c r="DN16" s="62">
        <v>0</v>
      </c>
      <c r="DO16" s="62">
        <v>0</v>
      </c>
      <c r="DP16" s="62">
        <v>0</v>
      </c>
      <c r="DQ16" s="62">
        <v>0</v>
      </c>
      <c r="DR16" s="62">
        <v>0</v>
      </c>
      <c r="DS16" s="62">
        <v>0</v>
      </c>
      <c r="DT16" s="62">
        <v>0</v>
      </c>
      <c r="DU16" s="62">
        <v>0</v>
      </c>
      <c r="DV16" s="62">
        <v>0</v>
      </c>
      <c r="DW16" s="62">
        <v>0</v>
      </c>
      <c r="DX16" s="62">
        <v>0</v>
      </c>
      <c r="DY16" s="62">
        <v>0</v>
      </c>
      <c r="DZ16" s="190">
        <f t="shared" ref="DZ16" si="106">SUM(DN16:DY16)</f>
        <v>0</v>
      </c>
    </row>
    <row r="17" spans="1:130" ht="20.45" customHeight="1" outlineLevel="1">
      <c r="A17" s="548"/>
      <c r="B17" s="538" t="s">
        <v>2600</v>
      </c>
      <c r="C17" s="539"/>
      <c r="D17" s="62">
        <f t="shared" si="0"/>
        <v>10530000.000000002</v>
      </c>
      <c r="E17" s="184">
        <f t="shared" ref="E17:E18" si="107">D17/D$4</f>
        <v>2.9325795042564308E-2</v>
      </c>
      <c r="F17" s="62">
        <v>0</v>
      </c>
      <c r="G17" s="190">
        <f t="shared" ref="G17:G18" si="108">SUM(F17)</f>
        <v>0</v>
      </c>
      <c r="H17" s="197">
        <f t="shared" ref="H17:H18" si="109">G17/G$4</f>
        <v>0</v>
      </c>
      <c r="I17" s="62">
        <v>0</v>
      </c>
      <c r="J17" s="62">
        <v>0</v>
      </c>
      <c r="K17" s="62">
        <v>0</v>
      </c>
      <c r="L17" s="62">
        <v>0</v>
      </c>
      <c r="M17" s="62">
        <v>0</v>
      </c>
      <c r="N17" s="62">
        <v>0</v>
      </c>
      <c r="O17" s="62">
        <v>0</v>
      </c>
      <c r="P17" s="62">
        <v>0</v>
      </c>
      <c r="Q17" s="62">
        <v>0</v>
      </c>
      <c r="R17" s="62">
        <v>0</v>
      </c>
      <c r="S17" s="62">
        <v>0</v>
      </c>
      <c r="T17" s="62">
        <v>0</v>
      </c>
      <c r="U17" s="190">
        <f t="shared" ref="U17" si="110">SUM(I17:T17)</f>
        <v>0</v>
      </c>
      <c r="V17" s="197">
        <f t="shared" si="38"/>
        <v>0</v>
      </c>
      <c r="W17" s="62">
        <v>0</v>
      </c>
      <c r="X17" s="62">
        <v>0</v>
      </c>
      <c r="Y17" s="62">
        <v>0</v>
      </c>
      <c r="Z17" s="62">
        <v>0</v>
      </c>
      <c r="AA17" s="62">
        <v>0</v>
      </c>
      <c r="AB17" s="62">
        <v>0</v>
      </c>
      <c r="AC17" s="62">
        <v>10530000</v>
      </c>
      <c r="AD17" s="62">
        <v>0</v>
      </c>
      <c r="AE17" s="62">
        <v>0</v>
      </c>
      <c r="AF17" s="62">
        <v>0</v>
      </c>
      <c r="AG17" s="62">
        <v>0</v>
      </c>
      <c r="AH17" s="62">
        <v>0</v>
      </c>
      <c r="AI17" s="190">
        <f t="shared" ref="AI17" si="111">SUM(W17:AH17)</f>
        <v>10530000</v>
      </c>
      <c r="AJ17" s="197">
        <f t="shared" si="39"/>
        <v>0.12284441876857395</v>
      </c>
      <c r="AK17" s="62">
        <v>0</v>
      </c>
      <c r="AL17" s="62">
        <v>0</v>
      </c>
      <c r="AM17" s="62">
        <v>0</v>
      </c>
      <c r="AN17" s="62">
        <v>0</v>
      </c>
      <c r="AO17" s="62">
        <v>0</v>
      </c>
      <c r="AP17" s="62">
        <v>0</v>
      </c>
      <c r="AQ17" s="62">
        <v>0</v>
      </c>
      <c r="AR17" s="62">
        <v>0</v>
      </c>
      <c r="AS17" s="62">
        <v>0</v>
      </c>
      <c r="AT17" s="62">
        <v>0</v>
      </c>
      <c r="AU17" s="62">
        <v>0</v>
      </c>
      <c r="AV17" s="62">
        <v>0</v>
      </c>
      <c r="AW17" s="190">
        <f t="shared" ref="AW17" si="112">SUM(AK17:AV17)</f>
        <v>0</v>
      </c>
      <c r="AX17" s="197">
        <f t="shared" si="40"/>
        <v>0</v>
      </c>
      <c r="AY17" s="62">
        <v>0</v>
      </c>
      <c r="AZ17" s="62">
        <v>0</v>
      </c>
      <c r="BA17" s="62">
        <v>0</v>
      </c>
      <c r="BB17" s="62">
        <v>0</v>
      </c>
      <c r="BC17" s="62">
        <v>0</v>
      </c>
      <c r="BD17" s="62">
        <v>0</v>
      </c>
      <c r="BE17" s="62">
        <v>0</v>
      </c>
      <c r="BF17" s="62">
        <v>0</v>
      </c>
      <c r="BG17" s="62">
        <v>0</v>
      </c>
      <c r="BH17" s="62">
        <v>0</v>
      </c>
      <c r="BI17" s="62">
        <v>0</v>
      </c>
      <c r="BJ17" s="62">
        <v>0</v>
      </c>
      <c r="BK17" s="190">
        <f t="shared" ref="BK17" si="113">SUM(AY17:BJ17)</f>
        <v>0</v>
      </c>
      <c r="BL17" s="197">
        <f t="shared" si="41"/>
        <v>0</v>
      </c>
      <c r="BM17" s="62">
        <v>0</v>
      </c>
      <c r="BN17" s="62">
        <v>0</v>
      </c>
      <c r="BO17" s="62">
        <v>0</v>
      </c>
      <c r="BP17" s="62">
        <v>0</v>
      </c>
      <c r="BQ17" s="62">
        <v>0</v>
      </c>
      <c r="BR17" s="62">
        <v>0</v>
      </c>
      <c r="BS17" s="62">
        <v>0</v>
      </c>
      <c r="BT17" s="62">
        <v>0</v>
      </c>
      <c r="BU17" s="62">
        <v>0</v>
      </c>
      <c r="BV17" s="62">
        <v>0</v>
      </c>
      <c r="BW17" s="62">
        <v>0</v>
      </c>
      <c r="BX17" s="62">
        <v>0</v>
      </c>
      <c r="BY17" s="190">
        <f t="shared" ref="BY17" si="114">SUM(BM17:BX17)</f>
        <v>0</v>
      </c>
      <c r="BZ17" s="197">
        <f t="shared" si="42"/>
        <v>0</v>
      </c>
      <c r="CA17" s="62">
        <v>0</v>
      </c>
      <c r="CB17" s="62">
        <v>0</v>
      </c>
      <c r="CC17" s="62">
        <v>0</v>
      </c>
      <c r="CD17" s="62">
        <v>0</v>
      </c>
      <c r="CE17" s="62">
        <v>0</v>
      </c>
      <c r="CF17" s="62">
        <v>0</v>
      </c>
      <c r="CG17" s="62">
        <v>0</v>
      </c>
      <c r="CH17" s="62">
        <v>0</v>
      </c>
      <c r="CI17" s="62">
        <v>0</v>
      </c>
      <c r="CJ17" s="62">
        <v>0</v>
      </c>
      <c r="CK17" s="62">
        <v>0</v>
      </c>
      <c r="CL17" s="62">
        <v>0</v>
      </c>
      <c r="CM17" s="190">
        <f t="shared" ref="CM17" si="115">SUM(CA17:CL17)</f>
        <v>0</v>
      </c>
      <c r="CN17" s="62">
        <v>0</v>
      </c>
      <c r="CO17" s="62">
        <v>0</v>
      </c>
      <c r="CP17" s="62">
        <v>0</v>
      </c>
      <c r="CQ17" s="62">
        <v>0</v>
      </c>
      <c r="CR17" s="62">
        <v>0</v>
      </c>
      <c r="CS17" s="62">
        <v>0</v>
      </c>
      <c r="CT17" s="62">
        <v>0</v>
      </c>
      <c r="CU17" s="62">
        <v>0</v>
      </c>
      <c r="CV17" s="62">
        <v>0</v>
      </c>
      <c r="CW17" s="62">
        <v>0</v>
      </c>
      <c r="CX17" s="62">
        <v>0</v>
      </c>
      <c r="CY17" s="62">
        <v>0</v>
      </c>
      <c r="CZ17" s="190">
        <f t="shared" ref="CZ17" si="116">SUM(CN17:CY17)</f>
        <v>0</v>
      </c>
      <c r="DA17" s="62">
        <v>0</v>
      </c>
      <c r="DB17" s="62">
        <v>0</v>
      </c>
      <c r="DC17" s="62">
        <v>0</v>
      </c>
      <c r="DD17" s="62">
        <v>0</v>
      </c>
      <c r="DE17" s="62">
        <v>0</v>
      </c>
      <c r="DF17" s="62">
        <v>0</v>
      </c>
      <c r="DG17" s="62">
        <v>0</v>
      </c>
      <c r="DH17" s="62">
        <v>0</v>
      </c>
      <c r="DI17" s="62">
        <v>0</v>
      </c>
      <c r="DJ17" s="62">
        <v>0</v>
      </c>
      <c r="DK17" s="62">
        <v>0</v>
      </c>
      <c r="DL17" s="62">
        <v>0</v>
      </c>
      <c r="DM17" s="190">
        <f t="shared" ref="DM17" si="117">SUM(DA17:DL17)</f>
        <v>0</v>
      </c>
      <c r="DN17" s="62">
        <v>0</v>
      </c>
      <c r="DO17" s="62">
        <v>0</v>
      </c>
      <c r="DP17" s="62">
        <v>0</v>
      </c>
      <c r="DQ17" s="62">
        <v>0</v>
      </c>
      <c r="DR17" s="62">
        <v>0</v>
      </c>
      <c r="DS17" s="62">
        <v>0</v>
      </c>
      <c r="DT17" s="62">
        <v>0</v>
      </c>
      <c r="DU17" s="62">
        <v>0</v>
      </c>
      <c r="DV17" s="62">
        <v>0</v>
      </c>
      <c r="DW17" s="62">
        <v>0</v>
      </c>
      <c r="DX17" s="62">
        <v>0</v>
      </c>
      <c r="DY17" s="62">
        <v>0</v>
      </c>
      <c r="DZ17" s="190">
        <f t="shared" ref="DZ17" si="118">SUM(DN17:DY17)</f>
        <v>0</v>
      </c>
    </row>
    <row r="18" spans="1:130" ht="20.45" customHeight="1" outlineLevel="1">
      <c r="A18" s="548"/>
      <c r="B18" s="543" t="s">
        <v>2785</v>
      </c>
      <c r="C18" s="544"/>
      <c r="D18" s="62">
        <f t="shared" si="0"/>
        <v>3000000.0000000005</v>
      </c>
      <c r="E18" s="184">
        <f t="shared" si="107"/>
        <v>8.3549273625539329E-3</v>
      </c>
      <c r="F18" s="62">
        <v>0</v>
      </c>
      <c r="G18" s="190">
        <f t="shared" si="108"/>
        <v>0</v>
      </c>
      <c r="H18" s="197">
        <f t="shared" si="109"/>
        <v>0</v>
      </c>
      <c r="I18" s="62">
        <v>0</v>
      </c>
      <c r="J18" s="62">
        <v>0</v>
      </c>
      <c r="K18" s="62">
        <v>0</v>
      </c>
      <c r="L18" s="62">
        <v>0</v>
      </c>
      <c r="M18" s="62">
        <v>0</v>
      </c>
      <c r="N18" s="62">
        <v>0</v>
      </c>
      <c r="O18" s="62">
        <v>0</v>
      </c>
      <c r="P18" s="62">
        <v>0</v>
      </c>
      <c r="Q18" s="62">
        <v>0</v>
      </c>
      <c r="R18" s="62">
        <v>0</v>
      </c>
      <c r="S18" s="62">
        <v>0</v>
      </c>
      <c r="T18" s="62">
        <v>0</v>
      </c>
      <c r="U18" s="190">
        <f t="shared" ref="U18" si="119">SUM(I18:T18)</f>
        <v>0</v>
      </c>
      <c r="V18" s="197">
        <f t="shared" si="38"/>
        <v>0</v>
      </c>
      <c r="W18" s="62">
        <v>0</v>
      </c>
      <c r="X18" s="62">
        <v>0</v>
      </c>
      <c r="Y18" s="62">
        <v>0</v>
      </c>
      <c r="Z18" s="62">
        <v>0</v>
      </c>
      <c r="AA18" s="62">
        <v>0</v>
      </c>
      <c r="AB18" s="62">
        <v>0</v>
      </c>
      <c r="AC18" s="62">
        <v>0</v>
      </c>
      <c r="AD18" s="62">
        <v>0</v>
      </c>
      <c r="AE18" s="62">
        <v>0</v>
      </c>
      <c r="AF18" s="62">
        <v>0</v>
      </c>
      <c r="AG18" s="62">
        <v>0</v>
      </c>
      <c r="AH18" s="62">
        <v>0</v>
      </c>
      <c r="AI18" s="190">
        <f t="shared" ref="AI18" si="120">SUM(W18:AH18)</f>
        <v>0</v>
      </c>
      <c r="AJ18" s="197">
        <f t="shared" si="39"/>
        <v>0</v>
      </c>
      <c r="AK18" s="62">
        <v>0</v>
      </c>
      <c r="AL18" s="62">
        <v>0</v>
      </c>
      <c r="AM18" s="62">
        <v>0</v>
      </c>
      <c r="AN18" s="62">
        <v>0</v>
      </c>
      <c r="AO18" s="62">
        <v>0</v>
      </c>
      <c r="AP18" s="62">
        <v>0</v>
      </c>
      <c r="AQ18" s="62">
        <v>0</v>
      </c>
      <c r="AR18" s="62">
        <v>0</v>
      </c>
      <c r="AS18" s="62">
        <v>0</v>
      </c>
      <c r="AT18" s="62">
        <v>0</v>
      </c>
      <c r="AU18" s="62">
        <v>0</v>
      </c>
      <c r="AV18" s="62">
        <v>0</v>
      </c>
      <c r="AW18" s="190">
        <f t="shared" ref="AW18" si="121">SUM(AK18:AV18)</f>
        <v>0</v>
      </c>
      <c r="AX18" s="197">
        <f t="shared" si="40"/>
        <v>0</v>
      </c>
      <c r="AY18" s="62">
        <v>0</v>
      </c>
      <c r="AZ18" s="62">
        <v>3000000</v>
      </c>
      <c r="BA18" s="62">
        <v>0</v>
      </c>
      <c r="BB18" s="62">
        <v>0</v>
      </c>
      <c r="BC18" s="62">
        <v>0</v>
      </c>
      <c r="BD18" s="62">
        <v>0</v>
      </c>
      <c r="BE18" s="62">
        <v>0</v>
      </c>
      <c r="BF18" s="62">
        <v>0</v>
      </c>
      <c r="BG18" s="62">
        <v>0</v>
      </c>
      <c r="BH18" s="62">
        <v>0</v>
      </c>
      <c r="BI18" s="62">
        <v>0</v>
      </c>
      <c r="BJ18" s="62">
        <v>0</v>
      </c>
      <c r="BK18" s="190">
        <f t="shared" ref="BK18" si="122">SUM(AY18:BJ18)</f>
        <v>3000000</v>
      </c>
      <c r="BL18" s="197">
        <f t="shared" si="41"/>
        <v>3.8483211416809202E-2</v>
      </c>
      <c r="BM18" s="62">
        <v>0</v>
      </c>
      <c r="BN18" s="62">
        <v>0</v>
      </c>
      <c r="BO18" s="62">
        <v>0</v>
      </c>
      <c r="BP18" s="62">
        <v>0</v>
      </c>
      <c r="BQ18" s="62">
        <v>0</v>
      </c>
      <c r="BR18" s="62">
        <v>0</v>
      </c>
      <c r="BS18" s="62">
        <v>0</v>
      </c>
      <c r="BT18" s="62">
        <v>0</v>
      </c>
      <c r="BU18" s="62">
        <v>0</v>
      </c>
      <c r="BV18" s="62">
        <v>0</v>
      </c>
      <c r="BW18" s="62">
        <v>0</v>
      </c>
      <c r="BX18" s="62">
        <v>0</v>
      </c>
      <c r="BY18" s="190">
        <f t="shared" ref="BY18" si="123">SUM(BM18:BX18)</f>
        <v>0</v>
      </c>
      <c r="BZ18" s="197">
        <f t="shared" si="42"/>
        <v>0</v>
      </c>
      <c r="CA18" s="62">
        <v>0</v>
      </c>
      <c r="CB18" s="62">
        <v>0</v>
      </c>
      <c r="CC18" s="62">
        <v>0</v>
      </c>
      <c r="CD18" s="62">
        <v>0</v>
      </c>
      <c r="CE18" s="62">
        <v>0</v>
      </c>
      <c r="CF18" s="62">
        <v>0</v>
      </c>
      <c r="CG18" s="62">
        <v>0</v>
      </c>
      <c r="CH18" s="62">
        <v>0</v>
      </c>
      <c r="CI18" s="62">
        <v>0</v>
      </c>
      <c r="CJ18" s="62">
        <v>0</v>
      </c>
      <c r="CK18" s="62">
        <v>0</v>
      </c>
      <c r="CL18" s="62">
        <v>0</v>
      </c>
      <c r="CM18" s="190">
        <f t="shared" ref="CM18" si="124">SUM(CA18:CL18)</f>
        <v>0</v>
      </c>
      <c r="CN18" s="62">
        <v>0</v>
      </c>
      <c r="CO18" s="62">
        <v>0</v>
      </c>
      <c r="CP18" s="62">
        <v>0</v>
      </c>
      <c r="CQ18" s="62">
        <v>0</v>
      </c>
      <c r="CR18" s="62">
        <v>0</v>
      </c>
      <c r="CS18" s="62">
        <v>0</v>
      </c>
      <c r="CT18" s="62">
        <v>0</v>
      </c>
      <c r="CU18" s="62">
        <v>0</v>
      </c>
      <c r="CV18" s="62">
        <v>0</v>
      </c>
      <c r="CW18" s="62">
        <v>0</v>
      </c>
      <c r="CX18" s="62">
        <v>0</v>
      </c>
      <c r="CY18" s="62">
        <v>0</v>
      </c>
      <c r="CZ18" s="190">
        <f t="shared" ref="CZ18" si="125">SUM(CN18:CY18)</f>
        <v>0</v>
      </c>
      <c r="DA18" s="62">
        <v>0</v>
      </c>
      <c r="DB18" s="62">
        <v>0</v>
      </c>
      <c r="DC18" s="62">
        <v>0</v>
      </c>
      <c r="DD18" s="62">
        <v>0</v>
      </c>
      <c r="DE18" s="62">
        <v>0</v>
      </c>
      <c r="DF18" s="62">
        <v>0</v>
      </c>
      <c r="DG18" s="62">
        <v>0</v>
      </c>
      <c r="DH18" s="62">
        <v>0</v>
      </c>
      <c r="DI18" s="62">
        <v>0</v>
      </c>
      <c r="DJ18" s="62">
        <v>0</v>
      </c>
      <c r="DK18" s="62">
        <v>0</v>
      </c>
      <c r="DL18" s="62">
        <v>0</v>
      </c>
      <c r="DM18" s="190">
        <f t="shared" ref="DM18" si="126">SUM(DA18:DL18)</f>
        <v>0</v>
      </c>
      <c r="DN18" s="62">
        <v>0</v>
      </c>
      <c r="DO18" s="62">
        <v>0</v>
      </c>
      <c r="DP18" s="62">
        <v>0</v>
      </c>
      <c r="DQ18" s="62">
        <v>0</v>
      </c>
      <c r="DR18" s="62">
        <v>0</v>
      </c>
      <c r="DS18" s="62">
        <v>0</v>
      </c>
      <c r="DT18" s="62">
        <v>0</v>
      </c>
      <c r="DU18" s="62">
        <v>0</v>
      </c>
      <c r="DV18" s="62">
        <v>0</v>
      </c>
      <c r="DW18" s="62">
        <v>0</v>
      </c>
      <c r="DX18" s="62">
        <v>0</v>
      </c>
      <c r="DY18" s="62">
        <v>0</v>
      </c>
      <c r="DZ18" s="190">
        <f t="shared" ref="DZ18" si="127">SUM(DN18:DY18)</f>
        <v>0</v>
      </c>
    </row>
    <row r="19" spans="1:130" ht="20.45" customHeight="1" outlineLevel="1">
      <c r="A19" s="548"/>
      <c r="B19" s="543" t="s">
        <v>2960</v>
      </c>
      <c r="C19" s="544"/>
      <c r="D19" s="62">
        <f t="shared" si="0"/>
        <v>250000</v>
      </c>
      <c r="E19" s="184">
        <f t="shared" ref="E19" si="128">D19/D$4</f>
        <v>6.9624394687949434E-4</v>
      </c>
      <c r="F19" s="62">
        <v>0</v>
      </c>
      <c r="G19" s="190">
        <f t="shared" ref="G19" si="129">SUM(F19)</f>
        <v>0</v>
      </c>
      <c r="H19" s="197">
        <f t="shared" ref="H19" si="130">G19/G$4</f>
        <v>0</v>
      </c>
      <c r="I19" s="62">
        <v>0</v>
      </c>
      <c r="J19" s="62">
        <v>0</v>
      </c>
      <c r="K19" s="62">
        <v>0</v>
      </c>
      <c r="L19" s="62">
        <v>0</v>
      </c>
      <c r="M19" s="62">
        <v>0</v>
      </c>
      <c r="N19" s="62">
        <v>0</v>
      </c>
      <c r="O19" s="62">
        <v>0</v>
      </c>
      <c r="P19" s="62">
        <v>0</v>
      </c>
      <c r="Q19" s="62">
        <v>0</v>
      </c>
      <c r="R19" s="62">
        <v>0</v>
      </c>
      <c r="S19" s="62">
        <v>0</v>
      </c>
      <c r="T19" s="62">
        <v>0</v>
      </c>
      <c r="U19" s="190">
        <f t="shared" ref="U19" si="131">SUM(I19:T19)</f>
        <v>0</v>
      </c>
      <c r="V19" s="197">
        <f t="shared" si="38"/>
        <v>0</v>
      </c>
      <c r="W19" s="62">
        <v>0</v>
      </c>
      <c r="X19" s="62">
        <v>0</v>
      </c>
      <c r="Y19" s="62">
        <v>0</v>
      </c>
      <c r="Z19" s="62">
        <v>0</v>
      </c>
      <c r="AA19" s="62">
        <v>0</v>
      </c>
      <c r="AB19" s="62">
        <v>0</v>
      </c>
      <c r="AC19" s="62">
        <v>0</v>
      </c>
      <c r="AD19" s="62">
        <v>0</v>
      </c>
      <c r="AE19" s="62">
        <v>0</v>
      </c>
      <c r="AF19" s="62">
        <v>0</v>
      </c>
      <c r="AG19" s="62">
        <v>0</v>
      </c>
      <c r="AH19" s="62">
        <v>0</v>
      </c>
      <c r="AI19" s="190">
        <f t="shared" ref="AI19" si="132">SUM(W19:AH19)</f>
        <v>0</v>
      </c>
      <c r="AJ19" s="197">
        <f t="shared" si="39"/>
        <v>0</v>
      </c>
      <c r="AK19" s="62">
        <v>0</v>
      </c>
      <c r="AL19" s="62">
        <v>0</v>
      </c>
      <c r="AM19" s="62">
        <v>0</v>
      </c>
      <c r="AN19" s="62">
        <v>0</v>
      </c>
      <c r="AO19" s="62">
        <v>0</v>
      </c>
      <c r="AP19" s="62">
        <v>0</v>
      </c>
      <c r="AQ19" s="62">
        <v>0</v>
      </c>
      <c r="AR19" s="62">
        <v>0</v>
      </c>
      <c r="AS19" s="62">
        <v>0</v>
      </c>
      <c r="AT19" s="62">
        <v>0</v>
      </c>
      <c r="AU19" s="62">
        <v>0</v>
      </c>
      <c r="AV19" s="62">
        <v>0</v>
      </c>
      <c r="AW19" s="190">
        <f t="shared" ref="AW19" si="133">SUM(AK19:AV19)</f>
        <v>0</v>
      </c>
      <c r="AX19" s="197">
        <f t="shared" si="40"/>
        <v>0</v>
      </c>
      <c r="AY19" s="62">
        <v>0</v>
      </c>
      <c r="AZ19" s="62">
        <v>0</v>
      </c>
      <c r="BA19" s="62">
        <v>0</v>
      </c>
      <c r="BB19" s="62">
        <v>50000</v>
      </c>
      <c r="BC19" s="62">
        <v>20000</v>
      </c>
      <c r="BD19" s="62">
        <v>0</v>
      </c>
      <c r="BE19" s="62">
        <v>0</v>
      </c>
      <c r="BF19" s="62">
        <v>0</v>
      </c>
      <c r="BG19" s="62">
        <v>150000</v>
      </c>
      <c r="BH19" s="62">
        <v>0</v>
      </c>
      <c r="BI19" s="62">
        <v>0</v>
      </c>
      <c r="BJ19" s="62">
        <v>0</v>
      </c>
      <c r="BK19" s="190">
        <f t="shared" ref="BK19" si="134">SUM(AY19:BJ19)</f>
        <v>220000</v>
      </c>
      <c r="BL19" s="197">
        <f t="shared" si="41"/>
        <v>2.8221021705660079E-3</v>
      </c>
      <c r="BM19" s="62">
        <v>0</v>
      </c>
      <c r="BN19" s="62">
        <v>0</v>
      </c>
      <c r="BO19" s="62">
        <v>0</v>
      </c>
      <c r="BP19" s="62">
        <f>30000</f>
        <v>30000</v>
      </c>
      <c r="BQ19" s="62">
        <v>0</v>
      </c>
      <c r="BR19" s="62">
        <v>0</v>
      </c>
      <c r="BS19" s="62">
        <v>0</v>
      </c>
      <c r="BT19" s="62">
        <v>0</v>
      </c>
      <c r="BU19" s="62">
        <v>0</v>
      </c>
      <c r="BV19" s="62">
        <v>0</v>
      </c>
      <c r="BW19" s="62">
        <v>0</v>
      </c>
      <c r="BX19" s="62">
        <v>0</v>
      </c>
      <c r="BY19" s="190">
        <f t="shared" ref="BY19" si="135">SUM(BM19:BX19)</f>
        <v>30000</v>
      </c>
      <c r="BZ19" s="197">
        <f t="shared" si="42"/>
        <v>5.1264564369538556E-4</v>
      </c>
      <c r="CA19" s="62">
        <v>0</v>
      </c>
      <c r="CB19" s="62">
        <v>0</v>
      </c>
      <c r="CC19" s="62">
        <v>0</v>
      </c>
      <c r="CD19" s="62">
        <v>0</v>
      </c>
      <c r="CE19" s="62">
        <v>0</v>
      </c>
      <c r="CF19" s="62">
        <v>0</v>
      </c>
      <c r="CG19" s="62">
        <v>0</v>
      </c>
      <c r="CH19" s="62">
        <v>0</v>
      </c>
      <c r="CI19" s="62">
        <v>0</v>
      </c>
      <c r="CJ19" s="62">
        <v>0</v>
      </c>
      <c r="CK19" s="62">
        <v>0</v>
      </c>
      <c r="CL19" s="62">
        <v>0</v>
      </c>
      <c r="CM19" s="190">
        <f t="shared" ref="CM19" si="136">SUM(CA19:CL19)</f>
        <v>0</v>
      </c>
      <c r="CN19" s="62">
        <v>0</v>
      </c>
      <c r="CO19" s="62">
        <v>0</v>
      </c>
      <c r="CP19" s="62">
        <v>0</v>
      </c>
      <c r="CQ19" s="62">
        <v>0</v>
      </c>
      <c r="CR19" s="62">
        <v>0</v>
      </c>
      <c r="CS19" s="62">
        <v>0</v>
      </c>
      <c r="CT19" s="62">
        <v>0</v>
      </c>
      <c r="CU19" s="62">
        <v>0</v>
      </c>
      <c r="CV19" s="62">
        <v>0</v>
      </c>
      <c r="CW19" s="62">
        <v>0</v>
      </c>
      <c r="CX19" s="62">
        <v>0</v>
      </c>
      <c r="CY19" s="62">
        <v>0</v>
      </c>
      <c r="CZ19" s="190">
        <f t="shared" ref="CZ19" si="137">SUM(CN19:CY19)</f>
        <v>0</v>
      </c>
      <c r="DA19" s="62">
        <v>0</v>
      </c>
      <c r="DB19" s="62">
        <v>0</v>
      </c>
      <c r="DC19" s="62">
        <v>0</v>
      </c>
      <c r="DD19" s="62">
        <v>0</v>
      </c>
      <c r="DE19" s="62">
        <v>0</v>
      </c>
      <c r="DF19" s="62">
        <v>0</v>
      </c>
      <c r="DG19" s="62">
        <v>0</v>
      </c>
      <c r="DH19" s="62">
        <v>0</v>
      </c>
      <c r="DI19" s="62">
        <v>0</v>
      </c>
      <c r="DJ19" s="62">
        <v>0</v>
      </c>
      <c r="DK19" s="62">
        <v>0</v>
      </c>
      <c r="DL19" s="62">
        <v>0</v>
      </c>
      <c r="DM19" s="190">
        <f t="shared" ref="DM19" si="138">SUM(DA19:DL19)</f>
        <v>0</v>
      </c>
      <c r="DN19" s="62">
        <v>0</v>
      </c>
      <c r="DO19" s="62">
        <v>0</v>
      </c>
      <c r="DP19" s="62">
        <v>0</v>
      </c>
      <c r="DQ19" s="62">
        <v>0</v>
      </c>
      <c r="DR19" s="62">
        <v>0</v>
      </c>
      <c r="DS19" s="62">
        <v>0</v>
      </c>
      <c r="DT19" s="62">
        <v>0</v>
      </c>
      <c r="DU19" s="62">
        <v>0</v>
      </c>
      <c r="DV19" s="62">
        <v>0</v>
      </c>
      <c r="DW19" s="62">
        <v>0</v>
      </c>
      <c r="DX19" s="62">
        <v>0</v>
      </c>
      <c r="DY19" s="62">
        <v>0</v>
      </c>
      <c r="DZ19" s="190">
        <f t="shared" ref="DZ19" si="139">SUM(DN19:DY19)</f>
        <v>0</v>
      </c>
    </row>
    <row r="20" spans="1:130" ht="20.45" customHeight="1" outlineLevel="1">
      <c r="A20" s="547"/>
      <c r="B20" s="538" t="s">
        <v>2601</v>
      </c>
      <c r="C20" s="539"/>
      <c r="D20" s="62">
        <f t="shared" si="0"/>
        <v>546600</v>
      </c>
      <c r="E20" s="184">
        <f t="shared" si="35"/>
        <v>1.5222677654573265E-3</v>
      </c>
      <c r="F20" s="62">
        <v>0</v>
      </c>
      <c r="G20" s="190">
        <f t="shared" si="36"/>
        <v>0</v>
      </c>
      <c r="H20" s="197">
        <f t="shared" si="37"/>
        <v>0</v>
      </c>
      <c r="I20" s="62">
        <v>0</v>
      </c>
      <c r="J20" s="62">
        <v>0</v>
      </c>
      <c r="K20" s="62">
        <v>0</v>
      </c>
      <c r="L20" s="62">
        <v>0</v>
      </c>
      <c r="M20" s="62">
        <v>0</v>
      </c>
      <c r="N20" s="62">
        <v>0</v>
      </c>
      <c r="O20" s="62">
        <v>0</v>
      </c>
      <c r="P20" s="62">
        <v>0</v>
      </c>
      <c r="Q20" s="62">
        <v>270500</v>
      </c>
      <c r="R20" s="62">
        <v>0</v>
      </c>
      <c r="S20" s="62">
        <v>0</v>
      </c>
      <c r="T20" s="62">
        <v>0</v>
      </c>
      <c r="U20" s="190">
        <f t="shared" si="16"/>
        <v>270500</v>
      </c>
      <c r="V20" s="197">
        <f t="shared" si="38"/>
        <v>4.5114126732436668E-3</v>
      </c>
      <c r="W20" s="62">
        <v>0</v>
      </c>
      <c r="X20" s="62">
        <v>0</v>
      </c>
      <c r="Y20" s="62">
        <v>0</v>
      </c>
      <c r="Z20" s="62">
        <v>0</v>
      </c>
      <c r="AA20" s="62">
        <v>0</v>
      </c>
      <c r="AB20" s="62">
        <v>0</v>
      </c>
      <c r="AC20" s="62">
        <v>276100</v>
      </c>
      <c r="AD20" s="62">
        <v>0</v>
      </c>
      <c r="AE20" s="62">
        <v>0</v>
      </c>
      <c r="AF20" s="62">
        <v>0</v>
      </c>
      <c r="AG20" s="62">
        <v>0</v>
      </c>
      <c r="AH20" s="62">
        <v>0</v>
      </c>
      <c r="AI20" s="190">
        <f t="shared" si="17"/>
        <v>276100</v>
      </c>
      <c r="AJ20" s="197">
        <f t="shared" si="39"/>
        <v>3.2210203249765684E-3</v>
      </c>
      <c r="AK20" s="62">
        <v>0</v>
      </c>
      <c r="AL20" s="62">
        <v>0</v>
      </c>
      <c r="AM20" s="62">
        <v>0</v>
      </c>
      <c r="AN20" s="62">
        <v>0</v>
      </c>
      <c r="AO20" s="62">
        <v>0</v>
      </c>
      <c r="AP20" s="62">
        <v>0</v>
      </c>
      <c r="AQ20" s="62">
        <v>0</v>
      </c>
      <c r="AR20" s="62">
        <v>0</v>
      </c>
      <c r="AS20" s="62">
        <v>0</v>
      </c>
      <c r="AT20" s="62">
        <v>0</v>
      </c>
      <c r="AU20" s="62">
        <v>0</v>
      </c>
      <c r="AV20" s="62">
        <v>0</v>
      </c>
      <c r="AW20" s="190">
        <f t="shared" si="18"/>
        <v>0</v>
      </c>
      <c r="AX20" s="197">
        <f t="shared" si="40"/>
        <v>0</v>
      </c>
      <c r="AY20" s="62">
        <v>0</v>
      </c>
      <c r="AZ20" s="62">
        <v>0</v>
      </c>
      <c r="BA20" s="62">
        <v>0</v>
      </c>
      <c r="BB20" s="62">
        <v>0</v>
      </c>
      <c r="BC20" s="62">
        <v>0</v>
      </c>
      <c r="BD20" s="62">
        <v>0</v>
      </c>
      <c r="BE20" s="62">
        <v>0</v>
      </c>
      <c r="BF20" s="62">
        <v>0</v>
      </c>
      <c r="BG20" s="62">
        <v>0</v>
      </c>
      <c r="BH20" s="62">
        <v>0</v>
      </c>
      <c r="BI20" s="62">
        <v>0</v>
      </c>
      <c r="BJ20" s="62">
        <v>0</v>
      </c>
      <c r="BK20" s="190">
        <f t="shared" si="19"/>
        <v>0</v>
      </c>
      <c r="BL20" s="197">
        <f t="shared" si="41"/>
        <v>0</v>
      </c>
      <c r="BM20" s="62">
        <v>0</v>
      </c>
      <c r="BN20" s="62">
        <v>0</v>
      </c>
      <c r="BO20" s="62">
        <v>0</v>
      </c>
      <c r="BP20" s="62">
        <v>0</v>
      </c>
      <c r="BQ20" s="62">
        <v>0</v>
      </c>
      <c r="BR20" s="62">
        <v>0</v>
      </c>
      <c r="BS20" s="62">
        <v>0</v>
      </c>
      <c r="BT20" s="62">
        <v>0</v>
      </c>
      <c r="BU20" s="62">
        <v>0</v>
      </c>
      <c r="BV20" s="62">
        <v>0</v>
      </c>
      <c r="BW20" s="62">
        <v>0</v>
      </c>
      <c r="BX20" s="62">
        <v>0</v>
      </c>
      <c r="BY20" s="190">
        <f t="shared" si="20"/>
        <v>0</v>
      </c>
      <c r="BZ20" s="197">
        <f t="shared" si="42"/>
        <v>0</v>
      </c>
      <c r="CA20" s="62">
        <v>0</v>
      </c>
      <c r="CB20" s="62">
        <v>0</v>
      </c>
      <c r="CC20" s="62">
        <v>0</v>
      </c>
      <c r="CD20" s="62">
        <v>0</v>
      </c>
      <c r="CE20" s="62">
        <v>0</v>
      </c>
      <c r="CF20" s="62">
        <v>0</v>
      </c>
      <c r="CG20" s="62">
        <v>0</v>
      </c>
      <c r="CH20" s="62">
        <v>0</v>
      </c>
      <c r="CI20" s="62">
        <v>0</v>
      </c>
      <c r="CJ20" s="62">
        <v>0</v>
      </c>
      <c r="CK20" s="62">
        <v>0</v>
      </c>
      <c r="CL20" s="62">
        <v>0</v>
      </c>
      <c r="CM20" s="190">
        <f t="shared" si="21"/>
        <v>0</v>
      </c>
      <c r="CN20" s="62">
        <v>0</v>
      </c>
      <c r="CO20" s="62">
        <v>0</v>
      </c>
      <c r="CP20" s="62">
        <v>0</v>
      </c>
      <c r="CQ20" s="62">
        <v>0</v>
      </c>
      <c r="CR20" s="62">
        <v>0</v>
      </c>
      <c r="CS20" s="62">
        <v>0</v>
      </c>
      <c r="CT20" s="62">
        <v>0</v>
      </c>
      <c r="CU20" s="62">
        <v>0</v>
      </c>
      <c r="CV20" s="62">
        <v>0</v>
      </c>
      <c r="CW20" s="62">
        <v>0</v>
      </c>
      <c r="CX20" s="62">
        <v>0</v>
      </c>
      <c r="CY20" s="62">
        <v>0</v>
      </c>
      <c r="CZ20" s="190">
        <f t="shared" si="22"/>
        <v>0</v>
      </c>
      <c r="DA20" s="62">
        <v>0</v>
      </c>
      <c r="DB20" s="62">
        <v>0</v>
      </c>
      <c r="DC20" s="62">
        <v>0</v>
      </c>
      <c r="DD20" s="62">
        <v>0</v>
      </c>
      <c r="DE20" s="62">
        <v>0</v>
      </c>
      <c r="DF20" s="62">
        <v>0</v>
      </c>
      <c r="DG20" s="62">
        <v>0</v>
      </c>
      <c r="DH20" s="62">
        <v>0</v>
      </c>
      <c r="DI20" s="62">
        <v>0</v>
      </c>
      <c r="DJ20" s="62">
        <v>0</v>
      </c>
      <c r="DK20" s="62">
        <v>0</v>
      </c>
      <c r="DL20" s="62">
        <v>0</v>
      </c>
      <c r="DM20" s="190">
        <f t="shared" si="23"/>
        <v>0</v>
      </c>
      <c r="DN20" s="62">
        <v>0</v>
      </c>
      <c r="DO20" s="62">
        <v>0</v>
      </c>
      <c r="DP20" s="62">
        <v>0</v>
      </c>
      <c r="DQ20" s="62">
        <v>0</v>
      </c>
      <c r="DR20" s="62">
        <v>0</v>
      </c>
      <c r="DS20" s="62">
        <v>0</v>
      </c>
      <c r="DT20" s="62">
        <v>0</v>
      </c>
      <c r="DU20" s="62">
        <v>0</v>
      </c>
      <c r="DV20" s="62">
        <v>0</v>
      </c>
      <c r="DW20" s="62">
        <v>0</v>
      </c>
      <c r="DX20" s="62">
        <v>0</v>
      </c>
      <c r="DY20" s="62">
        <v>0</v>
      </c>
      <c r="DZ20" s="190">
        <f t="shared" si="24"/>
        <v>0</v>
      </c>
    </row>
    <row r="21" spans="1:130" ht="20.45" customHeight="1" outlineLevel="1">
      <c r="A21" s="547"/>
      <c r="B21" s="538" t="s">
        <v>302</v>
      </c>
      <c r="C21" s="539"/>
      <c r="D21" s="62">
        <f t="shared" si="0"/>
        <v>300000</v>
      </c>
      <c r="E21" s="184">
        <f t="shared" si="35"/>
        <v>8.354927362553932E-4</v>
      </c>
      <c r="F21" s="62">
        <v>0</v>
      </c>
      <c r="G21" s="190">
        <f t="shared" si="36"/>
        <v>0</v>
      </c>
      <c r="H21" s="197">
        <f t="shared" si="37"/>
        <v>0</v>
      </c>
      <c r="I21" s="62">
        <v>0</v>
      </c>
      <c r="J21" s="62">
        <v>0</v>
      </c>
      <c r="K21" s="62">
        <v>0</v>
      </c>
      <c r="L21" s="62">
        <v>0</v>
      </c>
      <c r="M21" s="62">
        <v>0</v>
      </c>
      <c r="N21" s="62">
        <v>0</v>
      </c>
      <c r="O21" s="62">
        <v>0</v>
      </c>
      <c r="P21" s="62">
        <v>300000</v>
      </c>
      <c r="Q21" s="62">
        <v>0</v>
      </c>
      <c r="R21" s="62">
        <v>0</v>
      </c>
      <c r="S21" s="62">
        <v>0</v>
      </c>
      <c r="T21" s="62">
        <v>0</v>
      </c>
      <c r="U21" s="190">
        <f t="shared" si="16"/>
        <v>300000</v>
      </c>
      <c r="V21" s="197">
        <f t="shared" si="38"/>
        <v>5.0034151644107209E-3</v>
      </c>
      <c r="W21" s="62">
        <v>0</v>
      </c>
      <c r="X21" s="62">
        <v>0</v>
      </c>
      <c r="Y21" s="62">
        <v>0</v>
      </c>
      <c r="Z21" s="62">
        <v>0</v>
      </c>
      <c r="AA21" s="62">
        <v>0</v>
      </c>
      <c r="AB21" s="62">
        <v>0</v>
      </c>
      <c r="AC21" s="62">
        <v>0</v>
      </c>
      <c r="AD21" s="62">
        <v>0</v>
      </c>
      <c r="AE21" s="62">
        <v>0</v>
      </c>
      <c r="AF21" s="62">
        <v>0</v>
      </c>
      <c r="AG21" s="62">
        <v>0</v>
      </c>
      <c r="AH21" s="62">
        <v>0</v>
      </c>
      <c r="AI21" s="190">
        <f t="shared" si="17"/>
        <v>0</v>
      </c>
      <c r="AJ21" s="197">
        <f t="shared" si="39"/>
        <v>0</v>
      </c>
      <c r="AK21" s="62">
        <v>0</v>
      </c>
      <c r="AL21" s="62">
        <v>0</v>
      </c>
      <c r="AM21" s="62">
        <v>0</v>
      </c>
      <c r="AN21" s="62">
        <v>0</v>
      </c>
      <c r="AO21" s="62">
        <v>0</v>
      </c>
      <c r="AP21" s="62">
        <v>0</v>
      </c>
      <c r="AQ21" s="62">
        <v>0</v>
      </c>
      <c r="AR21" s="62">
        <v>0</v>
      </c>
      <c r="AS21" s="62">
        <v>0</v>
      </c>
      <c r="AT21" s="62">
        <v>0</v>
      </c>
      <c r="AU21" s="62">
        <v>0</v>
      </c>
      <c r="AV21" s="62">
        <v>0</v>
      </c>
      <c r="AW21" s="190">
        <f t="shared" si="18"/>
        <v>0</v>
      </c>
      <c r="AX21" s="197">
        <f t="shared" si="40"/>
        <v>0</v>
      </c>
      <c r="AY21" s="62">
        <v>0</v>
      </c>
      <c r="AZ21" s="62">
        <v>0</v>
      </c>
      <c r="BA21" s="62">
        <v>0</v>
      </c>
      <c r="BB21" s="62">
        <v>0</v>
      </c>
      <c r="BC21" s="62">
        <v>0</v>
      </c>
      <c r="BD21" s="62">
        <v>0</v>
      </c>
      <c r="BE21" s="62">
        <v>0</v>
      </c>
      <c r="BF21" s="62">
        <v>0</v>
      </c>
      <c r="BG21" s="62">
        <v>0</v>
      </c>
      <c r="BH21" s="62">
        <v>0</v>
      </c>
      <c r="BI21" s="62">
        <v>0</v>
      </c>
      <c r="BJ21" s="62">
        <v>0</v>
      </c>
      <c r="BK21" s="190">
        <f t="shared" si="19"/>
        <v>0</v>
      </c>
      <c r="BL21" s="197">
        <f t="shared" si="41"/>
        <v>0</v>
      </c>
      <c r="BM21" s="62">
        <v>0</v>
      </c>
      <c r="BN21" s="62">
        <v>0</v>
      </c>
      <c r="BO21" s="62">
        <v>0</v>
      </c>
      <c r="BP21" s="62">
        <v>0</v>
      </c>
      <c r="BQ21" s="62">
        <v>0</v>
      </c>
      <c r="BR21" s="62">
        <v>0</v>
      </c>
      <c r="BS21" s="62">
        <v>0</v>
      </c>
      <c r="BT21" s="62">
        <v>0</v>
      </c>
      <c r="BU21" s="62">
        <v>0</v>
      </c>
      <c r="BV21" s="62">
        <v>0</v>
      </c>
      <c r="BW21" s="62">
        <v>0</v>
      </c>
      <c r="BX21" s="62">
        <v>0</v>
      </c>
      <c r="BY21" s="190">
        <f t="shared" si="20"/>
        <v>0</v>
      </c>
      <c r="BZ21" s="197">
        <f t="shared" si="42"/>
        <v>0</v>
      </c>
      <c r="CA21" s="62">
        <v>0</v>
      </c>
      <c r="CB21" s="62">
        <v>0</v>
      </c>
      <c r="CC21" s="62">
        <v>0</v>
      </c>
      <c r="CD21" s="62">
        <v>0</v>
      </c>
      <c r="CE21" s="62">
        <v>0</v>
      </c>
      <c r="CF21" s="62">
        <v>0</v>
      </c>
      <c r="CG21" s="62">
        <v>0</v>
      </c>
      <c r="CH21" s="62">
        <v>0</v>
      </c>
      <c r="CI21" s="62">
        <v>0</v>
      </c>
      <c r="CJ21" s="62">
        <v>0</v>
      </c>
      <c r="CK21" s="62">
        <v>0</v>
      </c>
      <c r="CL21" s="62">
        <v>0</v>
      </c>
      <c r="CM21" s="190">
        <f t="shared" si="21"/>
        <v>0</v>
      </c>
      <c r="CN21" s="62">
        <v>0</v>
      </c>
      <c r="CO21" s="62">
        <v>0</v>
      </c>
      <c r="CP21" s="62">
        <v>0</v>
      </c>
      <c r="CQ21" s="62">
        <v>0</v>
      </c>
      <c r="CR21" s="62">
        <v>0</v>
      </c>
      <c r="CS21" s="62">
        <v>0</v>
      </c>
      <c r="CT21" s="62">
        <v>0</v>
      </c>
      <c r="CU21" s="62">
        <v>0</v>
      </c>
      <c r="CV21" s="62">
        <v>0</v>
      </c>
      <c r="CW21" s="62">
        <v>0</v>
      </c>
      <c r="CX21" s="62">
        <v>0</v>
      </c>
      <c r="CY21" s="62">
        <v>0</v>
      </c>
      <c r="CZ21" s="190">
        <f t="shared" si="22"/>
        <v>0</v>
      </c>
      <c r="DA21" s="62">
        <v>0</v>
      </c>
      <c r="DB21" s="62">
        <v>0</v>
      </c>
      <c r="DC21" s="62">
        <v>0</v>
      </c>
      <c r="DD21" s="62">
        <v>0</v>
      </c>
      <c r="DE21" s="62">
        <v>0</v>
      </c>
      <c r="DF21" s="62">
        <v>0</v>
      </c>
      <c r="DG21" s="62">
        <v>0</v>
      </c>
      <c r="DH21" s="62">
        <v>0</v>
      </c>
      <c r="DI21" s="62">
        <v>0</v>
      </c>
      <c r="DJ21" s="62">
        <v>0</v>
      </c>
      <c r="DK21" s="62">
        <v>0</v>
      </c>
      <c r="DL21" s="62">
        <v>0</v>
      </c>
      <c r="DM21" s="190">
        <f t="shared" si="23"/>
        <v>0</v>
      </c>
      <c r="DN21" s="62">
        <v>0</v>
      </c>
      <c r="DO21" s="62">
        <v>0</v>
      </c>
      <c r="DP21" s="62">
        <v>0</v>
      </c>
      <c r="DQ21" s="62">
        <v>0</v>
      </c>
      <c r="DR21" s="62">
        <v>0</v>
      </c>
      <c r="DS21" s="62">
        <v>0</v>
      </c>
      <c r="DT21" s="62">
        <v>0</v>
      </c>
      <c r="DU21" s="62">
        <v>0</v>
      </c>
      <c r="DV21" s="62">
        <v>0</v>
      </c>
      <c r="DW21" s="62">
        <v>0</v>
      </c>
      <c r="DX21" s="62">
        <v>0</v>
      </c>
      <c r="DY21" s="62">
        <v>0</v>
      </c>
      <c r="DZ21" s="190">
        <f t="shared" si="24"/>
        <v>0</v>
      </c>
    </row>
    <row r="22" spans="1:130" ht="20.45" customHeight="1" outlineLevel="1">
      <c r="A22" s="548"/>
      <c r="B22" s="538" t="s">
        <v>2602</v>
      </c>
      <c r="C22" s="539"/>
      <c r="D22" s="62">
        <f t="shared" si="0"/>
        <v>2800330.0000000005</v>
      </c>
      <c r="E22" s="184">
        <f t="shared" si="35"/>
        <v>7.7988512470602194E-3</v>
      </c>
      <c r="F22" s="62">
        <v>0</v>
      </c>
      <c r="G22" s="190">
        <f t="shared" si="36"/>
        <v>0</v>
      </c>
      <c r="H22" s="197">
        <f t="shared" si="37"/>
        <v>0</v>
      </c>
      <c r="I22" s="62">
        <v>0</v>
      </c>
      <c r="J22" s="62">
        <v>0</v>
      </c>
      <c r="K22" s="62">
        <v>0</v>
      </c>
      <c r="L22" s="62">
        <v>0</v>
      </c>
      <c r="M22" s="62">
        <v>0</v>
      </c>
      <c r="N22" s="62">
        <v>0</v>
      </c>
      <c r="O22" s="62">
        <v>0</v>
      </c>
      <c r="P22" s="62">
        <v>0</v>
      </c>
      <c r="Q22" s="62">
        <v>0</v>
      </c>
      <c r="R22" s="62">
        <v>0</v>
      </c>
      <c r="S22" s="62">
        <v>0</v>
      </c>
      <c r="T22" s="62">
        <v>0</v>
      </c>
      <c r="U22" s="190">
        <f t="shared" si="16"/>
        <v>0</v>
      </c>
      <c r="V22" s="197">
        <f t="shared" si="38"/>
        <v>0</v>
      </c>
      <c r="W22" s="62">
        <v>0</v>
      </c>
      <c r="X22" s="62">
        <v>0</v>
      </c>
      <c r="Y22" s="62">
        <v>0</v>
      </c>
      <c r="Z22" s="62">
        <v>37600</v>
      </c>
      <c r="AA22" s="62">
        <v>0</v>
      </c>
      <c r="AB22" s="62">
        <v>0</v>
      </c>
      <c r="AC22" s="62">
        <v>32700</v>
      </c>
      <c r="AD22" s="62">
        <v>0</v>
      </c>
      <c r="AE22" s="62">
        <v>0</v>
      </c>
      <c r="AF22" s="62">
        <v>52500</v>
      </c>
      <c r="AG22" s="62">
        <v>0</v>
      </c>
      <c r="AH22" s="62">
        <v>0</v>
      </c>
      <c r="AI22" s="190">
        <f t="shared" si="17"/>
        <v>122800</v>
      </c>
      <c r="AJ22" s="197">
        <f t="shared" si="39"/>
        <v>1.4326015788016031E-3</v>
      </c>
      <c r="AK22" s="62">
        <v>0</v>
      </c>
      <c r="AL22" s="62">
        <v>360000</v>
      </c>
      <c r="AM22" s="62">
        <v>0</v>
      </c>
      <c r="AN22" s="62">
        <f>85700+76000+76000+76000+10000</f>
        <v>323700</v>
      </c>
      <c r="AO22" s="62">
        <v>0</v>
      </c>
      <c r="AP22" s="62">
        <v>0</v>
      </c>
      <c r="AQ22" s="62">
        <v>0</v>
      </c>
      <c r="AR22" s="62">
        <v>0</v>
      </c>
      <c r="AS22" s="62">
        <v>0</v>
      </c>
      <c r="AT22" s="62">
        <f>73600</f>
        <v>73600</v>
      </c>
      <c r="AU22" s="62">
        <f>127441+66500</f>
        <v>193941</v>
      </c>
      <c r="AV22" s="62">
        <v>44100</v>
      </c>
      <c r="AW22" s="190">
        <f t="shared" si="18"/>
        <v>995341</v>
      </c>
      <c r="AX22" s="197">
        <f t="shared" si="40"/>
        <v>1.3721575379305009E-2</v>
      </c>
      <c r="AY22" s="62">
        <v>0</v>
      </c>
      <c r="AZ22" s="62">
        <v>0</v>
      </c>
      <c r="BA22" s="62">
        <v>0</v>
      </c>
      <c r="BB22" s="62">
        <v>0</v>
      </c>
      <c r="BC22" s="62">
        <v>0</v>
      </c>
      <c r="BD22" s="62">
        <v>0</v>
      </c>
      <c r="BE22" s="62">
        <v>0</v>
      </c>
      <c r="BF22" s="62">
        <v>0</v>
      </c>
      <c r="BG22" s="62">
        <v>1266760</v>
      </c>
      <c r="BH22" s="62">
        <v>0</v>
      </c>
      <c r="BI22" s="62">
        <v>0</v>
      </c>
      <c r="BJ22" s="62">
        <v>0</v>
      </c>
      <c r="BK22" s="190">
        <f t="shared" si="19"/>
        <v>1266760</v>
      </c>
      <c r="BL22" s="197">
        <f t="shared" si="41"/>
        <v>1.6249664298119075E-2</v>
      </c>
      <c r="BM22" s="62">
        <v>0</v>
      </c>
      <c r="BN22" s="62">
        <f>221780+16400+74991+40309+61949</f>
        <v>415429</v>
      </c>
      <c r="BO22" s="62">
        <v>0</v>
      </c>
      <c r="BP22" s="62">
        <v>0</v>
      </c>
      <c r="BQ22" s="62">
        <v>0</v>
      </c>
      <c r="BR22" s="62">
        <v>0</v>
      </c>
      <c r="BS22" s="62">
        <v>0</v>
      </c>
      <c r="BT22" s="62">
        <v>0</v>
      </c>
      <c r="BU22" s="62">
        <v>0</v>
      </c>
      <c r="BV22" s="62">
        <v>0</v>
      </c>
      <c r="BW22" s="62">
        <v>0</v>
      </c>
      <c r="BX22" s="62">
        <v>0</v>
      </c>
      <c r="BY22" s="190">
        <f t="shared" si="20"/>
        <v>415429</v>
      </c>
      <c r="BZ22" s="197">
        <f t="shared" si="42"/>
        <v>7.0989289038243452E-3</v>
      </c>
      <c r="CA22" s="62">
        <v>0</v>
      </c>
      <c r="CB22" s="62">
        <v>0</v>
      </c>
      <c r="CC22" s="62">
        <v>0</v>
      </c>
      <c r="CD22" s="62">
        <v>0</v>
      </c>
      <c r="CE22" s="62">
        <v>0</v>
      </c>
      <c r="CF22" s="62">
        <v>0</v>
      </c>
      <c r="CG22" s="62">
        <v>0</v>
      </c>
      <c r="CH22" s="62">
        <v>0</v>
      </c>
      <c r="CI22" s="62">
        <v>0</v>
      </c>
      <c r="CJ22" s="62">
        <v>0</v>
      </c>
      <c r="CK22" s="62">
        <v>0</v>
      </c>
      <c r="CL22" s="62">
        <v>0</v>
      </c>
      <c r="CM22" s="190">
        <f t="shared" si="21"/>
        <v>0</v>
      </c>
      <c r="CN22" s="62">
        <v>0</v>
      </c>
      <c r="CO22" s="62">
        <v>0</v>
      </c>
      <c r="CP22" s="62">
        <v>0</v>
      </c>
      <c r="CQ22" s="62">
        <v>0</v>
      </c>
      <c r="CR22" s="62">
        <v>0</v>
      </c>
      <c r="CS22" s="62">
        <v>0</v>
      </c>
      <c r="CT22" s="62">
        <v>0</v>
      </c>
      <c r="CU22" s="62">
        <v>0</v>
      </c>
      <c r="CV22" s="62">
        <v>0</v>
      </c>
      <c r="CW22" s="62">
        <v>0</v>
      </c>
      <c r="CX22" s="62">
        <v>0</v>
      </c>
      <c r="CY22" s="62">
        <v>0</v>
      </c>
      <c r="CZ22" s="190">
        <f t="shared" si="22"/>
        <v>0</v>
      </c>
      <c r="DA22" s="62">
        <v>0</v>
      </c>
      <c r="DB22" s="62">
        <v>0</v>
      </c>
      <c r="DC22" s="62">
        <v>0</v>
      </c>
      <c r="DD22" s="62">
        <v>0</v>
      </c>
      <c r="DE22" s="62">
        <v>0</v>
      </c>
      <c r="DF22" s="62">
        <v>0</v>
      </c>
      <c r="DG22" s="62">
        <v>0</v>
      </c>
      <c r="DH22" s="62">
        <v>0</v>
      </c>
      <c r="DI22" s="62">
        <v>0</v>
      </c>
      <c r="DJ22" s="62">
        <v>0</v>
      </c>
      <c r="DK22" s="62">
        <v>0</v>
      </c>
      <c r="DL22" s="62">
        <v>0</v>
      </c>
      <c r="DM22" s="190">
        <f t="shared" si="23"/>
        <v>0</v>
      </c>
      <c r="DN22" s="62">
        <v>0</v>
      </c>
      <c r="DO22" s="62">
        <v>0</v>
      </c>
      <c r="DP22" s="62">
        <v>0</v>
      </c>
      <c r="DQ22" s="62">
        <v>0</v>
      </c>
      <c r="DR22" s="62">
        <v>0</v>
      </c>
      <c r="DS22" s="62">
        <v>0</v>
      </c>
      <c r="DT22" s="62">
        <v>0</v>
      </c>
      <c r="DU22" s="62">
        <v>0</v>
      </c>
      <c r="DV22" s="62">
        <v>0</v>
      </c>
      <c r="DW22" s="62">
        <v>0</v>
      </c>
      <c r="DX22" s="62">
        <v>0</v>
      </c>
      <c r="DY22" s="62">
        <v>0</v>
      </c>
      <c r="DZ22" s="190">
        <f t="shared" si="24"/>
        <v>0</v>
      </c>
    </row>
    <row r="23" spans="1:130" ht="20.45" customHeight="1" outlineLevel="1">
      <c r="A23" s="548"/>
      <c r="B23" s="538" t="s">
        <v>2603</v>
      </c>
      <c r="C23" s="539"/>
      <c r="D23" s="62">
        <f t="shared" si="0"/>
        <v>1538068.0000000002</v>
      </c>
      <c r="E23" s="184">
        <f t="shared" ref="E23" si="140">D23/D$4</f>
        <v>4.2834821395562016E-3</v>
      </c>
      <c r="F23" s="62">
        <v>0</v>
      </c>
      <c r="G23" s="190">
        <f t="shared" ref="G23" si="141">SUM(F23)</f>
        <v>0</v>
      </c>
      <c r="H23" s="197">
        <f t="shared" ref="H23" si="142">G23/G$4</f>
        <v>0</v>
      </c>
      <c r="I23" s="62">
        <v>0</v>
      </c>
      <c r="J23" s="62">
        <v>0</v>
      </c>
      <c r="K23" s="62">
        <v>0</v>
      </c>
      <c r="L23" s="62">
        <v>0</v>
      </c>
      <c r="M23" s="62">
        <v>0</v>
      </c>
      <c r="N23" s="62">
        <v>0</v>
      </c>
      <c r="O23" s="62">
        <v>0</v>
      </c>
      <c r="P23" s="62">
        <v>0</v>
      </c>
      <c r="Q23" s="62">
        <v>0</v>
      </c>
      <c r="R23" s="62">
        <v>0</v>
      </c>
      <c r="S23" s="62">
        <v>0</v>
      </c>
      <c r="T23" s="62">
        <v>0</v>
      </c>
      <c r="U23" s="190">
        <f t="shared" ref="U23" si="143">SUM(I23:T23)</f>
        <v>0</v>
      </c>
      <c r="V23" s="197">
        <f t="shared" si="38"/>
        <v>0</v>
      </c>
      <c r="W23" s="62">
        <v>0</v>
      </c>
      <c r="X23" s="62">
        <v>0</v>
      </c>
      <c r="Y23" s="62">
        <v>0</v>
      </c>
      <c r="Z23" s="62">
        <v>0</v>
      </c>
      <c r="AA23" s="62">
        <v>0</v>
      </c>
      <c r="AB23" s="62">
        <v>1205592</v>
      </c>
      <c r="AC23" s="62">
        <v>0</v>
      </c>
      <c r="AD23" s="62">
        <v>0</v>
      </c>
      <c r="AE23" s="62">
        <v>0</v>
      </c>
      <c r="AF23" s="62">
        <v>0</v>
      </c>
      <c r="AG23" s="62">
        <v>0</v>
      </c>
      <c r="AH23" s="62">
        <v>0</v>
      </c>
      <c r="AI23" s="190">
        <f t="shared" ref="AI23" si="144">SUM(W23:AH23)</f>
        <v>1205592</v>
      </c>
      <c r="AJ23" s="197">
        <f t="shared" si="39"/>
        <v>1.4064600998294645E-2</v>
      </c>
      <c r="AK23" s="62">
        <v>0</v>
      </c>
      <c r="AL23" s="62">
        <v>0</v>
      </c>
      <c r="AM23" s="62">
        <v>0</v>
      </c>
      <c r="AN23" s="62">
        <v>0</v>
      </c>
      <c r="AO23" s="62">
        <v>0</v>
      </c>
      <c r="AP23" s="62">
        <v>0</v>
      </c>
      <c r="AQ23" s="62">
        <v>0</v>
      </c>
      <c r="AR23" s="62">
        <v>0</v>
      </c>
      <c r="AS23" s="62">
        <v>0</v>
      </c>
      <c r="AT23" s="62">
        <v>0</v>
      </c>
      <c r="AU23" s="62">
        <v>295100</v>
      </c>
      <c r="AV23" s="62">
        <v>0</v>
      </c>
      <c r="AW23" s="190">
        <f t="shared" ref="AW23" si="145">SUM(AK23:AV23)</f>
        <v>295100</v>
      </c>
      <c r="AX23" s="197">
        <f t="shared" si="40"/>
        <v>4.0681905944122748E-3</v>
      </c>
      <c r="AY23" s="62">
        <v>0</v>
      </c>
      <c r="AZ23" s="62">
        <v>0</v>
      </c>
      <c r="BA23" s="62">
        <v>0</v>
      </c>
      <c r="BB23" s="62">
        <v>0</v>
      </c>
      <c r="BC23" s="62">
        <v>37376</v>
      </c>
      <c r="BD23" s="62">
        <v>0</v>
      </c>
      <c r="BE23" s="62">
        <v>0</v>
      </c>
      <c r="BF23" s="62">
        <v>0</v>
      </c>
      <c r="BG23" s="62">
        <v>0</v>
      </c>
      <c r="BH23" s="62">
        <v>0</v>
      </c>
      <c r="BI23" s="62">
        <v>0</v>
      </c>
      <c r="BJ23" s="62">
        <v>0</v>
      </c>
      <c r="BK23" s="190">
        <f t="shared" ref="BK23" si="146">SUM(AY23:BJ23)</f>
        <v>37376</v>
      </c>
      <c r="BL23" s="197">
        <f t="shared" si="41"/>
        <v>4.7944950330488687E-4</v>
      </c>
      <c r="BM23" s="62">
        <v>0</v>
      </c>
      <c r="BN23" s="62">
        <v>0</v>
      </c>
      <c r="BO23" s="62">
        <v>0</v>
      </c>
      <c r="BP23" s="62">
        <v>0</v>
      </c>
      <c r="BQ23" s="62">
        <v>0</v>
      </c>
      <c r="BR23" s="62">
        <v>0</v>
      </c>
      <c r="BS23" s="62">
        <v>0</v>
      </c>
      <c r="BT23" s="62">
        <v>0</v>
      </c>
      <c r="BU23" s="62">
        <v>0</v>
      </c>
      <c r="BV23" s="62">
        <v>0</v>
      </c>
      <c r="BW23" s="62">
        <v>0</v>
      </c>
      <c r="BX23" s="62">
        <v>0</v>
      </c>
      <c r="BY23" s="190">
        <f t="shared" ref="BY23" si="147">SUM(BM23:BX23)</f>
        <v>0</v>
      </c>
      <c r="BZ23" s="197">
        <f t="shared" si="42"/>
        <v>0</v>
      </c>
      <c r="CA23" s="62">
        <v>0</v>
      </c>
      <c r="CB23" s="62">
        <v>0</v>
      </c>
      <c r="CC23" s="62">
        <v>0</v>
      </c>
      <c r="CD23" s="62">
        <v>0</v>
      </c>
      <c r="CE23" s="62">
        <v>0</v>
      </c>
      <c r="CF23" s="62">
        <v>0</v>
      </c>
      <c r="CG23" s="62">
        <v>0</v>
      </c>
      <c r="CH23" s="62">
        <v>0</v>
      </c>
      <c r="CI23" s="62">
        <v>0</v>
      </c>
      <c r="CJ23" s="62">
        <v>0</v>
      </c>
      <c r="CK23" s="62">
        <v>0</v>
      </c>
      <c r="CL23" s="62">
        <v>0</v>
      </c>
      <c r="CM23" s="190">
        <f t="shared" ref="CM23" si="148">SUM(CA23:CL23)</f>
        <v>0</v>
      </c>
      <c r="CN23" s="62">
        <v>0</v>
      </c>
      <c r="CO23" s="62">
        <v>0</v>
      </c>
      <c r="CP23" s="62">
        <v>0</v>
      </c>
      <c r="CQ23" s="62">
        <v>0</v>
      </c>
      <c r="CR23" s="62">
        <v>0</v>
      </c>
      <c r="CS23" s="62">
        <v>0</v>
      </c>
      <c r="CT23" s="62">
        <v>0</v>
      </c>
      <c r="CU23" s="62">
        <v>0</v>
      </c>
      <c r="CV23" s="62">
        <v>0</v>
      </c>
      <c r="CW23" s="62">
        <v>0</v>
      </c>
      <c r="CX23" s="62">
        <v>0</v>
      </c>
      <c r="CY23" s="62">
        <v>0</v>
      </c>
      <c r="CZ23" s="190">
        <f t="shared" ref="CZ23" si="149">SUM(CN23:CY23)</f>
        <v>0</v>
      </c>
      <c r="DA23" s="62">
        <v>0</v>
      </c>
      <c r="DB23" s="62">
        <v>0</v>
      </c>
      <c r="DC23" s="62">
        <v>0</v>
      </c>
      <c r="DD23" s="62">
        <v>0</v>
      </c>
      <c r="DE23" s="62">
        <v>0</v>
      </c>
      <c r="DF23" s="62">
        <v>0</v>
      </c>
      <c r="DG23" s="62">
        <v>0</v>
      </c>
      <c r="DH23" s="62">
        <v>0</v>
      </c>
      <c r="DI23" s="62">
        <v>0</v>
      </c>
      <c r="DJ23" s="62">
        <v>0</v>
      </c>
      <c r="DK23" s="62">
        <v>0</v>
      </c>
      <c r="DL23" s="62">
        <v>0</v>
      </c>
      <c r="DM23" s="190">
        <f t="shared" ref="DM23" si="150">SUM(DA23:DL23)</f>
        <v>0</v>
      </c>
      <c r="DN23" s="62">
        <v>0</v>
      </c>
      <c r="DO23" s="62">
        <v>0</v>
      </c>
      <c r="DP23" s="62">
        <v>0</v>
      </c>
      <c r="DQ23" s="62">
        <v>0</v>
      </c>
      <c r="DR23" s="62">
        <v>0</v>
      </c>
      <c r="DS23" s="62">
        <v>0</v>
      </c>
      <c r="DT23" s="62">
        <v>0</v>
      </c>
      <c r="DU23" s="62">
        <v>0</v>
      </c>
      <c r="DV23" s="62">
        <v>0</v>
      </c>
      <c r="DW23" s="62">
        <v>0</v>
      </c>
      <c r="DX23" s="62">
        <v>0</v>
      </c>
      <c r="DY23" s="62">
        <v>0</v>
      </c>
      <c r="DZ23" s="190">
        <f t="shared" ref="DZ23" si="151">SUM(DN23:DY23)</f>
        <v>0</v>
      </c>
    </row>
    <row r="24" spans="1:130" ht="20.45" customHeight="1" outlineLevel="1">
      <c r="A24" s="547"/>
      <c r="B24" s="538" t="s">
        <v>2882</v>
      </c>
      <c r="C24" s="539"/>
      <c r="D24" s="62">
        <f t="shared" si="0"/>
        <v>3905259.9999999995</v>
      </c>
      <c r="E24" s="184">
        <f t="shared" si="35"/>
        <v>1.0876054543962456E-2</v>
      </c>
      <c r="F24" s="62">
        <v>0</v>
      </c>
      <c r="G24" s="190">
        <f t="shared" si="36"/>
        <v>0</v>
      </c>
      <c r="H24" s="197">
        <f t="shared" si="37"/>
        <v>0</v>
      </c>
      <c r="I24" s="62">
        <v>0</v>
      </c>
      <c r="J24" s="62">
        <v>0</v>
      </c>
      <c r="K24" s="62">
        <v>0</v>
      </c>
      <c r="L24" s="62">
        <v>0</v>
      </c>
      <c r="M24" s="62">
        <v>0</v>
      </c>
      <c r="N24" s="62">
        <v>0</v>
      </c>
      <c r="O24" s="62">
        <v>0</v>
      </c>
      <c r="P24" s="62">
        <v>0</v>
      </c>
      <c r="Q24" s="62">
        <v>0</v>
      </c>
      <c r="R24" s="62">
        <v>0</v>
      </c>
      <c r="S24" s="62">
        <v>0</v>
      </c>
      <c r="T24" s="62">
        <v>3905260</v>
      </c>
      <c r="U24" s="190">
        <f t="shared" si="16"/>
        <v>3905260</v>
      </c>
      <c r="V24" s="197">
        <f t="shared" si="38"/>
        <v>6.5132123683222048E-2</v>
      </c>
      <c r="W24" s="62">
        <v>0</v>
      </c>
      <c r="X24" s="62">
        <v>0</v>
      </c>
      <c r="Y24" s="62">
        <v>0</v>
      </c>
      <c r="Z24" s="62">
        <v>0</v>
      </c>
      <c r="AA24" s="62">
        <v>0</v>
      </c>
      <c r="AB24" s="62">
        <v>0</v>
      </c>
      <c r="AC24" s="62">
        <v>0</v>
      </c>
      <c r="AD24" s="62">
        <v>0</v>
      </c>
      <c r="AE24" s="62">
        <v>0</v>
      </c>
      <c r="AF24" s="62">
        <v>0</v>
      </c>
      <c r="AG24" s="62">
        <v>0</v>
      </c>
      <c r="AH24" s="62">
        <v>0</v>
      </c>
      <c r="AI24" s="190">
        <f t="shared" si="17"/>
        <v>0</v>
      </c>
      <c r="AJ24" s="197">
        <f t="shared" si="39"/>
        <v>0</v>
      </c>
      <c r="AK24" s="62">
        <v>0</v>
      </c>
      <c r="AL24" s="62">
        <v>0</v>
      </c>
      <c r="AM24" s="62">
        <v>0</v>
      </c>
      <c r="AN24" s="62">
        <v>0</v>
      </c>
      <c r="AO24" s="62">
        <v>0</v>
      </c>
      <c r="AP24" s="62">
        <v>0</v>
      </c>
      <c r="AQ24" s="62">
        <v>0</v>
      </c>
      <c r="AR24" s="62">
        <v>0</v>
      </c>
      <c r="AS24" s="62">
        <v>0</v>
      </c>
      <c r="AT24" s="62">
        <v>0</v>
      </c>
      <c r="AU24" s="62">
        <v>0</v>
      </c>
      <c r="AV24" s="62">
        <v>0</v>
      </c>
      <c r="AW24" s="190">
        <f t="shared" si="18"/>
        <v>0</v>
      </c>
      <c r="AX24" s="197">
        <f t="shared" si="40"/>
        <v>0</v>
      </c>
      <c r="AY24" s="62">
        <v>0</v>
      </c>
      <c r="AZ24" s="62">
        <v>0</v>
      </c>
      <c r="BA24" s="62">
        <v>0</v>
      </c>
      <c r="BB24" s="62">
        <v>0</v>
      </c>
      <c r="BC24" s="62">
        <v>0</v>
      </c>
      <c r="BD24" s="62">
        <v>0</v>
      </c>
      <c r="BE24" s="62">
        <v>0</v>
      </c>
      <c r="BF24" s="62">
        <v>0</v>
      </c>
      <c r="BG24" s="62">
        <v>0</v>
      </c>
      <c r="BH24" s="62">
        <v>0</v>
      </c>
      <c r="BI24" s="62">
        <v>0</v>
      </c>
      <c r="BJ24" s="62">
        <v>0</v>
      </c>
      <c r="BK24" s="190">
        <f t="shared" si="19"/>
        <v>0</v>
      </c>
      <c r="BL24" s="197">
        <f t="shared" si="41"/>
        <v>0</v>
      </c>
      <c r="BM24" s="62">
        <v>0</v>
      </c>
      <c r="BN24" s="62">
        <v>0</v>
      </c>
      <c r="BO24" s="62">
        <v>0</v>
      </c>
      <c r="BP24" s="62">
        <v>0</v>
      </c>
      <c r="BQ24" s="62">
        <v>0</v>
      </c>
      <c r="BR24" s="62">
        <v>0</v>
      </c>
      <c r="BS24" s="62">
        <v>0</v>
      </c>
      <c r="BT24" s="62">
        <v>0</v>
      </c>
      <c r="BU24" s="62">
        <v>0</v>
      </c>
      <c r="BV24" s="62">
        <v>0</v>
      </c>
      <c r="BW24" s="62">
        <v>0</v>
      </c>
      <c r="BX24" s="62">
        <v>0</v>
      </c>
      <c r="BY24" s="190">
        <f t="shared" si="20"/>
        <v>0</v>
      </c>
      <c r="BZ24" s="197">
        <f t="shared" si="42"/>
        <v>0</v>
      </c>
      <c r="CA24" s="62">
        <v>0</v>
      </c>
      <c r="CB24" s="62">
        <v>0</v>
      </c>
      <c r="CC24" s="62">
        <v>0</v>
      </c>
      <c r="CD24" s="62">
        <v>0</v>
      </c>
      <c r="CE24" s="62">
        <v>0</v>
      </c>
      <c r="CF24" s="62">
        <v>0</v>
      </c>
      <c r="CG24" s="62">
        <v>0</v>
      </c>
      <c r="CH24" s="62">
        <v>0</v>
      </c>
      <c r="CI24" s="62">
        <v>0</v>
      </c>
      <c r="CJ24" s="62">
        <v>0</v>
      </c>
      <c r="CK24" s="62">
        <v>0</v>
      </c>
      <c r="CL24" s="62">
        <v>0</v>
      </c>
      <c r="CM24" s="190">
        <f t="shared" si="21"/>
        <v>0</v>
      </c>
      <c r="CN24" s="62">
        <v>0</v>
      </c>
      <c r="CO24" s="62">
        <v>0</v>
      </c>
      <c r="CP24" s="62">
        <v>0</v>
      </c>
      <c r="CQ24" s="62">
        <v>0</v>
      </c>
      <c r="CR24" s="62">
        <v>0</v>
      </c>
      <c r="CS24" s="62">
        <v>0</v>
      </c>
      <c r="CT24" s="62">
        <v>0</v>
      </c>
      <c r="CU24" s="62">
        <v>0</v>
      </c>
      <c r="CV24" s="62">
        <v>0</v>
      </c>
      <c r="CW24" s="62">
        <v>0</v>
      </c>
      <c r="CX24" s="62">
        <v>0</v>
      </c>
      <c r="CY24" s="62">
        <v>0</v>
      </c>
      <c r="CZ24" s="190">
        <f t="shared" si="22"/>
        <v>0</v>
      </c>
      <c r="DA24" s="62">
        <v>0</v>
      </c>
      <c r="DB24" s="62">
        <v>0</v>
      </c>
      <c r="DC24" s="62">
        <v>0</v>
      </c>
      <c r="DD24" s="62">
        <v>0</v>
      </c>
      <c r="DE24" s="62">
        <v>0</v>
      </c>
      <c r="DF24" s="62">
        <v>0</v>
      </c>
      <c r="DG24" s="62">
        <v>0</v>
      </c>
      <c r="DH24" s="62">
        <v>0</v>
      </c>
      <c r="DI24" s="62">
        <v>0</v>
      </c>
      <c r="DJ24" s="62">
        <v>0</v>
      </c>
      <c r="DK24" s="62">
        <v>0</v>
      </c>
      <c r="DL24" s="62">
        <v>0</v>
      </c>
      <c r="DM24" s="190">
        <f t="shared" si="23"/>
        <v>0</v>
      </c>
      <c r="DN24" s="62">
        <v>0</v>
      </c>
      <c r="DO24" s="62">
        <v>0</v>
      </c>
      <c r="DP24" s="62">
        <v>0</v>
      </c>
      <c r="DQ24" s="62">
        <v>0</v>
      </c>
      <c r="DR24" s="62">
        <v>0</v>
      </c>
      <c r="DS24" s="62">
        <v>0</v>
      </c>
      <c r="DT24" s="62">
        <v>0</v>
      </c>
      <c r="DU24" s="62">
        <v>0</v>
      </c>
      <c r="DV24" s="62">
        <v>0</v>
      </c>
      <c r="DW24" s="62">
        <v>0</v>
      </c>
      <c r="DX24" s="62">
        <v>0</v>
      </c>
      <c r="DY24" s="62">
        <v>0</v>
      </c>
      <c r="DZ24" s="190">
        <f t="shared" si="24"/>
        <v>0</v>
      </c>
    </row>
    <row r="25" spans="1:130" s="194" customFormat="1" ht="20.45" customHeight="1">
      <c r="A25" s="525" t="s">
        <v>304</v>
      </c>
      <c r="B25" s="195"/>
      <c r="C25" s="63" t="s">
        <v>305</v>
      </c>
      <c r="D25" s="64">
        <f t="shared" si="0"/>
        <v>236188936.99999997</v>
      </c>
      <c r="E25" s="186">
        <f>D25/(D$5+D$6+D$7+D$8+D$10+D$9)</f>
        <v>0.73076936821438077</v>
      </c>
      <c r="F25" s="62">
        <f>SUMIF($C26:$C144,"소계",F26:F144)</f>
        <v>3461494</v>
      </c>
      <c r="G25" s="193">
        <f t="shared" si="36"/>
        <v>3461494</v>
      </c>
      <c r="H25" s="196">
        <f>G25/(G$5+G$6+G$7+G$8+G$10+G$9)</f>
        <v>0.79067362128689411</v>
      </c>
      <c r="I25" s="192">
        <f t="shared" ref="I25:T25" si="152">SUMIF($C26:$C144,"소계",I26:I144)</f>
        <v>3669200</v>
      </c>
      <c r="J25" s="192">
        <f t="shared" si="152"/>
        <v>2597682</v>
      </c>
      <c r="K25" s="192">
        <f t="shared" si="152"/>
        <v>2421907</v>
      </c>
      <c r="L25" s="192">
        <f t="shared" si="152"/>
        <v>3828320</v>
      </c>
      <c r="M25" s="192">
        <f t="shared" si="152"/>
        <v>2982830</v>
      </c>
      <c r="N25" s="192">
        <f t="shared" si="152"/>
        <v>3227359</v>
      </c>
      <c r="O25" s="192">
        <f t="shared" si="152"/>
        <v>5637210</v>
      </c>
      <c r="P25" s="192">
        <f t="shared" si="152"/>
        <v>3555976</v>
      </c>
      <c r="Q25" s="192">
        <f t="shared" si="152"/>
        <v>4223367</v>
      </c>
      <c r="R25" s="192">
        <f t="shared" si="152"/>
        <v>2931428</v>
      </c>
      <c r="S25" s="192">
        <f t="shared" si="152"/>
        <v>4015698</v>
      </c>
      <c r="T25" s="192">
        <f t="shared" si="152"/>
        <v>9611685</v>
      </c>
      <c r="U25" s="193">
        <f t="shared" si="16"/>
        <v>48702662</v>
      </c>
      <c r="V25" s="196">
        <f>U25/(U$5+U$6+U$7+U$8+U$10+U$9)</f>
        <v>0.87784182828993307</v>
      </c>
      <c r="W25" s="192">
        <f t="shared" ref="W25:AH25" si="153">SUMIF($C26:$C144,"소계",W26:W144)</f>
        <v>4000866</v>
      </c>
      <c r="X25" s="192">
        <f t="shared" si="153"/>
        <v>2643626</v>
      </c>
      <c r="Y25" s="192">
        <f t="shared" si="153"/>
        <v>5201100</v>
      </c>
      <c r="Z25" s="192">
        <f t="shared" si="153"/>
        <v>3142366</v>
      </c>
      <c r="AA25" s="192">
        <f t="shared" si="153"/>
        <v>3945818</v>
      </c>
      <c r="AB25" s="192">
        <f t="shared" si="153"/>
        <v>5884591</v>
      </c>
      <c r="AC25" s="192">
        <f t="shared" si="153"/>
        <v>13255671</v>
      </c>
      <c r="AD25" s="192">
        <f t="shared" si="153"/>
        <v>4767020</v>
      </c>
      <c r="AE25" s="192">
        <f t="shared" si="153"/>
        <v>4525581</v>
      </c>
      <c r="AF25" s="192">
        <f t="shared" si="153"/>
        <v>2675276</v>
      </c>
      <c r="AG25" s="192">
        <f t="shared" si="153"/>
        <v>4168771</v>
      </c>
      <c r="AH25" s="192">
        <f t="shared" si="153"/>
        <v>9159861</v>
      </c>
      <c r="AI25" s="193">
        <f t="shared" si="17"/>
        <v>63370547</v>
      </c>
      <c r="AJ25" s="196">
        <f>AI25/(AI$5+AI$6+AI$7+AI$8+AI$10+AI$9)</f>
        <v>0.86126209456644121</v>
      </c>
      <c r="AK25" s="192">
        <f t="shared" ref="AK25:AV25" si="154">SUMIF($C26:$C144,"소계",AK26:AK144)</f>
        <v>4220540</v>
      </c>
      <c r="AL25" s="192">
        <f t="shared" si="154"/>
        <v>3793666</v>
      </c>
      <c r="AM25" s="192">
        <f t="shared" si="154"/>
        <v>2964161</v>
      </c>
      <c r="AN25" s="192">
        <f t="shared" si="154"/>
        <v>4803374</v>
      </c>
      <c r="AO25" s="192">
        <f t="shared" si="154"/>
        <v>3859341</v>
      </c>
      <c r="AP25" s="192">
        <f t="shared" si="154"/>
        <v>5651241</v>
      </c>
      <c r="AQ25" s="192">
        <f t="shared" si="154"/>
        <v>4523891</v>
      </c>
      <c r="AR25" s="192">
        <f t="shared" si="154"/>
        <v>5702027</v>
      </c>
      <c r="AS25" s="192">
        <f t="shared" si="154"/>
        <v>3293851</v>
      </c>
      <c r="AT25" s="192">
        <f t="shared" si="154"/>
        <v>3812279</v>
      </c>
      <c r="AU25" s="192">
        <f t="shared" si="154"/>
        <v>5009047</v>
      </c>
      <c r="AV25" s="192">
        <f t="shared" si="154"/>
        <v>5637811</v>
      </c>
      <c r="AW25" s="193">
        <f t="shared" si="18"/>
        <v>53271229</v>
      </c>
      <c r="AX25" s="196">
        <f>AW25/(AW$5+AW$6+AW$7+AW$8+AW$10+AW$9)</f>
        <v>0.69829713678431327</v>
      </c>
      <c r="AY25" s="192">
        <f t="shared" ref="AY25:BJ25" si="155">SUMIF($C26:$C144,"소계",AY26:AY144)</f>
        <v>3028666</v>
      </c>
      <c r="AZ25" s="192">
        <f t="shared" si="155"/>
        <v>3590056</v>
      </c>
      <c r="BA25" s="192">
        <f t="shared" si="155"/>
        <v>3209305</v>
      </c>
      <c r="BB25" s="192">
        <f t="shared" si="155"/>
        <v>5155221</v>
      </c>
      <c r="BC25" s="192">
        <f t="shared" si="155"/>
        <v>3203791</v>
      </c>
      <c r="BD25" s="192">
        <f t="shared" si="155"/>
        <v>4896278</v>
      </c>
      <c r="BE25" s="192">
        <f t="shared" si="155"/>
        <v>1328548</v>
      </c>
      <c r="BF25" s="192">
        <f t="shared" si="155"/>
        <v>4553406</v>
      </c>
      <c r="BG25" s="192">
        <f t="shared" si="155"/>
        <v>4670290</v>
      </c>
      <c r="BH25" s="192">
        <f t="shared" si="155"/>
        <v>4654605</v>
      </c>
      <c r="BI25" s="192">
        <f t="shared" si="155"/>
        <v>4292333</v>
      </c>
      <c r="BJ25" s="192">
        <f t="shared" si="155"/>
        <v>5635303</v>
      </c>
      <c r="BK25" s="193">
        <f t="shared" si="19"/>
        <v>48217802</v>
      </c>
      <c r="BL25" s="196">
        <f>BK25/(BK$5+BK$6+BK$7+BK$8+BK$10+BK$9)</f>
        <v>0.69041347686684384</v>
      </c>
      <c r="BM25" s="192">
        <f t="shared" ref="BM25:BX25" si="156">SUMIF($C26:$C144,"소계",BM26:BM144)</f>
        <v>5322039</v>
      </c>
      <c r="BN25" s="192">
        <f t="shared" si="156"/>
        <v>3438719</v>
      </c>
      <c r="BO25" s="192">
        <f t="shared" si="156"/>
        <v>3394539</v>
      </c>
      <c r="BP25" s="192">
        <f t="shared" si="156"/>
        <v>4196444</v>
      </c>
      <c r="BQ25" s="192">
        <f t="shared" si="156"/>
        <v>2813462</v>
      </c>
      <c r="BR25" s="192">
        <f t="shared" si="156"/>
        <v>0</v>
      </c>
      <c r="BS25" s="192">
        <f t="shared" si="156"/>
        <v>0</v>
      </c>
      <c r="BT25" s="192">
        <f t="shared" si="156"/>
        <v>0</v>
      </c>
      <c r="BU25" s="192">
        <f t="shared" si="156"/>
        <v>0</v>
      </c>
      <c r="BV25" s="192">
        <f t="shared" si="156"/>
        <v>0</v>
      </c>
      <c r="BW25" s="192">
        <f t="shared" si="156"/>
        <v>0</v>
      </c>
      <c r="BX25" s="192">
        <f t="shared" si="156"/>
        <v>0</v>
      </c>
      <c r="BY25" s="193">
        <f t="shared" si="20"/>
        <v>19165203</v>
      </c>
      <c r="BZ25" s="196">
        <f>BY25/(BY$5+BY$6+BY$7+BY$8+BY$10+BY$9)</f>
        <v>0.43913689033883868</v>
      </c>
      <c r="CA25" s="192">
        <f t="shared" ref="CA25:CL25" si="157">SUMIF($C26:$C144,"소계",CA26:CA144)</f>
        <v>0</v>
      </c>
      <c r="CB25" s="192">
        <f t="shared" si="157"/>
        <v>0</v>
      </c>
      <c r="CC25" s="192">
        <f t="shared" si="157"/>
        <v>0</v>
      </c>
      <c r="CD25" s="192">
        <f t="shared" si="157"/>
        <v>0</v>
      </c>
      <c r="CE25" s="192">
        <f t="shared" si="157"/>
        <v>0</v>
      </c>
      <c r="CF25" s="192">
        <f t="shared" si="157"/>
        <v>0</v>
      </c>
      <c r="CG25" s="192">
        <f t="shared" si="157"/>
        <v>0</v>
      </c>
      <c r="CH25" s="192">
        <f t="shared" si="157"/>
        <v>0</v>
      </c>
      <c r="CI25" s="192">
        <f t="shared" si="157"/>
        <v>0</v>
      </c>
      <c r="CJ25" s="192">
        <f t="shared" si="157"/>
        <v>0</v>
      </c>
      <c r="CK25" s="192">
        <f t="shared" si="157"/>
        <v>0</v>
      </c>
      <c r="CL25" s="192">
        <f t="shared" si="157"/>
        <v>0</v>
      </c>
      <c r="CM25" s="193">
        <f t="shared" si="21"/>
        <v>0</v>
      </c>
      <c r="CN25" s="192">
        <f t="shared" ref="CN25:CY25" si="158">SUMIF($C26:$C144,"소계",CN26:CN144)</f>
        <v>0</v>
      </c>
      <c r="CO25" s="192">
        <f t="shared" si="158"/>
        <v>0</v>
      </c>
      <c r="CP25" s="192">
        <f t="shared" si="158"/>
        <v>0</v>
      </c>
      <c r="CQ25" s="192">
        <f t="shared" si="158"/>
        <v>0</v>
      </c>
      <c r="CR25" s="192">
        <f t="shared" si="158"/>
        <v>0</v>
      </c>
      <c r="CS25" s="192">
        <f t="shared" si="158"/>
        <v>0</v>
      </c>
      <c r="CT25" s="192">
        <f t="shared" si="158"/>
        <v>0</v>
      </c>
      <c r="CU25" s="192">
        <f t="shared" si="158"/>
        <v>0</v>
      </c>
      <c r="CV25" s="192">
        <f t="shared" si="158"/>
        <v>0</v>
      </c>
      <c r="CW25" s="192">
        <f t="shared" si="158"/>
        <v>0</v>
      </c>
      <c r="CX25" s="192">
        <f t="shared" si="158"/>
        <v>0</v>
      </c>
      <c r="CY25" s="192">
        <f t="shared" si="158"/>
        <v>0</v>
      </c>
      <c r="CZ25" s="193">
        <f t="shared" si="22"/>
        <v>0</v>
      </c>
      <c r="DA25" s="192">
        <f t="shared" ref="DA25:DL25" si="159">SUMIF($C26:$C144,"소계",DA26:DA144)</f>
        <v>0</v>
      </c>
      <c r="DB25" s="192">
        <f t="shared" si="159"/>
        <v>0</v>
      </c>
      <c r="DC25" s="192">
        <f t="shared" si="159"/>
        <v>0</v>
      </c>
      <c r="DD25" s="192">
        <f t="shared" si="159"/>
        <v>0</v>
      </c>
      <c r="DE25" s="192">
        <f t="shared" si="159"/>
        <v>0</v>
      </c>
      <c r="DF25" s="192">
        <f t="shared" si="159"/>
        <v>0</v>
      </c>
      <c r="DG25" s="192">
        <f t="shared" si="159"/>
        <v>0</v>
      </c>
      <c r="DH25" s="192">
        <f t="shared" si="159"/>
        <v>0</v>
      </c>
      <c r="DI25" s="192">
        <f t="shared" si="159"/>
        <v>0</v>
      </c>
      <c r="DJ25" s="192">
        <f t="shared" si="159"/>
        <v>0</v>
      </c>
      <c r="DK25" s="192">
        <f t="shared" si="159"/>
        <v>0</v>
      </c>
      <c r="DL25" s="192">
        <f t="shared" si="159"/>
        <v>0</v>
      </c>
      <c r="DM25" s="193">
        <f t="shared" si="23"/>
        <v>0</v>
      </c>
      <c r="DN25" s="192">
        <f t="shared" ref="DN25:DY25" si="160">SUMIF($C26:$C144,"소계",DN26:DN144)</f>
        <v>0</v>
      </c>
      <c r="DO25" s="192">
        <f t="shared" si="160"/>
        <v>0</v>
      </c>
      <c r="DP25" s="192">
        <f t="shared" si="160"/>
        <v>0</v>
      </c>
      <c r="DQ25" s="192">
        <f t="shared" si="160"/>
        <v>0</v>
      </c>
      <c r="DR25" s="192">
        <f t="shared" si="160"/>
        <v>0</v>
      </c>
      <c r="DS25" s="192">
        <f t="shared" si="160"/>
        <v>0</v>
      </c>
      <c r="DT25" s="192">
        <f t="shared" si="160"/>
        <v>0</v>
      </c>
      <c r="DU25" s="192">
        <f t="shared" si="160"/>
        <v>0</v>
      </c>
      <c r="DV25" s="192">
        <f t="shared" si="160"/>
        <v>0</v>
      </c>
      <c r="DW25" s="192">
        <f t="shared" si="160"/>
        <v>0</v>
      </c>
      <c r="DX25" s="192">
        <f t="shared" si="160"/>
        <v>0</v>
      </c>
      <c r="DY25" s="192">
        <f t="shared" si="160"/>
        <v>0</v>
      </c>
      <c r="DZ25" s="193">
        <f t="shared" si="24"/>
        <v>0</v>
      </c>
    </row>
    <row r="26" spans="1:130" s="194" customFormat="1" ht="20.45" customHeight="1" outlineLevel="1">
      <c r="A26" s="525"/>
      <c r="B26" s="555" t="s">
        <v>306</v>
      </c>
      <c r="C26" s="65" t="s">
        <v>307</v>
      </c>
      <c r="D26" s="66">
        <f t="shared" si="0"/>
        <v>21785387</v>
      </c>
      <c r="E26" s="187">
        <f t="shared" ref="E26:DX26" si="161">SUM(E27:E28)</f>
        <v>6.7404060903562907E-2</v>
      </c>
      <c r="F26" s="62">
        <f t="shared" si="161"/>
        <v>381000</v>
      </c>
      <c r="G26" s="190">
        <f t="shared" si="36"/>
        <v>381000</v>
      </c>
      <c r="H26" s="196">
        <f t="shared" ref="H26" si="162">SUM(H27:H28)</f>
        <v>8.7027927741693795E-2</v>
      </c>
      <c r="I26" s="62">
        <f t="shared" si="161"/>
        <v>370700</v>
      </c>
      <c r="J26" s="62">
        <f t="shared" si="161"/>
        <v>393000</v>
      </c>
      <c r="K26" s="62">
        <f t="shared" si="161"/>
        <v>379500</v>
      </c>
      <c r="L26" s="62">
        <f t="shared" si="161"/>
        <v>411000</v>
      </c>
      <c r="M26" s="62">
        <f t="shared" si="161"/>
        <v>356400</v>
      </c>
      <c r="N26" s="62">
        <f t="shared" si="161"/>
        <v>369000</v>
      </c>
      <c r="O26" s="62">
        <f t="shared" si="161"/>
        <v>363500</v>
      </c>
      <c r="P26" s="62">
        <f t="shared" si="161"/>
        <v>312500</v>
      </c>
      <c r="Q26" s="62">
        <f t="shared" si="161"/>
        <v>412500</v>
      </c>
      <c r="R26" s="62">
        <f t="shared" si="161"/>
        <v>369000</v>
      </c>
      <c r="S26" s="62">
        <f t="shared" si="161"/>
        <v>432000</v>
      </c>
      <c r="T26" s="62">
        <f t="shared" si="161"/>
        <v>377000</v>
      </c>
      <c r="U26" s="190">
        <f t="shared" si="16"/>
        <v>4546100</v>
      </c>
      <c r="V26" s="196">
        <f t="shared" ref="V26" si="163">SUM(V27:V28)</f>
        <v>8.1941244517370823E-2</v>
      </c>
      <c r="W26" s="62">
        <f t="shared" si="161"/>
        <v>359500</v>
      </c>
      <c r="X26" s="62">
        <f t="shared" si="161"/>
        <v>368350</v>
      </c>
      <c r="Y26" s="62">
        <f t="shared" si="161"/>
        <v>793707</v>
      </c>
      <c r="Z26" s="62">
        <f t="shared" si="161"/>
        <v>443000</v>
      </c>
      <c r="AA26" s="62">
        <f t="shared" si="161"/>
        <v>364760</v>
      </c>
      <c r="AB26" s="62">
        <f t="shared" si="161"/>
        <v>377640</v>
      </c>
      <c r="AC26" s="62">
        <f t="shared" ref="AC26:AF26" si="164">SUM(AC27:AC28)</f>
        <v>414000</v>
      </c>
      <c r="AD26" s="62">
        <f t="shared" si="164"/>
        <v>401000</v>
      </c>
      <c r="AE26" s="62">
        <f t="shared" si="164"/>
        <v>394000</v>
      </c>
      <c r="AF26" s="62">
        <f t="shared" si="164"/>
        <v>436000</v>
      </c>
      <c r="AG26" s="62">
        <f t="shared" si="161"/>
        <v>408000</v>
      </c>
      <c r="AH26" s="62">
        <f t="shared" si="161"/>
        <v>415000</v>
      </c>
      <c r="AI26" s="190">
        <f t="shared" si="17"/>
        <v>5174957</v>
      </c>
      <c r="AJ26" s="196">
        <f t="shared" ref="AJ26" si="165">SUM(AJ27:AJ28)</f>
        <v>7.0332268160968645E-2</v>
      </c>
      <c r="AK26" s="62">
        <f t="shared" ref="AK26:AV26" si="166">SUM(AK27:AK28)</f>
        <v>436000</v>
      </c>
      <c r="AL26" s="62">
        <f t="shared" si="166"/>
        <v>422000</v>
      </c>
      <c r="AM26" s="62">
        <f t="shared" si="166"/>
        <v>422000</v>
      </c>
      <c r="AN26" s="62">
        <f t="shared" si="166"/>
        <v>418000</v>
      </c>
      <c r="AO26" s="62">
        <f t="shared" si="166"/>
        <v>414000</v>
      </c>
      <c r="AP26" s="62">
        <f t="shared" si="166"/>
        <v>436000</v>
      </c>
      <c r="AQ26" s="62">
        <f t="shared" si="166"/>
        <v>435000</v>
      </c>
      <c r="AR26" s="62">
        <f t="shared" si="166"/>
        <v>439000</v>
      </c>
      <c r="AS26" s="62">
        <f t="shared" si="166"/>
        <v>436000</v>
      </c>
      <c r="AT26" s="62">
        <f t="shared" si="166"/>
        <v>605000</v>
      </c>
      <c r="AU26" s="62">
        <f t="shared" si="166"/>
        <v>253000</v>
      </c>
      <c r="AV26" s="62">
        <f t="shared" si="166"/>
        <v>399500</v>
      </c>
      <c r="AW26" s="190">
        <f t="shared" si="18"/>
        <v>5115500</v>
      </c>
      <c r="AX26" s="196">
        <f t="shared" ref="AX26" si="167">SUM(AX27:AX28)</f>
        <v>6.7055689727379006E-2</v>
      </c>
      <c r="AY26" s="62">
        <f t="shared" ref="AY26:BJ26" si="168">SUM(AY27:AY28)</f>
        <v>425000</v>
      </c>
      <c r="AZ26" s="62">
        <f t="shared" si="168"/>
        <v>396200</v>
      </c>
      <c r="BA26" s="62">
        <f t="shared" si="168"/>
        <v>367200</v>
      </c>
      <c r="BB26" s="62">
        <f t="shared" si="168"/>
        <v>408000</v>
      </c>
      <c r="BC26" s="62">
        <f t="shared" si="168"/>
        <v>376000</v>
      </c>
      <c r="BD26" s="62">
        <f t="shared" si="168"/>
        <v>316730</v>
      </c>
      <c r="BE26" s="62">
        <f t="shared" si="168"/>
        <v>0</v>
      </c>
      <c r="BF26" s="62">
        <f t="shared" si="168"/>
        <v>821600</v>
      </c>
      <c r="BG26" s="62">
        <f t="shared" si="168"/>
        <v>450000</v>
      </c>
      <c r="BH26" s="62">
        <f t="shared" si="168"/>
        <v>288900</v>
      </c>
      <c r="BI26" s="62">
        <f t="shared" si="168"/>
        <v>422000</v>
      </c>
      <c r="BJ26" s="62">
        <f t="shared" si="168"/>
        <v>394000</v>
      </c>
      <c r="BK26" s="190">
        <f t="shared" si="19"/>
        <v>4665630</v>
      </c>
      <c r="BL26" s="196">
        <f t="shared" ref="BL26" si="169">SUM(BL27:BL28)</f>
        <v>6.680548877101973E-2</v>
      </c>
      <c r="BM26" s="62">
        <f t="shared" ref="BM26:BX26" si="170">SUM(BM27:BM28)</f>
        <v>422000</v>
      </c>
      <c r="BN26" s="62">
        <f t="shared" si="170"/>
        <v>362000</v>
      </c>
      <c r="BO26" s="62">
        <f t="shared" si="170"/>
        <v>401000</v>
      </c>
      <c r="BP26" s="62">
        <f t="shared" si="170"/>
        <v>371200</v>
      </c>
      <c r="BQ26" s="62">
        <f t="shared" si="170"/>
        <v>346000</v>
      </c>
      <c r="BR26" s="62">
        <f t="shared" si="170"/>
        <v>0</v>
      </c>
      <c r="BS26" s="62">
        <f t="shared" si="170"/>
        <v>0</v>
      </c>
      <c r="BT26" s="62">
        <f t="shared" si="170"/>
        <v>0</v>
      </c>
      <c r="BU26" s="62">
        <f t="shared" si="170"/>
        <v>0</v>
      </c>
      <c r="BV26" s="62">
        <f t="shared" si="170"/>
        <v>0</v>
      </c>
      <c r="BW26" s="62">
        <f t="shared" si="170"/>
        <v>0</v>
      </c>
      <c r="BX26" s="62">
        <f t="shared" si="170"/>
        <v>0</v>
      </c>
      <c r="BY26" s="190">
        <f t="shared" si="20"/>
        <v>1902200</v>
      </c>
      <c r="BZ26" s="196">
        <f t="shared" ref="BZ26" si="171">SUM(BZ27:BZ28)</f>
        <v>4.358556456733273E-2</v>
      </c>
      <c r="CA26" s="62">
        <f t="shared" ref="CA26:CL26" si="172">SUM(CA27:CA28)</f>
        <v>0</v>
      </c>
      <c r="CB26" s="62">
        <f t="shared" si="172"/>
        <v>0</v>
      </c>
      <c r="CC26" s="62">
        <f t="shared" si="172"/>
        <v>0</v>
      </c>
      <c r="CD26" s="62">
        <f t="shared" si="172"/>
        <v>0</v>
      </c>
      <c r="CE26" s="62">
        <f t="shared" si="172"/>
        <v>0</v>
      </c>
      <c r="CF26" s="62">
        <f t="shared" si="172"/>
        <v>0</v>
      </c>
      <c r="CG26" s="62">
        <f t="shared" si="172"/>
        <v>0</v>
      </c>
      <c r="CH26" s="62">
        <f t="shared" si="172"/>
        <v>0</v>
      </c>
      <c r="CI26" s="62">
        <f t="shared" si="172"/>
        <v>0</v>
      </c>
      <c r="CJ26" s="62">
        <f t="shared" si="172"/>
        <v>0</v>
      </c>
      <c r="CK26" s="62">
        <f t="shared" si="172"/>
        <v>0</v>
      </c>
      <c r="CL26" s="62">
        <f t="shared" si="172"/>
        <v>0</v>
      </c>
      <c r="CM26" s="190">
        <f t="shared" si="21"/>
        <v>0</v>
      </c>
      <c r="CN26" s="62">
        <f t="shared" ref="CN26:CY26" si="173">SUM(CN27:CN28)</f>
        <v>0</v>
      </c>
      <c r="CO26" s="62">
        <f t="shared" si="173"/>
        <v>0</v>
      </c>
      <c r="CP26" s="62">
        <f t="shared" si="173"/>
        <v>0</v>
      </c>
      <c r="CQ26" s="62">
        <f t="shared" si="173"/>
        <v>0</v>
      </c>
      <c r="CR26" s="62">
        <f t="shared" si="173"/>
        <v>0</v>
      </c>
      <c r="CS26" s="62">
        <f t="shared" si="173"/>
        <v>0</v>
      </c>
      <c r="CT26" s="62">
        <f t="shared" si="173"/>
        <v>0</v>
      </c>
      <c r="CU26" s="62">
        <f t="shared" si="173"/>
        <v>0</v>
      </c>
      <c r="CV26" s="62">
        <f t="shared" si="173"/>
        <v>0</v>
      </c>
      <c r="CW26" s="62">
        <f t="shared" si="173"/>
        <v>0</v>
      </c>
      <c r="CX26" s="62">
        <f t="shared" si="173"/>
        <v>0</v>
      </c>
      <c r="CY26" s="62">
        <f t="shared" si="173"/>
        <v>0</v>
      </c>
      <c r="CZ26" s="190">
        <f t="shared" si="22"/>
        <v>0</v>
      </c>
      <c r="DA26" s="62">
        <f t="shared" ref="DA26:DL26" si="174">SUM(DA27:DA28)</f>
        <v>0</v>
      </c>
      <c r="DB26" s="62">
        <f t="shared" si="174"/>
        <v>0</v>
      </c>
      <c r="DC26" s="62">
        <f t="shared" si="174"/>
        <v>0</v>
      </c>
      <c r="DD26" s="62">
        <f t="shared" si="174"/>
        <v>0</v>
      </c>
      <c r="DE26" s="62">
        <f t="shared" si="174"/>
        <v>0</v>
      </c>
      <c r="DF26" s="62">
        <f t="shared" si="174"/>
        <v>0</v>
      </c>
      <c r="DG26" s="62">
        <f t="shared" si="174"/>
        <v>0</v>
      </c>
      <c r="DH26" s="62">
        <f t="shared" si="174"/>
        <v>0</v>
      </c>
      <c r="DI26" s="62">
        <f t="shared" si="174"/>
        <v>0</v>
      </c>
      <c r="DJ26" s="62">
        <f t="shared" si="174"/>
        <v>0</v>
      </c>
      <c r="DK26" s="62">
        <f t="shared" si="174"/>
        <v>0</v>
      </c>
      <c r="DL26" s="62">
        <f t="shared" si="174"/>
        <v>0</v>
      </c>
      <c r="DM26" s="190">
        <f t="shared" si="23"/>
        <v>0</v>
      </c>
      <c r="DN26" s="62">
        <f t="shared" ref="DN26:DQ26" si="175">SUM(DN27:DN28)</f>
        <v>0</v>
      </c>
      <c r="DO26" s="62">
        <f t="shared" si="175"/>
        <v>0</v>
      </c>
      <c r="DP26" s="62">
        <f t="shared" si="175"/>
        <v>0</v>
      </c>
      <c r="DQ26" s="62">
        <f t="shared" si="175"/>
        <v>0</v>
      </c>
      <c r="DR26" s="62">
        <f t="shared" ref="DR26:DU26" si="176">SUM(DR27:DR28)</f>
        <v>0</v>
      </c>
      <c r="DS26" s="62">
        <f t="shared" si="176"/>
        <v>0</v>
      </c>
      <c r="DT26" s="62">
        <f t="shared" si="176"/>
        <v>0</v>
      </c>
      <c r="DU26" s="62">
        <f t="shared" si="176"/>
        <v>0</v>
      </c>
      <c r="DV26" s="62">
        <f t="shared" ref="DV26:DW26" si="177">SUM(DV27:DV28)</f>
        <v>0</v>
      </c>
      <c r="DW26" s="62">
        <f t="shared" si="177"/>
        <v>0</v>
      </c>
      <c r="DX26" s="62">
        <f t="shared" si="161"/>
        <v>0</v>
      </c>
      <c r="DY26" s="62">
        <f t="shared" ref="DY26" si="178">SUM(DY27:DY28)</f>
        <v>0</v>
      </c>
      <c r="DZ26" s="190">
        <f t="shared" si="24"/>
        <v>0</v>
      </c>
    </row>
    <row r="27" spans="1:130" ht="20.45" customHeight="1" outlineLevel="2">
      <c r="A27" s="525"/>
      <c r="B27" s="528"/>
      <c r="C27" s="30" t="s">
        <v>308</v>
      </c>
      <c r="D27" s="62">
        <f t="shared" si="0"/>
        <v>21737456.999999996</v>
      </c>
      <c r="E27" s="184">
        <f t="shared" ref="E27:E90" si="179">D27/(D$5+D$6+D$7+D$8+D$10+D$9)</f>
        <v>6.7255765321799416E-2</v>
      </c>
      <c r="F27" s="62">
        <v>381000</v>
      </c>
      <c r="G27" s="190">
        <f t="shared" si="36"/>
        <v>381000</v>
      </c>
      <c r="H27" s="197">
        <f>G27/(G$5+G$6+G$7+G$8+G$10+G$9)</f>
        <v>8.7027927741693795E-2</v>
      </c>
      <c r="I27" s="62">
        <v>368700</v>
      </c>
      <c r="J27" s="62">
        <v>393000</v>
      </c>
      <c r="K27" s="62">
        <v>379500</v>
      </c>
      <c r="L27" s="62">
        <v>411000</v>
      </c>
      <c r="M27" s="62">
        <v>356400</v>
      </c>
      <c r="N27" s="62">
        <v>369000</v>
      </c>
      <c r="O27" s="62">
        <v>363500</v>
      </c>
      <c r="P27" s="62">
        <v>312500</v>
      </c>
      <c r="Q27" s="62">
        <v>412500</v>
      </c>
      <c r="R27" s="62">
        <v>367000</v>
      </c>
      <c r="S27" s="62">
        <v>432000</v>
      </c>
      <c r="T27" s="62">
        <v>377000</v>
      </c>
      <c r="U27" s="190">
        <f t="shared" si="16"/>
        <v>4542100</v>
      </c>
      <c r="V27" s="197">
        <f>U27/(U$5+U$6+U$7+U$8+U$10+U$9)</f>
        <v>8.1869146460119668E-2</v>
      </c>
      <c r="W27" s="62">
        <v>359500</v>
      </c>
      <c r="X27" s="62">
        <v>363500</v>
      </c>
      <c r="Y27" s="62">
        <f>339500+444957</f>
        <v>784457</v>
      </c>
      <c r="Z27" s="62">
        <v>443000</v>
      </c>
      <c r="AA27" s="62">
        <v>360500</v>
      </c>
      <c r="AB27" s="62">
        <f>400000-45770</f>
        <v>354230</v>
      </c>
      <c r="AC27" s="62">
        <v>411840</v>
      </c>
      <c r="AD27" s="62">
        <v>401000</v>
      </c>
      <c r="AE27" s="62">
        <v>394000</v>
      </c>
      <c r="AF27" s="62">
        <v>436000</v>
      </c>
      <c r="AG27" s="62">
        <v>408000</v>
      </c>
      <c r="AH27" s="62">
        <v>415000</v>
      </c>
      <c r="AI27" s="190">
        <f t="shared" si="17"/>
        <v>5131027</v>
      </c>
      <c r="AJ27" s="197">
        <f>AI27/(AI$5+AI$6+AI$7+AI$8+AI$10+AI$9)</f>
        <v>6.9735220390269997E-2</v>
      </c>
      <c r="AK27" s="62">
        <v>436000</v>
      </c>
      <c r="AL27" s="62">
        <v>422000</v>
      </c>
      <c r="AM27" s="62">
        <v>422000</v>
      </c>
      <c r="AN27" s="62">
        <v>418000</v>
      </c>
      <c r="AO27" s="62">
        <v>414000</v>
      </c>
      <c r="AP27" s="62">
        <v>436000</v>
      </c>
      <c r="AQ27" s="62">
        <v>435000</v>
      </c>
      <c r="AR27" s="62">
        <v>439000</v>
      </c>
      <c r="AS27" s="62">
        <v>436000</v>
      </c>
      <c r="AT27" s="62">
        <f>436000+40000+129000</f>
        <v>605000</v>
      </c>
      <c r="AU27" s="62">
        <v>253000</v>
      </c>
      <c r="AV27" s="62">
        <v>399500</v>
      </c>
      <c r="AW27" s="190">
        <f t="shared" si="18"/>
        <v>5115500</v>
      </c>
      <c r="AX27" s="197">
        <f>AW27/(AW$5+AW$6+AW$7+AW$8+AW$10+AW$9)</f>
        <v>6.7055689727379006E-2</v>
      </c>
      <c r="AY27" s="62">
        <v>425000</v>
      </c>
      <c r="AZ27" s="62">
        <v>396200</v>
      </c>
      <c r="BA27" s="62">
        <v>367200</v>
      </c>
      <c r="BB27" s="62">
        <v>408000</v>
      </c>
      <c r="BC27" s="62">
        <f>376000</f>
        <v>376000</v>
      </c>
      <c r="BD27" s="62">
        <v>316730</v>
      </c>
      <c r="BE27" s="62">
        <v>0</v>
      </c>
      <c r="BF27" s="62">
        <f>900000-78400</f>
        <v>821600</v>
      </c>
      <c r="BG27" s="62">
        <v>450000</v>
      </c>
      <c r="BH27" s="62">
        <f>401000-112100</f>
        <v>288900</v>
      </c>
      <c r="BI27" s="62">
        <v>422000</v>
      </c>
      <c r="BJ27" s="62">
        <v>394000</v>
      </c>
      <c r="BK27" s="190">
        <f t="shared" si="19"/>
        <v>4665630</v>
      </c>
      <c r="BL27" s="197">
        <f>BK27/(BK$5+BK$6+BK$7+BK$8+BK$10+BK$9)</f>
        <v>6.680548877101973E-2</v>
      </c>
      <c r="BM27" s="62">
        <f>422000</f>
        <v>422000</v>
      </c>
      <c r="BN27" s="62">
        <v>362000</v>
      </c>
      <c r="BO27" s="62">
        <v>401000</v>
      </c>
      <c r="BP27" s="62">
        <f>370000+1200</f>
        <v>371200</v>
      </c>
      <c r="BQ27" s="62">
        <v>346000</v>
      </c>
      <c r="BR27" s="62">
        <v>0</v>
      </c>
      <c r="BS27" s="62">
        <v>0</v>
      </c>
      <c r="BT27" s="62">
        <v>0</v>
      </c>
      <c r="BU27" s="62">
        <v>0</v>
      </c>
      <c r="BV27" s="62">
        <v>0</v>
      </c>
      <c r="BW27" s="62">
        <v>0</v>
      </c>
      <c r="BX27" s="62">
        <v>0</v>
      </c>
      <c r="BY27" s="190">
        <f t="shared" si="20"/>
        <v>1902200</v>
      </c>
      <c r="BZ27" s="197">
        <f>BY27/(BY$5+BY$6+BY$7+BY$8+BY$10+BY$9)</f>
        <v>4.358556456733273E-2</v>
      </c>
      <c r="CA27" s="62">
        <v>0</v>
      </c>
      <c r="CB27" s="62">
        <v>0</v>
      </c>
      <c r="CC27" s="62">
        <v>0</v>
      </c>
      <c r="CD27" s="62">
        <v>0</v>
      </c>
      <c r="CE27" s="62">
        <v>0</v>
      </c>
      <c r="CF27" s="62">
        <v>0</v>
      </c>
      <c r="CG27" s="62">
        <v>0</v>
      </c>
      <c r="CH27" s="62">
        <v>0</v>
      </c>
      <c r="CI27" s="62">
        <v>0</v>
      </c>
      <c r="CJ27" s="62">
        <v>0</v>
      </c>
      <c r="CK27" s="62">
        <v>0</v>
      </c>
      <c r="CL27" s="62">
        <v>0</v>
      </c>
      <c r="CM27" s="190">
        <f t="shared" si="21"/>
        <v>0</v>
      </c>
      <c r="CN27" s="62">
        <v>0</v>
      </c>
      <c r="CO27" s="62">
        <v>0</v>
      </c>
      <c r="CP27" s="62">
        <v>0</v>
      </c>
      <c r="CQ27" s="62">
        <v>0</v>
      </c>
      <c r="CR27" s="62">
        <v>0</v>
      </c>
      <c r="CS27" s="62">
        <v>0</v>
      </c>
      <c r="CT27" s="62">
        <v>0</v>
      </c>
      <c r="CU27" s="62">
        <v>0</v>
      </c>
      <c r="CV27" s="62">
        <v>0</v>
      </c>
      <c r="CW27" s="62">
        <v>0</v>
      </c>
      <c r="CX27" s="62">
        <v>0</v>
      </c>
      <c r="CY27" s="62">
        <v>0</v>
      </c>
      <c r="CZ27" s="190">
        <f t="shared" si="22"/>
        <v>0</v>
      </c>
      <c r="DA27" s="62">
        <v>0</v>
      </c>
      <c r="DB27" s="62">
        <v>0</v>
      </c>
      <c r="DC27" s="62">
        <v>0</v>
      </c>
      <c r="DD27" s="62">
        <v>0</v>
      </c>
      <c r="DE27" s="62">
        <v>0</v>
      </c>
      <c r="DF27" s="62">
        <v>0</v>
      </c>
      <c r="DG27" s="62">
        <v>0</v>
      </c>
      <c r="DH27" s="62">
        <v>0</v>
      </c>
      <c r="DI27" s="62">
        <v>0</v>
      </c>
      <c r="DJ27" s="62">
        <v>0</v>
      </c>
      <c r="DK27" s="62">
        <v>0</v>
      </c>
      <c r="DL27" s="62">
        <v>0</v>
      </c>
      <c r="DM27" s="190">
        <f t="shared" si="23"/>
        <v>0</v>
      </c>
      <c r="DN27" s="62">
        <v>0</v>
      </c>
      <c r="DO27" s="62">
        <v>0</v>
      </c>
      <c r="DP27" s="62">
        <v>0</v>
      </c>
      <c r="DQ27" s="62">
        <v>0</v>
      </c>
      <c r="DR27" s="62">
        <v>0</v>
      </c>
      <c r="DS27" s="62">
        <v>0</v>
      </c>
      <c r="DT27" s="62">
        <v>0</v>
      </c>
      <c r="DU27" s="62">
        <v>0</v>
      </c>
      <c r="DV27" s="62">
        <v>0</v>
      </c>
      <c r="DW27" s="62">
        <v>0</v>
      </c>
      <c r="DX27" s="62">
        <v>0</v>
      </c>
      <c r="DY27" s="62">
        <v>0</v>
      </c>
      <c r="DZ27" s="190">
        <f t="shared" si="24"/>
        <v>0</v>
      </c>
    </row>
    <row r="28" spans="1:130" ht="20.45" customHeight="1" outlineLevel="2">
      <c r="A28" s="526"/>
      <c r="B28" s="531"/>
      <c r="C28" s="30" t="s">
        <v>2604</v>
      </c>
      <c r="D28" s="62">
        <f t="shared" si="0"/>
        <v>47929.999999999993</v>
      </c>
      <c r="E28" s="184">
        <f t="shared" si="179"/>
        <v>1.4829558176348992E-4</v>
      </c>
      <c r="F28" s="62">
        <v>0</v>
      </c>
      <c r="G28" s="190">
        <f t="shared" si="36"/>
        <v>0</v>
      </c>
      <c r="H28" s="197">
        <f>G28/(G$5+G$6+G$7+G$8+G$10+G$9)</f>
        <v>0</v>
      </c>
      <c r="I28" s="62">
        <v>2000</v>
      </c>
      <c r="J28" s="62">
        <v>0</v>
      </c>
      <c r="K28" s="62">
        <v>0</v>
      </c>
      <c r="L28" s="62">
        <v>0</v>
      </c>
      <c r="M28" s="62">
        <v>0</v>
      </c>
      <c r="N28" s="62">
        <v>0</v>
      </c>
      <c r="O28" s="62">
        <v>0</v>
      </c>
      <c r="P28" s="62">
        <v>0</v>
      </c>
      <c r="Q28" s="62">
        <v>0</v>
      </c>
      <c r="R28" s="62">
        <v>2000</v>
      </c>
      <c r="S28" s="62">
        <v>0</v>
      </c>
      <c r="T28" s="62">
        <v>0</v>
      </c>
      <c r="U28" s="190">
        <f t="shared" si="16"/>
        <v>4000</v>
      </c>
      <c r="V28" s="197">
        <f>U28/(U$5+U$6+U$7+U$8+U$10+U$9)</f>
        <v>7.2098057251156669E-5</v>
      </c>
      <c r="W28" s="62">
        <v>0</v>
      </c>
      <c r="X28" s="62">
        <v>4850</v>
      </c>
      <c r="Y28" s="62">
        <v>9250</v>
      </c>
      <c r="Z28" s="62">
        <v>0</v>
      </c>
      <c r="AA28" s="62">
        <v>4260</v>
      </c>
      <c r="AB28" s="62">
        <v>23410</v>
      </c>
      <c r="AC28" s="62">
        <v>2160</v>
      </c>
      <c r="AD28" s="62">
        <v>0</v>
      </c>
      <c r="AE28" s="62">
        <v>0</v>
      </c>
      <c r="AF28" s="62">
        <v>0</v>
      </c>
      <c r="AG28" s="62">
        <v>0</v>
      </c>
      <c r="AH28" s="62">
        <v>0</v>
      </c>
      <c r="AI28" s="190">
        <f t="shared" si="17"/>
        <v>43930</v>
      </c>
      <c r="AJ28" s="197">
        <f>AI28/(AI$5+AI$6+AI$7+AI$8+AI$10+AI$9)</f>
        <v>5.9704777069864593E-4</v>
      </c>
      <c r="AK28" s="62">
        <v>0</v>
      </c>
      <c r="AL28" s="62">
        <v>0</v>
      </c>
      <c r="AM28" s="62">
        <v>0</v>
      </c>
      <c r="AN28" s="62">
        <v>0</v>
      </c>
      <c r="AO28" s="62">
        <v>0</v>
      </c>
      <c r="AP28" s="62">
        <v>0</v>
      </c>
      <c r="AQ28" s="62">
        <v>0</v>
      </c>
      <c r="AR28" s="62">
        <v>0</v>
      </c>
      <c r="AS28" s="62">
        <v>0</v>
      </c>
      <c r="AT28" s="62">
        <v>0</v>
      </c>
      <c r="AU28" s="62">
        <v>0</v>
      </c>
      <c r="AV28" s="62">
        <v>0</v>
      </c>
      <c r="AW28" s="190">
        <f t="shared" si="18"/>
        <v>0</v>
      </c>
      <c r="AX28" s="197">
        <f>AW28/(AW$5+AW$6+AW$7+AW$8+AW$10+AW$9)</f>
        <v>0</v>
      </c>
      <c r="AY28" s="62">
        <v>0</v>
      </c>
      <c r="AZ28" s="62">
        <v>0</v>
      </c>
      <c r="BA28" s="62">
        <v>0</v>
      </c>
      <c r="BB28" s="62">
        <v>0</v>
      </c>
      <c r="BC28" s="62">
        <v>0</v>
      </c>
      <c r="BD28" s="62">
        <v>0</v>
      </c>
      <c r="BE28" s="62">
        <v>0</v>
      </c>
      <c r="BF28" s="62">
        <v>0</v>
      </c>
      <c r="BG28" s="62">
        <v>0</v>
      </c>
      <c r="BH28" s="62">
        <v>0</v>
      </c>
      <c r="BI28" s="62">
        <v>0</v>
      </c>
      <c r="BJ28" s="62">
        <v>0</v>
      </c>
      <c r="BK28" s="190">
        <f t="shared" si="19"/>
        <v>0</v>
      </c>
      <c r="BL28" s="197">
        <f>BK28/(BK$5+BK$6+BK$7+BK$8+BK$10+BK$9)</f>
        <v>0</v>
      </c>
      <c r="BM28" s="62">
        <v>0</v>
      </c>
      <c r="BN28" s="62">
        <v>0</v>
      </c>
      <c r="BO28" s="62">
        <v>0</v>
      </c>
      <c r="BP28" s="62">
        <v>0</v>
      </c>
      <c r="BQ28" s="62">
        <v>0</v>
      </c>
      <c r="BR28" s="62">
        <v>0</v>
      </c>
      <c r="BS28" s="62">
        <v>0</v>
      </c>
      <c r="BT28" s="62">
        <v>0</v>
      </c>
      <c r="BU28" s="62">
        <v>0</v>
      </c>
      <c r="BV28" s="62">
        <v>0</v>
      </c>
      <c r="BW28" s="62">
        <v>0</v>
      </c>
      <c r="BX28" s="62">
        <v>0</v>
      </c>
      <c r="BY28" s="190">
        <f t="shared" si="20"/>
        <v>0</v>
      </c>
      <c r="BZ28" s="197">
        <f>BY28/(BY$5+BY$6+BY$7+BY$8+BY$10+BY$9)</f>
        <v>0</v>
      </c>
      <c r="CA28" s="62">
        <v>0</v>
      </c>
      <c r="CB28" s="62">
        <v>0</v>
      </c>
      <c r="CC28" s="62">
        <v>0</v>
      </c>
      <c r="CD28" s="62">
        <v>0</v>
      </c>
      <c r="CE28" s="62">
        <v>0</v>
      </c>
      <c r="CF28" s="62">
        <v>0</v>
      </c>
      <c r="CG28" s="62">
        <v>0</v>
      </c>
      <c r="CH28" s="62">
        <v>0</v>
      </c>
      <c r="CI28" s="62">
        <v>0</v>
      </c>
      <c r="CJ28" s="62">
        <v>0</v>
      </c>
      <c r="CK28" s="62">
        <v>0</v>
      </c>
      <c r="CL28" s="62">
        <v>0</v>
      </c>
      <c r="CM28" s="190">
        <f t="shared" si="21"/>
        <v>0</v>
      </c>
      <c r="CN28" s="62">
        <v>0</v>
      </c>
      <c r="CO28" s="62">
        <v>0</v>
      </c>
      <c r="CP28" s="62">
        <v>0</v>
      </c>
      <c r="CQ28" s="62">
        <v>0</v>
      </c>
      <c r="CR28" s="62">
        <v>0</v>
      </c>
      <c r="CS28" s="62">
        <v>0</v>
      </c>
      <c r="CT28" s="62">
        <v>0</v>
      </c>
      <c r="CU28" s="62">
        <v>0</v>
      </c>
      <c r="CV28" s="62">
        <v>0</v>
      </c>
      <c r="CW28" s="62">
        <v>0</v>
      </c>
      <c r="CX28" s="62">
        <v>0</v>
      </c>
      <c r="CY28" s="62">
        <v>0</v>
      </c>
      <c r="CZ28" s="190">
        <f t="shared" si="22"/>
        <v>0</v>
      </c>
      <c r="DA28" s="62">
        <v>0</v>
      </c>
      <c r="DB28" s="62">
        <v>0</v>
      </c>
      <c r="DC28" s="62">
        <v>0</v>
      </c>
      <c r="DD28" s="62">
        <v>0</v>
      </c>
      <c r="DE28" s="62">
        <v>0</v>
      </c>
      <c r="DF28" s="62">
        <v>0</v>
      </c>
      <c r="DG28" s="62">
        <v>0</v>
      </c>
      <c r="DH28" s="62">
        <v>0</v>
      </c>
      <c r="DI28" s="62">
        <v>0</v>
      </c>
      <c r="DJ28" s="62">
        <v>0</v>
      </c>
      <c r="DK28" s="62">
        <v>0</v>
      </c>
      <c r="DL28" s="62">
        <v>0</v>
      </c>
      <c r="DM28" s="190">
        <f t="shared" si="23"/>
        <v>0</v>
      </c>
      <c r="DN28" s="62">
        <v>0</v>
      </c>
      <c r="DO28" s="62">
        <v>0</v>
      </c>
      <c r="DP28" s="62">
        <v>0</v>
      </c>
      <c r="DQ28" s="62">
        <v>0</v>
      </c>
      <c r="DR28" s="62">
        <v>0</v>
      </c>
      <c r="DS28" s="62">
        <v>0</v>
      </c>
      <c r="DT28" s="62">
        <v>0</v>
      </c>
      <c r="DU28" s="62">
        <v>0</v>
      </c>
      <c r="DV28" s="62">
        <v>0</v>
      </c>
      <c r="DW28" s="62">
        <v>0</v>
      </c>
      <c r="DX28" s="62">
        <v>0</v>
      </c>
      <c r="DY28" s="62">
        <v>0</v>
      </c>
      <c r="DZ28" s="190">
        <f t="shared" si="24"/>
        <v>0</v>
      </c>
    </row>
    <row r="29" spans="1:130" s="194" customFormat="1" ht="20.45" customHeight="1" outlineLevel="1">
      <c r="A29" s="525"/>
      <c r="B29" s="527" t="s">
        <v>309</v>
      </c>
      <c r="C29" s="65" t="s">
        <v>307</v>
      </c>
      <c r="D29" s="66">
        <f t="shared" si="0"/>
        <v>41148600</v>
      </c>
      <c r="E29" s="187">
        <f t="shared" ref="E29" si="180">SUM(E30:E31)</f>
        <v>0.12731390727630168</v>
      </c>
      <c r="F29" s="62">
        <f t="shared" ref="F29:DY29" si="181">SUM(F30:F31)</f>
        <v>548000</v>
      </c>
      <c r="G29" s="190">
        <f t="shared" ref="G29" si="182">SUM(F29)</f>
        <v>548000</v>
      </c>
      <c r="H29" s="196">
        <f t="shared" ref="H29" si="183">SUM(H30:H31)</f>
        <v>0.12517402730301366</v>
      </c>
      <c r="I29" s="62">
        <f t="shared" si="181"/>
        <v>563000</v>
      </c>
      <c r="J29" s="62">
        <f t="shared" si="181"/>
        <v>568000</v>
      </c>
      <c r="K29" s="62">
        <f t="shared" si="181"/>
        <v>548000</v>
      </c>
      <c r="L29" s="62">
        <f t="shared" si="181"/>
        <v>646000</v>
      </c>
      <c r="M29" s="62">
        <f t="shared" si="181"/>
        <v>592000</v>
      </c>
      <c r="N29" s="62">
        <f t="shared" si="181"/>
        <v>572000</v>
      </c>
      <c r="O29" s="62">
        <f t="shared" si="181"/>
        <v>605000</v>
      </c>
      <c r="P29" s="62">
        <f t="shared" si="181"/>
        <v>572000</v>
      </c>
      <c r="Q29" s="62">
        <f t="shared" si="181"/>
        <v>654000</v>
      </c>
      <c r="R29" s="62">
        <f t="shared" si="181"/>
        <v>572000</v>
      </c>
      <c r="S29" s="62">
        <f t="shared" si="181"/>
        <v>577600</v>
      </c>
      <c r="T29" s="62">
        <f t="shared" si="181"/>
        <v>613000</v>
      </c>
      <c r="U29" s="190">
        <f t="shared" ref="U29" si="184">SUM(I29:T29)</f>
        <v>7082600</v>
      </c>
      <c r="V29" s="196">
        <f t="shared" ref="V29" si="185">SUM(V30:V31)</f>
        <v>0.12766042507176054</v>
      </c>
      <c r="W29" s="62">
        <f t="shared" si="181"/>
        <v>721000</v>
      </c>
      <c r="X29" s="62">
        <f t="shared" si="181"/>
        <v>706000</v>
      </c>
      <c r="Y29" s="62">
        <f t="shared" si="181"/>
        <v>992000</v>
      </c>
      <c r="Z29" s="62">
        <f t="shared" si="181"/>
        <v>812000</v>
      </c>
      <c r="AA29" s="62">
        <f t="shared" si="181"/>
        <v>864000</v>
      </c>
      <c r="AB29" s="62">
        <f t="shared" si="181"/>
        <v>737000</v>
      </c>
      <c r="AC29" s="62">
        <f t="shared" si="181"/>
        <v>1265000</v>
      </c>
      <c r="AD29" s="62">
        <f t="shared" si="181"/>
        <v>732000</v>
      </c>
      <c r="AE29" s="62">
        <f t="shared" si="181"/>
        <v>752000</v>
      </c>
      <c r="AF29" s="62">
        <f t="shared" si="181"/>
        <v>737000</v>
      </c>
      <c r="AG29" s="62">
        <f t="shared" si="181"/>
        <v>732000</v>
      </c>
      <c r="AH29" s="62">
        <f t="shared" si="181"/>
        <v>1037000</v>
      </c>
      <c r="AI29" s="190">
        <f t="shared" ref="AI29" si="186">SUM(W29:AH29)</f>
        <v>10087000</v>
      </c>
      <c r="AJ29" s="196">
        <f t="shared" ref="AJ29" si="187">SUM(AJ30:AJ31)</f>
        <v>0.13709130123007604</v>
      </c>
      <c r="AK29" s="62">
        <f t="shared" ref="AK29:AV29" si="188">SUM(AK30:AK31)</f>
        <v>998000</v>
      </c>
      <c r="AL29" s="62">
        <f t="shared" si="188"/>
        <v>767000</v>
      </c>
      <c r="AM29" s="62">
        <f t="shared" si="188"/>
        <v>736000</v>
      </c>
      <c r="AN29" s="62">
        <f t="shared" si="188"/>
        <v>732000</v>
      </c>
      <c r="AO29" s="62">
        <f t="shared" si="188"/>
        <v>866000</v>
      </c>
      <c r="AP29" s="62">
        <f t="shared" si="188"/>
        <v>796000</v>
      </c>
      <c r="AQ29" s="62">
        <f t="shared" si="188"/>
        <v>792000</v>
      </c>
      <c r="AR29" s="62">
        <f t="shared" si="188"/>
        <v>758000</v>
      </c>
      <c r="AS29" s="62">
        <f t="shared" si="188"/>
        <v>778000</v>
      </c>
      <c r="AT29" s="62">
        <f t="shared" si="188"/>
        <v>763000</v>
      </c>
      <c r="AU29" s="62">
        <f t="shared" si="188"/>
        <v>758000</v>
      </c>
      <c r="AV29" s="62">
        <f t="shared" si="188"/>
        <v>1290000</v>
      </c>
      <c r="AW29" s="190">
        <f t="shared" ref="AW29" si="189">SUM(AK29:AV29)</f>
        <v>10034000</v>
      </c>
      <c r="AX29" s="196">
        <f t="shared" ref="AX29" si="190">SUM(AX30:AX31)</f>
        <v>0.13152903738139399</v>
      </c>
      <c r="AY29" s="62">
        <f t="shared" ref="AY29:BJ29" si="191">SUM(AY30:AY31)</f>
        <v>778000</v>
      </c>
      <c r="AZ29" s="62">
        <f t="shared" si="191"/>
        <v>763000</v>
      </c>
      <c r="BA29" s="62">
        <f t="shared" si="191"/>
        <v>758000</v>
      </c>
      <c r="BB29" s="62">
        <f t="shared" si="191"/>
        <v>1001000</v>
      </c>
      <c r="BC29" s="62">
        <f t="shared" si="191"/>
        <v>788000</v>
      </c>
      <c r="BD29" s="62">
        <f t="shared" si="191"/>
        <v>0</v>
      </c>
      <c r="BE29" s="62">
        <f t="shared" si="191"/>
        <v>0</v>
      </c>
      <c r="BF29" s="62">
        <f t="shared" si="191"/>
        <v>30000</v>
      </c>
      <c r="BG29" s="62">
        <f t="shared" si="191"/>
        <v>862000</v>
      </c>
      <c r="BH29" s="62">
        <f t="shared" si="191"/>
        <v>1053000</v>
      </c>
      <c r="BI29" s="62">
        <f t="shared" si="191"/>
        <v>955000</v>
      </c>
      <c r="BJ29" s="62">
        <f t="shared" si="191"/>
        <v>951000</v>
      </c>
      <c r="BK29" s="190">
        <f t="shared" ref="BK29" si="192">SUM(AY29:BJ29)</f>
        <v>7939000</v>
      </c>
      <c r="BL29" s="196">
        <f t="shared" ref="BL29" si="193">SUM(BL30:BL31)</f>
        <v>0.11367570410708214</v>
      </c>
      <c r="BM29" s="62">
        <f t="shared" ref="BM29:BX29" si="194">SUM(BM30:BM31)</f>
        <v>1268000</v>
      </c>
      <c r="BN29" s="62">
        <f t="shared" si="194"/>
        <v>880000</v>
      </c>
      <c r="BO29" s="62">
        <f t="shared" si="194"/>
        <v>830000</v>
      </c>
      <c r="BP29" s="62">
        <f t="shared" si="194"/>
        <v>1421000</v>
      </c>
      <c r="BQ29" s="62">
        <f t="shared" si="194"/>
        <v>1059000</v>
      </c>
      <c r="BR29" s="62">
        <f t="shared" si="194"/>
        <v>0</v>
      </c>
      <c r="BS29" s="62">
        <f t="shared" si="194"/>
        <v>0</v>
      </c>
      <c r="BT29" s="62">
        <f t="shared" si="194"/>
        <v>0</v>
      </c>
      <c r="BU29" s="62">
        <f t="shared" si="194"/>
        <v>0</v>
      </c>
      <c r="BV29" s="62">
        <f t="shared" si="194"/>
        <v>0</v>
      </c>
      <c r="BW29" s="62">
        <f t="shared" si="194"/>
        <v>0</v>
      </c>
      <c r="BX29" s="62">
        <f t="shared" si="194"/>
        <v>0</v>
      </c>
      <c r="BY29" s="190">
        <f t="shared" ref="BY29" si="195">SUM(BM29:BX29)</f>
        <v>5458000</v>
      </c>
      <c r="BZ29" s="196">
        <f t="shared" ref="BZ29" si="196">SUM(BZ30:BZ31)</f>
        <v>0.12506046231127224</v>
      </c>
      <c r="CA29" s="62">
        <f t="shared" ref="CA29:CL29" si="197">SUM(CA30:CA31)</f>
        <v>0</v>
      </c>
      <c r="CB29" s="62">
        <f t="shared" si="197"/>
        <v>0</v>
      </c>
      <c r="CC29" s="62">
        <f t="shared" si="197"/>
        <v>0</v>
      </c>
      <c r="CD29" s="62">
        <f t="shared" si="197"/>
        <v>0</v>
      </c>
      <c r="CE29" s="62">
        <f t="shared" si="197"/>
        <v>0</v>
      </c>
      <c r="CF29" s="62">
        <f t="shared" si="197"/>
        <v>0</v>
      </c>
      <c r="CG29" s="62">
        <f t="shared" si="197"/>
        <v>0</v>
      </c>
      <c r="CH29" s="62">
        <f t="shared" si="197"/>
        <v>0</v>
      </c>
      <c r="CI29" s="62">
        <f t="shared" si="197"/>
        <v>0</v>
      </c>
      <c r="CJ29" s="62">
        <f t="shared" si="197"/>
        <v>0</v>
      </c>
      <c r="CK29" s="62">
        <f t="shared" si="197"/>
        <v>0</v>
      </c>
      <c r="CL29" s="62">
        <f t="shared" si="197"/>
        <v>0</v>
      </c>
      <c r="CM29" s="190">
        <f t="shared" ref="CM29" si="198">SUM(CA29:CL29)</f>
        <v>0</v>
      </c>
      <c r="CN29" s="62">
        <f t="shared" ref="CN29:CY29" si="199">SUM(CN30:CN31)</f>
        <v>0</v>
      </c>
      <c r="CO29" s="62">
        <f t="shared" si="199"/>
        <v>0</v>
      </c>
      <c r="CP29" s="62">
        <f t="shared" si="199"/>
        <v>0</v>
      </c>
      <c r="CQ29" s="62">
        <f t="shared" si="199"/>
        <v>0</v>
      </c>
      <c r="CR29" s="62">
        <f t="shared" si="199"/>
        <v>0</v>
      </c>
      <c r="CS29" s="62">
        <f t="shared" si="199"/>
        <v>0</v>
      </c>
      <c r="CT29" s="62">
        <f t="shared" si="199"/>
        <v>0</v>
      </c>
      <c r="CU29" s="62">
        <f t="shared" si="199"/>
        <v>0</v>
      </c>
      <c r="CV29" s="62">
        <f t="shared" si="199"/>
        <v>0</v>
      </c>
      <c r="CW29" s="62">
        <f t="shared" si="199"/>
        <v>0</v>
      </c>
      <c r="CX29" s="62">
        <f t="shared" si="199"/>
        <v>0</v>
      </c>
      <c r="CY29" s="62">
        <f t="shared" si="199"/>
        <v>0</v>
      </c>
      <c r="CZ29" s="190">
        <f t="shared" ref="CZ29" si="200">SUM(CN29:CY29)</f>
        <v>0</v>
      </c>
      <c r="DA29" s="62">
        <f t="shared" ref="DA29:DL29" si="201">SUM(DA30:DA31)</f>
        <v>0</v>
      </c>
      <c r="DB29" s="62">
        <f t="shared" si="201"/>
        <v>0</v>
      </c>
      <c r="DC29" s="62">
        <f t="shared" si="201"/>
        <v>0</v>
      </c>
      <c r="DD29" s="62">
        <f t="shared" si="201"/>
        <v>0</v>
      </c>
      <c r="DE29" s="62">
        <f t="shared" si="201"/>
        <v>0</v>
      </c>
      <c r="DF29" s="62">
        <f t="shared" si="201"/>
        <v>0</v>
      </c>
      <c r="DG29" s="62">
        <f t="shared" si="201"/>
        <v>0</v>
      </c>
      <c r="DH29" s="62">
        <f t="shared" si="201"/>
        <v>0</v>
      </c>
      <c r="DI29" s="62">
        <f t="shared" si="201"/>
        <v>0</v>
      </c>
      <c r="DJ29" s="62">
        <f t="shared" si="201"/>
        <v>0</v>
      </c>
      <c r="DK29" s="62">
        <f t="shared" si="201"/>
        <v>0</v>
      </c>
      <c r="DL29" s="62">
        <f t="shared" si="201"/>
        <v>0</v>
      </c>
      <c r="DM29" s="190">
        <f t="shared" ref="DM29" si="202">SUM(DA29:DL29)</f>
        <v>0</v>
      </c>
      <c r="DN29" s="62">
        <f t="shared" ref="DN29:DW29" si="203">SUM(DN30:DN31)</f>
        <v>0</v>
      </c>
      <c r="DO29" s="62">
        <f t="shared" si="203"/>
        <v>0</v>
      </c>
      <c r="DP29" s="62">
        <f t="shared" si="203"/>
        <v>0</v>
      </c>
      <c r="DQ29" s="62">
        <f t="shared" si="203"/>
        <v>0</v>
      </c>
      <c r="DR29" s="62">
        <f t="shared" si="203"/>
        <v>0</v>
      </c>
      <c r="DS29" s="62">
        <f t="shared" si="203"/>
        <v>0</v>
      </c>
      <c r="DT29" s="62">
        <f t="shared" si="203"/>
        <v>0</v>
      </c>
      <c r="DU29" s="62">
        <f t="shared" si="203"/>
        <v>0</v>
      </c>
      <c r="DV29" s="62">
        <f t="shared" si="203"/>
        <v>0</v>
      </c>
      <c r="DW29" s="62">
        <f t="shared" si="203"/>
        <v>0</v>
      </c>
      <c r="DX29" s="62">
        <f t="shared" si="181"/>
        <v>0</v>
      </c>
      <c r="DY29" s="62">
        <f t="shared" si="181"/>
        <v>0</v>
      </c>
      <c r="DZ29" s="190">
        <f t="shared" ref="DZ29" si="204">SUM(DN29:DY29)</f>
        <v>0</v>
      </c>
    </row>
    <row r="30" spans="1:130" ht="20.45" customHeight="1" outlineLevel="2">
      <c r="A30" s="526"/>
      <c r="B30" s="528"/>
      <c r="C30" s="30" t="s">
        <v>310</v>
      </c>
      <c r="D30" s="62">
        <f t="shared" si="0"/>
        <v>39495599.999999985</v>
      </c>
      <c r="E30" s="184">
        <f t="shared" si="179"/>
        <v>0.12219951969743566</v>
      </c>
      <c r="F30" s="62">
        <v>548000</v>
      </c>
      <c r="G30" s="190">
        <f t="shared" ref="G30" si="205">SUM(F30)</f>
        <v>548000</v>
      </c>
      <c r="H30" s="197">
        <f t="shared" ref="H30:H31" si="206">G30/(G$5+G$6+G$7+G$8+G$10+G$9)</f>
        <v>0.12517402730301366</v>
      </c>
      <c r="I30" s="62">
        <v>563000</v>
      </c>
      <c r="J30" s="62">
        <v>568000</v>
      </c>
      <c r="K30" s="62">
        <v>548000</v>
      </c>
      <c r="L30" s="62">
        <v>646000</v>
      </c>
      <c r="M30" s="62">
        <v>592000</v>
      </c>
      <c r="N30" s="62">
        <v>572000</v>
      </c>
      <c r="O30" s="62">
        <v>605000</v>
      </c>
      <c r="P30" s="62">
        <v>572000</v>
      </c>
      <c r="Q30" s="62">
        <v>654000</v>
      </c>
      <c r="R30" s="62">
        <v>572000</v>
      </c>
      <c r="S30" s="62">
        <v>577600</v>
      </c>
      <c r="T30" s="62">
        <v>613000</v>
      </c>
      <c r="U30" s="190">
        <f t="shared" ref="U30" si="207">SUM(I30:T30)</f>
        <v>7082600</v>
      </c>
      <c r="V30" s="197">
        <f t="shared" ref="V30:V31" si="208">U30/(U$5+U$6+U$7+U$8+U$10+U$9)</f>
        <v>0.12766042507176054</v>
      </c>
      <c r="W30" s="62">
        <v>721000</v>
      </c>
      <c r="X30" s="62">
        <v>706000</v>
      </c>
      <c r="Y30" s="62">
        <f>291000+701000</f>
        <v>992000</v>
      </c>
      <c r="Z30" s="62">
        <v>812000</v>
      </c>
      <c r="AA30" s="62">
        <f>782000+82000</f>
        <v>864000</v>
      </c>
      <c r="AB30" s="62">
        <v>737000</v>
      </c>
      <c r="AC30" s="62">
        <v>765000</v>
      </c>
      <c r="AD30" s="62">
        <v>732000</v>
      </c>
      <c r="AE30" s="62">
        <v>752000</v>
      </c>
      <c r="AF30" s="62">
        <v>737000</v>
      </c>
      <c r="AG30" s="62">
        <v>732000</v>
      </c>
      <c r="AH30" s="62">
        <v>737000</v>
      </c>
      <c r="AI30" s="190">
        <f t="shared" ref="AI30" si="209">SUM(W30:AH30)</f>
        <v>9287000</v>
      </c>
      <c r="AJ30" s="197">
        <f t="shared" ref="AJ30:AJ31" si="210">AI30/(AI$5+AI$6+AI$7+AI$8+AI$10+AI$9)</f>
        <v>0.12621858972179203</v>
      </c>
      <c r="AK30" s="62">
        <v>998000</v>
      </c>
      <c r="AL30" s="62">
        <v>767000</v>
      </c>
      <c r="AM30" s="62">
        <v>736000</v>
      </c>
      <c r="AN30" s="62">
        <v>732000</v>
      </c>
      <c r="AO30" s="62">
        <v>866000</v>
      </c>
      <c r="AP30" s="62">
        <v>796000</v>
      </c>
      <c r="AQ30" s="62">
        <v>792000</v>
      </c>
      <c r="AR30" s="62">
        <v>758000</v>
      </c>
      <c r="AS30" s="62">
        <v>778000</v>
      </c>
      <c r="AT30" s="62">
        <v>763000</v>
      </c>
      <c r="AU30" s="62">
        <v>758000</v>
      </c>
      <c r="AV30" s="62">
        <f>813000+77000</f>
        <v>890000</v>
      </c>
      <c r="AW30" s="190">
        <f t="shared" ref="AW30" si="211">SUM(AK30:AV30)</f>
        <v>9634000</v>
      </c>
      <c r="AX30" s="197">
        <f t="shared" ref="AX30:AX31" si="212">AW30/(AW$5+AW$6+AW$7+AW$8+AW$10+AW$9)</f>
        <v>0.12628570322227922</v>
      </c>
      <c r="AY30" s="62">
        <v>778000</v>
      </c>
      <c r="AZ30" s="62">
        <v>763000</v>
      </c>
      <c r="BA30" s="62">
        <v>758000</v>
      </c>
      <c r="BB30" s="62">
        <v>1001000</v>
      </c>
      <c r="BC30" s="62">
        <v>788000</v>
      </c>
      <c r="BD30" s="62">
        <v>0</v>
      </c>
      <c r="BE30" s="62">
        <v>0</v>
      </c>
      <c r="BF30" s="62">
        <v>30000</v>
      </c>
      <c r="BG30" s="62">
        <v>862000</v>
      </c>
      <c r="BH30" s="62">
        <v>1053000</v>
      </c>
      <c r="BI30" s="62">
        <f>815000+89000</f>
        <v>904000</v>
      </c>
      <c r="BJ30" s="62">
        <v>850000</v>
      </c>
      <c r="BK30" s="190">
        <f t="shared" ref="BK30" si="213">SUM(AY30:BJ30)</f>
        <v>7787000</v>
      </c>
      <c r="BL30" s="197">
        <f t="shared" ref="BL30:BL31" si="214">BK30/(BK$5+BK$6+BK$7+BK$8+BK$10+BK$9)</f>
        <v>0.11149927042220036</v>
      </c>
      <c r="BM30" s="62">
        <f>968000</f>
        <v>968000</v>
      </c>
      <c r="BN30" s="62">
        <v>879000</v>
      </c>
      <c r="BO30" s="62">
        <v>830000</v>
      </c>
      <c r="BP30" s="62">
        <f>833000+588000</f>
        <v>1421000</v>
      </c>
      <c r="BQ30" s="62">
        <v>1059000</v>
      </c>
      <c r="BR30" s="62">
        <v>0</v>
      </c>
      <c r="BS30" s="62">
        <v>0</v>
      </c>
      <c r="BT30" s="62">
        <v>0</v>
      </c>
      <c r="BU30" s="62">
        <v>0</v>
      </c>
      <c r="BV30" s="62">
        <v>0</v>
      </c>
      <c r="BW30" s="62">
        <v>0</v>
      </c>
      <c r="BX30" s="62">
        <v>0</v>
      </c>
      <c r="BY30" s="190">
        <f t="shared" ref="BY30" si="215">SUM(BM30:BX30)</f>
        <v>5157000</v>
      </c>
      <c r="BZ30" s="197">
        <f t="shared" ref="BZ30:BZ31" si="216">BY30/(BY$5+BY$6+BY$7+BY$8+BY$10+BY$9)</f>
        <v>0.11816357715999101</v>
      </c>
      <c r="CA30" s="62">
        <v>0</v>
      </c>
      <c r="CB30" s="62">
        <v>0</v>
      </c>
      <c r="CC30" s="62">
        <v>0</v>
      </c>
      <c r="CD30" s="62">
        <v>0</v>
      </c>
      <c r="CE30" s="62">
        <v>0</v>
      </c>
      <c r="CF30" s="62">
        <v>0</v>
      </c>
      <c r="CG30" s="62">
        <v>0</v>
      </c>
      <c r="CH30" s="62">
        <v>0</v>
      </c>
      <c r="CI30" s="62">
        <v>0</v>
      </c>
      <c r="CJ30" s="62">
        <v>0</v>
      </c>
      <c r="CK30" s="62">
        <v>0</v>
      </c>
      <c r="CL30" s="62">
        <v>0</v>
      </c>
      <c r="CM30" s="190">
        <f t="shared" ref="CM30" si="217">SUM(CA30:CL30)</f>
        <v>0</v>
      </c>
      <c r="CN30" s="62">
        <v>0</v>
      </c>
      <c r="CO30" s="62">
        <v>0</v>
      </c>
      <c r="CP30" s="62">
        <v>0</v>
      </c>
      <c r="CQ30" s="62">
        <v>0</v>
      </c>
      <c r="CR30" s="62">
        <v>0</v>
      </c>
      <c r="CS30" s="62">
        <v>0</v>
      </c>
      <c r="CT30" s="62">
        <v>0</v>
      </c>
      <c r="CU30" s="62">
        <v>0</v>
      </c>
      <c r="CV30" s="62">
        <v>0</v>
      </c>
      <c r="CW30" s="62">
        <v>0</v>
      </c>
      <c r="CX30" s="62">
        <v>0</v>
      </c>
      <c r="CY30" s="62">
        <v>0</v>
      </c>
      <c r="CZ30" s="190">
        <f t="shared" ref="CZ30" si="218">SUM(CN30:CY30)</f>
        <v>0</v>
      </c>
      <c r="DA30" s="62">
        <v>0</v>
      </c>
      <c r="DB30" s="62">
        <v>0</v>
      </c>
      <c r="DC30" s="62">
        <v>0</v>
      </c>
      <c r="DD30" s="62">
        <v>0</v>
      </c>
      <c r="DE30" s="62">
        <v>0</v>
      </c>
      <c r="DF30" s="62">
        <v>0</v>
      </c>
      <c r="DG30" s="62">
        <v>0</v>
      </c>
      <c r="DH30" s="62">
        <v>0</v>
      </c>
      <c r="DI30" s="62">
        <v>0</v>
      </c>
      <c r="DJ30" s="62">
        <v>0</v>
      </c>
      <c r="DK30" s="62">
        <v>0</v>
      </c>
      <c r="DL30" s="62">
        <v>0</v>
      </c>
      <c r="DM30" s="190">
        <f t="shared" ref="DM30" si="219">SUM(DA30:DL30)</f>
        <v>0</v>
      </c>
      <c r="DN30" s="62">
        <v>0</v>
      </c>
      <c r="DO30" s="62">
        <v>0</v>
      </c>
      <c r="DP30" s="62">
        <v>0</v>
      </c>
      <c r="DQ30" s="62">
        <v>0</v>
      </c>
      <c r="DR30" s="62">
        <v>0</v>
      </c>
      <c r="DS30" s="62">
        <v>0</v>
      </c>
      <c r="DT30" s="62">
        <v>0</v>
      </c>
      <c r="DU30" s="62">
        <v>0</v>
      </c>
      <c r="DV30" s="62">
        <v>0</v>
      </c>
      <c r="DW30" s="62">
        <v>0</v>
      </c>
      <c r="DX30" s="62">
        <v>0</v>
      </c>
      <c r="DY30" s="62">
        <v>0</v>
      </c>
      <c r="DZ30" s="190">
        <f t="shared" ref="DZ30" si="220">SUM(DN30:DY30)</f>
        <v>0</v>
      </c>
    </row>
    <row r="31" spans="1:130" ht="20.45" customHeight="1" outlineLevel="2">
      <c r="A31" s="525"/>
      <c r="B31" s="529"/>
      <c r="C31" s="31" t="s">
        <v>3356</v>
      </c>
      <c r="D31" s="62">
        <f t="shared" si="0"/>
        <v>1653000</v>
      </c>
      <c r="E31" s="184">
        <f t="shared" si="179"/>
        <v>5.1143875788660313E-3</v>
      </c>
      <c r="F31" s="62">
        <v>0</v>
      </c>
      <c r="G31" s="190">
        <f t="shared" si="36"/>
        <v>0</v>
      </c>
      <c r="H31" s="197">
        <f t="shared" si="206"/>
        <v>0</v>
      </c>
      <c r="I31" s="62">
        <v>0</v>
      </c>
      <c r="J31" s="62">
        <v>0</v>
      </c>
      <c r="K31" s="62">
        <v>0</v>
      </c>
      <c r="L31" s="62">
        <v>0</v>
      </c>
      <c r="M31" s="62">
        <v>0</v>
      </c>
      <c r="N31" s="62">
        <v>0</v>
      </c>
      <c r="O31" s="62">
        <v>0</v>
      </c>
      <c r="P31" s="62">
        <v>0</v>
      </c>
      <c r="Q31" s="62">
        <v>0</v>
      </c>
      <c r="R31" s="62">
        <v>0</v>
      </c>
      <c r="S31" s="62">
        <v>0</v>
      </c>
      <c r="T31" s="62">
        <v>0</v>
      </c>
      <c r="U31" s="190">
        <f t="shared" si="16"/>
        <v>0</v>
      </c>
      <c r="V31" s="197">
        <f t="shared" si="208"/>
        <v>0</v>
      </c>
      <c r="W31" s="62">
        <v>0</v>
      </c>
      <c r="X31" s="62">
        <v>0</v>
      </c>
      <c r="Y31" s="62">
        <v>0</v>
      </c>
      <c r="Z31" s="62">
        <v>0</v>
      </c>
      <c r="AA31" s="62">
        <v>0</v>
      </c>
      <c r="AB31" s="62">
        <v>0</v>
      </c>
      <c r="AC31" s="62">
        <v>500000</v>
      </c>
      <c r="AD31" s="62">
        <v>0</v>
      </c>
      <c r="AE31" s="62">
        <v>0</v>
      </c>
      <c r="AF31" s="62">
        <v>0</v>
      </c>
      <c r="AG31" s="62">
        <v>0</v>
      </c>
      <c r="AH31" s="62">
        <v>300000</v>
      </c>
      <c r="AI31" s="190">
        <f t="shared" si="17"/>
        <v>800000</v>
      </c>
      <c r="AJ31" s="197">
        <f t="shared" si="210"/>
        <v>1.0872711508284014E-2</v>
      </c>
      <c r="AK31" s="62">
        <v>0</v>
      </c>
      <c r="AL31" s="62">
        <v>0</v>
      </c>
      <c r="AM31" s="62">
        <v>0</v>
      </c>
      <c r="AN31" s="62">
        <v>0</v>
      </c>
      <c r="AO31" s="62">
        <v>0</v>
      </c>
      <c r="AP31" s="62">
        <v>0</v>
      </c>
      <c r="AQ31" s="62">
        <v>0</v>
      </c>
      <c r="AR31" s="62">
        <v>0</v>
      </c>
      <c r="AS31" s="62">
        <v>0</v>
      </c>
      <c r="AT31" s="62">
        <v>0</v>
      </c>
      <c r="AU31" s="62">
        <v>0</v>
      </c>
      <c r="AV31" s="62">
        <v>400000</v>
      </c>
      <c r="AW31" s="190">
        <f t="shared" si="18"/>
        <v>400000</v>
      </c>
      <c r="AX31" s="197">
        <f t="shared" si="212"/>
        <v>5.2433341591147688E-3</v>
      </c>
      <c r="AY31" s="62">
        <v>0</v>
      </c>
      <c r="AZ31" s="62">
        <v>0</v>
      </c>
      <c r="BA31" s="62">
        <v>0</v>
      </c>
      <c r="BB31" s="62">
        <v>0</v>
      </c>
      <c r="BC31" s="62">
        <v>0</v>
      </c>
      <c r="BD31" s="62">
        <v>0</v>
      </c>
      <c r="BE31" s="62">
        <v>0</v>
      </c>
      <c r="BF31" s="62">
        <v>0</v>
      </c>
      <c r="BG31" s="62">
        <v>0</v>
      </c>
      <c r="BH31" s="62">
        <v>0</v>
      </c>
      <c r="BI31" s="62">
        <f>1000+50000</f>
        <v>51000</v>
      </c>
      <c r="BJ31" s="62">
        <f>1000+100000</f>
        <v>101000</v>
      </c>
      <c r="BK31" s="190">
        <f t="shared" si="19"/>
        <v>152000</v>
      </c>
      <c r="BL31" s="197">
        <f t="shared" si="214"/>
        <v>2.1764336848817843E-3</v>
      </c>
      <c r="BM31" s="62">
        <f>300000</f>
        <v>300000</v>
      </c>
      <c r="BN31" s="62">
        <f>1000</f>
        <v>1000</v>
      </c>
      <c r="BO31" s="62">
        <v>0</v>
      </c>
      <c r="BP31" s="62">
        <v>0</v>
      </c>
      <c r="BQ31" s="62">
        <v>0</v>
      </c>
      <c r="BR31" s="62">
        <v>0</v>
      </c>
      <c r="BS31" s="62">
        <v>0</v>
      </c>
      <c r="BT31" s="62">
        <v>0</v>
      </c>
      <c r="BU31" s="62">
        <v>0</v>
      </c>
      <c r="BV31" s="62">
        <v>0</v>
      </c>
      <c r="BW31" s="62">
        <v>0</v>
      </c>
      <c r="BX31" s="62">
        <v>0</v>
      </c>
      <c r="BY31" s="190">
        <f t="shared" si="20"/>
        <v>301000</v>
      </c>
      <c r="BZ31" s="197">
        <f t="shared" si="216"/>
        <v>6.8968851512812282E-3</v>
      </c>
      <c r="CA31" s="62">
        <v>0</v>
      </c>
      <c r="CB31" s="62">
        <v>0</v>
      </c>
      <c r="CC31" s="62">
        <v>0</v>
      </c>
      <c r="CD31" s="62">
        <v>0</v>
      </c>
      <c r="CE31" s="62">
        <v>0</v>
      </c>
      <c r="CF31" s="62">
        <v>0</v>
      </c>
      <c r="CG31" s="62">
        <v>0</v>
      </c>
      <c r="CH31" s="62">
        <v>0</v>
      </c>
      <c r="CI31" s="62">
        <v>0</v>
      </c>
      <c r="CJ31" s="62">
        <v>0</v>
      </c>
      <c r="CK31" s="62">
        <v>0</v>
      </c>
      <c r="CL31" s="62">
        <v>0</v>
      </c>
      <c r="CM31" s="190">
        <f t="shared" si="21"/>
        <v>0</v>
      </c>
      <c r="CN31" s="62">
        <v>0</v>
      </c>
      <c r="CO31" s="62">
        <v>0</v>
      </c>
      <c r="CP31" s="62">
        <v>0</v>
      </c>
      <c r="CQ31" s="62">
        <v>0</v>
      </c>
      <c r="CR31" s="62">
        <v>0</v>
      </c>
      <c r="CS31" s="62">
        <v>0</v>
      </c>
      <c r="CT31" s="62">
        <v>0</v>
      </c>
      <c r="CU31" s="62">
        <v>0</v>
      </c>
      <c r="CV31" s="62">
        <v>0</v>
      </c>
      <c r="CW31" s="62">
        <v>0</v>
      </c>
      <c r="CX31" s="62">
        <v>0</v>
      </c>
      <c r="CY31" s="62">
        <v>0</v>
      </c>
      <c r="CZ31" s="190">
        <f t="shared" si="22"/>
        <v>0</v>
      </c>
      <c r="DA31" s="62">
        <v>0</v>
      </c>
      <c r="DB31" s="62">
        <v>0</v>
      </c>
      <c r="DC31" s="62">
        <v>0</v>
      </c>
      <c r="DD31" s="62">
        <v>0</v>
      </c>
      <c r="DE31" s="62">
        <v>0</v>
      </c>
      <c r="DF31" s="62">
        <v>0</v>
      </c>
      <c r="DG31" s="62">
        <v>0</v>
      </c>
      <c r="DH31" s="62">
        <v>0</v>
      </c>
      <c r="DI31" s="62">
        <v>0</v>
      </c>
      <c r="DJ31" s="62">
        <v>0</v>
      </c>
      <c r="DK31" s="62">
        <v>0</v>
      </c>
      <c r="DL31" s="62">
        <v>0</v>
      </c>
      <c r="DM31" s="190">
        <f t="shared" si="23"/>
        <v>0</v>
      </c>
      <c r="DN31" s="62">
        <v>0</v>
      </c>
      <c r="DO31" s="62">
        <v>0</v>
      </c>
      <c r="DP31" s="62">
        <v>0</v>
      </c>
      <c r="DQ31" s="62">
        <v>0</v>
      </c>
      <c r="DR31" s="62">
        <v>0</v>
      </c>
      <c r="DS31" s="62">
        <v>0</v>
      </c>
      <c r="DT31" s="62">
        <v>0</v>
      </c>
      <c r="DU31" s="62">
        <v>0</v>
      </c>
      <c r="DV31" s="62">
        <v>0</v>
      </c>
      <c r="DW31" s="62">
        <v>0</v>
      </c>
      <c r="DX31" s="62">
        <v>0</v>
      </c>
      <c r="DY31" s="62">
        <v>0</v>
      </c>
      <c r="DZ31" s="190">
        <f t="shared" si="24"/>
        <v>0</v>
      </c>
    </row>
    <row r="32" spans="1:130" s="194" customFormat="1" ht="20.45" customHeight="1" outlineLevel="1">
      <c r="A32" s="525"/>
      <c r="B32" s="527" t="s">
        <v>311</v>
      </c>
      <c r="C32" s="65" t="s">
        <v>307</v>
      </c>
      <c r="D32" s="66">
        <f t="shared" si="0"/>
        <v>9533522.9999999963</v>
      </c>
      <c r="E32" s="187">
        <f>SUM(E33:E40)</f>
        <v>2.9496752337588399E-2</v>
      </c>
      <c r="F32" s="62">
        <f t="shared" ref="F32:DX32" si="221">SUM(F33:F40)</f>
        <v>75040</v>
      </c>
      <c r="G32" s="190">
        <f t="shared" si="36"/>
        <v>75040</v>
      </c>
      <c r="H32" s="196">
        <f>SUM(H33:H40)</f>
        <v>1.7140618629230192E-2</v>
      </c>
      <c r="I32" s="62">
        <f t="shared" si="221"/>
        <v>75040</v>
      </c>
      <c r="J32" s="62">
        <f t="shared" si="221"/>
        <v>75040</v>
      </c>
      <c r="K32" s="62">
        <f t="shared" si="221"/>
        <v>73160</v>
      </c>
      <c r="L32" s="62">
        <f t="shared" si="221"/>
        <v>73160</v>
      </c>
      <c r="M32" s="62">
        <f t="shared" si="221"/>
        <v>73160</v>
      </c>
      <c r="N32" s="62">
        <f t="shared" si="221"/>
        <v>73160</v>
      </c>
      <c r="O32" s="62">
        <f t="shared" si="221"/>
        <v>860210</v>
      </c>
      <c r="P32" s="62">
        <f t="shared" si="221"/>
        <v>73160</v>
      </c>
      <c r="Q32" s="62">
        <f t="shared" si="221"/>
        <v>73160</v>
      </c>
      <c r="R32" s="62">
        <f t="shared" si="221"/>
        <v>115206</v>
      </c>
      <c r="S32" s="62">
        <f t="shared" si="221"/>
        <v>96390</v>
      </c>
      <c r="T32" s="62">
        <f t="shared" si="221"/>
        <v>968046</v>
      </c>
      <c r="U32" s="190">
        <f t="shared" si="16"/>
        <v>2628892</v>
      </c>
      <c r="V32" s="196">
        <f>SUM(V33:V40)</f>
        <v>4.7384501480776942E-2</v>
      </c>
      <c r="W32" s="62">
        <f t="shared" si="221"/>
        <v>115206</v>
      </c>
      <c r="X32" s="62">
        <f t="shared" si="221"/>
        <v>115206</v>
      </c>
      <c r="Y32" s="62">
        <f t="shared" si="221"/>
        <v>114986</v>
      </c>
      <c r="Z32" s="62">
        <f t="shared" si="221"/>
        <v>114986</v>
      </c>
      <c r="AA32" s="62">
        <f t="shared" si="221"/>
        <v>123926</v>
      </c>
      <c r="AB32" s="62">
        <f t="shared" si="221"/>
        <v>133331</v>
      </c>
      <c r="AC32" s="62">
        <f t="shared" ref="AC32:AF32" si="222">SUM(AC33:AC40)</f>
        <v>114781</v>
      </c>
      <c r="AD32" s="62">
        <f t="shared" si="222"/>
        <v>214781</v>
      </c>
      <c r="AE32" s="62">
        <f t="shared" si="222"/>
        <v>114781</v>
      </c>
      <c r="AF32" s="62">
        <f t="shared" si="222"/>
        <v>114781</v>
      </c>
      <c r="AG32" s="62">
        <f t="shared" si="221"/>
        <v>981331</v>
      </c>
      <c r="AH32" s="62">
        <f t="shared" si="221"/>
        <v>114781</v>
      </c>
      <c r="AI32" s="190">
        <f t="shared" si="17"/>
        <v>2372877</v>
      </c>
      <c r="AJ32" s="196">
        <f>SUM(AJ33:AJ40)</f>
        <v>3.2249508832053062E-2</v>
      </c>
      <c r="AK32" s="62">
        <f t="shared" ref="AK32:AV32" si="223">SUM(AK33:AK40)</f>
        <v>114781</v>
      </c>
      <c r="AL32" s="62">
        <f t="shared" si="223"/>
        <v>114781</v>
      </c>
      <c r="AM32" s="62">
        <f t="shared" si="223"/>
        <v>115291</v>
      </c>
      <c r="AN32" s="62">
        <f t="shared" si="223"/>
        <v>92061</v>
      </c>
      <c r="AO32" s="62">
        <f t="shared" si="223"/>
        <v>115291</v>
      </c>
      <c r="AP32" s="62">
        <f t="shared" si="223"/>
        <v>829281</v>
      </c>
      <c r="AQ32" s="62">
        <f t="shared" si="223"/>
        <v>-595349</v>
      </c>
      <c r="AR32" s="62">
        <f t="shared" si="223"/>
        <v>115291</v>
      </c>
      <c r="AS32" s="62">
        <f t="shared" si="223"/>
        <v>115291</v>
      </c>
      <c r="AT32" s="62">
        <f t="shared" si="223"/>
        <v>115291</v>
      </c>
      <c r="AU32" s="62">
        <f t="shared" si="223"/>
        <v>88841</v>
      </c>
      <c r="AV32" s="62">
        <f t="shared" si="223"/>
        <v>651931</v>
      </c>
      <c r="AW32" s="190">
        <f t="shared" si="18"/>
        <v>1872782</v>
      </c>
      <c r="AX32" s="196">
        <f>SUM(AX33:AX40)</f>
        <v>2.4549054582938188E-2</v>
      </c>
      <c r="AY32" s="62">
        <f t="shared" ref="AY32:BJ32" si="224">SUM(AY33:AY40)</f>
        <v>-52870</v>
      </c>
      <c r="AZ32" s="62">
        <f t="shared" si="224"/>
        <v>95196</v>
      </c>
      <c r="BA32" s="62">
        <f t="shared" si="224"/>
        <v>81371</v>
      </c>
      <c r="BB32" s="62">
        <f t="shared" si="224"/>
        <v>81371</v>
      </c>
      <c r="BC32" s="62">
        <f t="shared" si="224"/>
        <v>58141</v>
      </c>
      <c r="BD32" s="62">
        <f t="shared" si="224"/>
        <v>1395373</v>
      </c>
      <c r="BE32" s="62">
        <f t="shared" si="224"/>
        <v>-811542</v>
      </c>
      <c r="BF32" s="62">
        <f t="shared" si="224"/>
        <v>175776</v>
      </c>
      <c r="BG32" s="62">
        <f t="shared" si="224"/>
        <v>97386</v>
      </c>
      <c r="BH32" s="62">
        <f t="shared" si="224"/>
        <v>97386</v>
      </c>
      <c r="BI32" s="62">
        <f t="shared" si="224"/>
        <v>97386</v>
      </c>
      <c r="BJ32" s="62">
        <f t="shared" si="224"/>
        <v>784666</v>
      </c>
      <c r="BK32" s="190">
        <f t="shared" si="19"/>
        <v>2099640</v>
      </c>
      <c r="BL32" s="196">
        <f>SUM(BL33:BL40)</f>
        <v>3.0063994882402564E-2</v>
      </c>
      <c r="BM32" s="62">
        <f t="shared" ref="BM32:BX32" si="225">SUM(BM33:BM40)</f>
        <v>53393</v>
      </c>
      <c r="BN32" s="62">
        <f t="shared" si="225"/>
        <v>141379</v>
      </c>
      <c r="BO32" s="62">
        <f t="shared" si="225"/>
        <v>97759</v>
      </c>
      <c r="BP32" s="62">
        <f t="shared" si="225"/>
        <v>97759</v>
      </c>
      <c r="BQ32" s="62">
        <f t="shared" si="225"/>
        <v>94002</v>
      </c>
      <c r="BR32" s="62">
        <f t="shared" si="225"/>
        <v>0</v>
      </c>
      <c r="BS32" s="62">
        <f t="shared" si="225"/>
        <v>0</v>
      </c>
      <c r="BT32" s="62">
        <f t="shared" si="225"/>
        <v>0</v>
      </c>
      <c r="BU32" s="62">
        <f t="shared" si="225"/>
        <v>0</v>
      </c>
      <c r="BV32" s="62">
        <f t="shared" si="225"/>
        <v>0</v>
      </c>
      <c r="BW32" s="62">
        <f t="shared" si="225"/>
        <v>0</v>
      </c>
      <c r="BX32" s="62">
        <f t="shared" si="225"/>
        <v>0</v>
      </c>
      <c r="BY32" s="190">
        <f t="shared" si="20"/>
        <v>484292</v>
      </c>
      <c r="BZ32" s="196">
        <f>SUM(BZ33:BZ40)</f>
        <v>1.1096698683336507E-2</v>
      </c>
      <c r="CA32" s="62">
        <f t="shared" ref="CA32:CL32" si="226">SUM(CA33:CA40)</f>
        <v>0</v>
      </c>
      <c r="CB32" s="62">
        <f t="shared" si="226"/>
        <v>0</v>
      </c>
      <c r="CC32" s="62">
        <f t="shared" si="226"/>
        <v>0</v>
      </c>
      <c r="CD32" s="62">
        <f t="shared" si="226"/>
        <v>0</v>
      </c>
      <c r="CE32" s="62">
        <f t="shared" si="226"/>
        <v>0</v>
      </c>
      <c r="CF32" s="62">
        <f t="shared" si="226"/>
        <v>0</v>
      </c>
      <c r="CG32" s="62">
        <f t="shared" si="226"/>
        <v>0</v>
      </c>
      <c r="CH32" s="62">
        <f t="shared" si="226"/>
        <v>0</v>
      </c>
      <c r="CI32" s="62">
        <f t="shared" si="226"/>
        <v>0</v>
      </c>
      <c r="CJ32" s="62">
        <f t="shared" si="226"/>
        <v>0</v>
      </c>
      <c r="CK32" s="62">
        <f t="shared" si="226"/>
        <v>0</v>
      </c>
      <c r="CL32" s="62">
        <f t="shared" si="226"/>
        <v>0</v>
      </c>
      <c r="CM32" s="190">
        <f t="shared" si="21"/>
        <v>0</v>
      </c>
      <c r="CN32" s="62">
        <f t="shared" ref="CN32:CY32" si="227">SUM(CN33:CN40)</f>
        <v>0</v>
      </c>
      <c r="CO32" s="62">
        <f t="shared" si="227"/>
        <v>0</v>
      </c>
      <c r="CP32" s="62">
        <f t="shared" si="227"/>
        <v>0</v>
      </c>
      <c r="CQ32" s="62">
        <f t="shared" si="227"/>
        <v>0</v>
      </c>
      <c r="CR32" s="62">
        <f t="shared" si="227"/>
        <v>0</v>
      </c>
      <c r="CS32" s="62">
        <f t="shared" si="227"/>
        <v>0</v>
      </c>
      <c r="CT32" s="62">
        <f t="shared" si="227"/>
        <v>0</v>
      </c>
      <c r="CU32" s="62">
        <f t="shared" si="227"/>
        <v>0</v>
      </c>
      <c r="CV32" s="62">
        <f t="shared" si="227"/>
        <v>0</v>
      </c>
      <c r="CW32" s="62">
        <f t="shared" si="227"/>
        <v>0</v>
      </c>
      <c r="CX32" s="62">
        <f t="shared" si="227"/>
        <v>0</v>
      </c>
      <c r="CY32" s="62">
        <f t="shared" si="227"/>
        <v>0</v>
      </c>
      <c r="CZ32" s="190">
        <f t="shared" si="22"/>
        <v>0</v>
      </c>
      <c r="DA32" s="62">
        <f t="shared" ref="DA32:DL32" si="228">SUM(DA33:DA40)</f>
        <v>0</v>
      </c>
      <c r="DB32" s="62">
        <f t="shared" si="228"/>
        <v>0</v>
      </c>
      <c r="DC32" s="62">
        <f t="shared" si="228"/>
        <v>0</v>
      </c>
      <c r="DD32" s="62">
        <f t="shared" si="228"/>
        <v>0</v>
      </c>
      <c r="DE32" s="62">
        <f t="shared" si="228"/>
        <v>0</v>
      </c>
      <c r="DF32" s="62">
        <f t="shared" si="228"/>
        <v>0</v>
      </c>
      <c r="DG32" s="62">
        <f t="shared" si="228"/>
        <v>0</v>
      </c>
      <c r="DH32" s="62">
        <f t="shared" si="228"/>
        <v>0</v>
      </c>
      <c r="DI32" s="62">
        <f t="shared" si="228"/>
        <v>0</v>
      </c>
      <c r="DJ32" s="62">
        <f t="shared" si="228"/>
        <v>0</v>
      </c>
      <c r="DK32" s="62">
        <f t="shared" si="228"/>
        <v>0</v>
      </c>
      <c r="DL32" s="62">
        <f t="shared" si="228"/>
        <v>0</v>
      </c>
      <c r="DM32" s="190">
        <f t="shared" si="23"/>
        <v>0</v>
      </c>
      <c r="DN32" s="62">
        <f t="shared" ref="DN32:DQ32" si="229">SUM(DN33:DN40)</f>
        <v>0</v>
      </c>
      <c r="DO32" s="62">
        <f t="shared" si="229"/>
        <v>0</v>
      </c>
      <c r="DP32" s="62">
        <f t="shared" si="229"/>
        <v>0</v>
      </c>
      <c r="DQ32" s="62">
        <f t="shared" si="229"/>
        <v>0</v>
      </c>
      <c r="DR32" s="62">
        <f t="shared" ref="DR32:DU32" si="230">SUM(DR33:DR40)</f>
        <v>0</v>
      </c>
      <c r="DS32" s="62">
        <f t="shared" si="230"/>
        <v>0</v>
      </c>
      <c r="DT32" s="62">
        <f t="shared" si="230"/>
        <v>0</v>
      </c>
      <c r="DU32" s="62">
        <f t="shared" si="230"/>
        <v>0</v>
      </c>
      <c r="DV32" s="62">
        <f t="shared" ref="DV32:DW32" si="231">SUM(DV33:DV40)</f>
        <v>0</v>
      </c>
      <c r="DW32" s="62">
        <f t="shared" si="231"/>
        <v>0</v>
      </c>
      <c r="DX32" s="62">
        <f t="shared" si="221"/>
        <v>0</v>
      </c>
      <c r="DY32" s="62">
        <f t="shared" ref="DY32" si="232">SUM(DY33:DY40)</f>
        <v>0</v>
      </c>
      <c r="DZ32" s="190">
        <f t="shared" si="24"/>
        <v>0</v>
      </c>
    </row>
    <row r="33" spans="1:130" ht="20.45" customHeight="1" outlineLevel="2">
      <c r="A33" s="525"/>
      <c r="B33" s="530"/>
      <c r="C33" s="30" t="s">
        <v>312</v>
      </c>
      <c r="D33" s="62">
        <f t="shared" si="0"/>
        <v>270659.99999999983</v>
      </c>
      <c r="E33" s="184">
        <f t="shared" si="179"/>
        <v>8.3742295347603087E-4</v>
      </c>
      <c r="F33" s="62">
        <v>9060</v>
      </c>
      <c r="G33" s="190">
        <f t="shared" si="36"/>
        <v>9060</v>
      </c>
      <c r="H33" s="197">
        <f t="shared" ref="H33:H40" si="233">G33/(G$5+G$6+G$7+G$8+G$10+G$9)</f>
        <v>2.0694830061410651E-3</v>
      </c>
      <c r="I33" s="62">
        <v>9060</v>
      </c>
      <c r="J33" s="62">
        <v>9060</v>
      </c>
      <c r="K33" s="62">
        <v>7180</v>
      </c>
      <c r="L33" s="62">
        <v>7180</v>
      </c>
      <c r="M33" s="62">
        <v>7180</v>
      </c>
      <c r="N33" s="62">
        <v>7180</v>
      </c>
      <c r="O33" s="62">
        <v>7180</v>
      </c>
      <c r="P33" s="62">
        <v>7180</v>
      </c>
      <c r="Q33" s="62">
        <v>7180</v>
      </c>
      <c r="R33" s="62">
        <v>7180</v>
      </c>
      <c r="S33" s="62">
        <v>7180</v>
      </c>
      <c r="T33" s="62">
        <v>7180</v>
      </c>
      <c r="U33" s="190">
        <f t="shared" si="16"/>
        <v>89920</v>
      </c>
      <c r="V33" s="197">
        <f t="shared" ref="V33:V40" si="234">U33/(U$5+U$6+U$7+U$8+U$10+U$9)</f>
        <v>1.6207643270060017E-3</v>
      </c>
      <c r="W33" s="62">
        <v>7180</v>
      </c>
      <c r="X33" s="62">
        <v>7180</v>
      </c>
      <c r="Y33" s="62">
        <v>6960</v>
      </c>
      <c r="Z33" s="62">
        <v>6960</v>
      </c>
      <c r="AA33" s="62">
        <v>6960</v>
      </c>
      <c r="AB33" s="62">
        <v>6960</v>
      </c>
      <c r="AC33" s="62">
        <v>6960</v>
      </c>
      <c r="AD33" s="62">
        <v>6960</v>
      </c>
      <c r="AE33" s="62">
        <v>6960</v>
      </c>
      <c r="AF33" s="62">
        <v>6960</v>
      </c>
      <c r="AG33" s="62">
        <v>6960</v>
      </c>
      <c r="AH33" s="62">
        <v>6960</v>
      </c>
      <c r="AI33" s="190">
        <f t="shared" si="17"/>
        <v>83960</v>
      </c>
      <c r="AJ33" s="197">
        <f t="shared" ref="AJ33:AJ40" si="235">AI33/(AI$5+AI$6+AI$7+AI$8+AI$10+AI$9)</f>
        <v>1.1410910727944073E-3</v>
      </c>
      <c r="AK33" s="62">
        <v>6960</v>
      </c>
      <c r="AL33" s="62">
        <v>6960</v>
      </c>
      <c r="AM33" s="62">
        <v>7470</v>
      </c>
      <c r="AN33" s="62">
        <v>7470</v>
      </c>
      <c r="AO33" s="62">
        <v>7470</v>
      </c>
      <c r="AP33" s="62">
        <v>7470</v>
      </c>
      <c r="AQ33" s="62">
        <v>7470</v>
      </c>
      <c r="AR33" s="62">
        <v>7470</v>
      </c>
      <c r="AS33" s="62">
        <v>7470</v>
      </c>
      <c r="AT33" s="62">
        <v>7470</v>
      </c>
      <c r="AU33" s="62">
        <v>7470</v>
      </c>
      <c r="AV33" s="62">
        <v>7470</v>
      </c>
      <c r="AW33" s="190">
        <f t="shared" si="18"/>
        <v>88620</v>
      </c>
      <c r="AX33" s="197">
        <f t="shared" ref="AX33:AX40" si="236">AW33/(AW$5+AW$6+AW$7+AW$8+AW$10+AW$9)</f>
        <v>1.161660682951877E-3</v>
      </c>
      <c r="AY33" s="62">
        <v>-900</v>
      </c>
      <c r="AZ33" s="62">
        <v>0</v>
      </c>
      <c r="BA33" s="62">
        <v>0</v>
      </c>
      <c r="BB33" s="62">
        <v>0</v>
      </c>
      <c r="BC33" s="62">
        <v>0</v>
      </c>
      <c r="BD33" s="62">
        <v>0</v>
      </c>
      <c r="BE33" s="62">
        <v>0</v>
      </c>
      <c r="BF33" s="62">
        <v>0</v>
      </c>
      <c r="BG33" s="62">
        <v>0</v>
      </c>
      <c r="BH33" s="62">
        <v>0</v>
      </c>
      <c r="BI33" s="62">
        <v>0</v>
      </c>
      <c r="BJ33" s="62">
        <v>0</v>
      </c>
      <c r="BK33" s="190">
        <f t="shared" si="19"/>
        <v>-900</v>
      </c>
      <c r="BL33" s="197">
        <f t="shared" ref="BL33:BL40" si="237">BK33/(BK$5+BK$6+BK$7+BK$8+BK$10+BK$9)</f>
        <v>-1.2886778397326354E-5</v>
      </c>
      <c r="BM33" s="62">
        <v>0</v>
      </c>
      <c r="BN33" s="62">
        <v>0</v>
      </c>
      <c r="BO33" s="62">
        <v>0</v>
      </c>
      <c r="BP33" s="62">
        <v>0</v>
      </c>
      <c r="BQ33" s="62">
        <v>0</v>
      </c>
      <c r="BR33" s="62">
        <v>0</v>
      </c>
      <c r="BS33" s="62">
        <v>0</v>
      </c>
      <c r="BT33" s="62">
        <v>0</v>
      </c>
      <c r="BU33" s="62">
        <v>0</v>
      </c>
      <c r="BV33" s="62">
        <v>0</v>
      </c>
      <c r="BW33" s="62">
        <v>0</v>
      </c>
      <c r="BX33" s="62">
        <v>0</v>
      </c>
      <c r="BY33" s="190">
        <f t="shared" si="20"/>
        <v>0</v>
      </c>
      <c r="BZ33" s="197">
        <f t="shared" ref="BZ33:BZ40" si="238">BY33/(BY$5+BY$6+BY$7+BY$8+BY$10+BY$9)</f>
        <v>0</v>
      </c>
      <c r="CA33" s="62">
        <v>0</v>
      </c>
      <c r="CB33" s="62">
        <v>0</v>
      </c>
      <c r="CC33" s="62">
        <v>0</v>
      </c>
      <c r="CD33" s="62">
        <v>0</v>
      </c>
      <c r="CE33" s="62">
        <v>0</v>
      </c>
      <c r="CF33" s="62">
        <v>0</v>
      </c>
      <c r="CG33" s="62">
        <v>0</v>
      </c>
      <c r="CH33" s="62">
        <v>0</v>
      </c>
      <c r="CI33" s="62">
        <v>0</v>
      </c>
      <c r="CJ33" s="62">
        <v>0</v>
      </c>
      <c r="CK33" s="62">
        <v>0</v>
      </c>
      <c r="CL33" s="62">
        <v>0</v>
      </c>
      <c r="CM33" s="190">
        <f t="shared" si="21"/>
        <v>0</v>
      </c>
      <c r="CN33" s="62">
        <v>0</v>
      </c>
      <c r="CO33" s="62">
        <v>0</v>
      </c>
      <c r="CP33" s="62">
        <v>0</v>
      </c>
      <c r="CQ33" s="62">
        <v>0</v>
      </c>
      <c r="CR33" s="62">
        <v>0</v>
      </c>
      <c r="CS33" s="62">
        <v>0</v>
      </c>
      <c r="CT33" s="62">
        <v>0</v>
      </c>
      <c r="CU33" s="62">
        <v>0</v>
      </c>
      <c r="CV33" s="62">
        <v>0</v>
      </c>
      <c r="CW33" s="62">
        <v>0</v>
      </c>
      <c r="CX33" s="62">
        <v>0</v>
      </c>
      <c r="CY33" s="62">
        <v>0</v>
      </c>
      <c r="CZ33" s="190">
        <f t="shared" si="22"/>
        <v>0</v>
      </c>
      <c r="DA33" s="62">
        <v>0</v>
      </c>
      <c r="DB33" s="62">
        <v>0</v>
      </c>
      <c r="DC33" s="62">
        <v>0</v>
      </c>
      <c r="DD33" s="62">
        <v>0</v>
      </c>
      <c r="DE33" s="62">
        <v>0</v>
      </c>
      <c r="DF33" s="62">
        <v>0</v>
      </c>
      <c r="DG33" s="62">
        <v>0</v>
      </c>
      <c r="DH33" s="62">
        <v>0</v>
      </c>
      <c r="DI33" s="62">
        <v>0</v>
      </c>
      <c r="DJ33" s="62">
        <v>0</v>
      </c>
      <c r="DK33" s="62">
        <v>0</v>
      </c>
      <c r="DL33" s="62">
        <v>0</v>
      </c>
      <c r="DM33" s="190">
        <f t="shared" si="23"/>
        <v>0</v>
      </c>
      <c r="DN33" s="62">
        <v>0</v>
      </c>
      <c r="DO33" s="62">
        <v>0</v>
      </c>
      <c r="DP33" s="62">
        <v>0</v>
      </c>
      <c r="DQ33" s="62">
        <v>0</v>
      </c>
      <c r="DR33" s="62">
        <v>0</v>
      </c>
      <c r="DS33" s="62">
        <v>0</v>
      </c>
      <c r="DT33" s="62">
        <v>0</v>
      </c>
      <c r="DU33" s="62">
        <v>0</v>
      </c>
      <c r="DV33" s="62">
        <v>0</v>
      </c>
      <c r="DW33" s="62">
        <v>0</v>
      </c>
      <c r="DX33" s="62">
        <v>0</v>
      </c>
      <c r="DY33" s="62">
        <v>0</v>
      </c>
      <c r="DZ33" s="190">
        <f t="shared" si="24"/>
        <v>0</v>
      </c>
    </row>
    <row r="34" spans="1:130" ht="20.45" customHeight="1" outlineLevel="2">
      <c r="A34" s="526"/>
      <c r="B34" s="530"/>
      <c r="C34" s="30" t="s">
        <v>3220</v>
      </c>
      <c r="D34" s="62">
        <f t="shared" si="0"/>
        <v>270906</v>
      </c>
      <c r="E34" s="184">
        <f t="shared" si="179"/>
        <v>8.3818407830628004E-4</v>
      </c>
      <c r="F34" s="62">
        <v>0</v>
      </c>
      <c r="G34" s="190">
        <f t="shared" ref="G34" si="239">SUM(F34)</f>
        <v>0</v>
      </c>
      <c r="H34" s="197">
        <f t="shared" si="233"/>
        <v>0</v>
      </c>
      <c r="I34" s="62">
        <v>0</v>
      </c>
      <c r="J34" s="62">
        <v>0</v>
      </c>
      <c r="K34" s="62">
        <v>0</v>
      </c>
      <c r="L34" s="62">
        <v>0</v>
      </c>
      <c r="M34" s="62">
        <v>0</v>
      </c>
      <c r="N34" s="62">
        <v>0</v>
      </c>
      <c r="O34" s="62">
        <v>0</v>
      </c>
      <c r="P34" s="62">
        <v>0</v>
      </c>
      <c r="Q34" s="62">
        <v>0</v>
      </c>
      <c r="R34" s="62">
        <v>0</v>
      </c>
      <c r="S34" s="62">
        <v>0</v>
      </c>
      <c r="T34" s="62">
        <v>0</v>
      </c>
      <c r="U34" s="190">
        <f t="shared" ref="U34" si="240">SUM(I34:T34)</f>
        <v>0</v>
      </c>
      <c r="V34" s="197">
        <f t="shared" si="234"/>
        <v>0</v>
      </c>
      <c r="W34" s="62">
        <v>0</v>
      </c>
      <c r="X34" s="62">
        <v>0</v>
      </c>
      <c r="Y34" s="62">
        <v>0</v>
      </c>
      <c r="Z34" s="62">
        <v>0</v>
      </c>
      <c r="AA34" s="62">
        <v>0</v>
      </c>
      <c r="AB34" s="62">
        <v>0</v>
      </c>
      <c r="AC34" s="62">
        <v>0</v>
      </c>
      <c r="AD34" s="62">
        <v>0</v>
      </c>
      <c r="AE34" s="62">
        <v>0</v>
      </c>
      <c r="AF34" s="62">
        <v>0</v>
      </c>
      <c r="AG34" s="62">
        <v>0</v>
      </c>
      <c r="AH34" s="62">
        <v>0</v>
      </c>
      <c r="AI34" s="190">
        <f t="shared" ref="AI34" si="241">SUM(W34:AH34)</f>
        <v>0</v>
      </c>
      <c r="AJ34" s="197">
        <f t="shared" si="235"/>
        <v>0</v>
      </c>
      <c r="AK34" s="62">
        <v>0</v>
      </c>
      <c r="AL34" s="62">
        <v>0</v>
      </c>
      <c r="AM34" s="62">
        <v>0</v>
      </c>
      <c r="AN34" s="62">
        <v>0</v>
      </c>
      <c r="AO34" s="62">
        <v>0</v>
      </c>
      <c r="AP34" s="62">
        <v>0</v>
      </c>
      <c r="AQ34" s="62">
        <v>0</v>
      </c>
      <c r="AR34" s="62">
        <v>0</v>
      </c>
      <c r="AS34" s="62">
        <v>0</v>
      </c>
      <c r="AT34" s="62">
        <v>0</v>
      </c>
      <c r="AU34" s="62">
        <v>0</v>
      </c>
      <c r="AV34" s="62">
        <v>0</v>
      </c>
      <c r="AW34" s="190">
        <f t="shared" ref="AW34" si="242">SUM(AK34:AV34)</f>
        <v>0</v>
      </c>
      <c r="AX34" s="197">
        <f t="shared" si="236"/>
        <v>0</v>
      </c>
      <c r="AY34" s="62">
        <v>0</v>
      </c>
      <c r="AZ34" s="62">
        <v>0</v>
      </c>
      <c r="BA34" s="62">
        <v>0</v>
      </c>
      <c r="BB34" s="62">
        <v>0</v>
      </c>
      <c r="BC34" s="62">
        <v>0</v>
      </c>
      <c r="BD34" s="62">
        <f>20763*2-132</f>
        <v>41394</v>
      </c>
      <c r="BE34" s="62">
        <v>20763</v>
      </c>
      <c r="BF34" s="62">
        <v>20763</v>
      </c>
      <c r="BG34" s="62">
        <v>20763</v>
      </c>
      <c r="BH34" s="62">
        <v>20763</v>
      </c>
      <c r="BI34" s="62">
        <v>20763</v>
      </c>
      <c r="BJ34" s="62">
        <v>20763</v>
      </c>
      <c r="BK34" s="190">
        <f t="shared" ref="BK34" si="243">SUM(AY34:BJ34)</f>
        <v>165972</v>
      </c>
      <c r="BL34" s="197">
        <f t="shared" si="237"/>
        <v>2.376493760178944E-3</v>
      </c>
      <c r="BM34" s="62">
        <v>0</v>
      </c>
      <c r="BN34" s="62">
        <v>41526</v>
      </c>
      <c r="BO34" s="62">
        <v>21136</v>
      </c>
      <c r="BP34" s="62">
        <v>21136</v>
      </c>
      <c r="BQ34" s="62">
        <v>21136</v>
      </c>
      <c r="BR34" s="62">
        <v>0</v>
      </c>
      <c r="BS34" s="62">
        <v>0</v>
      </c>
      <c r="BT34" s="62">
        <v>0</v>
      </c>
      <c r="BU34" s="62">
        <v>0</v>
      </c>
      <c r="BV34" s="62">
        <v>0</v>
      </c>
      <c r="BW34" s="62">
        <v>0</v>
      </c>
      <c r="BX34" s="62">
        <v>0</v>
      </c>
      <c r="BY34" s="190">
        <f t="shared" ref="BY34" si="244">SUM(BM34:BX34)</f>
        <v>104934</v>
      </c>
      <c r="BZ34" s="197">
        <f t="shared" si="238"/>
        <v>2.4043778952310443E-3</v>
      </c>
      <c r="CA34" s="62">
        <v>0</v>
      </c>
      <c r="CB34" s="62">
        <v>0</v>
      </c>
      <c r="CC34" s="62">
        <v>0</v>
      </c>
      <c r="CD34" s="62">
        <v>0</v>
      </c>
      <c r="CE34" s="62">
        <v>0</v>
      </c>
      <c r="CF34" s="62">
        <v>0</v>
      </c>
      <c r="CG34" s="62">
        <v>0</v>
      </c>
      <c r="CH34" s="62">
        <v>0</v>
      </c>
      <c r="CI34" s="62">
        <v>0</v>
      </c>
      <c r="CJ34" s="62">
        <v>0</v>
      </c>
      <c r="CK34" s="62">
        <v>0</v>
      </c>
      <c r="CL34" s="62">
        <v>0</v>
      </c>
      <c r="CM34" s="190">
        <f t="shared" ref="CM34" si="245">SUM(CA34:CL34)</f>
        <v>0</v>
      </c>
      <c r="CN34" s="62">
        <v>0</v>
      </c>
      <c r="CO34" s="62">
        <v>0</v>
      </c>
      <c r="CP34" s="62">
        <v>0</v>
      </c>
      <c r="CQ34" s="62">
        <v>0</v>
      </c>
      <c r="CR34" s="62">
        <v>0</v>
      </c>
      <c r="CS34" s="62">
        <v>0</v>
      </c>
      <c r="CT34" s="62">
        <v>0</v>
      </c>
      <c r="CU34" s="62">
        <v>0</v>
      </c>
      <c r="CV34" s="62">
        <v>0</v>
      </c>
      <c r="CW34" s="62">
        <v>0</v>
      </c>
      <c r="CX34" s="62">
        <v>0</v>
      </c>
      <c r="CY34" s="62">
        <v>0</v>
      </c>
      <c r="CZ34" s="190">
        <f t="shared" ref="CZ34" si="246">SUM(CN34:CY34)</f>
        <v>0</v>
      </c>
      <c r="DA34" s="62">
        <v>0</v>
      </c>
      <c r="DB34" s="62">
        <v>0</v>
      </c>
      <c r="DC34" s="62">
        <v>0</v>
      </c>
      <c r="DD34" s="62">
        <v>0</v>
      </c>
      <c r="DE34" s="62">
        <v>0</v>
      </c>
      <c r="DF34" s="62">
        <v>0</v>
      </c>
      <c r="DG34" s="62">
        <v>0</v>
      </c>
      <c r="DH34" s="62">
        <v>0</v>
      </c>
      <c r="DI34" s="62">
        <v>0</v>
      </c>
      <c r="DJ34" s="62">
        <v>0</v>
      </c>
      <c r="DK34" s="62">
        <v>0</v>
      </c>
      <c r="DL34" s="62">
        <v>0</v>
      </c>
      <c r="DM34" s="190">
        <f t="shared" ref="DM34" si="247">SUM(DA34:DL34)</f>
        <v>0</v>
      </c>
      <c r="DN34" s="62">
        <v>0</v>
      </c>
      <c r="DO34" s="62">
        <v>0</v>
      </c>
      <c r="DP34" s="62">
        <v>0</v>
      </c>
      <c r="DQ34" s="62">
        <v>0</v>
      </c>
      <c r="DR34" s="62">
        <v>0</v>
      </c>
      <c r="DS34" s="62">
        <v>0</v>
      </c>
      <c r="DT34" s="62">
        <v>0</v>
      </c>
      <c r="DU34" s="62">
        <v>0</v>
      </c>
      <c r="DV34" s="62">
        <v>0</v>
      </c>
      <c r="DW34" s="62">
        <v>0</v>
      </c>
      <c r="DX34" s="62">
        <v>0</v>
      </c>
      <c r="DY34" s="62">
        <v>0</v>
      </c>
      <c r="DZ34" s="190">
        <f t="shared" ref="DZ34" si="248">SUM(DN34:DY34)</f>
        <v>0</v>
      </c>
    </row>
    <row r="35" spans="1:130" ht="20.45" customHeight="1" outlineLevel="2">
      <c r="A35" s="526"/>
      <c r="B35" s="530"/>
      <c r="C35" s="30" t="s">
        <v>3221</v>
      </c>
      <c r="D35" s="62">
        <f t="shared" si="0"/>
        <v>325356.00000000006</v>
      </c>
      <c r="E35" s="184">
        <f t="shared" si="179"/>
        <v>1.0066525620747349E-3</v>
      </c>
      <c r="F35" s="62">
        <v>0</v>
      </c>
      <c r="G35" s="190">
        <f t="shared" ref="G35" si="249">SUM(F35)</f>
        <v>0</v>
      </c>
      <c r="H35" s="197">
        <f t="shared" si="233"/>
        <v>0</v>
      </c>
      <c r="I35" s="62">
        <v>0</v>
      </c>
      <c r="J35" s="62">
        <v>0</v>
      </c>
      <c r="K35" s="62">
        <v>0</v>
      </c>
      <c r="L35" s="62">
        <v>0</v>
      </c>
      <c r="M35" s="62">
        <v>0</v>
      </c>
      <c r="N35" s="62">
        <v>0</v>
      </c>
      <c r="O35" s="62">
        <v>0</v>
      </c>
      <c r="P35" s="62">
        <v>0</v>
      </c>
      <c r="Q35" s="62">
        <v>0</v>
      </c>
      <c r="R35" s="62">
        <v>0</v>
      </c>
      <c r="S35" s="62">
        <v>0</v>
      </c>
      <c r="T35" s="62">
        <v>0</v>
      </c>
      <c r="U35" s="190">
        <f t="shared" ref="U35" si="250">SUM(I35:T35)</f>
        <v>0</v>
      </c>
      <c r="V35" s="197">
        <f t="shared" si="234"/>
        <v>0</v>
      </c>
      <c r="W35" s="62">
        <v>0</v>
      </c>
      <c r="X35" s="62">
        <v>0</v>
      </c>
      <c r="Y35" s="62">
        <v>0</v>
      </c>
      <c r="Z35" s="62">
        <v>0</v>
      </c>
      <c r="AA35" s="62">
        <v>0</v>
      </c>
      <c r="AB35" s="62">
        <v>0</v>
      </c>
      <c r="AC35" s="62">
        <v>0</v>
      </c>
      <c r="AD35" s="62">
        <v>0</v>
      </c>
      <c r="AE35" s="62">
        <v>0</v>
      </c>
      <c r="AF35" s="62">
        <v>0</v>
      </c>
      <c r="AG35" s="62">
        <v>0</v>
      </c>
      <c r="AH35" s="62">
        <v>0</v>
      </c>
      <c r="AI35" s="190">
        <f t="shared" ref="AI35" si="251">SUM(W35:AH35)</f>
        <v>0</v>
      </c>
      <c r="AJ35" s="197">
        <f t="shared" si="235"/>
        <v>0</v>
      </c>
      <c r="AK35" s="62">
        <v>0</v>
      </c>
      <c r="AL35" s="62">
        <v>0</v>
      </c>
      <c r="AM35" s="62">
        <v>0</v>
      </c>
      <c r="AN35" s="62">
        <v>0</v>
      </c>
      <c r="AO35" s="62">
        <v>0</v>
      </c>
      <c r="AP35" s="62">
        <v>0</v>
      </c>
      <c r="AQ35" s="62">
        <v>0</v>
      </c>
      <c r="AR35" s="62">
        <v>0</v>
      </c>
      <c r="AS35" s="62">
        <v>0</v>
      </c>
      <c r="AT35" s="62">
        <v>0</v>
      </c>
      <c r="AU35" s="62">
        <v>0</v>
      </c>
      <c r="AV35" s="62">
        <v>0</v>
      </c>
      <c r="AW35" s="190">
        <f t="shared" ref="AW35" si="252">SUM(AK35:AV35)</f>
        <v>0</v>
      </c>
      <c r="AX35" s="197">
        <f t="shared" si="236"/>
        <v>0</v>
      </c>
      <c r="AY35" s="62">
        <v>0</v>
      </c>
      <c r="AZ35" s="62">
        <v>0</v>
      </c>
      <c r="BA35" s="62">
        <v>0</v>
      </c>
      <c r="BB35" s="62">
        <v>0</v>
      </c>
      <c r="BC35" s="62">
        <v>0</v>
      </c>
      <c r="BD35" s="62">
        <f>79322*2</f>
        <v>158644</v>
      </c>
      <c r="BE35" s="62">
        <v>79322</v>
      </c>
      <c r="BF35" s="62">
        <f>79290-395467+395467</f>
        <v>79290</v>
      </c>
      <c r="BG35" s="62">
        <v>900</v>
      </c>
      <c r="BH35" s="62">
        <v>900</v>
      </c>
      <c r="BI35" s="62">
        <v>900</v>
      </c>
      <c r="BJ35" s="62">
        <v>900</v>
      </c>
      <c r="BK35" s="190">
        <f t="shared" ref="BK35" si="253">SUM(AY35:BJ35)</f>
        <v>320856</v>
      </c>
      <c r="BL35" s="197">
        <f t="shared" si="237"/>
        <v>4.5942224105028273E-3</v>
      </c>
      <c r="BM35" s="62">
        <f>900</f>
        <v>900</v>
      </c>
      <c r="BN35" s="62">
        <v>900</v>
      </c>
      <c r="BO35" s="62">
        <v>900</v>
      </c>
      <c r="BP35" s="62">
        <f>900</f>
        <v>900</v>
      </c>
      <c r="BQ35" s="62">
        <v>900</v>
      </c>
      <c r="BR35" s="62">
        <v>0</v>
      </c>
      <c r="BS35" s="62">
        <v>0</v>
      </c>
      <c r="BT35" s="62">
        <v>0</v>
      </c>
      <c r="BU35" s="62">
        <v>0</v>
      </c>
      <c r="BV35" s="62">
        <v>0</v>
      </c>
      <c r="BW35" s="62">
        <v>0</v>
      </c>
      <c r="BX35" s="62">
        <v>0</v>
      </c>
      <c r="BY35" s="190">
        <f t="shared" ref="BY35" si="254">SUM(BM35:BX35)</f>
        <v>4500</v>
      </c>
      <c r="BZ35" s="197">
        <f t="shared" si="238"/>
        <v>1.0310957867363962E-4</v>
      </c>
      <c r="CA35" s="62">
        <v>0</v>
      </c>
      <c r="CB35" s="62">
        <v>0</v>
      </c>
      <c r="CC35" s="62">
        <v>0</v>
      </c>
      <c r="CD35" s="62">
        <v>0</v>
      </c>
      <c r="CE35" s="62">
        <v>0</v>
      </c>
      <c r="CF35" s="62">
        <v>0</v>
      </c>
      <c r="CG35" s="62">
        <v>0</v>
      </c>
      <c r="CH35" s="62">
        <v>0</v>
      </c>
      <c r="CI35" s="62">
        <v>0</v>
      </c>
      <c r="CJ35" s="62">
        <v>0</v>
      </c>
      <c r="CK35" s="62">
        <v>0</v>
      </c>
      <c r="CL35" s="62">
        <v>0</v>
      </c>
      <c r="CM35" s="190">
        <f t="shared" ref="CM35" si="255">SUM(CA35:CL35)</f>
        <v>0</v>
      </c>
      <c r="CN35" s="62">
        <v>0</v>
      </c>
      <c r="CO35" s="62">
        <v>0</v>
      </c>
      <c r="CP35" s="62">
        <v>0</v>
      </c>
      <c r="CQ35" s="62">
        <v>0</v>
      </c>
      <c r="CR35" s="62">
        <v>0</v>
      </c>
      <c r="CS35" s="62">
        <v>0</v>
      </c>
      <c r="CT35" s="62">
        <v>0</v>
      </c>
      <c r="CU35" s="62">
        <v>0</v>
      </c>
      <c r="CV35" s="62">
        <v>0</v>
      </c>
      <c r="CW35" s="62">
        <v>0</v>
      </c>
      <c r="CX35" s="62">
        <v>0</v>
      </c>
      <c r="CY35" s="62">
        <v>0</v>
      </c>
      <c r="CZ35" s="190">
        <f t="shared" ref="CZ35" si="256">SUM(CN35:CY35)</f>
        <v>0</v>
      </c>
      <c r="DA35" s="62">
        <v>0</v>
      </c>
      <c r="DB35" s="62">
        <v>0</v>
      </c>
      <c r="DC35" s="62">
        <v>0</v>
      </c>
      <c r="DD35" s="62">
        <v>0</v>
      </c>
      <c r="DE35" s="62">
        <v>0</v>
      </c>
      <c r="DF35" s="62">
        <v>0</v>
      </c>
      <c r="DG35" s="62">
        <v>0</v>
      </c>
      <c r="DH35" s="62">
        <v>0</v>
      </c>
      <c r="DI35" s="62">
        <v>0</v>
      </c>
      <c r="DJ35" s="62">
        <v>0</v>
      </c>
      <c r="DK35" s="62">
        <v>0</v>
      </c>
      <c r="DL35" s="62">
        <v>0</v>
      </c>
      <c r="DM35" s="190">
        <f t="shared" ref="DM35" si="257">SUM(DA35:DL35)</f>
        <v>0</v>
      </c>
      <c r="DN35" s="62">
        <v>0</v>
      </c>
      <c r="DO35" s="62">
        <v>0</v>
      </c>
      <c r="DP35" s="62">
        <v>0</v>
      </c>
      <c r="DQ35" s="62">
        <v>0</v>
      </c>
      <c r="DR35" s="62">
        <v>0</v>
      </c>
      <c r="DS35" s="62">
        <v>0</v>
      </c>
      <c r="DT35" s="62">
        <v>0</v>
      </c>
      <c r="DU35" s="62">
        <v>0</v>
      </c>
      <c r="DV35" s="62">
        <v>0</v>
      </c>
      <c r="DW35" s="62">
        <v>0</v>
      </c>
      <c r="DX35" s="62">
        <v>0</v>
      </c>
      <c r="DY35" s="62">
        <v>0</v>
      </c>
      <c r="DZ35" s="190">
        <f t="shared" ref="DZ35" si="258">SUM(DN35:DY35)</f>
        <v>0</v>
      </c>
    </row>
    <row r="36" spans="1:130" ht="20.45" customHeight="1" outlineLevel="2">
      <c r="A36" s="525"/>
      <c r="B36" s="530"/>
      <c r="C36" s="30" t="s">
        <v>313</v>
      </c>
      <c r="D36" s="62">
        <f t="shared" si="0"/>
        <v>1433780</v>
      </c>
      <c r="E36" s="184">
        <f t="shared" si="179"/>
        <v>4.4361201589997205E-3</v>
      </c>
      <c r="F36" s="62">
        <v>20980</v>
      </c>
      <c r="G36" s="190">
        <f t="shared" si="36"/>
        <v>20980</v>
      </c>
      <c r="H36" s="197">
        <f t="shared" si="233"/>
        <v>4.7922465197394641E-3</v>
      </c>
      <c r="I36" s="62">
        <v>20980</v>
      </c>
      <c r="J36" s="62">
        <v>20980</v>
      </c>
      <c r="K36" s="62">
        <v>20980</v>
      </c>
      <c r="L36" s="62">
        <v>20980</v>
      </c>
      <c r="M36" s="62">
        <v>20980</v>
      </c>
      <c r="N36" s="62">
        <v>20980</v>
      </c>
      <c r="O36" s="62">
        <v>20980</v>
      </c>
      <c r="P36" s="62">
        <v>20980</v>
      </c>
      <c r="Q36" s="62">
        <v>20980</v>
      </c>
      <c r="R36" s="62">
        <v>20980</v>
      </c>
      <c r="S36" s="62">
        <v>20980</v>
      </c>
      <c r="T36" s="62">
        <v>20980</v>
      </c>
      <c r="U36" s="190">
        <f t="shared" si="16"/>
        <v>251760</v>
      </c>
      <c r="V36" s="197">
        <f t="shared" si="234"/>
        <v>4.5378517233878E-3</v>
      </c>
      <c r="W36" s="62">
        <v>20980</v>
      </c>
      <c r="X36" s="62">
        <v>20980</v>
      </c>
      <c r="Y36" s="62">
        <v>20980</v>
      </c>
      <c r="Z36" s="62">
        <v>20980</v>
      </c>
      <c r="AA36" s="62">
        <v>29920</v>
      </c>
      <c r="AB36" s="62">
        <v>29920</v>
      </c>
      <c r="AC36" s="62">
        <v>29920</v>
      </c>
      <c r="AD36" s="62">
        <v>29920</v>
      </c>
      <c r="AE36" s="62">
        <v>29920</v>
      </c>
      <c r="AF36" s="62">
        <v>29920</v>
      </c>
      <c r="AG36" s="62">
        <v>29920</v>
      </c>
      <c r="AH36" s="62">
        <v>29920</v>
      </c>
      <c r="AI36" s="190">
        <f t="shared" si="17"/>
        <v>323280</v>
      </c>
      <c r="AJ36" s="197">
        <f t="shared" si="235"/>
        <v>4.39366272049757E-3</v>
      </c>
      <c r="AK36" s="62">
        <v>29920</v>
      </c>
      <c r="AL36" s="62">
        <v>29920</v>
      </c>
      <c r="AM36" s="62">
        <v>29920</v>
      </c>
      <c r="AN36" s="62">
        <v>29920</v>
      </c>
      <c r="AO36" s="62">
        <v>29920</v>
      </c>
      <c r="AP36" s="62">
        <v>29920</v>
      </c>
      <c r="AQ36" s="62">
        <v>29920</v>
      </c>
      <c r="AR36" s="62">
        <v>29920</v>
      </c>
      <c r="AS36" s="62">
        <v>29920</v>
      </c>
      <c r="AT36" s="62">
        <v>29920</v>
      </c>
      <c r="AU36" s="62">
        <v>29920</v>
      </c>
      <c r="AV36" s="62">
        <v>29920</v>
      </c>
      <c r="AW36" s="190">
        <f t="shared" si="18"/>
        <v>359040</v>
      </c>
      <c r="AX36" s="197">
        <f t="shared" si="236"/>
        <v>4.7064167412214164E-3</v>
      </c>
      <c r="AY36" s="62">
        <v>0</v>
      </c>
      <c r="AZ36" s="62">
        <v>29920</v>
      </c>
      <c r="BA36" s="62">
        <v>29920</v>
      </c>
      <c r="BB36" s="62">
        <v>29920</v>
      </c>
      <c r="BC36" s="62">
        <v>29920</v>
      </c>
      <c r="BD36" s="62">
        <v>29920</v>
      </c>
      <c r="BE36" s="62">
        <v>29920</v>
      </c>
      <c r="BF36" s="62">
        <v>29920</v>
      </c>
      <c r="BG36" s="62">
        <v>29920</v>
      </c>
      <c r="BH36" s="62">
        <v>29920</v>
      </c>
      <c r="BI36" s="62">
        <v>29920</v>
      </c>
      <c r="BJ36" s="62">
        <v>29920</v>
      </c>
      <c r="BK36" s="190">
        <f t="shared" si="19"/>
        <v>329120</v>
      </c>
      <c r="BL36" s="197">
        <f t="shared" si="237"/>
        <v>4.7125516734756109E-3</v>
      </c>
      <c r="BM36" s="62">
        <v>29920</v>
      </c>
      <c r="BN36" s="62">
        <v>29920</v>
      </c>
      <c r="BO36" s="62">
        <v>29920</v>
      </c>
      <c r="BP36" s="62">
        <v>29920</v>
      </c>
      <c r="BQ36" s="62">
        <v>29920</v>
      </c>
      <c r="BR36" s="62">
        <v>0</v>
      </c>
      <c r="BS36" s="62">
        <v>0</v>
      </c>
      <c r="BT36" s="62">
        <v>0</v>
      </c>
      <c r="BU36" s="62">
        <v>0</v>
      </c>
      <c r="BV36" s="62">
        <v>0</v>
      </c>
      <c r="BW36" s="62">
        <v>0</v>
      </c>
      <c r="BX36" s="62">
        <v>0</v>
      </c>
      <c r="BY36" s="190">
        <f t="shared" si="20"/>
        <v>149600</v>
      </c>
      <c r="BZ36" s="197">
        <f t="shared" si="238"/>
        <v>3.4278206599058863E-3</v>
      </c>
      <c r="CA36" s="62">
        <v>0</v>
      </c>
      <c r="CB36" s="62">
        <v>0</v>
      </c>
      <c r="CC36" s="62">
        <v>0</v>
      </c>
      <c r="CD36" s="62">
        <v>0</v>
      </c>
      <c r="CE36" s="62">
        <v>0</v>
      </c>
      <c r="CF36" s="62">
        <v>0</v>
      </c>
      <c r="CG36" s="62">
        <v>0</v>
      </c>
      <c r="CH36" s="62">
        <v>0</v>
      </c>
      <c r="CI36" s="62">
        <v>0</v>
      </c>
      <c r="CJ36" s="62">
        <v>0</v>
      </c>
      <c r="CK36" s="62">
        <v>0</v>
      </c>
      <c r="CL36" s="62">
        <v>0</v>
      </c>
      <c r="CM36" s="190">
        <f t="shared" si="21"/>
        <v>0</v>
      </c>
      <c r="CN36" s="62">
        <v>0</v>
      </c>
      <c r="CO36" s="62">
        <v>0</v>
      </c>
      <c r="CP36" s="62">
        <v>0</v>
      </c>
      <c r="CQ36" s="62">
        <v>0</v>
      </c>
      <c r="CR36" s="62">
        <v>0</v>
      </c>
      <c r="CS36" s="62">
        <v>0</v>
      </c>
      <c r="CT36" s="62">
        <v>0</v>
      </c>
      <c r="CU36" s="62">
        <v>0</v>
      </c>
      <c r="CV36" s="62">
        <v>0</v>
      </c>
      <c r="CW36" s="62">
        <v>0</v>
      </c>
      <c r="CX36" s="62">
        <v>0</v>
      </c>
      <c r="CY36" s="62">
        <v>0</v>
      </c>
      <c r="CZ36" s="190">
        <f t="shared" si="22"/>
        <v>0</v>
      </c>
      <c r="DA36" s="62">
        <v>0</v>
      </c>
      <c r="DB36" s="62">
        <v>0</v>
      </c>
      <c r="DC36" s="62">
        <v>0</v>
      </c>
      <c r="DD36" s="62">
        <v>0</v>
      </c>
      <c r="DE36" s="62">
        <v>0</v>
      </c>
      <c r="DF36" s="62">
        <v>0</v>
      </c>
      <c r="DG36" s="62">
        <v>0</v>
      </c>
      <c r="DH36" s="62">
        <v>0</v>
      </c>
      <c r="DI36" s="62">
        <v>0</v>
      </c>
      <c r="DJ36" s="62">
        <v>0</v>
      </c>
      <c r="DK36" s="62">
        <v>0</v>
      </c>
      <c r="DL36" s="62">
        <v>0</v>
      </c>
      <c r="DM36" s="190">
        <f t="shared" si="23"/>
        <v>0</v>
      </c>
      <c r="DN36" s="62">
        <v>0</v>
      </c>
      <c r="DO36" s="62">
        <v>0</v>
      </c>
      <c r="DP36" s="62">
        <v>0</v>
      </c>
      <c r="DQ36" s="62">
        <v>0</v>
      </c>
      <c r="DR36" s="62">
        <v>0</v>
      </c>
      <c r="DS36" s="62">
        <v>0</v>
      </c>
      <c r="DT36" s="62">
        <v>0</v>
      </c>
      <c r="DU36" s="62">
        <v>0</v>
      </c>
      <c r="DV36" s="62">
        <v>0</v>
      </c>
      <c r="DW36" s="62">
        <v>0</v>
      </c>
      <c r="DX36" s="62">
        <v>0</v>
      </c>
      <c r="DY36" s="62">
        <v>0</v>
      </c>
      <c r="DZ36" s="190">
        <f t="shared" si="24"/>
        <v>0</v>
      </c>
    </row>
    <row r="37" spans="1:130" ht="20.45" customHeight="1" outlineLevel="2">
      <c r="A37" s="525"/>
      <c r="B37" s="530"/>
      <c r="C37" s="30" t="s">
        <v>314</v>
      </c>
      <c r="D37" s="62">
        <f t="shared" si="0"/>
        <v>613849.00000000023</v>
      </c>
      <c r="E37" s="184">
        <f t="shared" si="179"/>
        <v>1.8992508777370451E-3</v>
      </c>
      <c r="F37" s="62">
        <v>18550</v>
      </c>
      <c r="G37" s="190">
        <f t="shared" si="36"/>
        <v>18550</v>
      </c>
      <c r="H37" s="197">
        <f t="shared" si="233"/>
        <v>4.2371865081585825E-3</v>
      </c>
      <c r="I37" s="62">
        <v>18550</v>
      </c>
      <c r="J37" s="62">
        <v>18550</v>
      </c>
      <c r="K37" s="62">
        <v>18550</v>
      </c>
      <c r="L37" s="62">
        <v>18550</v>
      </c>
      <c r="M37" s="62">
        <v>18550</v>
      </c>
      <c r="N37" s="62">
        <v>18550</v>
      </c>
      <c r="O37" s="62">
        <v>18550</v>
      </c>
      <c r="P37" s="62">
        <v>18550</v>
      </c>
      <c r="Q37" s="62">
        <v>18550</v>
      </c>
      <c r="R37" s="62">
        <v>18550</v>
      </c>
      <c r="S37" s="62">
        <v>18550</v>
      </c>
      <c r="T37" s="62">
        <v>18550</v>
      </c>
      <c r="U37" s="190">
        <f t="shared" si="16"/>
        <v>222600</v>
      </c>
      <c r="V37" s="197">
        <f t="shared" si="234"/>
        <v>4.0122568860268687E-3</v>
      </c>
      <c r="W37" s="62">
        <v>18550</v>
      </c>
      <c r="X37" s="62">
        <v>18550</v>
      </c>
      <c r="Y37" s="62">
        <v>18550</v>
      </c>
      <c r="Z37" s="62">
        <v>18550</v>
      </c>
      <c r="AA37" s="62">
        <v>18550</v>
      </c>
      <c r="AB37" s="62">
        <f>18550+9405</f>
        <v>27955</v>
      </c>
      <c r="AC37" s="62">
        <v>9405</v>
      </c>
      <c r="AD37" s="62">
        <v>9405</v>
      </c>
      <c r="AE37" s="62">
        <f>9405</f>
        <v>9405</v>
      </c>
      <c r="AF37" s="62">
        <v>9405</v>
      </c>
      <c r="AG37" s="62">
        <v>9405</v>
      </c>
      <c r="AH37" s="62">
        <v>9405</v>
      </c>
      <c r="AI37" s="190">
        <f t="shared" si="17"/>
        <v>177135</v>
      </c>
      <c r="AJ37" s="197">
        <f t="shared" si="235"/>
        <v>2.4074221912748612E-3</v>
      </c>
      <c r="AK37" s="62">
        <v>9405</v>
      </c>
      <c r="AL37" s="62">
        <v>9405</v>
      </c>
      <c r="AM37" s="62">
        <v>9405</v>
      </c>
      <c r="AN37" s="62">
        <v>9405</v>
      </c>
      <c r="AO37" s="62">
        <v>9405</v>
      </c>
      <c r="AP37" s="62">
        <v>9405</v>
      </c>
      <c r="AQ37" s="62">
        <v>9405</v>
      </c>
      <c r="AR37" s="62">
        <v>9405</v>
      </c>
      <c r="AS37" s="62">
        <v>9405</v>
      </c>
      <c r="AT37" s="62">
        <v>9405</v>
      </c>
      <c r="AU37" s="62">
        <v>9405</v>
      </c>
      <c r="AV37" s="62">
        <v>9405</v>
      </c>
      <c r="AW37" s="190">
        <f t="shared" si="18"/>
        <v>112860</v>
      </c>
      <c r="AX37" s="197">
        <f t="shared" si="236"/>
        <v>1.4794067329942321E-3</v>
      </c>
      <c r="AY37" s="62">
        <v>0</v>
      </c>
      <c r="AZ37" s="62">
        <v>0</v>
      </c>
      <c r="BA37" s="62">
        <v>9405</v>
      </c>
      <c r="BB37" s="62">
        <v>9405</v>
      </c>
      <c r="BC37" s="62">
        <v>9405</v>
      </c>
      <c r="BD37" s="62">
        <f>9405+3757+3757</f>
        <v>16919</v>
      </c>
      <c r="BE37" s="62">
        <v>3757</v>
      </c>
      <c r="BF37" s="62">
        <v>3757</v>
      </c>
      <c r="BG37" s="62">
        <v>3757</v>
      </c>
      <c r="BH37" s="62">
        <v>3757</v>
      </c>
      <c r="BI37" s="62">
        <v>3757</v>
      </c>
      <c r="BJ37" s="62">
        <v>3757</v>
      </c>
      <c r="BK37" s="190">
        <f t="shared" si="19"/>
        <v>67676</v>
      </c>
      <c r="BL37" s="197">
        <f t="shared" si="237"/>
        <v>9.6902846090828705E-4</v>
      </c>
      <c r="BM37" s="62">
        <v>3757</v>
      </c>
      <c r="BN37" s="62">
        <v>3757</v>
      </c>
      <c r="BO37" s="62">
        <v>3757</v>
      </c>
      <c r="BP37" s="62">
        <v>3757</v>
      </c>
      <c r="BQ37" s="62">
        <v>0</v>
      </c>
      <c r="BR37" s="62">
        <v>0</v>
      </c>
      <c r="BS37" s="62">
        <v>0</v>
      </c>
      <c r="BT37" s="62">
        <v>0</v>
      </c>
      <c r="BU37" s="62">
        <v>0</v>
      </c>
      <c r="BV37" s="62">
        <v>0</v>
      </c>
      <c r="BW37" s="62">
        <v>0</v>
      </c>
      <c r="BX37" s="62">
        <v>0</v>
      </c>
      <c r="BY37" s="190">
        <f t="shared" si="20"/>
        <v>15028</v>
      </c>
      <c r="BZ37" s="197">
        <f t="shared" si="238"/>
        <v>3.4434016629054584E-4</v>
      </c>
      <c r="CA37" s="62">
        <v>0</v>
      </c>
      <c r="CB37" s="62">
        <v>0</v>
      </c>
      <c r="CC37" s="62">
        <v>0</v>
      </c>
      <c r="CD37" s="62">
        <v>0</v>
      </c>
      <c r="CE37" s="62">
        <v>0</v>
      </c>
      <c r="CF37" s="62">
        <v>0</v>
      </c>
      <c r="CG37" s="62">
        <v>0</v>
      </c>
      <c r="CH37" s="62">
        <v>0</v>
      </c>
      <c r="CI37" s="62">
        <v>0</v>
      </c>
      <c r="CJ37" s="62">
        <v>0</v>
      </c>
      <c r="CK37" s="62">
        <v>0</v>
      </c>
      <c r="CL37" s="62">
        <v>0</v>
      </c>
      <c r="CM37" s="190">
        <f t="shared" si="21"/>
        <v>0</v>
      </c>
      <c r="CN37" s="62">
        <v>0</v>
      </c>
      <c r="CO37" s="62">
        <v>0</v>
      </c>
      <c r="CP37" s="62">
        <v>0</v>
      </c>
      <c r="CQ37" s="62">
        <v>0</v>
      </c>
      <c r="CR37" s="62">
        <v>0</v>
      </c>
      <c r="CS37" s="62">
        <v>0</v>
      </c>
      <c r="CT37" s="62">
        <v>0</v>
      </c>
      <c r="CU37" s="62">
        <v>0</v>
      </c>
      <c r="CV37" s="62">
        <v>0</v>
      </c>
      <c r="CW37" s="62">
        <v>0</v>
      </c>
      <c r="CX37" s="62">
        <v>0</v>
      </c>
      <c r="CY37" s="62">
        <v>0</v>
      </c>
      <c r="CZ37" s="190">
        <f t="shared" si="22"/>
        <v>0</v>
      </c>
      <c r="DA37" s="62">
        <v>0</v>
      </c>
      <c r="DB37" s="62">
        <v>0</v>
      </c>
      <c r="DC37" s="62">
        <v>0</v>
      </c>
      <c r="DD37" s="62">
        <v>0</v>
      </c>
      <c r="DE37" s="62">
        <v>0</v>
      </c>
      <c r="DF37" s="62">
        <v>0</v>
      </c>
      <c r="DG37" s="62">
        <v>0</v>
      </c>
      <c r="DH37" s="62">
        <v>0</v>
      </c>
      <c r="DI37" s="62">
        <v>0</v>
      </c>
      <c r="DJ37" s="62">
        <v>0</v>
      </c>
      <c r="DK37" s="62">
        <v>0</v>
      </c>
      <c r="DL37" s="62">
        <v>0</v>
      </c>
      <c r="DM37" s="190">
        <f t="shared" si="23"/>
        <v>0</v>
      </c>
      <c r="DN37" s="62">
        <v>0</v>
      </c>
      <c r="DO37" s="62">
        <v>0</v>
      </c>
      <c r="DP37" s="62">
        <v>0</v>
      </c>
      <c r="DQ37" s="62">
        <v>0</v>
      </c>
      <c r="DR37" s="62">
        <v>0</v>
      </c>
      <c r="DS37" s="62">
        <v>0</v>
      </c>
      <c r="DT37" s="62">
        <v>0</v>
      </c>
      <c r="DU37" s="62">
        <v>0</v>
      </c>
      <c r="DV37" s="62">
        <v>0</v>
      </c>
      <c r="DW37" s="62">
        <v>0</v>
      </c>
      <c r="DX37" s="62">
        <v>0</v>
      </c>
      <c r="DY37" s="62">
        <v>0</v>
      </c>
      <c r="DZ37" s="190">
        <f t="shared" si="24"/>
        <v>0</v>
      </c>
    </row>
    <row r="38" spans="1:130" ht="20.45" customHeight="1" outlineLevel="2">
      <c r="A38" s="525"/>
      <c r="B38" s="530"/>
      <c r="C38" s="30" t="s">
        <v>315</v>
      </c>
      <c r="D38" s="62">
        <f t="shared" si="0"/>
        <v>925749.99999999988</v>
      </c>
      <c r="E38" s="184">
        <f t="shared" si="179"/>
        <v>2.8642736244012265E-3</v>
      </c>
      <c r="F38" s="62">
        <v>26450</v>
      </c>
      <c r="G38" s="190">
        <f t="shared" si="36"/>
        <v>26450</v>
      </c>
      <c r="H38" s="197">
        <f t="shared" si="233"/>
        <v>6.0417025951910791E-3</v>
      </c>
      <c r="I38" s="62">
        <v>26450</v>
      </c>
      <c r="J38" s="62">
        <v>26450</v>
      </c>
      <c r="K38" s="62">
        <v>26450</v>
      </c>
      <c r="L38" s="62">
        <v>26450</v>
      </c>
      <c r="M38" s="62">
        <v>26450</v>
      </c>
      <c r="N38" s="62">
        <v>26450</v>
      </c>
      <c r="O38" s="62">
        <v>26450</v>
      </c>
      <c r="P38" s="62">
        <v>26450</v>
      </c>
      <c r="Q38" s="62">
        <v>26450</v>
      </c>
      <c r="R38" s="62">
        <v>26450</v>
      </c>
      <c r="S38" s="62">
        <v>26450</v>
      </c>
      <c r="T38" s="62">
        <v>26450</v>
      </c>
      <c r="U38" s="190">
        <f t="shared" si="16"/>
        <v>317400</v>
      </c>
      <c r="V38" s="197">
        <f t="shared" si="234"/>
        <v>5.7209808428792816E-3</v>
      </c>
      <c r="W38" s="62">
        <v>26450</v>
      </c>
      <c r="X38" s="62">
        <v>26450</v>
      </c>
      <c r="Y38" s="62">
        <v>26450</v>
      </c>
      <c r="Z38" s="62">
        <v>26450</v>
      </c>
      <c r="AA38" s="62">
        <v>26450</v>
      </c>
      <c r="AB38" s="62">
        <v>26450</v>
      </c>
      <c r="AC38" s="62">
        <v>26450</v>
      </c>
      <c r="AD38" s="62">
        <v>26450</v>
      </c>
      <c r="AE38" s="62">
        <v>26450</v>
      </c>
      <c r="AF38" s="62">
        <v>26450</v>
      </c>
      <c r="AG38" s="62">
        <v>26450</v>
      </c>
      <c r="AH38" s="62">
        <v>26450</v>
      </c>
      <c r="AI38" s="190">
        <f t="shared" si="17"/>
        <v>317400</v>
      </c>
      <c r="AJ38" s="197">
        <f t="shared" si="235"/>
        <v>4.3137482909116828E-3</v>
      </c>
      <c r="AK38" s="62">
        <v>26450</v>
      </c>
      <c r="AL38" s="62">
        <v>26450</v>
      </c>
      <c r="AM38" s="62">
        <v>26450</v>
      </c>
      <c r="AN38" s="62">
        <v>26450</v>
      </c>
      <c r="AO38" s="62">
        <v>26450</v>
      </c>
      <c r="AP38" s="62">
        <v>26450</v>
      </c>
      <c r="AQ38" s="62">
        <v>26450</v>
      </c>
      <c r="AR38" s="62">
        <v>26450</v>
      </c>
      <c r="AS38" s="62">
        <v>26450</v>
      </c>
      <c r="AT38" s="62">
        <v>26450</v>
      </c>
      <c r="AU38" s="62">
        <v>0</v>
      </c>
      <c r="AV38" s="62">
        <v>0</v>
      </c>
      <c r="AW38" s="190">
        <f t="shared" si="18"/>
        <v>264500</v>
      </c>
      <c r="AX38" s="197">
        <f t="shared" si="236"/>
        <v>3.4671547127146408E-3</v>
      </c>
      <c r="AY38" s="62">
        <v>0</v>
      </c>
      <c r="AZ38" s="62">
        <v>0</v>
      </c>
      <c r="BA38" s="62">
        <v>0</v>
      </c>
      <c r="BB38" s="62">
        <v>0</v>
      </c>
      <c r="BC38" s="62">
        <v>0</v>
      </c>
      <c r="BD38" s="62">
        <v>0</v>
      </c>
      <c r="BE38" s="62">
        <v>0</v>
      </c>
      <c r="BF38" s="62">
        <v>0</v>
      </c>
      <c r="BG38" s="62">
        <v>0</v>
      </c>
      <c r="BH38" s="62">
        <v>0</v>
      </c>
      <c r="BI38" s="62">
        <v>0</v>
      </c>
      <c r="BJ38" s="62">
        <v>0</v>
      </c>
      <c r="BK38" s="190">
        <f t="shared" si="19"/>
        <v>0</v>
      </c>
      <c r="BL38" s="197">
        <f t="shared" si="237"/>
        <v>0</v>
      </c>
      <c r="BM38" s="62">
        <v>0</v>
      </c>
      <c r="BN38" s="62">
        <v>0</v>
      </c>
      <c r="BO38" s="62">
        <v>0</v>
      </c>
      <c r="BP38" s="62">
        <v>0</v>
      </c>
      <c r="BQ38" s="62">
        <v>0</v>
      </c>
      <c r="BR38" s="62">
        <v>0</v>
      </c>
      <c r="BS38" s="62">
        <v>0</v>
      </c>
      <c r="BT38" s="62">
        <v>0</v>
      </c>
      <c r="BU38" s="62">
        <v>0</v>
      </c>
      <c r="BV38" s="62">
        <v>0</v>
      </c>
      <c r="BW38" s="62">
        <v>0</v>
      </c>
      <c r="BX38" s="62">
        <v>0</v>
      </c>
      <c r="BY38" s="190">
        <f t="shared" si="20"/>
        <v>0</v>
      </c>
      <c r="BZ38" s="197">
        <f t="shared" si="238"/>
        <v>0</v>
      </c>
      <c r="CA38" s="62">
        <v>0</v>
      </c>
      <c r="CB38" s="62">
        <v>0</v>
      </c>
      <c r="CC38" s="62">
        <v>0</v>
      </c>
      <c r="CD38" s="62">
        <v>0</v>
      </c>
      <c r="CE38" s="62">
        <v>0</v>
      </c>
      <c r="CF38" s="62">
        <v>0</v>
      </c>
      <c r="CG38" s="62">
        <v>0</v>
      </c>
      <c r="CH38" s="62">
        <v>0</v>
      </c>
      <c r="CI38" s="62">
        <v>0</v>
      </c>
      <c r="CJ38" s="62">
        <v>0</v>
      </c>
      <c r="CK38" s="62">
        <v>0</v>
      </c>
      <c r="CL38" s="62">
        <v>0</v>
      </c>
      <c r="CM38" s="190">
        <f t="shared" si="21"/>
        <v>0</v>
      </c>
      <c r="CN38" s="62">
        <v>0</v>
      </c>
      <c r="CO38" s="62">
        <v>0</v>
      </c>
      <c r="CP38" s="62">
        <v>0</v>
      </c>
      <c r="CQ38" s="62">
        <v>0</v>
      </c>
      <c r="CR38" s="62">
        <v>0</v>
      </c>
      <c r="CS38" s="62">
        <v>0</v>
      </c>
      <c r="CT38" s="62">
        <v>0</v>
      </c>
      <c r="CU38" s="62">
        <v>0</v>
      </c>
      <c r="CV38" s="62">
        <v>0</v>
      </c>
      <c r="CW38" s="62">
        <v>0</v>
      </c>
      <c r="CX38" s="62">
        <v>0</v>
      </c>
      <c r="CY38" s="62">
        <v>0</v>
      </c>
      <c r="CZ38" s="190">
        <f t="shared" si="22"/>
        <v>0</v>
      </c>
      <c r="DA38" s="62">
        <v>0</v>
      </c>
      <c r="DB38" s="62">
        <v>0</v>
      </c>
      <c r="DC38" s="62">
        <v>0</v>
      </c>
      <c r="DD38" s="62">
        <v>0</v>
      </c>
      <c r="DE38" s="62">
        <v>0</v>
      </c>
      <c r="DF38" s="62">
        <v>0</v>
      </c>
      <c r="DG38" s="62">
        <v>0</v>
      </c>
      <c r="DH38" s="62">
        <v>0</v>
      </c>
      <c r="DI38" s="62">
        <v>0</v>
      </c>
      <c r="DJ38" s="62">
        <v>0</v>
      </c>
      <c r="DK38" s="62">
        <v>0</v>
      </c>
      <c r="DL38" s="62">
        <v>0</v>
      </c>
      <c r="DM38" s="190">
        <f t="shared" si="23"/>
        <v>0</v>
      </c>
      <c r="DN38" s="62">
        <v>0</v>
      </c>
      <c r="DO38" s="62">
        <v>0</v>
      </c>
      <c r="DP38" s="62">
        <v>0</v>
      </c>
      <c r="DQ38" s="62">
        <v>0</v>
      </c>
      <c r="DR38" s="62">
        <v>0</v>
      </c>
      <c r="DS38" s="62">
        <v>0</v>
      </c>
      <c r="DT38" s="62">
        <v>0</v>
      </c>
      <c r="DU38" s="62">
        <v>0</v>
      </c>
      <c r="DV38" s="62">
        <v>0</v>
      </c>
      <c r="DW38" s="62">
        <v>0</v>
      </c>
      <c r="DX38" s="62">
        <v>0</v>
      </c>
      <c r="DY38" s="62">
        <v>0</v>
      </c>
      <c r="DZ38" s="190">
        <f t="shared" si="24"/>
        <v>0</v>
      </c>
    </row>
    <row r="39" spans="1:130" ht="20.45" customHeight="1" outlineLevel="2">
      <c r="A39" s="525"/>
      <c r="B39" s="530"/>
      <c r="C39" s="30" t="s">
        <v>316</v>
      </c>
      <c r="D39" s="62">
        <f t="shared" si="0"/>
        <v>1789161.9999999998</v>
      </c>
      <c r="E39" s="184">
        <f t="shared" si="179"/>
        <v>5.5356732664120414E-3</v>
      </c>
      <c r="F39" s="62">
        <v>0</v>
      </c>
      <c r="G39" s="190">
        <f t="shared" si="36"/>
        <v>0</v>
      </c>
      <c r="H39" s="197">
        <f t="shared" si="233"/>
        <v>0</v>
      </c>
      <c r="I39" s="62">
        <v>0</v>
      </c>
      <c r="J39" s="62">
        <v>0</v>
      </c>
      <c r="K39" s="62">
        <v>0</v>
      </c>
      <c r="L39" s="62">
        <v>0</v>
      </c>
      <c r="M39" s="62">
        <v>0</v>
      </c>
      <c r="N39" s="62">
        <v>0</v>
      </c>
      <c r="O39" s="62">
        <v>0</v>
      </c>
      <c r="P39" s="62">
        <v>0</v>
      </c>
      <c r="Q39" s="62">
        <v>0</v>
      </c>
      <c r="R39" s="62">
        <v>42046</v>
      </c>
      <c r="S39" s="62">
        <v>23230</v>
      </c>
      <c r="T39" s="62">
        <v>42046</v>
      </c>
      <c r="U39" s="190">
        <f t="shared" si="16"/>
        <v>107322</v>
      </c>
      <c r="V39" s="197">
        <f t="shared" si="234"/>
        <v>1.9344269250771589E-3</v>
      </c>
      <c r="W39" s="62">
        <v>42046</v>
      </c>
      <c r="X39" s="62">
        <v>42046</v>
      </c>
      <c r="Y39" s="62">
        <v>42046</v>
      </c>
      <c r="Z39" s="62">
        <v>42046</v>
      </c>
      <c r="AA39" s="62">
        <v>42046</v>
      </c>
      <c r="AB39" s="62">
        <v>42046</v>
      </c>
      <c r="AC39" s="62">
        <v>42046</v>
      </c>
      <c r="AD39" s="62">
        <v>42046</v>
      </c>
      <c r="AE39" s="62">
        <v>42046</v>
      </c>
      <c r="AF39" s="62">
        <v>42046</v>
      </c>
      <c r="AG39" s="62">
        <v>42046</v>
      </c>
      <c r="AH39" s="62">
        <v>42046</v>
      </c>
      <c r="AI39" s="190">
        <f t="shared" si="17"/>
        <v>504552</v>
      </c>
      <c r="AJ39" s="197">
        <f t="shared" si="235"/>
        <v>6.8573104211596446E-3</v>
      </c>
      <c r="AK39" s="62">
        <f>23230+18816</f>
        <v>42046</v>
      </c>
      <c r="AL39" s="62">
        <f>18816+23230</f>
        <v>42046</v>
      </c>
      <c r="AM39" s="62">
        <f>18816+23230</f>
        <v>42046</v>
      </c>
      <c r="AN39" s="62">
        <v>18816</v>
      </c>
      <c r="AO39" s="62">
        <v>42046</v>
      </c>
      <c r="AP39" s="62">
        <v>42046</v>
      </c>
      <c r="AQ39" s="62">
        <v>42046</v>
      </c>
      <c r="AR39" s="62">
        <v>42046</v>
      </c>
      <c r="AS39" s="62">
        <v>42046</v>
      </c>
      <c r="AT39" s="62">
        <v>42046</v>
      </c>
      <c r="AU39" s="62">
        <v>42046</v>
      </c>
      <c r="AV39" s="62">
        <v>42046</v>
      </c>
      <c r="AW39" s="190">
        <f t="shared" si="18"/>
        <v>481322</v>
      </c>
      <c r="AX39" s="197">
        <f t="shared" si="236"/>
        <v>6.309330210333597E-3</v>
      </c>
      <c r="AY39" s="62">
        <v>0</v>
      </c>
      <c r="AZ39" s="62">
        <f>18816+46460</f>
        <v>65276</v>
      </c>
      <c r="BA39" s="62">
        <v>42046</v>
      </c>
      <c r="BB39" s="62">
        <v>42046</v>
      </c>
      <c r="BC39" s="62">
        <v>18816</v>
      </c>
      <c r="BD39" s="62">
        <f>42046+23230</f>
        <v>65276</v>
      </c>
      <c r="BE39" s="62">
        <v>42046</v>
      </c>
      <c r="BF39" s="62">
        <v>42046</v>
      </c>
      <c r="BG39" s="62">
        <v>42046</v>
      </c>
      <c r="BH39" s="62">
        <v>42046</v>
      </c>
      <c r="BI39" s="62">
        <v>42046</v>
      </c>
      <c r="BJ39" s="62">
        <v>42046</v>
      </c>
      <c r="BK39" s="190">
        <f t="shared" si="19"/>
        <v>485736</v>
      </c>
      <c r="BL39" s="197">
        <f t="shared" si="237"/>
        <v>6.9550802128930155E-3</v>
      </c>
      <c r="BM39" s="62">
        <v>18816</v>
      </c>
      <c r="BN39" s="62">
        <f>18816+46460</f>
        <v>65276</v>
      </c>
      <c r="BO39" s="62">
        <v>42046</v>
      </c>
      <c r="BP39" s="62">
        <v>42046</v>
      </c>
      <c r="BQ39" s="62">
        <v>42046</v>
      </c>
      <c r="BR39" s="62">
        <v>0</v>
      </c>
      <c r="BS39" s="62">
        <v>0</v>
      </c>
      <c r="BT39" s="62">
        <v>0</v>
      </c>
      <c r="BU39" s="62">
        <v>0</v>
      </c>
      <c r="BV39" s="62">
        <v>0</v>
      </c>
      <c r="BW39" s="62">
        <v>0</v>
      </c>
      <c r="BX39" s="62">
        <v>0</v>
      </c>
      <c r="BY39" s="190">
        <f t="shared" si="20"/>
        <v>210230</v>
      </c>
      <c r="BZ39" s="197">
        <f t="shared" si="238"/>
        <v>4.8170503832353903E-3</v>
      </c>
      <c r="CA39" s="62">
        <v>0</v>
      </c>
      <c r="CB39" s="62">
        <v>0</v>
      </c>
      <c r="CC39" s="62">
        <v>0</v>
      </c>
      <c r="CD39" s="62">
        <v>0</v>
      </c>
      <c r="CE39" s="62">
        <v>0</v>
      </c>
      <c r="CF39" s="62">
        <v>0</v>
      </c>
      <c r="CG39" s="62">
        <v>0</v>
      </c>
      <c r="CH39" s="62">
        <v>0</v>
      </c>
      <c r="CI39" s="62">
        <v>0</v>
      </c>
      <c r="CJ39" s="62">
        <v>0</v>
      </c>
      <c r="CK39" s="62">
        <v>0</v>
      </c>
      <c r="CL39" s="62">
        <v>0</v>
      </c>
      <c r="CM39" s="190">
        <f t="shared" si="21"/>
        <v>0</v>
      </c>
      <c r="CN39" s="62">
        <v>0</v>
      </c>
      <c r="CO39" s="62">
        <v>0</v>
      </c>
      <c r="CP39" s="62">
        <v>0</v>
      </c>
      <c r="CQ39" s="62">
        <v>0</v>
      </c>
      <c r="CR39" s="62">
        <v>0</v>
      </c>
      <c r="CS39" s="62">
        <v>0</v>
      </c>
      <c r="CT39" s="62">
        <v>0</v>
      </c>
      <c r="CU39" s="62">
        <v>0</v>
      </c>
      <c r="CV39" s="62">
        <v>0</v>
      </c>
      <c r="CW39" s="62">
        <v>0</v>
      </c>
      <c r="CX39" s="62">
        <v>0</v>
      </c>
      <c r="CY39" s="62">
        <v>0</v>
      </c>
      <c r="CZ39" s="190">
        <f t="shared" si="22"/>
        <v>0</v>
      </c>
      <c r="DA39" s="62">
        <v>0</v>
      </c>
      <c r="DB39" s="62">
        <v>0</v>
      </c>
      <c r="DC39" s="62">
        <v>0</v>
      </c>
      <c r="DD39" s="62">
        <v>0</v>
      </c>
      <c r="DE39" s="62">
        <v>0</v>
      </c>
      <c r="DF39" s="62">
        <v>0</v>
      </c>
      <c r="DG39" s="62">
        <v>0</v>
      </c>
      <c r="DH39" s="62">
        <v>0</v>
      </c>
      <c r="DI39" s="62">
        <v>0</v>
      </c>
      <c r="DJ39" s="62">
        <v>0</v>
      </c>
      <c r="DK39" s="62">
        <v>0</v>
      </c>
      <c r="DL39" s="62">
        <v>0</v>
      </c>
      <c r="DM39" s="190">
        <f t="shared" si="23"/>
        <v>0</v>
      </c>
      <c r="DN39" s="62">
        <v>0</v>
      </c>
      <c r="DO39" s="62">
        <v>0</v>
      </c>
      <c r="DP39" s="62">
        <v>0</v>
      </c>
      <c r="DQ39" s="62">
        <v>0</v>
      </c>
      <c r="DR39" s="62">
        <v>0</v>
      </c>
      <c r="DS39" s="62">
        <v>0</v>
      </c>
      <c r="DT39" s="62">
        <v>0</v>
      </c>
      <c r="DU39" s="62">
        <v>0</v>
      </c>
      <c r="DV39" s="62">
        <v>0</v>
      </c>
      <c r="DW39" s="62">
        <v>0</v>
      </c>
      <c r="DX39" s="62">
        <v>0</v>
      </c>
      <c r="DY39" s="62">
        <v>0</v>
      </c>
      <c r="DZ39" s="190">
        <f t="shared" si="24"/>
        <v>0</v>
      </c>
    </row>
    <row r="40" spans="1:130" ht="20.45" customHeight="1" outlineLevel="2">
      <c r="A40" s="525"/>
      <c r="B40" s="529"/>
      <c r="C40" s="30" t="s">
        <v>317</v>
      </c>
      <c r="D40" s="62">
        <f t="shared" si="0"/>
        <v>3904060.0000000005</v>
      </c>
      <c r="E40" s="184">
        <f t="shared" si="179"/>
        <v>1.2079174816181319E-2</v>
      </c>
      <c r="F40" s="62">
        <v>0</v>
      </c>
      <c r="G40" s="190">
        <f t="shared" si="36"/>
        <v>0</v>
      </c>
      <c r="H40" s="197">
        <f t="shared" si="233"/>
        <v>0</v>
      </c>
      <c r="I40" s="62">
        <v>0</v>
      </c>
      <c r="J40" s="62">
        <v>0</v>
      </c>
      <c r="K40" s="62">
        <v>0</v>
      </c>
      <c r="L40" s="62">
        <v>0</v>
      </c>
      <c r="M40" s="62">
        <v>0</v>
      </c>
      <c r="N40" s="62">
        <v>0</v>
      </c>
      <c r="O40" s="62">
        <v>787050</v>
      </c>
      <c r="P40" s="62">
        <v>0</v>
      </c>
      <c r="Q40" s="62">
        <v>0</v>
      </c>
      <c r="R40" s="62">
        <v>0</v>
      </c>
      <c r="S40" s="62">
        <v>0</v>
      </c>
      <c r="T40" s="62">
        <f>739000+113840</f>
        <v>852840</v>
      </c>
      <c r="U40" s="190">
        <f t="shared" si="16"/>
        <v>1639890</v>
      </c>
      <c r="V40" s="197">
        <f t="shared" si="234"/>
        <v>2.9558220776399826E-2</v>
      </c>
      <c r="W40" s="62">
        <v>0</v>
      </c>
      <c r="X40" s="62">
        <v>0</v>
      </c>
      <c r="Y40" s="62">
        <v>0</v>
      </c>
      <c r="Z40" s="62">
        <v>0</v>
      </c>
      <c r="AA40" s="62">
        <v>0</v>
      </c>
      <c r="AB40" s="62">
        <v>0</v>
      </c>
      <c r="AC40" s="62">
        <v>0</v>
      </c>
      <c r="AD40" s="62">
        <v>100000</v>
      </c>
      <c r="AE40" s="62">
        <v>0</v>
      </c>
      <c r="AF40" s="62">
        <v>0</v>
      </c>
      <c r="AG40" s="62">
        <v>866550</v>
      </c>
      <c r="AH40" s="62">
        <v>0</v>
      </c>
      <c r="AI40" s="190">
        <f t="shared" si="17"/>
        <v>966550</v>
      </c>
      <c r="AJ40" s="197">
        <f t="shared" si="235"/>
        <v>1.3136274135414893E-2</v>
      </c>
      <c r="AK40" s="62">
        <v>0</v>
      </c>
      <c r="AL40" s="62">
        <v>0</v>
      </c>
      <c r="AM40" s="62">
        <v>0</v>
      </c>
      <c r="AN40" s="62">
        <v>0</v>
      </c>
      <c r="AO40" s="62">
        <v>0</v>
      </c>
      <c r="AP40" s="62">
        <f>3350+710640</f>
        <v>713990</v>
      </c>
      <c r="AQ40" s="62">
        <v>-710640</v>
      </c>
      <c r="AR40" s="62">
        <v>0</v>
      </c>
      <c r="AS40" s="62">
        <v>0</v>
      </c>
      <c r="AT40" s="62">
        <v>0</v>
      </c>
      <c r="AU40" s="62">
        <v>0</v>
      </c>
      <c r="AV40" s="62">
        <v>563090</v>
      </c>
      <c r="AW40" s="190">
        <f t="shared" si="18"/>
        <v>566440</v>
      </c>
      <c r="AX40" s="197">
        <f t="shared" si="236"/>
        <v>7.4250855027224241E-3</v>
      </c>
      <c r="AY40" s="62">
        <f>-35520-16450</f>
        <v>-51970</v>
      </c>
      <c r="AZ40" s="62">
        <v>0</v>
      </c>
      <c r="BA40" s="62">
        <v>0</v>
      </c>
      <c r="BB40" s="62">
        <v>0</v>
      </c>
      <c r="BC40" s="62">
        <v>0</v>
      </c>
      <c r="BD40" s="62">
        <v>1083220</v>
      </c>
      <c r="BE40" s="62">
        <f>-307350-680000</f>
        <v>-987350</v>
      </c>
      <c r="BF40" s="62">
        <v>0</v>
      </c>
      <c r="BG40" s="62">
        <v>0</v>
      </c>
      <c r="BH40" s="62">
        <v>0</v>
      </c>
      <c r="BI40" s="62">
        <v>0</v>
      </c>
      <c r="BJ40" s="62">
        <f>687280</f>
        <v>687280</v>
      </c>
      <c r="BK40" s="190">
        <f t="shared" si="19"/>
        <v>731180</v>
      </c>
      <c r="BL40" s="197">
        <f t="shared" si="237"/>
        <v>1.0469505142841205E-2</v>
      </c>
      <c r="BM40" s="62">
        <v>0</v>
      </c>
      <c r="BN40" s="62">
        <v>0</v>
      </c>
      <c r="BO40" s="62">
        <v>0</v>
      </c>
      <c r="BP40" s="62">
        <v>0</v>
      </c>
      <c r="BQ40" s="62">
        <v>0</v>
      </c>
      <c r="BR40" s="62">
        <v>0</v>
      </c>
      <c r="BS40" s="62">
        <v>0</v>
      </c>
      <c r="BT40" s="62">
        <v>0</v>
      </c>
      <c r="BU40" s="62">
        <v>0</v>
      </c>
      <c r="BV40" s="62">
        <v>0</v>
      </c>
      <c r="BW40" s="62">
        <v>0</v>
      </c>
      <c r="BX40" s="62">
        <v>0</v>
      </c>
      <c r="BY40" s="190">
        <f t="shared" si="20"/>
        <v>0</v>
      </c>
      <c r="BZ40" s="197">
        <f t="shared" si="238"/>
        <v>0</v>
      </c>
      <c r="CA40" s="62">
        <v>0</v>
      </c>
      <c r="CB40" s="62">
        <v>0</v>
      </c>
      <c r="CC40" s="62">
        <v>0</v>
      </c>
      <c r="CD40" s="62">
        <v>0</v>
      </c>
      <c r="CE40" s="62">
        <v>0</v>
      </c>
      <c r="CF40" s="62">
        <v>0</v>
      </c>
      <c r="CG40" s="62">
        <v>0</v>
      </c>
      <c r="CH40" s="62">
        <v>0</v>
      </c>
      <c r="CI40" s="62">
        <v>0</v>
      </c>
      <c r="CJ40" s="62">
        <v>0</v>
      </c>
      <c r="CK40" s="62">
        <v>0</v>
      </c>
      <c r="CL40" s="62">
        <v>0</v>
      </c>
      <c r="CM40" s="190">
        <f t="shared" si="21"/>
        <v>0</v>
      </c>
      <c r="CN40" s="62">
        <v>0</v>
      </c>
      <c r="CO40" s="62">
        <v>0</v>
      </c>
      <c r="CP40" s="62">
        <v>0</v>
      </c>
      <c r="CQ40" s="62">
        <v>0</v>
      </c>
      <c r="CR40" s="62">
        <v>0</v>
      </c>
      <c r="CS40" s="62">
        <v>0</v>
      </c>
      <c r="CT40" s="62">
        <v>0</v>
      </c>
      <c r="CU40" s="62">
        <v>0</v>
      </c>
      <c r="CV40" s="62">
        <v>0</v>
      </c>
      <c r="CW40" s="62">
        <v>0</v>
      </c>
      <c r="CX40" s="62">
        <v>0</v>
      </c>
      <c r="CY40" s="62">
        <v>0</v>
      </c>
      <c r="CZ40" s="190">
        <f t="shared" si="22"/>
        <v>0</v>
      </c>
      <c r="DA40" s="62">
        <v>0</v>
      </c>
      <c r="DB40" s="62">
        <v>0</v>
      </c>
      <c r="DC40" s="62">
        <v>0</v>
      </c>
      <c r="DD40" s="62">
        <v>0</v>
      </c>
      <c r="DE40" s="62">
        <v>0</v>
      </c>
      <c r="DF40" s="62">
        <v>0</v>
      </c>
      <c r="DG40" s="62">
        <v>0</v>
      </c>
      <c r="DH40" s="62">
        <v>0</v>
      </c>
      <c r="DI40" s="62">
        <v>0</v>
      </c>
      <c r="DJ40" s="62">
        <v>0</v>
      </c>
      <c r="DK40" s="62">
        <v>0</v>
      </c>
      <c r="DL40" s="62">
        <v>0</v>
      </c>
      <c r="DM40" s="190">
        <f t="shared" si="23"/>
        <v>0</v>
      </c>
      <c r="DN40" s="62">
        <v>0</v>
      </c>
      <c r="DO40" s="62">
        <v>0</v>
      </c>
      <c r="DP40" s="62">
        <v>0</v>
      </c>
      <c r="DQ40" s="62">
        <v>0</v>
      </c>
      <c r="DR40" s="62">
        <v>0</v>
      </c>
      <c r="DS40" s="62">
        <v>0</v>
      </c>
      <c r="DT40" s="62">
        <v>0</v>
      </c>
      <c r="DU40" s="62">
        <v>0</v>
      </c>
      <c r="DV40" s="62">
        <v>0</v>
      </c>
      <c r="DW40" s="62">
        <v>0</v>
      </c>
      <c r="DX40" s="62">
        <v>0</v>
      </c>
      <c r="DY40" s="62">
        <v>0</v>
      </c>
      <c r="DZ40" s="190">
        <f t="shared" si="24"/>
        <v>0</v>
      </c>
    </row>
    <row r="41" spans="1:130" s="194" customFormat="1" ht="20.45" customHeight="1" outlineLevel="1">
      <c r="A41" s="525"/>
      <c r="B41" s="527" t="s">
        <v>2606</v>
      </c>
      <c r="C41" s="65" t="s">
        <v>307</v>
      </c>
      <c r="D41" s="66">
        <f t="shared" si="0"/>
        <v>25631997</v>
      </c>
      <c r="E41" s="187">
        <f>SUM(E42:E47)</f>
        <v>7.9305485225850805E-2</v>
      </c>
      <c r="F41" s="62">
        <f>SUM(F42:F47)</f>
        <v>451390</v>
      </c>
      <c r="G41" s="190">
        <f t="shared" si="36"/>
        <v>451390</v>
      </c>
      <c r="H41" s="196">
        <f t="shared" ref="H41:T41" si="259">SUM(H42:H47)</f>
        <v>0.1031063944969112</v>
      </c>
      <c r="I41" s="62">
        <f t="shared" si="259"/>
        <v>526740</v>
      </c>
      <c r="J41" s="62">
        <f t="shared" si="259"/>
        <v>550390</v>
      </c>
      <c r="K41" s="62">
        <f t="shared" si="259"/>
        <v>540410</v>
      </c>
      <c r="L41" s="62">
        <f t="shared" si="259"/>
        <v>530780</v>
      </c>
      <c r="M41" s="62">
        <f t="shared" si="259"/>
        <v>517760</v>
      </c>
      <c r="N41" s="62">
        <f t="shared" si="259"/>
        <v>452270</v>
      </c>
      <c r="O41" s="62">
        <f t="shared" si="259"/>
        <v>689540</v>
      </c>
      <c r="P41" s="62">
        <f t="shared" si="259"/>
        <v>199890</v>
      </c>
      <c r="Q41" s="62">
        <f t="shared" si="259"/>
        <v>468610</v>
      </c>
      <c r="R41" s="62">
        <f t="shared" si="259"/>
        <v>557990</v>
      </c>
      <c r="S41" s="62">
        <f t="shared" si="259"/>
        <v>430750</v>
      </c>
      <c r="T41" s="62">
        <f t="shared" si="259"/>
        <v>544410</v>
      </c>
      <c r="U41" s="190">
        <f t="shared" si="16"/>
        <v>6009540</v>
      </c>
      <c r="V41" s="196">
        <f t="shared" ref="V41" si="260">SUM(V42:V47)</f>
        <v>0.108319039743279</v>
      </c>
      <c r="W41" s="62">
        <f t="shared" ref="W41:AH41" si="261">SUM(W42:W47)</f>
        <v>653060</v>
      </c>
      <c r="X41" s="62">
        <f t="shared" si="261"/>
        <v>557810</v>
      </c>
      <c r="Y41" s="62">
        <f t="shared" si="261"/>
        <v>526120</v>
      </c>
      <c r="Z41" s="62">
        <f t="shared" si="261"/>
        <v>585740</v>
      </c>
      <c r="AA41" s="62">
        <f t="shared" si="261"/>
        <v>574910</v>
      </c>
      <c r="AB41" s="62">
        <f t="shared" si="261"/>
        <v>600210</v>
      </c>
      <c r="AC41" s="62">
        <f t="shared" si="261"/>
        <v>594360</v>
      </c>
      <c r="AD41" s="62">
        <f t="shared" si="261"/>
        <v>384140</v>
      </c>
      <c r="AE41" s="62">
        <f t="shared" si="261"/>
        <v>537060</v>
      </c>
      <c r="AF41" s="62">
        <f t="shared" si="261"/>
        <v>197330</v>
      </c>
      <c r="AG41" s="62">
        <f t="shared" si="261"/>
        <v>410950</v>
      </c>
      <c r="AH41" s="62">
        <f t="shared" si="261"/>
        <v>456270</v>
      </c>
      <c r="AI41" s="190">
        <f t="shared" si="17"/>
        <v>6077960</v>
      </c>
      <c r="AJ41" s="196">
        <f t="shared" ref="AJ41" si="262">SUM(AJ42:AJ47)</f>
        <v>8.2604882048612396E-2</v>
      </c>
      <c r="AK41" s="62">
        <f t="shared" ref="AK41:AV41" si="263">SUM(AK42:AK47)</f>
        <v>507980</v>
      </c>
      <c r="AL41" s="62">
        <f t="shared" si="263"/>
        <v>477340</v>
      </c>
      <c r="AM41" s="62">
        <f t="shared" si="263"/>
        <v>461780</v>
      </c>
      <c r="AN41" s="62">
        <f t="shared" si="263"/>
        <v>446710</v>
      </c>
      <c r="AO41" s="62">
        <f t="shared" si="263"/>
        <v>419750</v>
      </c>
      <c r="AP41" s="62">
        <f t="shared" si="263"/>
        <v>421260</v>
      </c>
      <c r="AQ41" s="62">
        <f t="shared" si="263"/>
        <v>398860</v>
      </c>
      <c r="AR41" s="62">
        <f t="shared" si="263"/>
        <v>362660</v>
      </c>
      <c r="AS41" s="62">
        <f t="shared" si="263"/>
        <v>590570</v>
      </c>
      <c r="AT41" s="62">
        <f t="shared" si="263"/>
        <v>520820</v>
      </c>
      <c r="AU41" s="62">
        <f t="shared" si="263"/>
        <v>443030</v>
      </c>
      <c r="AV41" s="62">
        <f t="shared" si="263"/>
        <v>498500</v>
      </c>
      <c r="AW41" s="190">
        <f t="shared" si="18"/>
        <v>5549260</v>
      </c>
      <c r="AX41" s="196">
        <f t="shared" ref="AX41" si="264">SUM(AX42:AX47)</f>
        <v>7.2741561289523068E-2</v>
      </c>
      <c r="AY41" s="62">
        <f t="shared" ref="AY41:BJ41" si="265">SUM(AY42:AY47)</f>
        <v>34650</v>
      </c>
      <c r="AZ41" s="62">
        <f t="shared" si="265"/>
        <v>177000</v>
      </c>
      <c r="BA41" s="62">
        <f t="shared" si="265"/>
        <v>722600</v>
      </c>
      <c r="BB41" s="62">
        <f t="shared" si="265"/>
        <v>464160</v>
      </c>
      <c r="BC41" s="62">
        <f t="shared" si="265"/>
        <v>377720</v>
      </c>
      <c r="BD41" s="62">
        <f t="shared" si="265"/>
        <v>420180</v>
      </c>
      <c r="BE41" s="62">
        <f t="shared" si="265"/>
        <v>417300</v>
      </c>
      <c r="BF41" s="62">
        <f t="shared" si="265"/>
        <v>469150</v>
      </c>
      <c r="BG41" s="62">
        <f t="shared" si="265"/>
        <v>436490</v>
      </c>
      <c r="BH41" s="62">
        <f t="shared" si="265"/>
        <v>473207</v>
      </c>
      <c r="BI41" s="62">
        <f t="shared" si="265"/>
        <v>467100</v>
      </c>
      <c r="BJ41" s="62">
        <f t="shared" si="265"/>
        <v>571480</v>
      </c>
      <c r="BK41" s="190">
        <f t="shared" si="19"/>
        <v>5031037</v>
      </c>
      <c r="BL41" s="196">
        <f t="shared" ref="BL41" si="266">SUM(BL42:BL47)</f>
        <v>7.2037621030832888E-2</v>
      </c>
      <c r="BM41" s="62">
        <f t="shared" ref="BM41:BX41" si="267">SUM(BM42:BM47)</f>
        <v>438470</v>
      </c>
      <c r="BN41" s="62">
        <f t="shared" si="267"/>
        <v>449400</v>
      </c>
      <c r="BO41" s="62">
        <f t="shared" si="267"/>
        <v>503530</v>
      </c>
      <c r="BP41" s="62">
        <f t="shared" si="267"/>
        <v>657460</v>
      </c>
      <c r="BQ41" s="62">
        <f t="shared" si="267"/>
        <v>463950</v>
      </c>
      <c r="BR41" s="62">
        <f t="shared" si="267"/>
        <v>0</v>
      </c>
      <c r="BS41" s="62">
        <f t="shared" si="267"/>
        <v>0</v>
      </c>
      <c r="BT41" s="62">
        <f t="shared" si="267"/>
        <v>0</v>
      </c>
      <c r="BU41" s="62">
        <f t="shared" si="267"/>
        <v>0</v>
      </c>
      <c r="BV41" s="62">
        <f t="shared" si="267"/>
        <v>0</v>
      </c>
      <c r="BW41" s="62">
        <f t="shared" si="267"/>
        <v>0</v>
      </c>
      <c r="BX41" s="62">
        <f t="shared" si="267"/>
        <v>0</v>
      </c>
      <c r="BY41" s="190">
        <f t="shared" si="20"/>
        <v>2512810</v>
      </c>
      <c r="BZ41" s="196">
        <f t="shared" ref="BZ41" si="268">SUM(BZ42:BZ47)</f>
        <v>5.7576617863757423E-2</v>
      </c>
      <c r="CA41" s="62">
        <f t="shared" ref="CA41:CL41" si="269">SUM(CA42:CA47)</f>
        <v>0</v>
      </c>
      <c r="CB41" s="62">
        <f t="shared" si="269"/>
        <v>0</v>
      </c>
      <c r="CC41" s="62">
        <f t="shared" si="269"/>
        <v>0</v>
      </c>
      <c r="CD41" s="62">
        <f t="shared" si="269"/>
        <v>0</v>
      </c>
      <c r="CE41" s="62">
        <f t="shared" si="269"/>
        <v>0</v>
      </c>
      <c r="CF41" s="62">
        <f t="shared" si="269"/>
        <v>0</v>
      </c>
      <c r="CG41" s="62">
        <f t="shared" si="269"/>
        <v>0</v>
      </c>
      <c r="CH41" s="62">
        <f t="shared" si="269"/>
        <v>0</v>
      </c>
      <c r="CI41" s="62">
        <f t="shared" si="269"/>
        <v>0</v>
      </c>
      <c r="CJ41" s="62">
        <f t="shared" si="269"/>
        <v>0</v>
      </c>
      <c r="CK41" s="62">
        <f t="shared" si="269"/>
        <v>0</v>
      </c>
      <c r="CL41" s="62">
        <f t="shared" si="269"/>
        <v>0</v>
      </c>
      <c r="CM41" s="190">
        <f t="shared" si="21"/>
        <v>0</v>
      </c>
      <c r="CN41" s="62">
        <f t="shared" ref="CN41:CY41" si="270">SUM(CN42:CN47)</f>
        <v>0</v>
      </c>
      <c r="CO41" s="62">
        <f t="shared" si="270"/>
        <v>0</v>
      </c>
      <c r="CP41" s="62">
        <f t="shared" si="270"/>
        <v>0</v>
      </c>
      <c r="CQ41" s="62">
        <f t="shared" si="270"/>
        <v>0</v>
      </c>
      <c r="CR41" s="62">
        <f t="shared" si="270"/>
        <v>0</v>
      </c>
      <c r="CS41" s="62">
        <f t="shared" si="270"/>
        <v>0</v>
      </c>
      <c r="CT41" s="62">
        <f t="shared" si="270"/>
        <v>0</v>
      </c>
      <c r="CU41" s="62">
        <f t="shared" si="270"/>
        <v>0</v>
      </c>
      <c r="CV41" s="62">
        <f t="shared" si="270"/>
        <v>0</v>
      </c>
      <c r="CW41" s="62">
        <f t="shared" si="270"/>
        <v>0</v>
      </c>
      <c r="CX41" s="62">
        <f t="shared" si="270"/>
        <v>0</v>
      </c>
      <c r="CY41" s="62">
        <f t="shared" si="270"/>
        <v>0</v>
      </c>
      <c r="CZ41" s="190">
        <f t="shared" si="22"/>
        <v>0</v>
      </c>
      <c r="DA41" s="62">
        <f t="shared" ref="DA41:DL41" si="271">SUM(DA42:DA47)</f>
        <v>0</v>
      </c>
      <c r="DB41" s="62">
        <f t="shared" si="271"/>
        <v>0</v>
      </c>
      <c r="DC41" s="62">
        <f t="shared" si="271"/>
        <v>0</v>
      </c>
      <c r="DD41" s="62">
        <f t="shared" si="271"/>
        <v>0</v>
      </c>
      <c r="DE41" s="62">
        <f t="shared" si="271"/>
        <v>0</v>
      </c>
      <c r="DF41" s="62">
        <f t="shared" si="271"/>
        <v>0</v>
      </c>
      <c r="DG41" s="62">
        <f t="shared" si="271"/>
        <v>0</v>
      </c>
      <c r="DH41" s="62">
        <f t="shared" si="271"/>
        <v>0</v>
      </c>
      <c r="DI41" s="62">
        <f t="shared" si="271"/>
        <v>0</v>
      </c>
      <c r="DJ41" s="62">
        <f t="shared" si="271"/>
        <v>0</v>
      </c>
      <c r="DK41" s="62">
        <f t="shared" si="271"/>
        <v>0</v>
      </c>
      <c r="DL41" s="62">
        <f t="shared" si="271"/>
        <v>0</v>
      </c>
      <c r="DM41" s="190">
        <f t="shared" si="23"/>
        <v>0</v>
      </c>
      <c r="DN41" s="62">
        <f t="shared" ref="DN41:DY41" si="272">SUM(DN42:DN47)</f>
        <v>0</v>
      </c>
      <c r="DO41" s="62">
        <f t="shared" si="272"/>
        <v>0</v>
      </c>
      <c r="DP41" s="62">
        <f t="shared" si="272"/>
        <v>0</v>
      </c>
      <c r="DQ41" s="62">
        <f t="shared" si="272"/>
        <v>0</v>
      </c>
      <c r="DR41" s="62">
        <f t="shared" si="272"/>
        <v>0</v>
      </c>
      <c r="DS41" s="62">
        <f t="shared" si="272"/>
        <v>0</v>
      </c>
      <c r="DT41" s="62">
        <f t="shared" si="272"/>
        <v>0</v>
      </c>
      <c r="DU41" s="62">
        <f t="shared" si="272"/>
        <v>0</v>
      </c>
      <c r="DV41" s="62">
        <f t="shared" si="272"/>
        <v>0</v>
      </c>
      <c r="DW41" s="62">
        <f t="shared" si="272"/>
        <v>0</v>
      </c>
      <c r="DX41" s="62">
        <f t="shared" si="272"/>
        <v>0</v>
      </c>
      <c r="DY41" s="62">
        <f t="shared" si="272"/>
        <v>0</v>
      </c>
      <c r="DZ41" s="190">
        <f t="shared" si="24"/>
        <v>0</v>
      </c>
    </row>
    <row r="42" spans="1:130" ht="20.45" customHeight="1" outlineLevel="2">
      <c r="A42" s="525"/>
      <c r="B42" s="530"/>
      <c r="C42" s="30" t="s">
        <v>318</v>
      </c>
      <c r="D42" s="62">
        <f t="shared" si="0"/>
        <v>15507080</v>
      </c>
      <c r="E42" s="184">
        <f t="shared" si="179"/>
        <v>4.7978957856310858E-2</v>
      </c>
      <c r="F42" s="62">
        <v>241300</v>
      </c>
      <c r="G42" s="190">
        <f t="shared" si="36"/>
        <v>241300</v>
      </c>
      <c r="H42" s="197">
        <f t="shared" ref="H42:H47" si="273">G42/(G$5+G$6+G$7+G$8+G$10+G$9)</f>
        <v>5.5117687569739407E-2</v>
      </c>
      <c r="I42" s="62">
        <v>242950</v>
      </c>
      <c r="J42" s="62">
        <v>293290</v>
      </c>
      <c r="K42" s="62">
        <v>283090</v>
      </c>
      <c r="L42" s="62">
        <v>292180</v>
      </c>
      <c r="M42" s="62">
        <v>290130</v>
      </c>
      <c r="N42" s="62">
        <v>227110</v>
      </c>
      <c r="O42" s="62">
        <v>469650</v>
      </c>
      <c r="P42" s="62">
        <v>0</v>
      </c>
      <c r="Q42" s="62">
        <v>258070</v>
      </c>
      <c r="R42" s="62">
        <v>343600</v>
      </c>
      <c r="S42" s="62">
        <v>206570</v>
      </c>
      <c r="T42" s="62">
        <v>246000</v>
      </c>
      <c r="U42" s="190">
        <f t="shared" si="16"/>
        <v>3152640</v>
      </c>
      <c r="V42" s="197">
        <f t="shared" ref="V42:V47" si="274">U42/(U$5+U$6+U$7+U$8+U$10+U$9)</f>
        <v>5.6824804803071637E-2</v>
      </c>
      <c r="W42" s="62">
        <v>410540</v>
      </c>
      <c r="X42" s="62">
        <v>248330</v>
      </c>
      <c r="Y42" s="62">
        <v>299520</v>
      </c>
      <c r="Z42" s="62">
        <v>364350</v>
      </c>
      <c r="AA42" s="62">
        <v>297670</v>
      </c>
      <c r="AB42" s="62">
        <v>245790</v>
      </c>
      <c r="AC42" s="62">
        <v>445680</v>
      </c>
      <c r="AD42" s="62">
        <f>289150-50000</f>
        <v>239150</v>
      </c>
      <c r="AE42" s="62">
        <f>415410-20000</f>
        <v>395410</v>
      </c>
      <c r="AF42" s="62">
        <f>-250000+288570</f>
        <v>38570</v>
      </c>
      <c r="AG42" s="62">
        <v>251350</v>
      </c>
      <c r="AH42" s="62">
        <v>263330</v>
      </c>
      <c r="AI42" s="190">
        <f t="shared" si="17"/>
        <v>3499690</v>
      </c>
      <c r="AJ42" s="197">
        <f t="shared" ref="AJ42:AJ47" si="275">AI42/(AI$5+AI$6+AI$7+AI$8+AI$10+AI$9)</f>
        <v>4.7563899673033101E-2</v>
      </c>
      <c r="AK42" s="62">
        <v>318880</v>
      </c>
      <c r="AL42" s="62">
        <v>313970</v>
      </c>
      <c r="AM42" s="62">
        <v>294830</v>
      </c>
      <c r="AN42" s="62">
        <v>316760</v>
      </c>
      <c r="AO42" s="62">
        <v>291810</v>
      </c>
      <c r="AP42" s="62">
        <v>310260</v>
      </c>
      <c r="AQ42" s="62">
        <v>287860</v>
      </c>
      <c r="AR42" s="62">
        <f>328350-150000</f>
        <v>178350</v>
      </c>
      <c r="AS42" s="62">
        <v>360270</v>
      </c>
      <c r="AT42" s="62">
        <v>363160</v>
      </c>
      <c r="AU42" s="62">
        <v>271050</v>
      </c>
      <c r="AV42" s="62">
        <v>272510</v>
      </c>
      <c r="AW42" s="190">
        <f t="shared" si="18"/>
        <v>3579710</v>
      </c>
      <c r="AX42" s="197">
        <f t="shared" ref="AX42:AX47" si="276">AW42/(AW$5+AW$6+AW$7+AW$8+AW$10+AW$9)</f>
        <v>4.6924039306811827E-2</v>
      </c>
      <c r="AY42" s="62">
        <v>0</v>
      </c>
      <c r="AZ42" s="62">
        <f>507540-505490</f>
        <v>2050</v>
      </c>
      <c r="BA42" s="62">
        <v>505490</v>
      </c>
      <c r="BB42" s="62">
        <v>255460</v>
      </c>
      <c r="BC42" s="62">
        <v>228830</v>
      </c>
      <c r="BD42" s="62">
        <v>273940</v>
      </c>
      <c r="BE42" s="62">
        <v>288530</v>
      </c>
      <c r="BF42" s="62">
        <v>344600</v>
      </c>
      <c r="BG42" s="62">
        <f>402690-95800</f>
        <v>306890</v>
      </c>
      <c r="BH42" s="62">
        <v>387950</v>
      </c>
      <c r="BI42" s="62">
        <v>344550</v>
      </c>
      <c r="BJ42" s="62">
        <v>441650</v>
      </c>
      <c r="BK42" s="190">
        <f t="shared" si="19"/>
        <v>3379940</v>
      </c>
      <c r="BL42" s="197">
        <f t="shared" ref="BL42:BL47" si="277">BK42/(BK$5+BK$6+BK$7+BK$8+BK$10+BK$9)</f>
        <v>4.8396153084732489E-2</v>
      </c>
      <c r="BM42" s="62">
        <v>287660</v>
      </c>
      <c r="BN42" s="62">
        <v>264370</v>
      </c>
      <c r="BO42" s="62">
        <v>308070</v>
      </c>
      <c r="BP42" s="62">
        <v>492150</v>
      </c>
      <c r="BQ42" s="62">
        <v>301550</v>
      </c>
      <c r="BR42" s="62">
        <v>0</v>
      </c>
      <c r="BS42" s="62">
        <v>0</v>
      </c>
      <c r="BT42" s="62">
        <v>0</v>
      </c>
      <c r="BU42" s="62">
        <v>0</v>
      </c>
      <c r="BV42" s="62">
        <v>0</v>
      </c>
      <c r="BW42" s="62">
        <v>0</v>
      </c>
      <c r="BX42" s="62">
        <v>0</v>
      </c>
      <c r="BY42" s="190">
        <f t="shared" si="20"/>
        <v>1653800</v>
      </c>
      <c r="BZ42" s="197">
        <f t="shared" ref="BZ42:BZ47" si="278">BY42/(BY$5+BY$6+BY$7+BY$8+BY$10+BY$9)</f>
        <v>3.7893915824547826E-2</v>
      </c>
      <c r="CA42" s="62">
        <v>0</v>
      </c>
      <c r="CB42" s="62">
        <v>0</v>
      </c>
      <c r="CC42" s="62">
        <v>0</v>
      </c>
      <c r="CD42" s="62">
        <v>0</v>
      </c>
      <c r="CE42" s="62">
        <v>0</v>
      </c>
      <c r="CF42" s="62">
        <v>0</v>
      </c>
      <c r="CG42" s="62">
        <v>0</v>
      </c>
      <c r="CH42" s="62">
        <v>0</v>
      </c>
      <c r="CI42" s="62">
        <v>0</v>
      </c>
      <c r="CJ42" s="62">
        <v>0</v>
      </c>
      <c r="CK42" s="62">
        <v>0</v>
      </c>
      <c r="CL42" s="62">
        <v>0</v>
      </c>
      <c r="CM42" s="190">
        <f t="shared" si="21"/>
        <v>0</v>
      </c>
      <c r="CN42" s="62">
        <v>0</v>
      </c>
      <c r="CO42" s="62">
        <v>0</v>
      </c>
      <c r="CP42" s="62">
        <v>0</v>
      </c>
      <c r="CQ42" s="62">
        <v>0</v>
      </c>
      <c r="CR42" s="62">
        <v>0</v>
      </c>
      <c r="CS42" s="62">
        <v>0</v>
      </c>
      <c r="CT42" s="62">
        <v>0</v>
      </c>
      <c r="CU42" s="62">
        <v>0</v>
      </c>
      <c r="CV42" s="62">
        <v>0</v>
      </c>
      <c r="CW42" s="62">
        <v>0</v>
      </c>
      <c r="CX42" s="62">
        <v>0</v>
      </c>
      <c r="CY42" s="62">
        <v>0</v>
      </c>
      <c r="CZ42" s="190">
        <f t="shared" si="22"/>
        <v>0</v>
      </c>
      <c r="DA42" s="62">
        <v>0</v>
      </c>
      <c r="DB42" s="62">
        <v>0</v>
      </c>
      <c r="DC42" s="62">
        <v>0</v>
      </c>
      <c r="DD42" s="62">
        <v>0</v>
      </c>
      <c r="DE42" s="62">
        <v>0</v>
      </c>
      <c r="DF42" s="62">
        <v>0</v>
      </c>
      <c r="DG42" s="62">
        <v>0</v>
      </c>
      <c r="DH42" s="62">
        <v>0</v>
      </c>
      <c r="DI42" s="62">
        <v>0</v>
      </c>
      <c r="DJ42" s="62">
        <v>0</v>
      </c>
      <c r="DK42" s="62">
        <v>0</v>
      </c>
      <c r="DL42" s="62">
        <v>0</v>
      </c>
      <c r="DM42" s="190">
        <f t="shared" si="23"/>
        <v>0</v>
      </c>
      <c r="DN42" s="62">
        <v>0</v>
      </c>
      <c r="DO42" s="62">
        <v>0</v>
      </c>
      <c r="DP42" s="62">
        <v>0</v>
      </c>
      <c r="DQ42" s="62">
        <v>0</v>
      </c>
      <c r="DR42" s="62">
        <v>0</v>
      </c>
      <c r="DS42" s="62">
        <v>0</v>
      </c>
      <c r="DT42" s="62">
        <v>0</v>
      </c>
      <c r="DU42" s="62">
        <v>0</v>
      </c>
      <c r="DV42" s="62">
        <v>0</v>
      </c>
      <c r="DW42" s="62">
        <v>0</v>
      </c>
      <c r="DX42" s="62">
        <v>0</v>
      </c>
      <c r="DY42" s="62">
        <v>0</v>
      </c>
      <c r="DZ42" s="190">
        <f t="shared" si="24"/>
        <v>0</v>
      </c>
    </row>
    <row r="43" spans="1:130" ht="20.45" customHeight="1" outlineLevel="2">
      <c r="A43" s="525"/>
      <c r="B43" s="530"/>
      <c r="C43" s="30" t="s">
        <v>319</v>
      </c>
      <c r="D43" s="62">
        <f t="shared" si="0"/>
        <v>1705960.0000000005</v>
      </c>
      <c r="E43" s="184">
        <f t="shared" si="179"/>
        <v>5.2782459976057454E-3</v>
      </c>
      <c r="F43" s="62">
        <v>0</v>
      </c>
      <c r="G43" s="190">
        <f t="shared" si="36"/>
        <v>0</v>
      </c>
      <c r="H43" s="197">
        <f t="shared" si="273"/>
        <v>0</v>
      </c>
      <c r="I43" s="62">
        <v>73910</v>
      </c>
      <c r="J43" s="62">
        <v>47220</v>
      </c>
      <c r="K43" s="62">
        <v>47430</v>
      </c>
      <c r="L43" s="62">
        <v>28710</v>
      </c>
      <c r="M43" s="62">
        <v>17740</v>
      </c>
      <c r="N43" s="62">
        <v>15950</v>
      </c>
      <c r="O43" s="62">
        <v>20000</v>
      </c>
      <c r="P43" s="62">
        <v>0</v>
      </c>
      <c r="Q43" s="62">
        <v>10650</v>
      </c>
      <c r="R43" s="62">
        <v>0</v>
      </c>
      <c r="S43" s="62">
        <v>24290</v>
      </c>
      <c r="T43" s="62">
        <v>82100</v>
      </c>
      <c r="U43" s="190">
        <f t="shared" si="16"/>
        <v>368000</v>
      </c>
      <c r="V43" s="197">
        <f t="shared" si="274"/>
        <v>6.6330212671064127E-3</v>
      </c>
      <c r="W43" s="62">
        <v>0</v>
      </c>
      <c r="X43" s="62">
        <v>109590</v>
      </c>
      <c r="Y43" s="62">
        <v>26710</v>
      </c>
      <c r="Z43" s="62">
        <v>21500</v>
      </c>
      <c r="AA43" s="62">
        <v>18350</v>
      </c>
      <c r="AB43" s="62">
        <v>10900</v>
      </c>
      <c r="AC43" s="62">
        <v>11120</v>
      </c>
      <c r="AD43" s="62">
        <v>10110</v>
      </c>
      <c r="AE43" s="62">
        <v>8140</v>
      </c>
      <c r="AF43" s="62">
        <v>15940</v>
      </c>
      <c r="AG43" s="62">
        <v>43360</v>
      </c>
      <c r="AH43" s="62">
        <v>62200</v>
      </c>
      <c r="AI43" s="190">
        <f t="shared" si="17"/>
        <v>337920</v>
      </c>
      <c r="AJ43" s="197">
        <f t="shared" si="275"/>
        <v>4.5926333410991676E-3</v>
      </c>
      <c r="AK43" s="62">
        <v>72860</v>
      </c>
      <c r="AL43" s="62">
        <v>50180</v>
      </c>
      <c r="AM43" s="62">
        <v>41460</v>
      </c>
      <c r="AN43" s="62">
        <v>18950</v>
      </c>
      <c r="AO43" s="62">
        <v>16940</v>
      </c>
      <c r="AP43" s="62">
        <v>0</v>
      </c>
      <c r="AQ43" s="62">
        <v>0</v>
      </c>
      <c r="AR43" s="62">
        <v>0</v>
      </c>
      <c r="AS43" s="62">
        <f>37680+13810</f>
        <v>51490</v>
      </c>
      <c r="AT43" s="62">
        <v>0</v>
      </c>
      <c r="AU43" s="62">
        <v>20800</v>
      </c>
      <c r="AV43" s="62">
        <f>36430+40610</f>
        <v>77040</v>
      </c>
      <c r="AW43" s="190">
        <f t="shared" si="18"/>
        <v>349720</v>
      </c>
      <c r="AX43" s="197">
        <f t="shared" si="276"/>
        <v>4.5842470553140429E-3</v>
      </c>
      <c r="AY43" s="62">
        <v>0</v>
      </c>
      <c r="AZ43" s="62">
        <v>0</v>
      </c>
      <c r="BA43" s="62">
        <v>68160</v>
      </c>
      <c r="BB43" s="62">
        <v>61750</v>
      </c>
      <c r="BC43" s="62">
        <v>41184</v>
      </c>
      <c r="BD43" s="62">
        <v>37390</v>
      </c>
      <c r="BE43" s="62">
        <v>24228</v>
      </c>
      <c r="BF43" s="62">
        <v>20430</v>
      </c>
      <c r="BG43" s="62">
        <v>15840</v>
      </c>
      <c r="BH43" s="62">
        <v>14886</v>
      </c>
      <c r="BI43" s="62">
        <v>18630</v>
      </c>
      <c r="BJ43" s="62">
        <v>25182</v>
      </c>
      <c r="BK43" s="190">
        <f t="shared" si="19"/>
        <v>327680</v>
      </c>
      <c r="BL43" s="197">
        <f t="shared" si="277"/>
        <v>4.6919328280398886E-3</v>
      </c>
      <c r="BM43" s="62">
        <v>43920</v>
      </c>
      <c r="BN43" s="62">
        <v>78180</v>
      </c>
      <c r="BO43" s="62">
        <v>88610</v>
      </c>
      <c r="BP43" s="62">
        <v>57480</v>
      </c>
      <c r="BQ43" s="62">
        <v>54450</v>
      </c>
      <c r="BR43" s="62">
        <v>0</v>
      </c>
      <c r="BS43" s="62">
        <v>0</v>
      </c>
      <c r="BT43" s="62">
        <v>0</v>
      </c>
      <c r="BU43" s="62">
        <v>0</v>
      </c>
      <c r="BV43" s="62">
        <v>0</v>
      </c>
      <c r="BW43" s="62">
        <v>0</v>
      </c>
      <c r="BX43" s="62">
        <v>0</v>
      </c>
      <c r="BY43" s="190">
        <f t="shared" si="20"/>
        <v>322640</v>
      </c>
      <c r="BZ43" s="197">
        <f t="shared" si="278"/>
        <v>7.3927276585029084E-3</v>
      </c>
      <c r="CA43" s="62">
        <v>0</v>
      </c>
      <c r="CB43" s="62">
        <v>0</v>
      </c>
      <c r="CC43" s="62">
        <v>0</v>
      </c>
      <c r="CD43" s="62">
        <v>0</v>
      </c>
      <c r="CE43" s="62">
        <v>0</v>
      </c>
      <c r="CF43" s="62">
        <v>0</v>
      </c>
      <c r="CG43" s="62">
        <v>0</v>
      </c>
      <c r="CH43" s="62">
        <v>0</v>
      </c>
      <c r="CI43" s="62">
        <v>0</v>
      </c>
      <c r="CJ43" s="62">
        <v>0</v>
      </c>
      <c r="CK43" s="62">
        <v>0</v>
      </c>
      <c r="CL43" s="62">
        <v>0</v>
      </c>
      <c r="CM43" s="190">
        <f t="shared" si="21"/>
        <v>0</v>
      </c>
      <c r="CN43" s="62">
        <v>0</v>
      </c>
      <c r="CO43" s="62">
        <v>0</v>
      </c>
      <c r="CP43" s="62">
        <v>0</v>
      </c>
      <c r="CQ43" s="62">
        <v>0</v>
      </c>
      <c r="CR43" s="62">
        <v>0</v>
      </c>
      <c r="CS43" s="62">
        <v>0</v>
      </c>
      <c r="CT43" s="62">
        <v>0</v>
      </c>
      <c r="CU43" s="62">
        <v>0</v>
      </c>
      <c r="CV43" s="62">
        <v>0</v>
      </c>
      <c r="CW43" s="62">
        <v>0</v>
      </c>
      <c r="CX43" s="62">
        <v>0</v>
      </c>
      <c r="CY43" s="62">
        <v>0</v>
      </c>
      <c r="CZ43" s="190">
        <f t="shared" si="22"/>
        <v>0</v>
      </c>
      <c r="DA43" s="62">
        <v>0</v>
      </c>
      <c r="DB43" s="62">
        <v>0</v>
      </c>
      <c r="DC43" s="62">
        <v>0</v>
      </c>
      <c r="DD43" s="62">
        <v>0</v>
      </c>
      <c r="DE43" s="62">
        <v>0</v>
      </c>
      <c r="DF43" s="62">
        <v>0</v>
      </c>
      <c r="DG43" s="62">
        <v>0</v>
      </c>
      <c r="DH43" s="62">
        <v>0</v>
      </c>
      <c r="DI43" s="62">
        <v>0</v>
      </c>
      <c r="DJ43" s="62">
        <v>0</v>
      </c>
      <c r="DK43" s="62">
        <v>0</v>
      </c>
      <c r="DL43" s="62">
        <v>0</v>
      </c>
      <c r="DM43" s="190">
        <f t="shared" si="23"/>
        <v>0</v>
      </c>
      <c r="DN43" s="62">
        <v>0</v>
      </c>
      <c r="DO43" s="62">
        <v>0</v>
      </c>
      <c r="DP43" s="62">
        <v>0</v>
      </c>
      <c r="DQ43" s="62">
        <v>0</v>
      </c>
      <c r="DR43" s="62">
        <v>0</v>
      </c>
      <c r="DS43" s="62">
        <v>0</v>
      </c>
      <c r="DT43" s="62">
        <v>0</v>
      </c>
      <c r="DU43" s="62">
        <v>0</v>
      </c>
      <c r="DV43" s="62">
        <v>0</v>
      </c>
      <c r="DW43" s="62">
        <v>0</v>
      </c>
      <c r="DX43" s="62">
        <v>0</v>
      </c>
      <c r="DY43" s="62">
        <v>0</v>
      </c>
      <c r="DZ43" s="190">
        <f t="shared" si="24"/>
        <v>0</v>
      </c>
    </row>
    <row r="44" spans="1:130" ht="20.45" customHeight="1" outlineLevel="2">
      <c r="A44" s="526"/>
      <c r="B44" s="530"/>
      <c r="C44" s="30" t="s">
        <v>320</v>
      </c>
      <c r="D44" s="62">
        <f t="shared" si="0"/>
        <v>2116130</v>
      </c>
      <c r="E44" s="184">
        <f t="shared" si="179"/>
        <v>6.5473133619272685E-3</v>
      </c>
      <c r="F44" s="62">
        <v>42630</v>
      </c>
      <c r="G44" s="190">
        <f t="shared" si="36"/>
        <v>42630</v>
      </c>
      <c r="H44" s="197">
        <f t="shared" si="273"/>
        <v>9.7375342772399124E-3</v>
      </c>
      <c r="I44" s="62">
        <v>42630</v>
      </c>
      <c r="J44" s="62">
        <v>42630</v>
      </c>
      <c r="K44" s="62">
        <v>42630</v>
      </c>
      <c r="L44" s="62">
        <v>42630</v>
      </c>
      <c r="M44" s="62">
        <v>42630</v>
      </c>
      <c r="N44" s="62">
        <v>42630</v>
      </c>
      <c r="O44" s="62">
        <v>42630</v>
      </c>
      <c r="P44" s="62">
        <v>42630</v>
      </c>
      <c r="Q44" s="62">
        <v>42630</v>
      </c>
      <c r="R44" s="62">
        <v>42630</v>
      </c>
      <c r="S44" s="62">
        <v>42630</v>
      </c>
      <c r="T44" s="62">
        <v>0</v>
      </c>
      <c r="U44" s="190">
        <f t="shared" si="16"/>
        <v>468930</v>
      </c>
      <c r="V44" s="197">
        <f t="shared" si="274"/>
        <v>8.452235496696223E-3</v>
      </c>
      <c r="W44" s="62">
        <v>85260</v>
      </c>
      <c r="X44" s="62">
        <v>42630</v>
      </c>
      <c r="Y44" s="62">
        <f>42630</f>
        <v>42630</v>
      </c>
      <c r="Z44" s="62">
        <v>42630</v>
      </c>
      <c r="AA44" s="62">
        <v>42630</v>
      </c>
      <c r="AB44" s="62">
        <v>0</v>
      </c>
      <c r="AC44" s="62">
        <v>42630</v>
      </c>
      <c r="AD44" s="62">
        <v>42900</v>
      </c>
      <c r="AE44" s="62">
        <v>42900</v>
      </c>
      <c r="AF44" s="62">
        <v>42900</v>
      </c>
      <c r="AG44" s="62">
        <v>42900</v>
      </c>
      <c r="AH44" s="62">
        <v>42900</v>
      </c>
      <c r="AI44" s="190">
        <f t="shared" si="17"/>
        <v>512910</v>
      </c>
      <c r="AJ44" s="197">
        <f t="shared" si="275"/>
        <v>6.970903074642442E-3</v>
      </c>
      <c r="AK44" s="62">
        <v>42900</v>
      </c>
      <c r="AL44" s="62">
        <v>42900</v>
      </c>
      <c r="AM44" s="62">
        <v>42900</v>
      </c>
      <c r="AN44" s="62">
        <v>42900</v>
      </c>
      <c r="AO44" s="62">
        <v>42900</v>
      </c>
      <c r="AP44" s="62">
        <v>42900</v>
      </c>
      <c r="AQ44" s="62">
        <v>42900</v>
      </c>
      <c r="AR44" s="62">
        <v>42900</v>
      </c>
      <c r="AS44" s="62">
        <v>42900</v>
      </c>
      <c r="AT44" s="62">
        <v>44980</v>
      </c>
      <c r="AU44" s="62">
        <v>36880</v>
      </c>
      <c r="AV44" s="62">
        <v>34650</v>
      </c>
      <c r="AW44" s="190">
        <f t="shared" si="18"/>
        <v>502610</v>
      </c>
      <c r="AX44" s="197">
        <f t="shared" si="276"/>
        <v>6.5883804542816848E-3</v>
      </c>
      <c r="AY44" s="62">
        <f>34650</f>
        <v>34650</v>
      </c>
      <c r="AZ44" s="62">
        <v>34650</v>
      </c>
      <c r="BA44" s="62">
        <v>34650</v>
      </c>
      <c r="BB44" s="62">
        <v>34650</v>
      </c>
      <c r="BC44" s="62">
        <v>34650</v>
      </c>
      <c r="BD44" s="62">
        <v>34650</v>
      </c>
      <c r="BE44" s="62">
        <v>34650</v>
      </c>
      <c r="BF44" s="62">
        <v>34650</v>
      </c>
      <c r="BG44" s="62">
        <v>34650</v>
      </c>
      <c r="BH44" s="62">
        <v>34650</v>
      </c>
      <c r="BI44" s="62">
        <v>34650</v>
      </c>
      <c r="BJ44" s="62">
        <v>34650</v>
      </c>
      <c r="BK44" s="190">
        <f t="shared" si="19"/>
        <v>415800</v>
      </c>
      <c r="BL44" s="197">
        <f t="shared" si="277"/>
        <v>5.9536916195647759E-3</v>
      </c>
      <c r="BM44" s="62">
        <v>34650</v>
      </c>
      <c r="BN44" s="62">
        <v>34650</v>
      </c>
      <c r="BO44" s="62">
        <v>34650</v>
      </c>
      <c r="BP44" s="62">
        <f>34650</f>
        <v>34650</v>
      </c>
      <c r="BQ44" s="62">
        <v>34650</v>
      </c>
      <c r="BR44" s="62">
        <v>0</v>
      </c>
      <c r="BS44" s="62">
        <v>0</v>
      </c>
      <c r="BT44" s="62">
        <v>0</v>
      </c>
      <c r="BU44" s="62">
        <v>0</v>
      </c>
      <c r="BV44" s="62">
        <v>0</v>
      </c>
      <c r="BW44" s="62">
        <v>0</v>
      </c>
      <c r="BX44" s="62">
        <v>0</v>
      </c>
      <c r="BY44" s="190">
        <f t="shared" si="20"/>
        <v>173250</v>
      </c>
      <c r="BZ44" s="197">
        <f t="shared" si="278"/>
        <v>3.9697187789351253E-3</v>
      </c>
      <c r="CA44" s="62">
        <v>0</v>
      </c>
      <c r="CB44" s="62">
        <v>0</v>
      </c>
      <c r="CC44" s="62">
        <v>0</v>
      </c>
      <c r="CD44" s="62">
        <v>0</v>
      </c>
      <c r="CE44" s="62">
        <v>0</v>
      </c>
      <c r="CF44" s="62">
        <v>0</v>
      </c>
      <c r="CG44" s="62">
        <v>0</v>
      </c>
      <c r="CH44" s="62">
        <v>0</v>
      </c>
      <c r="CI44" s="62">
        <v>0</v>
      </c>
      <c r="CJ44" s="62">
        <v>0</v>
      </c>
      <c r="CK44" s="62">
        <v>0</v>
      </c>
      <c r="CL44" s="62">
        <v>0</v>
      </c>
      <c r="CM44" s="190">
        <f t="shared" si="21"/>
        <v>0</v>
      </c>
      <c r="CN44" s="62">
        <v>0</v>
      </c>
      <c r="CO44" s="62">
        <v>0</v>
      </c>
      <c r="CP44" s="62">
        <v>0</v>
      </c>
      <c r="CQ44" s="62">
        <v>0</v>
      </c>
      <c r="CR44" s="62">
        <v>0</v>
      </c>
      <c r="CS44" s="62">
        <v>0</v>
      </c>
      <c r="CT44" s="62">
        <v>0</v>
      </c>
      <c r="CU44" s="62">
        <v>0</v>
      </c>
      <c r="CV44" s="62">
        <v>0</v>
      </c>
      <c r="CW44" s="62">
        <v>0</v>
      </c>
      <c r="CX44" s="62">
        <v>0</v>
      </c>
      <c r="CY44" s="62">
        <v>0</v>
      </c>
      <c r="CZ44" s="190">
        <f t="shared" si="22"/>
        <v>0</v>
      </c>
      <c r="DA44" s="62">
        <v>0</v>
      </c>
      <c r="DB44" s="62">
        <v>0</v>
      </c>
      <c r="DC44" s="62">
        <v>0</v>
      </c>
      <c r="DD44" s="62">
        <v>0</v>
      </c>
      <c r="DE44" s="62">
        <v>0</v>
      </c>
      <c r="DF44" s="62">
        <v>0</v>
      </c>
      <c r="DG44" s="62">
        <v>0</v>
      </c>
      <c r="DH44" s="62">
        <v>0</v>
      </c>
      <c r="DI44" s="62">
        <v>0</v>
      </c>
      <c r="DJ44" s="62">
        <v>0</v>
      </c>
      <c r="DK44" s="62">
        <v>0</v>
      </c>
      <c r="DL44" s="62">
        <v>0</v>
      </c>
      <c r="DM44" s="190">
        <f t="shared" si="23"/>
        <v>0</v>
      </c>
      <c r="DN44" s="62">
        <v>0</v>
      </c>
      <c r="DO44" s="62">
        <v>0</v>
      </c>
      <c r="DP44" s="62">
        <v>0</v>
      </c>
      <c r="DQ44" s="62">
        <v>0</v>
      </c>
      <c r="DR44" s="62">
        <v>0</v>
      </c>
      <c r="DS44" s="62">
        <v>0</v>
      </c>
      <c r="DT44" s="62">
        <v>0</v>
      </c>
      <c r="DU44" s="62">
        <v>0</v>
      </c>
      <c r="DV44" s="62">
        <v>0</v>
      </c>
      <c r="DW44" s="62">
        <v>0</v>
      </c>
      <c r="DX44" s="62">
        <v>0</v>
      </c>
      <c r="DY44" s="62">
        <v>0</v>
      </c>
      <c r="DZ44" s="190">
        <f t="shared" si="24"/>
        <v>0</v>
      </c>
    </row>
    <row r="45" spans="1:130" ht="20.45" customHeight="1" outlineLevel="2">
      <c r="A45" s="526"/>
      <c r="B45" s="530"/>
      <c r="C45" s="30" t="s">
        <v>2607</v>
      </c>
      <c r="D45" s="62">
        <f t="shared" si="0"/>
        <v>4259477.0000000019</v>
      </c>
      <c r="E45" s="184">
        <f t="shared" si="179"/>
        <v>1.317883621371177E-2</v>
      </c>
      <c r="F45" s="62">
        <v>84800</v>
      </c>
      <c r="G45" s="190">
        <f t="shared" si="36"/>
        <v>84800</v>
      </c>
      <c r="H45" s="197">
        <f t="shared" si="273"/>
        <v>1.9369995465867807E-2</v>
      </c>
      <c r="I45" s="62">
        <v>84590</v>
      </c>
      <c r="J45" s="62">
        <v>84590</v>
      </c>
      <c r="K45" s="62">
        <v>84600</v>
      </c>
      <c r="L45" s="62">
        <v>84600</v>
      </c>
      <c r="M45" s="62">
        <v>84600</v>
      </c>
      <c r="N45" s="62">
        <v>83920</v>
      </c>
      <c r="O45" s="62">
        <v>74600</v>
      </c>
      <c r="P45" s="62">
        <v>74600</v>
      </c>
      <c r="Q45" s="62">
        <v>74600</v>
      </c>
      <c r="R45" s="62">
        <v>89100</v>
      </c>
      <c r="S45" s="62">
        <v>74600</v>
      </c>
      <c r="T45" s="62">
        <v>133650</v>
      </c>
      <c r="U45" s="190">
        <f t="shared" si="16"/>
        <v>1028050</v>
      </c>
      <c r="V45" s="197">
        <f t="shared" si="274"/>
        <v>1.8530101939262904E-2</v>
      </c>
      <c r="W45" s="62">
        <v>74600</v>
      </c>
      <c r="X45" s="62">
        <v>74600</v>
      </c>
      <c r="Y45" s="62">
        <v>74600</v>
      </c>
      <c r="Z45" s="62">
        <v>74600</v>
      </c>
      <c r="AA45" s="62">
        <v>133600</v>
      </c>
      <c r="AB45" s="62">
        <f>103600+74600</f>
        <v>178200</v>
      </c>
      <c r="AC45" s="62">
        <v>68920</v>
      </c>
      <c r="AD45" s="62">
        <v>65970</v>
      </c>
      <c r="AE45" s="62">
        <v>64600</v>
      </c>
      <c r="AF45" s="62">
        <v>73910</v>
      </c>
      <c r="AG45" s="62">
        <v>47330</v>
      </c>
      <c r="AH45" s="62">
        <v>61830</v>
      </c>
      <c r="AI45" s="190">
        <f t="shared" si="17"/>
        <v>992760</v>
      </c>
      <c r="AJ45" s="197">
        <f t="shared" si="275"/>
        <v>1.3492491346205048E-2</v>
      </c>
      <c r="AK45" s="62">
        <v>47330</v>
      </c>
      <c r="AL45" s="62">
        <v>44280</v>
      </c>
      <c r="AM45" s="62">
        <v>56580</v>
      </c>
      <c r="AN45" s="62">
        <v>42090</v>
      </c>
      <c r="AO45" s="62">
        <v>42090</v>
      </c>
      <c r="AP45" s="62">
        <v>42090</v>
      </c>
      <c r="AQ45" s="62">
        <v>42090</v>
      </c>
      <c r="AR45" s="62">
        <v>115400</v>
      </c>
      <c r="AS45" s="62">
        <v>109900</v>
      </c>
      <c r="AT45" s="62">
        <v>112680</v>
      </c>
      <c r="AU45" s="62">
        <v>114300</v>
      </c>
      <c r="AV45" s="62">
        <v>114300</v>
      </c>
      <c r="AW45" s="190">
        <f t="shared" si="18"/>
        <v>883130</v>
      </c>
      <c r="AX45" s="197">
        <f t="shared" si="276"/>
        <v>1.1576364239847564E-2</v>
      </c>
      <c r="AY45" s="62">
        <v>0</v>
      </c>
      <c r="AZ45" s="62">
        <v>140300</v>
      </c>
      <c r="BA45" s="62">
        <v>114300</v>
      </c>
      <c r="BB45" s="62">
        <v>112300</v>
      </c>
      <c r="BC45" s="62">
        <v>73056</v>
      </c>
      <c r="BD45" s="62">
        <v>74200</v>
      </c>
      <c r="BE45" s="62">
        <v>69892</v>
      </c>
      <c r="BF45" s="62">
        <v>69470</v>
      </c>
      <c r="BG45" s="62">
        <v>79110</v>
      </c>
      <c r="BH45" s="62">
        <v>35721</v>
      </c>
      <c r="BI45" s="62">
        <v>69270</v>
      </c>
      <c r="BJ45" s="62">
        <v>69998</v>
      </c>
      <c r="BK45" s="190">
        <f t="shared" si="19"/>
        <v>907617</v>
      </c>
      <c r="BL45" s="197">
        <f t="shared" si="277"/>
        <v>1.2995843498495726E-2</v>
      </c>
      <c r="BM45" s="62">
        <v>72240</v>
      </c>
      <c r="BN45" s="62">
        <v>72200</v>
      </c>
      <c r="BO45" s="62">
        <v>72200</v>
      </c>
      <c r="BP45" s="62">
        <v>73180</v>
      </c>
      <c r="BQ45" s="62">
        <v>73300</v>
      </c>
      <c r="BR45" s="62">
        <v>0</v>
      </c>
      <c r="BS45" s="62">
        <v>0</v>
      </c>
      <c r="BT45" s="62">
        <v>0</v>
      </c>
      <c r="BU45" s="62">
        <v>0</v>
      </c>
      <c r="BV45" s="62">
        <v>0</v>
      </c>
      <c r="BW45" s="62">
        <v>0</v>
      </c>
      <c r="BX45" s="62">
        <v>0</v>
      </c>
      <c r="BY45" s="190">
        <f t="shared" si="20"/>
        <v>363120</v>
      </c>
      <c r="BZ45" s="197">
        <f t="shared" si="278"/>
        <v>8.32025560177156E-3</v>
      </c>
      <c r="CA45" s="62">
        <v>0</v>
      </c>
      <c r="CB45" s="62">
        <v>0</v>
      </c>
      <c r="CC45" s="62">
        <v>0</v>
      </c>
      <c r="CD45" s="62">
        <v>0</v>
      </c>
      <c r="CE45" s="62">
        <v>0</v>
      </c>
      <c r="CF45" s="62">
        <v>0</v>
      </c>
      <c r="CG45" s="62">
        <v>0</v>
      </c>
      <c r="CH45" s="62">
        <v>0</v>
      </c>
      <c r="CI45" s="62">
        <v>0</v>
      </c>
      <c r="CJ45" s="62">
        <v>0</v>
      </c>
      <c r="CK45" s="62">
        <v>0</v>
      </c>
      <c r="CL45" s="62">
        <v>0</v>
      </c>
      <c r="CM45" s="190">
        <f t="shared" si="21"/>
        <v>0</v>
      </c>
      <c r="CN45" s="62">
        <v>0</v>
      </c>
      <c r="CO45" s="62">
        <v>0</v>
      </c>
      <c r="CP45" s="62">
        <v>0</v>
      </c>
      <c r="CQ45" s="62">
        <v>0</v>
      </c>
      <c r="CR45" s="62">
        <v>0</v>
      </c>
      <c r="CS45" s="62">
        <v>0</v>
      </c>
      <c r="CT45" s="62">
        <v>0</v>
      </c>
      <c r="CU45" s="62">
        <v>0</v>
      </c>
      <c r="CV45" s="62">
        <v>0</v>
      </c>
      <c r="CW45" s="62">
        <v>0</v>
      </c>
      <c r="CX45" s="62">
        <v>0</v>
      </c>
      <c r="CY45" s="62">
        <v>0</v>
      </c>
      <c r="CZ45" s="190">
        <f t="shared" si="22"/>
        <v>0</v>
      </c>
      <c r="DA45" s="62">
        <v>0</v>
      </c>
      <c r="DB45" s="62">
        <v>0</v>
      </c>
      <c r="DC45" s="62">
        <v>0</v>
      </c>
      <c r="DD45" s="62">
        <v>0</v>
      </c>
      <c r="DE45" s="62">
        <v>0</v>
      </c>
      <c r="DF45" s="62">
        <v>0</v>
      </c>
      <c r="DG45" s="62">
        <v>0</v>
      </c>
      <c r="DH45" s="62">
        <v>0</v>
      </c>
      <c r="DI45" s="62">
        <v>0</v>
      </c>
      <c r="DJ45" s="62">
        <v>0</v>
      </c>
      <c r="DK45" s="62">
        <v>0</v>
      </c>
      <c r="DL45" s="62">
        <v>0</v>
      </c>
      <c r="DM45" s="190">
        <f t="shared" si="23"/>
        <v>0</v>
      </c>
      <c r="DN45" s="62">
        <v>0</v>
      </c>
      <c r="DO45" s="62">
        <v>0</v>
      </c>
      <c r="DP45" s="62">
        <v>0</v>
      </c>
      <c r="DQ45" s="62">
        <v>0</v>
      </c>
      <c r="DR45" s="62">
        <v>0</v>
      </c>
      <c r="DS45" s="62">
        <v>0</v>
      </c>
      <c r="DT45" s="62">
        <v>0</v>
      </c>
      <c r="DU45" s="62">
        <v>0</v>
      </c>
      <c r="DV45" s="62">
        <v>0</v>
      </c>
      <c r="DW45" s="62">
        <v>0</v>
      </c>
      <c r="DX45" s="62">
        <v>0</v>
      </c>
      <c r="DY45" s="62">
        <v>0</v>
      </c>
      <c r="DZ45" s="190">
        <f t="shared" si="24"/>
        <v>0</v>
      </c>
    </row>
    <row r="46" spans="1:130" ht="20.45" customHeight="1" outlineLevel="2">
      <c r="A46" s="526"/>
      <c r="B46" s="530"/>
      <c r="C46" s="30" t="s">
        <v>2608</v>
      </c>
      <c r="D46" s="62">
        <f t="shared" si="0"/>
        <v>1133000</v>
      </c>
      <c r="E46" s="184">
        <f t="shared" si="179"/>
        <v>3.5055058238688524E-3</v>
      </c>
      <c r="F46" s="62">
        <v>56650</v>
      </c>
      <c r="G46" s="190">
        <f t="shared" si="36"/>
        <v>56650</v>
      </c>
      <c r="H46" s="197">
        <f t="shared" si="273"/>
        <v>1.2939979282327962E-2</v>
      </c>
      <c r="I46" s="62">
        <v>56650</v>
      </c>
      <c r="J46" s="62">
        <v>56650</v>
      </c>
      <c r="K46" s="62">
        <v>56650</v>
      </c>
      <c r="L46" s="62">
        <v>56650</v>
      </c>
      <c r="M46" s="62">
        <v>56650</v>
      </c>
      <c r="N46" s="62">
        <v>56650</v>
      </c>
      <c r="O46" s="62">
        <v>56650</v>
      </c>
      <c r="P46" s="62">
        <v>56650</v>
      </c>
      <c r="Q46" s="62">
        <v>56650</v>
      </c>
      <c r="R46" s="62">
        <v>56650</v>
      </c>
      <c r="S46" s="62">
        <v>56650</v>
      </c>
      <c r="T46" s="62">
        <v>56650</v>
      </c>
      <c r="U46" s="190">
        <f t="shared" si="16"/>
        <v>679800</v>
      </c>
      <c r="V46" s="197">
        <f t="shared" si="274"/>
        <v>1.2253064829834076E-2</v>
      </c>
      <c r="W46" s="62">
        <v>56650</v>
      </c>
      <c r="X46" s="62">
        <v>56650</v>
      </c>
      <c r="Y46" s="62">
        <v>56650</v>
      </c>
      <c r="Z46" s="62">
        <v>56650</v>
      </c>
      <c r="AA46" s="62">
        <v>56650</v>
      </c>
      <c r="AB46" s="62">
        <f>2*56650</f>
        <v>113300</v>
      </c>
      <c r="AC46" s="62">
        <v>0</v>
      </c>
      <c r="AD46" s="62">
        <v>0</v>
      </c>
      <c r="AE46" s="62">
        <v>0</v>
      </c>
      <c r="AF46" s="62">
        <v>0</v>
      </c>
      <c r="AG46" s="62">
        <v>0</v>
      </c>
      <c r="AH46" s="62">
        <v>0</v>
      </c>
      <c r="AI46" s="190">
        <f t="shared" si="17"/>
        <v>396550</v>
      </c>
      <c r="AJ46" s="197">
        <f t="shared" si="275"/>
        <v>5.3894671857625323E-3</v>
      </c>
      <c r="AK46" s="62">
        <v>0</v>
      </c>
      <c r="AL46" s="62">
        <v>0</v>
      </c>
      <c r="AM46" s="62">
        <v>0</v>
      </c>
      <c r="AN46" s="62">
        <v>0</v>
      </c>
      <c r="AO46" s="62">
        <v>0</v>
      </c>
      <c r="AP46" s="62">
        <v>0</v>
      </c>
      <c r="AQ46" s="62">
        <v>0</v>
      </c>
      <c r="AR46" s="62">
        <v>0</v>
      </c>
      <c r="AS46" s="62">
        <v>0</v>
      </c>
      <c r="AT46" s="62">
        <v>0</v>
      </c>
      <c r="AU46" s="62">
        <v>0</v>
      </c>
      <c r="AV46" s="62">
        <v>0</v>
      </c>
      <c r="AW46" s="190">
        <f t="shared" si="18"/>
        <v>0</v>
      </c>
      <c r="AX46" s="197">
        <f t="shared" si="276"/>
        <v>0</v>
      </c>
      <c r="AY46" s="62">
        <v>0</v>
      </c>
      <c r="AZ46" s="62">
        <v>0</v>
      </c>
      <c r="BA46" s="62">
        <v>0</v>
      </c>
      <c r="BB46" s="62">
        <v>0</v>
      </c>
      <c r="BC46" s="62">
        <v>0</v>
      </c>
      <c r="BD46" s="62">
        <v>0</v>
      </c>
      <c r="BE46" s="62">
        <v>0</v>
      </c>
      <c r="BF46" s="62">
        <v>0</v>
      </c>
      <c r="BG46" s="62">
        <v>0</v>
      </c>
      <c r="BH46" s="62">
        <v>0</v>
      </c>
      <c r="BI46" s="62">
        <v>0</v>
      </c>
      <c r="BJ46" s="62">
        <v>0</v>
      </c>
      <c r="BK46" s="190">
        <f t="shared" si="19"/>
        <v>0</v>
      </c>
      <c r="BL46" s="197">
        <f t="shared" si="277"/>
        <v>0</v>
      </c>
      <c r="BM46" s="62">
        <v>0</v>
      </c>
      <c r="BN46" s="62">
        <v>0</v>
      </c>
      <c r="BO46" s="62">
        <v>0</v>
      </c>
      <c r="BP46" s="62">
        <v>0</v>
      </c>
      <c r="BQ46" s="62">
        <v>0</v>
      </c>
      <c r="BR46" s="62">
        <v>0</v>
      </c>
      <c r="BS46" s="62">
        <v>0</v>
      </c>
      <c r="BT46" s="62">
        <v>0</v>
      </c>
      <c r="BU46" s="62">
        <v>0</v>
      </c>
      <c r="BV46" s="62">
        <v>0</v>
      </c>
      <c r="BW46" s="62">
        <v>0</v>
      </c>
      <c r="BX46" s="62">
        <v>0</v>
      </c>
      <c r="BY46" s="190">
        <f t="shared" si="20"/>
        <v>0</v>
      </c>
      <c r="BZ46" s="197">
        <f t="shared" si="278"/>
        <v>0</v>
      </c>
      <c r="CA46" s="62">
        <v>0</v>
      </c>
      <c r="CB46" s="62">
        <v>0</v>
      </c>
      <c r="CC46" s="62">
        <v>0</v>
      </c>
      <c r="CD46" s="62">
        <v>0</v>
      </c>
      <c r="CE46" s="62">
        <v>0</v>
      </c>
      <c r="CF46" s="62">
        <v>0</v>
      </c>
      <c r="CG46" s="62">
        <v>0</v>
      </c>
      <c r="CH46" s="62">
        <v>0</v>
      </c>
      <c r="CI46" s="62">
        <v>0</v>
      </c>
      <c r="CJ46" s="62">
        <v>0</v>
      </c>
      <c r="CK46" s="62">
        <v>0</v>
      </c>
      <c r="CL46" s="62">
        <v>0</v>
      </c>
      <c r="CM46" s="190">
        <f t="shared" si="21"/>
        <v>0</v>
      </c>
      <c r="CN46" s="62">
        <v>0</v>
      </c>
      <c r="CO46" s="62">
        <v>0</v>
      </c>
      <c r="CP46" s="62">
        <v>0</v>
      </c>
      <c r="CQ46" s="62">
        <v>0</v>
      </c>
      <c r="CR46" s="62">
        <v>0</v>
      </c>
      <c r="CS46" s="62">
        <v>0</v>
      </c>
      <c r="CT46" s="62">
        <v>0</v>
      </c>
      <c r="CU46" s="62">
        <v>0</v>
      </c>
      <c r="CV46" s="62">
        <v>0</v>
      </c>
      <c r="CW46" s="62">
        <v>0</v>
      </c>
      <c r="CX46" s="62">
        <v>0</v>
      </c>
      <c r="CY46" s="62">
        <v>0</v>
      </c>
      <c r="CZ46" s="190">
        <f t="shared" si="22"/>
        <v>0</v>
      </c>
      <c r="DA46" s="62">
        <v>0</v>
      </c>
      <c r="DB46" s="62">
        <v>0</v>
      </c>
      <c r="DC46" s="62">
        <v>0</v>
      </c>
      <c r="DD46" s="62">
        <v>0</v>
      </c>
      <c r="DE46" s="62">
        <v>0</v>
      </c>
      <c r="DF46" s="62">
        <v>0</v>
      </c>
      <c r="DG46" s="62">
        <v>0</v>
      </c>
      <c r="DH46" s="62">
        <v>0</v>
      </c>
      <c r="DI46" s="62">
        <v>0</v>
      </c>
      <c r="DJ46" s="62">
        <v>0</v>
      </c>
      <c r="DK46" s="62">
        <v>0</v>
      </c>
      <c r="DL46" s="62">
        <v>0</v>
      </c>
      <c r="DM46" s="190">
        <f t="shared" si="23"/>
        <v>0</v>
      </c>
      <c r="DN46" s="62">
        <v>0</v>
      </c>
      <c r="DO46" s="62">
        <v>0</v>
      </c>
      <c r="DP46" s="62">
        <v>0</v>
      </c>
      <c r="DQ46" s="62">
        <v>0</v>
      </c>
      <c r="DR46" s="62">
        <v>0</v>
      </c>
      <c r="DS46" s="62">
        <v>0</v>
      </c>
      <c r="DT46" s="62">
        <v>0</v>
      </c>
      <c r="DU46" s="62">
        <v>0</v>
      </c>
      <c r="DV46" s="62">
        <v>0</v>
      </c>
      <c r="DW46" s="62">
        <v>0</v>
      </c>
      <c r="DX46" s="62">
        <v>0</v>
      </c>
      <c r="DY46" s="62">
        <v>0</v>
      </c>
      <c r="DZ46" s="190">
        <f t="shared" si="24"/>
        <v>0</v>
      </c>
    </row>
    <row r="47" spans="1:130" ht="20.45" customHeight="1" outlineLevel="2">
      <c r="A47" s="525"/>
      <c r="B47" s="529"/>
      <c r="C47" s="30" t="s">
        <v>2609</v>
      </c>
      <c r="D47" s="62">
        <f t="shared" si="0"/>
        <v>910350.00000000012</v>
      </c>
      <c r="E47" s="184">
        <f t="shared" si="179"/>
        <v>2.816625972426311E-3</v>
      </c>
      <c r="F47" s="62">
        <v>26010</v>
      </c>
      <c r="G47" s="190">
        <f t="shared" si="36"/>
        <v>26010</v>
      </c>
      <c r="H47" s="197">
        <f t="shared" si="273"/>
        <v>5.9411979017361047E-3</v>
      </c>
      <c r="I47" s="62">
        <v>26010</v>
      </c>
      <c r="J47" s="62">
        <v>26010</v>
      </c>
      <c r="K47" s="62">
        <v>26010</v>
      </c>
      <c r="L47" s="62">
        <v>26010</v>
      </c>
      <c r="M47" s="62">
        <v>26010</v>
      </c>
      <c r="N47" s="62">
        <v>26010</v>
      </c>
      <c r="O47" s="62">
        <v>26010</v>
      </c>
      <c r="P47" s="62">
        <v>26010</v>
      </c>
      <c r="Q47" s="62">
        <v>26010</v>
      </c>
      <c r="R47" s="62">
        <v>26010</v>
      </c>
      <c r="S47" s="62">
        <v>26010</v>
      </c>
      <c r="T47" s="62">
        <v>26010</v>
      </c>
      <c r="U47" s="190">
        <f t="shared" si="16"/>
        <v>312120</v>
      </c>
      <c r="V47" s="197">
        <f t="shared" si="274"/>
        <v>5.6258114073077549E-3</v>
      </c>
      <c r="W47" s="62">
        <v>26010</v>
      </c>
      <c r="X47" s="62">
        <v>26010</v>
      </c>
      <c r="Y47" s="62">
        <v>26010</v>
      </c>
      <c r="Z47" s="62">
        <v>26010</v>
      </c>
      <c r="AA47" s="62">
        <v>26010</v>
      </c>
      <c r="AB47" s="62">
        <f>26010*2</f>
        <v>52020</v>
      </c>
      <c r="AC47" s="62">
        <v>26010</v>
      </c>
      <c r="AD47" s="62">
        <v>26010</v>
      </c>
      <c r="AE47" s="62">
        <v>26010</v>
      </c>
      <c r="AF47" s="62">
        <v>26010</v>
      </c>
      <c r="AG47" s="62">
        <v>26010</v>
      </c>
      <c r="AH47" s="62">
        <v>26010</v>
      </c>
      <c r="AI47" s="190">
        <f t="shared" si="17"/>
        <v>338130</v>
      </c>
      <c r="AJ47" s="197">
        <f t="shared" si="275"/>
        <v>4.5954874278700923E-3</v>
      </c>
      <c r="AK47" s="62">
        <v>26010</v>
      </c>
      <c r="AL47" s="62">
        <v>26010</v>
      </c>
      <c r="AM47" s="62">
        <v>26010</v>
      </c>
      <c r="AN47" s="62">
        <v>26010</v>
      </c>
      <c r="AO47" s="62">
        <v>26010</v>
      </c>
      <c r="AP47" s="62">
        <v>26010</v>
      </c>
      <c r="AQ47" s="62">
        <v>26010</v>
      </c>
      <c r="AR47" s="62">
        <v>26010</v>
      </c>
      <c r="AS47" s="62">
        <v>26010</v>
      </c>
      <c r="AT47" s="62">
        <v>0</v>
      </c>
      <c r="AU47" s="62">
        <v>0</v>
      </c>
      <c r="AV47" s="62">
        <v>0</v>
      </c>
      <c r="AW47" s="190">
        <f t="shared" si="18"/>
        <v>234090</v>
      </c>
      <c r="AX47" s="197">
        <f t="shared" si="276"/>
        <v>3.0685302332679409E-3</v>
      </c>
      <c r="AY47" s="62">
        <v>0</v>
      </c>
      <c r="AZ47" s="62">
        <v>0</v>
      </c>
      <c r="BA47" s="62">
        <v>0</v>
      </c>
      <c r="BB47" s="62">
        <v>0</v>
      </c>
      <c r="BC47" s="62">
        <v>0</v>
      </c>
      <c r="BD47" s="62">
        <v>0</v>
      </c>
      <c r="BE47" s="62">
        <v>0</v>
      </c>
      <c r="BF47" s="62">
        <v>0</v>
      </c>
      <c r="BG47" s="62">
        <v>0</v>
      </c>
      <c r="BH47" s="62">
        <v>0</v>
      </c>
      <c r="BI47" s="62">
        <v>0</v>
      </c>
      <c r="BJ47" s="62">
        <v>0</v>
      </c>
      <c r="BK47" s="190">
        <f t="shared" si="19"/>
        <v>0</v>
      </c>
      <c r="BL47" s="197">
        <f t="shared" si="277"/>
        <v>0</v>
      </c>
      <c r="BM47" s="62">
        <v>0</v>
      </c>
      <c r="BN47" s="62">
        <v>0</v>
      </c>
      <c r="BO47" s="62">
        <v>0</v>
      </c>
      <c r="BP47" s="62">
        <v>0</v>
      </c>
      <c r="BQ47" s="62">
        <v>0</v>
      </c>
      <c r="BR47" s="62">
        <v>0</v>
      </c>
      <c r="BS47" s="62">
        <v>0</v>
      </c>
      <c r="BT47" s="62">
        <v>0</v>
      </c>
      <c r="BU47" s="62">
        <v>0</v>
      </c>
      <c r="BV47" s="62">
        <v>0</v>
      </c>
      <c r="BW47" s="62">
        <v>0</v>
      </c>
      <c r="BX47" s="62">
        <v>0</v>
      </c>
      <c r="BY47" s="190">
        <f t="shared" si="20"/>
        <v>0</v>
      </c>
      <c r="BZ47" s="197">
        <f t="shared" si="278"/>
        <v>0</v>
      </c>
      <c r="CA47" s="62">
        <v>0</v>
      </c>
      <c r="CB47" s="62">
        <v>0</v>
      </c>
      <c r="CC47" s="62">
        <v>0</v>
      </c>
      <c r="CD47" s="62">
        <v>0</v>
      </c>
      <c r="CE47" s="62">
        <v>0</v>
      </c>
      <c r="CF47" s="62">
        <v>0</v>
      </c>
      <c r="CG47" s="62">
        <v>0</v>
      </c>
      <c r="CH47" s="62">
        <v>0</v>
      </c>
      <c r="CI47" s="62">
        <v>0</v>
      </c>
      <c r="CJ47" s="62">
        <v>0</v>
      </c>
      <c r="CK47" s="62">
        <v>0</v>
      </c>
      <c r="CL47" s="62">
        <v>0</v>
      </c>
      <c r="CM47" s="190">
        <f t="shared" si="21"/>
        <v>0</v>
      </c>
      <c r="CN47" s="62">
        <v>0</v>
      </c>
      <c r="CO47" s="62">
        <v>0</v>
      </c>
      <c r="CP47" s="62">
        <v>0</v>
      </c>
      <c r="CQ47" s="62">
        <v>0</v>
      </c>
      <c r="CR47" s="62">
        <v>0</v>
      </c>
      <c r="CS47" s="62">
        <v>0</v>
      </c>
      <c r="CT47" s="62">
        <v>0</v>
      </c>
      <c r="CU47" s="62">
        <v>0</v>
      </c>
      <c r="CV47" s="62">
        <v>0</v>
      </c>
      <c r="CW47" s="62">
        <v>0</v>
      </c>
      <c r="CX47" s="62">
        <v>0</v>
      </c>
      <c r="CY47" s="62">
        <v>0</v>
      </c>
      <c r="CZ47" s="190">
        <f t="shared" si="22"/>
        <v>0</v>
      </c>
      <c r="DA47" s="62">
        <v>0</v>
      </c>
      <c r="DB47" s="62">
        <v>0</v>
      </c>
      <c r="DC47" s="62">
        <v>0</v>
      </c>
      <c r="DD47" s="62">
        <v>0</v>
      </c>
      <c r="DE47" s="62">
        <v>0</v>
      </c>
      <c r="DF47" s="62">
        <v>0</v>
      </c>
      <c r="DG47" s="62">
        <v>0</v>
      </c>
      <c r="DH47" s="62">
        <v>0</v>
      </c>
      <c r="DI47" s="62">
        <v>0</v>
      </c>
      <c r="DJ47" s="62">
        <v>0</v>
      </c>
      <c r="DK47" s="62">
        <v>0</v>
      </c>
      <c r="DL47" s="62">
        <v>0</v>
      </c>
      <c r="DM47" s="190">
        <f t="shared" si="23"/>
        <v>0</v>
      </c>
      <c r="DN47" s="62">
        <v>0</v>
      </c>
      <c r="DO47" s="62">
        <v>0</v>
      </c>
      <c r="DP47" s="62">
        <v>0</v>
      </c>
      <c r="DQ47" s="62">
        <v>0</v>
      </c>
      <c r="DR47" s="62">
        <v>0</v>
      </c>
      <c r="DS47" s="62">
        <v>0</v>
      </c>
      <c r="DT47" s="62">
        <v>0</v>
      </c>
      <c r="DU47" s="62">
        <v>0</v>
      </c>
      <c r="DV47" s="62">
        <v>0</v>
      </c>
      <c r="DW47" s="62">
        <v>0</v>
      </c>
      <c r="DX47" s="62">
        <v>0</v>
      </c>
      <c r="DY47" s="62">
        <v>0</v>
      </c>
      <c r="DZ47" s="190">
        <f t="shared" si="24"/>
        <v>0</v>
      </c>
    </row>
    <row r="48" spans="1:130" s="194" customFormat="1" ht="20.45" customHeight="1" outlineLevel="1">
      <c r="A48" s="525"/>
      <c r="B48" s="527" t="s">
        <v>2610</v>
      </c>
      <c r="C48" s="65" t="s">
        <v>307</v>
      </c>
      <c r="D48" s="66">
        <f t="shared" si="0"/>
        <v>66000.000000000029</v>
      </c>
      <c r="E48" s="187">
        <f>SUM(E49)</f>
        <v>2.0420422274964199E-4</v>
      </c>
      <c r="F48" s="62">
        <f t="shared" ref="F48:DY48" si="279">SUM(F49)</f>
        <v>0</v>
      </c>
      <c r="G48" s="190">
        <f t="shared" si="36"/>
        <v>0</v>
      </c>
      <c r="H48" s="196">
        <f>SUM(H49)</f>
        <v>0</v>
      </c>
      <c r="I48" s="62">
        <f t="shared" si="279"/>
        <v>0</v>
      </c>
      <c r="J48" s="62">
        <f t="shared" si="279"/>
        <v>10000</v>
      </c>
      <c r="K48" s="62">
        <f t="shared" si="279"/>
        <v>5000</v>
      </c>
      <c r="L48" s="62">
        <f t="shared" si="279"/>
        <v>0</v>
      </c>
      <c r="M48" s="62">
        <f t="shared" si="279"/>
        <v>0</v>
      </c>
      <c r="N48" s="62">
        <f t="shared" si="279"/>
        <v>0</v>
      </c>
      <c r="O48" s="62">
        <f t="shared" si="279"/>
        <v>0</v>
      </c>
      <c r="P48" s="62">
        <f t="shared" si="279"/>
        <v>0</v>
      </c>
      <c r="Q48" s="62">
        <f t="shared" si="279"/>
        <v>0</v>
      </c>
      <c r="R48" s="62">
        <f t="shared" si="279"/>
        <v>0</v>
      </c>
      <c r="S48" s="62">
        <f t="shared" si="279"/>
        <v>0</v>
      </c>
      <c r="T48" s="62">
        <f t="shared" si="279"/>
        <v>0</v>
      </c>
      <c r="U48" s="190">
        <f t="shared" si="16"/>
        <v>15000</v>
      </c>
      <c r="V48" s="196">
        <f>SUM(V49)</f>
        <v>2.7036771469183749E-4</v>
      </c>
      <c r="W48" s="62">
        <f t="shared" si="279"/>
        <v>0</v>
      </c>
      <c r="X48" s="62">
        <f t="shared" si="279"/>
        <v>10000</v>
      </c>
      <c r="Y48" s="62">
        <f t="shared" si="279"/>
        <v>5000</v>
      </c>
      <c r="Z48" s="62">
        <f t="shared" si="279"/>
        <v>0</v>
      </c>
      <c r="AA48" s="62">
        <f t="shared" si="279"/>
        <v>0</v>
      </c>
      <c r="AB48" s="62">
        <f t="shared" si="279"/>
        <v>0</v>
      </c>
      <c r="AC48" s="62">
        <f t="shared" si="279"/>
        <v>0</v>
      </c>
      <c r="AD48" s="62">
        <f t="shared" si="279"/>
        <v>0</v>
      </c>
      <c r="AE48" s="62">
        <f t="shared" si="279"/>
        <v>0</v>
      </c>
      <c r="AF48" s="62">
        <f t="shared" si="279"/>
        <v>0</v>
      </c>
      <c r="AG48" s="62">
        <f t="shared" si="279"/>
        <v>0</v>
      </c>
      <c r="AH48" s="62">
        <f t="shared" si="279"/>
        <v>0</v>
      </c>
      <c r="AI48" s="190">
        <f t="shared" si="17"/>
        <v>15000</v>
      </c>
      <c r="AJ48" s="196">
        <f>SUM(AJ49)</f>
        <v>2.0386334078032527E-4</v>
      </c>
      <c r="AK48" s="62">
        <f t="shared" si="279"/>
        <v>0</v>
      </c>
      <c r="AL48" s="62">
        <f t="shared" si="279"/>
        <v>0</v>
      </c>
      <c r="AM48" s="62">
        <f t="shared" si="279"/>
        <v>0</v>
      </c>
      <c r="AN48" s="62">
        <f t="shared" si="279"/>
        <v>0</v>
      </c>
      <c r="AO48" s="62">
        <f t="shared" si="279"/>
        <v>0</v>
      </c>
      <c r="AP48" s="62">
        <f t="shared" si="279"/>
        <v>0</v>
      </c>
      <c r="AQ48" s="62">
        <f t="shared" si="279"/>
        <v>0</v>
      </c>
      <c r="AR48" s="62">
        <f t="shared" si="279"/>
        <v>0</v>
      </c>
      <c r="AS48" s="62">
        <f t="shared" si="279"/>
        <v>0</v>
      </c>
      <c r="AT48" s="62">
        <f t="shared" si="279"/>
        <v>0</v>
      </c>
      <c r="AU48" s="62">
        <f t="shared" si="279"/>
        <v>0</v>
      </c>
      <c r="AV48" s="62">
        <f t="shared" si="279"/>
        <v>0</v>
      </c>
      <c r="AW48" s="190">
        <f t="shared" si="18"/>
        <v>0</v>
      </c>
      <c r="AX48" s="196">
        <f>SUM(AX49)</f>
        <v>0</v>
      </c>
      <c r="AY48" s="62">
        <f t="shared" si="279"/>
        <v>0</v>
      </c>
      <c r="AZ48" s="62">
        <f t="shared" si="279"/>
        <v>18000</v>
      </c>
      <c r="BA48" s="62">
        <f t="shared" si="279"/>
        <v>0</v>
      </c>
      <c r="BB48" s="62">
        <f t="shared" si="279"/>
        <v>0</v>
      </c>
      <c r="BC48" s="62">
        <f t="shared" si="279"/>
        <v>0</v>
      </c>
      <c r="BD48" s="62">
        <f t="shared" si="279"/>
        <v>0</v>
      </c>
      <c r="BE48" s="62">
        <f t="shared" si="279"/>
        <v>0</v>
      </c>
      <c r="BF48" s="62">
        <f t="shared" si="279"/>
        <v>0</v>
      </c>
      <c r="BG48" s="62">
        <f t="shared" si="279"/>
        <v>0</v>
      </c>
      <c r="BH48" s="62">
        <f t="shared" si="279"/>
        <v>0</v>
      </c>
      <c r="BI48" s="62">
        <f t="shared" si="279"/>
        <v>0</v>
      </c>
      <c r="BJ48" s="62">
        <f t="shared" si="279"/>
        <v>0</v>
      </c>
      <c r="BK48" s="190">
        <f t="shared" si="19"/>
        <v>18000</v>
      </c>
      <c r="BL48" s="196">
        <f>SUM(BL49)</f>
        <v>2.5773556794652709E-4</v>
      </c>
      <c r="BM48" s="62">
        <f t="shared" si="279"/>
        <v>0</v>
      </c>
      <c r="BN48" s="62">
        <f t="shared" si="279"/>
        <v>18000</v>
      </c>
      <c r="BO48" s="62">
        <f t="shared" si="279"/>
        <v>0</v>
      </c>
      <c r="BP48" s="62">
        <f t="shared" si="279"/>
        <v>0</v>
      </c>
      <c r="BQ48" s="62">
        <f t="shared" si="279"/>
        <v>0</v>
      </c>
      <c r="BR48" s="62">
        <f t="shared" si="279"/>
        <v>0</v>
      </c>
      <c r="BS48" s="62">
        <f t="shared" si="279"/>
        <v>0</v>
      </c>
      <c r="BT48" s="62">
        <f t="shared" si="279"/>
        <v>0</v>
      </c>
      <c r="BU48" s="62">
        <f t="shared" si="279"/>
        <v>0</v>
      </c>
      <c r="BV48" s="62">
        <f t="shared" si="279"/>
        <v>0</v>
      </c>
      <c r="BW48" s="62">
        <f t="shared" si="279"/>
        <v>0</v>
      </c>
      <c r="BX48" s="62">
        <f t="shared" si="279"/>
        <v>0</v>
      </c>
      <c r="BY48" s="190">
        <f t="shared" si="20"/>
        <v>18000</v>
      </c>
      <c r="BZ48" s="196">
        <f>SUM(BZ49)</f>
        <v>4.124383146945585E-4</v>
      </c>
      <c r="CA48" s="62">
        <f t="shared" si="279"/>
        <v>0</v>
      </c>
      <c r="CB48" s="62">
        <f t="shared" si="279"/>
        <v>0</v>
      </c>
      <c r="CC48" s="62">
        <f t="shared" si="279"/>
        <v>0</v>
      </c>
      <c r="CD48" s="62">
        <f t="shared" si="279"/>
        <v>0</v>
      </c>
      <c r="CE48" s="62">
        <f t="shared" si="279"/>
        <v>0</v>
      </c>
      <c r="CF48" s="62">
        <f t="shared" si="279"/>
        <v>0</v>
      </c>
      <c r="CG48" s="62">
        <f t="shared" si="279"/>
        <v>0</v>
      </c>
      <c r="CH48" s="62">
        <f t="shared" si="279"/>
        <v>0</v>
      </c>
      <c r="CI48" s="62">
        <f t="shared" si="279"/>
        <v>0</v>
      </c>
      <c r="CJ48" s="62">
        <f t="shared" si="279"/>
        <v>0</v>
      </c>
      <c r="CK48" s="62">
        <f t="shared" si="279"/>
        <v>0</v>
      </c>
      <c r="CL48" s="62">
        <f t="shared" si="279"/>
        <v>0</v>
      </c>
      <c r="CM48" s="190">
        <f t="shared" si="21"/>
        <v>0</v>
      </c>
      <c r="CN48" s="62">
        <f t="shared" si="279"/>
        <v>0</v>
      </c>
      <c r="CO48" s="62">
        <f t="shared" si="279"/>
        <v>0</v>
      </c>
      <c r="CP48" s="62">
        <f t="shared" si="279"/>
        <v>0</v>
      </c>
      <c r="CQ48" s="62">
        <f t="shared" si="279"/>
        <v>0</v>
      </c>
      <c r="CR48" s="62">
        <f t="shared" si="279"/>
        <v>0</v>
      </c>
      <c r="CS48" s="62">
        <f t="shared" si="279"/>
        <v>0</v>
      </c>
      <c r="CT48" s="62">
        <f t="shared" si="279"/>
        <v>0</v>
      </c>
      <c r="CU48" s="62">
        <f t="shared" si="279"/>
        <v>0</v>
      </c>
      <c r="CV48" s="62">
        <f t="shared" si="279"/>
        <v>0</v>
      </c>
      <c r="CW48" s="62">
        <f t="shared" si="279"/>
        <v>0</v>
      </c>
      <c r="CX48" s="62">
        <f t="shared" si="279"/>
        <v>0</v>
      </c>
      <c r="CY48" s="62">
        <f t="shared" si="279"/>
        <v>0</v>
      </c>
      <c r="CZ48" s="190">
        <f t="shared" si="22"/>
        <v>0</v>
      </c>
      <c r="DA48" s="62">
        <f t="shared" si="279"/>
        <v>0</v>
      </c>
      <c r="DB48" s="62">
        <f t="shared" si="279"/>
        <v>0</v>
      </c>
      <c r="DC48" s="62">
        <f t="shared" si="279"/>
        <v>0</v>
      </c>
      <c r="DD48" s="62">
        <f t="shared" si="279"/>
        <v>0</v>
      </c>
      <c r="DE48" s="62">
        <f t="shared" si="279"/>
        <v>0</v>
      </c>
      <c r="DF48" s="62">
        <f t="shared" si="279"/>
        <v>0</v>
      </c>
      <c r="DG48" s="62">
        <f t="shared" si="279"/>
        <v>0</v>
      </c>
      <c r="DH48" s="62">
        <f t="shared" si="279"/>
        <v>0</v>
      </c>
      <c r="DI48" s="62">
        <f t="shared" si="279"/>
        <v>0</v>
      </c>
      <c r="DJ48" s="62">
        <f t="shared" si="279"/>
        <v>0</v>
      </c>
      <c r="DK48" s="62">
        <f t="shared" si="279"/>
        <v>0</v>
      </c>
      <c r="DL48" s="62">
        <f t="shared" si="279"/>
        <v>0</v>
      </c>
      <c r="DM48" s="190">
        <f t="shared" si="23"/>
        <v>0</v>
      </c>
      <c r="DN48" s="62">
        <f t="shared" si="279"/>
        <v>0</v>
      </c>
      <c r="DO48" s="62">
        <f t="shared" si="279"/>
        <v>0</v>
      </c>
      <c r="DP48" s="62">
        <f t="shared" si="279"/>
        <v>0</v>
      </c>
      <c r="DQ48" s="62">
        <f t="shared" si="279"/>
        <v>0</v>
      </c>
      <c r="DR48" s="62">
        <f t="shared" si="279"/>
        <v>0</v>
      </c>
      <c r="DS48" s="62">
        <f t="shared" si="279"/>
        <v>0</v>
      </c>
      <c r="DT48" s="62">
        <f t="shared" si="279"/>
        <v>0</v>
      </c>
      <c r="DU48" s="62">
        <f t="shared" si="279"/>
        <v>0</v>
      </c>
      <c r="DV48" s="62">
        <f t="shared" si="279"/>
        <v>0</v>
      </c>
      <c r="DW48" s="62">
        <f t="shared" si="279"/>
        <v>0</v>
      </c>
      <c r="DX48" s="62">
        <f t="shared" si="279"/>
        <v>0</v>
      </c>
      <c r="DY48" s="62">
        <f t="shared" si="279"/>
        <v>0</v>
      </c>
      <c r="DZ48" s="190">
        <f t="shared" si="24"/>
        <v>0</v>
      </c>
    </row>
    <row r="49" spans="1:130" ht="20.45" customHeight="1" outlineLevel="2">
      <c r="A49" s="525"/>
      <c r="B49" s="529"/>
      <c r="C49" s="30" t="s">
        <v>321</v>
      </c>
      <c r="D49" s="62">
        <f t="shared" si="0"/>
        <v>66000.000000000029</v>
      </c>
      <c r="E49" s="184">
        <f t="shared" si="179"/>
        <v>2.0420422274964199E-4</v>
      </c>
      <c r="F49" s="62">
        <v>0</v>
      </c>
      <c r="G49" s="190">
        <f t="shared" si="36"/>
        <v>0</v>
      </c>
      <c r="H49" s="197">
        <f>G49/(G$5+G$6+G$7+G$8+G$10+G$9)</f>
        <v>0</v>
      </c>
      <c r="I49" s="62">
        <v>0</v>
      </c>
      <c r="J49" s="62">
        <v>10000</v>
      </c>
      <c r="K49" s="62">
        <v>5000</v>
      </c>
      <c r="L49" s="62">
        <v>0</v>
      </c>
      <c r="M49" s="62">
        <v>0</v>
      </c>
      <c r="N49" s="62">
        <v>0</v>
      </c>
      <c r="O49" s="62">
        <v>0</v>
      </c>
      <c r="P49" s="62">
        <v>0</v>
      </c>
      <c r="Q49" s="62">
        <v>0</v>
      </c>
      <c r="R49" s="62">
        <v>0</v>
      </c>
      <c r="S49" s="62">
        <v>0</v>
      </c>
      <c r="T49" s="62">
        <v>0</v>
      </c>
      <c r="U49" s="190">
        <f t="shared" si="16"/>
        <v>15000</v>
      </c>
      <c r="V49" s="197">
        <f>U49/(U$5+U$6+U$7+U$8+U$10+U$9)</f>
        <v>2.7036771469183749E-4</v>
      </c>
      <c r="W49" s="62">
        <v>0</v>
      </c>
      <c r="X49" s="62">
        <v>10000</v>
      </c>
      <c r="Y49" s="62">
        <v>5000</v>
      </c>
      <c r="Z49" s="62">
        <v>0</v>
      </c>
      <c r="AA49" s="62">
        <v>0</v>
      </c>
      <c r="AB49" s="62">
        <v>0</v>
      </c>
      <c r="AC49" s="62">
        <v>0</v>
      </c>
      <c r="AD49" s="62">
        <v>0</v>
      </c>
      <c r="AE49" s="62">
        <v>0</v>
      </c>
      <c r="AF49" s="62">
        <v>0</v>
      </c>
      <c r="AG49" s="62">
        <v>0</v>
      </c>
      <c r="AH49" s="62">
        <v>0</v>
      </c>
      <c r="AI49" s="190">
        <f t="shared" si="17"/>
        <v>15000</v>
      </c>
      <c r="AJ49" s="197">
        <f>AI49/(AI$5+AI$6+AI$7+AI$8+AI$10+AI$9)</f>
        <v>2.0386334078032527E-4</v>
      </c>
      <c r="AK49" s="62">
        <v>0</v>
      </c>
      <c r="AL49" s="62">
        <v>0</v>
      </c>
      <c r="AM49" s="62">
        <v>0</v>
      </c>
      <c r="AN49" s="62">
        <v>0</v>
      </c>
      <c r="AO49" s="62">
        <v>0</v>
      </c>
      <c r="AP49" s="62">
        <v>0</v>
      </c>
      <c r="AQ49" s="62">
        <v>0</v>
      </c>
      <c r="AR49" s="62">
        <v>0</v>
      </c>
      <c r="AS49" s="62">
        <v>0</v>
      </c>
      <c r="AT49" s="62">
        <v>0</v>
      </c>
      <c r="AU49" s="62">
        <v>0</v>
      </c>
      <c r="AV49" s="62">
        <v>0</v>
      </c>
      <c r="AW49" s="190">
        <f t="shared" si="18"/>
        <v>0</v>
      </c>
      <c r="AX49" s="197">
        <f>AW49/(AW$5+AW$6+AW$7+AW$8+AW$10+AW$9)</f>
        <v>0</v>
      </c>
      <c r="AY49" s="62">
        <v>0</v>
      </c>
      <c r="AZ49" s="62">
        <v>18000</v>
      </c>
      <c r="BA49" s="62">
        <v>0</v>
      </c>
      <c r="BB49" s="62">
        <v>0</v>
      </c>
      <c r="BC49" s="62">
        <v>0</v>
      </c>
      <c r="BD49" s="62">
        <v>0</v>
      </c>
      <c r="BE49" s="62">
        <v>0</v>
      </c>
      <c r="BF49" s="62">
        <v>0</v>
      </c>
      <c r="BG49" s="62">
        <v>0</v>
      </c>
      <c r="BH49" s="62">
        <v>0</v>
      </c>
      <c r="BI49" s="62">
        <v>0</v>
      </c>
      <c r="BJ49" s="62">
        <v>0</v>
      </c>
      <c r="BK49" s="190">
        <f t="shared" si="19"/>
        <v>18000</v>
      </c>
      <c r="BL49" s="197">
        <f>BK49/(BK$5+BK$6+BK$7+BK$8+BK$10+BK$9)</f>
        <v>2.5773556794652709E-4</v>
      </c>
      <c r="BM49" s="62">
        <v>0</v>
      </c>
      <c r="BN49" s="62">
        <v>18000</v>
      </c>
      <c r="BO49" s="62">
        <v>0</v>
      </c>
      <c r="BP49" s="62">
        <v>0</v>
      </c>
      <c r="BQ49" s="62">
        <v>0</v>
      </c>
      <c r="BR49" s="62">
        <v>0</v>
      </c>
      <c r="BS49" s="62">
        <v>0</v>
      </c>
      <c r="BT49" s="62">
        <v>0</v>
      </c>
      <c r="BU49" s="62">
        <v>0</v>
      </c>
      <c r="BV49" s="62">
        <v>0</v>
      </c>
      <c r="BW49" s="62">
        <v>0</v>
      </c>
      <c r="BX49" s="62">
        <v>0</v>
      </c>
      <c r="BY49" s="190">
        <f t="shared" si="20"/>
        <v>18000</v>
      </c>
      <c r="BZ49" s="197">
        <f>BY49/(BY$5+BY$6+BY$7+BY$8+BY$10+BY$9)</f>
        <v>4.124383146945585E-4</v>
      </c>
      <c r="CA49" s="62">
        <v>0</v>
      </c>
      <c r="CB49" s="62">
        <v>0</v>
      </c>
      <c r="CC49" s="62">
        <v>0</v>
      </c>
      <c r="CD49" s="62">
        <v>0</v>
      </c>
      <c r="CE49" s="62">
        <v>0</v>
      </c>
      <c r="CF49" s="62">
        <v>0</v>
      </c>
      <c r="CG49" s="62">
        <v>0</v>
      </c>
      <c r="CH49" s="62">
        <v>0</v>
      </c>
      <c r="CI49" s="62">
        <v>0</v>
      </c>
      <c r="CJ49" s="62">
        <v>0</v>
      </c>
      <c r="CK49" s="62">
        <v>0</v>
      </c>
      <c r="CL49" s="62">
        <v>0</v>
      </c>
      <c r="CM49" s="190">
        <f t="shared" si="21"/>
        <v>0</v>
      </c>
      <c r="CN49" s="62">
        <v>0</v>
      </c>
      <c r="CO49" s="62">
        <v>0</v>
      </c>
      <c r="CP49" s="62">
        <v>0</v>
      </c>
      <c r="CQ49" s="62">
        <v>0</v>
      </c>
      <c r="CR49" s="62">
        <v>0</v>
      </c>
      <c r="CS49" s="62">
        <v>0</v>
      </c>
      <c r="CT49" s="62">
        <v>0</v>
      </c>
      <c r="CU49" s="62">
        <v>0</v>
      </c>
      <c r="CV49" s="62">
        <v>0</v>
      </c>
      <c r="CW49" s="62">
        <v>0</v>
      </c>
      <c r="CX49" s="62">
        <v>0</v>
      </c>
      <c r="CY49" s="62">
        <v>0</v>
      </c>
      <c r="CZ49" s="190">
        <f t="shared" si="22"/>
        <v>0</v>
      </c>
      <c r="DA49" s="62">
        <v>0</v>
      </c>
      <c r="DB49" s="62">
        <v>0</v>
      </c>
      <c r="DC49" s="62">
        <v>0</v>
      </c>
      <c r="DD49" s="62">
        <v>0</v>
      </c>
      <c r="DE49" s="62">
        <v>0</v>
      </c>
      <c r="DF49" s="62">
        <v>0</v>
      </c>
      <c r="DG49" s="62">
        <v>0</v>
      </c>
      <c r="DH49" s="62">
        <v>0</v>
      </c>
      <c r="DI49" s="62">
        <v>0</v>
      </c>
      <c r="DJ49" s="62">
        <v>0</v>
      </c>
      <c r="DK49" s="62">
        <v>0</v>
      </c>
      <c r="DL49" s="62">
        <v>0</v>
      </c>
      <c r="DM49" s="190">
        <f t="shared" si="23"/>
        <v>0</v>
      </c>
      <c r="DN49" s="62">
        <v>0</v>
      </c>
      <c r="DO49" s="62">
        <v>0</v>
      </c>
      <c r="DP49" s="62">
        <v>0</v>
      </c>
      <c r="DQ49" s="62">
        <v>0</v>
      </c>
      <c r="DR49" s="62">
        <v>0</v>
      </c>
      <c r="DS49" s="62">
        <v>0</v>
      </c>
      <c r="DT49" s="62">
        <v>0</v>
      </c>
      <c r="DU49" s="62">
        <v>0</v>
      </c>
      <c r="DV49" s="62">
        <v>0</v>
      </c>
      <c r="DW49" s="62">
        <v>0</v>
      </c>
      <c r="DX49" s="62">
        <v>0</v>
      </c>
      <c r="DY49" s="62">
        <v>0</v>
      </c>
      <c r="DZ49" s="190">
        <f t="shared" si="24"/>
        <v>0</v>
      </c>
    </row>
    <row r="50" spans="1:130" s="194" customFormat="1" ht="20.45" customHeight="1" outlineLevel="1">
      <c r="A50" s="525"/>
      <c r="B50" s="527" t="s">
        <v>322</v>
      </c>
      <c r="C50" s="65" t="s">
        <v>307</v>
      </c>
      <c r="D50" s="66">
        <f t="shared" si="0"/>
        <v>19463312.999999996</v>
      </c>
      <c r="E50" s="187">
        <f>SUM(E51:E56)</f>
        <v>6.021955611057575E-2</v>
      </c>
      <c r="F50" s="62">
        <f t="shared" ref="F50:DX50" si="280">SUM(F51:F56)</f>
        <v>0</v>
      </c>
      <c r="G50" s="190">
        <f t="shared" si="36"/>
        <v>0</v>
      </c>
      <c r="H50" s="196">
        <f>SUM(H51:H56)</f>
        <v>0</v>
      </c>
      <c r="I50" s="62">
        <f t="shared" si="280"/>
        <v>0</v>
      </c>
      <c r="J50" s="62">
        <f t="shared" si="280"/>
        <v>0</v>
      </c>
      <c r="K50" s="62">
        <f t="shared" si="280"/>
        <v>0</v>
      </c>
      <c r="L50" s="62">
        <f t="shared" si="280"/>
        <v>0</v>
      </c>
      <c r="M50" s="62">
        <f t="shared" si="280"/>
        <v>169870</v>
      </c>
      <c r="N50" s="62">
        <f t="shared" si="280"/>
        <v>0</v>
      </c>
      <c r="O50" s="62">
        <f t="shared" si="280"/>
        <v>1677284</v>
      </c>
      <c r="P50" s="62">
        <f t="shared" si="280"/>
        <v>0</v>
      </c>
      <c r="Q50" s="62">
        <f t="shared" si="280"/>
        <v>1414190</v>
      </c>
      <c r="R50" s="62">
        <f t="shared" si="280"/>
        <v>0</v>
      </c>
      <c r="S50" s="62">
        <f t="shared" si="280"/>
        <v>526170</v>
      </c>
      <c r="T50" s="62">
        <f t="shared" si="280"/>
        <v>3584409</v>
      </c>
      <c r="U50" s="190">
        <f t="shared" si="16"/>
        <v>7371923</v>
      </c>
      <c r="V50" s="196">
        <f>SUM(V51:V56)</f>
        <v>0.13287533162627965</v>
      </c>
      <c r="W50" s="62">
        <f t="shared" si="280"/>
        <v>100300</v>
      </c>
      <c r="X50" s="62">
        <f t="shared" si="280"/>
        <v>0</v>
      </c>
      <c r="Y50" s="62">
        <f t="shared" si="280"/>
        <v>0</v>
      </c>
      <c r="Z50" s="62">
        <f t="shared" si="280"/>
        <v>0</v>
      </c>
      <c r="AA50" s="62">
        <f t="shared" si="280"/>
        <v>-139880</v>
      </c>
      <c r="AB50" s="62">
        <f t="shared" si="280"/>
        <v>1077610</v>
      </c>
      <c r="AC50" s="62">
        <f t="shared" ref="AC50:AF50" si="281">SUM(AC51:AC56)</f>
        <v>5200</v>
      </c>
      <c r="AD50" s="62">
        <f t="shared" si="281"/>
        <v>1076760</v>
      </c>
      <c r="AE50" s="62">
        <f t="shared" si="281"/>
        <v>0</v>
      </c>
      <c r="AF50" s="62">
        <f t="shared" si="281"/>
        <v>0</v>
      </c>
      <c r="AG50" s="62">
        <f t="shared" si="280"/>
        <v>273680</v>
      </c>
      <c r="AH50" s="62">
        <f t="shared" si="280"/>
        <v>3681280</v>
      </c>
      <c r="AI50" s="190">
        <f t="shared" si="17"/>
        <v>6074950</v>
      </c>
      <c r="AJ50" s="196">
        <f>SUM(AJ51:AJ56)</f>
        <v>8.2563973471562468E-2</v>
      </c>
      <c r="AK50" s="62">
        <f t="shared" ref="AK50:AV50" si="282">SUM(AK51:AK56)</f>
        <v>0</v>
      </c>
      <c r="AL50" s="62">
        <f t="shared" si="282"/>
        <v>0</v>
      </c>
      <c r="AM50" s="62">
        <f t="shared" si="282"/>
        <v>0</v>
      </c>
      <c r="AN50" s="62">
        <f t="shared" si="282"/>
        <v>0</v>
      </c>
      <c r="AO50" s="62">
        <f t="shared" si="282"/>
        <v>273680</v>
      </c>
      <c r="AP50" s="62">
        <f t="shared" si="282"/>
        <v>1116210</v>
      </c>
      <c r="AQ50" s="62">
        <f t="shared" si="282"/>
        <v>5200</v>
      </c>
      <c r="AR50" s="62">
        <f t="shared" si="282"/>
        <v>1116210</v>
      </c>
      <c r="AS50" s="62">
        <f t="shared" si="282"/>
        <v>0</v>
      </c>
      <c r="AT50" s="62">
        <f t="shared" si="282"/>
        <v>0</v>
      </c>
      <c r="AU50" s="62">
        <f t="shared" si="282"/>
        <v>0</v>
      </c>
      <c r="AV50" s="62">
        <f t="shared" si="282"/>
        <v>305680</v>
      </c>
      <c r="AW50" s="190">
        <f t="shared" si="18"/>
        <v>2816980</v>
      </c>
      <c r="AX50" s="196">
        <f>SUM(AX51:AX56)</f>
        <v>3.692591864885781E-2</v>
      </c>
      <c r="AY50" s="62">
        <f t="shared" ref="AY50:BJ50" si="283">SUM(AY51:AY56)</f>
        <v>0</v>
      </c>
      <c r="AZ50" s="62">
        <f t="shared" si="283"/>
        <v>0</v>
      </c>
      <c r="BA50" s="62">
        <f t="shared" si="283"/>
        <v>120000</v>
      </c>
      <c r="BB50" s="62">
        <f t="shared" si="283"/>
        <v>0</v>
      </c>
      <c r="BC50" s="62">
        <f t="shared" si="283"/>
        <v>298410</v>
      </c>
      <c r="BD50" s="62">
        <f t="shared" si="283"/>
        <v>1202480</v>
      </c>
      <c r="BE50" s="62">
        <f t="shared" si="283"/>
        <v>0</v>
      </c>
      <c r="BF50" s="62">
        <f t="shared" si="283"/>
        <v>1239680</v>
      </c>
      <c r="BG50" s="62">
        <f t="shared" si="283"/>
        <v>0</v>
      </c>
      <c r="BH50" s="62">
        <f t="shared" si="283"/>
        <v>0</v>
      </c>
      <c r="BI50" s="62">
        <f t="shared" si="283"/>
        <v>0</v>
      </c>
      <c r="BJ50" s="62">
        <f t="shared" si="283"/>
        <v>338890</v>
      </c>
      <c r="BK50" s="190">
        <f t="shared" si="19"/>
        <v>3199460</v>
      </c>
      <c r="BL50" s="196">
        <f>SUM(BL51:BL56)</f>
        <v>4.5811924456788639E-2</v>
      </c>
      <c r="BM50" s="62">
        <f t="shared" ref="BM50:BX50" si="284">SUM(BM51:BM56)</f>
        <v>0</v>
      </c>
      <c r="BN50" s="62">
        <f t="shared" si="284"/>
        <v>0</v>
      </c>
      <c r="BO50" s="62">
        <f t="shared" si="284"/>
        <v>0</v>
      </c>
      <c r="BP50" s="62">
        <f t="shared" si="284"/>
        <v>0</v>
      </c>
      <c r="BQ50" s="62">
        <f t="shared" si="284"/>
        <v>0</v>
      </c>
      <c r="BR50" s="62">
        <f t="shared" si="284"/>
        <v>0</v>
      </c>
      <c r="BS50" s="62">
        <f t="shared" si="284"/>
        <v>0</v>
      </c>
      <c r="BT50" s="62">
        <f t="shared" si="284"/>
        <v>0</v>
      </c>
      <c r="BU50" s="62">
        <f t="shared" si="284"/>
        <v>0</v>
      </c>
      <c r="BV50" s="62">
        <f t="shared" si="284"/>
        <v>0</v>
      </c>
      <c r="BW50" s="62">
        <f t="shared" si="284"/>
        <v>0</v>
      </c>
      <c r="BX50" s="62">
        <f t="shared" si="284"/>
        <v>0</v>
      </c>
      <c r="BY50" s="190">
        <f t="shared" si="20"/>
        <v>0</v>
      </c>
      <c r="BZ50" s="196">
        <f>SUM(BZ51:BZ56)</f>
        <v>0</v>
      </c>
      <c r="CA50" s="62">
        <f t="shared" ref="CA50:CL50" si="285">SUM(CA51:CA56)</f>
        <v>0</v>
      </c>
      <c r="CB50" s="62">
        <f t="shared" si="285"/>
        <v>0</v>
      </c>
      <c r="CC50" s="62">
        <f t="shared" si="285"/>
        <v>0</v>
      </c>
      <c r="CD50" s="62">
        <f t="shared" si="285"/>
        <v>0</v>
      </c>
      <c r="CE50" s="62">
        <f t="shared" si="285"/>
        <v>0</v>
      </c>
      <c r="CF50" s="62">
        <f t="shared" si="285"/>
        <v>0</v>
      </c>
      <c r="CG50" s="62">
        <f t="shared" si="285"/>
        <v>0</v>
      </c>
      <c r="CH50" s="62">
        <f t="shared" si="285"/>
        <v>0</v>
      </c>
      <c r="CI50" s="62">
        <f t="shared" si="285"/>
        <v>0</v>
      </c>
      <c r="CJ50" s="62">
        <f t="shared" si="285"/>
        <v>0</v>
      </c>
      <c r="CK50" s="62">
        <f t="shared" si="285"/>
        <v>0</v>
      </c>
      <c r="CL50" s="62">
        <f t="shared" si="285"/>
        <v>0</v>
      </c>
      <c r="CM50" s="190">
        <f t="shared" si="21"/>
        <v>0</v>
      </c>
      <c r="CN50" s="62">
        <f t="shared" ref="CN50:CY50" si="286">SUM(CN51:CN56)</f>
        <v>0</v>
      </c>
      <c r="CO50" s="62">
        <f t="shared" si="286"/>
        <v>0</v>
      </c>
      <c r="CP50" s="62">
        <f t="shared" si="286"/>
        <v>0</v>
      </c>
      <c r="CQ50" s="62">
        <f t="shared" si="286"/>
        <v>0</v>
      </c>
      <c r="CR50" s="62">
        <f t="shared" si="286"/>
        <v>0</v>
      </c>
      <c r="CS50" s="62">
        <f t="shared" si="286"/>
        <v>0</v>
      </c>
      <c r="CT50" s="62">
        <f t="shared" si="286"/>
        <v>0</v>
      </c>
      <c r="CU50" s="62">
        <f t="shared" si="286"/>
        <v>0</v>
      </c>
      <c r="CV50" s="62">
        <f t="shared" si="286"/>
        <v>0</v>
      </c>
      <c r="CW50" s="62">
        <f t="shared" si="286"/>
        <v>0</v>
      </c>
      <c r="CX50" s="62">
        <f t="shared" si="286"/>
        <v>0</v>
      </c>
      <c r="CY50" s="62">
        <f t="shared" si="286"/>
        <v>0</v>
      </c>
      <c r="CZ50" s="190">
        <f t="shared" si="22"/>
        <v>0</v>
      </c>
      <c r="DA50" s="62">
        <f t="shared" ref="DA50:DL50" si="287">SUM(DA51:DA56)</f>
        <v>0</v>
      </c>
      <c r="DB50" s="62">
        <f t="shared" si="287"/>
        <v>0</v>
      </c>
      <c r="DC50" s="62">
        <f t="shared" si="287"/>
        <v>0</v>
      </c>
      <c r="DD50" s="62">
        <f t="shared" si="287"/>
        <v>0</v>
      </c>
      <c r="DE50" s="62">
        <f t="shared" si="287"/>
        <v>0</v>
      </c>
      <c r="DF50" s="62">
        <f t="shared" si="287"/>
        <v>0</v>
      </c>
      <c r="DG50" s="62">
        <f t="shared" si="287"/>
        <v>0</v>
      </c>
      <c r="DH50" s="62">
        <f t="shared" si="287"/>
        <v>0</v>
      </c>
      <c r="DI50" s="62">
        <f t="shared" si="287"/>
        <v>0</v>
      </c>
      <c r="DJ50" s="62">
        <f t="shared" si="287"/>
        <v>0</v>
      </c>
      <c r="DK50" s="62">
        <f t="shared" si="287"/>
        <v>0</v>
      </c>
      <c r="DL50" s="62">
        <f t="shared" si="287"/>
        <v>0</v>
      </c>
      <c r="DM50" s="190">
        <f t="shared" si="23"/>
        <v>0</v>
      </c>
      <c r="DN50" s="62">
        <f t="shared" ref="DN50:DQ50" si="288">SUM(DN51:DN56)</f>
        <v>0</v>
      </c>
      <c r="DO50" s="62">
        <f t="shared" si="288"/>
        <v>0</v>
      </c>
      <c r="DP50" s="62">
        <f t="shared" si="288"/>
        <v>0</v>
      </c>
      <c r="DQ50" s="62">
        <f t="shared" si="288"/>
        <v>0</v>
      </c>
      <c r="DR50" s="62">
        <f t="shared" ref="DR50:DU50" si="289">SUM(DR51:DR56)</f>
        <v>0</v>
      </c>
      <c r="DS50" s="62">
        <f t="shared" si="289"/>
        <v>0</v>
      </c>
      <c r="DT50" s="62">
        <f t="shared" si="289"/>
        <v>0</v>
      </c>
      <c r="DU50" s="62">
        <f t="shared" si="289"/>
        <v>0</v>
      </c>
      <c r="DV50" s="62">
        <f t="shared" ref="DV50:DW50" si="290">SUM(DV51:DV56)</f>
        <v>0</v>
      </c>
      <c r="DW50" s="62">
        <f t="shared" si="290"/>
        <v>0</v>
      </c>
      <c r="DX50" s="62">
        <f t="shared" si="280"/>
        <v>0</v>
      </c>
      <c r="DY50" s="62">
        <f t="shared" ref="DY50" si="291">SUM(DY51:DY56)</f>
        <v>0</v>
      </c>
      <c r="DZ50" s="190">
        <f t="shared" si="24"/>
        <v>0</v>
      </c>
    </row>
    <row r="51" spans="1:130" ht="20.45" customHeight="1" outlineLevel="2">
      <c r="A51" s="525"/>
      <c r="B51" s="528"/>
      <c r="C51" s="30" t="s">
        <v>323</v>
      </c>
      <c r="D51" s="62">
        <f t="shared" si="0"/>
        <v>10209519.999999998</v>
      </c>
      <c r="E51" s="184">
        <f t="shared" si="179"/>
        <v>3.1588289337074596E-2</v>
      </c>
      <c r="F51" s="62">
        <v>0</v>
      </c>
      <c r="G51" s="190">
        <f t="shared" si="36"/>
        <v>0</v>
      </c>
      <c r="H51" s="197">
        <f t="shared" ref="H51:H56" si="292">G51/(G$5+G$6+G$7+G$8+G$10+G$9)</f>
        <v>0</v>
      </c>
      <c r="I51" s="62">
        <v>0</v>
      </c>
      <c r="J51" s="62">
        <v>0</v>
      </c>
      <c r="K51" s="62">
        <v>0</v>
      </c>
      <c r="L51" s="62">
        <v>0</v>
      </c>
      <c r="M51" s="62">
        <v>0</v>
      </c>
      <c r="N51" s="62">
        <v>0</v>
      </c>
      <c r="O51" s="62">
        <v>1414540</v>
      </c>
      <c r="P51" s="62">
        <v>0</v>
      </c>
      <c r="Q51" s="62">
        <v>1414190</v>
      </c>
      <c r="R51" s="62">
        <v>0</v>
      </c>
      <c r="S51" s="62">
        <v>526170</v>
      </c>
      <c r="T51" s="62">
        <v>0</v>
      </c>
      <c r="U51" s="190">
        <f t="shared" si="16"/>
        <v>3354900</v>
      </c>
      <c r="V51" s="197">
        <f t="shared" ref="V51:V56" si="293">U51/(U$5+U$6+U$7+U$8+U$10+U$9)</f>
        <v>6.0470443067976373E-2</v>
      </c>
      <c r="W51" s="62">
        <v>0</v>
      </c>
      <c r="X51" s="62">
        <v>0</v>
      </c>
      <c r="Y51" s="62">
        <v>0</v>
      </c>
      <c r="Z51" s="62">
        <v>0</v>
      </c>
      <c r="AA51" s="62">
        <v>0</v>
      </c>
      <c r="AB51" s="62">
        <v>1077610</v>
      </c>
      <c r="AC51" s="62">
        <v>0</v>
      </c>
      <c r="AD51" s="62">
        <v>1076760</v>
      </c>
      <c r="AE51" s="62">
        <v>0</v>
      </c>
      <c r="AF51" s="62">
        <v>0</v>
      </c>
      <c r="AG51" s="62">
        <v>0</v>
      </c>
      <c r="AH51" s="62">
        <v>0</v>
      </c>
      <c r="AI51" s="190">
        <f t="shared" si="17"/>
        <v>2154370</v>
      </c>
      <c r="AJ51" s="197">
        <f t="shared" ref="AJ51:AJ56" si="294">AI51/(AI$5+AI$6+AI$7+AI$8+AI$10+AI$9)</f>
        <v>2.9279804365127289E-2</v>
      </c>
      <c r="AK51" s="62">
        <v>0</v>
      </c>
      <c r="AL51" s="62">
        <v>0</v>
      </c>
      <c r="AM51" s="62">
        <v>0</v>
      </c>
      <c r="AN51" s="62">
        <v>0</v>
      </c>
      <c r="AO51" s="62">
        <v>0</v>
      </c>
      <c r="AP51" s="62">
        <v>1116210</v>
      </c>
      <c r="AQ51" s="62">
        <v>0</v>
      </c>
      <c r="AR51" s="62">
        <v>1116210</v>
      </c>
      <c r="AS51" s="62">
        <v>0</v>
      </c>
      <c r="AT51" s="62">
        <v>0</v>
      </c>
      <c r="AU51" s="62">
        <v>0</v>
      </c>
      <c r="AV51" s="62">
        <v>0</v>
      </c>
      <c r="AW51" s="190">
        <f t="shared" si="18"/>
        <v>2232420</v>
      </c>
      <c r="AX51" s="197">
        <f t="shared" ref="AX51:AX56" si="295">AW51/(AW$5+AW$6+AW$7+AW$8+AW$10+AW$9)</f>
        <v>2.9263310108727483E-2</v>
      </c>
      <c r="AY51" s="62">
        <v>0</v>
      </c>
      <c r="AZ51" s="62">
        <v>0</v>
      </c>
      <c r="BA51" s="62">
        <v>0</v>
      </c>
      <c r="BB51" s="62">
        <v>0</v>
      </c>
      <c r="BC51" s="62">
        <v>0</v>
      </c>
      <c r="BD51" s="62">
        <f>1202480</f>
        <v>1202480</v>
      </c>
      <c r="BE51" s="62">
        <v>0</v>
      </c>
      <c r="BF51" s="62">
        <v>1202480</v>
      </c>
      <c r="BG51" s="62">
        <v>0</v>
      </c>
      <c r="BH51" s="62">
        <v>0</v>
      </c>
      <c r="BI51" s="62">
        <v>0</v>
      </c>
      <c r="BJ51" s="62">
        <f>62870</f>
        <v>62870</v>
      </c>
      <c r="BK51" s="190">
        <f t="shared" si="19"/>
        <v>2467830</v>
      </c>
      <c r="BL51" s="197">
        <f t="shared" ref="BL51:BL56" si="296">BK51/(BK$5+BK$6+BK$7+BK$8+BK$10+BK$9)</f>
        <v>3.5335975924748776E-2</v>
      </c>
      <c r="BM51" s="62">
        <v>0</v>
      </c>
      <c r="BN51" s="62">
        <v>0</v>
      </c>
      <c r="BO51" s="62">
        <v>0</v>
      </c>
      <c r="BP51" s="62">
        <v>0</v>
      </c>
      <c r="BQ51" s="62">
        <v>0</v>
      </c>
      <c r="BR51" s="62">
        <v>0</v>
      </c>
      <c r="BS51" s="62">
        <v>0</v>
      </c>
      <c r="BT51" s="62">
        <v>0</v>
      </c>
      <c r="BU51" s="62">
        <v>0</v>
      </c>
      <c r="BV51" s="62">
        <v>0</v>
      </c>
      <c r="BW51" s="62">
        <v>0</v>
      </c>
      <c r="BX51" s="62">
        <v>0</v>
      </c>
      <c r="BY51" s="190">
        <f t="shared" si="20"/>
        <v>0</v>
      </c>
      <c r="BZ51" s="197">
        <f t="shared" ref="BZ51:BZ56" si="297">BY51/(BY$5+BY$6+BY$7+BY$8+BY$10+BY$9)</f>
        <v>0</v>
      </c>
      <c r="CA51" s="62">
        <v>0</v>
      </c>
      <c r="CB51" s="62">
        <v>0</v>
      </c>
      <c r="CC51" s="62">
        <v>0</v>
      </c>
      <c r="CD51" s="62">
        <v>0</v>
      </c>
      <c r="CE51" s="62">
        <v>0</v>
      </c>
      <c r="CF51" s="62">
        <v>0</v>
      </c>
      <c r="CG51" s="62">
        <v>0</v>
      </c>
      <c r="CH51" s="62">
        <v>0</v>
      </c>
      <c r="CI51" s="62">
        <v>0</v>
      </c>
      <c r="CJ51" s="62">
        <v>0</v>
      </c>
      <c r="CK51" s="62">
        <v>0</v>
      </c>
      <c r="CL51" s="62">
        <v>0</v>
      </c>
      <c r="CM51" s="190">
        <f t="shared" si="21"/>
        <v>0</v>
      </c>
      <c r="CN51" s="62">
        <v>0</v>
      </c>
      <c r="CO51" s="62">
        <v>0</v>
      </c>
      <c r="CP51" s="62">
        <v>0</v>
      </c>
      <c r="CQ51" s="62">
        <v>0</v>
      </c>
      <c r="CR51" s="62">
        <v>0</v>
      </c>
      <c r="CS51" s="62">
        <v>0</v>
      </c>
      <c r="CT51" s="62">
        <v>0</v>
      </c>
      <c r="CU51" s="62">
        <v>0</v>
      </c>
      <c r="CV51" s="62">
        <v>0</v>
      </c>
      <c r="CW51" s="62">
        <v>0</v>
      </c>
      <c r="CX51" s="62">
        <v>0</v>
      </c>
      <c r="CY51" s="62">
        <v>0</v>
      </c>
      <c r="CZ51" s="190">
        <f t="shared" si="22"/>
        <v>0</v>
      </c>
      <c r="DA51" s="62">
        <v>0</v>
      </c>
      <c r="DB51" s="62">
        <v>0</v>
      </c>
      <c r="DC51" s="62">
        <v>0</v>
      </c>
      <c r="DD51" s="62">
        <v>0</v>
      </c>
      <c r="DE51" s="62">
        <v>0</v>
      </c>
      <c r="DF51" s="62">
        <v>0</v>
      </c>
      <c r="DG51" s="62">
        <v>0</v>
      </c>
      <c r="DH51" s="62">
        <v>0</v>
      </c>
      <c r="DI51" s="62">
        <v>0</v>
      </c>
      <c r="DJ51" s="62">
        <v>0</v>
      </c>
      <c r="DK51" s="62">
        <v>0</v>
      </c>
      <c r="DL51" s="62">
        <v>0</v>
      </c>
      <c r="DM51" s="190">
        <f t="shared" si="23"/>
        <v>0</v>
      </c>
      <c r="DN51" s="62">
        <v>0</v>
      </c>
      <c r="DO51" s="62">
        <v>0</v>
      </c>
      <c r="DP51" s="62">
        <v>0</v>
      </c>
      <c r="DQ51" s="62">
        <v>0</v>
      </c>
      <c r="DR51" s="62">
        <v>0</v>
      </c>
      <c r="DS51" s="62">
        <v>0</v>
      </c>
      <c r="DT51" s="62">
        <v>0</v>
      </c>
      <c r="DU51" s="62">
        <v>0</v>
      </c>
      <c r="DV51" s="62">
        <v>0</v>
      </c>
      <c r="DW51" s="62">
        <v>0</v>
      </c>
      <c r="DX51" s="62">
        <v>0</v>
      </c>
      <c r="DY51" s="62">
        <v>0</v>
      </c>
      <c r="DZ51" s="190">
        <f t="shared" si="24"/>
        <v>0</v>
      </c>
    </row>
    <row r="52" spans="1:130" ht="20.45" customHeight="1" outlineLevel="2">
      <c r="A52" s="526"/>
      <c r="B52" s="528"/>
      <c r="C52" s="30" t="s">
        <v>2611</v>
      </c>
      <c r="D52" s="62">
        <f t="shared" si="0"/>
        <v>3681280.0000000005</v>
      </c>
      <c r="E52" s="184">
        <f t="shared" si="179"/>
        <v>1.1389892744300027E-2</v>
      </c>
      <c r="F52" s="62">
        <v>0</v>
      </c>
      <c r="G52" s="190">
        <f t="shared" ref="G52" si="298">SUM(F52)</f>
        <v>0</v>
      </c>
      <c r="H52" s="197">
        <f t="shared" si="292"/>
        <v>0</v>
      </c>
      <c r="I52" s="62">
        <v>0</v>
      </c>
      <c r="J52" s="62">
        <v>0</v>
      </c>
      <c r="K52" s="62">
        <v>0</v>
      </c>
      <c r="L52" s="62">
        <v>0</v>
      </c>
      <c r="M52" s="62">
        <v>0</v>
      </c>
      <c r="N52" s="62">
        <v>0</v>
      </c>
      <c r="O52" s="62">
        <v>0</v>
      </c>
      <c r="P52" s="62">
        <v>0</v>
      </c>
      <c r="Q52" s="62">
        <v>0</v>
      </c>
      <c r="R52" s="62">
        <v>0</v>
      </c>
      <c r="S52" s="62">
        <v>0</v>
      </c>
      <c r="T52" s="62">
        <v>0</v>
      </c>
      <c r="U52" s="190">
        <f t="shared" ref="U52" si="299">SUM(I52:T52)</f>
        <v>0</v>
      </c>
      <c r="V52" s="197">
        <f t="shared" si="293"/>
        <v>0</v>
      </c>
      <c r="W52" s="62">
        <v>0</v>
      </c>
      <c r="X52" s="62">
        <v>0</v>
      </c>
      <c r="Y52" s="62">
        <v>0</v>
      </c>
      <c r="Z52" s="62">
        <v>0</v>
      </c>
      <c r="AA52" s="62">
        <v>0</v>
      </c>
      <c r="AB52" s="62">
        <v>0</v>
      </c>
      <c r="AC52" s="62">
        <v>0</v>
      </c>
      <c r="AD52" s="62">
        <v>0</v>
      </c>
      <c r="AE52" s="62">
        <v>0</v>
      </c>
      <c r="AF52" s="62">
        <v>0</v>
      </c>
      <c r="AG52" s="62">
        <v>0</v>
      </c>
      <c r="AH52" s="62">
        <v>3681280</v>
      </c>
      <c r="AI52" s="190">
        <f t="shared" si="17"/>
        <v>3681280</v>
      </c>
      <c r="AJ52" s="197">
        <f t="shared" si="294"/>
        <v>5.0031869276519716E-2</v>
      </c>
      <c r="AK52" s="62">
        <v>0</v>
      </c>
      <c r="AL52" s="62">
        <v>0</v>
      </c>
      <c r="AM52" s="62">
        <v>0</v>
      </c>
      <c r="AN52" s="62">
        <v>0</v>
      </c>
      <c r="AO52" s="62">
        <v>0</v>
      </c>
      <c r="AP52" s="62">
        <v>0</v>
      </c>
      <c r="AQ52" s="62">
        <v>0</v>
      </c>
      <c r="AR52" s="62">
        <v>0</v>
      </c>
      <c r="AS52" s="62">
        <v>0</v>
      </c>
      <c r="AT52" s="62">
        <v>0</v>
      </c>
      <c r="AU52" s="62">
        <v>0</v>
      </c>
      <c r="AV52" s="62">
        <v>0</v>
      </c>
      <c r="AW52" s="190">
        <f t="shared" ref="AW52" si="300">SUM(AK52:AV52)</f>
        <v>0</v>
      </c>
      <c r="AX52" s="197">
        <f t="shared" si="295"/>
        <v>0</v>
      </c>
      <c r="AY52" s="62">
        <v>0</v>
      </c>
      <c r="AZ52" s="62">
        <v>0</v>
      </c>
      <c r="BA52" s="62">
        <v>0</v>
      </c>
      <c r="BB52" s="62">
        <v>0</v>
      </c>
      <c r="BC52" s="62">
        <v>0</v>
      </c>
      <c r="BD52" s="62">
        <v>0</v>
      </c>
      <c r="BE52" s="62">
        <v>0</v>
      </c>
      <c r="BF52" s="62">
        <v>0</v>
      </c>
      <c r="BG52" s="62">
        <v>0</v>
      </c>
      <c r="BH52" s="62">
        <v>0</v>
      </c>
      <c r="BI52" s="62">
        <v>0</v>
      </c>
      <c r="BJ52" s="62">
        <v>0</v>
      </c>
      <c r="BK52" s="190">
        <f t="shared" ref="BK52" si="301">SUM(AY52:BJ52)</f>
        <v>0</v>
      </c>
      <c r="BL52" s="197">
        <f t="shared" si="296"/>
        <v>0</v>
      </c>
      <c r="BM52" s="62">
        <v>0</v>
      </c>
      <c r="BN52" s="62">
        <v>0</v>
      </c>
      <c r="BO52" s="62">
        <v>0</v>
      </c>
      <c r="BP52" s="62">
        <v>0</v>
      </c>
      <c r="BQ52" s="62">
        <v>0</v>
      </c>
      <c r="BR52" s="62">
        <v>0</v>
      </c>
      <c r="BS52" s="62">
        <v>0</v>
      </c>
      <c r="BT52" s="62">
        <v>0</v>
      </c>
      <c r="BU52" s="62">
        <v>0</v>
      </c>
      <c r="BV52" s="62">
        <v>0</v>
      </c>
      <c r="BW52" s="62">
        <v>0</v>
      </c>
      <c r="BX52" s="62">
        <v>0</v>
      </c>
      <c r="BY52" s="190">
        <f t="shared" ref="BY52" si="302">SUM(BM52:BX52)</f>
        <v>0</v>
      </c>
      <c r="BZ52" s="197">
        <f t="shared" si="297"/>
        <v>0</v>
      </c>
      <c r="CA52" s="62">
        <v>0</v>
      </c>
      <c r="CB52" s="62">
        <v>0</v>
      </c>
      <c r="CC52" s="62">
        <v>0</v>
      </c>
      <c r="CD52" s="62">
        <v>0</v>
      </c>
      <c r="CE52" s="62">
        <v>0</v>
      </c>
      <c r="CF52" s="62">
        <v>0</v>
      </c>
      <c r="CG52" s="62">
        <v>0</v>
      </c>
      <c r="CH52" s="62">
        <v>0</v>
      </c>
      <c r="CI52" s="62">
        <v>0</v>
      </c>
      <c r="CJ52" s="62">
        <v>0</v>
      </c>
      <c r="CK52" s="62">
        <v>0</v>
      </c>
      <c r="CL52" s="62">
        <v>0</v>
      </c>
      <c r="CM52" s="190">
        <f t="shared" ref="CM52" si="303">SUM(CA52:CL52)</f>
        <v>0</v>
      </c>
      <c r="CN52" s="62">
        <v>0</v>
      </c>
      <c r="CO52" s="62">
        <v>0</v>
      </c>
      <c r="CP52" s="62">
        <v>0</v>
      </c>
      <c r="CQ52" s="62">
        <v>0</v>
      </c>
      <c r="CR52" s="62">
        <v>0</v>
      </c>
      <c r="CS52" s="62">
        <v>0</v>
      </c>
      <c r="CT52" s="62">
        <v>0</v>
      </c>
      <c r="CU52" s="62">
        <v>0</v>
      </c>
      <c r="CV52" s="62">
        <v>0</v>
      </c>
      <c r="CW52" s="62">
        <v>0</v>
      </c>
      <c r="CX52" s="62">
        <v>0</v>
      </c>
      <c r="CY52" s="62">
        <v>0</v>
      </c>
      <c r="CZ52" s="190">
        <f t="shared" ref="CZ52" si="304">SUM(CN52:CY52)</f>
        <v>0</v>
      </c>
      <c r="DA52" s="62">
        <v>0</v>
      </c>
      <c r="DB52" s="62">
        <v>0</v>
      </c>
      <c r="DC52" s="62">
        <v>0</v>
      </c>
      <c r="DD52" s="62">
        <v>0</v>
      </c>
      <c r="DE52" s="62">
        <v>0</v>
      </c>
      <c r="DF52" s="62">
        <v>0</v>
      </c>
      <c r="DG52" s="62">
        <v>0</v>
      </c>
      <c r="DH52" s="62">
        <v>0</v>
      </c>
      <c r="DI52" s="62">
        <v>0</v>
      </c>
      <c r="DJ52" s="62">
        <v>0</v>
      </c>
      <c r="DK52" s="62">
        <v>0</v>
      </c>
      <c r="DL52" s="62">
        <v>0</v>
      </c>
      <c r="DM52" s="190">
        <f t="shared" ref="DM52" si="305">SUM(DA52:DL52)</f>
        <v>0</v>
      </c>
      <c r="DN52" s="62">
        <v>0</v>
      </c>
      <c r="DO52" s="62">
        <v>0</v>
      </c>
      <c r="DP52" s="62">
        <v>0</v>
      </c>
      <c r="DQ52" s="62">
        <v>0</v>
      </c>
      <c r="DR52" s="62">
        <v>0</v>
      </c>
      <c r="DS52" s="62">
        <v>0</v>
      </c>
      <c r="DT52" s="62">
        <v>0</v>
      </c>
      <c r="DU52" s="62">
        <v>0</v>
      </c>
      <c r="DV52" s="62">
        <v>0</v>
      </c>
      <c r="DW52" s="62">
        <v>0</v>
      </c>
      <c r="DX52" s="62">
        <v>0</v>
      </c>
      <c r="DY52" s="62">
        <v>0</v>
      </c>
      <c r="DZ52" s="190">
        <f t="shared" ref="DZ52" si="306">SUM(DN52:DY52)</f>
        <v>0</v>
      </c>
    </row>
    <row r="53" spans="1:130" ht="20.45" customHeight="1" outlineLevel="2">
      <c r="A53" s="525"/>
      <c r="B53" s="528"/>
      <c r="C53" s="30" t="s">
        <v>324</v>
      </c>
      <c r="D53" s="62">
        <f t="shared" si="0"/>
        <v>21350.000000000004</v>
      </c>
      <c r="E53" s="184">
        <f t="shared" si="179"/>
        <v>6.6056972056134172E-5</v>
      </c>
      <c r="F53" s="62">
        <v>0</v>
      </c>
      <c r="G53" s="190">
        <f t="shared" si="36"/>
        <v>0</v>
      </c>
      <c r="H53" s="197">
        <f t="shared" si="292"/>
        <v>0</v>
      </c>
      <c r="I53" s="62">
        <v>0</v>
      </c>
      <c r="J53" s="62">
        <v>0</v>
      </c>
      <c r="K53" s="62">
        <v>0</v>
      </c>
      <c r="L53" s="62">
        <v>0</v>
      </c>
      <c r="M53" s="62">
        <v>0</v>
      </c>
      <c r="N53" s="62">
        <v>0</v>
      </c>
      <c r="O53" s="62">
        <v>5750</v>
      </c>
      <c r="P53" s="62">
        <v>0</v>
      </c>
      <c r="Q53" s="62">
        <v>0</v>
      </c>
      <c r="R53" s="62">
        <v>0</v>
      </c>
      <c r="S53" s="62">
        <v>0</v>
      </c>
      <c r="T53" s="62">
        <v>0</v>
      </c>
      <c r="U53" s="190">
        <f t="shared" si="16"/>
        <v>5750</v>
      </c>
      <c r="V53" s="197">
        <f t="shared" si="293"/>
        <v>1.036409572985377E-4</v>
      </c>
      <c r="W53" s="62">
        <v>0</v>
      </c>
      <c r="X53" s="62">
        <v>0</v>
      </c>
      <c r="Y53" s="62">
        <v>0</v>
      </c>
      <c r="Z53" s="62">
        <v>0</v>
      </c>
      <c r="AA53" s="62">
        <v>0</v>
      </c>
      <c r="AB53" s="62">
        <v>0</v>
      </c>
      <c r="AC53" s="62">
        <v>5200</v>
      </c>
      <c r="AD53" s="62">
        <v>0</v>
      </c>
      <c r="AE53" s="62">
        <v>0</v>
      </c>
      <c r="AF53" s="62">
        <v>0</v>
      </c>
      <c r="AG53" s="62">
        <v>0</v>
      </c>
      <c r="AH53" s="62">
        <v>0</v>
      </c>
      <c r="AI53" s="190">
        <f t="shared" si="17"/>
        <v>5200</v>
      </c>
      <c r="AJ53" s="197">
        <f t="shared" si="294"/>
        <v>7.0672624803846089E-5</v>
      </c>
      <c r="AK53" s="62">
        <v>0</v>
      </c>
      <c r="AL53" s="62">
        <v>0</v>
      </c>
      <c r="AM53" s="62">
        <v>0</v>
      </c>
      <c r="AN53" s="62">
        <v>0</v>
      </c>
      <c r="AO53" s="62">
        <v>0</v>
      </c>
      <c r="AP53" s="62">
        <v>0</v>
      </c>
      <c r="AQ53" s="62">
        <v>5200</v>
      </c>
      <c r="AR53" s="62">
        <v>0</v>
      </c>
      <c r="AS53" s="62">
        <v>0</v>
      </c>
      <c r="AT53" s="62">
        <v>0</v>
      </c>
      <c r="AU53" s="62">
        <v>0</v>
      </c>
      <c r="AV53" s="62">
        <v>0</v>
      </c>
      <c r="AW53" s="190">
        <f t="shared" si="18"/>
        <v>5200</v>
      </c>
      <c r="AX53" s="197">
        <f t="shared" si="295"/>
        <v>6.8163344068491991E-5</v>
      </c>
      <c r="AY53" s="62">
        <v>0</v>
      </c>
      <c r="AZ53" s="62">
        <v>0</v>
      </c>
      <c r="BA53" s="62">
        <v>0</v>
      </c>
      <c r="BB53" s="62">
        <v>0</v>
      </c>
      <c r="BC53" s="62">
        <v>0</v>
      </c>
      <c r="BD53" s="62">
        <v>0</v>
      </c>
      <c r="BE53" s="62">
        <v>0</v>
      </c>
      <c r="BF53" s="62">
        <f>5200</f>
        <v>5200</v>
      </c>
      <c r="BG53" s="62">
        <v>0</v>
      </c>
      <c r="BH53" s="62">
        <v>0</v>
      </c>
      <c r="BI53" s="62">
        <v>0</v>
      </c>
      <c r="BJ53" s="62">
        <v>0</v>
      </c>
      <c r="BK53" s="190">
        <f t="shared" si="19"/>
        <v>5200</v>
      </c>
      <c r="BL53" s="197">
        <f t="shared" si="296"/>
        <v>7.4456941851218931E-5</v>
      </c>
      <c r="BM53" s="62">
        <v>0</v>
      </c>
      <c r="BN53" s="62">
        <v>0</v>
      </c>
      <c r="BO53" s="62">
        <v>0</v>
      </c>
      <c r="BP53" s="62">
        <v>0</v>
      </c>
      <c r="BQ53" s="62">
        <v>0</v>
      </c>
      <c r="BR53" s="62">
        <v>0</v>
      </c>
      <c r="BS53" s="62">
        <v>0</v>
      </c>
      <c r="BT53" s="62">
        <v>0</v>
      </c>
      <c r="BU53" s="62">
        <v>0</v>
      </c>
      <c r="BV53" s="62">
        <v>0</v>
      </c>
      <c r="BW53" s="62">
        <v>0</v>
      </c>
      <c r="BX53" s="62">
        <v>0</v>
      </c>
      <c r="BY53" s="190">
        <f t="shared" si="20"/>
        <v>0</v>
      </c>
      <c r="BZ53" s="197">
        <f t="shared" si="297"/>
        <v>0</v>
      </c>
      <c r="CA53" s="62">
        <v>0</v>
      </c>
      <c r="CB53" s="62">
        <v>0</v>
      </c>
      <c r="CC53" s="62">
        <v>0</v>
      </c>
      <c r="CD53" s="62">
        <v>0</v>
      </c>
      <c r="CE53" s="62">
        <v>0</v>
      </c>
      <c r="CF53" s="62">
        <v>0</v>
      </c>
      <c r="CG53" s="62">
        <v>0</v>
      </c>
      <c r="CH53" s="62">
        <v>0</v>
      </c>
      <c r="CI53" s="62">
        <v>0</v>
      </c>
      <c r="CJ53" s="62">
        <v>0</v>
      </c>
      <c r="CK53" s="62">
        <v>0</v>
      </c>
      <c r="CL53" s="62">
        <v>0</v>
      </c>
      <c r="CM53" s="190">
        <f t="shared" si="21"/>
        <v>0</v>
      </c>
      <c r="CN53" s="62">
        <v>0</v>
      </c>
      <c r="CO53" s="62">
        <v>0</v>
      </c>
      <c r="CP53" s="62">
        <v>0</v>
      </c>
      <c r="CQ53" s="62">
        <v>0</v>
      </c>
      <c r="CR53" s="62">
        <v>0</v>
      </c>
      <c r="CS53" s="62">
        <v>0</v>
      </c>
      <c r="CT53" s="62">
        <v>0</v>
      </c>
      <c r="CU53" s="62">
        <v>0</v>
      </c>
      <c r="CV53" s="62">
        <v>0</v>
      </c>
      <c r="CW53" s="62">
        <v>0</v>
      </c>
      <c r="CX53" s="62">
        <v>0</v>
      </c>
      <c r="CY53" s="62">
        <v>0</v>
      </c>
      <c r="CZ53" s="190">
        <f t="shared" si="22"/>
        <v>0</v>
      </c>
      <c r="DA53" s="62">
        <v>0</v>
      </c>
      <c r="DB53" s="62">
        <v>0</v>
      </c>
      <c r="DC53" s="62">
        <v>0</v>
      </c>
      <c r="DD53" s="62">
        <v>0</v>
      </c>
      <c r="DE53" s="62">
        <v>0</v>
      </c>
      <c r="DF53" s="62">
        <v>0</v>
      </c>
      <c r="DG53" s="62">
        <v>0</v>
      </c>
      <c r="DH53" s="62">
        <v>0</v>
      </c>
      <c r="DI53" s="62">
        <v>0</v>
      </c>
      <c r="DJ53" s="62">
        <v>0</v>
      </c>
      <c r="DK53" s="62">
        <v>0</v>
      </c>
      <c r="DL53" s="62">
        <v>0</v>
      </c>
      <c r="DM53" s="190">
        <f t="shared" si="23"/>
        <v>0</v>
      </c>
      <c r="DN53" s="62">
        <v>0</v>
      </c>
      <c r="DO53" s="62">
        <v>0</v>
      </c>
      <c r="DP53" s="62">
        <v>0</v>
      </c>
      <c r="DQ53" s="62">
        <v>0</v>
      </c>
      <c r="DR53" s="62">
        <v>0</v>
      </c>
      <c r="DS53" s="62">
        <v>0</v>
      </c>
      <c r="DT53" s="62">
        <v>0</v>
      </c>
      <c r="DU53" s="62">
        <v>0</v>
      </c>
      <c r="DV53" s="62">
        <v>0</v>
      </c>
      <c r="DW53" s="62">
        <v>0</v>
      </c>
      <c r="DX53" s="62">
        <v>0</v>
      </c>
      <c r="DY53" s="62">
        <v>0</v>
      </c>
      <c r="DZ53" s="190">
        <f t="shared" si="24"/>
        <v>0</v>
      </c>
    </row>
    <row r="54" spans="1:130" ht="20.45" customHeight="1" outlineLevel="2">
      <c r="A54" s="525"/>
      <c r="B54" s="528"/>
      <c r="C54" s="30" t="s">
        <v>325</v>
      </c>
      <c r="D54" s="62">
        <f t="shared" si="0"/>
        <v>2079164.0000000002</v>
      </c>
      <c r="E54" s="184">
        <f t="shared" si="179"/>
        <v>6.4329404331672189E-3</v>
      </c>
      <c r="F54" s="62">
        <v>0</v>
      </c>
      <c r="G54" s="190">
        <f t="shared" si="36"/>
        <v>0</v>
      </c>
      <c r="H54" s="197">
        <f t="shared" si="292"/>
        <v>0</v>
      </c>
      <c r="I54" s="62">
        <v>0</v>
      </c>
      <c r="J54" s="62">
        <v>0</v>
      </c>
      <c r="K54" s="62">
        <v>0</v>
      </c>
      <c r="L54" s="62">
        <v>0</v>
      </c>
      <c r="M54" s="62">
        <v>129870</v>
      </c>
      <c r="N54" s="62">
        <v>0</v>
      </c>
      <c r="O54" s="62">
        <v>224994</v>
      </c>
      <c r="P54" s="62">
        <v>0</v>
      </c>
      <c r="Q54" s="62">
        <v>0</v>
      </c>
      <c r="R54" s="62">
        <v>0</v>
      </c>
      <c r="S54" s="62">
        <v>0</v>
      </c>
      <c r="T54" s="62">
        <v>0</v>
      </c>
      <c r="U54" s="190">
        <f t="shared" si="16"/>
        <v>354864</v>
      </c>
      <c r="V54" s="197">
        <f t="shared" si="293"/>
        <v>6.396251247093615E-3</v>
      </c>
      <c r="W54" s="62">
        <v>100300</v>
      </c>
      <c r="X54" s="62">
        <v>0</v>
      </c>
      <c r="Y54" s="62">
        <v>0</v>
      </c>
      <c r="Z54" s="62">
        <v>0</v>
      </c>
      <c r="AA54" s="62">
        <v>260530</v>
      </c>
      <c r="AB54" s="62">
        <v>0</v>
      </c>
      <c r="AC54" s="62">
        <v>0</v>
      </c>
      <c r="AD54" s="62">
        <v>0</v>
      </c>
      <c r="AE54" s="62">
        <v>0</v>
      </c>
      <c r="AF54" s="62">
        <v>0</v>
      </c>
      <c r="AG54" s="62">
        <v>273680</v>
      </c>
      <c r="AH54" s="62">
        <v>0</v>
      </c>
      <c r="AI54" s="190">
        <f t="shared" si="17"/>
        <v>634510</v>
      </c>
      <c r="AJ54" s="197">
        <f t="shared" si="294"/>
        <v>8.6235552239016123E-3</v>
      </c>
      <c r="AK54" s="62">
        <v>0</v>
      </c>
      <c r="AL54" s="62">
        <v>0</v>
      </c>
      <c r="AM54" s="62">
        <v>0</v>
      </c>
      <c r="AN54" s="62">
        <v>0</v>
      </c>
      <c r="AO54" s="62">
        <f>129070+144610</f>
        <v>273680</v>
      </c>
      <c r="AP54" s="62">
        <v>0</v>
      </c>
      <c r="AQ54" s="62">
        <v>0</v>
      </c>
      <c r="AR54" s="62">
        <v>0</v>
      </c>
      <c r="AS54" s="62">
        <v>0</v>
      </c>
      <c r="AT54" s="62">
        <v>0</v>
      </c>
      <c r="AU54" s="62">
        <v>0</v>
      </c>
      <c r="AV54" s="62">
        <f>129070+144610</f>
        <v>273680</v>
      </c>
      <c r="AW54" s="190">
        <f t="shared" si="18"/>
        <v>547360</v>
      </c>
      <c r="AX54" s="197">
        <f t="shared" si="295"/>
        <v>7.1749784633326494E-3</v>
      </c>
      <c r="AY54" s="62">
        <v>0</v>
      </c>
      <c r="AZ54" s="62">
        <v>0</v>
      </c>
      <c r="BA54" s="62">
        <v>0</v>
      </c>
      <c r="BB54" s="62">
        <v>0</v>
      </c>
      <c r="BC54" s="62">
        <f>137340+129070</f>
        <v>266410</v>
      </c>
      <c r="BD54" s="62">
        <v>0</v>
      </c>
      <c r="BE54" s="62">
        <v>0</v>
      </c>
      <c r="BF54" s="62">
        <v>0</v>
      </c>
      <c r="BG54" s="62">
        <v>0</v>
      </c>
      <c r="BH54" s="62">
        <v>0</v>
      </c>
      <c r="BI54" s="62">
        <v>0</v>
      </c>
      <c r="BJ54" s="62">
        <f>142270+133750</f>
        <v>276020</v>
      </c>
      <c r="BK54" s="190">
        <f t="shared" si="19"/>
        <v>542430</v>
      </c>
      <c r="BL54" s="197">
        <f t="shared" si="296"/>
        <v>7.7668613400685938E-3</v>
      </c>
      <c r="BM54" s="62">
        <v>0</v>
      </c>
      <c r="BN54" s="62">
        <v>0</v>
      </c>
      <c r="BO54" s="62">
        <v>0</v>
      </c>
      <c r="BP54" s="62">
        <v>0</v>
      </c>
      <c r="BQ54" s="62">
        <v>0</v>
      </c>
      <c r="BR54" s="62">
        <v>0</v>
      </c>
      <c r="BS54" s="62">
        <v>0</v>
      </c>
      <c r="BT54" s="62">
        <v>0</v>
      </c>
      <c r="BU54" s="62">
        <v>0</v>
      </c>
      <c r="BV54" s="62">
        <v>0</v>
      </c>
      <c r="BW54" s="62">
        <v>0</v>
      </c>
      <c r="BX54" s="62">
        <v>0</v>
      </c>
      <c r="BY54" s="190">
        <f t="shared" si="20"/>
        <v>0</v>
      </c>
      <c r="BZ54" s="197">
        <f t="shared" si="297"/>
        <v>0</v>
      </c>
      <c r="CA54" s="62">
        <v>0</v>
      </c>
      <c r="CB54" s="62">
        <v>0</v>
      </c>
      <c r="CC54" s="62">
        <v>0</v>
      </c>
      <c r="CD54" s="62">
        <v>0</v>
      </c>
      <c r="CE54" s="62">
        <v>0</v>
      </c>
      <c r="CF54" s="62">
        <v>0</v>
      </c>
      <c r="CG54" s="62">
        <v>0</v>
      </c>
      <c r="CH54" s="62">
        <v>0</v>
      </c>
      <c r="CI54" s="62">
        <v>0</v>
      </c>
      <c r="CJ54" s="62">
        <v>0</v>
      </c>
      <c r="CK54" s="62">
        <v>0</v>
      </c>
      <c r="CL54" s="62">
        <v>0</v>
      </c>
      <c r="CM54" s="190">
        <f t="shared" si="21"/>
        <v>0</v>
      </c>
      <c r="CN54" s="62">
        <v>0</v>
      </c>
      <c r="CO54" s="62">
        <v>0</v>
      </c>
      <c r="CP54" s="62">
        <v>0</v>
      </c>
      <c r="CQ54" s="62">
        <v>0</v>
      </c>
      <c r="CR54" s="62">
        <v>0</v>
      </c>
      <c r="CS54" s="62">
        <v>0</v>
      </c>
      <c r="CT54" s="62">
        <v>0</v>
      </c>
      <c r="CU54" s="62">
        <v>0</v>
      </c>
      <c r="CV54" s="62">
        <v>0</v>
      </c>
      <c r="CW54" s="62">
        <v>0</v>
      </c>
      <c r="CX54" s="62">
        <v>0</v>
      </c>
      <c r="CY54" s="62">
        <v>0</v>
      </c>
      <c r="CZ54" s="190">
        <f t="shared" si="22"/>
        <v>0</v>
      </c>
      <c r="DA54" s="62">
        <v>0</v>
      </c>
      <c r="DB54" s="62">
        <v>0</v>
      </c>
      <c r="DC54" s="62">
        <v>0</v>
      </c>
      <c r="DD54" s="62">
        <v>0</v>
      </c>
      <c r="DE54" s="62">
        <v>0</v>
      </c>
      <c r="DF54" s="62">
        <v>0</v>
      </c>
      <c r="DG54" s="62">
        <v>0</v>
      </c>
      <c r="DH54" s="62">
        <v>0</v>
      </c>
      <c r="DI54" s="62">
        <v>0</v>
      </c>
      <c r="DJ54" s="62">
        <v>0</v>
      </c>
      <c r="DK54" s="62">
        <v>0</v>
      </c>
      <c r="DL54" s="62">
        <v>0</v>
      </c>
      <c r="DM54" s="190">
        <f t="shared" si="23"/>
        <v>0</v>
      </c>
      <c r="DN54" s="62">
        <v>0</v>
      </c>
      <c r="DO54" s="62">
        <v>0</v>
      </c>
      <c r="DP54" s="62">
        <v>0</v>
      </c>
      <c r="DQ54" s="62">
        <v>0</v>
      </c>
      <c r="DR54" s="62">
        <v>0</v>
      </c>
      <c r="DS54" s="62">
        <v>0</v>
      </c>
      <c r="DT54" s="62">
        <v>0</v>
      </c>
      <c r="DU54" s="62">
        <v>0</v>
      </c>
      <c r="DV54" s="62">
        <v>0</v>
      </c>
      <c r="DW54" s="62">
        <v>0</v>
      </c>
      <c r="DX54" s="62">
        <v>0</v>
      </c>
      <c r="DY54" s="62">
        <v>0</v>
      </c>
      <c r="DZ54" s="190">
        <f t="shared" si="24"/>
        <v>0</v>
      </c>
    </row>
    <row r="55" spans="1:130" ht="20.45" customHeight="1" outlineLevel="2">
      <c r="A55" s="525"/>
      <c r="B55" s="528"/>
      <c r="C55" s="30" t="s">
        <v>303</v>
      </c>
      <c r="D55" s="62">
        <f t="shared" si="0"/>
        <v>3183998.9999999991</v>
      </c>
      <c r="E55" s="184">
        <f t="shared" si="179"/>
        <v>9.851303651979346E-3</v>
      </c>
      <c r="F55" s="62">
        <v>0</v>
      </c>
      <c r="G55" s="190">
        <f t="shared" si="36"/>
        <v>0</v>
      </c>
      <c r="H55" s="197">
        <f t="shared" si="292"/>
        <v>0</v>
      </c>
      <c r="I55" s="62">
        <v>0</v>
      </c>
      <c r="J55" s="62">
        <v>0</v>
      </c>
      <c r="K55" s="62">
        <v>0</v>
      </c>
      <c r="L55" s="62">
        <v>0</v>
      </c>
      <c r="M55" s="62">
        <v>0</v>
      </c>
      <c r="N55" s="62">
        <v>0</v>
      </c>
      <c r="O55" s="62">
        <v>0</v>
      </c>
      <c r="P55" s="62">
        <v>0</v>
      </c>
      <c r="Q55" s="62">
        <v>0</v>
      </c>
      <c r="R55" s="62">
        <v>0</v>
      </c>
      <c r="S55" s="62">
        <v>0</v>
      </c>
      <c r="T55" s="62">
        <v>3584409</v>
      </c>
      <c r="U55" s="190">
        <f t="shared" si="16"/>
        <v>3584409</v>
      </c>
      <c r="V55" s="197">
        <f t="shared" si="293"/>
        <v>6.4607231323390302E-2</v>
      </c>
      <c r="W55" s="62">
        <v>0</v>
      </c>
      <c r="X55" s="62">
        <v>0</v>
      </c>
      <c r="Y55" s="62">
        <v>0</v>
      </c>
      <c r="Z55" s="62">
        <v>0</v>
      </c>
      <c r="AA55" s="62">
        <v>-400410</v>
      </c>
      <c r="AB55" s="62">
        <v>0</v>
      </c>
      <c r="AC55" s="62">
        <v>0</v>
      </c>
      <c r="AD55" s="62">
        <v>0</v>
      </c>
      <c r="AE55" s="62">
        <v>0</v>
      </c>
      <c r="AF55" s="62">
        <v>0</v>
      </c>
      <c r="AG55" s="62">
        <v>0</v>
      </c>
      <c r="AH55" s="62">
        <v>0</v>
      </c>
      <c r="AI55" s="190">
        <f t="shared" si="17"/>
        <v>-400410</v>
      </c>
      <c r="AJ55" s="197">
        <f t="shared" si="294"/>
        <v>-5.4419280187900029E-3</v>
      </c>
      <c r="AK55" s="62">
        <v>0</v>
      </c>
      <c r="AL55" s="62">
        <v>0</v>
      </c>
      <c r="AM55" s="62">
        <v>0</v>
      </c>
      <c r="AN55" s="62">
        <v>0</v>
      </c>
      <c r="AO55" s="62">
        <v>0</v>
      </c>
      <c r="AP55" s="62">
        <v>0</v>
      </c>
      <c r="AQ55" s="62">
        <v>0</v>
      </c>
      <c r="AR55" s="62">
        <v>0</v>
      </c>
      <c r="AS55" s="62">
        <v>0</v>
      </c>
      <c r="AT55" s="62">
        <v>0</v>
      </c>
      <c r="AU55" s="62">
        <v>0</v>
      </c>
      <c r="AV55" s="62">
        <v>0</v>
      </c>
      <c r="AW55" s="190">
        <f t="shared" si="18"/>
        <v>0</v>
      </c>
      <c r="AX55" s="197">
        <f t="shared" si="295"/>
        <v>0</v>
      </c>
      <c r="AY55" s="62">
        <v>0</v>
      </c>
      <c r="AZ55" s="62">
        <v>0</v>
      </c>
      <c r="BA55" s="62">
        <v>0</v>
      </c>
      <c r="BB55" s="62">
        <v>0</v>
      </c>
      <c r="BC55" s="62">
        <v>0</v>
      </c>
      <c r="BD55" s="62">
        <v>0</v>
      </c>
      <c r="BE55" s="62">
        <v>0</v>
      </c>
      <c r="BF55" s="62">
        <v>0</v>
      </c>
      <c r="BG55" s="62">
        <v>0</v>
      </c>
      <c r="BH55" s="62">
        <v>0</v>
      </c>
      <c r="BI55" s="62">
        <v>0</v>
      </c>
      <c r="BJ55" s="62">
        <v>0</v>
      </c>
      <c r="BK55" s="190">
        <f t="shared" si="19"/>
        <v>0</v>
      </c>
      <c r="BL55" s="197">
        <f t="shared" si="296"/>
        <v>0</v>
      </c>
      <c r="BM55" s="62">
        <v>0</v>
      </c>
      <c r="BN55" s="62">
        <v>0</v>
      </c>
      <c r="BO55" s="62">
        <v>0</v>
      </c>
      <c r="BP55" s="62">
        <v>0</v>
      </c>
      <c r="BQ55" s="62">
        <v>0</v>
      </c>
      <c r="BR55" s="62">
        <v>0</v>
      </c>
      <c r="BS55" s="62">
        <v>0</v>
      </c>
      <c r="BT55" s="62">
        <v>0</v>
      </c>
      <c r="BU55" s="62">
        <v>0</v>
      </c>
      <c r="BV55" s="62">
        <v>0</v>
      </c>
      <c r="BW55" s="62">
        <v>0</v>
      </c>
      <c r="BX55" s="62">
        <v>0</v>
      </c>
      <c r="BY55" s="190">
        <f t="shared" si="20"/>
        <v>0</v>
      </c>
      <c r="BZ55" s="197">
        <f t="shared" si="297"/>
        <v>0</v>
      </c>
      <c r="CA55" s="62">
        <v>0</v>
      </c>
      <c r="CB55" s="62">
        <v>0</v>
      </c>
      <c r="CC55" s="62">
        <v>0</v>
      </c>
      <c r="CD55" s="62">
        <v>0</v>
      </c>
      <c r="CE55" s="62">
        <v>0</v>
      </c>
      <c r="CF55" s="62">
        <v>0</v>
      </c>
      <c r="CG55" s="62">
        <v>0</v>
      </c>
      <c r="CH55" s="62">
        <v>0</v>
      </c>
      <c r="CI55" s="62">
        <v>0</v>
      </c>
      <c r="CJ55" s="62">
        <v>0</v>
      </c>
      <c r="CK55" s="62">
        <v>0</v>
      </c>
      <c r="CL55" s="62">
        <v>0</v>
      </c>
      <c r="CM55" s="190">
        <f t="shared" si="21"/>
        <v>0</v>
      </c>
      <c r="CN55" s="62">
        <v>0</v>
      </c>
      <c r="CO55" s="62">
        <v>0</v>
      </c>
      <c r="CP55" s="62">
        <v>0</v>
      </c>
      <c r="CQ55" s="62">
        <v>0</v>
      </c>
      <c r="CR55" s="62">
        <v>0</v>
      </c>
      <c r="CS55" s="62">
        <v>0</v>
      </c>
      <c r="CT55" s="62">
        <v>0</v>
      </c>
      <c r="CU55" s="62">
        <v>0</v>
      </c>
      <c r="CV55" s="62">
        <v>0</v>
      </c>
      <c r="CW55" s="62">
        <v>0</v>
      </c>
      <c r="CX55" s="62">
        <v>0</v>
      </c>
      <c r="CY55" s="62">
        <v>0</v>
      </c>
      <c r="CZ55" s="190">
        <f t="shared" si="22"/>
        <v>0</v>
      </c>
      <c r="DA55" s="62">
        <v>0</v>
      </c>
      <c r="DB55" s="62">
        <v>0</v>
      </c>
      <c r="DC55" s="62">
        <v>0</v>
      </c>
      <c r="DD55" s="62">
        <v>0</v>
      </c>
      <c r="DE55" s="62">
        <v>0</v>
      </c>
      <c r="DF55" s="62">
        <v>0</v>
      </c>
      <c r="DG55" s="62">
        <v>0</v>
      </c>
      <c r="DH55" s="62">
        <v>0</v>
      </c>
      <c r="DI55" s="62">
        <v>0</v>
      </c>
      <c r="DJ55" s="62">
        <v>0</v>
      </c>
      <c r="DK55" s="62">
        <v>0</v>
      </c>
      <c r="DL55" s="62">
        <v>0</v>
      </c>
      <c r="DM55" s="190">
        <f t="shared" si="23"/>
        <v>0</v>
      </c>
      <c r="DN55" s="62">
        <v>0</v>
      </c>
      <c r="DO55" s="62">
        <v>0</v>
      </c>
      <c r="DP55" s="62">
        <v>0</v>
      </c>
      <c r="DQ55" s="62">
        <v>0</v>
      </c>
      <c r="DR55" s="62">
        <v>0</v>
      </c>
      <c r="DS55" s="62">
        <v>0</v>
      </c>
      <c r="DT55" s="62">
        <v>0</v>
      </c>
      <c r="DU55" s="62">
        <v>0</v>
      </c>
      <c r="DV55" s="62">
        <v>0</v>
      </c>
      <c r="DW55" s="62">
        <v>0</v>
      </c>
      <c r="DX55" s="62">
        <v>0</v>
      </c>
      <c r="DY55" s="62">
        <v>0</v>
      </c>
      <c r="DZ55" s="190">
        <f t="shared" si="24"/>
        <v>0</v>
      </c>
    </row>
    <row r="56" spans="1:130" ht="20.45" customHeight="1" outlineLevel="2">
      <c r="A56" s="525"/>
      <c r="B56" s="531"/>
      <c r="C56" s="30" t="s">
        <v>326</v>
      </c>
      <c r="D56" s="62">
        <f t="shared" si="0"/>
        <v>288000</v>
      </c>
      <c r="E56" s="184">
        <f t="shared" si="179"/>
        <v>8.9107297199843738E-4</v>
      </c>
      <c r="F56" s="62">
        <v>0</v>
      </c>
      <c r="G56" s="190">
        <f t="shared" si="36"/>
        <v>0</v>
      </c>
      <c r="H56" s="197">
        <f t="shared" si="292"/>
        <v>0</v>
      </c>
      <c r="I56" s="62">
        <v>0</v>
      </c>
      <c r="J56" s="62">
        <v>0</v>
      </c>
      <c r="K56" s="62">
        <v>0</v>
      </c>
      <c r="L56" s="62">
        <v>0</v>
      </c>
      <c r="M56" s="62">
        <v>40000</v>
      </c>
      <c r="N56" s="62">
        <v>0</v>
      </c>
      <c r="O56" s="62">
        <v>32000</v>
      </c>
      <c r="P56" s="62">
        <v>0</v>
      </c>
      <c r="Q56" s="62">
        <v>0</v>
      </c>
      <c r="R56" s="62">
        <v>0</v>
      </c>
      <c r="S56" s="62">
        <v>0</v>
      </c>
      <c r="T56" s="62">
        <v>0</v>
      </c>
      <c r="U56" s="190">
        <f t="shared" si="16"/>
        <v>72000</v>
      </c>
      <c r="V56" s="197">
        <f t="shared" si="293"/>
        <v>1.29776503052082E-3</v>
      </c>
      <c r="W56" s="62">
        <v>0</v>
      </c>
      <c r="X56" s="62">
        <v>0</v>
      </c>
      <c r="Y56" s="62">
        <v>0</v>
      </c>
      <c r="Z56" s="62">
        <v>0</v>
      </c>
      <c r="AA56" s="62">
        <v>0</v>
      </c>
      <c r="AB56" s="62">
        <v>0</v>
      </c>
      <c r="AC56" s="62">
        <v>0</v>
      </c>
      <c r="AD56" s="62">
        <v>0</v>
      </c>
      <c r="AE56" s="62">
        <v>0</v>
      </c>
      <c r="AF56" s="62">
        <v>0</v>
      </c>
      <c r="AG56" s="62">
        <v>0</v>
      </c>
      <c r="AH56" s="62">
        <v>0</v>
      </c>
      <c r="AI56" s="190">
        <f t="shared" si="17"/>
        <v>0</v>
      </c>
      <c r="AJ56" s="197">
        <f t="shared" si="294"/>
        <v>0</v>
      </c>
      <c r="AK56" s="62">
        <v>0</v>
      </c>
      <c r="AL56" s="62">
        <v>0</v>
      </c>
      <c r="AM56" s="62">
        <v>0</v>
      </c>
      <c r="AN56" s="62">
        <v>0</v>
      </c>
      <c r="AO56" s="62">
        <v>0</v>
      </c>
      <c r="AP56" s="62">
        <v>0</v>
      </c>
      <c r="AQ56" s="62">
        <v>0</v>
      </c>
      <c r="AR56" s="62">
        <v>0</v>
      </c>
      <c r="AS56" s="62">
        <v>0</v>
      </c>
      <c r="AT56" s="62">
        <v>0</v>
      </c>
      <c r="AU56" s="62">
        <v>0</v>
      </c>
      <c r="AV56" s="62">
        <f>32000</f>
        <v>32000</v>
      </c>
      <c r="AW56" s="190">
        <f t="shared" si="18"/>
        <v>32000</v>
      </c>
      <c r="AX56" s="197">
        <f t="shared" si="295"/>
        <v>4.1946673272918154E-4</v>
      </c>
      <c r="AY56" s="62">
        <v>0</v>
      </c>
      <c r="AZ56" s="62">
        <v>0</v>
      </c>
      <c r="BA56" s="62">
        <v>120000</v>
      </c>
      <c r="BB56" s="62">
        <v>0</v>
      </c>
      <c r="BC56" s="62">
        <f>32000</f>
        <v>32000</v>
      </c>
      <c r="BD56" s="62">
        <v>0</v>
      </c>
      <c r="BE56" s="62">
        <v>0</v>
      </c>
      <c r="BF56" s="62">
        <v>32000</v>
      </c>
      <c r="BG56" s="62">
        <v>0</v>
      </c>
      <c r="BH56" s="62">
        <v>0</v>
      </c>
      <c r="BI56" s="62">
        <v>0</v>
      </c>
      <c r="BJ56" s="62">
        <v>0</v>
      </c>
      <c r="BK56" s="190">
        <f t="shared" si="19"/>
        <v>184000</v>
      </c>
      <c r="BL56" s="197">
        <f t="shared" si="296"/>
        <v>2.6346302501200547E-3</v>
      </c>
      <c r="BM56" s="62">
        <v>0</v>
      </c>
      <c r="BN56" s="62">
        <v>0</v>
      </c>
      <c r="BO56" s="62">
        <v>0</v>
      </c>
      <c r="BP56" s="62">
        <v>0</v>
      </c>
      <c r="BQ56" s="62">
        <v>0</v>
      </c>
      <c r="BR56" s="62">
        <v>0</v>
      </c>
      <c r="BS56" s="62">
        <v>0</v>
      </c>
      <c r="BT56" s="62">
        <v>0</v>
      </c>
      <c r="BU56" s="62">
        <v>0</v>
      </c>
      <c r="BV56" s="62">
        <v>0</v>
      </c>
      <c r="BW56" s="62">
        <v>0</v>
      </c>
      <c r="BX56" s="62">
        <v>0</v>
      </c>
      <c r="BY56" s="190">
        <f t="shared" si="20"/>
        <v>0</v>
      </c>
      <c r="BZ56" s="197">
        <f t="shared" si="297"/>
        <v>0</v>
      </c>
      <c r="CA56" s="62">
        <v>0</v>
      </c>
      <c r="CB56" s="62">
        <v>0</v>
      </c>
      <c r="CC56" s="62">
        <v>0</v>
      </c>
      <c r="CD56" s="62">
        <v>0</v>
      </c>
      <c r="CE56" s="62">
        <v>0</v>
      </c>
      <c r="CF56" s="62">
        <v>0</v>
      </c>
      <c r="CG56" s="62">
        <v>0</v>
      </c>
      <c r="CH56" s="62">
        <v>0</v>
      </c>
      <c r="CI56" s="62">
        <v>0</v>
      </c>
      <c r="CJ56" s="62">
        <v>0</v>
      </c>
      <c r="CK56" s="62">
        <v>0</v>
      </c>
      <c r="CL56" s="62">
        <v>0</v>
      </c>
      <c r="CM56" s="190">
        <f t="shared" si="21"/>
        <v>0</v>
      </c>
      <c r="CN56" s="62">
        <v>0</v>
      </c>
      <c r="CO56" s="62">
        <v>0</v>
      </c>
      <c r="CP56" s="62">
        <v>0</v>
      </c>
      <c r="CQ56" s="62">
        <v>0</v>
      </c>
      <c r="CR56" s="62">
        <v>0</v>
      </c>
      <c r="CS56" s="62">
        <v>0</v>
      </c>
      <c r="CT56" s="62">
        <v>0</v>
      </c>
      <c r="CU56" s="62">
        <v>0</v>
      </c>
      <c r="CV56" s="62">
        <v>0</v>
      </c>
      <c r="CW56" s="62">
        <v>0</v>
      </c>
      <c r="CX56" s="62">
        <v>0</v>
      </c>
      <c r="CY56" s="62">
        <v>0</v>
      </c>
      <c r="CZ56" s="190">
        <f t="shared" si="22"/>
        <v>0</v>
      </c>
      <c r="DA56" s="62">
        <v>0</v>
      </c>
      <c r="DB56" s="62">
        <v>0</v>
      </c>
      <c r="DC56" s="62">
        <v>0</v>
      </c>
      <c r="DD56" s="62">
        <v>0</v>
      </c>
      <c r="DE56" s="62">
        <v>0</v>
      </c>
      <c r="DF56" s="62">
        <v>0</v>
      </c>
      <c r="DG56" s="62">
        <v>0</v>
      </c>
      <c r="DH56" s="62">
        <v>0</v>
      </c>
      <c r="DI56" s="62">
        <v>0</v>
      </c>
      <c r="DJ56" s="62">
        <v>0</v>
      </c>
      <c r="DK56" s="62">
        <v>0</v>
      </c>
      <c r="DL56" s="62">
        <v>0</v>
      </c>
      <c r="DM56" s="190">
        <f t="shared" si="23"/>
        <v>0</v>
      </c>
      <c r="DN56" s="62">
        <v>0</v>
      </c>
      <c r="DO56" s="62">
        <v>0</v>
      </c>
      <c r="DP56" s="62">
        <v>0</v>
      </c>
      <c r="DQ56" s="62">
        <v>0</v>
      </c>
      <c r="DR56" s="62">
        <v>0</v>
      </c>
      <c r="DS56" s="62">
        <v>0</v>
      </c>
      <c r="DT56" s="62">
        <v>0</v>
      </c>
      <c r="DU56" s="62">
        <v>0</v>
      </c>
      <c r="DV56" s="62">
        <v>0</v>
      </c>
      <c r="DW56" s="62">
        <v>0</v>
      </c>
      <c r="DX56" s="62">
        <v>0</v>
      </c>
      <c r="DY56" s="62">
        <v>0</v>
      </c>
      <c r="DZ56" s="190">
        <f t="shared" si="24"/>
        <v>0</v>
      </c>
    </row>
    <row r="57" spans="1:130" s="194" customFormat="1" ht="20.45" customHeight="1" outlineLevel="1">
      <c r="A57" s="525"/>
      <c r="B57" s="527" t="s">
        <v>327</v>
      </c>
      <c r="C57" s="65" t="s">
        <v>307</v>
      </c>
      <c r="D57" s="66">
        <f t="shared" si="0"/>
        <v>14244945.000000007</v>
      </c>
      <c r="E57" s="187">
        <f>SUM(E58:E62)</f>
        <v>4.4073907906612086E-2</v>
      </c>
      <c r="F57" s="62">
        <f t="shared" ref="F57:DX57" si="307">SUM(F58:F62)</f>
        <v>325520</v>
      </c>
      <c r="G57" s="190">
        <f t="shared" si="36"/>
        <v>325520</v>
      </c>
      <c r="H57" s="196">
        <f>SUM(H58:H62)</f>
        <v>7.4355199576052924E-2</v>
      </c>
      <c r="I57" s="62">
        <f t="shared" si="307"/>
        <v>333600</v>
      </c>
      <c r="J57" s="62">
        <f t="shared" si="307"/>
        <v>251400</v>
      </c>
      <c r="K57" s="62">
        <f t="shared" si="307"/>
        <v>219300</v>
      </c>
      <c r="L57" s="62">
        <f t="shared" si="307"/>
        <v>401900</v>
      </c>
      <c r="M57" s="62">
        <f t="shared" si="307"/>
        <v>378300</v>
      </c>
      <c r="N57" s="62">
        <f t="shared" si="307"/>
        <v>553500</v>
      </c>
      <c r="O57" s="62">
        <f t="shared" si="307"/>
        <v>321900</v>
      </c>
      <c r="P57" s="62">
        <f t="shared" si="307"/>
        <v>397000</v>
      </c>
      <c r="Q57" s="62">
        <f t="shared" si="307"/>
        <v>349400</v>
      </c>
      <c r="R57" s="62">
        <f t="shared" si="307"/>
        <v>251100</v>
      </c>
      <c r="S57" s="62">
        <f t="shared" si="307"/>
        <v>408100</v>
      </c>
      <c r="T57" s="62">
        <f t="shared" si="307"/>
        <v>1502700</v>
      </c>
      <c r="U57" s="190">
        <f t="shared" si="16"/>
        <v>5368200</v>
      </c>
      <c r="V57" s="196">
        <f>SUM(V58:V62)</f>
        <v>9.6759197733914795E-2</v>
      </c>
      <c r="W57" s="62">
        <f t="shared" si="307"/>
        <v>441000</v>
      </c>
      <c r="X57" s="62">
        <f t="shared" si="307"/>
        <v>8700</v>
      </c>
      <c r="Y57" s="62">
        <f t="shared" si="307"/>
        <v>949250</v>
      </c>
      <c r="Z57" s="62">
        <f t="shared" si="307"/>
        <v>349500</v>
      </c>
      <c r="AA57" s="62">
        <f t="shared" si="307"/>
        <v>276800</v>
      </c>
      <c r="AB57" s="62">
        <f t="shared" si="307"/>
        <v>106500</v>
      </c>
      <c r="AC57" s="62">
        <f t="shared" ref="AC57:AF57" si="308">SUM(AC58:AC62)</f>
        <v>879500</v>
      </c>
      <c r="AD57" s="62">
        <f t="shared" si="308"/>
        <v>132800</v>
      </c>
      <c r="AE57" s="62">
        <f t="shared" si="308"/>
        <v>908800</v>
      </c>
      <c r="AF57" s="62">
        <f t="shared" si="308"/>
        <v>-401000</v>
      </c>
      <c r="AG57" s="62">
        <f t="shared" si="307"/>
        <v>204100</v>
      </c>
      <c r="AH57" s="62">
        <f t="shared" si="307"/>
        <v>215500</v>
      </c>
      <c r="AI57" s="190">
        <f t="shared" si="17"/>
        <v>4071450</v>
      </c>
      <c r="AJ57" s="196">
        <f>SUM(AJ58:AJ62)</f>
        <v>5.5334626588003685E-2</v>
      </c>
      <c r="AK57" s="62">
        <f t="shared" ref="AK57:AV57" si="309">SUM(AK58:AK62)</f>
        <v>159400</v>
      </c>
      <c r="AL57" s="62">
        <f t="shared" si="309"/>
        <v>649955</v>
      </c>
      <c r="AM57" s="62">
        <f t="shared" si="309"/>
        <v>-291900</v>
      </c>
      <c r="AN57" s="62">
        <f t="shared" si="309"/>
        <v>139800</v>
      </c>
      <c r="AO57" s="62">
        <f t="shared" si="309"/>
        <v>297800</v>
      </c>
      <c r="AP57" s="62">
        <f t="shared" si="309"/>
        <v>13400</v>
      </c>
      <c r="AQ57" s="62">
        <f t="shared" si="309"/>
        <v>175200</v>
      </c>
      <c r="AR57" s="62">
        <f t="shared" si="309"/>
        <v>129200</v>
      </c>
      <c r="AS57" s="62">
        <f t="shared" si="309"/>
        <v>99900</v>
      </c>
      <c r="AT57" s="62">
        <f t="shared" si="309"/>
        <v>147550</v>
      </c>
      <c r="AU57" s="62">
        <f t="shared" si="309"/>
        <v>119900</v>
      </c>
      <c r="AV57" s="62">
        <f t="shared" si="309"/>
        <v>114500</v>
      </c>
      <c r="AW57" s="190">
        <f t="shared" si="18"/>
        <v>1754705</v>
      </c>
      <c r="AX57" s="196">
        <f>SUM(AX58:AX62)</f>
        <v>2.3001261664173701E-2</v>
      </c>
      <c r="AY57" s="62">
        <f t="shared" ref="AY57:BJ57" si="310">SUM(AY58:AY62)</f>
        <v>144900</v>
      </c>
      <c r="AZ57" s="62">
        <f t="shared" si="310"/>
        <v>594180</v>
      </c>
      <c r="BA57" s="62">
        <f t="shared" si="310"/>
        <v>100000</v>
      </c>
      <c r="BB57" s="62">
        <f t="shared" si="310"/>
        <v>110800</v>
      </c>
      <c r="BC57" s="62">
        <f t="shared" si="310"/>
        <v>122000</v>
      </c>
      <c r="BD57" s="62">
        <f t="shared" si="310"/>
        <v>89200</v>
      </c>
      <c r="BE57" s="62">
        <f t="shared" si="310"/>
        <v>151400</v>
      </c>
      <c r="BF57" s="62">
        <f t="shared" si="310"/>
        <v>124400</v>
      </c>
      <c r="BG57" s="62">
        <f t="shared" si="310"/>
        <v>98920</v>
      </c>
      <c r="BH57" s="62">
        <f t="shared" si="310"/>
        <v>132920</v>
      </c>
      <c r="BI57" s="62">
        <f t="shared" si="310"/>
        <v>81100</v>
      </c>
      <c r="BJ57" s="62">
        <f t="shared" si="310"/>
        <v>137600</v>
      </c>
      <c r="BK57" s="190">
        <f t="shared" si="19"/>
        <v>1887420</v>
      </c>
      <c r="BL57" s="196">
        <f>SUM(BL58:BL62)</f>
        <v>2.7025292536313007E-2</v>
      </c>
      <c r="BM57" s="62">
        <f t="shared" ref="BM57:BX57" si="311">SUM(BM58:BM62)</f>
        <v>83700</v>
      </c>
      <c r="BN57" s="62">
        <f t="shared" si="311"/>
        <v>397700</v>
      </c>
      <c r="BO57" s="62">
        <f t="shared" si="311"/>
        <v>106800</v>
      </c>
      <c r="BP57" s="62">
        <f t="shared" si="311"/>
        <v>161400</v>
      </c>
      <c r="BQ57" s="62">
        <f t="shared" si="311"/>
        <v>88050</v>
      </c>
      <c r="BR57" s="62">
        <f t="shared" si="311"/>
        <v>0</v>
      </c>
      <c r="BS57" s="62">
        <f t="shared" si="311"/>
        <v>0</v>
      </c>
      <c r="BT57" s="62">
        <f t="shared" si="311"/>
        <v>0</v>
      </c>
      <c r="BU57" s="62">
        <f t="shared" si="311"/>
        <v>0</v>
      </c>
      <c r="BV57" s="62">
        <f t="shared" si="311"/>
        <v>0</v>
      </c>
      <c r="BW57" s="62">
        <f t="shared" si="311"/>
        <v>0</v>
      </c>
      <c r="BX57" s="62">
        <f t="shared" si="311"/>
        <v>0</v>
      </c>
      <c r="BY57" s="190">
        <f t="shared" si="20"/>
        <v>837650</v>
      </c>
      <c r="BZ57" s="196">
        <f>SUM(BZ58:BZ62)</f>
        <v>1.9193275239105384E-2</v>
      </c>
      <c r="CA57" s="62">
        <f t="shared" ref="CA57:CL57" si="312">SUM(CA58:CA62)</f>
        <v>0</v>
      </c>
      <c r="CB57" s="62">
        <f t="shared" si="312"/>
        <v>0</v>
      </c>
      <c r="CC57" s="62">
        <f t="shared" si="312"/>
        <v>0</v>
      </c>
      <c r="CD57" s="62">
        <f t="shared" si="312"/>
        <v>0</v>
      </c>
      <c r="CE57" s="62">
        <f t="shared" si="312"/>
        <v>0</v>
      </c>
      <c r="CF57" s="62">
        <f t="shared" si="312"/>
        <v>0</v>
      </c>
      <c r="CG57" s="62">
        <f t="shared" si="312"/>
        <v>0</v>
      </c>
      <c r="CH57" s="62">
        <f t="shared" si="312"/>
        <v>0</v>
      </c>
      <c r="CI57" s="62">
        <f t="shared" si="312"/>
        <v>0</v>
      </c>
      <c r="CJ57" s="62">
        <f t="shared" si="312"/>
        <v>0</v>
      </c>
      <c r="CK57" s="62">
        <f t="shared" si="312"/>
        <v>0</v>
      </c>
      <c r="CL57" s="62">
        <f t="shared" si="312"/>
        <v>0</v>
      </c>
      <c r="CM57" s="190">
        <f t="shared" si="21"/>
        <v>0</v>
      </c>
      <c r="CN57" s="62">
        <f t="shared" ref="CN57:CY57" si="313">SUM(CN58:CN62)</f>
        <v>0</v>
      </c>
      <c r="CO57" s="62">
        <f t="shared" si="313"/>
        <v>0</v>
      </c>
      <c r="CP57" s="62">
        <f t="shared" si="313"/>
        <v>0</v>
      </c>
      <c r="CQ57" s="62">
        <f t="shared" si="313"/>
        <v>0</v>
      </c>
      <c r="CR57" s="62">
        <f t="shared" si="313"/>
        <v>0</v>
      </c>
      <c r="CS57" s="62">
        <f t="shared" si="313"/>
        <v>0</v>
      </c>
      <c r="CT57" s="62">
        <f t="shared" si="313"/>
        <v>0</v>
      </c>
      <c r="CU57" s="62">
        <f t="shared" si="313"/>
        <v>0</v>
      </c>
      <c r="CV57" s="62">
        <f t="shared" si="313"/>
        <v>0</v>
      </c>
      <c r="CW57" s="62">
        <f t="shared" si="313"/>
        <v>0</v>
      </c>
      <c r="CX57" s="62">
        <f t="shared" si="313"/>
        <v>0</v>
      </c>
      <c r="CY57" s="62">
        <f t="shared" si="313"/>
        <v>0</v>
      </c>
      <c r="CZ57" s="190">
        <f t="shared" si="22"/>
        <v>0</v>
      </c>
      <c r="DA57" s="62">
        <f t="shared" ref="DA57:DL57" si="314">SUM(DA58:DA62)</f>
        <v>0</v>
      </c>
      <c r="DB57" s="62">
        <f t="shared" si="314"/>
        <v>0</v>
      </c>
      <c r="DC57" s="62">
        <f t="shared" si="314"/>
        <v>0</v>
      </c>
      <c r="DD57" s="62">
        <f t="shared" si="314"/>
        <v>0</v>
      </c>
      <c r="DE57" s="62">
        <f t="shared" si="314"/>
        <v>0</v>
      </c>
      <c r="DF57" s="62">
        <f t="shared" si="314"/>
        <v>0</v>
      </c>
      <c r="DG57" s="62">
        <f t="shared" si="314"/>
        <v>0</v>
      </c>
      <c r="DH57" s="62">
        <f t="shared" si="314"/>
        <v>0</v>
      </c>
      <c r="DI57" s="62">
        <f t="shared" si="314"/>
        <v>0</v>
      </c>
      <c r="DJ57" s="62">
        <f t="shared" si="314"/>
        <v>0</v>
      </c>
      <c r="DK57" s="62">
        <f t="shared" si="314"/>
        <v>0</v>
      </c>
      <c r="DL57" s="62">
        <f t="shared" si="314"/>
        <v>0</v>
      </c>
      <c r="DM57" s="190">
        <f t="shared" si="23"/>
        <v>0</v>
      </c>
      <c r="DN57" s="62">
        <f t="shared" ref="DN57:DQ57" si="315">SUM(DN58:DN62)</f>
        <v>0</v>
      </c>
      <c r="DO57" s="62">
        <f t="shared" si="315"/>
        <v>0</v>
      </c>
      <c r="DP57" s="62">
        <f t="shared" si="315"/>
        <v>0</v>
      </c>
      <c r="DQ57" s="62">
        <f t="shared" si="315"/>
        <v>0</v>
      </c>
      <c r="DR57" s="62">
        <f t="shared" ref="DR57:DU57" si="316">SUM(DR58:DR62)</f>
        <v>0</v>
      </c>
      <c r="DS57" s="62">
        <f t="shared" si="316"/>
        <v>0</v>
      </c>
      <c r="DT57" s="62">
        <f t="shared" si="316"/>
        <v>0</v>
      </c>
      <c r="DU57" s="62">
        <f t="shared" si="316"/>
        <v>0</v>
      </c>
      <c r="DV57" s="62">
        <f t="shared" ref="DV57:DW57" si="317">SUM(DV58:DV62)</f>
        <v>0</v>
      </c>
      <c r="DW57" s="62">
        <f t="shared" si="317"/>
        <v>0</v>
      </c>
      <c r="DX57" s="62">
        <f t="shared" si="307"/>
        <v>0</v>
      </c>
      <c r="DY57" s="62">
        <f t="shared" ref="DY57" si="318">SUM(DY58:DY62)</f>
        <v>0</v>
      </c>
      <c r="DZ57" s="190">
        <f t="shared" si="24"/>
        <v>0</v>
      </c>
    </row>
    <row r="58" spans="1:130" ht="20.45" customHeight="1" outlineLevel="2">
      <c r="A58" s="525"/>
      <c r="B58" s="530"/>
      <c r="C58" s="30" t="s">
        <v>328</v>
      </c>
      <c r="D58" s="62">
        <f t="shared" si="0"/>
        <v>10191265.000000004</v>
      </c>
      <c r="E58" s="184">
        <f t="shared" si="179"/>
        <v>3.1531808305464086E-2</v>
      </c>
      <c r="F58" s="62">
        <v>325520</v>
      </c>
      <c r="G58" s="190">
        <f t="shared" si="36"/>
        <v>325520</v>
      </c>
      <c r="H58" s="197">
        <f t="shared" ref="H58:H62" si="319">G58/(G$5+G$6+G$7+G$8+G$10+G$9)</f>
        <v>7.4355199576052924E-2</v>
      </c>
      <c r="I58" s="62">
        <v>273600</v>
      </c>
      <c r="J58" s="62">
        <v>251400</v>
      </c>
      <c r="K58" s="62">
        <v>219300</v>
      </c>
      <c r="L58" s="62">
        <v>327200</v>
      </c>
      <c r="M58" s="62">
        <v>324300</v>
      </c>
      <c r="N58" s="62">
        <v>373500</v>
      </c>
      <c r="O58" s="62">
        <v>321900</v>
      </c>
      <c r="P58" s="62">
        <v>397000</v>
      </c>
      <c r="Q58" s="62">
        <v>349400</v>
      </c>
      <c r="R58" s="62">
        <v>251100</v>
      </c>
      <c r="S58" s="62">
        <v>253100</v>
      </c>
      <c r="T58" s="62">
        <v>252700</v>
      </c>
      <c r="U58" s="190">
        <f t="shared" si="16"/>
        <v>3594500</v>
      </c>
      <c r="V58" s="197">
        <f t="shared" ref="V58:V62" si="320">U58/(U$5+U$6+U$7+U$8+U$10+U$9)</f>
        <v>6.4789116697320653E-2</v>
      </c>
      <c r="W58" s="62">
        <v>441000</v>
      </c>
      <c r="X58" s="62">
        <v>8700</v>
      </c>
      <c r="Y58" s="62">
        <v>149250</v>
      </c>
      <c r="Z58" s="62">
        <f>256000-31500</f>
        <v>224500</v>
      </c>
      <c r="AA58" s="62">
        <v>276800</v>
      </c>
      <c r="AB58" s="62">
        <f>11000+8500+70000+11000+6000</f>
        <v>106500</v>
      </c>
      <c r="AC58" s="62">
        <f>900+281000+50000+2000+6000+53600+50000+1000+2000+3000</f>
        <v>449500</v>
      </c>
      <c r="AD58" s="62">
        <f>13000+50000*2+2000+9200+6600+2000</f>
        <v>132800</v>
      </c>
      <c r="AE58" s="62">
        <f>150000+16700+50000+2600+4000+87000+18000+10000+7800</f>
        <v>346100</v>
      </c>
      <c r="AF58" s="62">
        <f>7200+50000+6400+14000+2100+50000</f>
        <v>129700</v>
      </c>
      <c r="AG58" s="62">
        <f>4900+50000+13500+1200+5000+50000+3600+13000+50000+6000+6000+900</f>
        <v>204100</v>
      </c>
      <c r="AH58" s="62">
        <f>3000+2000+12000+12600+3900+50000+50000+19000+50000+3000+5200+2000+2800</f>
        <v>215500</v>
      </c>
      <c r="AI58" s="190">
        <f t="shared" si="17"/>
        <v>2684450</v>
      </c>
      <c r="AJ58" s="197">
        <f t="shared" ref="AJ58:AJ62" si="321">AI58/(AI$5+AI$6+AI$7+AI$8+AI$10+AI$9)</f>
        <v>3.6484063010516279E-2</v>
      </c>
      <c r="AK58" s="62">
        <f>50000+1300+2600+50000+3700+50000+1800</f>
        <v>159400</v>
      </c>
      <c r="AL58" s="62">
        <f>6000+6000+19000+1800+3600+1500+49555+900+12000+6800+5000+1000+5200+5500+50000+3800</f>
        <v>177655</v>
      </c>
      <c r="AM58" s="62">
        <f>4500+30000+7800+3300+50000+3000+9700+9000+50000+500+3100+5000+4500</f>
        <v>180400</v>
      </c>
      <c r="AN58" s="62">
        <f>50000+9600+8900+10000+50000+8400+2900</f>
        <v>139800</v>
      </c>
      <c r="AO58" s="62">
        <f>50000+10000+3500+5000+2300+9000+50000</f>
        <v>129800</v>
      </c>
      <c r="AP58" s="62">
        <f>8400+5000</f>
        <v>13400</v>
      </c>
      <c r="AQ58" s="62">
        <f>2600+50000+5100+1100+3800+50000+3800+8800+50000</f>
        <v>175200</v>
      </c>
      <c r="AR58" s="62">
        <f>2000+3000+3000+50000+13000+4000+2000+2200+50000</f>
        <v>129200</v>
      </c>
      <c r="AS58" s="62">
        <f>4800+1100+50000+9200+8400+3100+12000+4100+7200</f>
        <v>99900</v>
      </c>
      <c r="AT58" s="62">
        <f>50000+3000+4250+7800+5000+50000+800+2700+3000+19000+2000</f>
        <v>147550</v>
      </c>
      <c r="AU58" s="62">
        <f>6900+50000+9000+4000+50000</f>
        <v>119900</v>
      </c>
      <c r="AV58" s="62">
        <f>5000+1000+50000+2000+6500+50000</f>
        <v>114500</v>
      </c>
      <c r="AW58" s="190">
        <f t="shared" si="18"/>
        <v>1586705</v>
      </c>
      <c r="AX58" s="197">
        <f t="shared" ref="AX58:AX62" si="322">AW58/(AW$5+AW$6+AW$7+AW$8+AW$10+AW$9)</f>
        <v>2.0799061317345498E-2</v>
      </c>
      <c r="AY58" s="62">
        <f>1200+1600+50000+1800+1600+19000+3200+57100+2200+7200</f>
        <v>144900</v>
      </c>
      <c r="AZ58" s="62">
        <f>50000+3000+1000+1000+5000+4000+20000+5500+6000+500+50000+13000+1000+7200</f>
        <v>167200</v>
      </c>
      <c r="BA58" s="62">
        <f>1300+72000+1600+1100</f>
        <v>76000</v>
      </c>
      <c r="BB58" s="62">
        <f>16000+1000+12000+5200+50000+4200+5500+1200+9000+5300+1400</f>
        <v>110800</v>
      </c>
      <c r="BC58" s="62">
        <f>800+50000+6600+1300+2200+1500+1200+1200+50000+1200+6000</f>
        <v>122000</v>
      </c>
      <c r="BD58" s="62">
        <f>10200+2000+5600+400+1100+4700+1000+1600+50000+1900+3200+5200+1100+1200</f>
        <v>89200</v>
      </c>
      <c r="BE58" s="62">
        <f>4000+50000+5100+2600+13500+1100+50000+2400+1200+3800+16700+1000</f>
        <v>151400</v>
      </c>
      <c r="BF58" s="62">
        <f>1300+7600+50000+5400+6900+3200+50000</f>
        <v>124400</v>
      </c>
      <c r="BG58" s="62">
        <f>6500+4000+1000+2800+3000+3000+50000+12000+3000+1000+12620</f>
        <v>98920</v>
      </c>
      <c r="BH58" s="62">
        <f>7020+50000+1700+1300+3900+6000+50000+13000</f>
        <v>132920</v>
      </c>
      <c r="BI58" s="62">
        <f>9000+19000+50000+3100</f>
        <v>81100</v>
      </c>
      <c r="BJ58" s="62">
        <f>900+4700+3900+50000+19000+5000+1100+3000+50000</f>
        <v>137600</v>
      </c>
      <c r="BK58" s="190">
        <f t="shared" si="19"/>
        <v>1436440</v>
      </c>
      <c r="BL58" s="197">
        <f t="shared" ref="BL58:BL62" si="323">BK58/(BK$5+BK$6+BK$7+BK$8+BK$10+BK$9)</f>
        <v>2.0567871067839409E-2</v>
      </c>
      <c r="BM58" s="62">
        <f>9000+50000+3000+21200+500</f>
        <v>83700</v>
      </c>
      <c r="BN58" s="62">
        <f>5400+50000+1000+1900+1800+50000+13600</f>
        <v>123700</v>
      </c>
      <c r="BO58" s="62">
        <f>11000+81000+4800+4000+6000</f>
        <v>106800</v>
      </c>
      <c r="BP58" s="62">
        <f>3600+34000+90000+3300+8000+21000+1500</f>
        <v>161400</v>
      </c>
      <c r="BQ58" s="62">
        <f>3750+1300+83000</f>
        <v>88050</v>
      </c>
      <c r="BR58" s="62">
        <v>0</v>
      </c>
      <c r="BS58" s="62">
        <v>0</v>
      </c>
      <c r="BT58" s="62">
        <v>0</v>
      </c>
      <c r="BU58" s="62">
        <v>0</v>
      </c>
      <c r="BV58" s="62">
        <v>0</v>
      </c>
      <c r="BW58" s="62">
        <v>0</v>
      </c>
      <c r="BX58" s="62">
        <v>0</v>
      </c>
      <c r="BY58" s="190">
        <f t="shared" si="20"/>
        <v>563650</v>
      </c>
      <c r="BZ58" s="197">
        <f t="shared" ref="BZ58:BZ62" si="324">BY58/(BY$5+BY$6+BY$7+BY$8+BY$10+BY$9)</f>
        <v>1.2915047559865995E-2</v>
      </c>
      <c r="CA58" s="62">
        <v>0</v>
      </c>
      <c r="CB58" s="62">
        <v>0</v>
      </c>
      <c r="CC58" s="62">
        <v>0</v>
      </c>
      <c r="CD58" s="62">
        <v>0</v>
      </c>
      <c r="CE58" s="62">
        <v>0</v>
      </c>
      <c r="CF58" s="62">
        <v>0</v>
      </c>
      <c r="CG58" s="62">
        <v>0</v>
      </c>
      <c r="CH58" s="62">
        <v>0</v>
      </c>
      <c r="CI58" s="62">
        <v>0</v>
      </c>
      <c r="CJ58" s="62">
        <v>0</v>
      </c>
      <c r="CK58" s="62">
        <v>0</v>
      </c>
      <c r="CL58" s="62">
        <v>0</v>
      </c>
      <c r="CM58" s="190">
        <f t="shared" si="21"/>
        <v>0</v>
      </c>
      <c r="CN58" s="62">
        <v>0</v>
      </c>
      <c r="CO58" s="62">
        <v>0</v>
      </c>
      <c r="CP58" s="62">
        <v>0</v>
      </c>
      <c r="CQ58" s="62">
        <v>0</v>
      </c>
      <c r="CR58" s="62">
        <v>0</v>
      </c>
      <c r="CS58" s="62">
        <v>0</v>
      </c>
      <c r="CT58" s="62">
        <v>0</v>
      </c>
      <c r="CU58" s="62">
        <v>0</v>
      </c>
      <c r="CV58" s="62">
        <v>0</v>
      </c>
      <c r="CW58" s="62">
        <v>0</v>
      </c>
      <c r="CX58" s="62">
        <v>0</v>
      </c>
      <c r="CY58" s="62">
        <v>0</v>
      </c>
      <c r="CZ58" s="190">
        <f t="shared" si="22"/>
        <v>0</v>
      </c>
      <c r="DA58" s="62">
        <v>0</v>
      </c>
      <c r="DB58" s="62">
        <v>0</v>
      </c>
      <c r="DC58" s="62">
        <v>0</v>
      </c>
      <c r="DD58" s="62">
        <v>0</v>
      </c>
      <c r="DE58" s="62">
        <v>0</v>
      </c>
      <c r="DF58" s="62">
        <v>0</v>
      </c>
      <c r="DG58" s="62">
        <v>0</v>
      </c>
      <c r="DH58" s="62">
        <v>0</v>
      </c>
      <c r="DI58" s="62">
        <v>0</v>
      </c>
      <c r="DJ58" s="62">
        <v>0</v>
      </c>
      <c r="DK58" s="62">
        <v>0</v>
      </c>
      <c r="DL58" s="62">
        <v>0</v>
      </c>
      <c r="DM58" s="190">
        <f t="shared" si="23"/>
        <v>0</v>
      </c>
      <c r="DN58" s="62">
        <v>0</v>
      </c>
      <c r="DO58" s="62">
        <v>0</v>
      </c>
      <c r="DP58" s="62">
        <v>0</v>
      </c>
      <c r="DQ58" s="62">
        <v>0</v>
      </c>
      <c r="DR58" s="62">
        <v>0</v>
      </c>
      <c r="DS58" s="62">
        <v>0</v>
      </c>
      <c r="DT58" s="62">
        <v>0</v>
      </c>
      <c r="DU58" s="62">
        <v>0</v>
      </c>
      <c r="DV58" s="62">
        <v>0</v>
      </c>
      <c r="DW58" s="62">
        <v>0</v>
      </c>
      <c r="DX58" s="62">
        <v>0</v>
      </c>
      <c r="DY58" s="62">
        <v>0</v>
      </c>
      <c r="DZ58" s="190">
        <f t="shared" si="24"/>
        <v>0</v>
      </c>
    </row>
    <row r="59" spans="1:130" ht="20.45" customHeight="1" outlineLevel="2">
      <c r="A59" s="525"/>
      <c r="B59" s="530"/>
      <c r="C59" s="30" t="s">
        <v>329</v>
      </c>
      <c r="D59" s="62">
        <f t="shared" si="0"/>
        <v>2520980.0000000009</v>
      </c>
      <c r="E59" s="184">
        <f t="shared" si="179"/>
        <v>7.7999206282938242E-3</v>
      </c>
      <c r="F59" s="62">
        <v>0</v>
      </c>
      <c r="G59" s="190">
        <f t="shared" si="36"/>
        <v>0</v>
      </c>
      <c r="H59" s="197">
        <f t="shared" si="319"/>
        <v>0</v>
      </c>
      <c r="I59" s="62">
        <v>60000</v>
      </c>
      <c r="J59" s="62">
        <v>0</v>
      </c>
      <c r="K59" s="62">
        <v>0</v>
      </c>
      <c r="L59" s="62">
        <v>0</v>
      </c>
      <c r="M59" s="62">
        <v>0</v>
      </c>
      <c r="N59" s="62">
        <v>180000</v>
      </c>
      <c r="O59" s="62">
        <v>0</v>
      </c>
      <c r="P59" s="62">
        <v>0</v>
      </c>
      <c r="Q59" s="62">
        <v>0</v>
      </c>
      <c r="R59" s="62">
        <v>0</v>
      </c>
      <c r="S59" s="62">
        <v>55000</v>
      </c>
      <c r="T59" s="62">
        <v>0</v>
      </c>
      <c r="U59" s="190">
        <f t="shared" si="16"/>
        <v>295000</v>
      </c>
      <c r="V59" s="197">
        <f t="shared" si="320"/>
        <v>5.3172317222728036E-3</v>
      </c>
      <c r="W59" s="62">
        <v>0</v>
      </c>
      <c r="X59" s="62">
        <v>0</v>
      </c>
      <c r="Y59" s="62">
        <v>800000</v>
      </c>
      <c r="Z59" s="62">
        <v>125000</v>
      </c>
      <c r="AA59" s="62">
        <v>0</v>
      </c>
      <c r="AB59" s="62">
        <v>0</v>
      </c>
      <c r="AC59" s="62">
        <v>430000</v>
      </c>
      <c r="AD59" s="62">
        <v>0</v>
      </c>
      <c r="AE59" s="62">
        <f>1339600-776900</f>
        <v>562700</v>
      </c>
      <c r="AF59" s="62">
        <f>-562700+32000</f>
        <v>-530700</v>
      </c>
      <c r="AG59" s="62">
        <v>0</v>
      </c>
      <c r="AH59" s="62">
        <v>0</v>
      </c>
      <c r="AI59" s="190">
        <f t="shared" si="17"/>
        <v>1387000</v>
      </c>
      <c r="AJ59" s="197">
        <f t="shared" si="321"/>
        <v>1.8850563577487409E-2</v>
      </c>
      <c r="AK59" s="62">
        <v>0</v>
      </c>
      <c r="AL59" s="62">
        <f>945300-473000</f>
        <v>472300</v>
      </c>
      <c r="AM59" s="62">
        <v>-472300</v>
      </c>
      <c r="AN59" s="62">
        <v>0</v>
      </c>
      <c r="AO59" s="62">
        <f>114000</f>
        <v>114000</v>
      </c>
      <c r="AP59" s="62">
        <v>0</v>
      </c>
      <c r="AQ59" s="62">
        <v>0</v>
      </c>
      <c r="AR59" s="62">
        <v>0</v>
      </c>
      <c r="AS59" s="62">
        <v>0</v>
      </c>
      <c r="AT59" s="62">
        <v>0</v>
      </c>
      <c r="AU59" s="62">
        <v>0</v>
      </c>
      <c r="AV59" s="62">
        <v>0</v>
      </c>
      <c r="AW59" s="190">
        <f t="shared" si="18"/>
        <v>114000</v>
      </c>
      <c r="AX59" s="197">
        <f t="shared" si="322"/>
        <v>1.4943502353477092E-3</v>
      </c>
      <c r="AY59" s="62">
        <v>0</v>
      </c>
      <c r="AZ59" s="62">
        <f>-13020+453020-13020</f>
        <v>426980</v>
      </c>
      <c r="BA59" s="62">
        <v>24000</v>
      </c>
      <c r="BB59" s="62">
        <v>0</v>
      </c>
      <c r="BC59" s="62">
        <v>0</v>
      </c>
      <c r="BD59" s="62">
        <v>0</v>
      </c>
      <c r="BE59" s="62">
        <v>0</v>
      </c>
      <c r="BF59" s="62">
        <v>0</v>
      </c>
      <c r="BG59" s="62">
        <v>0</v>
      </c>
      <c r="BH59" s="62">
        <v>0</v>
      </c>
      <c r="BI59" s="62">
        <v>0</v>
      </c>
      <c r="BJ59" s="62">
        <v>0</v>
      </c>
      <c r="BK59" s="190">
        <f t="shared" si="19"/>
        <v>450980</v>
      </c>
      <c r="BL59" s="197">
        <f t="shared" si="323"/>
        <v>6.457421468473599E-3</v>
      </c>
      <c r="BM59" s="62">
        <v>0</v>
      </c>
      <c r="BN59" s="62">
        <f>570000+200000-496000</f>
        <v>274000</v>
      </c>
      <c r="BO59" s="62">
        <v>0</v>
      </c>
      <c r="BP59" s="62">
        <v>0</v>
      </c>
      <c r="BQ59" s="62">
        <v>0</v>
      </c>
      <c r="BR59" s="62">
        <v>0</v>
      </c>
      <c r="BS59" s="62">
        <v>0</v>
      </c>
      <c r="BT59" s="62">
        <v>0</v>
      </c>
      <c r="BU59" s="62">
        <v>0</v>
      </c>
      <c r="BV59" s="62">
        <v>0</v>
      </c>
      <c r="BW59" s="62">
        <v>0</v>
      </c>
      <c r="BX59" s="62">
        <v>0</v>
      </c>
      <c r="BY59" s="190">
        <f t="shared" si="20"/>
        <v>274000</v>
      </c>
      <c r="BZ59" s="197">
        <f t="shared" si="324"/>
        <v>6.2782276792393904E-3</v>
      </c>
      <c r="CA59" s="62">
        <v>0</v>
      </c>
      <c r="CB59" s="62">
        <v>0</v>
      </c>
      <c r="CC59" s="62">
        <v>0</v>
      </c>
      <c r="CD59" s="62">
        <v>0</v>
      </c>
      <c r="CE59" s="62">
        <v>0</v>
      </c>
      <c r="CF59" s="62">
        <v>0</v>
      </c>
      <c r="CG59" s="62">
        <v>0</v>
      </c>
      <c r="CH59" s="62">
        <v>0</v>
      </c>
      <c r="CI59" s="62">
        <v>0</v>
      </c>
      <c r="CJ59" s="62">
        <v>0</v>
      </c>
      <c r="CK59" s="62">
        <v>0</v>
      </c>
      <c r="CL59" s="62">
        <v>0</v>
      </c>
      <c r="CM59" s="190">
        <f t="shared" si="21"/>
        <v>0</v>
      </c>
      <c r="CN59" s="62">
        <v>0</v>
      </c>
      <c r="CO59" s="62">
        <v>0</v>
      </c>
      <c r="CP59" s="62">
        <v>0</v>
      </c>
      <c r="CQ59" s="62">
        <v>0</v>
      </c>
      <c r="CR59" s="62">
        <v>0</v>
      </c>
      <c r="CS59" s="62">
        <v>0</v>
      </c>
      <c r="CT59" s="62">
        <v>0</v>
      </c>
      <c r="CU59" s="62">
        <v>0</v>
      </c>
      <c r="CV59" s="62">
        <v>0</v>
      </c>
      <c r="CW59" s="62">
        <v>0</v>
      </c>
      <c r="CX59" s="62">
        <v>0</v>
      </c>
      <c r="CY59" s="62">
        <v>0</v>
      </c>
      <c r="CZ59" s="190">
        <f t="shared" si="22"/>
        <v>0</v>
      </c>
      <c r="DA59" s="62">
        <v>0</v>
      </c>
      <c r="DB59" s="62">
        <v>0</v>
      </c>
      <c r="DC59" s="62">
        <v>0</v>
      </c>
      <c r="DD59" s="62">
        <v>0</v>
      </c>
      <c r="DE59" s="62">
        <v>0</v>
      </c>
      <c r="DF59" s="62">
        <v>0</v>
      </c>
      <c r="DG59" s="62">
        <v>0</v>
      </c>
      <c r="DH59" s="62">
        <v>0</v>
      </c>
      <c r="DI59" s="62">
        <v>0</v>
      </c>
      <c r="DJ59" s="62">
        <v>0</v>
      </c>
      <c r="DK59" s="62">
        <v>0</v>
      </c>
      <c r="DL59" s="62">
        <v>0</v>
      </c>
      <c r="DM59" s="190">
        <f t="shared" si="23"/>
        <v>0</v>
      </c>
      <c r="DN59" s="62">
        <v>0</v>
      </c>
      <c r="DO59" s="62">
        <v>0</v>
      </c>
      <c r="DP59" s="62">
        <v>0</v>
      </c>
      <c r="DQ59" s="62">
        <v>0</v>
      </c>
      <c r="DR59" s="62">
        <v>0</v>
      </c>
      <c r="DS59" s="62">
        <v>0</v>
      </c>
      <c r="DT59" s="62">
        <v>0</v>
      </c>
      <c r="DU59" s="62">
        <v>0</v>
      </c>
      <c r="DV59" s="62">
        <v>0</v>
      </c>
      <c r="DW59" s="62">
        <v>0</v>
      </c>
      <c r="DX59" s="62">
        <v>0</v>
      </c>
      <c r="DY59" s="62">
        <v>0</v>
      </c>
      <c r="DZ59" s="190">
        <f t="shared" si="24"/>
        <v>0</v>
      </c>
    </row>
    <row r="60" spans="1:130" ht="20.45" customHeight="1" outlineLevel="2">
      <c r="A60" s="525"/>
      <c r="B60" s="530"/>
      <c r="C60" s="30" t="s">
        <v>330</v>
      </c>
      <c r="D60" s="62">
        <f t="shared" si="0"/>
        <v>1350000</v>
      </c>
      <c r="E60" s="184">
        <f t="shared" si="179"/>
        <v>4.1769045562426747E-3</v>
      </c>
      <c r="F60" s="62">
        <v>0</v>
      </c>
      <c r="G60" s="190">
        <f t="shared" si="36"/>
        <v>0</v>
      </c>
      <c r="H60" s="197">
        <f t="shared" si="319"/>
        <v>0</v>
      </c>
      <c r="I60" s="62">
        <v>0</v>
      </c>
      <c r="J60" s="62">
        <v>0</v>
      </c>
      <c r="K60" s="62">
        <v>0</v>
      </c>
      <c r="L60" s="62">
        <v>0</v>
      </c>
      <c r="M60" s="62">
        <v>0</v>
      </c>
      <c r="N60" s="62">
        <v>0</v>
      </c>
      <c r="O60" s="62">
        <v>0</v>
      </c>
      <c r="P60" s="62">
        <v>0</v>
      </c>
      <c r="Q60" s="62">
        <v>0</v>
      </c>
      <c r="R60" s="62">
        <v>0</v>
      </c>
      <c r="S60" s="62">
        <v>100000</v>
      </c>
      <c r="T60" s="62">
        <v>1250000</v>
      </c>
      <c r="U60" s="190">
        <f t="shared" si="16"/>
        <v>1350000</v>
      </c>
      <c r="V60" s="197">
        <f t="shared" si="320"/>
        <v>2.4333094322265374E-2</v>
      </c>
      <c r="W60" s="62">
        <v>0</v>
      </c>
      <c r="X60" s="62">
        <v>0</v>
      </c>
      <c r="Y60" s="62">
        <v>0</v>
      </c>
      <c r="Z60" s="62">
        <v>0</v>
      </c>
      <c r="AA60" s="62">
        <v>0</v>
      </c>
      <c r="AB60" s="62">
        <v>0</v>
      </c>
      <c r="AC60" s="62">
        <v>0</v>
      </c>
      <c r="AD60" s="62">
        <v>0</v>
      </c>
      <c r="AE60" s="62">
        <v>0</v>
      </c>
      <c r="AF60" s="62">
        <v>0</v>
      </c>
      <c r="AG60" s="62">
        <v>0</v>
      </c>
      <c r="AH60" s="62">
        <v>0</v>
      </c>
      <c r="AI60" s="190">
        <f t="shared" si="17"/>
        <v>0</v>
      </c>
      <c r="AJ60" s="197">
        <f t="shared" si="321"/>
        <v>0</v>
      </c>
      <c r="AK60" s="62">
        <v>0</v>
      </c>
      <c r="AL60" s="62">
        <v>0</v>
      </c>
      <c r="AM60" s="62">
        <v>0</v>
      </c>
      <c r="AN60" s="62">
        <v>0</v>
      </c>
      <c r="AO60" s="62">
        <v>0</v>
      </c>
      <c r="AP60" s="62">
        <v>0</v>
      </c>
      <c r="AQ60" s="62">
        <v>0</v>
      </c>
      <c r="AR60" s="62">
        <v>0</v>
      </c>
      <c r="AS60" s="62">
        <v>0</v>
      </c>
      <c r="AT60" s="62">
        <v>0</v>
      </c>
      <c r="AU60" s="62">
        <v>0</v>
      </c>
      <c r="AV60" s="62">
        <v>0</v>
      </c>
      <c r="AW60" s="190">
        <f t="shared" si="18"/>
        <v>0</v>
      </c>
      <c r="AX60" s="197">
        <f t="shared" si="322"/>
        <v>0</v>
      </c>
      <c r="AY60" s="62">
        <v>0</v>
      </c>
      <c r="AZ60" s="62">
        <v>0</v>
      </c>
      <c r="BA60" s="62">
        <v>0</v>
      </c>
      <c r="BB60" s="62">
        <v>0</v>
      </c>
      <c r="BC60" s="62">
        <v>0</v>
      </c>
      <c r="BD60" s="62">
        <v>0</v>
      </c>
      <c r="BE60" s="62">
        <v>0</v>
      </c>
      <c r="BF60" s="62">
        <v>0</v>
      </c>
      <c r="BG60" s="62">
        <v>0</v>
      </c>
      <c r="BH60" s="62">
        <v>0</v>
      </c>
      <c r="BI60" s="62">
        <v>0</v>
      </c>
      <c r="BJ60" s="62">
        <v>0</v>
      </c>
      <c r="BK60" s="190">
        <f t="shared" si="19"/>
        <v>0</v>
      </c>
      <c r="BL60" s="197">
        <f t="shared" si="323"/>
        <v>0</v>
      </c>
      <c r="BM60" s="62">
        <v>0</v>
      </c>
      <c r="BN60" s="62">
        <v>0</v>
      </c>
      <c r="BO60" s="62">
        <v>0</v>
      </c>
      <c r="BP60" s="62">
        <v>0</v>
      </c>
      <c r="BQ60" s="62">
        <v>0</v>
      </c>
      <c r="BR60" s="62">
        <v>0</v>
      </c>
      <c r="BS60" s="62">
        <v>0</v>
      </c>
      <c r="BT60" s="62">
        <v>0</v>
      </c>
      <c r="BU60" s="62">
        <v>0</v>
      </c>
      <c r="BV60" s="62">
        <v>0</v>
      </c>
      <c r="BW60" s="62">
        <v>0</v>
      </c>
      <c r="BX60" s="62">
        <v>0</v>
      </c>
      <c r="BY60" s="190">
        <f t="shared" si="20"/>
        <v>0</v>
      </c>
      <c r="BZ60" s="197">
        <f t="shared" si="324"/>
        <v>0</v>
      </c>
      <c r="CA60" s="62">
        <v>0</v>
      </c>
      <c r="CB60" s="62">
        <v>0</v>
      </c>
      <c r="CC60" s="62">
        <v>0</v>
      </c>
      <c r="CD60" s="62">
        <v>0</v>
      </c>
      <c r="CE60" s="62">
        <v>0</v>
      </c>
      <c r="CF60" s="62">
        <v>0</v>
      </c>
      <c r="CG60" s="62">
        <v>0</v>
      </c>
      <c r="CH60" s="62">
        <v>0</v>
      </c>
      <c r="CI60" s="62">
        <v>0</v>
      </c>
      <c r="CJ60" s="62">
        <v>0</v>
      </c>
      <c r="CK60" s="62">
        <v>0</v>
      </c>
      <c r="CL60" s="62">
        <v>0</v>
      </c>
      <c r="CM60" s="190">
        <f t="shared" si="21"/>
        <v>0</v>
      </c>
      <c r="CN60" s="62">
        <v>0</v>
      </c>
      <c r="CO60" s="62">
        <v>0</v>
      </c>
      <c r="CP60" s="62">
        <v>0</v>
      </c>
      <c r="CQ60" s="62">
        <v>0</v>
      </c>
      <c r="CR60" s="62">
        <v>0</v>
      </c>
      <c r="CS60" s="62">
        <v>0</v>
      </c>
      <c r="CT60" s="62">
        <v>0</v>
      </c>
      <c r="CU60" s="62">
        <v>0</v>
      </c>
      <c r="CV60" s="62">
        <v>0</v>
      </c>
      <c r="CW60" s="62">
        <v>0</v>
      </c>
      <c r="CX60" s="62">
        <v>0</v>
      </c>
      <c r="CY60" s="62">
        <v>0</v>
      </c>
      <c r="CZ60" s="190">
        <f t="shared" si="22"/>
        <v>0</v>
      </c>
      <c r="DA60" s="62">
        <v>0</v>
      </c>
      <c r="DB60" s="62">
        <v>0</v>
      </c>
      <c r="DC60" s="62">
        <v>0</v>
      </c>
      <c r="DD60" s="62">
        <v>0</v>
      </c>
      <c r="DE60" s="62">
        <v>0</v>
      </c>
      <c r="DF60" s="62">
        <v>0</v>
      </c>
      <c r="DG60" s="62">
        <v>0</v>
      </c>
      <c r="DH60" s="62">
        <v>0</v>
      </c>
      <c r="DI60" s="62">
        <v>0</v>
      </c>
      <c r="DJ60" s="62">
        <v>0</v>
      </c>
      <c r="DK60" s="62">
        <v>0</v>
      </c>
      <c r="DL60" s="62">
        <v>0</v>
      </c>
      <c r="DM60" s="190">
        <f t="shared" si="23"/>
        <v>0</v>
      </c>
      <c r="DN60" s="62">
        <v>0</v>
      </c>
      <c r="DO60" s="62">
        <v>0</v>
      </c>
      <c r="DP60" s="62">
        <v>0</v>
      </c>
      <c r="DQ60" s="62">
        <v>0</v>
      </c>
      <c r="DR60" s="62">
        <v>0</v>
      </c>
      <c r="DS60" s="62">
        <v>0</v>
      </c>
      <c r="DT60" s="62">
        <v>0</v>
      </c>
      <c r="DU60" s="62">
        <v>0</v>
      </c>
      <c r="DV60" s="62">
        <v>0</v>
      </c>
      <c r="DW60" s="62">
        <v>0</v>
      </c>
      <c r="DX60" s="62">
        <v>0</v>
      </c>
      <c r="DY60" s="62">
        <v>0</v>
      </c>
      <c r="DZ60" s="190">
        <f t="shared" si="24"/>
        <v>0</v>
      </c>
    </row>
    <row r="61" spans="1:130" ht="20.45" customHeight="1" outlineLevel="2">
      <c r="A61" s="525"/>
      <c r="B61" s="530"/>
      <c r="C61" s="30" t="s">
        <v>331</v>
      </c>
      <c r="D61" s="62">
        <f t="shared" si="0"/>
        <v>108000.00000000001</v>
      </c>
      <c r="E61" s="184">
        <f t="shared" si="179"/>
        <v>3.3415236449941405E-4</v>
      </c>
      <c r="F61" s="62">
        <v>0</v>
      </c>
      <c r="G61" s="190">
        <f t="shared" si="36"/>
        <v>0</v>
      </c>
      <c r="H61" s="197">
        <f t="shared" si="319"/>
        <v>0</v>
      </c>
      <c r="I61" s="62">
        <v>0</v>
      </c>
      <c r="J61" s="62">
        <v>0</v>
      </c>
      <c r="K61" s="62">
        <v>0</v>
      </c>
      <c r="L61" s="62">
        <v>0</v>
      </c>
      <c r="M61" s="62">
        <v>54000</v>
      </c>
      <c r="N61" s="62">
        <v>0</v>
      </c>
      <c r="O61" s="62">
        <v>0</v>
      </c>
      <c r="P61" s="62">
        <v>0</v>
      </c>
      <c r="Q61" s="62">
        <v>0</v>
      </c>
      <c r="R61" s="62">
        <v>0</v>
      </c>
      <c r="S61" s="62">
        <v>0</v>
      </c>
      <c r="T61" s="62">
        <v>0</v>
      </c>
      <c r="U61" s="190">
        <f t="shared" si="16"/>
        <v>54000</v>
      </c>
      <c r="V61" s="197">
        <f t="shared" si="320"/>
        <v>9.7332377289061501E-4</v>
      </c>
      <c r="W61" s="62">
        <v>0</v>
      </c>
      <c r="X61" s="62">
        <v>0</v>
      </c>
      <c r="Y61" s="62">
        <v>0</v>
      </c>
      <c r="Z61" s="62">
        <v>0</v>
      </c>
      <c r="AA61" s="62">
        <v>0</v>
      </c>
      <c r="AB61" s="62">
        <v>0</v>
      </c>
      <c r="AC61" s="62">
        <v>0</v>
      </c>
      <c r="AD61" s="62">
        <v>0</v>
      </c>
      <c r="AE61" s="62">
        <v>0</v>
      </c>
      <c r="AF61" s="62">
        <v>0</v>
      </c>
      <c r="AG61" s="62">
        <v>0</v>
      </c>
      <c r="AH61" s="62">
        <v>0</v>
      </c>
      <c r="AI61" s="190">
        <f t="shared" si="17"/>
        <v>0</v>
      </c>
      <c r="AJ61" s="197">
        <f t="shared" si="321"/>
        <v>0</v>
      </c>
      <c r="AK61" s="62">
        <v>0</v>
      </c>
      <c r="AL61" s="62">
        <v>0</v>
      </c>
      <c r="AM61" s="62">
        <v>0</v>
      </c>
      <c r="AN61" s="62">
        <v>0</v>
      </c>
      <c r="AO61" s="62">
        <v>54000</v>
      </c>
      <c r="AP61" s="62">
        <v>0</v>
      </c>
      <c r="AQ61" s="62">
        <v>0</v>
      </c>
      <c r="AR61" s="62">
        <v>0</v>
      </c>
      <c r="AS61" s="62">
        <v>0</v>
      </c>
      <c r="AT61" s="62">
        <v>0</v>
      </c>
      <c r="AU61" s="62">
        <v>0</v>
      </c>
      <c r="AV61" s="62">
        <v>0</v>
      </c>
      <c r="AW61" s="190">
        <f t="shared" si="18"/>
        <v>54000</v>
      </c>
      <c r="AX61" s="197">
        <f t="shared" si="322"/>
        <v>7.0785011148049378E-4</v>
      </c>
      <c r="AY61" s="62">
        <v>0</v>
      </c>
      <c r="AZ61" s="62">
        <v>0</v>
      </c>
      <c r="BA61" s="62">
        <v>0</v>
      </c>
      <c r="BB61" s="62">
        <v>0</v>
      </c>
      <c r="BC61" s="62">
        <v>0</v>
      </c>
      <c r="BD61" s="62">
        <v>0</v>
      </c>
      <c r="BE61" s="62">
        <v>0</v>
      </c>
      <c r="BF61" s="62">
        <v>0</v>
      </c>
      <c r="BG61" s="62">
        <v>0</v>
      </c>
      <c r="BH61" s="62">
        <v>0</v>
      </c>
      <c r="BI61" s="62">
        <v>0</v>
      </c>
      <c r="BJ61" s="62">
        <v>0</v>
      </c>
      <c r="BK61" s="190">
        <f t="shared" si="19"/>
        <v>0</v>
      </c>
      <c r="BL61" s="197">
        <f t="shared" si="323"/>
        <v>0</v>
      </c>
      <c r="BM61" s="62">
        <v>0</v>
      </c>
      <c r="BN61" s="62">
        <v>0</v>
      </c>
      <c r="BO61" s="62">
        <v>0</v>
      </c>
      <c r="BP61" s="62">
        <v>0</v>
      </c>
      <c r="BQ61" s="62">
        <v>0</v>
      </c>
      <c r="BR61" s="62">
        <v>0</v>
      </c>
      <c r="BS61" s="62">
        <v>0</v>
      </c>
      <c r="BT61" s="62">
        <v>0</v>
      </c>
      <c r="BU61" s="62">
        <v>0</v>
      </c>
      <c r="BV61" s="62">
        <v>0</v>
      </c>
      <c r="BW61" s="62">
        <v>0</v>
      </c>
      <c r="BX61" s="62">
        <v>0</v>
      </c>
      <c r="BY61" s="190">
        <f t="shared" si="20"/>
        <v>0</v>
      </c>
      <c r="BZ61" s="197">
        <f t="shared" si="324"/>
        <v>0</v>
      </c>
      <c r="CA61" s="62">
        <v>0</v>
      </c>
      <c r="CB61" s="62">
        <v>0</v>
      </c>
      <c r="CC61" s="62">
        <v>0</v>
      </c>
      <c r="CD61" s="62">
        <v>0</v>
      </c>
      <c r="CE61" s="62">
        <v>0</v>
      </c>
      <c r="CF61" s="62">
        <v>0</v>
      </c>
      <c r="CG61" s="62">
        <v>0</v>
      </c>
      <c r="CH61" s="62">
        <v>0</v>
      </c>
      <c r="CI61" s="62">
        <v>0</v>
      </c>
      <c r="CJ61" s="62">
        <v>0</v>
      </c>
      <c r="CK61" s="62">
        <v>0</v>
      </c>
      <c r="CL61" s="62">
        <v>0</v>
      </c>
      <c r="CM61" s="190">
        <f t="shared" si="21"/>
        <v>0</v>
      </c>
      <c r="CN61" s="62">
        <v>0</v>
      </c>
      <c r="CO61" s="62">
        <v>0</v>
      </c>
      <c r="CP61" s="62">
        <v>0</v>
      </c>
      <c r="CQ61" s="62">
        <v>0</v>
      </c>
      <c r="CR61" s="62">
        <v>0</v>
      </c>
      <c r="CS61" s="62">
        <v>0</v>
      </c>
      <c r="CT61" s="62">
        <v>0</v>
      </c>
      <c r="CU61" s="62">
        <v>0</v>
      </c>
      <c r="CV61" s="62">
        <v>0</v>
      </c>
      <c r="CW61" s="62">
        <v>0</v>
      </c>
      <c r="CX61" s="62">
        <v>0</v>
      </c>
      <c r="CY61" s="62">
        <v>0</v>
      </c>
      <c r="CZ61" s="190">
        <f t="shared" si="22"/>
        <v>0</v>
      </c>
      <c r="DA61" s="62">
        <v>0</v>
      </c>
      <c r="DB61" s="62">
        <v>0</v>
      </c>
      <c r="DC61" s="62">
        <v>0</v>
      </c>
      <c r="DD61" s="62">
        <v>0</v>
      </c>
      <c r="DE61" s="62">
        <v>0</v>
      </c>
      <c r="DF61" s="62">
        <v>0</v>
      </c>
      <c r="DG61" s="62">
        <v>0</v>
      </c>
      <c r="DH61" s="62">
        <v>0</v>
      </c>
      <c r="DI61" s="62">
        <v>0</v>
      </c>
      <c r="DJ61" s="62">
        <v>0</v>
      </c>
      <c r="DK61" s="62">
        <v>0</v>
      </c>
      <c r="DL61" s="62">
        <v>0</v>
      </c>
      <c r="DM61" s="190">
        <f t="shared" si="23"/>
        <v>0</v>
      </c>
      <c r="DN61" s="62">
        <v>0</v>
      </c>
      <c r="DO61" s="62">
        <v>0</v>
      </c>
      <c r="DP61" s="62">
        <v>0</v>
      </c>
      <c r="DQ61" s="62">
        <v>0</v>
      </c>
      <c r="DR61" s="62">
        <v>0</v>
      </c>
      <c r="DS61" s="62">
        <v>0</v>
      </c>
      <c r="DT61" s="62">
        <v>0</v>
      </c>
      <c r="DU61" s="62">
        <v>0</v>
      </c>
      <c r="DV61" s="62">
        <v>0</v>
      </c>
      <c r="DW61" s="62">
        <v>0</v>
      </c>
      <c r="DX61" s="62">
        <v>0</v>
      </c>
      <c r="DY61" s="62">
        <v>0</v>
      </c>
      <c r="DZ61" s="190">
        <f t="shared" si="24"/>
        <v>0</v>
      </c>
    </row>
    <row r="62" spans="1:130" ht="20.45" customHeight="1" outlineLevel="2">
      <c r="A62" s="525"/>
      <c r="B62" s="529"/>
      <c r="C62" s="30" t="s">
        <v>332</v>
      </c>
      <c r="D62" s="62">
        <f t="shared" si="0"/>
        <v>74699.999999999985</v>
      </c>
      <c r="E62" s="184">
        <f t="shared" si="179"/>
        <v>2.3112205211209464E-4</v>
      </c>
      <c r="F62" s="62">
        <v>0</v>
      </c>
      <c r="G62" s="190">
        <f t="shared" si="36"/>
        <v>0</v>
      </c>
      <c r="H62" s="197">
        <f t="shared" si="319"/>
        <v>0</v>
      </c>
      <c r="I62" s="62">
        <v>0</v>
      </c>
      <c r="J62" s="62">
        <v>0</v>
      </c>
      <c r="K62" s="62">
        <v>0</v>
      </c>
      <c r="L62" s="62">
        <v>74700</v>
      </c>
      <c r="M62" s="62">
        <v>0</v>
      </c>
      <c r="N62" s="62">
        <v>0</v>
      </c>
      <c r="O62" s="62">
        <v>0</v>
      </c>
      <c r="P62" s="62">
        <v>0</v>
      </c>
      <c r="Q62" s="62">
        <v>0</v>
      </c>
      <c r="R62" s="62">
        <v>0</v>
      </c>
      <c r="S62" s="62">
        <v>0</v>
      </c>
      <c r="T62" s="62">
        <v>0</v>
      </c>
      <c r="U62" s="190">
        <f t="shared" si="16"/>
        <v>74700</v>
      </c>
      <c r="V62" s="197">
        <f t="shared" si="320"/>
        <v>1.3464312191653507E-3</v>
      </c>
      <c r="W62" s="62">
        <v>0</v>
      </c>
      <c r="X62" s="62">
        <v>0</v>
      </c>
      <c r="Y62" s="62">
        <v>0</v>
      </c>
      <c r="Z62" s="62">
        <v>0</v>
      </c>
      <c r="AA62" s="62">
        <v>0</v>
      </c>
      <c r="AB62" s="62">
        <v>0</v>
      </c>
      <c r="AC62" s="62">
        <v>0</v>
      </c>
      <c r="AD62" s="62">
        <v>0</v>
      </c>
      <c r="AE62" s="62">
        <v>0</v>
      </c>
      <c r="AF62" s="62">
        <v>0</v>
      </c>
      <c r="AG62" s="62">
        <v>0</v>
      </c>
      <c r="AH62" s="62">
        <v>0</v>
      </c>
      <c r="AI62" s="190">
        <f t="shared" si="17"/>
        <v>0</v>
      </c>
      <c r="AJ62" s="197">
        <f t="shared" si="321"/>
        <v>0</v>
      </c>
      <c r="AK62" s="62">
        <v>0</v>
      </c>
      <c r="AL62" s="62">
        <v>0</v>
      </c>
      <c r="AM62" s="62">
        <v>0</v>
      </c>
      <c r="AN62" s="62">
        <v>0</v>
      </c>
      <c r="AO62" s="62">
        <v>0</v>
      </c>
      <c r="AP62" s="62">
        <v>0</v>
      </c>
      <c r="AQ62" s="62">
        <v>0</v>
      </c>
      <c r="AR62" s="62">
        <v>0</v>
      </c>
      <c r="AS62" s="62">
        <v>0</v>
      </c>
      <c r="AT62" s="62">
        <v>0</v>
      </c>
      <c r="AU62" s="62">
        <v>0</v>
      </c>
      <c r="AV62" s="62">
        <v>0</v>
      </c>
      <c r="AW62" s="190">
        <f t="shared" si="18"/>
        <v>0</v>
      </c>
      <c r="AX62" s="197">
        <f t="shared" si="322"/>
        <v>0</v>
      </c>
      <c r="AY62" s="62">
        <v>0</v>
      </c>
      <c r="AZ62" s="62">
        <v>0</v>
      </c>
      <c r="BA62" s="62">
        <v>0</v>
      </c>
      <c r="BB62" s="62">
        <v>0</v>
      </c>
      <c r="BC62" s="62">
        <v>0</v>
      </c>
      <c r="BD62" s="62">
        <v>0</v>
      </c>
      <c r="BE62" s="62">
        <v>0</v>
      </c>
      <c r="BF62" s="62">
        <v>0</v>
      </c>
      <c r="BG62" s="62">
        <v>0</v>
      </c>
      <c r="BH62" s="62">
        <v>0</v>
      </c>
      <c r="BI62" s="62">
        <v>0</v>
      </c>
      <c r="BJ62" s="62">
        <v>0</v>
      </c>
      <c r="BK62" s="190">
        <f t="shared" si="19"/>
        <v>0</v>
      </c>
      <c r="BL62" s="197">
        <f t="shared" si="323"/>
        <v>0</v>
      </c>
      <c r="BM62" s="62">
        <v>0</v>
      </c>
      <c r="BN62" s="62">
        <v>0</v>
      </c>
      <c r="BO62" s="62">
        <v>0</v>
      </c>
      <c r="BP62" s="62">
        <v>0</v>
      </c>
      <c r="BQ62" s="62">
        <v>0</v>
      </c>
      <c r="BR62" s="62">
        <v>0</v>
      </c>
      <c r="BS62" s="62">
        <v>0</v>
      </c>
      <c r="BT62" s="62">
        <v>0</v>
      </c>
      <c r="BU62" s="62">
        <v>0</v>
      </c>
      <c r="BV62" s="62">
        <v>0</v>
      </c>
      <c r="BW62" s="62">
        <v>0</v>
      </c>
      <c r="BX62" s="62">
        <v>0</v>
      </c>
      <c r="BY62" s="190">
        <f t="shared" si="20"/>
        <v>0</v>
      </c>
      <c r="BZ62" s="197">
        <f t="shared" si="324"/>
        <v>0</v>
      </c>
      <c r="CA62" s="62">
        <v>0</v>
      </c>
      <c r="CB62" s="62">
        <v>0</v>
      </c>
      <c r="CC62" s="62">
        <v>0</v>
      </c>
      <c r="CD62" s="62">
        <v>0</v>
      </c>
      <c r="CE62" s="62">
        <v>0</v>
      </c>
      <c r="CF62" s="62">
        <v>0</v>
      </c>
      <c r="CG62" s="62">
        <v>0</v>
      </c>
      <c r="CH62" s="62">
        <v>0</v>
      </c>
      <c r="CI62" s="62">
        <v>0</v>
      </c>
      <c r="CJ62" s="62">
        <v>0</v>
      </c>
      <c r="CK62" s="62">
        <v>0</v>
      </c>
      <c r="CL62" s="62">
        <v>0</v>
      </c>
      <c r="CM62" s="190">
        <f t="shared" si="21"/>
        <v>0</v>
      </c>
      <c r="CN62" s="62">
        <v>0</v>
      </c>
      <c r="CO62" s="62">
        <v>0</v>
      </c>
      <c r="CP62" s="62">
        <v>0</v>
      </c>
      <c r="CQ62" s="62">
        <v>0</v>
      </c>
      <c r="CR62" s="62">
        <v>0</v>
      </c>
      <c r="CS62" s="62">
        <v>0</v>
      </c>
      <c r="CT62" s="62">
        <v>0</v>
      </c>
      <c r="CU62" s="62">
        <v>0</v>
      </c>
      <c r="CV62" s="62">
        <v>0</v>
      </c>
      <c r="CW62" s="62">
        <v>0</v>
      </c>
      <c r="CX62" s="62">
        <v>0</v>
      </c>
      <c r="CY62" s="62">
        <v>0</v>
      </c>
      <c r="CZ62" s="190">
        <f t="shared" si="22"/>
        <v>0</v>
      </c>
      <c r="DA62" s="62">
        <v>0</v>
      </c>
      <c r="DB62" s="62">
        <v>0</v>
      </c>
      <c r="DC62" s="62">
        <v>0</v>
      </c>
      <c r="DD62" s="62">
        <v>0</v>
      </c>
      <c r="DE62" s="62">
        <v>0</v>
      </c>
      <c r="DF62" s="62">
        <v>0</v>
      </c>
      <c r="DG62" s="62">
        <v>0</v>
      </c>
      <c r="DH62" s="62">
        <v>0</v>
      </c>
      <c r="DI62" s="62">
        <v>0</v>
      </c>
      <c r="DJ62" s="62">
        <v>0</v>
      </c>
      <c r="DK62" s="62">
        <v>0</v>
      </c>
      <c r="DL62" s="62">
        <v>0</v>
      </c>
      <c r="DM62" s="190">
        <f t="shared" si="23"/>
        <v>0</v>
      </c>
      <c r="DN62" s="62">
        <v>0</v>
      </c>
      <c r="DO62" s="62">
        <v>0</v>
      </c>
      <c r="DP62" s="62">
        <v>0</v>
      </c>
      <c r="DQ62" s="62">
        <v>0</v>
      </c>
      <c r="DR62" s="62">
        <v>0</v>
      </c>
      <c r="DS62" s="62">
        <v>0</v>
      </c>
      <c r="DT62" s="62">
        <v>0</v>
      </c>
      <c r="DU62" s="62">
        <v>0</v>
      </c>
      <c r="DV62" s="62">
        <v>0</v>
      </c>
      <c r="DW62" s="62">
        <v>0</v>
      </c>
      <c r="DX62" s="62">
        <v>0</v>
      </c>
      <c r="DY62" s="62">
        <v>0</v>
      </c>
      <c r="DZ62" s="190">
        <f t="shared" si="24"/>
        <v>0</v>
      </c>
    </row>
    <row r="63" spans="1:130" s="194" customFormat="1" ht="20.45" customHeight="1" outlineLevel="1">
      <c r="A63" s="525"/>
      <c r="B63" s="527" t="s">
        <v>333</v>
      </c>
      <c r="C63" s="65" t="s">
        <v>307</v>
      </c>
      <c r="D63" s="66">
        <f t="shared" si="0"/>
        <v>9192193.0000000037</v>
      </c>
      <c r="E63" s="187">
        <f>SUM(E64:E74)</f>
        <v>2.8440676165601503E-2</v>
      </c>
      <c r="F63" s="62">
        <f>SUM(F64:F74)</f>
        <v>392284</v>
      </c>
      <c r="G63" s="190">
        <f t="shared" si="36"/>
        <v>392284</v>
      </c>
      <c r="H63" s="196">
        <f t="shared" ref="H63:T63" si="325">SUM(H64:H74)</f>
        <v>8.960541628929819E-2</v>
      </c>
      <c r="I63" s="62">
        <f t="shared" si="325"/>
        <v>155420</v>
      </c>
      <c r="J63" s="62">
        <f t="shared" si="325"/>
        <v>366462</v>
      </c>
      <c r="K63" s="62">
        <f t="shared" si="325"/>
        <v>116237</v>
      </c>
      <c r="L63" s="62">
        <f t="shared" si="325"/>
        <v>91550</v>
      </c>
      <c r="M63" s="62">
        <f t="shared" si="325"/>
        <v>122870</v>
      </c>
      <c r="N63" s="62">
        <f t="shared" si="325"/>
        <v>87590</v>
      </c>
      <c r="O63" s="62">
        <f t="shared" si="325"/>
        <v>367830</v>
      </c>
      <c r="P63" s="62">
        <f t="shared" si="325"/>
        <v>139326</v>
      </c>
      <c r="Q63" s="62">
        <f t="shared" si="325"/>
        <v>113780</v>
      </c>
      <c r="R63" s="62">
        <f t="shared" si="325"/>
        <v>124640</v>
      </c>
      <c r="S63" s="62">
        <f t="shared" si="325"/>
        <v>173530</v>
      </c>
      <c r="T63" s="62">
        <f t="shared" si="325"/>
        <v>79243</v>
      </c>
      <c r="U63" s="190">
        <f t="shared" si="16"/>
        <v>1938478</v>
      </c>
      <c r="V63" s="196">
        <f t="shared" ref="V63" si="326">SUM(V64:V74)</f>
        <v>3.4940124456026914E-2</v>
      </c>
      <c r="W63" s="62">
        <f t="shared" ref="W63:AH63" si="327">SUM(W64:W74)</f>
        <v>277140</v>
      </c>
      <c r="X63" s="62">
        <f t="shared" si="327"/>
        <v>44860</v>
      </c>
      <c r="Y63" s="62">
        <f t="shared" si="327"/>
        <v>157010</v>
      </c>
      <c r="Z63" s="62">
        <f t="shared" si="327"/>
        <v>112490</v>
      </c>
      <c r="AA63" s="62">
        <f t="shared" si="327"/>
        <v>63670</v>
      </c>
      <c r="AB63" s="62">
        <f t="shared" si="327"/>
        <v>205100</v>
      </c>
      <c r="AC63" s="62">
        <f t="shared" si="327"/>
        <v>39290</v>
      </c>
      <c r="AD63" s="62">
        <f t="shared" si="327"/>
        <v>122940</v>
      </c>
      <c r="AE63" s="62">
        <f t="shared" si="327"/>
        <v>22650</v>
      </c>
      <c r="AF63" s="62">
        <f t="shared" si="327"/>
        <v>92860</v>
      </c>
      <c r="AG63" s="62">
        <f t="shared" si="327"/>
        <v>160910</v>
      </c>
      <c r="AH63" s="62">
        <f t="shared" si="327"/>
        <v>107990</v>
      </c>
      <c r="AI63" s="190">
        <f t="shared" si="17"/>
        <v>1406910</v>
      </c>
      <c r="AJ63" s="196">
        <f t="shared" ref="AJ63" si="328">SUM(AJ64:AJ74)</f>
        <v>1.9121158185149825E-2</v>
      </c>
      <c r="AK63" s="62">
        <f t="shared" ref="AK63:AV63" si="329">SUM(AK64:AK74)</f>
        <v>193840</v>
      </c>
      <c r="AL63" s="62">
        <f t="shared" si="329"/>
        <v>107210</v>
      </c>
      <c r="AM63" s="62">
        <f t="shared" si="329"/>
        <v>125290</v>
      </c>
      <c r="AN63" s="62">
        <f t="shared" si="329"/>
        <v>155040</v>
      </c>
      <c r="AO63" s="62">
        <f t="shared" si="329"/>
        <v>129710</v>
      </c>
      <c r="AP63" s="62">
        <f t="shared" si="329"/>
        <v>28080</v>
      </c>
      <c r="AQ63" s="62">
        <f t="shared" si="329"/>
        <v>283480</v>
      </c>
      <c r="AR63" s="62">
        <f t="shared" si="329"/>
        <v>283390</v>
      </c>
      <c r="AS63" s="62">
        <f t="shared" si="329"/>
        <v>252120</v>
      </c>
      <c r="AT63" s="62">
        <f t="shared" si="329"/>
        <v>85360</v>
      </c>
      <c r="AU63" s="62">
        <f t="shared" si="329"/>
        <v>202100</v>
      </c>
      <c r="AV63" s="62">
        <f t="shared" si="329"/>
        <v>100720</v>
      </c>
      <c r="AW63" s="190">
        <f t="shared" si="18"/>
        <v>1946340</v>
      </c>
      <c r="AX63" s="196">
        <f t="shared" ref="AX63" si="330">SUM(AX64:AX74)</f>
        <v>2.55132775181286E-2</v>
      </c>
      <c r="AY63" s="62">
        <f t="shared" ref="AY63:BJ63" si="331">SUM(AY64:AY74)</f>
        <v>133681</v>
      </c>
      <c r="AZ63" s="62">
        <f t="shared" si="331"/>
        <v>96390</v>
      </c>
      <c r="BA63" s="62">
        <f t="shared" si="331"/>
        <v>279510</v>
      </c>
      <c r="BB63" s="62">
        <f t="shared" si="331"/>
        <v>337670</v>
      </c>
      <c r="BC63" s="62">
        <f t="shared" si="331"/>
        <v>113990</v>
      </c>
      <c r="BD63" s="62">
        <f t="shared" si="331"/>
        <v>141940</v>
      </c>
      <c r="BE63" s="62">
        <f t="shared" si="331"/>
        <v>116060</v>
      </c>
      <c r="BF63" s="62">
        <f t="shared" si="331"/>
        <v>358780</v>
      </c>
      <c r="BG63" s="62">
        <f t="shared" si="331"/>
        <v>306940</v>
      </c>
      <c r="BH63" s="62">
        <f t="shared" si="331"/>
        <v>187390</v>
      </c>
      <c r="BI63" s="62">
        <f t="shared" si="331"/>
        <v>177540</v>
      </c>
      <c r="BJ63" s="62">
        <f t="shared" si="331"/>
        <v>281340</v>
      </c>
      <c r="BK63" s="190">
        <f t="shared" si="19"/>
        <v>2531231</v>
      </c>
      <c r="BL63" s="196">
        <f t="shared" ref="BL63" si="332">SUM(BL64:BL74)</f>
        <v>3.6243792188269758E-2</v>
      </c>
      <c r="BM63" s="62">
        <f t="shared" ref="BM63:BX63" si="333">SUM(BM64:BM74)</f>
        <v>127550</v>
      </c>
      <c r="BN63" s="62">
        <f t="shared" si="333"/>
        <v>198340</v>
      </c>
      <c r="BO63" s="62">
        <f t="shared" si="333"/>
        <v>148860</v>
      </c>
      <c r="BP63" s="62">
        <f t="shared" si="333"/>
        <v>372680</v>
      </c>
      <c r="BQ63" s="62">
        <f t="shared" si="333"/>
        <v>129520</v>
      </c>
      <c r="BR63" s="62">
        <f t="shared" si="333"/>
        <v>0</v>
      </c>
      <c r="BS63" s="62">
        <f t="shared" si="333"/>
        <v>0</v>
      </c>
      <c r="BT63" s="62">
        <f t="shared" si="333"/>
        <v>0</v>
      </c>
      <c r="BU63" s="62">
        <f t="shared" si="333"/>
        <v>0</v>
      </c>
      <c r="BV63" s="62">
        <f t="shared" si="333"/>
        <v>0</v>
      </c>
      <c r="BW63" s="62">
        <f t="shared" si="333"/>
        <v>0</v>
      </c>
      <c r="BX63" s="62">
        <f t="shared" si="333"/>
        <v>0</v>
      </c>
      <c r="BY63" s="190">
        <f t="shared" si="20"/>
        <v>976950</v>
      </c>
      <c r="BZ63" s="196">
        <f t="shared" ref="BZ63" si="334">SUM(BZ64:BZ74)</f>
        <v>2.2385089530047163E-2</v>
      </c>
      <c r="CA63" s="62">
        <f t="shared" ref="CA63:CL63" si="335">SUM(CA64:CA74)</f>
        <v>0</v>
      </c>
      <c r="CB63" s="62">
        <f t="shared" si="335"/>
        <v>0</v>
      </c>
      <c r="CC63" s="62">
        <f t="shared" si="335"/>
        <v>0</v>
      </c>
      <c r="CD63" s="62">
        <f t="shared" si="335"/>
        <v>0</v>
      </c>
      <c r="CE63" s="62">
        <f t="shared" si="335"/>
        <v>0</v>
      </c>
      <c r="CF63" s="62">
        <f t="shared" si="335"/>
        <v>0</v>
      </c>
      <c r="CG63" s="62">
        <f t="shared" si="335"/>
        <v>0</v>
      </c>
      <c r="CH63" s="62">
        <f t="shared" si="335"/>
        <v>0</v>
      </c>
      <c r="CI63" s="62">
        <f t="shared" si="335"/>
        <v>0</v>
      </c>
      <c r="CJ63" s="62">
        <f t="shared" si="335"/>
        <v>0</v>
      </c>
      <c r="CK63" s="62">
        <f t="shared" si="335"/>
        <v>0</v>
      </c>
      <c r="CL63" s="62">
        <f t="shared" si="335"/>
        <v>0</v>
      </c>
      <c r="CM63" s="190">
        <f t="shared" si="21"/>
        <v>0</v>
      </c>
      <c r="CN63" s="62">
        <f t="shared" ref="CN63:CY63" si="336">SUM(CN64:CN74)</f>
        <v>0</v>
      </c>
      <c r="CO63" s="62">
        <f t="shared" si="336"/>
        <v>0</v>
      </c>
      <c r="CP63" s="62">
        <f t="shared" si="336"/>
        <v>0</v>
      </c>
      <c r="CQ63" s="62">
        <f t="shared" si="336"/>
        <v>0</v>
      </c>
      <c r="CR63" s="62">
        <f t="shared" si="336"/>
        <v>0</v>
      </c>
      <c r="CS63" s="62">
        <f t="shared" si="336"/>
        <v>0</v>
      </c>
      <c r="CT63" s="62">
        <f t="shared" si="336"/>
        <v>0</v>
      </c>
      <c r="CU63" s="62">
        <f t="shared" si="336"/>
        <v>0</v>
      </c>
      <c r="CV63" s="62">
        <f t="shared" si="336"/>
        <v>0</v>
      </c>
      <c r="CW63" s="62">
        <f t="shared" si="336"/>
        <v>0</v>
      </c>
      <c r="CX63" s="62">
        <f t="shared" si="336"/>
        <v>0</v>
      </c>
      <c r="CY63" s="62">
        <f t="shared" si="336"/>
        <v>0</v>
      </c>
      <c r="CZ63" s="190">
        <f t="shared" si="22"/>
        <v>0</v>
      </c>
      <c r="DA63" s="62">
        <f t="shared" ref="DA63:DL63" si="337">SUM(DA64:DA74)</f>
        <v>0</v>
      </c>
      <c r="DB63" s="62">
        <f t="shared" si="337"/>
        <v>0</v>
      </c>
      <c r="DC63" s="62">
        <f t="shared" si="337"/>
        <v>0</v>
      </c>
      <c r="DD63" s="62">
        <f t="shared" si="337"/>
        <v>0</v>
      </c>
      <c r="DE63" s="62">
        <f t="shared" si="337"/>
        <v>0</v>
      </c>
      <c r="DF63" s="62">
        <f t="shared" si="337"/>
        <v>0</v>
      </c>
      <c r="DG63" s="62">
        <f t="shared" si="337"/>
        <v>0</v>
      </c>
      <c r="DH63" s="62">
        <f t="shared" si="337"/>
        <v>0</v>
      </c>
      <c r="DI63" s="62">
        <f t="shared" si="337"/>
        <v>0</v>
      </c>
      <c r="DJ63" s="62">
        <f t="shared" si="337"/>
        <v>0</v>
      </c>
      <c r="DK63" s="62">
        <f t="shared" si="337"/>
        <v>0</v>
      </c>
      <c r="DL63" s="62">
        <f t="shared" si="337"/>
        <v>0</v>
      </c>
      <c r="DM63" s="190">
        <f t="shared" si="23"/>
        <v>0</v>
      </c>
      <c r="DN63" s="62">
        <f t="shared" ref="DN63:DY63" si="338">SUM(DN64:DN74)</f>
        <v>0</v>
      </c>
      <c r="DO63" s="62">
        <f t="shared" si="338"/>
        <v>0</v>
      </c>
      <c r="DP63" s="62">
        <f t="shared" si="338"/>
        <v>0</v>
      </c>
      <c r="DQ63" s="62">
        <f t="shared" si="338"/>
        <v>0</v>
      </c>
      <c r="DR63" s="62">
        <f t="shared" si="338"/>
        <v>0</v>
      </c>
      <c r="DS63" s="62">
        <f t="shared" si="338"/>
        <v>0</v>
      </c>
      <c r="DT63" s="62">
        <f t="shared" si="338"/>
        <v>0</v>
      </c>
      <c r="DU63" s="62">
        <f t="shared" si="338"/>
        <v>0</v>
      </c>
      <c r="DV63" s="62">
        <f t="shared" si="338"/>
        <v>0</v>
      </c>
      <c r="DW63" s="62">
        <f t="shared" si="338"/>
        <v>0</v>
      </c>
      <c r="DX63" s="62">
        <f t="shared" si="338"/>
        <v>0</v>
      </c>
      <c r="DY63" s="62">
        <f t="shared" si="338"/>
        <v>0</v>
      </c>
      <c r="DZ63" s="190">
        <f t="shared" si="24"/>
        <v>0</v>
      </c>
    </row>
    <row r="64" spans="1:130" ht="20.45" customHeight="1" outlineLevel="2">
      <c r="A64" s="525"/>
      <c r="B64" s="530"/>
      <c r="C64" s="30" t="s">
        <v>334</v>
      </c>
      <c r="D64" s="62">
        <f t="shared" si="0"/>
        <v>209480</v>
      </c>
      <c r="E64" s="184">
        <f t="shared" si="179"/>
        <v>6.481318269938634E-4</v>
      </c>
      <c r="F64" s="62">
        <v>0</v>
      </c>
      <c r="G64" s="190">
        <f t="shared" si="36"/>
        <v>0</v>
      </c>
      <c r="H64" s="197">
        <f t="shared" ref="H64:H74" si="339">G64/(G$5+G$6+G$7+G$8+G$10+G$9)</f>
        <v>0</v>
      </c>
      <c r="I64" s="62">
        <v>0</v>
      </c>
      <c r="J64" s="62">
        <v>0</v>
      </c>
      <c r="K64" s="62">
        <v>0</v>
      </c>
      <c r="L64" s="62">
        <v>0</v>
      </c>
      <c r="M64" s="62">
        <v>0</v>
      </c>
      <c r="N64" s="62">
        <v>0</v>
      </c>
      <c r="O64" s="62">
        <v>209480</v>
      </c>
      <c r="P64" s="62">
        <v>0</v>
      </c>
      <c r="Q64" s="62">
        <v>0</v>
      </c>
      <c r="R64" s="62">
        <v>0</v>
      </c>
      <c r="S64" s="62">
        <v>0</v>
      </c>
      <c r="T64" s="62">
        <v>0</v>
      </c>
      <c r="U64" s="190">
        <f t="shared" si="16"/>
        <v>209480</v>
      </c>
      <c r="V64" s="197">
        <f t="shared" ref="V64:V74" si="340">U64/(U$5+U$6+U$7+U$8+U$10+U$9)</f>
        <v>3.7757752582430744E-3</v>
      </c>
      <c r="W64" s="62">
        <v>0</v>
      </c>
      <c r="X64" s="62">
        <v>0</v>
      </c>
      <c r="Y64" s="62">
        <v>0</v>
      </c>
      <c r="Z64" s="62">
        <v>0</v>
      </c>
      <c r="AA64" s="62">
        <v>0</v>
      </c>
      <c r="AB64" s="62">
        <v>0</v>
      </c>
      <c r="AC64" s="62">
        <v>0</v>
      </c>
      <c r="AD64" s="62">
        <v>0</v>
      </c>
      <c r="AE64" s="62">
        <v>0</v>
      </c>
      <c r="AF64" s="62">
        <v>0</v>
      </c>
      <c r="AG64" s="62">
        <v>0</v>
      </c>
      <c r="AH64" s="62">
        <v>0</v>
      </c>
      <c r="AI64" s="190">
        <f t="shared" si="17"/>
        <v>0</v>
      </c>
      <c r="AJ64" s="197">
        <f t="shared" ref="AJ64:AJ74" si="341">AI64/(AI$5+AI$6+AI$7+AI$8+AI$10+AI$9)</f>
        <v>0</v>
      </c>
      <c r="AK64" s="62">
        <v>0</v>
      </c>
      <c r="AL64" s="62">
        <v>0</v>
      </c>
      <c r="AM64" s="62">
        <v>0</v>
      </c>
      <c r="AN64" s="62">
        <v>0</v>
      </c>
      <c r="AO64" s="62">
        <v>0</v>
      </c>
      <c r="AP64" s="62">
        <v>0</v>
      </c>
      <c r="AQ64" s="62">
        <v>0</v>
      </c>
      <c r="AR64" s="62">
        <v>0</v>
      </c>
      <c r="AS64" s="62">
        <v>0</v>
      </c>
      <c r="AT64" s="62">
        <v>0</v>
      </c>
      <c r="AU64" s="62">
        <v>0</v>
      </c>
      <c r="AV64" s="62">
        <v>0</v>
      </c>
      <c r="AW64" s="190">
        <f t="shared" si="18"/>
        <v>0</v>
      </c>
      <c r="AX64" s="197">
        <f t="shared" ref="AX64:AX74" si="342">AW64/(AW$5+AW$6+AW$7+AW$8+AW$10+AW$9)</f>
        <v>0</v>
      </c>
      <c r="AY64" s="62">
        <v>0</v>
      </c>
      <c r="AZ64" s="62">
        <v>0</v>
      </c>
      <c r="BA64" s="62">
        <v>0</v>
      </c>
      <c r="BB64" s="62">
        <v>0</v>
      </c>
      <c r="BC64" s="62">
        <v>0</v>
      </c>
      <c r="BD64" s="62">
        <v>0</v>
      </c>
      <c r="BE64" s="62">
        <v>0</v>
      </c>
      <c r="BF64" s="62">
        <v>0</v>
      </c>
      <c r="BG64" s="62">
        <v>0</v>
      </c>
      <c r="BH64" s="62">
        <v>0</v>
      </c>
      <c r="BI64" s="62">
        <v>0</v>
      </c>
      <c r="BJ64" s="62">
        <v>0</v>
      </c>
      <c r="BK64" s="190">
        <f t="shared" si="19"/>
        <v>0</v>
      </c>
      <c r="BL64" s="197">
        <f t="shared" ref="BL64:BL74" si="343">BK64/(BK$5+BK$6+BK$7+BK$8+BK$10+BK$9)</f>
        <v>0</v>
      </c>
      <c r="BM64" s="62">
        <v>0</v>
      </c>
      <c r="BN64" s="62">
        <v>0</v>
      </c>
      <c r="BO64" s="62">
        <v>0</v>
      </c>
      <c r="BP64" s="62">
        <v>0</v>
      </c>
      <c r="BQ64" s="62">
        <v>0</v>
      </c>
      <c r="BR64" s="62">
        <v>0</v>
      </c>
      <c r="BS64" s="62">
        <v>0</v>
      </c>
      <c r="BT64" s="62">
        <v>0</v>
      </c>
      <c r="BU64" s="62">
        <v>0</v>
      </c>
      <c r="BV64" s="62">
        <v>0</v>
      </c>
      <c r="BW64" s="62">
        <v>0</v>
      </c>
      <c r="BX64" s="62">
        <v>0</v>
      </c>
      <c r="BY64" s="190">
        <f t="shared" si="20"/>
        <v>0</v>
      </c>
      <c r="BZ64" s="197">
        <f t="shared" ref="BZ64:BZ74" si="344">BY64/(BY$5+BY$6+BY$7+BY$8+BY$10+BY$9)</f>
        <v>0</v>
      </c>
      <c r="CA64" s="62">
        <v>0</v>
      </c>
      <c r="CB64" s="62">
        <v>0</v>
      </c>
      <c r="CC64" s="62">
        <v>0</v>
      </c>
      <c r="CD64" s="62">
        <v>0</v>
      </c>
      <c r="CE64" s="62">
        <v>0</v>
      </c>
      <c r="CF64" s="62">
        <v>0</v>
      </c>
      <c r="CG64" s="62">
        <v>0</v>
      </c>
      <c r="CH64" s="62">
        <v>0</v>
      </c>
      <c r="CI64" s="62">
        <v>0</v>
      </c>
      <c r="CJ64" s="62">
        <v>0</v>
      </c>
      <c r="CK64" s="62">
        <v>0</v>
      </c>
      <c r="CL64" s="62">
        <v>0</v>
      </c>
      <c r="CM64" s="190">
        <f t="shared" si="21"/>
        <v>0</v>
      </c>
      <c r="CN64" s="62">
        <v>0</v>
      </c>
      <c r="CO64" s="62">
        <v>0</v>
      </c>
      <c r="CP64" s="62">
        <v>0</v>
      </c>
      <c r="CQ64" s="62">
        <v>0</v>
      </c>
      <c r="CR64" s="62">
        <v>0</v>
      </c>
      <c r="CS64" s="62">
        <v>0</v>
      </c>
      <c r="CT64" s="62">
        <v>0</v>
      </c>
      <c r="CU64" s="62">
        <v>0</v>
      </c>
      <c r="CV64" s="62">
        <v>0</v>
      </c>
      <c r="CW64" s="62">
        <v>0</v>
      </c>
      <c r="CX64" s="62">
        <v>0</v>
      </c>
      <c r="CY64" s="62">
        <v>0</v>
      </c>
      <c r="CZ64" s="190">
        <f t="shared" si="22"/>
        <v>0</v>
      </c>
      <c r="DA64" s="62">
        <v>0</v>
      </c>
      <c r="DB64" s="62">
        <v>0</v>
      </c>
      <c r="DC64" s="62">
        <v>0</v>
      </c>
      <c r="DD64" s="62">
        <v>0</v>
      </c>
      <c r="DE64" s="62">
        <v>0</v>
      </c>
      <c r="DF64" s="62">
        <v>0</v>
      </c>
      <c r="DG64" s="62">
        <v>0</v>
      </c>
      <c r="DH64" s="62">
        <v>0</v>
      </c>
      <c r="DI64" s="62">
        <v>0</v>
      </c>
      <c r="DJ64" s="62">
        <v>0</v>
      </c>
      <c r="DK64" s="62">
        <v>0</v>
      </c>
      <c r="DL64" s="62">
        <v>0</v>
      </c>
      <c r="DM64" s="190">
        <f t="shared" si="23"/>
        <v>0</v>
      </c>
      <c r="DN64" s="62">
        <v>0</v>
      </c>
      <c r="DO64" s="62">
        <v>0</v>
      </c>
      <c r="DP64" s="62">
        <v>0</v>
      </c>
      <c r="DQ64" s="62">
        <v>0</v>
      </c>
      <c r="DR64" s="62">
        <v>0</v>
      </c>
      <c r="DS64" s="62">
        <v>0</v>
      </c>
      <c r="DT64" s="62">
        <v>0</v>
      </c>
      <c r="DU64" s="62">
        <v>0</v>
      </c>
      <c r="DV64" s="62">
        <v>0</v>
      </c>
      <c r="DW64" s="62">
        <v>0</v>
      </c>
      <c r="DX64" s="62">
        <v>0</v>
      </c>
      <c r="DY64" s="62">
        <v>0</v>
      </c>
      <c r="DZ64" s="190">
        <f t="shared" si="24"/>
        <v>0</v>
      </c>
    </row>
    <row r="65" spans="1:130" ht="20.45" customHeight="1" outlineLevel="2">
      <c r="A65" s="525"/>
      <c r="B65" s="530"/>
      <c r="C65" s="30" t="s">
        <v>2612</v>
      </c>
      <c r="D65" s="62">
        <f t="shared" si="0"/>
        <v>2285670.0000000005</v>
      </c>
      <c r="E65" s="184">
        <f t="shared" si="179"/>
        <v>7.0718706941238496E-3</v>
      </c>
      <c r="F65" s="62">
        <v>0</v>
      </c>
      <c r="G65" s="190">
        <f t="shared" si="36"/>
        <v>0</v>
      </c>
      <c r="H65" s="197">
        <f t="shared" si="339"/>
        <v>0</v>
      </c>
      <c r="I65" s="62">
        <v>0</v>
      </c>
      <c r="J65" s="62">
        <v>0</v>
      </c>
      <c r="K65" s="62">
        <v>0</v>
      </c>
      <c r="L65" s="62">
        <v>0</v>
      </c>
      <c r="M65" s="62">
        <v>0</v>
      </c>
      <c r="N65" s="62">
        <v>0</v>
      </c>
      <c r="O65" s="62">
        <v>106430</v>
      </c>
      <c r="P65" s="62">
        <v>88310</v>
      </c>
      <c r="Q65" s="62">
        <v>0</v>
      </c>
      <c r="R65" s="62">
        <v>87610</v>
      </c>
      <c r="S65" s="62">
        <f>116090+54040</f>
        <v>170130</v>
      </c>
      <c r="T65" s="62">
        <v>0</v>
      </c>
      <c r="U65" s="190">
        <f t="shared" si="16"/>
        <v>452480</v>
      </c>
      <c r="V65" s="197">
        <f t="shared" si="340"/>
        <v>8.1557322362508424E-3</v>
      </c>
      <c r="W65" s="62">
        <v>83120</v>
      </c>
      <c r="X65" s="62">
        <v>44860</v>
      </c>
      <c r="Y65" s="62">
        <v>128770</v>
      </c>
      <c r="Z65" s="62">
        <v>48000</v>
      </c>
      <c r="AA65" s="62">
        <v>0</v>
      </c>
      <c r="AB65" s="62">
        <f>81620+67790</f>
        <v>149410</v>
      </c>
      <c r="AC65" s="62">
        <v>0</v>
      </c>
      <c r="AD65" s="62">
        <v>49320</v>
      </c>
      <c r="AE65" s="62">
        <v>0</v>
      </c>
      <c r="AF65" s="62">
        <f>72620</f>
        <v>72620</v>
      </c>
      <c r="AG65" s="62">
        <v>106640</v>
      </c>
      <c r="AH65" s="62">
        <v>94640</v>
      </c>
      <c r="AI65" s="190">
        <f t="shared" si="17"/>
        <v>777380</v>
      </c>
      <c r="AJ65" s="197">
        <f t="shared" si="341"/>
        <v>1.0565285590387283E-2</v>
      </c>
      <c r="AK65" s="62">
        <v>0</v>
      </c>
      <c r="AL65" s="62">
        <f>85070</f>
        <v>85070</v>
      </c>
      <c r="AM65" s="62">
        <v>0</v>
      </c>
      <c r="AN65" s="62">
        <v>0</v>
      </c>
      <c r="AO65" s="62">
        <f>66630</f>
        <v>66630</v>
      </c>
      <c r="AP65" s="62">
        <v>0</v>
      </c>
      <c r="AQ65" s="62">
        <v>0</v>
      </c>
      <c r="AR65" s="62">
        <v>56300</v>
      </c>
      <c r="AS65" s="62">
        <v>0</v>
      </c>
      <c r="AT65" s="62">
        <v>0</v>
      </c>
      <c r="AU65" s="62">
        <v>47270</v>
      </c>
      <c r="AV65" s="62">
        <v>0</v>
      </c>
      <c r="AW65" s="190">
        <f t="shared" si="18"/>
        <v>255270</v>
      </c>
      <c r="AX65" s="197">
        <f t="shared" si="342"/>
        <v>3.3461647769930675E-3</v>
      </c>
      <c r="AY65" s="62">
        <v>0</v>
      </c>
      <c r="AZ65" s="62">
        <v>0</v>
      </c>
      <c r="BA65" s="62">
        <f>48290</f>
        <v>48290</v>
      </c>
      <c r="BB65" s="62">
        <v>105460</v>
      </c>
      <c r="BC65" s="62">
        <v>0</v>
      </c>
      <c r="BD65" s="62">
        <v>0</v>
      </c>
      <c r="BE65" s="62">
        <v>0</v>
      </c>
      <c r="BF65" s="62">
        <v>0</v>
      </c>
      <c r="BG65" s="62">
        <v>0</v>
      </c>
      <c r="BH65" s="62">
        <f>32460+49400</f>
        <v>81860</v>
      </c>
      <c r="BI65" s="62">
        <f>40490</f>
        <v>40490</v>
      </c>
      <c r="BJ65" s="62">
        <v>0</v>
      </c>
      <c r="BK65" s="190">
        <f t="shared" si="19"/>
        <v>276100</v>
      </c>
      <c r="BL65" s="197">
        <f t="shared" si="343"/>
        <v>3.9533772394464515E-3</v>
      </c>
      <c r="BM65" s="62">
        <v>0</v>
      </c>
      <c r="BN65" s="62">
        <f>81300</f>
        <v>81300</v>
      </c>
      <c r="BO65" s="62">
        <f>93340</f>
        <v>93340</v>
      </c>
      <c r="BP65" s="62">
        <f>128850+156170</f>
        <v>285020</v>
      </c>
      <c r="BQ65" s="62">
        <f>64780</f>
        <v>64780</v>
      </c>
      <c r="BR65" s="62">
        <v>0</v>
      </c>
      <c r="BS65" s="62">
        <v>0</v>
      </c>
      <c r="BT65" s="62">
        <v>0</v>
      </c>
      <c r="BU65" s="62">
        <v>0</v>
      </c>
      <c r="BV65" s="62">
        <v>0</v>
      </c>
      <c r="BW65" s="62">
        <v>0</v>
      </c>
      <c r="BX65" s="62">
        <v>0</v>
      </c>
      <c r="BY65" s="190">
        <f t="shared" si="20"/>
        <v>524440</v>
      </c>
      <c r="BZ65" s="197">
        <f t="shared" si="344"/>
        <v>1.2016619431023015E-2</v>
      </c>
      <c r="CA65" s="62">
        <v>0</v>
      </c>
      <c r="CB65" s="62">
        <v>0</v>
      </c>
      <c r="CC65" s="62">
        <v>0</v>
      </c>
      <c r="CD65" s="62">
        <v>0</v>
      </c>
      <c r="CE65" s="62">
        <v>0</v>
      </c>
      <c r="CF65" s="62">
        <v>0</v>
      </c>
      <c r="CG65" s="62">
        <v>0</v>
      </c>
      <c r="CH65" s="62">
        <v>0</v>
      </c>
      <c r="CI65" s="62">
        <v>0</v>
      </c>
      <c r="CJ65" s="62">
        <v>0</v>
      </c>
      <c r="CK65" s="62">
        <v>0</v>
      </c>
      <c r="CL65" s="62">
        <v>0</v>
      </c>
      <c r="CM65" s="190">
        <f t="shared" si="21"/>
        <v>0</v>
      </c>
      <c r="CN65" s="62">
        <v>0</v>
      </c>
      <c r="CO65" s="62">
        <v>0</v>
      </c>
      <c r="CP65" s="62">
        <v>0</v>
      </c>
      <c r="CQ65" s="62">
        <v>0</v>
      </c>
      <c r="CR65" s="62">
        <v>0</v>
      </c>
      <c r="CS65" s="62">
        <v>0</v>
      </c>
      <c r="CT65" s="62">
        <v>0</v>
      </c>
      <c r="CU65" s="62">
        <v>0</v>
      </c>
      <c r="CV65" s="62">
        <v>0</v>
      </c>
      <c r="CW65" s="62">
        <v>0</v>
      </c>
      <c r="CX65" s="62">
        <v>0</v>
      </c>
      <c r="CY65" s="62">
        <v>0</v>
      </c>
      <c r="CZ65" s="190">
        <f t="shared" si="22"/>
        <v>0</v>
      </c>
      <c r="DA65" s="62">
        <v>0</v>
      </c>
      <c r="DB65" s="62">
        <v>0</v>
      </c>
      <c r="DC65" s="62">
        <v>0</v>
      </c>
      <c r="DD65" s="62">
        <v>0</v>
      </c>
      <c r="DE65" s="62">
        <v>0</v>
      </c>
      <c r="DF65" s="62">
        <v>0</v>
      </c>
      <c r="DG65" s="62">
        <v>0</v>
      </c>
      <c r="DH65" s="62">
        <v>0</v>
      </c>
      <c r="DI65" s="62">
        <v>0</v>
      </c>
      <c r="DJ65" s="62">
        <v>0</v>
      </c>
      <c r="DK65" s="62">
        <v>0</v>
      </c>
      <c r="DL65" s="62">
        <v>0</v>
      </c>
      <c r="DM65" s="190">
        <f t="shared" si="23"/>
        <v>0</v>
      </c>
      <c r="DN65" s="62">
        <v>0</v>
      </c>
      <c r="DO65" s="62">
        <v>0</v>
      </c>
      <c r="DP65" s="62">
        <v>0</v>
      </c>
      <c r="DQ65" s="62">
        <v>0</v>
      </c>
      <c r="DR65" s="62">
        <v>0</v>
      </c>
      <c r="DS65" s="62">
        <v>0</v>
      </c>
      <c r="DT65" s="62">
        <v>0</v>
      </c>
      <c r="DU65" s="62">
        <v>0</v>
      </c>
      <c r="DV65" s="62">
        <v>0</v>
      </c>
      <c r="DW65" s="62">
        <v>0</v>
      </c>
      <c r="DX65" s="62">
        <v>0</v>
      </c>
      <c r="DY65" s="62">
        <v>0</v>
      </c>
      <c r="DZ65" s="190">
        <f t="shared" si="24"/>
        <v>0</v>
      </c>
    </row>
    <row r="66" spans="1:130" ht="20.45" customHeight="1" outlineLevel="2">
      <c r="A66" s="525"/>
      <c r="B66" s="530"/>
      <c r="C66" s="30" t="s">
        <v>3032</v>
      </c>
      <c r="D66" s="62">
        <f t="shared" si="0"/>
        <v>282929.99999999994</v>
      </c>
      <c r="E66" s="184">
        <f t="shared" si="179"/>
        <v>8.7538637488721461E-4</v>
      </c>
      <c r="F66" s="62">
        <v>0</v>
      </c>
      <c r="G66" s="190">
        <f t="shared" si="36"/>
        <v>0</v>
      </c>
      <c r="H66" s="197">
        <f t="shared" si="339"/>
        <v>0</v>
      </c>
      <c r="I66" s="62">
        <v>0</v>
      </c>
      <c r="J66" s="62">
        <v>0</v>
      </c>
      <c r="K66" s="62">
        <v>0</v>
      </c>
      <c r="L66" s="62">
        <v>0</v>
      </c>
      <c r="M66" s="62">
        <v>0</v>
      </c>
      <c r="N66" s="62">
        <v>0</v>
      </c>
      <c r="O66" s="62">
        <v>0</v>
      </c>
      <c r="P66" s="62">
        <v>0</v>
      </c>
      <c r="Q66" s="62">
        <v>0</v>
      </c>
      <c r="R66" s="62">
        <v>0</v>
      </c>
      <c r="S66" s="62">
        <v>0</v>
      </c>
      <c r="T66" s="62">
        <v>0</v>
      </c>
      <c r="U66" s="190">
        <f t="shared" si="16"/>
        <v>0</v>
      </c>
      <c r="V66" s="197">
        <f t="shared" si="340"/>
        <v>0</v>
      </c>
      <c r="W66" s="62">
        <v>117640</v>
      </c>
      <c r="X66" s="62">
        <v>0</v>
      </c>
      <c r="Y66" s="62">
        <v>0</v>
      </c>
      <c r="Z66" s="62">
        <v>0</v>
      </c>
      <c r="AA66" s="62">
        <v>0</v>
      </c>
      <c r="AB66" s="62">
        <v>33790</v>
      </c>
      <c r="AC66" s="62">
        <v>0</v>
      </c>
      <c r="AD66" s="62">
        <v>0</v>
      </c>
      <c r="AE66" s="62">
        <v>0</v>
      </c>
      <c r="AF66" s="62">
        <v>0</v>
      </c>
      <c r="AG66" s="62">
        <v>0</v>
      </c>
      <c r="AH66" s="62">
        <v>0</v>
      </c>
      <c r="AI66" s="190">
        <f t="shared" si="17"/>
        <v>151430</v>
      </c>
      <c r="AJ66" s="197">
        <f t="shared" si="341"/>
        <v>2.0580683796243104E-3</v>
      </c>
      <c r="AK66" s="62">
        <v>0</v>
      </c>
      <c r="AL66" s="62">
        <v>0</v>
      </c>
      <c r="AM66" s="62">
        <v>0</v>
      </c>
      <c r="AN66" s="62">
        <f>59150</f>
        <v>59150</v>
      </c>
      <c r="AO66" s="62">
        <v>0</v>
      </c>
      <c r="AP66" s="62">
        <v>0</v>
      </c>
      <c r="AQ66" s="62">
        <v>0</v>
      </c>
      <c r="AR66" s="62">
        <v>0</v>
      </c>
      <c r="AS66" s="62">
        <v>0</v>
      </c>
      <c r="AT66" s="62">
        <v>0</v>
      </c>
      <c r="AU66" s="62">
        <v>0</v>
      </c>
      <c r="AV66" s="62">
        <v>0</v>
      </c>
      <c r="AW66" s="190">
        <f t="shared" si="18"/>
        <v>59150</v>
      </c>
      <c r="AX66" s="197">
        <f t="shared" si="342"/>
        <v>7.7535803877909644E-4</v>
      </c>
      <c r="AY66" s="62">
        <v>0</v>
      </c>
      <c r="AZ66" s="62">
        <v>0</v>
      </c>
      <c r="BA66" s="62">
        <v>0</v>
      </c>
      <c r="BB66" s="62">
        <v>0</v>
      </c>
      <c r="BC66" s="62">
        <v>0</v>
      </c>
      <c r="BD66" s="62">
        <v>0</v>
      </c>
      <c r="BE66" s="62">
        <v>0</v>
      </c>
      <c r="BF66" s="62">
        <f>72350</f>
        <v>72350</v>
      </c>
      <c r="BG66" s="62">
        <v>0</v>
      </c>
      <c r="BH66" s="62">
        <v>0</v>
      </c>
      <c r="BI66" s="62">
        <v>0</v>
      </c>
      <c r="BJ66" s="62">
        <v>0</v>
      </c>
      <c r="BK66" s="190">
        <f t="shared" si="19"/>
        <v>72350</v>
      </c>
      <c r="BL66" s="197">
        <f t="shared" si="343"/>
        <v>1.035953796718402E-3</v>
      </c>
      <c r="BM66" s="62">
        <v>0</v>
      </c>
      <c r="BN66" s="62">
        <v>0</v>
      </c>
      <c r="BO66" s="62">
        <v>0</v>
      </c>
      <c r="BP66" s="62">
        <v>0</v>
      </c>
      <c r="BQ66" s="62">
        <v>0</v>
      </c>
      <c r="BR66" s="62">
        <v>0</v>
      </c>
      <c r="BS66" s="62">
        <v>0</v>
      </c>
      <c r="BT66" s="62">
        <v>0</v>
      </c>
      <c r="BU66" s="62">
        <v>0</v>
      </c>
      <c r="BV66" s="62">
        <v>0</v>
      </c>
      <c r="BW66" s="62">
        <v>0</v>
      </c>
      <c r="BX66" s="62">
        <v>0</v>
      </c>
      <c r="BY66" s="190">
        <f t="shared" si="20"/>
        <v>0</v>
      </c>
      <c r="BZ66" s="197">
        <f t="shared" si="344"/>
        <v>0</v>
      </c>
      <c r="CA66" s="62">
        <v>0</v>
      </c>
      <c r="CB66" s="62">
        <v>0</v>
      </c>
      <c r="CC66" s="62">
        <v>0</v>
      </c>
      <c r="CD66" s="62">
        <v>0</v>
      </c>
      <c r="CE66" s="62">
        <v>0</v>
      </c>
      <c r="CF66" s="62">
        <v>0</v>
      </c>
      <c r="CG66" s="62">
        <v>0</v>
      </c>
      <c r="CH66" s="62">
        <v>0</v>
      </c>
      <c r="CI66" s="62">
        <v>0</v>
      </c>
      <c r="CJ66" s="62">
        <v>0</v>
      </c>
      <c r="CK66" s="62">
        <v>0</v>
      </c>
      <c r="CL66" s="62">
        <v>0</v>
      </c>
      <c r="CM66" s="190">
        <f t="shared" si="21"/>
        <v>0</v>
      </c>
      <c r="CN66" s="62">
        <v>0</v>
      </c>
      <c r="CO66" s="62">
        <v>0</v>
      </c>
      <c r="CP66" s="62">
        <v>0</v>
      </c>
      <c r="CQ66" s="62">
        <v>0</v>
      </c>
      <c r="CR66" s="62">
        <v>0</v>
      </c>
      <c r="CS66" s="62">
        <v>0</v>
      </c>
      <c r="CT66" s="62">
        <v>0</v>
      </c>
      <c r="CU66" s="62">
        <v>0</v>
      </c>
      <c r="CV66" s="62">
        <v>0</v>
      </c>
      <c r="CW66" s="62">
        <v>0</v>
      </c>
      <c r="CX66" s="62">
        <v>0</v>
      </c>
      <c r="CY66" s="62">
        <v>0</v>
      </c>
      <c r="CZ66" s="190">
        <f t="shared" si="22"/>
        <v>0</v>
      </c>
      <c r="DA66" s="62">
        <v>0</v>
      </c>
      <c r="DB66" s="62">
        <v>0</v>
      </c>
      <c r="DC66" s="62">
        <v>0</v>
      </c>
      <c r="DD66" s="62">
        <v>0</v>
      </c>
      <c r="DE66" s="62">
        <v>0</v>
      </c>
      <c r="DF66" s="62">
        <v>0</v>
      </c>
      <c r="DG66" s="62">
        <v>0</v>
      </c>
      <c r="DH66" s="62">
        <v>0</v>
      </c>
      <c r="DI66" s="62">
        <v>0</v>
      </c>
      <c r="DJ66" s="62">
        <v>0</v>
      </c>
      <c r="DK66" s="62">
        <v>0</v>
      </c>
      <c r="DL66" s="62">
        <v>0</v>
      </c>
      <c r="DM66" s="190">
        <f t="shared" si="23"/>
        <v>0</v>
      </c>
      <c r="DN66" s="62">
        <v>0</v>
      </c>
      <c r="DO66" s="62">
        <v>0</v>
      </c>
      <c r="DP66" s="62">
        <v>0</v>
      </c>
      <c r="DQ66" s="62">
        <v>0</v>
      </c>
      <c r="DR66" s="62">
        <v>0</v>
      </c>
      <c r="DS66" s="62">
        <v>0</v>
      </c>
      <c r="DT66" s="62">
        <v>0</v>
      </c>
      <c r="DU66" s="62">
        <v>0</v>
      </c>
      <c r="DV66" s="62">
        <v>0</v>
      </c>
      <c r="DW66" s="62">
        <v>0</v>
      </c>
      <c r="DX66" s="62">
        <v>0</v>
      </c>
      <c r="DY66" s="62">
        <v>0</v>
      </c>
      <c r="DZ66" s="190">
        <f t="shared" si="24"/>
        <v>0</v>
      </c>
    </row>
    <row r="67" spans="1:130" ht="20.45" customHeight="1" outlineLevel="2">
      <c r="A67" s="525"/>
      <c r="B67" s="530"/>
      <c r="C67" s="30" t="s">
        <v>335</v>
      </c>
      <c r="D67" s="62">
        <f t="shared" si="0"/>
        <v>4119183</v>
      </c>
      <c r="E67" s="184">
        <f t="shared" si="179"/>
        <v>1.2744766104220274E-2</v>
      </c>
      <c r="F67" s="62">
        <v>272534</v>
      </c>
      <c r="G67" s="190">
        <f t="shared" si="36"/>
        <v>272534</v>
      </c>
      <c r="H67" s="197">
        <f t="shared" si="339"/>
        <v>6.2252150286495479E-2</v>
      </c>
      <c r="I67" s="62">
        <v>152420</v>
      </c>
      <c r="J67" s="62">
        <v>78932</v>
      </c>
      <c r="K67" s="62">
        <v>116237</v>
      </c>
      <c r="L67" s="62">
        <v>91550</v>
      </c>
      <c r="M67" s="62">
        <v>66310</v>
      </c>
      <c r="N67" s="62">
        <v>59590</v>
      </c>
      <c r="O67" s="62">
        <v>51920</v>
      </c>
      <c r="P67" s="62">
        <v>37016</v>
      </c>
      <c r="Q67" s="62">
        <v>63380</v>
      </c>
      <c r="R67" s="62">
        <v>13480</v>
      </c>
      <c r="S67" s="62">
        <v>0</v>
      </c>
      <c r="T67" s="62">
        <v>75993</v>
      </c>
      <c r="U67" s="190">
        <f t="shared" si="16"/>
        <v>806828</v>
      </c>
      <c r="V67" s="197">
        <f t="shared" si="340"/>
        <v>1.4542682833959058E-2</v>
      </c>
      <c r="W67" s="62">
        <v>9980</v>
      </c>
      <c r="X67" s="62">
        <v>0</v>
      </c>
      <c r="Y67" s="62">
        <v>26540</v>
      </c>
      <c r="Z67" s="62">
        <f>49080+15410</f>
        <v>64490</v>
      </c>
      <c r="AA67" s="62">
        <v>39820</v>
      </c>
      <c r="AB67" s="62">
        <f>9740+9960</f>
        <v>19700</v>
      </c>
      <c r="AC67" s="62">
        <v>21990</v>
      </c>
      <c r="AD67" s="62">
        <f>13920+36510+23190</f>
        <v>73620</v>
      </c>
      <c r="AE67" s="62">
        <v>0</v>
      </c>
      <c r="AF67" s="62">
        <f>9480+10760</f>
        <v>20240</v>
      </c>
      <c r="AG67" s="62">
        <f>22730+28940</f>
        <v>51670</v>
      </c>
      <c r="AH67" s="62">
        <v>13350</v>
      </c>
      <c r="AI67" s="190">
        <f t="shared" si="17"/>
        <v>341400</v>
      </c>
      <c r="AJ67" s="197">
        <f t="shared" si="341"/>
        <v>4.6399296361602027E-3</v>
      </c>
      <c r="AK67" s="62">
        <f>21360+65630+12960</f>
        <v>99950</v>
      </c>
      <c r="AL67" s="62">
        <f>17760+2780</f>
        <v>20540</v>
      </c>
      <c r="AM67" s="62">
        <f>2780+33260+5280+3490+15800+31470</f>
        <v>92080</v>
      </c>
      <c r="AN67" s="62">
        <f>12510+45200+35380+2800</f>
        <v>95890</v>
      </c>
      <c r="AO67" s="62">
        <f>11880+24160+9330+10960</f>
        <v>56330</v>
      </c>
      <c r="AP67" s="62">
        <f>2800+6980</f>
        <v>9780</v>
      </c>
      <c r="AQ67" s="62">
        <f>62460+22860+6480+16160+5980+54880</f>
        <v>168820</v>
      </c>
      <c r="AR67" s="62">
        <f>9140+6230+15550+10410+4780+70100+8970</f>
        <v>125180</v>
      </c>
      <c r="AS67" s="62">
        <f>9560+56800+4980+34100+23340+13780+20450+40410</f>
        <v>203420</v>
      </c>
      <c r="AT67" s="62">
        <f>15980+1890+43980+5410+12600</f>
        <v>79860</v>
      </c>
      <c r="AU67" s="62">
        <f>25960+18980+31810+15100+29630</f>
        <v>121480</v>
      </c>
      <c r="AV67" s="62">
        <f>59660+17460+2800</f>
        <v>79920</v>
      </c>
      <c r="AW67" s="190">
        <f t="shared" si="18"/>
        <v>1153250</v>
      </c>
      <c r="AX67" s="197">
        <f t="shared" si="342"/>
        <v>1.5117187797497768E-2</v>
      </c>
      <c r="AY67" s="62">
        <f>40390+35761+13330+5980</f>
        <v>95461</v>
      </c>
      <c r="AZ67" s="62">
        <f>6850+58340</f>
        <v>65190</v>
      </c>
      <c r="BA67" s="62">
        <f>21610+28920+5880+31960+32190</f>
        <v>120560</v>
      </c>
      <c r="BB67" s="62">
        <f>5580+8460+18160</f>
        <v>32200</v>
      </c>
      <c r="BC67" s="62">
        <f>17580+18080+15240+34760</f>
        <v>85660</v>
      </c>
      <c r="BD67" s="62">
        <f>41070+6760+69910</f>
        <v>117740</v>
      </c>
      <c r="BE67" s="62">
        <f>21440+10740+26720+52260</f>
        <v>111160</v>
      </c>
      <c r="BF67" s="62">
        <f>2780+3880+12040+8760+78100+16710+11860+11510+17990</f>
        <v>163630</v>
      </c>
      <c r="BG67" s="62">
        <f>35230+20260+5580+82800+12560+4980</f>
        <v>161410</v>
      </c>
      <c r="BH67" s="62">
        <f>4230+23460+11940+12500</f>
        <v>52130</v>
      </c>
      <c r="BI67" s="62">
        <f>42070+11360+5930+8730+21960</f>
        <v>90050</v>
      </c>
      <c r="BJ67" s="62">
        <f>81650+5580+35340+5580</f>
        <v>128150</v>
      </c>
      <c r="BK67" s="190">
        <f t="shared" si="19"/>
        <v>1223341</v>
      </c>
      <c r="BL67" s="197">
        <f t="shared" si="343"/>
        <v>1.7516582634848465E-2</v>
      </c>
      <c r="BM67" s="62">
        <f>3150+29880+47660+8460</f>
        <v>89150</v>
      </c>
      <c r="BN67" s="62">
        <f>5580+8460+9860+6330+19550+19980+2780</f>
        <v>72540</v>
      </c>
      <c r="BO67" s="62">
        <f>2000+5280+9560+8680+5760+7560</f>
        <v>38840</v>
      </c>
      <c r="BP67" s="62">
        <f>5280+5880+10260+5760+21240+5760+5680</f>
        <v>59860</v>
      </c>
      <c r="BQ67" s="62">
        <f>11440+50000</f>
        <v>61440</v>
      </c>
      <c r="BR67" s="62">
        <v>0</v>
      </c>
      <c r="BS67" s="62">
        <v>0</v>
      </c>
      <c r="BT67" s="62">
        <v>0</v>
      </c>
      <c r="BU67" s="62">
        <v>0</v>
      </c>
      <c r="BV67" s="62">
        <v>0</v>
      </c>
      <c r="BW67" s="62">
        <v>0</v>
      </c>
      <c r="BX67" s="62">
        <v>0</v>
      </c>
      <c r="BY67" s="190">
        <f t="shared" si="20"/>
        <v>321830</v>
      </c>
      <c r="BZ67" s="197">
        <f t="shared" si="344"/>
        <v>7.3741679343416536E-3</v>
      </c>
      <c r="CA67" s="62">
        <v>0</v>
      </c>
      <c r="CB67" s="62">
        <v>0</v>
      </c>
      <c r="CC67" s="62">
        <v>0</v>
      </c>
      <c r="CD67" s="62">
        <v>0</v>
      </c>
      <c r="CE67" s="62">
        <v>0</v>
      </c>
      <c r="CF67" s="62">
        <v>0</v>
      </c>
      <c r="CG67" s="62">
        <v>0</v>
      </c>
      <c r="CH67" s="62">
        <v>0</v>
      </c>
      <c r="CI67" s="62">
        <v>0</v>
      </c>
      <c r="CJ67" s="62">
        <v>0</v>
      </c>
      <c r="CK67" s="62">
        <v>0</v>
      </c>
      <c r="CL67" s="62">
        <v>0</v>
      </c>
      <c r="CM67" s="190">
        <f t="shared" si="21"/>
        <v>0</v>
      </c>
      <c r="CN67" s="62">
        <v>0</v>
      </c>
      <c r="CO67" s="62">
        <v>0</v>
      </c>
      <c r="CP67" s="62">
        <v>0</v>
      </c>
      <c r="CQ67" s="62">
        <v>0</v>
      </c>
      <c r="CR67" s="62">
        <v>0</v>
      </c>
      <c r="CS67" s="62">
        <v>0</v>
      </c>
      <c r="CT67" s="62">
        <v>0</v>
      </c>
      <c r="CU67" s="62">
        <v>0</v>
      </c>
      <c r="CV67" s="62">
        <v>0</v>
      </c>
      <c r="CW67" s="62">
        <v>0</v>
      </c>
      <c r="CX67" s="62">
        <v>0</v>
      </c>
      <c r="CY67" s="62">
        <v>0</v>
      </c>
      <c r="CZ67" s="190">
        <f t="shared" si="22"/>
        <v>0</v>
      </c>
      <c r="DA67" s="62">
        <v>0</v>
      </c>
      <c r="DB67" s="62">
        <v>0</v>
      </c>
      <c r="DC67" s="62">
        <v>0</v>
      </c>
      <c r="DD67" s="62">
        <v>0</v>
      </c>
      <c r="DE67" s="62">
        <v>0</v>
      </c>
      <c r="DF67" s="62">
        <v>0</v>
      </c>
      <c r="DG67" s="62">
        <v>0</v>
      </c>
      <c r="DH67" s="62">
        <v>0</v>
      </c>
      <c r="DI67" s="62">
        <v>0</v>
      </c>
      <c r="DJ67" s="62">
        <v>0</v>
      </c>
      <c r="DK67" s="62">
        <v>0</v>
      </c>
      <c r="DL67" s="62">
        <v>0</v>
      </c>
      <c r="DM67" s="190">
        <f t="shared" si="23"/>
        <v>0</v>
      </c>
      <c r="DN67" s="62">
        <v>0</v>
      </c>
      <c r="DO67" s="62">
        <v>0</v>
      </c>
      <c r="DP67" s="62">
        <v>0</v>
      </c>
      <c r="DQ67" s="62">
        <v>0</v>
      </c>
      <c r="DR67" s="62">
        <v>0</v>
      </c>
      <c r="DS67" s="62">
        <v>0</v>
      </c>
      <c r="DT67" s="62">
        <v>0</v>
      </c>
      <c r="DU67" s="62">
        <v>0</v>
      </c>
      <c r="DV67" s="62">
        <v>0</v>
      </c>
      <c r="DW67" s="62">
        <v>0</v>
      </c>
      <c r="DX67" s="62">
        <v>0</v>
      </c>
      <c r="DY67" s="62">
        <v>0</v>
      </c>
      <c r="DZ67" s="190">
        <f t="shared" si="24"/>
        <v>0</v>
      </c>
    </row>
    <row r="68" spans="1:130" ht="20.45" customHeight="1" outlineLevel="2">
      <c r="A68" s="525"/>
      <c r="B68" s="530"/>
      <c r="C68" s="30" t="s">
        <v>336</v>
      </c>
      <c r="D68" s="62">
        <f t="shared" si="0"/>
        <v>244299.99999999994</v>
      </c>
      <c r="E68" s="184">
        <f t="shared" si="179"/>
        <v>7.5586502451117422E-4</v>
      </c>
      <c r="F68" s="62">
        <v>115800</v>
      </c>
      <c r="G68" s="190">
        <f t="shared" si="36"/>
        <v>115800</v>
      </c>
      <c r="H68" s="197">
        <f t="shared" si="339"/>
        <v>2.6451007959286461E-2</v>
      </c>
      <c r="I68" s="62">
        <v>0</v>
      </c>
      <c r="J68" s="62">
        <v>0</v>
      </c>
      <c r="K68" s="62">
        <v>0</v>
      </c>
      <c r="L68" s="62">
        <v>0</v>
      </c>
      <c r="M68" s="62">
        <v>0</v>
      </c>
      <c r="N68" s="62">
        <v>18500</v>
      </c>
      <c r="O68" s="62">
        <v>0</v>
      </c>
      <c r="P68" s="62">
        <v>0</v>
      </c>
      <c r="Q68" s="62">
        <v>20500</v>
      </c>
      <c r="R68" s="62">
        <v>17500</v>
      </c>
      <c r="S68" s="62">
        <v>0</v>
      </c>
      <c r="T68" s="62">
        <v>0</v>
      </c>
      <c r="U68" s="190">
        <f t="shared" si="16"/>
        <v>56500</v>
      </c>
      <c r="V68" s="197">
        <f t="shared" si="340"/>
        <v>1.018385058672588E-3</v>
      </c>
      <c r="W68" s="62">
        <v>0</v>
      </c>
      <c r="X68" s="62">
        <v>0</v>
      </c>
      <c r="Y68" s="62">
        <v>0</v>
      </c>
      <c r="Z68" s="62">
        <v>0</v>
      </c>
      <c r="AA68" s="62">
        <v>0</v>
      </c>
      <c r="AB68" s="62">
        <v>0</v>
      </c>
      <c r="AC68" s="62">
        <v>0</v>
      </c>
      <c r="AD68" s="62">
        <v>0</v>
      </c>
      <c r="AE68" s="62">
        <v>0</v>
      </c>
      <c r="AF68" s="62">
        <v>0</v>
      </c>
      <c r="AG68" s="62">
        <v>0</v>
      </c>
      <c r="AH68" s="62">
        <v>0</v>
      </c>
      <c r="AI68" s="190">
        <f t="shared" si="17"/>
        <v>0</v>
      </c>
      <c r="AJ68" s="197">
        <f t="shared" si="341"/>
        <v>0</v>
      </c>
      <c r="AK68" s="62">
        <v>0</v>
      </c>
      <c r="AL68" s="62">
        <v>0</v>
      </c>
      <c r="AM68" s="62">
        <v>0</v>
      </c>
      <c r="AN68" s="62">
        <v>0</v>
      </c>
      <c r="AO68" s="62">
        <v>0</v>
      </c>
      <c r="AP68" s="62">
        <v>0</v>
      </c>
      <c r="AQ68" s="62">
        <v>0</v>
      </c>
      <c r="AR68" s="62">
        <v>0</v>
      </c>
      <c r="AS68" s="62">
        <v>0</v>
      </c>
      <c r="AT68" s="62">
        <v>0</v>
      </c>
      <c r="AU68" s="62">
        <v>0</v>
      </c>
      <c r="AV68" s="62">
        <v>0</v>
      </c>
      <c r="AW68" s="190">
        <f t="shared" si="18"/>
        <v>0</v>
      </c>
      <c r="AX68" s="197">
        <f t="shared" si="342"/>
        <v>0</v>
      </c>
      <c r="AY68" s="62">
        <v>0</v>
      </c>
      <c r="AZ68" s="62">
        <v>0</v>
      </c>
      <c r="BA68" s="62">
        <v>0</v>
      </c>
      <c r="BB68" s="62">
        <v>0</v>
      </c>
      <c r="BC68" s="62">
        <v>0</v>
      </c>
      <c r="BD68" s="62">
        <v>0</v>
      </c>
      <c r="BE68" s="62">
        <v>0</v>
      </c>
      <c r="BF68" s="62">
        <v>0</v>
      </c>
      <c r="BG68" s="62">
        <v>0</v>
      </c>
      <c r="BH68" s="62">
        <f>25000</f>
        <v>25000</v>
      </c>
      <c r="BI68" s="62">
        <v>47000</v>
      </c>
      <c r="BJ68" s="62">
        <v>0</v>
      </c>
      <c r="BK68" s="190">
        <f t="shared" si="19"/>
        <v>72000</v>
      </c>
      <c r="BL68" s="197">
        <f t="shared" si="343"/>
        <v>1.0309422717861083E-3</v>
      </c>
      <c r="BM68" s="62">
        <v>0</v>
      </c>
      <c r="BN68" s="62">
        <v>0</v>
      </c>
      <c r="BO68" s="62">
        <v>0</v>
      </c>
      <c r="BP68" s="62">
        <v>0</v>
      </c>
      <c r="BQ68" s="62">
        <v>0</v>
      </c>
      <c r="BR68" s="62">
        <v>0</v>
      </c>
      <c r="BS68" s="62">
        <v>0</v>
      </c>
      <c r="BT68" s="62">
        <v>0</v>
      </c>
      <c r="BU68" s="62">
        <v>0</v>
      </c>
      <c r="BV68" s="62">
        <v>0</v>
      </c>
      <c r="BW68" s="62">
        <v>0</v>
      </c>
      <c r="BX68" s="62">
        <v>0</v>
      </c>
      <c r="BY68" s="190">
        <f t="shared" si="20"/>
        <v>0</v>
      </c>
      <c r="BZ68" s="197">
        <f t="shared" si="344"/>
        <v>0</v>
      </c>
      <c r="CA68" s="62">
        <v>0</v>
      </c>
      <c r="CB68" s="62">
        <v>0</v>
      </c>
      <c r="CC68" s="62">
        <v>0</v>
      </c>
      <c r="CD68" s="62">
        <v>0</v>
      </c>
      <c r="CE68" s="62">
        <v>0</v>
      </c>
      <c r="CF68" s="62">
        <v>0</v>
      </c>
      <c r="CG68" s="62">
        <v>0</v>
      </c>
      <c r="CH68" s="62">
        <v>0</v>
      </c>
      <c r="CI68" s="62">
        <v>0</v>
      </c>
      <c r="CJ68" s="62">
        <v>0</v>
      </c>
      <c r="CK68" s="62">
        <v>0</v>
      </c>
      <c r="CL68" s="62">
        <v>0</v>
      </c>
      <c r="CM68" s="190">
        <f t="shared" si="21"/>
        <v>0</v>
      </c>
      <c r="CN68" s="62">
        <v>0</v>
      </c>
      <c r="CO68" s="62">
        <v>0</v>
      </c>
      <c r="CP68" s="62">
        <v>0</v>
      </c>
      <c r="CQ68" s="62">
        <v>0</v>
      </c>
      <c r="CR68" s="62">
        <v>0</v>
      </c>
      <c r="CS68" s="62">
        <v>0</v>
      </c>
      <c r="CT68" s="62">
        <v>0</v>
      </c>
      <c r="CU68" s="62">
        <v>0</v>
      </c>
      <c r="CV68" s="62">
        <v>0</v>
      </c>
      <c r="CW68" s="62">
        <v>0</v>
      </c>
      <c r="CX68" s="62">
        <v>0</v>
      </c>
      <c r="CY68" s="62">
        <v>0</v>
      </c>
      <c r="CZ68" s="190">
        <f t="shared" si="22"/>
        <v>0</v>
      </c>
      <c r="DA68" s="62">
        <v>0</v>
      </c>
      <c r="DB68" s="62">
        <v>0</v>
      </c>
      <c r="DC68" s="62">
        <v>0</v>
      </c>
      <c r="DD68" s="62">
        <v>0</v>
      </c>
      <c r="DE68" s="62">
        <v>0</v>
      </c>
      <c r="DF68" s="62">
        <v>0</v>
      </c>
      <c r="DG68" s="62">
        <v>0</v>
      </c>
      <c r="DH68" s="62">
        <v>0</v>
      </c>
      <c r="DI68" s="62">
        <v>0</v>
      </c>
      <c r="DJ68" s="62">
        <v>0</v>
      </c>
      <c r="DK68" s="62">
        <v>0</v>
      </c>
      <c r="DL68" s="62">
        <v>0</v>
      </c>
      <c r="DM68" s="190">
        <f t="shared" si="23"/>
        <v>0</v>
      </c>
      <c r="DN68" s="62">
        <v>0</v>
      </c>
      <c r="DO68" s="62">
        <v>0</v>
      </c>
      <c r="DP68" s="62">
        <v>0</v>
      </c>
      <c r="DQ68" s="62">
        <v>0</v>
      </c>
      <c r="DR68" s="62">
        <v>0</v>
      </c>
      <c r="DS68" s="62">
        <v>0</v>
      </c>
      <c r="DT68" s="62">
        <v>0</v>
      </c>
      <c r="DU68" s="62">
        <v>0</v>
      </c>
      <c r="DV68" s="62">
        <v>0</v>
      </c>
      <c r="DW68" s="62">
        <v>0</v>
      </c>
      <c r="DX68" s="62">
        <v>0</v>
      </c>
      <c r="DY68" s="62">
        <v>0</v>
      </c>
      <c r="DZ68" s="190">
        <f t="shared" si="24"/>
        <v>0</v>
      </c>
    </row>
    <row r="69" spans="1:130" ht="20.45" customHeight="1" outlineLevel="2">
      <c r="A69" s="525"/>
      <c r="B69" s="530"/>
      <c r="C69" s="30" t="s">
        <v>337</v>
      </c>
      <c r="D69" s="62">
        <f t="shared" ref="D69:D132" si="345">SUM(F69:FJ69)-G69-U69-AI69-AW69-BK69-BY69-CM69-CZ69-DM69-DZ69-H69-V69-AJ69-AX69-BL69-BZ69</f>
        <v>347490.00000000006</v>
      </c>
      <c r="E69" s="184">
        <f t="shared" si="179"/>
        <v>1.0751352327768647E-3</v>
      </c>
      <c r="F69" s="62">
        <v>0</v>
      </c>
      <c r="G69" s="190">
        <f t="shared" si="36"/>
        <v>0</v>
      </c>
      <c r="H69" s="197">
        <f t="shared" si="339"/>
        <v>0</v>
      </c>
      <c r="I69" s="62">
        <v>0</v>
      </c>
      <c r="J69" s="62">
        <v>272680</v>
      </c>
      <c r="K69" s="62">
        <v>0</v>
      </c>
      <c r="L69" s="62">
        <v>0</v>
      </c>
      <c r="M69" s="62">
        <v>0</v>
      </c>
      <c r="N69" s="62">
        <v>0</v>
      </c>
      <c r="O69" s="62">
        <v>0</v>
      </c>
      <c r="P69" s="62">
        <v>0</v>
      </c>
      <c r="Q69" s="62">
        <v>0</v>
      </c>
      <c r="R69" s="62">
        <v>0</v>
      </c>
      <c r="S69" s="62">
        <v>0</v>
      </c>
      <c r="T69" s="62">
        <v>0</v>
      </c>
      <c r="U69" s="190">
        <f t="shared" si="16"/>
        <v>272680</v>
      </c>
      <c r="V69" s="197">
        <f t="shared" si="340"/>
        <v>4.9149245628113498E-3</v>
      </c>
      <c r="W69" s="62">
        <v>0</v>
      </c>
      <c r="X69" s="62">
        <v>0</v>
      </c>
      <c r="Y69" s="62">
        <v>0</v>
      </c>
      <c r="Z69" s="62">
        <v>0</v>
      </c>
      <c r="AA69" s="62">
        <v>0</v>
      </c>
      <c r="AB69" s="62">
        <v>0</v>
      </c>
      <c r="AC69" s="62">
        <v>0</v>
      </c>
      <c r="AD69" s="62">
        <v>0</v>
      </c>
      <c r="AE69" s="62">
        <v>0</v>
      </c>
      <c r="AF69" s="62">
        <v>0</v>
      </c>
      <c r="AG69" s="62">
        <v>0</v>
      </c>
      <c r="AH69" s="62">
        <v>0</v>
      </c>
      <c r="AI69" s="190">
        <f t="shared" si="17"/>
        <v>0</v>
      </c>
      <c r="AJ69" s="197">
        <f t="shared" si="341"/>
        <v>0</v>
      </c>
      <c r="AK69" s="62">
        <v>0</v>
      </c>
      <c r="AL69" s="62">
        <v>0</v>
      </c>
      <c r="AM69" s="62">
        <v>0</v>
      </c>
      <c r="AN69" s="62">
        <v>0</v>
      </c>
      <c r="AO69" s="62">
        <v>0</v>
      </c>
      <c r="AP69" s="62">
        <v>0</v>
      </c>
      <c r="AQ69" s="62">
        <v>0</v>
      </c>
      <c r="AR69" s="62">
        <v>0</v>
      </c>
      <c r="AS69" s="62">
        <v>0</v>
      </c>
      <c r="AT69" s="62">
        <v>0</v>
      </c>
      <c r="AU69" s="62">
        <v>0</v>
      </c>
      <c r="AV69" s="62">
        <v>0</v>
      </c>
      <c r="AW69" s="190">
        <f t="shared" si="18"/>
        <v>0</v>
      </c>
      <c r="AX69" s="197">
        <f t="shared" si="342"/>
        <v>0</v>
      </c>
      <c r="AY69" s="62">
        <v>0</v>
      </c>
      <c r="AZ69" s="62">
        <v>0</v>
      </c>
      <c r="BA69" s="62">
        <v>0</v>
      </c>
      <c r="BB69" s="62">
        <f>47390+27420</f>
        <v>74810</v>
      </c>
      <c r="BC69" s="62">
        <v>0</v>
      </c>
      <c r="BD69" s="62">
        <v>0</v>
      </c>
      <c r="BE69" s="62">
        <v>0</v>
      </c>
      <c r="BF69" s="62">
        <v>0</v>
      </c>
      <c r="BG69" s="62">
        <v>0</v>
      </c>
      <c r="BH69" s="62">
        <v>0</v>
      </c>
      <c r="BI69" s="62">
        <v>0</v>
      </c>
      <c r="BJ69" s="62">
        <v>0</v>
      </c>
      <c r="BK69" s="190">
        <f t="shared" si="19"/>
        <v>74810</v>
      </c>
      <c r="BL69" s="197">
        <f t="shared" si="343"/>
        <v>1.071177657671094E-3</v>
      </c>
      <c r="BM69" s="62">
        <v>0</v>
      </c>
      <c r="BN69" s="62">
        <v>0</v>
      </c>
      <c r="BO69" s="62">
        <v>0</v>
      </c>
      <c r="BP69" s="62">
        <v>0</v>
      </c>
      <c r="BQ69" s="62">
        <v>0</v>
      </c>
      <c r="BR69" s="62">
        <v>0</v>
      </c>
      <c r="BS69" s="62">
        <v>0</v>
      </c>
      <c r="BT69" s="62">
        <v>0</v>
      </c>
      <c r="BU69" s="62">
        <v>0</v>
      </c>
      <c r="BV69" s="62">
        <v>0</v>
      </c>
      <c r="BW69" s="62">
        <v>0</v>
      </c>
      <c r="BX69" s="62">
        <v>0</v>
      </c>
      <c r="BY69" s="190">
        <f t="shared" si="20"/>
        <v>0</v>
      </c>
      <c r="BZ69" s="197">
        <f t="shared" si="344"/>
        <v>0</v>
      </c>
      <c r="CA69" s="62">
        <v>0</v>
      </c>
      <c r="CB69" s="62">
        <v>0</v>
      </c>
      <c r="CC69" s="62">
        <v>0</v>
      </c>
      <c r="CD69" s="62">
        <v>0</v>
      </c>
      <c r="CE69" s="62">
        <v>0</v>
      </c>
      <c r="CF69" s="62">
        <v>0</v>
      </c>
      <c r="CG69" s="62">
        <v>0</v>
      </c>
      <c r="CH69" s="62">
        <v>0</v>
      </c>
      <c r="CI69" s="62">
        <v>0</v>
      </c>
      <c r="CJ69" s="62">
        <v>0</v>
      </c>
      <c r="CK69" s="62">
        <v>0</v>
      </c>
      <c r="CL69" s="62">
        <v>0</v>
      </c>
      <c r="CM69" s="190">
        <f t="shared" si="21"/>
        <v>0</v>
      </c>
      <c r="CN69" s="62">
        <v>0</v>
      </c>
      <c r="CO69" s="62">
        <v>0</v>
      </c>
      <c r="CP69" s="62">
        <v>0</v>
      </c>
      <c r="CQ69" s="62">
        <v>0</v>
      </c>
      <c r="CR69" s="62">
        <v>0</v>
      </c>
      <c r="CS69" s="62">
        <v>0</v>
      </c>
      <c r="CT69" s="62">
        <v>0</v>
      </c>
      <c r="CU69" s="62">
        <v>0</v>
      </c>
      <c r="CV69" s="62">
        <v>0</v>
      </c>
      <c r="CW69" s="62">
        <v>0</v>
      </c>
      <c r="CX69" s="62">
        <v>0</v>
      </c>
      <c r="CY69" s="62">
        <v>0</v>
      </c>
      <c r="CZ69" s="190">
        <f t="shared" si="22"/>
        <v>0</v>
      </c>
      <c r="DA69" s="62">
        <v>0</v>
      </c>
      <c r="DB69" s="62">
        <v>0</v>
      </c>
      <c r="DC69" s="62">
        <v>0</v>
      </c>
      <c r="DD69" s="62">
        <v>0</v>
      </c>
      <c r="DE69" s="62">
        <v>0</v>
      </c>
      <c r="DF69" s="62">
        <v>0</v>
      </c>
      <c r="DG69" s="62">
        <v>0</v>
      </c>
      <c r="DH69" s="62">
        <v>0</v>
      </c>
      <c r="DI69" s="62">
        <v>0</v>
      </c>
      <c r="DJ69" s="62">
        <v>0</v>
      </c>
      <c r="DK69" s="62">
        <v>0</v>
      </c>
      <c r="DL69" s="62">
        <v>0</v>
      </c>
      <c r="DM69" s="190">
        <f t="shared" si="23"/>
        <v>0</v>
      </c>
      <c r="DN69" s="62">
        <v>0</v>
      </c>
      <c r="DO69" s="62">
        <v>0</v>
      </c>
      <c r="DP69" s="62">
        <v>0</v>
      </c>
      <c r="DQ69" s="62">
        <v>0</v>
      </c>
      <c r="DR69" s="62">
        <v>0</v>
      </c>
      <c r="DS69" s="62">
        <v>0</v>
      </c>
      <c r="DT69" s="62">
        <v>0</v>
      </c>
      <c r="DU69" s="62">
        <v>0</v>
      </c>
      <c r="DV69" s="62">
        <v>0</v>
      </c>
      <c r="DW69" s="62">
        <v>0</v>
      </c>
      <c r="DX69" s="62">
        <v>0</v>
      </c>
      <c r="DY69" s="62">
        <v>0</v>
      </c>
      <c r="DZ69" s="190">
        <f t="shared" si="24"/>
        <v>0</v>
      </c>
    </row>
    <row r="70" spans="1:130" ht="20.45" customHeight="1" outlineLevel="2">
      <c r="A70" s="525"/>
      <c r="B70" s="530"/>
      <c r="C70" s="30" t="s">
        <v>338</v>
      </c>
      <c r="D70" s="62">
        <f t="shared" si="345"/>
        <v>139109.99999999994</v>
      </c>
      <c r="E70" s="184">
        <f t="shared" si="179"/>
        <v>4.3040680949549503E-4</v>
      </c>
      <c r="F70" s="62">
        <v>0</v>
      </c>
      <c r="G70" s="190">
        <f t="shared" si="36"/>
        <v>0</v>
      </c>
      <c r="H70" s="197">
        <f t="shared" si="339"/>
        <v>0</v>
      </c>
      <c r="I70" s="62">
        <v>0</v>
      </c>
      <c r="J70" s="62">
        <v>12450</v>
      </c>
      <c r="K70" s="62">
        <v>0</v>
      </c>
      <c r="L70" s="62">
        <v>0</v>
      </c>
      <c r="M70" s="62">
        <v>28960</v>
      </c>
      <c r="N70" s="62">
        <v>0</v>
      </c>
      <c r="O70" s="62">
        <v>0</v>
      </c>
      <c r="P70" s="62">
        <v>0</v>
      </c>
      <c r="Q70" s="62">
        <v>0</v>
      </c>
      <c r="R70" s="62">
        <v>0</v>
      </c>
      <c r="S70" s="62">
        <v>0</v>
      </c>
      <c r="T70" s="62">
        <v>0</v>
      </c>
      <c r="U70" s="190">
        <f t="shared" si="16"/>
        <v>41410</v>
      </c>
      <c r="V70" s="197">
        <f t="shared" si="340"/>
        <v>7.4639513769259936E-4</v>
      </c>
      <c r="W70" s="62">
        <v>0</v>
      </c>
      <c r="X70" s="62">
        <v>0</v>
      </c>
      <c r="Y70" s="62">
        <v>0</v>
      </c>
      <c r="Z70" s="62">
        <v>0</v>
      </c>
      <c r="AA70" s="62">
        <v>0</v>
      </c>
      <c r="AB70" s="62">
        <v>0</v>
      </c>
      <c r="AC70" s="62">
        <v>0</v>
      </c>
      <c r="AD70" s="62">
        <v>0</v>
      </c>
      <c r="AE70" s="62">
        <v>0</v>
      </c>
      <c r="AF70" s="62">
        <v>0</v>
      </c>
      <c r="AG70" s="62">
        <v>0</v>
      </c>
      <c r="AH70" s="62">
        <v>0</v>
      </c>
      <c r="AI70" s="190">
        <f t="shared" si="17"/>
        <v>0</v>
      </c>
      <c r="AJ70" s="197">
        <f t="shared" si="341"/>
        <v>0</v>
      </c>
      <c r="AK70" s="62">
        <v>0</v>
      </c>
      <c r="AL70" s="62">
        <v>0</v>
      </c>
      <c r="AM70" s="62">
        <v>0</v>
      </c>
      <c r="AN70" s="62">
        <v>0</v>
      </c>
      <c r="AO70" s="62">
        <v>0</v>
      </c>
      <c r="AP70" s="62">
        <v>0</v>
      </c>
      <c r="AQ70" s="62">
        <v>51780</v>
      </c>
      <c r="AR70" s="62">
        <v>0</v>
      </c>
      <c r="AS70" s="62">
        <v>0</v>
      </c>
      <c r="AT70" s="62">
        <v>0</v>
      </c>
      <c r="AU70" s="62">
        <v>0</v>
      </c>
      <c r="AV70" s="62">
        <v>0</v>
      </c>
      <c r="AW70" s="190">
        <f t="shared" si="18"/>
        <v>51780</v>
      </c>
      <c r="AX70" s="197">
        <f t="shared" si="342"/>
        <v>6.7874960689740687E-4</v>
      </c>
      <c r="AY70" s="62">
        <f>10270+13650</f>
        <v>23920</v>
      </c>
      <c r="AZ70" s="62">
        <v>0</v>
      </c>
      <c r="BA70" s="62">
        <f>22000</f>
        <v>22000</v>
      </c>
      <c r="BB70" s="62">
        <v>0</v>
      </c>
      <c r="BC70" s="62">
        <v>0</v>
      </c>
      <c r="BD70" s="62">
        <v>0</v>
      </c>
      <c r="BE70" s="62">
        <v>0</v>
      </c>
      <c r="BF70" s="62">
        <v>0</v>
      </c>
      <c r="BG70" s="62">
        <v>0</v>
      </c>
      <c r="BH70" s="62">
        <v>0</v>
      </c>
      <c r="BI70" s="62">
        <v>0</v>
      </c>
      <c r="BJ70" s="62">
        <v>0</v>
      </c>
      <c r="BK70" s="190">
        <f t="shared" si="19"/>
        <v>45920</v>
      </c>
      <c r="BL70" s="197">
        <f t="shared" si="343"/>
        <v>6.5751207111691798E-4</v>
      </c>
      <c r="BM70" s="62">
        <v>0</v>
      </c>
      <c r="BN70" s="62">
        <v>0</v>
      </c>
      <c r="BO70" s="62">
        <v>0</v>
      </c>
      <c r="BP70" s="62">
        <v>0</v>
      </c>
      <c r="BQ70" s="62">
        <v>0</v>
      </c>
      <c r="BR70" s="62">
        <v>0</v>
      </c>
      <c r="BS70" s="62">
        <v>0</v>
      </c>
      <c r="BT70" s="62">
        <v>0</v>
      </c>
      <c r="BU70" s="62">
        <v>0</v>
      </c>
      <c r="BV70" s="62">
        <v>0</v>
      </c>
      <c r="BW70" s="62">
        <v>0</v>
      </c>
      <c r="BX70" s="62">
        <v>0</v>
      </c>
      <c r="BY70" s="190">
        <f t="shared" si="20"/>
        <v>0</v>
      </c>
      <c r="BZ70" s="197">
        <f t="shared" si="344"/>
        <v>0</v>
      </c>
      <c r="CA70" s="62">
        <v>0</v>
      </c>
      <c r="CB70" s="62">
        <v>0</v>
      </c>
      <c r="CC70" s="62">
        <v>0</v>
      </c>
      <c r="CD70" s="62">
        <v>0</v>
      </c>
      <c r="CE70" s="62">
        <v>0</v>
      </c>
      <c r="CF70" s="62">
        <v>0</v>
      </c>
      <c r="CG70" s="62">
        <v>0</v>
      </c>
      <c r="CH70" s="62">
        <v>0</v>
      </c>
      <c r="CI70" s="62">
        <v>0</v>
      </c>
      <c r="CJ70" s="62">
        <v>0</v>
      </c>
      <c r="CK70" s="62">
        <v>0</v>
      </c>
      <c r="CL70" s="62">
        <v>0</v>
      </c>
      <c r="CM70" s="190">
        <f t="shared" si="21"/>
        <v>0</v>
      </c>
      <c r="CN70" s="62">
        <v>0</v>
      </c>
      <c r="CO70" s="62">
        <v>0</v>
      </c>
      <c r="CP70" s="62">
        <v>0</v>
      </c>
      <c r="CQ70" s="62">
        <v>0</v>
      </c>
      <c r="CR70" s="62">
        <v>0</v>
      </c>
      <c r="CS70" s="62">
        <v>0</v>
      </c>
      <c r="CT70" s="62">
        <v>0</v>
      </c>
      <c r="CU70" s="62">
        <v>0</v>
      </c>
      <c r="CV70" s="62">
        <v>0</v>
      </c>
      <c r="CW70" s="62">
        <v>0</v>
      </c>
      <c r="CX70" s="62">
        <v>0</v>
      </c>
      <c r="CY70" s="62">
        <v>0</v>
      </c>
      <c r="CZ70" s="190">
        <f t="shared" si="22"/>
        <v>0</v>
      </c>
      <c r="DA70" s="62">
        <v>0</v>
      </c>
      <c r="DB70" s="62">
        <v>0</v>
      </c>
      <c r="DC70" s="62">
        <v>0</v>
      </c>
      <c r="DD70" s="62">
        <v>0</v>
      </c>
      <c r="DE70" s="62">
        <v>0</v>
      </c>
      <c r="DF70" s="62">
        <v>0</v>
      </c>
      <c r="DG70" s="62">
        <v>0</v>
      </c>
      <c r="DH70" s="62">
        <v>0</v>
      </c>
      <c r="DI70" s="62">
        <v>0</v>
      </c>
      <c r="DJ70" s="62">
        <v>0</v>
      </c>
      <c r="DK70" s="62">
        <v>0</v>
      </c>
      <c r="DL70" s="62">
        <v>0</v>
      </c>
      <c r="DM70" s="190">
        <f t="shared" si="23"/>
        <v>0</v>
      </c>
      <c r="DN70" s="62">
        <v>0</v>
      </c>
      <c r="DO70" s="62">
        <v>0</v>
      </c>
      <c r="DP70" s="62">
        <v>0</v>
      </c>
      <c r="DQ70" s="62">
        <v>0</v>
      </c>
      <c r="DR70" s="62">
        <v>0</v>
      </c>
      <c r="DS70" s="62">
        <v>0</v>
      </c>
      <c r="DT70" s="62">
        <v>0</v>
      </c>
      <c r="DU70" s="62">
        <v>0</v>
      </c>
      <c r="DV70" s="62">
        <v>0</v>
      </c>
      <c r="DW70" s="62">
        <v>0</v>
      </c>
      <c r="DX70" s="62">
        <v>0</v>
      </c>
      <c r="DY70" s="62">
        <v>0</v>
      </c>
      <c r="DZ70" s="190">
        <f t="shared" si="24"/>
        <v>0</v>
      </c>
    </row>
    <row r="71" spans="1:130" ht="20.45" customHeight="1" outlineLevel="2">
      <c r="A71" s="525"/>
      <c r="B71" s="530"/>
      <c r="C71" s="30" t="s">
        <v>339</v>
      </c>
      <c r="D71" s="62">
        <f t="shared" si="345"/>
        <v>535770</v>
      </c>
      <c r="E71" s="184">
        <f t="shared" si="179"/>
        <v>1.657674188220843E-3</v>
      </c>
      <c r="F71" s="62">
        <v>0</v>
      </c>
      <c r="G71" s="190">
        <f t="shared" si="36"/>
        <v>0</v>
      </c>
      <c r="H71" s="197">
        <f t="shared" si="339"/>
        <v>0</v>
      </c>
      <c r="I71" s="62">
        <v>0</v>
      </c>
      <c r="J71" s="62">
        <v>0</v>
      </c>
      <c r="K71" s="62">
        <v>0</v>
      </c>
      <c r="L71" s="62">
        <v>0</v>
      </c>
      <c r="M71" s="62">
        <v>0</v>
      </c>
      <c r="N71" s="62">
        <v>0</v>
      </c>
      <c r="O71" s="62">
        <v>0</v>
      </c>
      <c r="P71" s="62">
        <v>0</v>
      </c>
      <c r="Q71" s="62">
        <v>0</v>
      </c>
      <c r="R71" s="62">
        <v>0</v>
      </c>
      <c r="S71" s="62">
        <v>0</v>
      </c>
      <c r="T71" s="62">
        <v>0</v>
      </c>
      <c r="U71" s="190">
        <f t="shared" si="16"/>
        <v>0</v>
      </c>
      <c r="V71" s="197">
        <f t="shared" si="340"/>
        <v>0</v>
      </c>
      <c r="W71" s="62">
        <v>9600</v>
      </c>
      <c r="X71" s="62">
        <v>0</v>
      </c>
      <c r="Y71" s="62">
        <v>0</v>
      </c>
      <c r="Z71" s="62">
        <v>0</v>
      </c>
      <c r="AA71" s="62">
        <v>19000</v>
      </c>
      <c r="AB71" s="62">
        <v>0</v>
      </c>
      <c r="AC71" s="62">
        <v>0</v>
      </c>
      <c r="AD71" s="62">
        <v>0</v>
      </c>
      <c r="AE71" s="62">
        <v>0</v>
      </c>
      <c r="AF71" s="62">
        <v>0</v>
      </c>
      <c r="AG71" s="62">
        <v>0</v>
      </c>
      <c r="AH71" s="62">
        <v>0</v>
      </c>
      <c r="AI71" s="190">
        <f t="shared" si="17"/>
        <v>28600</v>
      </c>
      <c r="AJ71" s="197">
        <f t="shared" si="341"/>
        <v>3.886994364211535E-4</v>
      </c>
      <c r="AK71" s="62">
        <v>91340</v>
      </c>
      <c r="AL71" s="62">
        <v>0</v>
      </c>
      <c r="AM71" s="62">
        <v>29410</v>
      </c>
      <c r="AN71" s="62">
        <v>0</v>
      </c>
      <c r="AO71" s="62">
        <v>0</v>
      </c>
      <c r="AP71" s="62">
        <v>0</v>
      </c>
      <c r="AQ71" s="62">
        <v>0</v>
      </c>
      <c r="AR71" s="62">
        <v>56360</v>
      </c>
      <c r="AS71" s="62">
        <v>0</v>
      </c>
      <c r="AT71" s="62">
        <v>0</v>
      </c>
      <c r="AU71" s="62">
        <f>22350</f>
        <v>22350</v>
      </c>
      <c r="AV71" s="62">
        <v>0</v>
      </c>
      <c r="AW71" s="190">
        <f t="shared" si="18"/>
        <v>199460</v>
      </c>
      <c r="AX71" s="197">
        <f t="shared" si="342"/>
        <v>2.6145885784425796E-3</v>
      </c>
      <c r="AY71" s="62">
        <v>0</v>
      </c>
      <c r="AZ71" s="62">
        <v>0</v>
      </c>
      <c r="BA71" s="62">
        <f>50360+5780-3380</f>
        <v>52760</v>
      </c>
      <c r="BB71" s="62">
        <v>0</v>
      </c>
      <c r="BC71" s="62">
        <v>0</v>
      </c>
      <c r="BD71" s="62">
        <v>0</v>
      </c>
      <c r="BE71" s="62">
        <v>0</v>
      </c>
      <c r="BF71" s="62">
        <f>25700</f>
        <v>25700</v>
      </c>
      <c r="BG71" s="62">
        <f>79530+25700</f>
        <v>105230</v>
      </c>
      <c r="BH71" s="62">
        <v>23400</v>
      </c>
      <c r="BI71" s="62">
        <v>0</v>
      </c>
      <c r="BJ71" s="62">
        <f>12420+30620</f>
        <v>43040</v>
      </c>
      <c r="BK71" s="190">
        <f t="shared" si="19"/>
        <v>250130</v>
      </c>
      <c r="BL71" s="197">
        <f t="shared" si="343"/>
        <v>3.5815220894702677E-3</v>
      </c>
      <c r="BM71" s="62">
        <f>13500</f>
        <v>13500</v>
      </c>
      <c r="BN71" s="62">
        <f>13700+18500</f>
        <v>32200</v>
      </c>
      <c r="BO71" s="62">
        <f>11880</f>
        <v>11880</v>
      </c>
      <c r="BP71" s="62">
        <v>0</v>
      </c>
      <c r="BQ71" s="62">
        <v>0</v>
      </c>
      <c r="BR71" s="62">
        <v>0</v>
      </c>
      <c r="BS71" s="62">
        <v>0</v>
      </c>
      <c r="BT71" s="62">
        <v>0</v>
      </c>
      <c r="BU71" s="62">
        <v>0</v>
      </c>
      <c r="BV71" s="62">
        <v>0</v>
      </c>
      <c r="BW71" s="62">
        <v>0</v>
      </c>
      <c r="BX71" s="62">
        <v>0</v>
      </c>
      <c r="BY71" s="190">
        <f t="shared" si="20"/>
        <v>57580</v>
      </c>
      <c r="BZ71" s="197">
        <f t="shared" si="344"/>
        <v>1.3193443422284822E-3</v>
      </c>
      <c r="CA71" s="62">
        <v>0</v>
      </c>
      <c r="CB71" s="62">
        <v>0</v>
      </c>
      <c r="CC71" s="62">
        <v>0</v>
      </c>
      <c r="CD71" s="62">
        <v>0</v>
      </c>
      <c r="CE71" s="62">
        <v>0</v>
      </c>
      <c r="CF71" s="62">
        <v>0</v>
      </c>
      <c r="CG71" s="62">
        <v>0</v>
      </c>
      <c r="CH71" s="62">
        <v>0</v>
      </c>
      <c r="CI71" s="62">
        <v>0</v>
      </c>
      <c r="CJ71" s="62">
        <v>0</v>
      </c>
      <c r="CK71" s="62">
        <v>0</v>
      </c>
      <c r="CL71" s="62">
        <v>0</v>
      </c>
      <c r="CM71" s="190">
        <f t="shared" si="21"/>
        <v>0</v>
      </c>
      <c r="CN71" s="62">
        <v>0</v>
      </c>
      <c r="CO71" s="62">
        <v>0</v>
      </c>
      <c r="CP71" s="62">
        <v>0</v>
      </c>
      <c r="CQ71" s="62">
        <v>0</v>
      </c>
      <c r="CR71" s="62">
        <v>0</v>
      </c>
      <c r="CS71" s="62">
        <v>0</v>
      </c>
      <c r="CT71" s="62">
        <v>0</v>
      </c>
      <c r="CU71" s="62">
        <v>0</v>
      </c>
      <c r="CV71" s="62">
        <v>0</v>
      </c>
      <c r="CW71" s="62">
        <v>0</v>
      </c>
      <c r="CX71" s="62">
        <v>0</v>
      </c>
      <c r="CY71" s="62">
        <v>0</v>
      </c>
      <c r="CZ71" s="190">
        <f t="shared" si="22"/>
        <v>0</v>
      </c>
      <c r="DA71" s="62">
        <v>0</v>
      </c>
      <c r="DB71" s="62">
        <v>0</v>
      </c>
      <c r="DC71" s="62">
        <v>0</v>
      </c>
      <c r="DD71" s="62">
        <v>0</v>
      </c>
      <c r="DE71" s="62">
        <v>0</v>
      </c>
      <c r="DF71" s="62">
        <v>0</v>
      </c>
      <c r="DG71" s="62">
        <v>0</v>
      </c>
      <c r="DH71" s="62">
        <v>0</v>
      </c>
      <c r="DI71" s="62">
        <v>0</v>
      </c>
      <c r="DJ71" s="62">
        <v>0</v>
      </c>
      <c r="DK71" s="62">
        <v>0</v>
      </c>
      <c r="DL71" s="62">
        <v>0</v>
      </c>
      <c r="DM71" s="190">
        <f t="shared" si="23"/>
        <v>0</v>
      </c>
      <c r="DN71" s="62">
        <v>0</v>
      </c>
      <c r="DO71" s="62">
        <v>0</v>
      </c>
      <c r="DP71" s="62">
        <v>0</v>
      </c>
      <c r="DQ71" s="62">
        <v>0</v>
      </c>
      <c r="DR71" s="62">
        <v>0</v>
      </c>
      <c r="DS71" s="62">
        <v>0</v>
      </c>
      <c r="DT71" s="62">
        <v>0</v>
      </c>
      <c r="DU71" s="62">
        <v>0</v>
      </c>
      <c r="DV71" s="62">
        <v>0</v>
      </c>
      <c r="DW71" s="62">
        <v>0</v>
      </c>
      <c r="DX71" s="62">
        <v>0</v>
      </c>
      <c r="DY71" s="62">
        <v>0</v>
      </c>
      <c r="DZ71" s="190">
        <f t="shared" si="24"/>
        <v>0</v>
      </c>
    </row>
    <row r="72" spans="1:130" ht="20.45" customHeight="1" outlineLevel="2">
      <c r="A72" s="525"/>
      <c r="B72" s="530"/>
      <c r="C72" s="30" t="s">
        <v>340</v>
      </c>
      <c r="D72" s="62">
        <f t="shared" si="345"/>
        <v>107800.00000000001</v>
      </c>
      <c r="E72" s="184">
        <f t="shared" si="179"/>
        <v>3.3353356382441511E-4</v>
      </c>
      <c r="F72" s="62">
        <v>0</v>
      </c>
      <c r="G72" s="190">
        <f t="shared" si="36"/>
        <v>0</v>
      </c>
      <c r="H72" s="197">
        <f t="shared" si="339"/>
        <v>0</v>
      </c>
      <c r="I72" s="62">
        <v>0</v>
      </c>
      <c r="J72" s="62">
        <v>0</v>
      </c>
      <c r="K72" s="62">
        <v>0</v>
      </c>
      <c r="L72" s="62">
        <v>0</v>
      </c>
      <c r="M72" s="62">
        <v>0</v>
      </c>
      <c r="N72" s="62">
        <v>0</v>
      </c>
      <c r="O72" s="62">
        <v>0</v>
      </c>
      <c r="P72" s="62">
        <v>0</v>
      </c>
      <c r="Q72" s="62">
        <v>0</v>
      </c>
      <c r="R72" s="62">
        <v>0</v>
      </c>
      <c r="S72" s="62">
        <v>0</v>
      </c>
      <c r="T72" s="62">
        <v>0</v>
      </c>
      <c r="U72" s="190">
        <f t="shared" si="16"/>
        <v>0</v>
      </c>
      <c r="V72" s="197">
        <f t="shared" si="340"/>
        <v>0</v>
      </c>
      <c r="W72" s="62">
        <v>56800</v>
      </c>
      <c r="X72" s="62">
        <v>0</v>
      </c>
      <c r="Y72" s="62">
        <v>0</v>
      </c>
      <c r="Z72" s="62">
        <v>0</v>
      </c>
      <c r="AA72" s="62">
        <v>0</v>
      </c>
      <c r="AB72" s="62">
        <v>0</v>
      </c>
      <c r="AC72" s="62">
        <v>0</v>
      </c>
      <c r="AD72" s="62">
        <v>0</v>
      </c>
      <c r="AE72" s="62">
        <v>0</v>
      </c>
      <c r="AF72" s="62">
        <v>0</v>
      </c>
      <c r="AG72" s="62">
        <v>0</v>
      </c>
      <c r="AH72" s="62">
        <v>0</v>
      </c>
      <c r="AI72" s="190">
        <f t="shared" si="17"/>
        <v>56800</v>
      </c>
      <c r="AJ72" s="197">
        <f t="shared" si="341"/>
        <v>7.7196251708816499E-4</v>
      </c>
      <c r="AK72" s="62">
        <v>0</v>
      </c>
      <c r="AL72" s="62">
        <v>0</v>
      </c>
      <c r="AM72" s="62">
        <v>0</v>
      </c>
      <c r="AN72" s="62">
        <v>0</v>
      </c>
      <c r="AO72" s="62">
        <v>0</v>
      </c>
      <c r="AP72" s="62">
        <v>0</v>
      </c>
      <c r="AQ72" s="62">
        <v>0</v>
      </c>
      <c r="AR72" s="62">
        <v>0</v>
      </c>
      <c r="AS72" s="62">
        <v>0</v>
      </c>
      <c r="AT72" s="62">
        <v>0</v>
      </c>
      <c r="AU72" s="62">
        <v>0</v>
      </c>
      <c r="AV72" s="62">
        <v>0</v>
      </c>
      <c r="AW72" s="190">
        <f t="shared" si="18"/>
        <v>0</v>
      </c>
      <c r="AX72" s="197">
        <f t="shared" si="342"/>
        <v>0</v>
      </c>
      <c r="AY72" s="62">
        <v>0</v>
      </c>
      <c r="AZ72" s="62">
        <v>0</v>
      </c>
      <c r="BA72" s="62">
        <f>17000+17000</f>
        <v>34000</v>
      </c>
      <c r="BB72" s="62">
        <v>0</v>
      </c>
      <c r="BC72" s="62">
        <v>0</v>
      </c>
      <c r="BD72" s="62">
        <f>17000</f>
        <v>17000</v>
      </c>
      <c r="BE72" s="62">
        <v>0</v>
      </c>
      <c r="BF72" s="62">
        <v>0</v>
      </c>
      <c r="BG72" s="62">
        <v>0</v>
      </c>
      <c r="BH72" s="62">
        <v>0</v>
      </c>
      <c r="BI72" s="62">
        <v>0</v>
      </c>
      <c r="BJ72" s="62">
        <v>0</v>
      </c>
      <c r="BK72" s="190">
        <f t="shared" si="19"/>
        <v>51000</v>
      </c>
      <c r="BL72" s="197">
        <f t="shared" si="343"/>
        <v>7.3025077584849341E-4</v>
      </c>
      <c r="BM72" s="62">
        <v>0</v>
      </c>
      <c r="BN72" s="62">
        <v>0</v>
      </c>
      <c r="BO72" s="62">
        <v>0</v>
      </c>
      <c r="BP72" s="62">
        <v>0</v>
      </c>
      <c r="BQ72" s="62">
        <v>0</v>
      </c>
      <c r="BR72" s="62">
        <v>0</v>
      </c>
      <c r="BS72" s="62">
        <v>0</v>
      </c>
      <c r="BT72" s="62">
        <v>0</v>
      </c>
      <c r="BU72" s="62">
        <v>0</v>
      </c>
      <c r="BV72" s="62">
        <v>0</v>
      </c>
      <c r="BW72" s="62">
        <v>0</v>
      </c>
      <c r="BX72" s="62">
        <v>0</v>
      </c>
      <c r="BY72" s="190">
        <f t="shared" si="20"/>
        <v>0</v>
      </c>
      <c r="BZ72" s="197">
        <f t="shared" si="344"/>
        <v>0</v>
      </c>
      <c r="CA72" s="62">
        <v>0</v>
      </c>
      <c r="CB72" s="62">
        <v>0</v>
      </c>
      <c r="CC72" s="62">
        <v>0</v>
      </c>
      <c r="CD72" s="62">
        <v>0</v>
      </c>
      <c r="CE72" s="62">
        <v>0</v>
      </c>
      <c r="CF72" s="62">
        <v>0</v>
      </c>
      <c r="CG72" s="62">
        <v>0</v>
      </c>
      <c r="CH72" s="62">
        <v>0</v>
      </c>
      <c r="CI72" s="62">
        <v>0</v>
      </c>
      <c r="CJ72" s="62">
        <v>0</v>
      </c>
      <c r="CK72" s="62">
        <v>0</v>
      </c>
      <c r="CL72" s="62">
        <v>0</v>
      </c>
      <c r="CM72" s="190">
        <f t="shared" si="21"/>
        <v>0</v>
      </c>
      <c r="CN72" s="62">
        <v>0</v>
      </c>
      <c r="CO72" s="62">
        <v>0</v>
      </c>
      <c r="CP72" s="62">
        <v>0</v>
      </c>
      <c r="CQ72" s="62">
        <v>0</v>
      </c>
      <c r="CR72" s="62">
        <v>0</v>
      </c>
      <c r="CS72" s="62">
        <v>0</v>
      </c>
      <c r="CT72" s="62">
        <v>0</v>
      </c>
      <c r="CU72" s="62">
        <v>0</v>
      </c>
      <c r="CV72" s="62">
        <v>0</v>
      </c>
      <c r="CW72" s="62">
        <v>0</v>
      </c>
      <c r="CX72" s="62">
        <v>0</v>
      </c>
      <c r="CY72" s="62">
        <v>0</v>
      </c>
      <c r="CZ72" s="190">
        <f t="shared" si="22"/>
        <v>0</v>
      </c>
      <c r="DA72" s="62">
        <v>0</v>
      </c>
      <c r="DB72" s="62">
        <v>0</v>
      </c>
      <c r="DC72" s="62">
        <v>0</v>
      </c>
      <c r="DD72" s="62">
        <v>0</v>
      </c>
      <c r="DE72" s="62">
        <v>0</v>
      </c>
      <c r="DF72" s="62">
        <v>0</v>
      </c>
      <c r="DG72" s="62">
        <v>0</v>
      </c>
      <c r="DH72" s="62">
        <v>0</v>
      </c>
      <c r="DI72" s="62">
        <v>0</v>
      </c>
      <c r="DJ72" s="62">
        <v>0</v>
      </c>
      <c r="DK72" s="62">
        <v>0</v>
      </c>
      <c r="DL72" s="62">
        <v>0</v>
      </c>
      <c r="DM72" s="190">
        <f t="shared" si="23"/>
        <v>0</v>
      </c>
      <c r="DN72" s="62">
        <v>0</v>
      </c>
      <c r="DO72" s="62">
        <v>0</v>
      </c>
      <c r="DP72" s="62">
        <v>0</v>
      </c>
      <c r="DQ72" s="62">
        <v>0</v>
      </c>
      <c r="DR72" s="62">
        <v>0</v>
      </c>
      <c r="DS72" s="62">
        <v>0</v>
      </c>
      <c r="DT72" s="62">
        <v>0</v>
      </c>
      <c r="DU72" s="62">
        <v>0</v>
      </c>
      <c r="DV72" s="62">
        <v>0</v>
      </c>
      <c r="DW72" s="62">
        <v>0</v>
      </c>
      <c r="DX72" s="62">
        <v>0</v>
      </c>
      <c r="DY72" s="62">
        <v>0</v>
      </c>
      <c r="DZ72" s="190">
        <f t="shared" si="24"/>
        <v>0</v>
      </c>
    </row>
    <row r="73" spans="1:130" ht="20.45" customHeight="1" outlineLevel="2">
      <c r="A73" s="526"/>
      <c r="B73" s="530"/>
      <c r="C73" s="30" t="s">
        <v>341</v>
      </c>
      <c r="D73" s="62">
        <f t="shared" si="345"/>
        <v>430800</v>
      </c>
      <c r="E73" s="184">
        <f t="shared" si="179"/>
        <v>1.3328966539476626E-3</v>
      </c>
      <c r="F73" s="62">
        <v>3950</v>
      </c>
      <c r="G73" s="190">
        <f t="shared" ref="G73" si="346">SUM(F73)</f>
        <v>3950</v>
      </c>
      <c r="H73" s="197">
        <f t="shared" si="339"/>
        <v>9.0225804351624808E-4</v>
      </c>
      <c r="I73" s="62">
        <v>3000</v>
      </c>
      <c r="J73" s="62">
        <v>2400</v>
      </c>
      <c r="K73" s="62">
        <v>0</v>
      </c>
      <c r="L73" s="62">
        <v>0</v>
      </c>
      <c r="M73" s="62">
        <v>27600</v>
      </c>
      <c r="N73" s="62">
        <v>9500</v>
      </c>
      <c r="O73" s="62">
        <v>0</v>
      </c>
      <c r="P73" s="62">
        <v>14000</v>
      </c>
      <c r="Q73" s="62">
        <v>29900</v>
      </c>
      <c r="R73" s="62">
        <v>6050</v>
      </c>
      <c r="S73" s="62">
        <v>3400</v>
      </c>
      <c r="T73" s="62">
        <v>3250</v>
      </c>
      <c r="U73" s="190">
        <f t="shared" ref="U73" si="347">SUM(I73:T73)</f>
        <v>99100</v>
      </c>
      <c r="V73" s="197">
        <f t="shared" si="340"/>
        <v>1.7862293683974064E-3</v>
      </c>
      <c r="W73" s="62">
        <v>0</v>
      </c>
      <c r="X73" s="62">
        <v>0</v>
      </c>
      <c r="Y73" s="62">
        <v>1700</v>
      </c>
      <c r="Z73" s="62">
        <v>0</v>
      </c>
      <c r="AA73" s="62">
        <v>4850</v>
      </c>
      <c r="AB73" s="62">
        <v>2200</v>
      </c>
      <c r="AC73" s="62">
        <f>3600+4400+800+9100+5400-6000</f>
        <v>17300</v>
      </c>
      <c r="AD73" s="62">
        <v>0</v>
      </c>
      <c r="AE73" s="62">
        <f>5300+17350</f>
        <v>22650</v>
      </c>
      <c r="AF73" s="62">
        <v>0</v>
      </c>
      <c r="AG73" s="62">
        <v>2600</v>
      </c>
      <c r="AH73" s="62">
        <v>0</v>
      </c>
      <c r="AI73" s="190">
        <f t="shared" ref="AI73" si="348">SUM(W73:AH73)</f>
        <v>51300</v>
      </c>
      <c r="AJ73" s="197">
        <f t="shared" si="341"/>
        <v>6.9721262546871242E-4</v>
      </c>
      <c r="AK73" s="62">
        <f>-2200+4750</f>
        <v>2550</v>
      </c>
      <c r="AL73" s="62">
        <v>1600</v>
      </c>
      <c r="AM73" s="62">
        <f>3800</f>
        <v>3800</v>
      </c>
      <c r="AN73" s="62">
        <v>0</v>
      </c>
      <c r="AO73" s="62">
        <f>2000+4750</f>
        <v>6750</v>
      </c>
      <c r="AP73" s="62">
        <v>0</v>
      </c>
      <c r="AQ73" s="62">
        <f>1500+3600</f>
        <v>5100</v>
      </c>
      <c r="AR73" s="62">
        <f>7600+700+2200+6850+4100+1000+7100</f>
        <v>29550</v>
      </c>
      <c r="AS73" s="62">
        <f>6000+3200+2400+6000+7000+2600</f>
        <v>27200</v>
      </c>
      <c r="AT73" s="62">
        <f>5500</f>
        <v>5500</v>
      </c>
      <c r="AU73" s="62">
        <v>0</v>
      </c>
      <c r="AV73" s="62">
        <f>6200+6000</f>
        <v>12200</v>
      </c>
      <c r="AW73" s="190">
        <f t="shared" ref="AW73" si="349">SUM(AK73:AV73)</f>
        <v>94250</v>
      </c>
      <c r="AX73" s="197">
        <f t="shared" si="342"/>
        <v>1.2354606112414174E-3</v>
      </c>
      <c r="AY73" s="62">
        <f>3600+3100+5600+2000</f>
        <v>14300</v>
      </c>
      <c r="AZ73" s="62">
        <f>1200+5200+3900+3800+9300+7800</f>
        <v>31200</v>
      </c>
      <c r="BA73" s="62">
        <f>1900</f>
        <v>1900</v>
      </c>
      <c r="BB73" s="62">
        <f>1700+1500</f>
        <v>3200</v>
      </c>
      <c r="BC73" s="62">
        <f>4900-5300+2200+1000</f>
        <v>2800</v>
      </c>
      <c r="BD73" s="62">
        <f>2800+4100+1000+4000+3400-8100</f>
        <v>7200</v>
      </c>
      <c r="BE73" s="62">
        <f>3200+1800-100</f>
        <v>4900</v>
      </c>
      <c r="BF73" s="62">
        <f>-100</f>
        <v>-100</v>
      </c>
      <c r="BG73" s="62">
        <f>2000+19900+1700+9700</f>
        <v>33300</v>
      </c>
      <c r="BH73" s="62">
        <f>2200-2200</f>
        <v>0</v>
      </c>
      <c r="BI73" s="62">
        <v>0</v>
      </c>
      <c r="BJ73" s="62">
        <f>3100+12800+2600+2200+1800+1000</f>
        <v>23500</v>
      </c>
      <c r="BK73" s="190">
        <f t="shared" ref="BK73" si="350">SUM(AY73:BJ73)</f>
        <v>122200</v>
      </c>
      <c r="BL73" s="197">
        <f t="shared" si="343"/>
        <v>1.749738133503645E-3</v>
      </c>
      <c r="BM73" s="62">
        <f>12500+2600+1500</f>
        <v>16600</v>
      </c>
      <c r="BN73" s="62">
        <f>7600+4000+4700-4000</f>
        <v>12300</v>
      </c>
      <c r="BO73" s="62">
        <v>0</v>
      </c>
      <c r="BP73" s="62">
        <f>3200+12200+10200+2200</f>
        <v>27800</v>
      </c>
      <c r="BQ73" s="62">
        <f>1500+1800</f>
        <v>3300</v>
      </c>
      <c r="BR73" s="62">
        <v>0</v>
      </c>
      <c r="BS73" s="62">
        <v>0</v>
      </c>
      <c r="BT73" s="62">
        <v>0</v>
      </c>
      <c r="BU73" s="62">
        <v>0</v>
      </c>
      <c r="BV73" s="62">
        <v>0</v>
      </c>
      <c r="BW73" s="62">
        <v>0</v>
      </c>
      <c r="BX73" s="62">
        <v>0</v>
      </c>
      <c r="BY73" s="190">
        <f t="shared" ref="BY73" si="351">SUM(BM73:BX73)</f>
        <v>60000</v>
      </c>
      <c r="BZ73" s="197">
        <f t="shared" si="344"/>
        <v>1.3747943823151951E-3</v>
      </c>
      <c r="CA73" s="62">
        <v>0</v>
      </c>
      <c r="CB73" s="62">
        <v>0</v>
      </c>
      <c r="CC73" s="62">
        <v>0</v>
      </c>
      <c r="CD73" s="62">
        <v>0</v>
      </c>
      <c r="CE73" s="62">
        <v>0</v>
      </c>
      <c r="CF73" s="62">
        <v>0</v>
      </c>
      <c r="CG73" s="62">
        <v>0</v>
      </c>
      <c r="CH73" s="62">
        <v>0</v>
      </c>
      <c r="CI73" s="62">
        <v>0</v>
      </c>
      <c r="CJ73" s="62">
        <v>0</v>
      </c>
      <c r="CK73" s="62">
        <v>0</v>
      </c>
      <c r="CL73" s="62">
        <v>0</v>
      </c>
      <c r="CM73" s="190">
        <f t="shared" ref="CM73" si="352">SUM(CA73:CL73)</f>
        <v>0</v>
      </c>
      <c r="CN73" s="62">
        <v>0</v>
      </c>
      <c r="CO73" s="62">
        <v>0</v>
      </c>
      <c r="CP73" s="62">
        <v>0</v>
      </c>
      <c r="CQ73" s="62">
        <v>0</v>
      </c>
      <c r="CR73" s="62">
        <v>0</v>
      </c>
      <c r="CS73" s="62">
        <v>0</v>
      </c>
      <c r="CT73" s="62">
        <v>0</v>
      </c>
      <c r="CU73" s="62">
        <v>0</v>
      </c>
      <c r="CV73" s="62">
        <v>0</v>
      </c>
      <c r="CW73" s="62">
        <v>0</v>
      </c>
      <c r="CX73" s="62">
        <v>0</v>
      </c>
      <c r="CY73" s="62">
        <v>0</v>
      </c>
      <c r="CZ73" s="190">
        <f t="shared" ref="CZ73" si="353">SUM(CN73:CY73)</f>
        <v>0</v>
      </c>
      <c r="DA73" s="62">
        <v>0</v>
      </c>
      <c r="DB73" s="62">
        <v>0</v>
      </c>
      <c r="DC73" s="62">
        <v>0</v>
      </c>
      <c r="DD73" s="62">
        <v>0</v>
      </c>
      <c r="DE73" s="62">
        <v>0</v>
      </c>
      <c r="DF73" s="62">
        <v>0</v>
      </c>
      <c r="DG73" s="62">
        <v>0</v>
      </c>
      <c r="DH73" s="62">
        <v>0</v>
      </c>
      <c r="DI73" s="62">
        <v>0</v>
      </c>
      <c r="DJ73" s="62">
        <v>0</v>
      </c>
      <c r="DK73" s="62">
        <v>0</v>
      </c>
      <c r="DL73" s="62">
        <v>0</v>
      </c>
      <c r="DM73" s="190">
        <f t="shared" ref="DM73" si="354">SUM(DA73:DL73)</f>
        <v>0</v>
      </c>
      <c r="DN73" s="62">
        <v>0</v>
      </c>
      <c r="DO73" s="62">
        <v>0</v>
      </c>
      <c r="DP73" s="62">
        <v>0</v>
      </c>
      <c r="DQ73" s="62">
        <v>0</v>
      </c>
      <c r="DR73" s="62">
        <v>0</v>
      </c>
      <c r="DS73" s="62">
        <v>0</v>
      </c>
      <c r="DT73" s="62">
        <v>0</v>
      </c>
      <c r="DU73" s="62">
        <v>0</v>
      </c>
      <c r="DV73" s="62">
        <v>0</v>
      </c>
      <c r="DW73" s="62">
        <v>0</v>
      </c>
      <c r="DX73" s="62">
        <v>0</v>
      </c>
      <c r="DY73" s="62">
        <v>0</v>
      </c>
      <c r="DZ73" s="190">
        <f t="shared" ref="DZ73" si="355">SUM(DN73:DY73)</f>
        <v>0</v>
      </c>
    </row>
    <row r="74" spans="1:130" ht="20.45" customHeight="1" outlineLevel="2">
      <c r="A74" s="525"/>
      <c r="B74" s="529"/>
      <c r="C74" s="30" t="s">
        <v>380</v>
      </c>
      <c r="D74" s="62">
        <f t="shared" si="345"/>
        <v>489660</v>
      </c>
      <c r="E74" s="184">
        <f t="shared" si="179"/>
        <v>1.5150096925998432E-3</v>
      </c>
      <c r="F74" s="62">
        <v>0</v>
      </c>
      <c r="G74" s="190">
        <f t="shared" si="36"/>
        <v>0</v>
      </c>
      <c r="H74" s="197">
        <f t="shared" si="339"/>
        <v>0</v>
      </c>
      <c r="I74" s="62">
        <v>0</v>
      </c>
      <c r="J74" s="62">
        <v>0</v>
      </c>
      <c r="K74" s="62">
        <v>0</v>
      </c>
      <c r="L74" s="62">
        <v>0</v>
      </c>
      <c r="M74" s="62">
        <v>0</v>
      </c>
      <c r="N74" s="62">
        <v>0</v>
      </c>
      <c r="O74" s="62">
        <v>0</v>
      </c>
      <c r="P74" s="62">
        <v>0</v>
      </c>
      <c r="Q74" s="62">
        <v>0</v>
      </c>
      <c r="R74" s="62">
        <v>0</v>
      </c>
      <c r="S74" s="62">
        <v>0</v>
      </c>
      <c r="T74" s="62">
        <v>0</v>
      </c>
      <c r="U74" s="190">
        <f t="shared" si="16"/>
        <v>0</v>
      </c>
      <c r="V74" s="197">
        <f t="shared" si="340"/>
        <v>0</v>
      </c>
      <c r="W74" s="62">
        <v>0</v>
      </c>
      <c r="X74" s="62">
        <v>0</v>
      </c>
      <c r="Y74" s="62">
        <v>0</v>
      </c>
      <c r="Z74" s="62">
        <v>0</v>
      </c>
      <c r="AA74" s="62">
        <v>0</v>
      </c>
      <c r="AB74" s="62">
        <v>0</v>
      </c>
      <c r="AC74" s="62">
        <v>0</v>
      </c>
      <c r="AD74" s="62">
        <v>0</v>
      </c>
      <c r="AE74" s="62">
        <v>0</v>
      </c>
      <c r="AF74" s="62">
        <v>0</v>
      </c>
      <c r="AG74" s="62">
        <v>0</v>
      </c>
      <c r="AH74" s="62">
        <v>0</v>
      </c>
      <c r="AI74" s="190">
        <f t="shared" si="17"/>
        <v>0</v>
      </c>
      <c r="AJ74" s="197">
        <f t="shared" si="341"/>
        <v>0</v>
      </c>
      <c r="AK74" s="62">
        <v>0</v>
      </c>
      <c r="AL74" s="62">
        <v>0</v>
      </c>
      <c r="AM74" s="62">
        <v>0</v>
      </c>
      <c r="AN74" s="62">
        <v>0</v>
      </c>
      <c r="AO74" s="62">
        <v>0</v>
      </c>
      <c r="AP74" s="62">
        <v>18300</v>
      </c>
      <c r="AQ74" s="62">
        <f>15000+6000+7780+20000+9000</f>
        <v>57780</v>
      </c>
      <c r="AR74" s="62">
        <f>8000+8000</f>
        <v>16000</v>
      </c>
      <c r="AS74" s="62">
        <f>11000+8000+2500</f>
        <v>21500</v>
      </c>
      <c r="AT74" s="62">
        <v>0</v>
      </c>
      <c r="AU74" s="62">
        <f>7000+4000</f>
        <v>11000</v>
      </c>
      <c r="AV74" s="62">
        <f>4000+4600</f>
        <v>8600</v>
      </c>
      <c r="AW74" s="190">
        <f t="shared" si="18"/>
        <v>133180</v>
      </c>
      <c r="AX74" s="197">
        <f t="shared" si="342"/>
        <v>1.7457681082772623E-3</v>
      </c>
      <c r="AY74" s="62">
        <v>0</v>
      </c>
      <c r="AZ74" s="62">
        <v>0</v>
      </c>
      <c r="BA74" s="62">
        <v>0</v>
      </c>
      <c r="BB74" s="62">
        <f>102000+20000</f>
        <v>122000</v>
      </c>
      <c r="BC74" s="62">
        <f>23030+2500</f>
        <v>25530</v>
      </c>
      <c r="BD74" s="62">
        <v>0</v>
      </c>
      <c r="BE74" s="62">
        <v>0</v>
      </c>
      <c r="BF74" s="62">
        <f>97200</f>
        <v>97200</v>
      </c>
      <c r="BG74" s="62">
        <f>7000</f>
        <v>7000</v>
      </c>
      <c r="BH74" s="62">
        <f>5000</f>
        <v>5000</v>
      </c>
      <c r="BI74" s="62">
        <v>0</v>
      </c>
      <c r="BJ74" s="62">
        <f>10000+12000+5000+59650</f>
        <v>86650</v>
      </c>
      <c r="BK74" s="190">
        <f t="shared" si="19"/>
        <v>343380</v>
      </c>
      <c r="BL74" s="197">
        <f t="shared" si="343"/>
        <v>4.9167355178599149E-3</v>
      </c>
      <c r="BM74" s="62">
        <f>8300</f>
        <v>8300</v>
      </c>
      <c r="BN74" s="62">
        <v>0</v>
      </c>
      <c r="BO74" s="62">
        <f>4800</f>
        <v>4800</v>
      </c>
      <c r="BP74" s="62">
        <v>0</v>
      </c>
      <c r="BQ74" s="62">
        <v>0</v>
      </c>
      <c r="BR74" s="62">
        <v>0</v>
      </c>
      <c r="BS74" s="62">
        <v>0</v>
      </c>
      <c r="BT74" s="62">
        <v>0</v>
      </c>
      <c r="BU74" s="62">
        <v>0</v>
      </c>
      <c r="BV74" s="62">
        <v>0</v>
      </c>
      <c r="BW74" s="62">
        <v>0</v>
      </c>
      <c r="BX74" s="62">
        <v>0</v>
      </c>
      <c r="BY74" s="190">
        <f t="shared" si="20"/>
        <v>13100</v>
      </c>
      <c r="BZ74" s="197">
        <f t="shared" si="344"/>
        <v>3.0016344013881758E-4</v>
      </c>
      <c r="CA74" s="62">
        <v>0</v>
      </c>
      <c r="CB74" s="62">
        <v>0</v>
      </c>
      <c r="CC74" s="62">
        <v>0</v>
      </c>
      <c r="CD74" s="62">
        <v>0</v>
      </c>
      <c r="CE74" s="62">
        <v>0</v>
      </c>
      <c r="CF74" s="62">
        <v>0</v>
      </c>
      <c r="CG74" s="62">
        <v>0</v>
      </c>
      <c r="CH74" s="62">
        <v>0</v>
      </c>
      <c r="CI74" s="62">
        <v>0</v>
      </c>
      <c r="CJ74" s="62">
        <v>0</v>
      </c>
      <c r="CK74" s="62">
        <v>0</v>
      </c>
      <c r="CL74" s="62">
        <v>0</v>
      </c>
      <c r="CM74" s="190">
        <f t="shared" si="21"/>
        <v>0</v>
      </c>
      <c r="CN74" s="62">
        <v>0</v>
      </c>
      <c r="CO74" s="62">
        <v>0</v>
      </c>
      <c r="CP74" s="62">
        <v>0</v>
      </c>
      <c r="CQ74" s="62">
        <v>0</v>
      </c>
      <c r="CR74" s="62">
        <v>0</v>
      </c>
      <c r="CS74" s="62">
        <v>0</v>
      </c>
      <c r="CT74" s="62">
        <v>0</v>
      </c>
      <c r="CU74" s="62">
        <v>0</v>
      </c>
      <c r="CV74" s="62">
        <v>0</v>
      </c>
      <c r="CW74" s="62">
        <v>0</v>
      </c>
      <c r="CX74" s="62">
        <v>0</v>
      </c>
      <c r="CY74" s="62">
        <v>0</v>
      </c>
      <c r="CZ74" s="190">
        <f t="shared" si="22"/>
        <v>0</v>
      </c>
      <c r="DA74" s="62">
        <v>0</v>
      </c>
      <c r="DB74" s="62">
        <v>0</v>
      </c>
      <c r="DC74" s="62">
        <v>0</v>
      </c>
      <c r="DD74" s="62">
        <v>0</v>
      </c>
      <c r="DE74" s="62">
        <v>0</v>
      </c>
      <c r="DF74" s="62">
        <v>0</v>
      </c>
      <c r="DG74" s="62">
        <v>0</v>
      </c>
      <c r="DH74" s="62">
        <v>0</v>
      </c>
      <c r="DI74" s="62">
        <v>0</v>
      </c>
      <c r="DJ74" s="62">
        <v>0</v>
      </c>
      <c r="DK74" s="62">
        <v>0</v>
      </c>
      <c r="DL74" s="62">
        <v>0</v>
      </c>
      <c r="DM74" s="190">
        <f t="shared" si="23"/>
        <v>0</v>
      </c>
      <c r="DN74" s="62">
        <v>0</v>
      </c>
      <c r="DO74" s="62">
        <v>0</v>
      </c>
      <c r="DP74" s="62">
        <v>0</v>
      </c>
      <c r="DQ74" s="62">
        <v>0</v>
      </c>
      <c r="DR74" s="62">
        <v>0</v>
      </c>
      <c r="DS74" s="62">
        <v>0</v>
      </c>
      <c r="DT74" s="62">
        <v>0</v>
      </c>
      <c r="DU74" s="62">
        <v>0</v>
      </c>
      <c r="DV74" s="62">
        <v>0</v>
      </c>
      <c r="DW74" s="62">
        <v>0</v>
      </c>
      <c r="DX74" s="62">
        <v>0</v>
      </c>
      <c r="DY74" s="62">
        <v>0</v>
      </c>
      <c r="DZ74" s="190">
        <f t="shared" si="24"/>
        <v>0</v>
      </c>
    </row>
    <row r="75" spans="1:130" s="194" customFormat="1" ht="20.45" customHeight="1" outlineLevel="1">
      <c r="A75" s="525"/>
      <c r="B75" s="527" t="s">
        <v>342</v>
      </c>
      <c r="C75" s="65" t="s">
        <v>307</v>
      </c>
      <c r="D75" s="66">
        <f t="shared" si="345"/>
        <v>11920683.999999998</v>
      </c>
      <c r="E75" s="187">
        <f>SUM(E76:E79)</f>
        <v>3.688263652824382E-2</v>
      </c>
      <c r="F75" s="62">
        <f t="shared" ref="F75:DX75" si="356">SUM(F76:F79)</f>
        <v>293800</v>
      </c>
      <c r="G75" s="190">
        <f t="shared" si="36"/>
        <v>293800</v>
      </c>
      <c r="H75" s="196">
        <f>SUM(H76:H79)</f>
        <v>6.7109724856980676E-2</v>
      </c>
      <c r="I75" s="62">
        <f t="shared" si="356"/>
        <v>182200</v>
      </c>
      <c r="J75" s="62">
        <f t="shared" si="356"/>
        <v>163400</v>
      </c>
      <c r="K75" s="62">
        <f t="shared" si="356"/>
        <v>302800</v>
      </c>
      <c r="L75" s="62">
        <f t="shared" si="356"/>
        <v>440000</v>
      </c>
      <c r="M75" s="62">
        <f t="shared" si="356"/>
        <v>230700</v>
      </c>
      <c r="N75" s="62">
        <f t="shared" si="356"/>
        <v>337150</v>
      </c>
      <c r="O75" s="62">
        <f t="shared" si="356"/>
        <v>135400</v>
      </c>
      <c r="P75" s="62">
        <f t="shared" si="356"/>
        <v>286600</v>
      </c>
      <c r="Q75" s="62">
        <f t="shared" si="356"/>
        <v>389800</v>
      </c>
      <c r="R75" s="62">
        <f t="shared" si="356"/>
        <v>206900</v>
      </c>
      <c r="S75" s="62">
        <f t="shared" si="356"/>
        <v>411900</v>
      </c>
      <c r="T75" s="62">
        <f t="shared" si="356"/>
        <v>207660</v>
      </c>
      <c r="U75" s="190">
        <f t="shared" si="16"/>
        <v>3294510</v>
      </c>
      <c r="V75" s="196">
        <f>SUM(V76:V79)</f>
        <v>5.9381942648627034E-2</v>
      </c>
      <c r="W75" s="62">
        <f t="shared" si="356"/>
        <v>214850</v>
      </c>
      <c r="X75" s="62">
        <f t="shared" si="356"/>
        <v>54500</v>
      </c>
      <c r="Y75" s="62">
        <f t="shared" si="356"/>
        <v>141500</v>
      </c>
      <c r="Z75" s="62">
        <f t="shared" si="356"/>
        <v>162150</v>
      </c>
      <c r="AA75" s="62">
        <f t="shared" si="356"/>
        <v>157200</v>
      </c>
      <c r="AB75" s="62">
        <f t="shared" si="356"/>
        <v>121100</v>
      </c>
      <c r="AC75" s="62">
        <f t="shared" ref="AC75:AF75" si="357">SUM(AC76:AC79)</f>
        <v>301520</v>
      </c>
      <c r="AD75" s="62">
        <f t="shared" si="357"/>
        <v>91300</v>
      </c>
      <c r="AE75" s="62">
        <f t="shared" si="357"/>
        <v>168640</v>
      </c>
      <c r="AF75" s="62">
        <f t="shared" si="357"/>
        <v>142397</v>
      </c>
      <c r="AG75" s="62">
        <f t="shared" si="356"/>
        <v>89500</v>
      </c>
      <c r="AH75" s="62">
        <f t="shared" si="356"/>
        <v>297200</v>
      </c>
      <c r="AI75" s="190">
        <f t="shared" si="17"/>
        <v>1941857</v>
      </c>
      <c r="AJ75" s="196">
        <f>SUM(AJ76:AJ79)</f>
        <v>2.639156368917734E-2</v>
      </c>
      <c r="AK75" s="62">
        <f t="shared" ref="AK75:AV75" si="358">SUM(AK76:AK79)</f>
        <v>248000</v>
      </c>
      <c r="AL75" s="62">
        <f t="shared" si="358"/>
        <v>274700</v>
      </c>
      <c r="AM75" s="62">
        <f t="shared" si="358"/>
        <v>205200</v>
      </c>
      <c r="AN75" s="62">
        <f t="shared" si="358"/>
        <v>73000</v>
      </c>
      <c r="AO75" s="62">
        <f t="shared" si="358"/>
        <v>180300</v>
      </c>
      <c r="AP75" s="62">
        <f t="shared" si="358"/>
        <v>44700</v>
      </c>
      <c r="AQ75" s="62">
        <f t="shared" si="358"/>
        <v>245800</v>
      </c>
      <c r="AR75" s="62">
        <f t="shared" si="358"/>
        <v>392200</v>
      </c>
      <c r="AS75" s="62">
        <f t="shared" si="358"/>
        <v>117600</v>
      </c>
      <c r="AT75" s="62">
        <f t="shared" si="358"/>
        <v>180100</v>
      </c>
      <c r="AU75" s="62">
        <f t="shared" si="358"/>
        <v>145777</v>
      </c>
      <c r="AV75" s="62">
        <f t="shared" si="358"/>
        <v>312100</v>
      </c>
      <c r="AW75" s="190">
        <f t="shared" si="18"/>
        <v>2419477</v>
      </c>
      <c r="AX75" s="196">
        <f>SUM(AX76:AX79)</f>
        <v>3.1715316003231311E-2</v>
      </c>
      <c r="AY75" s="62">
        <f t="shared" ref="AY75:BJ75" si="359">SUM(AY76:AY79)</f>
        <v>355280</v>
      </c>
      <c r="AZ75" s="62">
        <f t="shared" si="359"/>
        <v>411300</v>
      </c>
      <c r="BA75" s="62">
        <f t="shared" si="359"/>
        <v>127000</v>
      </c>
      <c r="BB75" s="62">
        <f t="shared" si="359"/>
        <v>203620</v>
      </c>
      <c r="BC75" s="62">
        <f t="shared" si="359"/>
        <v>317400</v>
      </c>
      <c r="BD75" s="62">
        <f t="shared" si="359"/>
        <v>212100</v>
      </c>
      <c r="BE75" s="62">
        <f t="shared" si="359"/>
        <v>122700</v>
      </c>
      <c r="BF75" s="62">
        <f t="shared" si="359"/>
        <v>176100</v>
      </c>
      <c r="BG75" s="62">
        <f t="shared" si="359"/>
        <v>238000</v>
      </c>
      <c r="BH75" s="62">
        <f t="shared" si="359"/>
        <v>164700</v>
      </c>
      <c r="BI75" s="62">
        <f t="shared" si="359"/>
        <v>248500</v>
      </c>
      <c r="BJ75" s="62">
        <f t="shared" si="359"/>
        <v>368400</v>
      </c>
      <c r="BK75" s="190">
        <f t="shared" si="19"/>
        <v>2945100</v>
      </c>
      <c r="BL75" s="196">
        <f>SUM(BL76:BL79)</f>
        <v>4.2169834508850937E-2</v>
      </c>
      <c r="BM75" s="62">
        <f t="shared" ref="BM75:BX75" si="360">SUM(BM76:BM79)</f>
        <v>308200</v>
      </c>
      <c r="BN75" s="62">
        <f t="shared" si="360"/>
        <v>262000</v>
      </c>
      <c r="BO75" s="62">
        <f t="shared" si="360"/>
        <v>229800</v>
      </c>
      <c r="BP75" s="62">
        <f t="shared" si="360"/>
        <v>104700</v>
      </c>
      <c r="BQ75" s="62">
        <f t="shared" si="360"/>
        <v>121240</v>
      </c>
      <c r="BR75" s="62">
        <f t="shared" si="360"/>
        <v>0</v>
      </c>
      <c r="BS75" s="62">
        <f t="shared" si="360"/>
        <v>0</v>
      </c>
      <c r="BT75" s="62">
        <f t="shared" si="360"/>
        <v>0</v>
      </c>
      <c r="BU75" s="62">
        <f t="shared" si="360"/>
        <v>0</v>
      </c>
      <c r="BV75" s="62">
        <f t="shared" si="360"/>
        <v>0</v>
      </c>
      <c r="BW75" s="62">
        <f t="shared" si="360"/>
        <v>0</v>
      </c>
      <c r="BX75" s="62">
        <f t="shared" si="360"/>
        <v>0</v>
      </c>
      <c r="BY75" s="190">
        <f t="shared" si="20"/>
        <v>1025940</v>
      </c>
      <c r="BZ75" s="196">
        <f>SUM(BZ76:BZ79)</f>
        <v>2.3507609143207521E-2</v>
      </c>
      <c r="CA75" s="62">
        <f t="shared" ref="CA75:CL75" si="361">SUM(CA76:CA79)</f>
        <v>0</v>
      </c>
      <c r="CB75" s="62">
        <f t="shared" si="361"/>
        <v>0</v>
      </c>
      <c r="CC75" s="62">
        <f t="shared" si="361"/>
        <v>0</v>
      </c>
      <c r="CD75" s="62">
        <f t="shared" si="361"/>
        <v>0</v>
      </c>
      <c r="CE75" s="62">
        <f t="shared" si="361"/>
        <v>0</v>
      </c>
      <c r="CF75" s="62">
        <f t="shared" si="361"/>
        <v>0</v>
      </c>
      <c r="CG75" s="62">
        <f t="shared" si="361"/>
        <v>0</v>
      </c>
      <c r="CH75" s="62">
        <f t="shared" si="361"/>
        <v>0</v>
      </c>
      <c r="CI75" s="62">
        <f t="shared" si="361"/>
        <v>0</v>
      </c>
      <c r="CJ75" s="62">
        <f t="shared" si="361"/>
        <v>0</v>
      </c>
      <c r="CK75" s="62">
        <f t="shared" si="361"/>
        <v>0</v>
      </c>
      <c r="CL75" s="62">
        <f t="shared" si="361"/>
        <v>0</v>
      </c>
      <c r="CM75" s="190">
        <f t="shared" si="21"/>
        <v>0</v>
      </c>
      <c r="CN75" s="62">
        <f t="shared" ref="CN75:CY75" si="362">SUM(CN76:CN79)</f>
        <v>0</v>
      </c>
      <c r="CO75" s="62">
        <f t="shared" si="362"/>
        <v>0</v>
      </c>
      <c r="CP75" s="62">
        <f t="shared" si="362"/>
        <v>0</v>
      </c>
      <c r="CQ75" s="62">
        <f t="shared" si="362"/>
        <v>0</v>
      </c>
      <c r="CR75" s="62">
        <f t="shared" si="362"/>
        <v>0</v>
      </c>
      <c r="CS75" s="62">
        <f t="shared" si="362"/>
        <v>0</v>
      </c>
      <c r="CT75" s="62">
        <f t="shared" si="362"/>
        <v>0</v>
      </c>
      <c r="CU75" s="62">
        <f t="shared" si="362"/>
        <v>0</v>
      </c>
      <c r="CV75" s="62">
        <f t="shared" si="362"/>
        <v>0</v>
      </c>
      <c r="CW75" s="62">
        <f t="shared" si="362"/>
        <v>0</v>
      </c>
      <c r="CX75" s="62">
        <f t="shared" si="362"/>
        <v>0</v>
      </c>
      <c r="CY75" s="62">
        <f t="shared" si="362"/>
        <v>0</v>
      </c>
      <c r="CZ75" s="190">
        <f t="shared" si="22"/>
        <v>0</v>
      </c>
      <c r="DA75" s="62">
        <f t="shared" ref="DA75:DL75" si="363">SUM(DA76:DA79)</f>
        <v>0</v>
      </c>
      <c r="DB75" s="62">
        <f t="shared" si="363"/>
        <v>0</v>
      </c>
      <c r="DC75" s="62">
        <f t="shared" si="363"/>
        <v>0</v>
      </c>
      <c r="DD75" s="62">
        <f t="shared" si="363"/>
        <v>0</v>
      </c>
      <c r="DE75" s="62">
        <f t="shared" si="363"/>
        <v>0</v>
      </c>
      <c r="DF75" s="62">
        <f t="shared" si="363"/>
        <v>0</v>
      </c>
      <c r="DG75" s="62">
        <f t="shared" si="363"/>
        <v>0</v>
      </c>
      <c r="DH75" s="62">
        <f t="shared" si="363"/>
        <v>0</v>
      </c>
      <c r="DI75" s="62">
        <f t="shared" si="363"/>
        <v>0</v>
      </c>
      <c r="DJ75" s="62">
        <f t="shared" si="363"/>
        <v>0</v>
      </c>
      <c r="DK75" s="62">
        <f t="shared" si="363"/>
        <v>0</v>
      </c>
      <c r="DL75" s="62">
        <f t="shared" si="363"/>
        <v>0</v>
      </c>
      <c r="DM75" s="190">
        <f t="shared" si="23"/>
        <v>0</v>
      </c>
      <c r="DN75" s="62">
        <f t="shared" ref="DN75:DQ75" si="364">SUM(DN76:DN79)</f>
        <v>0</v>
      </c>
      <c r="DO75" s="62">
        <f t="shared" si="364"/>
        <v>0</v>
      </c>
      <c r="DP75" s="62">
        <f t="shared" si="364"/>
        <v>0</v>
      </c>
      <c r="DQ75" s="62">
        <f t="shared" si="364"/>
        <v>0</v>
      </c>
      <c r="DR75" s="62">
        <f t="shared" ref="DR75:DU75" si="365">SUM(DR76:DR79)</f>
        <v>0</v>
      </c>
      <c r="DS75" s="62">
        <f t="shared" si="365"/>
        <v>0</v>
      </c>
      <c r="DT75" s="62">
        <f t="shared" si="365"/>
        <v>0</v>
      </c>
      <c r="DU75" s="62">
        <f t="shared" si="365"/>
        <v>0</v>
      </c>
      <c r="DV75" s="62">
        <f t="shared" ref="DV75:DW75" si="366">SUM(DV76:DV79)</f>
        <v>0</v>
      </c>
      <c r="DW75" s="62">
        <f t="shared" si="366"/>
        <v>0</v>
      </c>
      <c r="DX75" s="62">
        <f t="shared" si="356"/>
        <v>0</v>
      </c>
      <c r="DY75" s="62">
        <f t="shared" ref="DY75" si="367">SUM(DY76:DY79)</f>
        <v>0</v>
      </c>
      <c r="DZ75" s="190">
        <f t="shared" si="24"/>
        <v>0</v>
      </c>
    </row>
    <row r="76" spans="1:130" ht="20.45" customHeight="1" outlineLevel="2">
      <c r="A76" s="525"/>
      <c r="B76" s="528"/>
      <c r="C76" s="30" t="s">
        <v>343</v>
      </c>
      <c r="D76" s="62">
        <f t="shared" si="345"/>
        <v>1892200</v>
      </c>
      <c r="E76" s="184">
        <f t="shared" si="179"/>
        <v>5.8544731861647327E-3</v>
      </c>
      <c r="F76" s="62">
        <v>214700</v>
      </c>
      <c r="G76" s="190">
        <f t="shared" si="36"/>
        <v>214700</v>
      </c>
      <c r="H76" s="197">
        <f t="shared" ref="H76:H79" si="368">G76/(G$5+G$6+G$7+G$8+G$10+G$9)</f>
        <v>4.9041722010870495E-2</v>
      </c>
      <c r="I76" s="62">
        <v>98600</v>
      </c>
      <c r="J76" s="62">
        <v>0</v>
      </c>
      <c r="K76" s="62">
        <v>18000</v>
      </c>
      <c r="L76" s="62">
        <f>30800+44500</f>
        <v>75300</v>
      </c>
      <c r="M76" s="62">
        <v>46000</v>
      </c>
      <c r="N76" s="62">
        <v>43600</v>
      </c>
      <c r="O76" s="62">
        <v>0</v>
      </c>
      <c r="P76" s="62">
        <v>25000</v>
      </c>
      <c r="Q76" s="62">
        <v>19900</v>
      </c>
      <c r="R76" s="62">
        <v>32500</v>
      </c>
      <c r="S76" s="62">
        <v>69400</v>
      </c>
      <c r="T76" s="62">
        <v>61800</v>
      </c>
      <c r="U76" s="190">
        <f t="shared" si="16"/>
        <v>490100</v>
      </c>
      <c r="V76" s="197">
        <f t="shared" ref="V76:V79" si="369">U76/(U$5+U$6+U$7+U$8+U$10+U$9)</f>
        <v>8.8338144646979699E-3</v>
      </c>
      <c r="W76" s="62">
        <v>0</v>
      </c>
      <c r="X76" s="62">
        <v>0</v>
      </c>
      <c r="Y76" s="62">
        <v>0</v>
      </c>
      <c r="Z76" s="62">
        <f>21000+30900</f>
        <v>51900</v>
      </c>
      <c r="AA76" s="62">
        <v>0</v>
      </c>
      <c r="AB76" s="62">
        <f>24000+23500</f>
        <v>47500</v>
      </c>
      <c r="AC76" s="62">
        <v>0</v>
      </c>
      <c r="AD76" s="62">
        <v>0</v>
      </c>
      <c r="AE76" s="62">
        <v>0</v>
      </c>
      <c r="AF76" s="62">
        <v>0</v>
      </c>
      <c r="AG76" s="62">
        <v>0</v>
      </c>
      <c r="AH76" s="62">
        <v>0</v>
      </c>
      <c r="AI76" s="190">
        <f t="shared" si="17"/>
        <v>99400</v>
      </c>
      <c r="AJ76" s="197">
        <f t="shared" ref="AJ76:AJ79" si="370">AI76/(AI$5+AI$6+AI$7+AI$8+AI$10+AI$9)</f>
        <v>1.3509344049042887E-3</v>
      </c>
      <c r="AK76" s="62">
        <v>0</v>
      </c>
      <c r="AL76" s="62">
        <v>0</v>
      </c>
      <c r="AM76" s="62">
        <v>23300</v>
      </c>
      <c r="AN76" s="62">
        <v>0</v>
      </c>
      <c r="AO76" s="62">
        <v>0</v>
      </c>
      <c r="AP76" s="62">
        <v>0</v>
      </c>
      <c r="AQ76" s="62">
        <v>0</v>
      </c>
      <c r="AR76" s="62">
        <f>18900+18900</f>
        <v>37800</v>
      </c>
      <c r="AS76" s="62">
        <v>0</v>
      </c>
      <c r="AT76" s="62">
        <f>19300</f>
        <v>19300</v>
      </c>
      <c r="AU76" s="62">
        <f>21000+33000</f>
        <v>54000</v>
      </c>
      <c r="AV76" s="62">
        <f>18000</f>
        <v>18000</v>
      </c>
      <c r="AW76" s="190">
        <f t="shared" si="18"/>
        <v>152400</v>
      </c>
      <c r="AX76" s="197">
        <f t="shared" ref="AX76:AX79" si="371">AW76/(AW$5+AW$6+AW$7+AW$8+AW$10+AW$9)</f>
        <v>1.9977103146227269E-3</v>
      </c>
      <c r="AY76" s="62">
        <f>19300</f>
        <v>19300</v>
      </c>
      <c r="AZ76" s="62">
        <f>26300+12000+34000+29800</f>
        <v>102100</v>
      </c>
      <c r="BA76" s="62">
        <f>16000+33000+17000</f>
        <v>66000</v>
      </c>
      <c r="BB76" s="62">
        <v>0</v>
      </c>
      <c r="BC76" s="62">
        <f>49000+28000+35000</f>
        <v>112000</v>
      </c>
      <c r="BD76" s="62">
        <f>41000+21000</f>
        <v>62000</v>
      </c>
      <c r="BE76" s="62">
        <f>13200+23000</f>
        <v>36200</v>
      </c>
      <c r="BF76" s="62">
        <f>27000+19000</f>
        <v>46000</v>
      </c>
      <c r="BG76" s="62">
        <f>20000+21000+20000</f>
        <v>61000</v>
      </c>
      <c r="BH76" s="62">
        <f>13400+16800+25500+16000</f>
        <v>71700</v>
      </c>
      <c r="BI76" s="62">
        <f>23400+24500</f>
        <v>47900</v>
      </c>
      <c r="BJ76" s="62">
        <f>25600</f>
        <v>25600</v>
      </c>
      <c r="BK76" s="190">
        <f t="shared" si="19"/>
        <v>649800</v>
      </c>
      <c r="BL76" s="197">
        <f t="shared" ref="BL76:BL79" si="372">BK76/(BK$5+BK$6+BK$7+BK$8+BK$10+BK$9)</f>
        <v>9.3042540028696278E-3</v>
      </c>
      <c r="BM76" s="62">
        <f>32000+27500+22000+20800+13000+21000</f>
        <v>136300</v>
      </c>
      <c r="BN76" s="62">
        <f>23800+27500+8500+20200</f>
        <v>80000</v>
      </c>
      <c r="BO76" s="62">
        <f>8300+7000+23000+20000</f>
        <v>58300</v>
      </c>
      <c r="BP76" s="62">
        <v>0</v>
      </c>
      <c r="BQ76" s="62">
        <f>11200</f>
        <v>11200</v>
      </c>
      <c r="BR76" s="62">
        <v>0</v>
      </c>
      <c r="BS76" s="62">
        <v>0</v>
      </c>
      <c r="BT76" s="62">
        <v>0</v>
      </c>
      <c r="BU76" s="62">
        <v>0</v>
      </c>
      <c r="BV76" s="62">
        <v>0</v>
      </c>
      <c r="BW76" s="62">
        <v>0</v>
      </c>
      <c r="BX76" s="62">
        <v>0</v>
      </c>
      <c r="BY76" s="190">
        <f t="shared" si="20"/>
        <v>285800</v>
      </c>
      <c r="BZ76" s="197">
        <f t="shared" ref="BZ76:BZ79" si="373">BY76/(BY$5+BY$6+BY$7+BY$8+BY$10+BY$9)</f>
        <v>6.5486039077613791E-3</v>
      </c>
      <c r="CA76" s="62">
        <v>0</v>
      </c>
      <c r="CB76" s="62">
        <v>0</v>
      </c>
      <c r="CC76" s="62">
        <v>0</v>
      </c>
      <c r="CD76" s="62">
        <v>0</v>
      </c>
      <c r="CE76" s="62">
        <v>0</v>
      </c>
      <c r="CF76" s="62">
        <v>0</v>
      </c>
      <c r="CG76" s="62">
        <v>0</v>
      </c>
      <c r="CH76" s="62">
        <v>0</v>
      </c>
      <c r="CI76" s="62">
        <v>0</v>
      </c>
      <c r="CJ76" s="62">
        <v>0</v>
      </c>
      <c r="CK76" s="62">
        <v>0</v>
      </c>
      <c r="CL76" s="62">
        <v>0</v>
      </c>
      <c r="CM76" s="190">
        <f t="shared" si="21"/>
        <v>0</v>
      </c>
      <c r="CN76" s="62">
        <v>0</v>
      </c>
      <c r="CO76" s="62">
        <v>0</v>
      </c>
      <c r="CP76" s="62">
        <v>0</v>
      </c>
      <c r="CQ76" s="62">
        <v>0</v>
      </c>
      <c r="CR76" s="62">
        <v>0</v>
      </c>
      <c r="CS76" s="62">
        <v>0</v>
      </c>
      <c r="CT76" s="62">
        <v>0</v>
      </c>
      <c r="CU76" s="62">
        <v>0</v>
      </c>
      <c r="CV76" s="62">
        <v>0</v>
      </c>
      <c r="CW76" s="62">
        <v>0</v>
      </c>
      <c r="CX76" s="62">
        <v>0</v>
      </c>
      <c r="CY76" s="62">
        <v>0</v>
      </c>
      <c r="CZ76" s="190">
        <f t="shared" si="22"/>
        <v>0</v>
      </c>
      <c r="DA76" s="62">
        <v>0</v>
      </c>
      <c r="DB76" s="62">
        <v>0</v>
      </c>
      <c r="DC76" s="62">
        <v>0</v>
      </c>
      <c r="DD76" s="62">
        <v>0</v>
      </c>
      <c r="DE76" s="62">
        <v>0</v>
      </c>
      <c r="DF76" s="62">
        <v>0</v>
      </c>
      <c r="DG76" s="62">
        <v>0</v>
      </c>
      <c r="DH76" s="62">
        <v>0</v>
      </c>
      <c r="DI76" s="62">
        <v>0</v>
      </c>
      <c r="DJ76" s="62">
        <v>0</v>
      </c>
      <c r="DK76" s="62">
        <v>0</v>
      </c>
      <c r="DL76" s="62">
        <v>0</v>
      </c>
      <c r="DM76" s="190">
        <f t="shared" si="23"/>
        <v>0</v>
      </c>
      <c r="DN76" s="62">
        <v>0</v>
      </c>
      <c r="DO76" s="62">
        <v>0</v>
      </c>
      <c r="DP76" s="62">
        <v>0</v>
      </c>
      <c r="DQ76" s="62">
        <v>0</v>
      </c>
      <c r="DR76" s="62">
        <v>0</v>
      </c>
      <c r="DS76" s="62">
        <v>0</v>
      </c>
      <c r="DT76" s="62">
        <v>0</v>
      </c>
      <c r="DU76" s="62">
        <v>0</v>
      </c>
      <c r="DV76" s="62">
        <v>0</v>
      </c>
      <c r="DW76" s="62">
        <v>0</v>
      </c>
      <c r="DX76" s="62">
        <v>0</v>
      </c>
      <c r="DY76" s="62">
        <v>0</v>
      </c>
      <c r="DZ76" s="190">
        <f t="shared" si="24"/>
        <v>0</v>
      </c>
    </row>
    <row r="77" spans="1:130" ht="20.45" customHeight="1" outlineLevel="2">
      <c r="A77" s="525"/>
      <c r="B77" s="528"/>
      <c r="C77" s="30" t="s">
        <v>344</v>
      </c>
      <c r="D77" s="62">
        <f t="shared" si="345"/>
        <v>1127260</v>
      </c>
      <c r="E77" s="184">
        <f t="shared" si="179"/>
        <v>3.4877462444963835E-3</v>
      </c>
      <c r="F77" s="62">
        <v>0</v>
      </c>
      <c r="G77" s="190">
        <f t="shared" si="36"/>
        <v>0</v>
      </c>
      <c r="H77" s="197">
        <f t="shared" si="368"/>
        <v>0</v>
      </c>
      <c r="I77" s="62">
        <v>15000</v>
      </c>
      <c r="J77" s="62">
        <v>83900</v>
      </c>
      <c r="K77" s="62">
        <v>19000</v>
      </c>
      <c r="L77" s="62">
        <v>0</v>
      </c>
      <c r="M77" s="62">
        <v>0</v>
      </c>
      <c r="N77" s="62">
        <v>19000</v>
      </c>
      <c r="O77" s="62">
        <v>39000</v>
      </c>
      <c r="P77" s="62">
        <v>26000</v>
      </c>
      <c r="Q77" s="62">
        <v>0</v>
      </c>
      <c r="R77" s="62">
        <v>48000</v>
      </c>
      <c r="S77" s="62">
        <v>18000</v>
      </c>
      <c r="T77" s="62">
        <v>0</v>
      </c>
      <c r="U77" s="190">
        <f t="shared" si="16"/>
        <v>267900</v>
      </c>
      <c r="V77" s="197">
        <f t="shared" si="369"/>
        <v>4.8287673843962174E-3</v>
      </c>
      <c r="W77" s="62">
        <v>0</v>
      </c>
      <c r="X77" s="62">
        <v>54500</v>
      </c>
      <c r="Y77" s="62">
        <v>0</v>
      </c>
      <c r="Z77" s="62">
        <v>30600</v>
      </c>
      <c r="AA77" s="62">
        <v>18800</v>
      </c>
      <c r="AB77" s="62">
        <v>17700</v>
      </c>
      <c r="AC77" s="62">
        <f>21920+27700</f>
        <v>49620</v>
      </c>
      <c r="AD77" s="62">
        <f>19000+22400</f>
        <v>41400</v>
      </c>
      <c r="AE77" s="62">
        <f>20640</f>
        <v>20640</v>
      </c>
      <c r="AF77" s="62">
        <f>23400+26900</f>
        <v>50300</v>
      </c>
      <c r="AG77" s="62">
        <v>23800</v>
      </c>
      <c r="AH77" s="62">
        <v>19000</v>
      </c>
      <c r="AI77" s="190">
        <f t="shared" si="17"/>
        <v>326360</v>
      </c>
      <c r="AJ77" s="197">
        <f t="shared" si="370"/>
        <v>4.4355226598044636E-3</v>
      </c>
      <c r="AK77" s="62">
        <v>20000</v>
      </c>
      <c r="AL77" s="62">
        <f>30000+23000</f>
        <v>53000</v>
      </c>
      <c r="AM77" s="62">
        <f>21500+22000</f>
        <v>43500</v>
      </c>
      <c r="AN77" s="62">
        <f>16500</f>
        <v>16500</v>
      </c>
      <c r="AO77" s="62">
        <f>3500+16500</f>
        <v>20000</v>
      </c>
      <c r="AP77" s="62">
        <v>0</v>
      </c>
      <c r="AQ77" s="62">
        <v>27900</v>
      </c>
      <c r="AR77" s="62">
        <v>23000</v>
      </c>
      <c r="AS77" s="62">
        <v>0</v>
      </c>
      <c r="AT77" s="62">
        <v>0</v>
      </c>
      <c r="AU77" s="62">
        <v>0</v>
      </c>
      <c r="AV77" s="62">
        <f>22500</f>
        <v>22500</v>
      </c>
      <c r="AW77" s="190">
        <f t="shared" si="18"/>
        <v>226400</v>
      </c>
      <c r="AX77" s="197">
        <f t="shared" si="371"/>
        <v>2.9677271340589591E-3</v>
      </c>
      <c r="AY77" s="62">
        <v>0</v>
      </c>
      <c r="AZ77" s="62">
        <f>19100</f>
        <v>19100</v>
      </c>
      <c r="BA77" s="62">
        <v>0</v>
      </c>
      <c r="BB77" s="62">
        <f>23100</f>
        <v>23100</v>
      </c>
      <c r="BC77" s="62">
        <f>6000</f>
        <v>6000</v>
      </c>
      <c r="BD77" s="62">
        <f>19000+27800</f>
        <v>46800</v>
      </c>
      <c r="BE77" s="62">
        <v>0</v>
      </c>
      <c r="BF77" s="62">
        <f>17000+23500</f>
        <v>40500</v>
      </c>
      <c r="BG77" s="62">
        <f>13800</f>
        <v>13800</v>
      </c>
      <c r="BH77" s="62">
        <f>19000</f>
        <v>19000</v>
      </c>
      <c r="BI77" s="62">
        <v>0</v>
      </c>
      <c r="BJ77" s="62">
        <f>40200+12900</f>
        <v>53100</v>
      </c>
      <c r="BK77" s="190">
        <f t="shared" si="19"/>
        <v>221400</v>
      </c>
      <c r="BL77" s="197">
        <f t="shared" si="372"/>
        <v>3.1701474857422831E-3</v>
      </c>
      <c r="BM77" s="62">
        <f>23000+12900</f>
        <v>35900</v>
      </c>
      <c r="BN77" s="62">
        <f>24000</f>
        <v>24000</v>
      </c>
      <c r="BO77" s="62">
        <v>0</v>
      </c>
      <c r="BP77" s="62">
        <f>25300</f>
        <v>25300</v>
      </c>
      <c r="BQ77" s="62">
        <v>0</v>
      </c>
      <c r="BR77" s="62">
        <v>0</v>
      </c>
      <c r="BS77" s="62">
        <v>0</v>
      </c>
      <c r="BT77" s="62">
        <v>0</v>
      </c>
      <c r="BU77" s="62">
        <v>0</v>
      </c>
      <c r="BV77" s="62">
        <v>0</v>
      </c>
      <c r="BW77" s="62">
        <v>0</v>
      </c>
      <c r="BX77" s="62">
        <v>0</v>
      </c>
      <c r="BY77" s="190">
        <f t="shared" si="20"/>
        <v>85200</v>
      </c>
      <c r="BZ77" s="197">
        <f t="shared" si="373"/>
        <v>1.9522080228875768E-3</v>
      </c>
      <c r="CA77" s="62">
        <v>0</v>
      </c>
      <c r="CB77" s="62">
        <v>0</v>
      </c>
      <c r="CC77" s="62">
        <v>0</v>
      </c>
      <c r="CD77" s="62">
        <v>0</v>
      </c>
      <c r="CE77" s="62">
        <v>0</v>
      </c>
      <c r="CF77" s="62">
        <v>0</v>
      </c>
      <c r="CG77" s="62">
        <v>0</v>
      </c>
      <c r="CH77" s="62">
        <v>0</v>
      </c>
      <c r="CI77" s="62">
        <v>0</v>
      </c>
      <c r="CJ77" s="62">
        <v>0</v>
      </c>
      <c r="CK77" s="62">
        <v>0</v>
      </c>
      <c r="CL77" s="62">
        <v>0</v>
      </c>
      <c r="CM77" s="190">
        <f t="shared" si="21"/>
        <v>0</v>
      </c>
      <c r="CN77" s="62">
        <v>0</v>
      </c>
      <c r="CO77" s="62">
        <v>0</v>
      </c>
      <c r="CP77" s="62">
        <v>0</v>
      </c>
      <c r="CQ77" s="62">
        <v>0</v>
      </c>
      <c r="CR77" s="62">
        <v>0</v>
      </c>
      <c r="CS77" s="62">
        <v>0</v>
      </c>
      <c r="CT77" s="62">
        <v>0</v>
      </c>
      <c r="CU77" s="62">
        <v>0</v>
      </c>
      <c r="CV77" s="62">
        <v>0</v>
      </c>
      <c r="CW77" s="62">
        <v>0</v>
      </c>
      <c r="CX77" s="62">
        <v>0</v>
      </c>
      <c r="CY77" s="62">
        <v>0</v>
      </c>
      <c r="CZ77" s="190">
        <f t="shared" si="22"/>
        <v>0</v>
      </c>
      <c r="DA77" s="62">
        <v>0</v>
      </c>
      <c r="DB77" s="62">
        <v>0</v>
      </c>
      <c r="DC77" s="62">
        <v>0</v>
      </c>
      <c r="DD77" s="62">
        <v>0</v>
      </c>
      <c r="DE77" s="62">
        <v>0</v>
      </c>
      <c r="DF77" s="62">
        <v>0</v>
      </c>
      <c r="DG77" s="62">
        <v>0</v>
      </c>
      <c r="DH77" s="62">
        <v>0</v>
      </c>
      <c r="DI77" s="62">
        <v>0</v>
      </c>
      <c r="DJ77" s="62">
        <v>0</v>
      </c>
      <c r="DK77" s="62">
        <v>0</v>
      </c>
      <c r="DL77" s="62">
        <v>0</v>
      </c>
      <c r="DM77" s="190">
        <f t="shared" si="23"/>
        <v>0</v>
      </c>
      <c r="DN77" s="62">
        <v>0</v>
      </c>
      <c r="DO77" s="62">
        <v>0</v>
      </c>
      <c r="DP77" s="62">
        <v>0</v>
      </c>
      <c r="DQ77" s="62">
        <v>0</v>
      </c>
      <c r="DR77" s="62">
        <v>0</v>
      </c>
      <c r="DS77" s="62">
        <v>0</v>
      </c>
      <c r="DT77" s="62">
        <v>0</v>
      </c>
      <c r="DU77" s="62">
        <v>0</v>
      </c>
      <c r="DV77" s="62">
        <v>0</v>
      </c>
      <c r="DW77" s="62">
        <v>0</v>
      </c>
      <c r="DX77" s="62">
        <v>0</v>
      </c>
      <c r="DY77" s="62">
        <v>0</v>
      </c>
      <c r="DZ77" s="190">
        <f t="shared" si="24"/>
        <v>0</v>
      </c>
    </row>
    <row r="78" spans="1:130" ht="20.45" customHeight="1" outlineLevel="2">
      <c r="A78" s="526"/>
      <c r="B78" s="528"/>
      <c r="C78" s="30" t="s">
        <v>2615</v>
      </c>
      <c r="D78" s="62">
        <f t="shared" si="345"/>
        <v>52550.000000000015</v>
      </c>
      <c r="E78" s="184">
        <f t="shared" si="179"/>
        <v>1.6258987735596491E-4</v>
      </c>
      <c r="F78" s="62">
        <v>0</v>
      </c>
      <c r="G78" s="190">
        <f t="shared" si="36"/>
        <v>0</v>
      </c>
      <c r="H78" s="197">
        <f t="shared" si="368"/>
        <v>0</v>
      </c>
      <c r="I78" s="62">
        <v>0</v>
      </c>
      <c r="J78" s="62">
        <v>0</v>
      </c>
      <c r="K78" s="62">
        <v>0</v>
      </c>
      <c r="L78" s="62">
        <v>0</v>
      </c>
      <c r="M78" s="62">
        <v>0</v>
      </c>
      <c r="N78" s="62">
        <v>0</v>
      </c>
      <c r="O78" s="62">
        <v>0</v>
      </c>
      <c r="P78" s="62">
        <v>0</v>
      </c>
      <c r="Q78" s="62">
        <v>0</v>
      </c>
      <c r="R78" s="62">
        <v>0</v>
      </c>
      <c r="S78" s="62">
        <v>0</v>
      </c>
      <c r="T78" s="62">
        <v>0</v>
      </c>
      <c r="U78" s="190">
        <f t="shared" si="16"/>
        <v>0</v>
      </c>
      <c r="V78" s="197">
        <f t="shared" si="369"/>
        <v>0</v>
      </c>
      <c r="W78" s="62">
        <v>0</v>
      </c>
      <c r="X78" s="62">
        <v>0</v>
      </c>
      <c r="Y78" s="62">
        <v>0</v>
      </c>
      <c r="Z78" s="62">
        <v>23350</v>
      </c>
      <c r="AA78" s="62">
        <v>0</v>
      </c>
      <c r="AB78" s="62">
        <v>0</v>
      </c>
      <c r="AC78" s="62">
        <v>2200</v>
      </c>
      <c r="AD78" s="62">
        <v>0</v>
      </c>
      <c r="AE78" s="62">
        <v>0</v>
      </c>
      <c r="AF78" s="62">
        <v>0</v>
      </c>
      <c r="AG78" s="62">
        <v>0</v>
      </c>
      <c r="AH78" s="62">
        <v>0</v>
      </c>
      <c r="AI78" s="190">
        <f t="shared" si="17"/>
        <v>25550</v>
      </c>
      <c r="AJ78" s="197">
        <f t="shared" si="370"/>
        <v>3.4724722379582071E-4</v>
      </c>
      <c r="AK78" s="62">
        <v>0</v>
      </c>
      <c r="AL78" s="62">
        <v>0</v>
      </c>
      <c r="AM78" s="62">
        <v>0</v>
      </c>
      <c r="AN78" s="62">
        <v>0</v>
      </c>
      <c r="AO78" s="62">
        <v>0</v>
      </c>
      <c r="AP78" s="62">
        <v>0</v>
      </c>
      <c r="AQ78" s="62">
        <v>0</v>
      </c>
      <c r="AR78" s="62">
        <v>27000</v>
      </c>
      <c r="AS78" s="62">
        <v>0</v>
      </c>
      <c r="AT78" s="62">
        <v>0</v>
      </c>
      <c r="AU78" s="62">
        <v>0</v>
      </c>
      <c r="AV78" s="62">
        <v>0</v>
      </c>
      <c r="AW78" s="190">
        <f t="shared" si="18"/>
        <v>27000</v>
      </c>
      <c r="AX78" s="197">
        <f t="shared" si="371"/>
        <v>3.5392505574024689E-4</v>
      </c>
      <c r="AY78" s="62">
        <v>0</v>
      </c>
      <c r="AZ78" s="62">
        <v>0</v>
      </c>
      <c r="BA78" s="62">
        <v>0</v>
      </c>
      <c r="BB78" s="62">
        <v>0</v>
      </c>
      <c r="BC78" s="62">
        <v>0</v>
      </c>
      <c r="BD78" s="62">
        <v>0</v>
      </c>
      <c r="BE78" s="62">
        <v>0</v>
      </c>
      <c r="BF78" s="62">
        <v>0</v>
      </c>
      <c r="BG78" s="62">
        <v>0</v>
      </c>
      <c r="BH78" s="62">
        <v>0</v>
      </c>
      <c r="BI78" s="62">
        <v>0</v>
      </c>
      <c r="BJ78" s="62">
        <v>0</v>
      </c>
      <c r="BK78" s="190">
        <f t="shared" si="19"/>
        <v>0</v>
      </c>
      <c r="BL78" s="197">
        <f t="shared" si="372"/>
        <v>0</v>
      </c>
      <c r="BM78" s="62">
        <v>0</v>
      </c>
      <c r="BN78" s="62">
        <v>0</v>
      </c>
      <c r="BO78" s="62">
        <v>0</v>
      </c>
      <c r="BP78" s="62">
        <v>0</v>
      </c>
      <c r="BQ78" s="62">
        <v>0</v>
      </c>
      <c r="BR78" s="62">
        <v>0</v>
      </c>
      <c r="BS78" s="62">
        <v>0</v>
      </c>
      <c r="BT78" s="62">
        <v>0</v>
      </c>
      <c r="BU78" s="62">
        <v>0</v>
      </c>
      <c r="BV78" s="62">
        <v>0</v>
      </c>
      <c r="BW78" s="62">
        <v>0</v>
      </c>
      <c r="BX78" s="62">
        <v>0</v>
      </c>
      <c r="BY78" s="190">
        <f t="shared" si="20"/>
        <v>0</v>
      </c>
      <c r="BZ78" s="197">
        <f t="shared" si="373"/>
        <v>0</v>
      </c>
      <c r="CA78" s="62">
        <v>0</v>
      </c>
      <c r="CB78" s="62">
        <v>0</v>
      </c>
      <c r="CC78" s="62">
        <v>0</v>
      </c>
      <c r="CD78" s="62">
        <v>0</v>
      </c>
      <c r="CE78" s="62">
        <v>0</v>
      </c>
      <c r="CF78" s="62">
        <v>0</v>
      </c>
      <c r="CG78" s="62">
        <v>0</v>
      </c>
      <c r="CH78" s="62">
        <v>0</v>
      </c>
      <c r="CI78" s="62">
        <v>0</v>
      </c>
      <c r="CJ78" s="62">
        <v>0</v>
      </c>
      <c r="CK78" s="62">
        <v>0</v>
      </c>
      <c r="CL78" s="62">
        <v>0</v>
      </c>
      <c r="CM78" s="190">
        <f t="shared" si="21"/>
        <v>0</v>
      </c>
      <c r="CN78" s="62">
        <v>0</v>
      </c>
      <c r="CO78" s="62">
        <v>0</v>
      </c>
      <c r="CP78" s="62">
        <v>0</v>
      </c>
      <c r="CQ78" s="62">
        <v>0</v>
      </c>
      <c r="CR78" s="62">
        <v>0</v>
      </c>
      <c r="CS78" s="62">
        <v>0</v>
      </c>
      <c r="CT78" s="62">
        <v>0</v>
      </c>
      <c r="CU78" s="62">
        <v>0</v>
      </c>
      <c r="CV78" s="62">
        <v>0</v>
      </c>
      <c r="CW78" s="62">
        <v>0</v>
      </c>
      <c r="CX78" s="62">
        <v>0</v>
      </c>
      <c r="CY78" s="62">
        <v>0</v>
      </c>
      <c r="CZ78" s="190">
        <f t="shared" si="22"/>
        <v>0</v>
      </c>
      <c r="DA78" s="62">
        <v>0</v>
      </c>
      <c r="DB78" s="62">
        <v>0</v>
      </c>
      <c r="DC78" s="62">
        <v>0</v>
      </c>
      <c r="DD78" s="62">
        <v>0</v>
      </c>
      <c r="DE78" s="62">
        <v>0</v>
      </c>
      <c r="DF78" s="62">
        <v>0</v>
      </c>
      <c r="DG78" s="62">
        <v>0</v>
      </c>
      <c r="DH78" s="62">
        <v>0</v>
      </c>
      <c r="DI78" s="62">
        <v>0</v>
      </c>
      <c r="DJ78" s="62">
        <v>0</v>
      </c>
      <c r="DK78" s="62">
        <v>0</v>
      </c>
      <c r="DL78" s="62">
        <v>0</v>
      </c>
      <c r="DM78" s="190">
        <f t="shared" si="23"/>
        <v>0</v>
      </c>
      <c r="DN78" s="62">
        <v>0</v>
      </c>
      <c r="DO78" s="62">
        <v>0</v>
      </c>
      <c r="DP78" s="62">
        <v>0</v>
      </c>
      <c r="DQ78" s="62">
        <v>0</v>
      </c>
      <c r="DR78" s="62">
        <v>0</v>
      </c>
      <c r="DS78" s="62">
        <v>0</v>
      </c>
      <c r="DT78" s="62">
        <v>0</v>
      </c>
      <c r="DU78" s="62">
        <v>0</v>
      </c>
      <c r="DV78" s="62">
        <v>0</v>
      </c>
      <c r="DW78" s="62">
        <v>0</v>
      </c>
      <c r="DX78" s="62">
        <v>0</v>
      </c>
      <c r="DY78" s="62">
        <v>0</v>
      </c>
      <c r="DZ78" s="190">
        <f t="shared" si="24"/>
        <v>0</v>
      </c>
    </row>
    <row r="79" spans="1:130" ht="20.45" customHeight="1" outlineLevel="2">
      <c r="A79" s="525"/>
      <c r="B79" s="531"/>
      <c r="C79" s="30" t="s">
        <v>345</v>
      </c>
      <c r="D79" s="62">
        <f t="shared" si="345"/>
        <v>8848674</v>
      </c>
      <c r="E79" s="184">
        <f t="shared" si="179"/>
        <v>2.7377827220226737E-2</v>
      </c>
      <c r="F79" s="62">
        <f>29200+49900</f>
        <v>79100</v>
      </c>
      <c r="G79" s="190">
        <f t="shared" si="36"/>
        <v>79100</v>
      </c>
      <c r="H79" s="197">
        <f t="shared" si="368"/>
        <v>1.8068002846110182E-2</v>
      </c>
      <c r="I79" s="62">
        <f>37400+28300+2900</f>
        <v>68600</v>
      </c>
      <c r="J79" s="62">
        <v>79500</v>
      </c>
      <c r="K79" s="62">
        <f>60500+65800+80500+59000</f>
        <v>265800</v>
      </c>
      <c r="L79" s="62">
        <f>92800+47300+48000+15000+71900+34600+55100</f>
        <v>364700</v>
      </c>
      <c r="M79" s="62">
        <f>169700+15000</f>
        <v>184700</v>
      </c>
      <c r="N79" s="62">
        <v>274550</v>
      </c>
      <c r="O79" s="62">
        <f>41300+33500+21600</f>
        <v>96400</v>
      </c>
      <c r="P79" s="62">
        <f>213900+21700</f>
        <v>235600</v>
      </c>
      <c r="Q79" s="62">
        <f>77700+292200</f>
        <v>369900</v>
      </c>
      <c r="R79" s="62">
        <v>126400</v>
      </c>
      <c r="S79" s="62">
        <f>275600+48900</f>
        <v>324500</v>
      </c>
      <c r="T79" s="62">
        <f>23760+1700+22100+29300+13000+32000+8000+16000</f>
        <v>145860</v>
      </c>
      <c r="U79" s="190">
        <f t="shared" si="16"/>
        <v>2536510</v>
      </c>
      <c r="V79" s="197">
        <f t="shared" si="369"/>
        <v>4.571936079953285E-2</v>
      </c>
      <c r="W79" s="62">
        <f>24650+27000+7100+21400+46500+17200+57000+14000</f>
        <v>214850</v>
      </c>
      <c r="X79" s="62">
        <v>0</v>
      </c>
      <c r="Y79" s="62">
        <f>8500+88400+9300+24800+10500</f>
        <v>141500</v>
      </c>
      <c r="Z79" s="62">
        <f>15000+28700+800+11800</f>
        <v>56300</v>
      </c>
      <c r="AA79" s="62">
        <f>29000+23800+17000+7000+14100+47500</f>
        <v>138400</v>
      </c>
      <c r="AB79" s="62">
        <f>33800+13400+8700</f>
        <v>55900</v>
      </c>
      <c r="AC79" s="62">
        <f>16700+8500+8900+24000+4600+8000+46000+28000+11900+9000+17300+9800+37000+20000</f>
        <v>249700</v>
      </c>
      <c r="AD79" s="62">
        <v>49900</v>
      </c>
      <c r="AE79" s="62">
        <f>7200+13500+6000+18500+14000+34000+18000+14000+21800+1000</f>
        <v>148000</v>
      </c>
      <c r="AF79" s="62">
        <f>6500+9800+9468+36329+4500+10000+15500</f>
        <v>92097</v>
      </c>
      <c r="AG79" s="62">
        <f>8900+56800</f>
        <v>65700</v>
      </c>
      <c r="AH79" s="62">
        <f>16900+3600+33000+6000+8000+39000+11000+53000+13500+54400+39800</f>
        <v>278200</v>
      </c>
      <c r="AI79" s="190">
        <f t="shared" si="17"/>
        <v>1490547</v>
      </c>
      <c r="AJ79" s="197">
        <f t="shared" si="370"/>
        <v>2.0257859400672765E-2</v>
      </c>
      <c r="AK79" s="62">
        <f>91000+16700+18000+9500+72800+20000</f>
        <v>228000</v>
      </c>
      <c r="AL79" s="62">
        <f>11000+21000+2400+12700+58800+33900+6900+23500+3000+9500+5000+34000</f>
        <v>221700</v>
      </c>
      <c r="AM79" s="62">
        <f>3000+67000+22000+8000+9000+16000+4400+9000</f>
        <v>138400</v>
      </c>
      <c r="AN79" s="62">
        <f>18000+35000+3500</f>
        <v>56500</v>
      </c>
      <c r="AO79" s="62">
        <f>7800+14000+12000+37000+3500+9500+2500+19100+6000+2000+16500+9800+16000+4600</f>
        <v>160300</v>
      </c>
      <c r="AP79" s="62">
        <f>3000+9800+17000+14900</f>
        <v>44700</v>
      </c>
      <c r="AQ79" s="62">
        <f>1400+2400+32000+16600+20500+30500+6800+2000+15000+10700+19000+48500+2000+2500+8000</f>
        <v>217900</v>
      </c>
      <c r="AR79" s="62">
        <f>8500+62000+1800+9500+20000+12400+6000+7500+13500+26300+4800+55800+4800+8200+37000+26300</f>
        <v>304400</v>
      </c>
      <c r="AS79" s="62">
        <f>5000+25500+9800+3500+1000+7800+3500+43500+14200+3800</f>
        <v>117600</v>
      </c>
      <c r="AT79" s="62">
        <f>30500+14100+13600+4000+6500+7900+17000+2500+7800+9900+1000+46000</f>
        <v>160800</v>
      </c>
      <c r="AU79" s="62">
        <f>13100+22100+24100+25777+6700</f>
        <v>91777</v>
      </c>
      <c r="AV79" s="62">
        <f>2000+9000+2700+48000+3500+21000+2500+8500+12800+4500+31000+50500+10600+65000</f>
        <v>271600</v>
      </c>
      <c r="AW79" s="190">
        <f t="shared" si="18"/>
        <v>2013677</v>
      </c>
      <c r="AX79" s="197">
        <f t="shared" si="371"/>
        <v>2.6395953498809376E-2</v>
      </c>
      <c r="AY79" s="62">
        <f>24000+35000+40800+8000+6900+11800+9800+8500+23100+31000+53900+14300+60180+2000+6700</f>
        <v>335980</v>
      </c>
      <c r="AZ79" s="62">
        <f>44000+1500+14300+55000+17200+8800+15800+3600+22300+27600+24000+27400+3500+5500+9800+9800</f>
        <v>290100</v>
      </c>
      <c r="BA79" s="62">
        <f>8900+3500+7900+15900+9800+15000</f>
        <v>61000</v>
      </c>
      <c r="BB79" s="62">
        <f>21700+27500+22000+18000+30000+20500+18000+6020+7000+9800</f>
        <v>180520</v>
      </c>
      <c r="BC79" s="62">
        <f>9900+11000+9600+23000+30600+31100+26000+9300+5500+33500+9900</f>
        <v>199400</v>
      </c>
      <c r="BD79" s="62">
        <f>13200+34900+9500+9800+26000+9900</f>
        <v>103300</v>
      </c>
      <c r="BE79" s="62">
        <f>17000+9900+20100+9900+9900+9800+9900</f>
        <v>86500</v>
      </c>
      <c r="BF79" s="62">
        <f>9800+22700+30800+6600+9800+9900</f>
        <v>89600</v>
      </c>
      <c r="BG79" s="62">
        <f>17000+17600+46500+12600+7500+4900+26000+6600+24500</f>
        <v>163200</v>
      </c>
      <c r="BH79" s="62">
        <f>12500+34000+12700+9800+5000</f>
        <v>74000</v>
      </c>
      <c r="BI79" s="62">
        <f>12000+11400+38000+16000+45600+9400+17600+27000+6600+17000</f>
        <v>200600</v>
      </c>
      <c r="BJ79" s="62">
        <f>31000+4500+9900+14600+4500+34700+31000+11800+9900+9000+9800+24000+25000+18000+52000</f>
        <v>289700</v>
      </c>
      <c r="BK79" s="190">
        <f t="shared" si="19"/>
        <v>2073900</v>
      </c>
      <c r="BL79" s="197">
        <f t="shared" si="372"/>
        <v>2.9695433020239029E-2</v>
      </c>
      <c r="BM79" s="62">
        <f>12000+9100+11200+12500+12700+15800+6000+15900+26000+14800</f>
        <v>136000</v>
      </c>
      <c r="BN79" s="62">
        <f>13100+30000+25500+14400+12600+38000+2900+13500+8000</f>
        <v>158000</v>
      </c>
      <c r="BO79" s="62">
        <f>24700+14900+6000+9900+8200+6000+42100+9900+5000+28000+9900+6900</f>
        <v>171500</v>
      </c>
      <c r="BP79" s="62">
        <f>11400+3700+9900+1000+9900+27000+16500</f>
        <v>79400</v>
      </c>
      <c r="BQ79" s="62">
        <f>13100+8000+1400+10700+13300+6540+27000+12800+13200+4000</f>
        <v>110040</v>
      </c>
      <c r="BR79" s="62">
        <v>0</v>
      </c>
      <c r="BS79" s="62">
        <v>0</v>
      </c>
      <c r="BT79" s="62">
        <v>0</v>
      </c>
      <c r="BU79" s="62">
        <v>0</v>
      </c>
      <c r="BV79" s="62">
        <v>0</v>
      </c>
      <c r="BW79" s="62">
        <v>0</v>
      </c>
      <c r="BX79" s="62">
        <v>0</v>
      </c>
      <c r="BY79" s="190">
        <f t="shared" si="20"/>
        <v>654940</v>
      </c>
      <c r="BZ79" s="197">
        <f t="shared" si="373"/>
        <v>1.5006797212558563E-2</v>
      </c>
      <c r="CA79" s="62">
        <v>0</v>
      </c>
      <c r="CB79" s="62">
        <v>0</v>
      </c>
      <c r="CC79" s="62">
        <v>0</v>
      </c>
      <c r="CD79" s="62">
        <v>0</v>
      </c>
      <c r="CE79" s="62">
        <v>0</v>
      </c>
      <c r="CF79" s="62">
        <v>0</v>
      </c>
      <c r="CG79" s="62">
        <v>0</v>
      </c>
      <c r="CH79" s="62">
        <v>0</v>
      </c>
      <c r="CI79" s="62">
        <v>0</v>
      </c>
      <c r="CJ79" s="62">
        <v>0</v>
      </c>
      <c r="CK79" s="62">
        <v>0</v>
      </c>
      <c r="CL79" s="62">
        <v>0</v>
      </c>
      <c r="CM79" s="190">
        <f t="shared" si="21"/>
        <v>0</v>
      </c>
      <c r="CN79" s="62">
        <v>0</v>
      </c>
      <c r="CO79" s="62">
        <v>0</v>
      </c>
      <c r="CP79" s="62">
        <v>0</v>
      </c>
      <c r="CQ79" s="62">
        <v>0</v>
      </c>
      <c r="CR79" s="62">
        <v>0</v>
      </c>
      <c r="CS79" s="62">
        <v>0</v>
      </c>
      <c r="CT79" s="62">
        <v>0</v>
      </c>
      <c r="CU79" s="62">
        <v>0</v>
      </c>
      <c r="CV79" s="62">
        <v>0</v>
      </c>
      <c r="CW79" s="62">
        <v>0</v>
      </c>
      <c r="CX79" s="62">
        <v>0</v>
      </c>
      <c r="CY79" s="62">
        <v>0</v>
      </c>
      <c r="CZ79" s="190">
        <f t="shared" si="22"/>
        <v>0</v>
      </c>
      <c r="DA79" s="62">
        <v>0</v>
      </c>
      <c r="DB79" s="62">
        <v>0</v>
      </c>
      <c r="DC79" s="62">
        <v>0</v>
      </c>
      <c r="DD79" s="62">
        <v>0</v>
      </c>
      <c r="DE79" s="62">
        <v>0</v>
      </c>
      <c r="DF79" s="62">
        <v>0</v>
      </c>
      <c r="DG79" s="62">
        <v>0</v>
      </c>
      <c r="DH79" s="62">
        <v>0</v>
      </c>
      <c r="DI79" s="62">
        <v>0</v>
      </c>
      <c r="DJ79" s="62">
        <v>0</v>
      </c>
      <c r="DK79" s="62">
        <v>0</v>
      </c>
      <c r="DL79" s="62">
        <v>0</v>
      </c>
      <c r="DM79" s="190">
        <f t="shared" si="23"/>
        <v>0</v>
      </c>
      <c r="DN79" s="62">
        <v>0</v>
      </c>
      <c r="DO79" s="62">
        <v>0</v>
      </c>
      <c r="DP79" s="62">
        <v>0</v>
      </c>
      <c r="DQ79" s="62">
        <v>0</v>
      </c>
      <c r="DR79" s="62">
        <v>0</v>
      </c>
      <c r="DS79" s="62">
        <v>0</v>
      </c>
      <c r="DT79" s="62">
        <v>0</v>
      </c>
      <c r="DU79" s="62">
        <v>0</v>
      </c>
      <c r="DV79" s="62">
        <v>0</v>
      </c>
      <c r="DW79" s="62">
        <v>0</v>
      </c>
      <c r="DX79" s="62">
        <v>0</v>
      </c>
      <c r="DY79" s="62">
        <v>0</v>
      </c>
      <c r="DZ79" s="190">
        <f t="shared" si="24"/>
        <v>0</v>
      </c>
    </row>
    <row r="80" spans="1:130" s="194" customFormat="1" ht="20.45" customHeight="1" outlineLevel="1">
      <c r="A80" s="525"/>
      <c r="B80" s="527" t="s">
        <v>346</v>
      </c>
      <c r="C80" s="65" t="s">
        <v>307</v>
      </c>
      <c r="D80" s="66">
        <f t="shared" si="345"/>
        <v>4895618</v>
      </c>
      <c r="E80" s="187">
        <f>SUM(E81:E86)</f>
        <v>1.5147058614684183E-2</v>
      </c>
      <c r="F80" s="62">
        <f t="shared" ref="F80:DX80" si="374">SUM(F81:F86)</f>
        <v>14060</v>
      </c>
      <c r="G80" s="190">
        <f t="shared" si="36"/>
        <v>14060</v>
      </c>
      <c r="H80" s="196">
        <f>SUM(H81:H86)</f>
        <v>3.2115817954021385E-3</v>
      </c>
      <c r="I80" s="62">
        <f t="shared" si="374"/>
        <v>35800</v>
      </c>
      <c r="J80" s="62">
        <f t="shared" si="374"/>
        <v>4990</v>
      </c>
      <c r="K80" s="62">
        <f t="shared" si="374"/>
        <v>0</v>
      </c>
      <c r="L80" s="62">
        <f t="shared" si="374"/>
        <v>0</v>
      </c>
      <c r="M80" s="62">
        <f t="shared" si="374"/>
        <v>0</v>
      </c>
      <c r="N80" s="62">
        <f t="shared" si="374"/>
        <v>62689</v>
      </c>
      <c r="O80" s="62">
        <f t="shared" si="374"/>
        <v>186846</v>
      </c>
      <c r="P80" s="62">
        <f t="shared" si="374"/>
        <v>0</v>
      </c>
      <c r="Q80" s="62">
        <f t="shared" si="374"/>
        <v>26927</v>
      </c>
      <c r="R80" s="62">
        <f t="shared" si="374"/>
        <v>4990</v>
      </c>
      <c r="S80" s="62">
        <f t="shared" si="374"/>
        <v>0</v>
      </c>
      <c r="T80" s="62">
        <f t="shared" si="374"/>
        <v>273550</v>
      </c>
      <c r="U80" s="190">
        <f t="shared" si="16"/>
        <v>595792</v>
      </c>
      <c r="V80" s="196">
        <f>SUM(V81:V86)</f>
        <v>1.0738861431445281E-2</v>
      </c>
      <c r="W80" s="62">
        <f t="shared" si="374"/>
        <v>256310</v>
      </c>
      <c r="X80" s="62">
        <f t="shared" si="374"/>
        <v>0</v>
      </c>
      <c r="Y80" s="62">
        <f t="shared" si="374"/>
        <v>172487</v>
      </c>
      <c r="Z80" s="62">
        <f t="shared" si="374"/>
        <v>0</v>
      </c>
      <c r="AA80" s="62">
        <f t="shared" si="374"/>
        <v>158800</v>
      </c>
      <c r="AB80" s="62">
        <f t="shared" si="374"/>
        <v>25800</v>
      </c>
      <c r="AC80" s="62">
        <f t="shared" ref="AC80:AF80" si="375">SUM(AC81:AC86)</f>
        <v>0</v>
      </c>
      <c r="AD80" s="62">
        <f t="shared" si="375"/>
        <v>2000</v>
      </c>
      <c r="AE80" s="62">
        <f t="shared" si="375"/>
        <v>265650</v>
      </c>
      <c r="AF80" s="62">
        <f t="shared" si="375"/>
        <v>116438</v>
      </c>
      <c r="AG80" s="62">
        <f t="shared" si="374"/>
        <v>63100</v>
      </c>
      <c r="AH80" s="62">
        <f t="shared" si="374"/>
        <v>1000</v>
      </c>
      <c r="AI80" s="190">
        <f t="shared" si="17"/>
        <v>1061585</v>
      </c>
      <c r="AJ80" s="196">
        <f>SUM(AJ81:AJ86)</f>
        <v>1.4427884308152106E-2</v>
      </c>
      <c r="AK80" s="62">
        <f t="shared" ref="AK80:AV80" si="376">SUM(AK81:AK86)</f>
        <v>194189</v>
      </c>
      <c r="AL80" s="62">
        <f t="shared" si="376"/>
        <v>44460</v>
      </c>
      <c r="AM80" s="62">
        <f t="shared" si="376"/>
        <v>0</v>
      </c>
      <c r="AN80" s="62">
        <f t="shared" si="376"/>
        <v>100000</v>
      </c>
      <c r="AO80" s="62">
        <f t="shared" si="376"/>
        <v>35800</v>
      </c>
      <c r="AP80" s="62">
        <f t="shared" si="376"/>
        <v>230000</v>
      </c>
      <c r="AQ80" s="62">
        <f t="shared" si="376"/>
        <v>6000</v>
      </c>
      <c r="AR80" s="62">
        <f t="shared" si="376"/>
        <v>51950</v>
      </c>
      <c r="AS80" s="62">
        <f t="shared" si="376"/>
        <v>40380</v>
      </c>
      <c r="AT80" s="62">
        <f t="shared" si="376"/>
        <v>3500</v>
      </c>
      <c r="AU80" s="62">
        <f t="shared" si="376"/>
        <v>85641</v>
      </c>
      <c r="AV80" s="62">
        <f t="shared" si="376"/>
        <v>984480</v>
      </c>
      <c r="AW80" s="190">
        <f t="shared" si="18"/>
        <v>1776400</v>
      </c>
      <c r="AX80" s="196">
        <f>SUM(AX81:AX86)</f>
        <v>2.3285647000628684E-2</v>
      </c>
      <c r="AY80" s="62">
        <f t="shared" ref="AY80:BJ80" si="377">SUM(AY81:AY86)</f>
        <v>0</v>
      </c>
      <c r="AZ80" s="62">
        <f t="shared" si="377"/>
        <v>-42210</v>
      </c>
      <c r="BA80" s="62">
        <f t="shared" si="377"/>
        <v>111230</v>
      </c>
      <c r="BB80" s="62">
        <f t="shared" si="377"/>
        <v>13500</v>
      </c>
      <c r="BC80" s="62">
        <f>SUM(BC81:BC86)</f>
        <v>147510</v>
      </c>
      <c r="BD80" s="62">
        <f t="shared" si="377"/>
        <v>15900</v>
      </c>
      <c r="BE80" s="62">
        <f t="shared" si="377"/>
        <v>73450</v>
      </c>
      <c r="BF80" s="62">
        <f t="shared" si="377"/>
        <v>20920</v>
      </c>
      <c r="BG80" s="62">
        <f t="shared" si="377"/>
        <v>16200</v>
      </c>
      <c r="BH80" s="62">
        <f t="shared" si="377"/>
        <v>924461</v>
      </c>
      <c r="BI80" s="62">
        <f t="shared" si="377"/>
        <v>14900</v>
      </c>
      <c r="BJ80" s="62">
        <f t="shared" si="377"/>
        <v>48480</v>
      </c>
      <c r="BK80" s="190">
        <f t="shared" si="19"/>
        <v>1344341</v>
      </c>
      <c r="BL80" s="196">
        <f>SUM(BL81:BL86)</f>
        <v>1.9249138397155675E-2</v>
      </c>
      <c r="BM80" s="62">
        <f t="shared" ref="BM80:BX80" si="378">SUM(BM81:BM86)</f>
        <v>-7080</v>
      </c>
      <c r="BN80" s="62">
        <f t="shared" si="378"/>
        <v>6000</v>
      </c>
      <c r="BO80" s="62">
        <f t="shared" si="378"/>
        <v>54190</v>
      </c>
      <c r="BP80" s="62">
        <f t="shared" si="378"/>
        <v>46330</v>
      </c>
      <c r="BQ80" s="62">
        <f t="shared" si="378"/>
        <v>4000</v>
      </c>
      <c r="BR80" s="62">
        <f t="shared" si="378"/>
        <v>0</v>
      </c>
      <c r="BS80" s="62">
        <f t="shared" si="378"/>
        <v>0</v>
      </c>
      <c r="BT80" s="62">
        <f t="shared" si="378"/>
        <v>0</v>
      </c>
      <c r="BU80" s="62">
        <f t="shared" si="378"/>
        <v>0</v>
      </c>
      <c r="BV80" s="62">
        <f t="shared" si="378"/>
        <v>0</v>
      </c>
      <c r="BW80" s="62">
        <f t="shared" si="378"/>
        <v>0</v>
      </c>
      <c r="BX80" s="62">
        <f t="shared" si="378"/>
        <v>0</v>
      </c>
      <c r="BY80" s="190">
        <f t="shared" si="20"/>
        <v>103440</v>
      </c>
      <c r="BZ80" s="196">
        <f>SUM(BZ81:BZ86)</f>
        <v>2.370145515111396E-3</v>
      </c>
      <c r="CA80" s="62">
        <f t="shared" ref="CA80:CL80" si="379">SUM(CA81:CA86)</f>
        <v>0</v>
      </c>
      <c r="CB80" s="62">
        <f t="shared" si="379"/>
        <v>0</v>
      </c>
      <c r="CC80" s="62">
        <f t="shared" si="379"/>
        <v>0</v>
      </c>
      <c r="CD80" s="62">
        <f t="shared" si="379"/>
        <v>0</v>
      </c>
      <c r="CE80" s="62">
        <f t="shared" si="379"/>
        <v>0</v>
      </c>
      <c r="CF80" s="62">
        <f t="shared" si="379"/>
        <v>0</v>
      </c>
      <c r="CG80" s="62">
        <f t="shared" si="379"/>
        <v>0</v>
      </c>
      <c r="CH80" s="62">
        <f t="shared" si="379"/>
        <v>0</v>
      </c>
      <c r="CI80" s="62">
        <f t="shared" si="379"/>
        <v>0</v>
      </c>
      <c r="CJ80" s="62">
        <f t="shared" si="379"/>
        <v>0</v>
      </c>
      <c r="CK80" s="62">
        <f t="shared" si="379"/>
        <v>0</v>
      </c>
      <c r="CL80" s="62">
        <f t="shared" si="379"/>
        <v>0</v>
      </c>
      <c r="CM80" s="190">
        <f t="shared" si="21"/>
        <v>0</v>
      </c>
      <c r="CN80" s="62">
        <f t="shared" ref="CN80:CY80" si="380">SUM(CN81:CN86)</f>
        <v>0</v>
      </c>
      <c r="CO80" s="62">
        <f t="shared" si="380"/>
        <v>0</v>
      </c>
      <c r="CP80" s="62">
        <f t="shared" si="380"/>
        <v>0</v>
      </c>
      <c r="CQ80" s="62">
        <f t="shared" si="380"/>
        <v>0</v>
      </c>
      <c r="CR80" s="62">
        <f t="shared" si="380"/>
        <v>0</v>
      </c>
      <c r="CS80" s="62">
        <f t="shared" si="380"/>
        <v>0</v>
      </c>
      <c r="CT80" s="62">
        <f t="shared" si="380"/>
        <v>0</v>
      </c>
      <c r="CU80" s="62">
        <f t="shared" si="380"/>
        <v>0</v>
      </c>
      <c r="CV80" s="62">
        <f t="shared" si="380"/>
        <v>0</v>
      </c>
      <c r="CW80" s="62">
        <f t="shared" si="380"/>
        <v>0</v>
      </c>
      <c r="CX80" s="62">
        <f t="shared" si="380"/>
        <v>0</v>
      </c>
      <c r="CY80" s="62">
        <f t="shared" si="380"/>
        <v>0</v>
      </c>
      <c r="CZ80" s="190">
        <f t="shared" si="22"/>
        <v>0</v>
      </c>
      <c r="DA80" s="62">
        <f t="shared" ref="DA80:DL80" si="381">SUM(DA81:DA86)</f>
        <v>0</v>
      </c>
      <c r="DB80" s="62">
        <f t="shared" si="381"/>
        <v>0</v>
      </c>
      <c r="DC80" s="62">
        <f t="shared" si="381"/>
        <v>0</v>
      </c>
      <c r="DD80" s="62">
        <f t="shared" si="381"/>
        <v>0</v>
      </c>
      <c r="DE80" s="62">
        <f t="shared" si="381"/>
        <v>0</v>
      </c>
      <c r="DF80" s="62">
        <f t="shared" si="381"/>
        <v>0</v>
      </c>
      <c r="DG80" s="62">
        <f t="shared" si="381"/>
        <v>0</v>
      </c>
      <c r="DH80" s="62">
        <f t="shared" si="381"/>
        <v>0</v>
      </c>
      <c r="DI80" s="62">
        <f t="shared" si="381"/>
        <v>0</v>
      </c>
      <c r="DJ80" s="62">
        <f t="shared" si="381"/>
        <v>0</v>
      </c>
      <c r="DK80" s="62">
        <f t="shared" si="381"/>
        <v>0</v>
      </c>
      <c r="DL80" s="62">
        <f t="shared" si="381"/>
        <v>0</v>
      </c>
      <c r="DM80" s="190">
        <f t="shared" si="23"/>
        <v>0</v>
      </c>
      <c r="DN80" s="62">
        <f t="shared" ref="DN80:DQ80" si="382">SUM(DN81:DN86)</f>
        <v>0</v>
      </c>
      <c r="DO80" s="62">
        <f t="shared" si="382"/>
        <v>0</v>
      </c>
      <c r="DP80" s="62">
        <f t="shared" si="382"/>
        <v>0</v>
      </c>
      <c r="DQ80" s="62">
        <f t="shared" si="382"/>
        <v>0</v>
      </c>
      <c r="DR80" s="62">
        <f t="shared" ref="DR80:DU80" si="383">SUM(DR81:DR86)</f>
        <v>0</v>
      </c>
      <c r="DS80" s="62">
        <f t="shared" si="383"/>
        <v>0</v>
      </c>
      <c r="DT80" s="62">
        <f t="shared" si="383"/>
        <v>0</v>
      </c>
      <c r="DU80" s="62">
        <f t="shared" si="383"/>
        <v>0</v>
      </c>
      <c r="DV80" s="62">
        <f t="shared" ref="DV80:DW80" si="384">SUM(DV81:DV86)</f>
        <v>0</v>
      </c>
      <c r="DW80" s="62">
        <f t="shared" si="384"/>
        <v>0</v>
      </c>
      <c r="DX80" s="62">
        <f t="shared" si="374"/>
        <v>0</v>
      </c>
      <c r="DY80" s="62">
        <f t="shared" ref="DY80" si="385">SUM(DY81:DY86)</f>
        <v>0</v>
      </c>
      <c r="DZ80" s="190">
        <f t="shared" si="24"/>
        <v>0</v>
      </c>
    </row>
    <row r="81" spans="1:130" ht="20.45" customHeight="1" outlineLevel="2">
      <c r="A81" s="525"/>
      <c r="B81" s="530"/>
      <c r="C81" s="30" t="s">
        <v>347</v>
      </c>
      <c r="D81" s="62">
        <f t="shared" si="345"/>
        <v>42000</v>
      </c>
      <c r="E81" s="184">
        <f t="shared" si="179"/>
        <v>1.2994814174977211E-4</v>
      </c>
      <c r="F81" s="62">
        <v>0</v>
      </c>
      <c r="G81" s="190">
        <f t="shared" si="36"/>
        <v>0</v>
      </c>
      <c r="H81" s="197">
        <f t="shared" ref="H81:H86" si="386">G81/(G$5+G$6+G$7+G$8+G$10+G$9)</f>
        <v>0</v>
      </c>
      <c r="I81" s="62">
        <v>0</v>
      </c>
      <c r="J81" s="62">
        <v>0</v>
      </c>
      <c r="K81" s="62">
        <v>0</v>
      </c>
      <c r="L81" s="62">
        <v>0</v>
      </c>
      <c r="M81" s="62">
        <v>0</v>
      </c>
      <c r="N81" s="62">
        <v>42000</v>
      </c>
      <c r="O81" s="62">
        <v>0</v>
      </c>
      <c r="P81" s="62">
        <v>0</v>
      </c>
      <c r="Q81" s="62">
        <v>0</v>
      </c>
      <c r="R81" s="62">
        <v>0</v>
      </c>
      <c r="S81" s="62">
        <v>0</v>
      </c>
      <c r="T81" s="62">
        <v>0</v>
      </c>
      <c r="U81" s="190">
        <f t="shared" si="16"/>
        <v>42000</v>
      </c>
      <c r="V81" s="197">
        <f t="shared" ref="V81:V86" si="387">U81/(U$5+U$6+U$7+U$8+U$10+U$9)</f>
        <v>7.5702960113714494E-4</v>
      </c>
      <c r="W81" s="62">
        <v>0</v>
      </c>
      <c r="X81" s="62">
        <v>0</v>
      </c>
      <c r="Y81" s="62">
        <v>0</v>
      </c>
      <c r="Z81" s="62">
        <v>0</v>
      </c>
      <c r="AA81" s="62">
        <v>0</v>
      </c>
      <c r="AB81" s="62">
        <v>0</v>
      </c>
      <c r="AC81" s="62">
        <v>0</v>
      </c>
      <c r="AD81" s="62">
        <v>0</v>
      </c>
      <c r="AE81" s="62">
        <v>0</v>
      </c>
      <c r="AF81" s="62">
        <v>0</v>
      </c>
      <c r="AG81" s="62">
        <v>0</v>
      </c>
      <c r="AH81" s="62">
        <v>0</v>
      </c>
      <c r="AI81" s="190">
        <f t="shared" si="17"/>
        <v>0</v>
      </c>
      <c r="AJ81" s="197">
        <f t="shared" ref="AJ81:AJ86" si="388">AI81/(AI$5+AI$6+AI$7+AI$8+AI$10+AI$9)</f>
        <v>0</v>
      </c>
      <c r="AK81" s="62">
        <v>0</v>
      </c>
      <c r="AL81" s="62">
        <v>0</v>
      </c>
      <c r="AM81" s="62">
        <v>0</v>
      </c>
      <c r="AN81" s="62">
        <v>0</v>
      </c>
      <c r="AO81" s="62">
        <v>0</v>
      </c>
      <c r="AP81" s="62">
        <v>0</v>
      </c>
      <c r="AQ81" s="62">
        <v>0</v>
      </c>
      <c r="AR81" s="62">
        <v>0</v>
      </c>
      <c r="AS81" s="62">
        <v>0</v>
      </c>
      <c r="AT81" s="62">
        <v>0</v>
      </c>
      <c r="AU81" s="62">
        <v>0</v>
      </c>
      <c r="AV81" s="62">
        <v>0</v>
      </c>
      <c r="AW81" s="190">
        <f t="shared" si="18"/>
        <v>0</v>
      </c>
      <c r="AX81" s="197">
        <f t="shared" ref="AX81:AX86" si="389">AW81/(AW$5+AW$6+AW$7+AW$8+AW$10+AW$9)</f>
        <v>0</v>
      </c>
      <c r="AY81" s="62">
        <v>0</v>
      </c>
      <c r="AZ81" s="62">
        <v>0</v>
      </c>
      <c r="BA81" s="62">
        <v>0</v>
      </c>
      <c r="BB81" s="62">
        <v>0</v>
      </c>
      <c r="BC81" s="62">
        <v>0</v>
      </c>
      <c r="BD81" s="62">
        <v>0</v>
      </c>
      <c r="BE81" s="62">
        <v>0</v>
      </c>
      <c r="BF81" s="62">
        <v>0</v>
      </c>
      <c r="BG81" s="62">
        <v>0</v>
      </c>
      <c r="BH81" s="62">
        <v>0</v>
      </c>
      <c r="BI81" s="62">
        <v>0</v>
      </c>
      <c r="BJ81" s="62">
        <v>0</v>
      </c>
      <c r="BK81" s="190">
        <f t="shared" si="19"/>
        <v>0</v>
      </c>
      <c r="BL81" s="197">
        <f t="shared" ref="BL81:BL86" si="390">BK81/(BK$5+BK$6+BK$7+BK$8+BK$10+BK$9)</f>
        <v>0</v>
      </c>
      <c r="BM81" s="62">
        <v>0</v>
      </c>
      <c r="BN81" s="62">
        <v>0</v>
      </c>
      <c r="BO81" s="62">
        <v>0</v>
      </c>
      <c r="BP81" s="62">
        <v>0</v>
      </c>
      <c r="BQ81" s="62">
        <v>0</v>
      </c>
      <c r="BR81" s="62">
        <v>0</v>
      </c>
      <c r="BS81" s="62">
        <v>0</v>
      </c>
      <c r="BT81" s="62">
        <v>0</v>
      </c>
      <c r="BU81" s="62">
        <v>0</v>
      </c>
      <c r="BV81" s="62">
        <v>0</v>
      </c>
      <c r="BW81" s="62">
        <v>0</v>
      </c>
      <c r="BX81" s="62">
        <v>0</v>
      </c>
      <c r="BY81" s="190">
        <f t="shared" si="20"/>
        <v>0</v>
      </c>
      <c r="BZ81" s="197">
        <f t="shared" ref="BZ81:BZ86" si="391">BY81/(BY$5+BY$6+BY$7+BY$8+BY$10+BY$9)</f>
        <v>0</v>
      </c>
      <c r="CA81" s="62">
        <v>0</v>
      </c>
      <c r="CB81" s="62">
        <v>0</v>
      </c>
      <c r="CC81" s="62">
        <v>0</v>
      </c>
      <c r="CD81" s="62">
        <v>0</v>
      </c>
      <c r="CE81" s="62">
        <v>0</v>
      </c>
      <c r="CF81" s="62">
        <v>0</v>
      </c>
      <c r="CG81" s="62">
        <v>0</v>
      </c>
      <c r="CH81" s="62">
        <v>0</v>
      </c>
      <c r="CI81" s="62">
        <v>0</v>
      </c>
      <c r="CJ81" s="62">
        <v>0</v>
      </c>
      <c r="CK81" s="62">
        <v>0</v>
      </c>
      <c r="CL81" s="62">
        <v>0</v>
      </c>
      <c r="CM81" s="190">
        <f t="shared" si="21"/>
        <v>0</v>
      </c>
      <c r="CN81" s="62">
        <v>0</v>
      </c>
      <c r="CO81" s="62">
        <v>0</v>
      </c>
      <c r="CP81" s="62">
        <v>0</v>
      </c>
      <c r="CQ81" s="62">
        <v>0</v>
      </c>
      <c r="CR81" s="62">
        <v>0</v>
      </c>
      <c r="CS81" s="62">
        <v>0</v>
      </c>
      <c r="CT81" s="62">
        <v>0</v>
      </c>
      <c r="CU81" s="62">
        <v>0</v>
      </c>
      <c r="CV81" s="62">
        <v>0</v>
      </c>
      <c r="CW81" s="62">
        <v>0</v>
      </c>
      <c r="CX81" s="62">
        <v>0</v>
      </c>
      <c r="CY81" s="62">
        <v>0</v>
      </c>
      <c r="CZ81" s="190">
        <f t="shared" si="22"/>
        <v>0</v>
      </c>
      <c r="DA81" s="62">
        <v>0</v>
      </c>
      <c r="DB81" s="62">
        <v>0</v>
      </c>
      <c r="DC81" s="62">
        <v>0</v>
      </c>
      <c r="DD81" s="62">
        <v>0</v>
      </c>
      <c r="DE81" s="62">
        <v>0</v>
      </c>
      <c r="DF81" s="62">
        <v>0</v>
      </c>
      <c r="DG81" s="62">
        <v>0</v>
      </c>
      <c r="DH81" s="62">
        <v>0</v>
      </c>
      <c r="DI81" s="62">
        <v>0</v>
      </c>
      <c r="DJ81" s="62">
        <v>0</v>
      </c>
      <c r="DK81" s="62">
        <v>0</v>
      </c>
      <c r="DL81" s="62">
        <v>0</v>
      </c>
      <c r="DM81" s="190">
        <f t="shared" si="23"/>
        <v>0</v>
      </c>
      <c r="DN81" s="62">
        <v>0</v>
      </c>
      <c r="DO81" s="62">
        <v>0</v>
      </c>
      <c r="DP81" s="62">
        <v>0</v>
      </c>
      <c r="DQ81" s="62">
        <v>0</v>
      </c>
      <c r="DR81" s="62">
        <v>0</v>
      </c>
      <c r="DS81" s="62">
        <v>0</v>
      </c>
      <c r="DT81" s="62">
        <v>0</v>
      </c>
      <c r="DU81" s="62">
        <v>0</v>
      </c>
      <c r="DV81" s="62">
        <v>0</v>
      </c>
      <c r="DW81" s="62">
        <v>0</v>
      </c>
      <c r="DX81" s="62">
        <v>0</v>
      </c>
      <c r="DY81" s="62">
        <v>0</v>
      </c>
      <c r="DZ81" s="190">
        <f t="shared" si="24"/>
        <v>0</v>
      </c>
    </row>
    <row r="82" spans="1:130" ht="20.45" customHeight="1" outlineLevel="2">
      <c r="A82" s="526"/>
      <c r="B82" s="530"/>
      <c r="C82" s="30" t="s">
        <v>2616</v>
      </c>
      <c r="D82" s="62">
        <f t="shared" si="345"/>
        <v>99999.999999999985</v>
      </c>
      <c r="E82" s="184">
        <f t="shared" si="179"/>
        <v>3.0940033749945735E-4</v>
      </c>
      <c r="F82" s="62">
        <v>0</v>
      </c>
      <c r="G82" s="190">
        <f t="shared" ref="G82" si="392">SUM(F82)</f>
        <v>0</v>
      </c>
      <c r="H82" s="197">
        <f t="shared" si="386"/>
        <v>0</v>
      </c>
      <c r="I82" s="62">
        <v>0</v>
      </c>
      <c r="J82" s="62">
        <v>0</v>
      </c>
      <c r="K82" s="62">
        <v>0</v>
      </c>
      <c r="L82" s="62">
        <v>0</v>
      </c>
      <c r="M82" s="62">
        <v>0</v>
      </c>
      <c r="N82" s="62">
        <v>0</v>
      </c>
      <c r="O82" s="62">
        <v>0</v>
      </c>
      <c r="P82" s="62">
        <v>0</v>
      </c>
      <c r="Q82" s="62">
        <v>0</v>
      </c>
      <c r="R82" s="62">
        <v>0</v>
      </c>
      <c r="S82" s="62">
        <v>0</v>
      </c>
      <c r="T82" s="62">
        <v>0</v>
      </c>
      <c r="U82" s="190">
        <f t="shared" ref="U82" si="393">SUM(I82:T82)</f>
        <v>0</v>
      </c>
      <c r="V82" s="197">
        <f t="shared" si="387"/>
        <v>0</v>
      </c>
      <c r="W82" s="62">
        <v>0</v>
      </c>
      <c r="X82" s="62">
        <v>0</v>
      </c>
      <c r="Y82" s="62">
        <v>0</v>
      </c>
      <c r="Z82" s="62">
        <v>0</v>
      </c>
      <c r="AA82" s="62">
        <v>0</v>
      </c>
      <c r="AB82" s="62">
        <v>0</v>
      </c>
      <c r="AC82" s="62">
        <v>0</v>
      </c>
      <c r="AD82" s="62">
        <v>0</v>
      </c>
      <c r="AE82" s="62">
        <v>0</v>
      </c>
      <c r="AF82" s="62">
        <v>0</v>
      </c>
      <c r="AG82" s="62">
        <v>0</v>
      </c>
      <c r="AH82" s="62">
        <v>0</v>
      </c>
      <c r="AI82" s="190">
        <f t="shared" ref="AI82" si="394">SUM(W82:AH82)</f>
        <v>0</v>
      </c>
      <c r="AJ82" s="197">
        <f t="shared" si="388"/>
        <v>0</v>
      </c>
      <c r="AK82" s="62">
        <v>0</v>
      </c>
      <c r="AL82" s="62">
        <v>0</v>
      </c>
      <c r="AM82" s="62">
        <v>0</v>
      </c>
      <c r="AN82" s="62">
        <v>100000</v>
      </c>
      <c r="AO82" s="62">
        <v>0</v>
      </c>
      <c r="AP82" s="62">
        <v>0</v>
      </c>
      <c r="AQ82" s="62">
        <v>0</v>
      </c>
      <c r="AR82" s="62">
        <v>0</v>
      </c>
      <c r="AS82" s="62">
        <v>0</v>
      </c>
      <c r="AT82" s="62">
        <v>0</v>
      </c>
      <c r="AU82" s="62">
        <v>0</v>
      </c>
      <c r="AV82" s="62">
        <v>0</v>
      </c>
      <c r="AW82" s="190">
        <f t="shared" ref="AW82" si="395">SUM(AK82:AV82)</f>
        <v>100000</v>
      </c>
      <c r="AX82" s="197">
        <f t="shared" si="389"/>
        <v>1.3108335397786922E-3</v>
      </c>
      <c r="AY82" s="62">
        <v>0</v>
      </c>
      <c r="AZ82" s="62">
        <v>0</v>
      </c>
      <c r="BA82" s="62">
        <v>0</v>
      </c>
      <c r="BB82" s="62">
        <v>0</v>
      </c>
      <c r="BC82" s="62">
        <v>0</v>
      </c>
      <c r="BD82" s="62">
        <v>0</v>
      </c>
      <c r="BE82" s="62">
        <v>0</v>
      </c>
      <c r="BF82" s="62">
        <v>0</v>
      </c>
      <c r="BG82" s="62">
        <v>0</v>
      </c>
      <c r="BH82" s="62">
        <v>0</v>
      </c>
      <c r="BI82" s="62">
        <v>0</v>
      </c>
      <c r="BJ82" s="62">
        <v>0</v>
      </c>
      <c r="BK82" s="190">
        <f t="shared" ref="BK82" si="396">SUM(AY82:BJ82)</f>
        <v>0</v>
      </c>
      <c r="BL82" s="197">
        <f t="shared" si="390"/>
        <v>0</v>
      </c>
      <c r="BM82" s="62">
        <v>0</v>
      </c>
      <c r="BN82" s="62">
        <v>0</v>
      </c>
      <c r="BO82" s="62">
        <v>0</v>
      </c>
      <c r="BP82" s="62">
        <v>0</v>
      </c>
      <c r="BQ82" s="62">
        <v>0</v>
      </c>
      <c r="BR82" s="62">
        <v>0</v>
      </c>
      <c r="BS82" s="62">
        <v>0</v>
      </c>
      <c r="BT82" s="62">
        <v>0</v>
      </c>
      <c r="BU82" s="62">
        <v>0</v>
      </c>
      <c r="BV82" s="62">
        <v>0</v>
      </c>
      <c r="BW82" s="62">
        <v>0</v>
      </c>
      <c r="BX82" s="62">
        <v>0</v>
      </c>
      <c r="BY82" s="190">
        <f t="shared" ref="BY82" si="397">SUM(BM82:BX82)</f>
        <v>0</v>
      </c>
      <c r="BZ82" s="197">
        <f t="shared" si="391"/>
        <v>0</v>
      </c>
      <c r="CA82" s="62">
        <v>0</v>
      </c>
      <c r="CB82" s="62">
        <v>0</v>
      </c>
      <c r="CC82" s="62">
        <v>0</v>
      </c>
      <c r="CD82" s="62">
        <v>0</v>
      </c>
      <c r="CE82" s="62">
        <v>0</v>
      </c>
      <c r="CF82" s="62">
        <v>0</v>
      </c>
      <c r="CG82" s="62">
        <v>0</v>
      </c>
      <c r="CH82" s="62">
        <v>0</v>
      </c>
      <c r="CI82" s="62">
        <v>0</v>
      </c>
      <c r="CJ82" s="62">
        <v>0</v>
      </c>
      <c r="CK82" s="62">
        <v>0</v>
      </c>
      <c r="CL82" s="62">
        <v>0</v>
      </c>
      <c r="CM82" s="190">
        <f t="shared" ref="CM82" si="398">SUM(CA82:CL82)</f>
        <v>0</v>
      </c>
      <c r="CN82" s="62">
        <v>0</v>
      </c>
      <c r="CO82" s="62">
        <v>0</v>
      </c>
      <c r="CP82" s="62">
        <v>0</v>
      </c>
      <c r="CQ82" s="62">
        <v>0</v>
      </c>
      <c r="CR82" s="62">
        <v>0</v>
      </c>
      <c r="CS82" s="62">
        <v>0</v>
      </c>
      <c r="CT82" s="62">
        <v>0</v>
      </c>
      <c r="CU82" s="62">
        <v>0</v>
      </c>
      <c r="CV82" s="62">
        <v>0</v>
      </c>
      <c r="CW82" s="62">
        <v>0</v>
      </c>
      <c r="CX82" s="62">
        <v>0</v>
      </c>
      <c r="CY82" s="62">
        <v>0</v>
      </c>
      <c r="CZ82" s="190">
        <f t="shared" ref="CZ82" si="399">SUM(CN82:CY82)</f>
        <v>0</v>
      </c>
      <c r="DA82" s="62">
        <v>0</v>
      </c>
      <c r="DB82" s="62">
        <v>0</v>
      </c>
      <c r="DC82" s="62">
        <v>0</v>
      </c>
      <c r="DD82" s="62">
        <v>0</v>
      </c>
      <c r="DE82" s="62">
        <v>0</v>
      </c>
      <c r="DF82" s="62">
        <v>0</v>
      </c>
      <c r="DG82" s="62">
        <v>0</v>
      </c>
      <c r="DH82" s="62">
        <v>0</v>
      </c>
      <c r="DI82" s="62">
        <v>0</v>
      </c>
      <c r="DJ82" s="62">
        <v>0</v>
      </c>
      <c r="DK82" s="62">
        <v>0</v>
      </c>
      <c r="DL82" s="62">
        <v>0</v>
      </c>
      <c r="DM82" s="190">
        <f t="shared" ref="DM82" si="400">SUM(DA82:DL82)</f>
        <v>0</v>
      </c>
      <c r="DN82" s="62">
        <v>0</v>
      </c>
      <c r="DO82" s="62">
        <v>0</v>
      </c>
      <c r="DP82" s="62">
        <v>0</v>
      </c>
      <c r="DQ82" s="62">
        <v>0</v>
      </c>
      <c r="DR82" s="62">
        <v>0</v>
      </c>
      <c r="DS82" s="62">
        <v>0</v>
      </c>
      <c r="DT82" s="62">
        <v>0</v>
      </c>
      <c r="DU82" s="62">
        <v>0</v>
      </c>
      <c r="DV82" s="62">
        <v>0</v>
      </c>
      <c r="DW82" s="62">
        <v>0</v>
      </c>
      <c r="DX82" s="62">
        <v>0</v>
      </c>
      <c r="DY82" s="62">
        <v>0</v>
      </c>
      <c r="DZ82" s="190">
        <f t="shared" ref="DZ82" si="401">SUM(DN82:DY82)</f>
        <v>0</v>
      </c>
    </row>
    <row r="83" spans="1:130" ht="20.45" customHeight="1" outlineLevel="2">
      <c r="A83" s="526"/>
      <c r="B83" s="530"/>
      <c r="C83" s="30" t="s">
        <v>2786</v>
      </c>
      <c r="D83" s="62">
        <f t="shared" si="345"/>
        <v>739999.99999999988</v>
      </c>
      <c r="E83" s="184">
        <f t="shared" si="179"/>
        <v>2.2895624974959843E-3</v>
      </c>
      <c r="F83" s="62">
        <v>0</v>
      </c>
      <c r="G83" s="190">
        <f t="shared" ref="G83" si="402">SUM(F83)</f>
        <v>0</v>
      </c>
      <c r="H83" s="197">
        <f t="shared" si="386"/>
        <v>0</v>
      </c>
      <c r="I83" s="62">
        <v>0</v>
      </c>
      <c r="J83" s="62">
        <v>0</v>
      </c>
      <c r="K83" s="62">
        <v>0</v>
      </c>
      <c r="L83" s="62">
        <v>0</v>
      </c>
      <c r="M83" s="62">
        <v>0</v>
      </c>
      <c r="N83" s="62">
        <v>0</v>
      </c>
      <c r="O83" s="62">
        <v>0</v>
      </c>
      <c r="P83" s="62">
        <v>0</v>
      </c>
      <c r="Q83" s="62">
        <v>0</v>
      </c>
      <c r="R83" s="62">
        <v>0</v>
      </c>
      <c r="S83" s="62">
        <v>0</v>
      </c>
      <c r="T83" s="62">
        <v>0</v>
      </c>
      <c r="U83" s="190">
        <f t="shared" ref="U83" si="403">SUM(I83:T83)</f>
        <v>0</v>
      </c>
      <c r="V83" s="197">
        <f t="shared" si="387"/>
        <v>0</v>
      </c>
      <c r="W83" s="62">
        <v>0</v>
      </c>
      <c r="X83" s="62">
        <v>0</v>
      </c>
      <c r="Y83" s="62">
        <v>0</v>
      </c>
      <c r="Z83" s="62">
        <v>0</v>
      </c>
      <c r="AA83" s="62">
        <v>0</v>
      </c>
      <c r="AB83" s="62">
        <v>0</v>
      </c>
      <c r="AC83" s="62">
        <v>0</v>
      </c>
      <c r="AD83" s="62">
        <v>0</v>
      </c>
      <c r="AE83" s="62">
        <v>0</v>
      </c>
      <c r="AF83" s="62">
        <v>0</v>
      </c>
      <c r="AG83" s="62">
        <v>0</v>
      </c>
      <c r="AH83" s="62">
        <v>0</v>
      </c>
      <c r="AI83" s="190">
        <f t="shared" ref="AI83" si="404">SUM(W83:AH83)</f>
        <v>0</v>
      </c>
      <c r="AJ83" s="197">
        <f t="shared" si="388"/>
        <v>0</v>
      </c>
      <c r="AK83" s="62">
        <v>0</v>
      </c>
      <c r="AL83" s="62">
        <v>0</v>
      </c>
      <c r="AM83" s="62">
        <v>0</v>
      </c>
      <c r="AN83" s="62">
        <v>0</v>
      </c>
      <c r="AO83" s="62">
        <v>0</v>
      </c>
      <c r="AP83" s="62">
        <v>0</v>
      </c>
      <c r="AQ83" s="62">
        <v>0</v>
      </c>
      <c r="AR83" s="62">
        <v>0</v>
      </c>
      <c r="AS83" s="62">
        <v>0</v>
      </c>
      <c r="AT83" s="62">
        <v>0</v>
      </c>
      <c r="AU83" s="62">
        <v>0</v>
      </c>
      <c r="AV83" s="62">
        <f>-60000+900000</f>
        <v>840000</v>
      </c>
      <c r="AW83" s="190">
        <f t="shared" ref="AW83" si="405">SUM(AK83:AV83)</f>
        <v>840000</v>
      </c>
      <c r="AX83" s="197">
        <f t="shared" si="389"/>
        <v>1.1011001734141015E-2</v>
      </c>
      <c r="AY83" s="62">
        <v>0</v>
      </c>
      <c r="AZ83" s="62">
        <v>-100000</v>
      </c>
      <c r="BA83" s="62">
        <v>0</v>
      </c>
      <c r="BB83" s="62">
        <v>0</v>
      </c>
      <c r="BC83" s="62">
        <v>0</v>
      </c>
      <c r="BD83" s="62">
        <v>0</v>
      </c>
      <c r="BE83" s="62">
        <v>0</v>
      </c>
      <c r="BF83" s="62">
        <v>0</v>
      </c>
      <c r="BG83" s="62">
        <v>0</v>
      </c>
      <c r="BH83" s="62">
        <v>0</v>
      </c>
      <c r="BI83" s="62">
        <v>0</v>
      </c>
      <c r="BJ83" s="62">
        <v>0</v>
      </c>
      <c r="BK83" s="190">
        <f t="shared" ref="BK83" si="406">SUM(AY83:BJ83)</f>
        <v>-100000</v>
      </c>
      <c r="BL83" s="197">
        <f t="shared" si="390"/>
        <v>-1.4318642663695949E-3</v>
      </c>
      <c r="BM83" s="62">
        <v>0</v>
      </c>
      <c r="BN83" s="62">
        <v>0</v>
      </c>
      <c r="BO83" s="62">
        <v>0</v>
      </c>
      <c r="BP83" s="62">
        <v>0</v>
      </c>
      <c r="BQ83" s="62">
        <v>0</v>
      </c>
      <c r="BR83" s="62">
        <v>0</v>
      </c>
      <c r="BS83" s="62">
        <v>0</v>
      </c>
      <c r="BT83" s="62">
        <v>0</v>
      </c>
      <c r="BU83" s="62">
        <v>0</v>
      </c>
      <c r="BV83" s="62">
        <v>0</v>
      </c>
      <c r="BW83" s="62">
        <v>0</v>
      </c>
      <c r="BX83" s="62">
        <v>0</v>
      </c>
      <c r="BY83" s="190">
        <f t="shared" ref="BY83" si="407">SUM(BM83:BX83)</f>
        <v>0</v>
      </c>
      <c r="BZ83" s="197">
        <f t="shared" si="391"/>
        <v>0</v>
      </c>
      <c r="CA83" s="62">
        <v>0</v>
      </c>
      <c r="CB83" s="62">
        <v>0</v>
      </c>
      <c r="CC83" s="62">
        <v>0</v>
      </c>
      <c r="CD83" s="62">
        <v>0</v>
      </c>
      <c r="CE83" s="62">
        <v>0</v>
      </c>
      <c r="CF83" s="62">
        <v>0</v>
      </c>
      <c r="CG83" s="62">
        <v>0</v>
      </c>
      <c r="CH83" s="62">
        <v>0</v>
      </c>
      <c r="CI83" s="62">
        <v>0</v>
      </c>
      <c r="CJ83" s="62">
        <v>0</v>
      </c>
      <c r="CK83" s="62">
        <v>0</v>
      </c>
      <c r="CL83" s="62">
        <v>0</v>
      </c>
      <c r="CM83" s="190">
        <f t="shared" ref="CM83" si="408">SUM(CA83:CL83)</f>
        <v>0</v>
      </c>
      <c r="CN83" s="62">
        <v>0</v>
      </c>
      <c r="CO83" s="62">
        <v>0</v>
      </c>
      <c r="CP83" s="62">
        <v>0</v>
      </c>
      <c r="CQ83" s="62">
        <v>0</v>
      </c>
      <c r="CR83" s="62">
        <v>0</v>
      </c>
      <c r="CS83" s="62">
        <v>0</v>
      </c>
      <c r="CT83" s="62">
        <v>0</v>
      </c>
      <c r="CU83" s="62">
        <v>0</v>
      </c>
      <c r="CV83" s="62">
        <v>0</v>
      </c>
      <c r="CW83" s="62">
        <v>0</v>
      </c>
      <c r="CX83" s="62">
        <v>0</v>
      </c>
      <c r="CY83" s="62">
        <v>0</v>
      </c>
      <c r="CZ83" s="190">
        <f t="shared" ref="CZ83" si="409">SUM(CN83:CY83)</f>
        <v>0</v>
      </c>
      <c r="DA83" s="62">
        <v>0</v>
      </c>
      <c r="DB83" s="62">
        <v>0</v>
      </c>
      <c r="DC83" s="62">
        <v>0</v>
      </c>
      <c r="DD83" s="62">
        <v>0</v>
      </c>
      <c r="DE83" s="62">
        <v>0</v>
      </c>
      <c r="DF83" s="62">
        <v>0</v>
      </c>
      <c r="DG83" s="62">
        <v>0</v>
      </c>
      <c r="DH83" s="62">
        <v>0</v>
      </c>
      <c r="DI83" s="62">
        <v>0</v>
      </c>
      <c r="DJ83" s="62">
        <v>0</v>
      </c>
      <c r="DK83" s="62">
        <v>0</v>
      </c>
      <c r="DL83" s="62">
        <v>0</v>
      </c>
      <c r="DM83" s="190">
        <f t="shared" ref="DM83" si="410">SUM(DA83:DL83)</f>
        <v>0</v>
      </c>
      <c r="DN83" s="62">
        <v>0</v>
      </c>
      <c r="DO83" s="62">
        <v>0</v>
      </c>
      <c r="DP83" s="62">
        <v>0</v>
      </c>
      <c r="DQ83" s="62">
        <v>0</v>
      </c>
      <c r="DR83" s="62">
        <v>0</v>
      </c>
      <c r="DS83" s="62">
        <v>0</v>
      </c>
      <c r="DT83" s="62">
        <v>0</v>
      </c>
      <c r="DU83" s="62">
        <v>0</v>
      </c>
      <c r="DV83" s="62">
        <v>0</v>
      </c>
      <c r="DW83" s="62">
        <v>0</v>
      </c>
      <c r="DX83" s="62">
        <v>0</v>
      </c>
      <c r="DY83" s="62">
        <v>0</v>
      </c>
      <c r="DZ83" s="190">
        <f t="shared" ref="DZ83" si="411">SUM(DN83:DY83)</f>
        <v>0</v>
      </c>
    </row>
    <row r="84" spans="1:130" ht="20.45" customHeight="1" outlineLevel="2">
      <c r="A84" s="526"/>
      <c r="B84" s="530"/>
      <c r="C84" s="30" t="s">
        <v>2617</v>
      </c>
      <c r="D84" s="62">
        <f t="shared" si="345"/>
        <v>439999.99999999994</v>
      </c>
      <c r="E84" s="184">
        <f t="shared" si="179"/>
        <v>1.3613614849976123E-3</v>
      </c>
      <c r="F84" s="62">
        <v>0</v>
      </c>
      <c r="G84" s="190">
        <f t="shared" ref="G84" si="412">SUM(F84)</f>
        <v>0</v>
      </c>
      <c r="H84" s="197">
        <f t="shared" si="386"/>
        <v>0</v>
      </c>
      <c r="I84" s="62">
        <v>0</v>
      </c>
      <c r="J84" s="62">
        <v>0</v>
      </c>
      <c r="K84" s="62">
        <v>0</v>
      </c>
      <c r="L84" s="62">
        <v>0</v>
      </c>
      <c r="M84" s="62">
        <v>0</v>
      </c>
      <c r="N84" s="62">
        <v>0</v>
      </c>
      <c r="O84" s="62">
        <v>0</v>
      </c>
      <c r="P84" s="62">
        <v>0</v>
      </c>
      <c r="Q84" s="62">
        <v>0</v>
      </c>
      <c r="R84" s="62">
        <v>0</v>
      </c>
      <c r="S84" s="62">
        <v>0</v>
      </c>
      <c r="T84" s="62">
        <v>0</v>
      </c>
      <c r="U84" s="190">
        <f t="shared" ref="U84" si="413">SUM(I84:T84)</f>
        <v>0</v>
      </c>
      <c r="V84" s="197">
        <f t="shared" si="387"/>
        <v>0</v>
      </c>
      <c r="W84" s="62">
        <v>0</v>
      </c>
      <c r="X84" s="62">
        <v>0</v>
      </c>
      <c r="Y84" s="62">
        <v>0</v>
      </c>
      <c r="Z84" s="62">
        <v>0</v>
      </c>
      <c r="AA84" s="62">
        <v>0</v>
      </c>
      <c r="AB84" s="62">
        <v>0</v>
      </c>
      <c r="AC84" s="62">
        <v>0</v>
      </c>
      <c r="AD84" s="62">
        <v>0</v>
      </c>
      <c r="AE84" s="62">
        <v>210000</v>
      </c>
      <c r="AF84" s="62">
        <v>0</v>
      </c>
      <c r="AG84" s="62">
        <v>0</v>
      </c>
      <c r="AH84" s="62">
        <v>0</v>
      </c>
      <c r="AI84" s="190">
        <f t="shared" ref="AI84" si="414">SUM(W84:AH84)</f>
        <v>210000</v>
      </c>
      <c r="AJ84" s="197">
        <f t="shared" si="388"/>
        <v>2.8540867709245538E-3</v>
      </c>
      <c r="AK84" s="62">
        <v>0</v>
      </c>
      <c r="AL84" s="62">
        <v>0</v>
      </c>
      <c r="AM84" s="62">
        <v>0</v>
      </c>
      <c r="AN84" s="62">
        <v>0</v>
      </c>
      <c r="AO84" s="62">
        <v>0</v>
      </c>
      <c r="AP84" s="62">
        <v>230000</v>
      </c>
      <c r="AQ84" s="62">
        <v>0</v>
      </c>
      <c r="AR84" s="62">
        <v>0</v>
      </c>
      <c r="AS84" s="62">
        <v>0</v>
      </c>
      <c r="AT84" s="62">
        <v>0</v>
      </c>
      <c r="AU84" s="62">
        <v>0</v>
      </c>
      <c r="AV84" s="62">
        <v>0</v>
      </c>
      <c r="AW84" s="190">
        <f t="shared" ref="AW84" si="415">SUM(AK84:AV84)</f>
        <v>230000</v>
      </c>
      <c r="AX84" s="197">
        <f t="shared" si="389"/>
        <v>3.0149171414909923E-3</v>
      </c>
      <c r="AY84" s="62">
        <v>0</v>
      </c>
      <c r="AZ84" s="62">
        <v>0</v>
      </c>
      <c r="BA84" s="62">
        <v>0</v>
      </c>
      <c r="BB84" s="62">
        <v>0</v>
      </c>
      <c r="BC84" s="62">
        <v>0</v>
      </c>
      <c r="BD84" s="62">
        <v>0</v>
      </c>
      <c r="BE84" s="62">
        <v>0</v>
      </c>
      <c r="BF84" s="62">
        <v>0</v>
      </c>
      <c r="BG84" s="62">
        <v>0</v>
      </c>
      <c r="BH84" s="62">
        <v>0</v>
      </c>
      <c r="BI84" s="62">
        <v>0</v>
      </c>
      <c r="BJ84" s="62">
        <v>0</v>
      </c>
      <c r="BK84" s="190">
        <f t="shared" ref="BK84" si="416">SUM(AY84:BJ84)</f>
        <v>0</v>
      </c>
      <c r="BL84" s="197">
        <f t="shared" si="390"/>
        <v>0</v>
      </c>
      <c r="BM84" s="62">
        <v>0</v>
      </c>
      <c r="BN84" s="62">
        <v>0</v>
      </c>
      <c r="BO84" s="62">
        <v>0</v>
      </c>
      <c r="BP84" s="62">
        <v>0</v>
      </c>
      <c r="BQ84" s="62">
        <v>0</v>
      </c>
      <c r="BR84" s="62">
        <v>0</v>
      </c>
      <c r="BS84" s="62">
        <v>0</v>
      </c>
      <c r="BT84" s="62">
        <v>0</v>
      </c>
      <c r="BU84" s="62">
        <v>0</v>
      </c>
      <c r="BV84" s="62">
        <v>0</v>
      </c>
      <c r="BW84" s="62">
        <v>0</v>
      </c>
      <c r="BX84" s="62">
        <v>0</v>
      </c>
      <c r="BY84" s="190">
        <f t="shared" ref="BY84" si="417">SUM(BM84:BX84)</f>
        <v>0</v>
      </c>
      <c r="BZ84" s="197">
        <f t="shared" si="391"/>
        <v>0</v>
      </c>
      <c r="CA84" s="62">
        <v>0</v>
      </c>
      <c r="CB84" s="62">
        <v>0</v>
      </c>
      <c r="CC84" s="62">
        <v>0</v>
      </c>
      <c r="CD84" s="62">
        <v>0</v>
      </c>
      <c r="CE84" s="62">
        <v>0</v>
      </c>
      <c r="CF84" s="62">
        <v>0</v>
      </c>
      <c r="CG84" s="62">
        <v>0</v>
      </c>
      <c r="CH84" s="62">
        <v>0</v>
      </c>
      <c r="CI84" s="62">
        <v>0</v>
      </c>
      <c r="CJ84" s="62">
        <v>0</v>
      </c>
      <c r="CK84" s="62">
        <v>0</v>
      </c>
      <c r="CL84" s="62">
        <v>0</v>
      </c>
      <c r="CM84" s="190">
        <f t="shared" ref="CM84" si="418">SUM(CA84:CL84)</f>
        <v>0</v>
      </c>
      <c r="CN84" s="62">
        <v>0</v>
      </c>
      <c r="CO84" s="62">
        <v>0</v>
      </c>
      <c r="CP84" s="62">
        <v>0</v>
      </c>
      <c r="CQ84" s="62">
        <v>0</v>
      </c>
      <c r="CR84" s="62">
        <v>0</v>
      </c>
      <c r="CS84" s="62">
        <v>0</v>
      </c>
      <c r="CT84" s="62">
        <v>0</v>
      </c>
      <c r="CU84" s="62">
        <v>0</v>
      </c>
      <c r="CV84" s="62">
        <v>0</v>
      </c>
      <c r="CW84" s="62">
        <v>0</v>
      </c>
      <c r="CX84" s="62">
        <v>0</v>
      </c>
      <c r="CY84" s="62">
        <v>0</v>
      </c>
      <c r="CZ84" s="190">
        <f t="shared" ref="CZ84" si="419">SUM(CN84:CY84)</f>
        <v>0</v>
      </c>
      <c r="DA84" s="62">
        <v>0</v>
      </c>
      <c r="DB84" s="62">
        <v>0</v>
      </c>
      <c r="DC84" s="62">
        <v>0</v>
      </c>
      <c r="DD84" s="62">
        <v>0</v>
      </c>
      <c r="DE84" s="62">
        <v>0</v>
      </c>
      <c r="DF84" s="62">
        <v>0</v>
      </c>
      <c r="DG84" s="62">
        <v>0</v>
      </c>
      <c r="DH84" s="62">
        <v>0</v>
      </c>
      <c r="DI84" s="62">
        <v>0</v>
      </c>
      <c r="DJ84" s="62">
        <v>0</v>
      </c>
      <c r="DK84" s="62">
        <v>0</v>
      </c>
      <c r="DL84" s="62">
        <v>0</v>
      </c>
      <c r="DM84" s="190">
        <f t="shared" ref="DM84" si="420">SUM(DA84:DL84)</f>
        <v>0</v>
      </c>
      <c r="DN84" s="62">
        <v>0</v>
      </c>
      <c r="DO84" s="62">
        <v>0</v>
      </c>
      <c r="DP84" s="62">
        <v>0</v>
      </c>
      <c r="DQ84" s="62">
        <v>0</v>
      </c>
      <c r="DR84" s="62">
        <v>0</v>
      </c>
      <c r="DS84" s="62">
        <v>0</v>
      </c>
      <c r="DT84" s="62">
        <v>0</v>
      </c>
      <c r="DU84" s="62">
        <v>0</v>
      </c>
      <c r="DV84" s="62">
        <v>0</v>
      </c>
      <c r="DW84" s="62">
        <v>0</v>
      </c>
      <c r="DX84" s="62">
        <v>0</v>
      </c>
      <c r="DY84" s="62">
        <v>0</v>
      </c>
      <c r="DZ84" s="190">
        <f t="shared" ref="DZ84" si="421">SUM(DN84:DY84)</f>
        <v>0</v>
      </c>
    </row>
    <row r="85" spans="1:130" ht="20.45" customHeight="1" outlineLevel="2">
      <c r="A85" s="525"/>
      <c r="B85" s="530"/>
      <c r="C85" s="30" t="s">
        <v>348</v>
      </c>
      <c r="D85" s="62">
        <f t="shared" si="345"/>
        <v>1473048.0000000005</v>
      </c>
      <c r="E85" s="184">
        <f t="shared" si="179"/>
        <v>4.5576154835290086E-3</v>
      </c>
      <c r="F85" s="62">
        <v>0</v>
      </c>
      <c r="G85" s="190">
        <f t="shared" si="36"/>
        <v>0</v>
      </c>
      <c r="H85" s="197">
        <f t="shared" si="386"/>
        <v>0</v>
      </c>
      <c r="I85" s="62">
        <v>0</v>
      </c>
      <c r="J85" s="62">
        <v>0</v>
      </c>
      <c r="K85" s="62">
        <v>0</v>
      </c>
      <c r="L85" s="62">
        <v>0</v>
      </c>
      <c r="M85" s="62">
        <v>0</v>
      </c>
      <c r="N85" s="62">
        <v>20689</v>
      </c>
      <c r="O85" s="62">
        <f>7544+149502</f>
        <v>157046</v>
      </c>
      <c r="P85" s="62">
        <v>0</v>
      </c>
      <c r="Q85" s="62">
        <v>26927</v>
      </c>
      <c r="R85" s="62">
        <v>0</v>
      </c>
      <c r="S85" s="62">
        <v>0</v>
      </c>
      <c r="T85" s="62">
        <v>0</v>
      </c>
      <c r="U85" s="190">
        <f t="shared" si="16"/>
        <v>204662</v>
      </c>
      <c r="V85" s="197">
        <f t="shared" si="387"/>
        <v>3.6889331482840562E-3</v>
      </c>
      <c r="W85" s="62">
        <v>0</v>
      </c>
      <c r="X85" s="62">
        <v>0</v>
      </c>
      <c r="Y85" s="62">
        <v>172487</v>
      </c>
      <c r="Z85" s="62">
        <v>0</v>
      </c>
      <c r="AA85" s="62">
        <v>0</v>
      </c>
      <c r="AB85" s="62">
        <v>0</v>
      </c>
      <c r="AC85" s="62">
        <v>0</v>
      </c>
      <c r="AD85" s="62">
        <v>0</v>
      </c>
      <c r="AE85" s="62">
        <v>0</v>
      </c>
      <c r="AF85" s="62">
        <v>24578</v>
      </c>
      <c r="AG85" s="62">
        <v>0</v>
      </c>
      <c r="AH85" s="62">
        <v>0</v>
      </c>
      <c r="AI85" s="190">
        <f t="shared" si="17"/>
        <v>197065</v>
      </c>
      <c r="AJ85" s="197">
        <f t="shared" si="388"/>
        <v>2.6782886167249866E-3</v>
      </c>
      <c r="AK85" s="62">
        <f>19297+117572</f>
        <v>136869</v>
      </c>
      <c r="AL85" s="62">
        <v>0</v>
      </c>
      <c r="AM85" s="62">
        <v>0</v>
      </c>
      <c r="AN85" s="62">
        <v>0</v>
      </c>
      <c r="AO85" s="62">
        <v>0</v>
      </c>
      <c r="AP85" s="62">
        <v>0</v>
      </c>
      <c r="AQ85" s="62">
        <v>0</v>
      </c>
      <c r="AR85" s="62">
        <v>0</v>
      </c>
      <c r="AS85" s="62">
        <v>0</v>
      </c>
      <c r="AT85" s="62">
        <v>0</v>
      </c>
      <c r="AU85" s="62">
        <f>40281</f>
        <v>40281</v>
      </c>
      <c r="AV85" s="62">
        <v>0</v>
      </c>
      <c r="AW85" s="190">
        <f t="shared" si="18"/>
        <v>177150</v>
      </c>
      <c r="AX85" s="197">
        <f t="shared" si="389"/>
        <v>2.3221416157179534E-3</v>
      </c>
      <c r="AY85" s="62">
        <v>0</v>
      </c>
      <c r="AZ85" s="62">
        <v>0</v>
      </c>
      <c r="BA85" s="62">
        <v>0</v>
      </c>
      <c r="BB85" s="62">
        <v>0</v>
      </c>
      <c r="BC85" s="62">
        <v>0</v>
      </c>
      <c r="BD85" s="62">
        <v>0</v>
      </c>
      <c r="BE85" s="62">
        <v>0</v>
      </c>
      <c r="BF85" s="62">
        <v>0</v>
      </c>
      <c r="BG85" s="62">
        <v>0</v>
      </c>
      <c r="BH85" s="62">
        <f>525939+204862+163370</f>
        <v>894171</v>
      </c>
      <c r="BI85" s="62">
        <v>0</v>
      </c>
      <c r="BJ85" s="62">
        <v>0</v>
      </c>
      <c r="BK85" s="190">
        <f t="shared" si="19"/>
        <v>894171</v>
      </c>
      <c r="BL85" s="197">
        <f t="shared" si="390"/>
        <v>1.2803315029239671E-2</v>
      </c>
      <c r="BM85" s="62">
        <v>0</v>
      </c>
      <c r="BN85" s="62">
        <v>0</v>
      </c>
      <c r="BO85" s="62">
        <v>0</v>
      </c>
      <c r="BP85" s="62">
        <v>0</v>
      </c>
      <c r="BQ85" s="62">
        <v>0</v>
      </c>
      <c r="BR85" s="62">
        <v>0</v>
      </c>
      <c r="BS85" s="62">
        <v>0</v>
      </c>
      <c r="BT85" s="62">
        <v>0</v>
      </c>
      <c r="BU85" s="62">
        <v>0</v>
      </c>
      <c r="BV85" s="62">
        <v>0</v>
      </c>
      <c r="BW85" s="62">
        <v>0</v>
      </c>
      <c r="BX85" s="62">
        <v>0</v>
      </c>
      <c r="BY85" s="190">
        <f t="shared" si="20"/>
        <v>0</v>
      </c>
      <c r="BZ85" s="197">
        <f t="shared" si="391"/>
        <v>0</v>
      </c>
      <c r="CA85" s="62">
        <v>0</v>
      </c>
      <c r="CB85" s="62">
        <v>0</v>
      </c>
      <c r="CC85" s="62">
        <v>0</v>
      </c>
      <c r="CD85" s="62">
        <v>0</v>
      </c>
      <c r="CE85" s="62">
        <v>0</v>
      </c>
      <c r="CF85" s="62">
        <v>0</v>
      </c>
      <c r="CG85" s="62">
        <v>0</v>
      </c>
      <c r="CH85" s="62">
        <v>0</v>
      </c>
      <c r="CI85" s="62">
        <v>0</v>
      </c>
      <c r="CJ85" s="62">
        <v>0</v>
      </c>
      <c r="CK85" s="62">
        <v>0</v>
      </c>
      <c r="CL85" s="62">
        <v>0</v>
      </c>
      <c r="CM85" s="190">
        <f t="shared" si="21"/>
        <v>0</v>
      </c>
      <c r="CN85" s="62">
        <v>0</v>
      </c>
      <c r="CO85" s="62">
        <v>0</v>
      </c>
      <c r="CP85" s="62">
        <v>0</v>
      </c>
      <c r="CQ85" s="62">
        <v>0</v>
      </c>
      <c r="CR85" s="62">
        <v>0</v>
      </c>
      <c r="CS85" s="62">
        <v>0</v>
      </c>
      <c r="CT85" s="62">
        <v>0</v>
      </c>
      <c r="CU85" s="62">
        <v>0</v>
      </c>
      <c r="CV85" s="62">
        <v>0</v>
      </c>
      <c r="CW85" s="62">
        <v>0</v>
      </c>
      <c r="CX85" s="62">
        <v>0</v>
      </c>
      <c r="CY85" s="62">
        <v>0</v>
      </c>
      <c r="CZ85" s="190">
        <f t="shared" si="22"/>
        <v>0</v>
      </c>
      <c r="DA85" s="62">
        <v>0</v>
      </c>
      <c r="DB85" s="62">
        <v>0</v>
      </c>
      <c r="DC85" s="62">
        <v>0</v>
      </c>
      <c r="DD85" s="62">
        <v>0</v>
      </c>
      <c r="DE85" s="62">
        <v>0</v>
      </c>
      <c r="DF85" s="62">
        <v>0</v>
      </c>
      <c r="DG85" s="62">
        <v>0</v>
      </c>
      <c r="DH85" s="62">
        <v>0</v>
      </c>
      <c r="DI85" s="62">
        <v>0</v>
      </c>
      <c r="DJ85" s="62">
        <v>0</v>
      </c>
      <c r="DK85" s="62">
        <v>0</v>
      </c>
      <c r="DL85" s="62">
        <v>0</v>
      </c>
      <c r="DM85" s="190">
        <f t="shared" si="23"/>
        <v>0</v>
      </c>
      <c r="DN85" s="62">
        <v>0</v>
      </c>
      <c r="DO85" s="62">
        <v>0</v>
      </c>
      <c r="DP85" s="62">
        <v>0</v>
      </c>
      <c r="DQ85" s="62">
        <v>0</v>
      </c>
      <c r="DR85" s="62">
        <v>0</v>
      </c>
      <c r="DS85" s="62">
        <v>0</v>
      </c>
      <c r="DT85" s="62">
        <v>0</v>
      </c>
      <c r="DU85" s="62">
        <v>0</v>
      </c>
      <c r="DV85" s="62">
        <v>0</v>
      </c>
      <c r="DW85" s="62">
        <v>0</v>
      </c>
      <c r="DX85" s="62">
        <v>0</v>
      </c>
      <c r="DY85" s="62">
        <v>0</v>
      </c>
      <c r="DZ85" s="190">
        <f t="shared" si="24"/>
        <v>0</v>
      </c>
    </row>
    <row r="86" spans="1:130" ht="20.45" customHeight="1" outlineLevel="2">
      <c r="A86" s="525"/>
      <c r="B86" s="529"/>
      <c r="C86" s="30" t="s">
        <v>3022</v>
      </c>
      <c r="D86" s="62">
        <f t="shared" si="345"/>
        <v>2100569.9999999991</v>
      </c>
      <c r="E86" s="184">
        <f t="shared" si="179"/>
        <v>6.4991706694123496E-3</v>
      </c>
      <c r="F86" s="62">
        <v>14060</v>
      </c>
      <c r="G86" s="190">
        <f t="shared" si="36"/>
        <v>14060</v>
      </c>
      <c r="H86" s="197">
        <f t="shared" si="386"/>
        <v>3.2115817954021385E-3</v>
      </c>
      <c r="I86" s="62">
        <v>35800</v>
      </c>
      <c r="J86" s="62">
        <v>4990</v>
      </c>
      <c r="K86" s="62">
        <v>0</v>
      </c>
      <c r="L86" s="62">
        <v>0</v>
      </c>
      <c r="M86" s="62">
        <v>0</v>
      </c>
      <c r="N86" s="62">
        <v>0</v>
      </c>
      <c r="O86" s="62">
        <v>29800</v>
      </c>
      <c r="P86" s="62">
        <v>0</v>
      </c>
      <c r="Q86" s="62">
        <v>0</v>
      </c>
      <c r="R86" s="62">
        <v>4990</v>
      </c>
      <c r="S86" s="62">
        <v>0</v>
      </c>
      <c r="T86" s="62">
        <f>142150+52400+79000</f>
        <v>273550</v>
      </c>
      <c r="U86" s="190">
        <f t="shared" si="16"/>
        <v>349130</v>
      </c>
      <c r="V86" s="197">
        <f t="shared" si="387"/>
        <v>6.2928986820240812E-3</v>
      </c>
      <c r="W86" s="62">
        <f>152800+63000+40510</f>
        <v>256310</v>
      </c>
      <c r="X86" s="62">
        <v>0</v>
      </c>
      <c r="Y86" s="62">
        <v>0</v>
      </c>
      <c r="Z86" s="62">
        <v>0</v>
      </c>
      <c r="AA86" s="62">
        <f>94000+64800</f>
        <v>158800</v>
      </c>
      <c r="AB86" s="62">
        <f>15900+9900</f>
        <v>25800</v>
      </c>
      <c r="AC86" s="62">
        <v>0</v>
      </c>
      <c r="AD86" s="62">
        <v>2000</v>
      </c>
      <c r="AE86" s="62">
        <f>1000+17900+36750</f>
        <v>55650</v>
      </c>
      <c r="AF86" s="62">
        <f>52500+16680+22680</f>
        <v>91860</v>
      </c>
      <c r="AG86" s="62">
        <f>6500+56600</f>
        <v>63100</v>
      </c>
      <c r="AH86" s="62">
        <v>1000</v>
      </c>
      <c r="AI86" s="190">
        <f t="shared" si="17"/>
        <v>654520</v>
      </c>
      <c r="AJ86" s="197">
        <f t="shared" si="388"/>
        <v>8.8955089205025664E-3</v>
      </c>
      <c r="AK86" s="62">
        <f>22750+1000+10000-2470+8820+17220</f>
        <v>57320</v>
      </c>
      <c r="AL86" s="62">
        <f>25900+4990+13570</f>
        <v>44460</v>
      </c>
      <c r="AM86" s="62">
        <v>0</v>
      </c>
      <c r="AN86" s="62">
        <v>0</v>
      </c>
      <c r="AO86" s="62">
        <v>35800</v>
      </c>
      <c r="AP86" s="62">
        <v>0</v>
      </c>
      <c r="AQ86" s="62">
        <f>4000+2000</f>
        <v>6000</v>
      </c>
      <c r="AR86" s="62">
        <f>4000+24700+2000+21250</f>
        <v>51950</v>
      </c>
      <c r="AS86" s="62">
        <f>16900+6750+16730</f>
        <v>40380</v>
      </c>
      <c r="AT86" s="62">
        <f>3500</f>
        <v>3500</v>
      </c>
      <c r="AU86" s="62">
        <f>16200+29160</f>
        <v>45360</v>
      </c>
      <c r="AV86" s="62">
        <f>5000+139480</f>
        <v>144480</v>
      </c>
      <c r="AW86" s="190">
        <f t="shared" si="18"/>
        <v>429250</v>
      </c>
      <c r="AX86" s="197">
        <f t="shared" si="389"/>
        <v>5.6267529695000363E-3</v>
      </c>
      <c r="AY86" s="62">
        <v>0</v>
      </c>
      <c r="AZ86" s="62">
        <f>10000+31490+16300</f>
        <v>57790</v>
      </c>
      <c r="BA86" s="62">
        <f>20030-11400+82800+19800</f>
        <v>111230</v>
      </c>
      <c r="BB86" s="62">
        <f>9000+4500</f>
        <v>13500</v>
      </c>
      <c r="BC86" s="62">
        <f>18610+124900+2000+2000</f>
        <v>147510</v>
      </c>
      <c r="BD86" s="62">
        <f>15900</f>
        <v>15900</v>
      </c>
      <c r="BE86" s="62">
        <f>19000+54450</f>
        <v>73450</v>
      </c>
      <c r="BF86" s="62">
        <f>11620+9300</f>
        <v>20920</v>
      </c>
      <c r="BG86" s="62">
        <f>16200</f>
        <v>16200</v>
      </c>
      <c r="BH86" s="62">
        <f>7900+17890+4500</f>
        <v>30290</v>
      </c>
      <c r="BI86" s="62">
        <f>14900</f>
        <v>14900</v>
      </c>
      <c r="BJ86" s="62">
        <f>29400+10000+7080+2000</f>
        <v>48480</v>
      </c>
      <c r="BK86" s="190">
        <f t="shared" si="19"/>
        <v>550170</v>
      </c>
      <c r="BL86" s="197">
        <f t="shared" si="390"/>
        <v>7.877687634285601E-3</v>
      </c>
      <c r="BM86" s="62">
        <f>-7080</f>
        <v>-7080</v>
      </c>
      <c r="BN86" s="62">
        <f>6000</f>
        <v>6000</v>
      </c>
      <c r="BO86" s="62">
        <f>47290+6900</f>
        <v>54190</v>
      </c>
      <c r="BP86" s="62">
        <f>16700+15620+14010</f>
        <v>46330</v>
      </c>
      <c r="BQ86" s="62">
        <f>4000</f>
        <v>4000</v>
      </c>
      <c r="BR86" s="62">
        <v>0</v>
      </c>
      <c r="BS86" s="62">
        <v>0</v>
      </c>
      <c r="BT86" s="62">
        <v>0</v>
      </c>
      <c r="BU86" s="62">
        <v>0</v>
      </c>
      <c r="BV86" s="62">
        <v>0</v>
      </c>
      <c r="BW86" s="62">
        <v>0</v>
      </c>
      <c r="BX86" s="62">
        <v>0</v>
      </c>
      <c r="BY86" s="190">
        <f t="shared" si="20"/>
        <v>103440</v>
      </c>
      <c r="BZ86" s="197">
        <f t="shared" si="391"/>
        <v>2.370145515111396E-3</v>
      </c>
      <c r="CA86" s="62">
        <v>0</v>
      </c>
      <c r="CB86" s="62">
        <v>0</v>
      </c>
      <c r="CC86" s="62">
        <v>0</v>
      </c>
      <c r="CD86" s="62">
        <v>0</v>
      </c>
      <c r="CE86" s="62">
        <v>0</v>
      </c>
      <c r="CF86" s="62">
        <v>0</v>
      </c>
      <c r="CG86" s="62">
        <v>0</v>
      </c>
      <c r="CH86" s="62">
        <v>0</v>
      </c>
      <c r="CI86" s="62">
        <v>0</v>
      </c>
      <c r="CJ86" s="62">
        <v>0</v>
      </c>
      <c r="CK86" s="62">
        <v>0</v>
      </c>
      <c r="CL86" s="62">
        <v>0</v>
      </c>
      <c r="CM86" s="190">
        <f t="shared" si="21"/>
        <v>0</v>
      </c>
      <c r="CN86" s="62">
        <v>0</v>
      </c>
      <c r="CO86" s="62">
        <v>0</v>
      </c>
      <c r="CP86" s="62">
        <v>0</v>
      </c>
      <c r="CQ86" s="62">
        <v>0</v>
      </c>
      <c r="CR86" s="62">
        <v>0</v>
      </c>
      <c r="CS86" s="62">
        <v>0</v>
      </c>
      <c r="CT86" s="62">
        <v>0</v>
      </c>
      <c r="CU86" s="62">
        <v>0</v>
      </c>
      <c r="CV86" s="62">
        <v>0</v>
      </c>
      <c r="CW86" s="62">
        <v>0</v>
      </c>
      <c r="CX86" s="62">
        <v>0</v>
      </c>
      <c r="CY86" s="62">
        <v>0</v>
      </c>
      <c r="CZ86" s="190">
        <f t="shared" si="22"/>
        <v>0</v>
      </c>
      <c r="DA86" s="62">
        <v>0</v>
      </c>
      <c r="DB86" s="62">
        <v>0</v>
      </c>
      <c r="DC86" s="62">
        <v>0</v>
      </c>
      <c r="DD86" s="62">
        <v>0</v>
      </c>
      <c r="DE86" s="62">
        <v>0</v>
      </c>
      <c r="DF86" s="62">
        <v>0</v>
      </c>
      <c r="DG86" s="62">
        <v>0</v>
      </c>
      <c r="DH86" s="62">
        <v>0</v>
      </c>
      <c r="DI86" s="62">
        <v>0</v>
      </c>
      <c r="DJ86" s="62">
        <v>0</v>
      </c>
      <c r="DK86" s="62">
        <v>0</v>
      </c>
      <c r="DL86" s="62">
        <v>0</v>
      </c>
      <c r="DM86" s="190">
        <f t="shared" si="23"/>
        <v>0</v>
      </c>
      <c r="DN86" s="62">
        <v>0</v>
      </c>
      <c r="DO86" s="62">
        <v>0</v>
      </c>
      <c r="DP86" s="62">
        <v>0</v>
      </c>
      <c r="DQ86" s="62">
        <v>0</v>
      </c>
      <c r="DR86" s="62">
        <v>0</v>
      </c>
      <c r="DS86" s="62">
        <v>0</v>
      </c>
      <c r="DT86" s="62">
        <v>0</v>
      </c>
      <c r="DU86" s="62">
        <v>0</v>
      </c>
      <c r="DV86" s="62">
        <v>0</v>
      </c>
      <c r="DW86" s="62">
        <v>0</v>
      </c>
      <c r="DX86" s="62">
        <v>0</v>
      </c>
      <c r="DY86" s="62">
        <v>0</v>
      </c>
      <c r="DZ86" s="190">
        <f t="shared" si="24"/>
        <v>0</v>
      </c>
    </row>
    <row r="87" spans="1:130" s="194" customFormat="1" ht="20.45" customHeight="1" outlineLevel="1">
      <c r="A87" s="525"/>
      <c r="B87" s="527" t="s">
        <v>349</v>
      </c>
      <c r="C87" s="65" t="s">
        <v>307</v>
      </c>
      <c r="D87" s="66">
        <f t="shared" si="345"/>
        <v>3054000.0000000005</v>
      </c>
      <c r="E87" s="187">
        <f>SUM(E88)</f>
        <v>9.2789161216087299E-3</v>
      </c>
      <c r="F87" s="62">
        <f t="shared" ref="F87:DY87" si="422">SUM(F88)</f>
        <v>85000</v>
      </c>
      <c r="G87" s="190">
        <f t="shared" si="36"/>
        <v>85000</v>
      </c>
      <c r="H87" s="196">
        <f>SUM(H88)</f>
        <v>1.9415679417438249E-2</v>
      </c>
      <c r="I87" s="62">
        <f t="shared" si="422"/>
        <v>40000</v>
      </c>
      <c r="J87" s="62">
        <f t="shared" si="422"/>
        <v>35000</v>
      </c>
      <c r="K87" s="62">
        <f t="shared" si="422"/>
        <v>35000</v>
      </c>
      <c r="L87" s="62">
        <f t="shared" si="422"/>
        <v>60000</v>
      </c>
      <c r="M87" s="62">
        <f t="shared" si="422"/>
        <v>30000</v>
      </c>
      <c r="N87" s="62">
        <f t="shared" si="422"/>
        <v>30000</v>
      </c>
      <c r="O87" s="62">
        <f t="shared" si="422"/>
        <v>45000</v>
      </c>
      <c r="P87" s="62">
        <f t="shared" si="422"/>
        <v>60000</v>
      </c>
      <c r="Q87" s="62">
        <f t="shared" si="422"/>
        <v>30000</v>
      </c>
      <c r="R87" s="62">
        <f t="shared" si="422"/>
        <v>30000</v>
      </c>
      <c r="S87" s="62">
        <f t="shared" si="422"/>
        <v>30000</v>
      </c>
      <c r="T87" s="62">
        <f t="shared" si="422"/>
        <v>82000</v>
      </c>
      <c r="U87" s="190">
        <f t="shared" si="16"/>
        <v>507000</v>
      </c>
      <c r="V87" s="196">
        <f>SUM(V88)</f>
        <v>9.1384287565841067E-3</v>
      </c>
      <c r="W87" s="62">
        <f t="shared" si="422"/>
        <v>34000</v>
      </c>
      <c r="X87" s="62">
        <f t="shared" si="422"/>
        <v>40000</v>
      </c>
      <c r="Y87" s="62">
        <f t="shared" si="422"/>
        <v>175000</v>
      </c>
      <c r="Z87" s="62">
        <f t="shared" si="422"/>
        <v>70000</v>
      </c>
      <c r="AA87" s="62">
        <f t="shared" si="422"/>
        <v>0</v>
      </c>
      <c r="AB87" s="62">
        <f t="shared" si="422"/>
        <v>85000</v>
      </c>
      <c r="AC87" s="62">
        <f t="shared" si="422"/>
        <v>90000</v>
      </c>
      <c r="AD87" s="62">
        <f t="shared" si="422"/>
        <v>129000</v>
      </c>
      <c r="AE87" s="62">
        <f t="shared" si="422"/>
        <v>0</v>
      </c>
      <c r="AF87" s="62">
        <f t="shared" si="422"/>
        <v>117000</v>
      </c>
      <c r="AG87" s="62">
        <f t="shared" si="422"/>
        <v>50000</v>
      </c>
      <c r="AH87" s="62">
        <f t="shared" si="422"/>
        <v>0</v>
      </c>
      <c r="AI87" s="190">
        <f t="shared" si="17"/>
        <v>790000</v>
      </c>
      <c r="AJ87" s="196">
        <f>SUM(AJ88)</f>
        <v>1.0736802614430463E-2</v>
      </c>
      <c r="AK87" s="62">
        <f t="shared" si="422"/>
        <v>50000</v>
      </c>
      <c r="AL87" s="62">
        <f t="shared" si="422"/>
        <v>68000</v>
      </c>
      <c r="AM87" s="62">
        <f t="shared" si="422"/>
        <v>110000</v>
      </c>
      <c r="AN87" s="62">
        <f t="shared" si="422"/>
        <v>55000</v>
      </c>
      <c r="AO87" s="62">
        <f t="shared" si="422"/>
        <v>73000</v>
      </c>
      <c r="AP87" s="62">
        <f t="shared" si="422"/>
        <v>25000</v>
      </c>
      <c r="AQ87" s="62">
        <f t="shared" si="422"/>
        <v>73000</v>
      </c>
      <c r="AR87" s="62">
        <f t="shared" si="422"/>
        <v>55000</v>
      </c>
      <c r="AS87" s="62">
        <f t="shared" si="422"/>
        <v>22000</v>
      </c>
      <c r="AT87" s="62">
        <f t="shared" si="422"/>
        <v>113000</v>
      </c>
      <c r="AU87" s="62">
        <f t="shared" si="422"/>
        <v>55000</v>
      </c>
      <c r="AV87" s="62">
        <f t="shared" si="422"/>
        <v>32000</v>
      </c>
      <c r="AW87" s="190">
        <f t="shared" si="18"/>
        <v>731000</v>
      </c>
      <c r="AX87" s="196">
        <f>SUM(AX88)</f>
        <v>9.5821931757822405E-3</v>
      </c>
      <c r="AY87" s="62">
        <f t="shared" si="422"/>
        <v>88000</v>
      </c>
      <c r="AZ87" s="62">
        <f t="shared" si="422"/>
        <v>62000</v>
      </c>
      <c r="BA87" s="62">
        <f t="shared" si="422"/>
        <v>35000</v>
      </c>
      <c r="BB87" s="62">
        <f t="shared" si="422"/>
        <v>38000</v>
      </c>
      <c r="BC87" s="62">
        <f t="shared" si="422"/>
        <v>55000</v>
      </c>
      <c r="BD87" s="62">
        <f t="shared" si="422"/>
        <v>77000</v>
      </c>
      <c r="BE87" s="62">
        <f t="shared" si="422"/>
        <v>38000</v>
      </c>
      <c r="BF87" s="62">
        <f t="shared" si="422"/>
        <v>55000</v>
      </c>
      <c r="BG87" s="62">
        <f t="shared" si="422"/>
        <v>10000</v>
      </c>
      <c r="BH87" s="62">
        <f t="shared" si="422"/>
        <v>55000</v>
      </c>
      <c r="BI87" s="62">
        <f t="shared" si="422"/>
        <v>65000</v>
      </c>
      <c r="BJ87" s="62">
        <f t="shared" si="422"/>
        <v>93000</v>
      </c>
      <c r="BK87" s="190">
        <f t="shared" si="19"/>
        <v>671000</v>
      </c>
      <c r="BL87" s="196">
        <f>SUM(BL88)</f>
        <v>9.607809227339982E-3</v>
      </c>
      <c r="BM87" s="62">
        <f t="shared" si="422"/>
        <v>60000</v>
      </c>
      <c r="BN87" s="62">
        <f t="shared" si="422"/>
        <v>55000</v>
      </c>
      <c r="BO87" s="62">
        <f t="shared" si="422"/>
        <v>55000</v>
      </c>
      <c r="BP87" s="62">
        <f>55000</f>
        <v>55000</v>
      </c>
      <c r="BQ87" s="62">
        <f t="shared" si="422"/>
        <v>45000</v>
      </c>
      <c r="BR87" s="62">
        <f t="shared" si="422"/>
        <v>0</v>
      </c>
      <c r="BS87" s="62">
        <f t="shared" si="422"/>
        <v>0</v>
      </c>
      <c r="BT87" s="62">
        <f t="shared" si="422"/>
        <v>0</v>
      </c>
      <c r="BU87" s="62">
        <f t="shared" si="422"/>
        <v>0</v>
      </c>
      <c r="BV87" s="62">
        <f t="shared" si="422"/>
        <v>0</v>
      </c>
      <c r="BW87" s="62">
        <f t="shared" si="422"/>
        <v>0</v>
      </c>
      <c r="BX87" s="62">
        <f t="shared" si="422"/>
        <v>0</v>
      </c>
      <c r="BY87" s="190">
        <f t="shared" si="20"/>
        <v>270000</v>
      </c>
      <c r="BZ87" s="196">
        <f>SUM(BZ88)</f>
        <v>4.9263465366294491E-3</v>
      </c>
      <c r="CA87" s="62">
        <f t="shared" si="422"/>
        <v>0</v>
      </c>
      <c r="CB87" s="62">
        <f t="shared" si="422"/>
        <v>0</v>
      </c>
      <c r="CC87" s="62">
        <f t="shared" si="422"/>
        <v>0</v>
      </c>
      <c r="CD87" s="62">
        <f t="shared" si="422"/>
        <v>0</v>
      </c>
      <c r="CE87" s="62">
        <f t="shared" si="422"/>
        <v>0</v>
      </c>
      <c r="CF87" s="62">
        <f t="shared" si="422"/>
        <v>0</v>
      </c>
      <c r="CG87" s="62">
        <f t="shared" si="422"/>
        <v>0</v>
      </c>
      <c r="CH87" s="62">
        <f t="shared" si="422"/>
        <v>0</v>
      </c>
      <c r="CI87" s="62">
        <f t="shared" si="422"/>
        <v>0</v>
      </c>
      <c r="CJ87" s="62">
        <f t="shared" si="422"/>
        <v>0</v>
      </c>
      <c r="CK87" s="62">
        <f t="shared" si="422"/>
        <v>0</v>
      </c>
      <c r="CL87" s="62">
        <f t="shared" si="422"/>
        <v>0</v>
      </c>
      <c r="CM87" s="190">
        <f t="shared" si="21"/>
        <v>0</v>
      </c>
      <c r="CN87" s="62">
        <f t="shared" si="422"/>
        <v>0</v>
      </c>
      <c r="CO87" s="62">
        <f t="shared" si="422"/>
        <v>0</v>
      </c>
      <c r="CP87" s="62">
        <f t="shared" si="422"/>
        <v>0</v>
      </c>
      <c r="CQ87" s="62">
        <f t="shared" si="422"/>
        <v>0</v>
      </c>
      <c r="CR87" s="62">
        <f t="shared" si="422"/>
        <v>0</v>
      </c>
      <c r="CS87" s="62">
        <f t="shared" si="422"/>
        <v>0</v>
      </c>
      <c r="CT87" s="62">
        <f t="shared" si="422"/>
        <v>0</v>
      </c>
      <c r="CU87" s="62">
        <f t="shared" si="422"/>
        <v>0</v>
      </c>
      <c r="CV87" s="62">
        <f t="shared" si="422"/>
        <v>0</v>
      </c>
      <c r="CW87" s="62">
        <f t="shared" si="422"/>
        <v>0</v>
      </c>
      <c r="CX87" s="62">
        <f t="shared" si="422"/>
        <v>0</v>
      </c>
      <c r="CY87" s="62">
        <f t="shared" si="422"/>
        <v>0</v>
      </c>
      <c r="CZ87" s="190">
        <f t="shared" si="22"/>
        <v>0</v>
      </c>
      <c r="DA87" s="62">
        <f t="shared" si="422"/>
        <v>0</v>
      </c>
      <c r="DB87" s="62">
        <f t="shared" si="422"/>
        <v>0</v>
      </c>
      <c r="DC87" s="62">
        <f t="shared" si="422"/>
        <v>0</v>
      </c>
      <c r="DD87" s="62">
        <f t="shared" si="422"/>
        <v>0</v>
      </c>
      <c r="DE87" s="62">
        <f t="shared" si="422"/>
        <v>0</v>
      </c>
      <c r="DF87" s="62">
        <f t="shared" si="422"/>
        <v>0</v>
      </c>
      <c r="DG87" s="62">
        <f t="shared" si="422"/>
        <v>0</v>
      </c>
      <c r="DH87" s="62">
        <f t="shared" si="422"/>
        <v>0</v>
      </c>
      <c r="DI87" s="62">
        <f t="shared" si="422"/>
        <v>0</v>
      </c>
      <c r="DJ87" s="62">
        <f t="shared" si="422"/>
        <v>0</v>
      </c>
      <c r="DK87" s="62">
        <f t="shared" si="422"/>
        <v>0</v>
      </c>
      <c r="DL87" s="62">
        <f t="shared" si="422"/>
        <v>0</v>
      </c>
      <c r="DM87" s="190">
        <f t="shared" si="23"/>
        <v>0</v>
      </c>
      <c r="DN87" s="62">
        <f t="shared" si="422"/>
        <v>0</v>
      </c>
      <c r="DO87" s="62">
        <f t="shared" si="422"/>
        <v>0</v>
      </c>
      <c r="DP87" s="62">
        <f t="shared" si="422"/>
        <v>0</v>
      </c>
      <c r="DQ87" s="62">
        <f t="shared" si="422"/>
        <v>0</v>
      </c>
      <c r="DR87" s="62">
        <f t="shared" si="422"/>
        <v>0</v>
      </c>
      <c r="DS87" s="62">
        <f t="shared" si="422"/>
        <v>0</v>
      </c>
      <c r="DT87" s="62">
        <f t="shared" si="422"/>
        <v>0</v>
      </c>
      <c r="DU87" s="62">
        <f t="shared" si="422"/>
        <v>0</v>
      </c>
      <c r="DV87" s="62">
        <f t="shared" si="422"/>
        <v>0</v>
      </c>
      <c r="DW87" s="62">
        <f t="shared" si="422"/>
        <v>0</v>
      </c>
      <c r="DX87" s="62">
        <f t="shared" si="422"/>
        <v>0</v>
      </c>
      <c r="DY87" s="62">
        <f t="shared" si="422"/>
        <v>0</v>
      </c>
      <c r="DZ87" s="190">
        <f t="shared" si="24"/>
        <v>0</v>
      </c>
    </row>
    <row r="88" spans="1:130" ht="20.45" customHeight="1" outlineLevel="2">
      <c r="A88" s="525"/>
      <c r="B88" s="531"/>
      <c r="C88" s="30" t="s">
        <v>3038</v>
      </c>
      <c r="D88" s="62">
        <f t="shared" si="345"/>
        <v>2999000.0000000005</v>
      </c>
      <c r="E88" s="184">
        <f t="shared" si="179"/>
        <v>9.2789161216087299E-3</v>
      </c>
      <c r="F88" s="62">
        <v>85000</v>
      </c>
      <c r="G88" s="190">
        <f t="shared" si="36"/>
        <v>85000</v>
      </c>
      <c r="H88" s="197">
        <f>G88/(G$5+G$6+G$7+G$8+G$10+G$9)</f>
        <v>1.9415679417438249E-2</v>
      </c>
      <c r="I88" s="62">
        <v>40000</v>
      </c>
      <c r="J88" s="62">
        <v>35000</v>
      </c>
      <c r="K88" s="62">
        <v>35000</v>
      </c>
      <c r="L88" s="62">
        <v>60000</v>
      </c>
      <c r="M88" s="62">
        <v>30000</v>
      </c>
      <c r="N88" s="62">
        <v>30000</v>
      </c>
      <c r="O88" s="62">
        <v>45000</v>
      </c>
      <c r="P88" s="62">
        <v>60000</v>
      </c>
      <c r="Q88" s="62">
        <v>30000</v>
      </c>
      <c r="R88" s="62">
        <v>30000</v>
      </c>
      <c r="S88" s="62">
        <v>30000</v>
      </c>
      <c r="T88" s="62">
        <v>82000</v>
      </c>
      <c r="U88" s="190">
        <f t="shared" ref="U88:U154" si="423">SUM(I88:T88)</f>
        <v>507000</v>
      </c>
      <c r="V88" s="197">
        <f>U88/(U$5+U$6+U$7+U$8+U$10+U$9)</f>
        <v>9.1384287565841067E-3</v>
      </c>
      <c r="W88" s="62">
        <v>34000</v>
      </c>
      <c r="X88" s="62">
        <v>40000</v>
      </c>
      <c r="Y88" s="62">
        <f>110000+65000</f>
        <v>175000</v>
      </c>
      <c r="Z88" s="62">
        <v>70000</v>
      </c>
      <c r="AA88" s="62">
        <v>0</v>
      </c>
      <c r="AB88" s="62">
        <v>85000</v>
      </c>
      <c r="AC88" s="62">
        <v>90000</v>
      </c>
      <c r="AD88" s="62">
        <f>77000+17000+35000</f>
        <v>129000</v>
      </c>
      <c r="AE88" s="62">
        <v>0</v>
      </c>
      <c r="AF88" s="62">
        <f>100000+17000</f>
        <v>117000</v>
      </c>
      <c r="AG88" s="62">
        <v>50000</v>
      </c>
      <c r="AH88" s="62">
        <v>0</v>
      </c>
      <c r="AI88" s="190">
        <f t="shared" ref="AI88:AI154" si="424">SUM(W88:AH88)</f>
        <v>790000</v>
      </c>
      <c r="AJ88" s="197">
        <f>AI88/(AI$5+AI$6+AI$7+AI$8+AI$10+AI$9)</f>
        <v>1.0736802614430463E-2</v>
      </c>
      <c r="AK88" s="62">
        <f>50000</f>
        <v>50000</v>
      </c>
      <c r="AL88" s="62">
        <f>18000+50000</f>
        <v>68000</v>
      </c>
      <c r="AM88" s="62">
        <f>50000+60000</f>
        <v>110000</v>
      </c>
      <c r="AN88" s="62">
        <v>55000</v>
      </c>
      <c r="AO88" s="62">
        <f>55000+18000</f>
        <v>73000</v>
      </c>
      <c r="AP88" s="62">
        <f>25000</f>
        <v>25000</v>
      </c>
      <c r="AQ88" s="62">
        <f>18000+55000</f>
        <v>73000</v>
      </c>
      <c r="AR88" s="62">
        <v>55000</v>
      </c>
      <c r="AS88" s="62">
        <f>22000</f>
        <v>22000</v>
      </c>
      <c r="AT88" s="62">
        <f>58000+55000</f>
        <v>113000</v>
      </c>
      <c r="AU88" s="62">
        <f>55000</f>
        <v>55000</v>
      </c>
      <c r="AV88" s="62">
        <f>32000</f>
        <v>32000</v>
      </c>
      <c r="AW88" s="190">
        <f t="shared" ref="AW88:AW154" si="425">SUM(AK88:AV88)</f>
        <v>731000</v>
      </c>
      <c r="AX88" s="197">
        <f>AW88/(AW$5+AW$6+AW$7+AW$8+AW$10+AW$9)</f>
        <v>9.5821931757822405E-3</v>
      </c>
      <c r="AY88" s="62">
        <f>33000+55000</f>
        <v>88000</v>
      </c>
      <c r="AZ88" s="62">
        <f>22000+40000</f>
        <v>62000</v>
      </c>
      <c r="BA88" s="62">
        <f>35000</f>
        <v>35000</v>
      </c>
      <c r="BB88" s="62">
        <f>38000</f>
        <v>38000</v>
      </c>
      <c r="BC88" s="62">
        <f>55000</f>
        <v>55000</v>
      </c>
      <c r="BD88" s="62">
        <f>22000+55000</f>
        <v>77000</v>
      </c>
      <c r="BE88" s="62">
        <f>10000+28000</f>
        <v>38000</v>
      </c>
      <c r="BF88" s="62">
        <v>55000</v>
      </c>
      <c r="BG88" s="62">
        <f>10000</f>
        <v>10000</v>
      </c>
      <c r="BH88" s="62">
        <f>55000</f>
        <v>55000</v>
      </c>
      <c r="BI88" s="62">
        <f>55000+10000</f>
        <v>65000</v>
      </c>
      <c r="BJ88" s="62">
        <f>55000+10000+28000</f>
        <v>93000</v>
      </c>
      <c r="BK88" s="190">
        <f t="shared" ref="BK88:BK146" si="426">SUM(AY88:BJ88)</f>
        <v>671000</v>
      </c>
      <c r="BL88" s="197">
        <f>BK88/(BK$5+BK$6+BK$7+BK$8+BK$10+BK$9)</f>
        <v>9.607809227339982E-3</v>
      </c>
      <c r="BM88" s="62">
        <f>10000+22000+28000</f>
        <v>60000</v>
      </c>
      <c r="BN88" s="62">
        <f>55000</f>
        <v>55000</v>
      </c>
      <c r="BO88" s="62">
        <v>55000</v>
      </c>
      <c r="BP88" s="62">
        <v>0</v>
      </c>
      <c r="BQ88" s="62">
        <f>45000</f>
        <v>45000</v>
      </c>
      <c r="BR88" s="62">
        <v>0</v>
      </c>
      <c r="BS88" s="62">
        <v>0</v>
      </c>
      <c r="BT88" s="62">
        <v>0</v>
      </c>
      <c r="BU88" s="62">
        <v>0</v>
      </c>
      <c r="BV88" s="62">
        <v>0</v>
      </c>
      <c r="BW88" s="62">
        <v>0</v>
      </c>
      <c r="BX88" s="62">
        <v>0</v>
      </c>
      <c r="BY88" s="190">
        <f t="shared" ref="BY88:BY146" si="427">SUM(BM88:BX88)</f>
        <v>215000</v>
      </c>
      <c r="BZ88" s="197">
        <f>BY88/(BY$5+BY$6+BY$7+BY$8+BY$10+BY$9)</f>
        <v>4.9263465366294491E-3</v>
      </c>
      <c r="CA88" s="62">
        <v>0</v>
      </c>
      <c r="CB88" s="62">
        <v>0</v>
      </c>
      <c r="CC88" s="62">
        <v>0</v>
      </c>
      <c r="CD88" s="62">
        <v>0</v>
      </c>
      <c r="CE88" s="62">
        <v>0</v>
      </c>
      <c r="CF88" s="62">
        <v>0</v>
      </c>
      <c r="CG88" s="62">
        <v>0</v>
      </c>
      <c r="CH88" s="62">
        <v>0</v>
      </c>
      <c r="CI88" s="62">
        <v>0</v>
      </c>
      <c r="CJ88" s="62">
        <v>0</v>
      </c>
      <c r="CK88" s="62">
        <v>0</v>
      </c>
      <c r="CL88" s="62">
        <v>0</v>
      </c>
      <c r="CM88" s="190">
        <f t="shared" ref="CM88:CM147" si="428">SUM(CA88:CL88)</f>
        <v>0</v>
      </c>
      <c r="CN88" s="62">
        <v>0</v>
      </c>
      <c r="CO88" s="62">
        <v>0</v>
      </c>
      <c r="CP88" s="62">
        <v>0</v>
      </c>
      <c r="CQ88" s="62">
        <v>0</v>
      </c>
      <c r="CR88" s="62">
        <v>0</v>
      </c>
      <c r="CS88" s="62">
        <v>0</v>
      </c>
      <c r="CT88" s="62">
        <v>0</v>
      </c>
      <c r="CU88" s="62">
        <v>0</v>
      </c>
      <c r="CV88" s="62">
        <v>0</v>
      </c>
      <c r="CW88" s="62">
        <v>0</v>
      </c>
      <c r="CX88" s="62">
        <v>0</v>
      </c>
      <c r="CY88" s="62">
        <v>0</v>
      </c>
      <c r="CZ88" s="190">
        <f t="shared" ref="CZ88:CZ147" si="429">SUM(CN88:CY88)</f>
        <v>0</v>
      </c>
      <c r="DA88" s="62">
        <v>0</v>
      </c>
      <c r="DB88" s="62">
        <v>0</v>
      </c>
      <c r="DC88" s="62">
        <v>0</v>
      </c>
      <c r="DD88" s="62">
        <v>0</v>
      </c>
      <c r="DE88" s="62">
        <v>0</v>
      </c>
      <c r="DF88" s="62">
        <v>0</v>
      </c>
      <c r="DG88" s="62">
        <v>0</v>
      </c>
      <c r="DH88" s="62">
        <v>0</v>
      </c>
      <c r="DI88" s="62">
        <v>0</v>
      </c>
      <c r="DJ88" s="62">
        <v>0</v>
      </c>
      <c r="DK88" s="62">
        <v>0</v>
      </c>
      <c r="DL88" s="62">
        <v>0</v>
      </c>
      <c r="DM88" s="190">
        <f t="shared" ref="DM88:DM147" si="430">SUM(DA88:DL88)</f>
        <v>0</v>
      </c>
      <c r="DN88" s="62">
        <v>0</v>
      </c>
      <c r="DO88" s="62">
        <v>0</v>
      </c>
      <c r="DP88" s="62">
        <v>0</v>
      </c>
      <c r="DQ88" s="62">
        <v>0</v>
      </c>
      <c r="DR88" s="62">
        <v>0</v>
      </c>
      <c r="DS88" s="62">
        <v>0</v>
      </c>
      <c r="DT88" s="62">
        <v>0</v>
      </c>
      <c r="DU88" s="62">
        <v>0</v>
      </c>
      <c r="DV88" s="62">
        <v>0</v>
      </c>
      <c r="DW88" s="62">
        <v>0</v>
      </c>
      <c r="DX88" s="62">
        <v>0</v>
      </c>
      <c r="DY88" s="62">
        <v>0</v>
      </c>
      <c r="DZ88" s="190">
        <f t="shared" ref="DZ88:DZ147" si="431">SUM(DN88:DY88)</f>
        <v>0</v>
      </c>
    </row>
    <row r="89" spans="1:130" s="194" customFormat="1" ht="20.45" customHeight="1" outlineLevel="1">
      <c r="A89" s="525"/>
      <c r="B89" s="527" t="s">
        <v>351</v>
      </c>
      <c r="C89" s="65" t="s">
        <v>307</v>
      </c>
      <c r="D89" s="66">
        <f t="shared" si="345"/>
        <v>4582858</v>
      </c>
      <c r="E89" s="187">
        <f>SUM(E90:E91)</f>
        <v>1.4179378119120886E-2</v>
      </c>
      <c r="F89" s="62">
        <f t="shared" ref="F89:DX89" si="432">SUM(F90:F91)</f>
        <v>23000</v>
      </c>
      <c r="G89" s="190">
        <f t="shared" ref="G89:G154" si="433">SUM(F89)</f>
        <v>23000</v>
      </c>
      <c r="H89" s="196">
        <f>SUM(H90:H91)</f>
        <v>5.2536544306009385E-3</v>
      </c>
      <c r="I89" s="62">
        <f t="shared" si="432"/>
        <v>4000</v>
      </c>
      <c r="J89" s="62">
        <f t="shared" si="432"/>
        <v>30000</v>
      </c>
      <c r="K89" s="62">
        <f t="shared" si="432"/>
        <v>0</v>
      </c>
      <c r="L89" s="62">
        <f t="shared" si="432"/>
        <v>0</v>
      </c>
      <c r="M89" s="62">
        <f t="shared" si="432"/>
        <v>234670</v>
      </c>
      <c r="N89" s="62">
        <f t="shared" si="432"/>
        <v>90000</v>
      </c>
      <c r="O89" s="62">
        <f t="shared" si="432"/>
        <v>0</v>
      </c>
      <c r="P89" s="62">
        <f t="shared" si="432"/>
        <v>53000</v>
      </c>
      <c r="Q89" s="62">
        <f t="shared" si="432"/>
        <v>22000</v>
      </c>
      <c r="R89" s="62">
        <f t="shared" si="432"/>
        <v>0</v>
      </c>
      <c r="S89" s="62">
        <f t="shared" si="432"/>
        <v>0</v>
      </c>
      <c r="T89" s="62">
        <f t="shared" si="432"/>
        <v>0</v>
      </c>
      <c r="U89" s="190">
        <f t="shared" si="423"/>
        <v>433670</v>
      </c>
      <c r="V89" s="196">
        <f>SUM(V90:V91)</f>
        <v>7.8166911220272778E-3</v>
      </c>
      <c r="W89" s="62">
        <f t="shared" si="432"/>
        <v>20000</v>
      </c>
      <c r="X89" s="62">
        <f t="shared" si="432"/>
        <v>28000</v>
      </c>
      <c r="Y89" s="62">
        <f t="shared" si="432"/>
        <v>0</v>
      </c>
      <c r="Z89" s="62">
        <f t="shared" si="432"/>
        <v>0</v>
      </c>
      <c r="AA89" s="62">
        <f t="shared" si="432"/>
        <v>75000</v>
      </c>
      <c r="AB89" s="62">
        <f t="shared" si="432"/>
        <v>7000</v>
      </c>
      <c r="AC89" s="62">
        <f t="shared" ref="AC89:AF89" si="434">SUM(AC90:AC91)</f>
        <v>0</v>
      </c>
      <c r="AD89" s="62">
        <f t="shared" si="434"/>
        <v>83415</v>
      </c>
      <c r="AE89" s="62">
        <f t="shared" si="434"/>
        <v>33000</v>
      </c>
      <c r="AF89" s="62">
        <f t="shared" si="434"/>
        <v>0</v>
      </c>
      <c r="AG89" s="62">
        <f t="shared" si="432"/>
        <v>0</v>
      </c>
      <c r="AH89" s="62">
        <f t="shared" si="432"/>
        <v>870720</v>
      </c>
      <c r="AI89" s="190">
        <f t="shared" si="424"/>
        <v>1117135</v>
      </c>
      <c r="AJ89" s="196">
        <f>SUM(AJ90:AJ91)</f>
        <v>1.5182858213508576E-2</v>
      </c>
      <c r="AK89" s="62">
        <f t="shared" ref="AK89:AV89" si="435">SUM(AK90:AK91)</f>
        <v>8000</v>
      </c>
      <c r="AL89" s="62">
        <f t="shared" si="435"/>
        <v>30000</v>
      </c>
      <c r="AM89" s="62">
        <f t="shared" si="435"/>
        <v>74580</v>
      </c>
      <c r="AN89" s="62">
        <f t="shared" si="435"/>
        <v>20000</v>
      </c>
      <c r="AO89" s="62">
        <f t="shared" si="435"/>
        <v>36000</v>
      </c>
      <c r="AP89" s="62">
        <f t="shared" si="435"/>
        <v>99000</v>
      </c>
      <c r="AQ89" s="62">
        <f t="shared" si="435"/>
        <v>15000</v>
      </c>
      <c r="AR89" s="62">
        <f t="shared" si="435"/>
        <v>0</v>
      </c>
      <c r="AS89" s="62">
        <f t="shared" si="435"/>
        <v>10000</v>
      </c>
      <c r="AT89" s="62">
        <f t="shared" si="435"/>
        <v>66168</v>
      </c>
      <c r="AU89" s="62">
        <f t="shared" si="435"/>
        <v>80700</v>
      </c>
      <c r="AV89" s="62">
        <f t="shared" si="435"/>
        <v>0</v>
      </c>
      <c r="AW89" s="190">
        <f t="shared" si="425"/>
        <v>439448</v>
      </c>
      <c r="AX89" s="196">
        <f>SUM(AX90:AX91)</f>
        <v>5.7604317738866673E-3</v>
      </c>
      <c r="AY89" s="62">
        <f t="shared" ref="AY89:BJ89" si="436">SUM(AY90:AY91)</f>
        <v>274025</v>
      </c>
      <c r="AZ89" s="62">
        <f t="shared" si="436"/>
        <v>0</v>
      </c>
      <c r="BA89" s="62">
        <f t="shared" si="436"/>
        <v>122894</v>
      </c>
      <c r="BB89" s="62">
        <f t="shared" si="436"/>
        <v>173100</v>
      </c>
      <c r="BC89" s="62">
        <f t="shared" si="436"/>
        <v>129521</v>
      </c>
      <c r="BD89" s="62">
        <f t="shared" si="436"/>
        <v>27175</v>
      </c>
      <c r="BE89" s="62">
        <f t="shared" si="436"/>
        <v>0</v>
      </c>
      <c r="BF89" s="62">
        <f t="shared" si="436"/>
        <v>0</v>
      </c>
      <c r="BG89" s="62">
        <f t="shared" si="436"/>
        <v>43000</v>
      </c>
      <c r="BH89" s="62">
        <f t="shared" si="436"/>
        <v>545500</v>
      </c>
      <c r="BI89" s="62">
        <f t="shared" si="436"/>
        <v>83200</v>
      </c>
      <c r="BJ89" s="62">
        <f t="shared" si="436"/>
        <v>87000</v>
      </c>
      <c r="BK89" s="190">
        <f t="shared" si="426"/>
        <v>1485415</v>
      </c>
      <c r="BL89" s="196">
        <f>SUM(BL90:BL91)</f>
        <v>2.1269126592293922E-2</v>
      </c>
      <c r="BM89" s="62">
        <f t="shared" ref="BM89:BX89" si="437">SUM(BM90:BM91)</f>
        <v>335290</v>
      </c>
      <c r="BN89" s="62">
        <f t="shared" si="437"/>
        <v>641000</v>
      </c>
      <c r="BO89" s="62">
        <f t="shared" si="437"/>
        <v>38900</v>
      </c>
      <c r="BP89" s="62">
        <f t="shared" si="437"/>
        <v>43000</v>
      </c>
      <c r="BQ89" s="62">
        <f t="shared" si="437"/>
        <v>26000</v>
      </c>
      <c r="BR89" s="62">
        <f t="shared" si="437"/>
        <v>0</v>
      </c>
      <c r="BS89" s="62">
        <f t="shared" si="437"/>
        <v>0</v>
      </c>
      <c r="BT89" s="62">
        <f t="shared" si="437"/>
        <v>0</v>
      </c>
      <c r="BU89" s="62">
        <f t="shared" si="437"/>
        <v>0</v>
      </c>
      <c r="BV89" s="62">
        <f t="shared" si="437"/>
        <v>0</v>
      </c>
      <c r="BW89" s="62">
        <f t="shared" si="437"/>
        <v>0</v>
      </c>
      <c r="BX89" s="62">
        <f t="shared" si="437"/>
        <v>0</v>
      </c>
      <c r="BY89" s="190">
        <f t="shared" si="427"/>
        <v>1084190</v>
      </c>
      <c r="BZ89" s="196">
        <f>SUM(BZ90:BZ91)</f>
        <v>2.484230535603852E-2</v>
      </c>
      <c r="CA89" s="62">
        <f t="shared" ref="CA89:CL89" si="438">SUM(CA90:CA91)</f>
        <v>0</v>
      </c>
      <c r="CB89" s="62">
        <f t="shared" si="438"/>
        <v>0</v>
      </c>
      <c r="CC89" s="62">
        <f t="shared" si="438"/>
        <v>0</v>
      </c>
      <c r="CD89" s="62">
        <f t="shared" si="438"/>
        <v>0</v>
      </c>
      <c r="CE89" s="62">
        <f t="shared" si="438"/>
        <v>0</v>
      </c>
      <c r="CF89" s="62">
        <f t="shared" si="438"/>
        <v>0</v>
      </c>
      <c r="CG89" s="62">
        <f t="shared" si="438"/>
        <v>0</v>
      </c>
      <c r="CH89" s="62">
        <f t="shared" si="438"/>
        <v>0</v>
      </c>
      <c r="CI89" s="62">
        <f t="shared" si="438"/>
        <v>0</v>
      </c>
      <c r="CJ89" s="62">
        <f t="shared" si="438"/>
        <v>0</v>
      </c>
      <c r="CK89" s="62">
        <f t="shared" si="438"/>
        <v>0</v>
      </c>
      <c r="CL89" s="62">
        <f t="shared" si="438"/>
        <v>0</v>
      </c>
      <c r="CM89" s="190">
        <f t="shared" si="428"/>
        <v>0</v>
      </c>
      <c r="CN89" s="62">
        <f t="shared" ref="CN89:CY89" si="439">SUM(CN90:CN91)</f>
        <v>0</v>
      </c>
      <c r="CO89" s="62">
        <f t="shared" si="439"/>
        <v>0</v>
      </c>
      <c r="CP89" s="62">
        <f t="shared" si="439"/>
        <v>0</v>
      </c>
      <c r="CQ89" s="62">
        <f t="shared" si="439"/>
        <v>0</v>
      </c>
      <c r="CR89" s="62">
        <f t="shared" si="439"/>
        <v>0</v>
      </c>
      <c r="CS89" s="62">
        <f t="shared" si="439"/>
        <v>0</v>
      </c>
      <c r="CT89" s="62">
        <f t="shared" si="439"/>
        <v>0</v>
      </c>
      <c r="CU89" s="62">
        <f t="shared" si="439"/>
        <v>0</v>
      </c>
      <c r="CV89" s="62">
        <f t="shared" si="439"/>
        <v>0</v>
      </c>
      <c r="CW89" s="62">
        <f t="shared" si="439"/>
        <v>0</v>
      </c>
      <c r="CX89" s="62">
        <f t="shared" si="439"/>
        <v>0</v>
      </c>
      <c r="CY89" s="62">
        <f t="shared" si="439"/>
        <v>0</v>
      </c>
      <c r="CZ89" s="190">
        <f t="shared" si="429"/>
        <v>0</v>
      </c>
      <c r="DA89" s="62">
        <f t="shared" ref="DA89:DL89" si="440">SUM(DA90:DA91)</f>
        <v>0</v>
      </c>
      <c r="DB89" s="62">
        <f t="shared" si="440"/>
        <v>0</v>
      </c>
      <c r="DC89" s="62">
        <f t="shared" si="440"/>
        <v>0</v>
      </c>
      <c r="DD89" s="62">
        <f t="shared" si="440"/>
        <v>0</v>
      </c>
      <c r="DE89" s="62">
        <f t="shared" si="440"/>
        <v>0</v>
      </c>
      <c r="DF89" s="62">
        <f t="shared" si="440"/>
        <v>0</v>
      </c>
      <c r="DG89" s="62">
        <f t="shared" si="440"/>
        <v>0</v>
      </c>
      <c r="DH89" s="62">
        <f t="shared" si="440"/>
        <v>0</v>
      </c>
      <c r="DI89" s="62">
        <f t="shared" si="440"/>
        <v>0</v>
      </c>
      <c r="DJ89" s="62">
        <f t="shared" si="440"/>
        <v>0</v>
      </c>
      <c r="DK89" s="62">
        <f t="shared" si="440"/>
        <v>0</v>
      </c>
      <c r="DL89" s="62">
        <f t="shared" si="440"/>
        <v>0</v>
      </c>
      <c r="DM89" s="190">
        <f t="shared" si="430"/>
        <v>0</v>
      </c>
      <c r="DN89" s="62">
        <f t="shared" ref="DN89:DQ89" si="441">SUM(DN90:DN91)</f>
        <v>0</v>
      </c>
      <c r="DO89" s="62">
        <f t="shared" si="441"/>
        <v>0</v>
      </c>
      <c r="DP89" s="62">
        <f t="shared" si="441"/>
        <v>0</v>
      </c>
      <c r="DQ89" s="62">
        <f t="shared" si="441"/>
        <v>0</v>
      </c>
      <c r="DR89" s="62">
        <f t="shared" ref="DR89:DU89" si="442">SUM(DR90:DR91)</f>
        <v>0</v>
      </c>
      <c r="DS89" s="62">
        <f t="shared" si="442"/>
        <v>0</v>
      </c>
      <c r="DT89" s="62">
        <f t="shared" si="442"/>
        <v>0</v>
      </c>
      <c r="DU89" s="62">
        <f t="shared" si="442"/>
        <v>0</v>
      </c>
      <c r="DV89" s="62">
        <f t="shared" ref="DV89:DW89" si="443">SUM(DV90:DV91)</f>
        <v>0</v>
      </c>
      <c r="DW89" s="62">
        <f t="shared" si="443"/>
        <v>0</v>
      </c>
      <c r="DX89" s="62">
        <f t="shared" si="432"/>
        <v>0</v>
      </c>
      <c r="DY89" s="62">
        <f t="shared" ref="DY89" si="444">SUM(DY90:DY91)</f>
        <v>0</v>
      </c>
      <c r="DZ89" s="190">
        <f t="shared" si="431"/>
        <v>0</v>
      </c>
    </row>
    <row r="90" spans="1:130" ht="20.45" customHeight="1" outlineLevel="2">
      <c r="A90" s="525"/>
      <c r="B90" s="528"/>
      <c r="C90" s="30" t="s">
        <v>352</v>
      </c>
      <c r="D90" s="62">
        <f t="shared" si="345"/>
        <v>2560916</v>
      </c>
      <c r="E90" s="184">
        <f t="shared" si="179"/>
        <v>7.9234827470776054E-3</v>
      </c>
      <c r="F90" s="62">
        <v>0</v>
      </c>
      <c r="G90" s="190">
        <f t="shared" si="433"/>
        <v>0</v>
      </c>
      <c r="H90" s="197">
        <f t="shared" ref="H90:H91" si="445">G90/(G$5+G$6+G$7+G$8+G$10+G$9)</f>
        <v>0</v>
      </c>
      <c r="I90" s="62">
        <v>0</v>
      </c>
      <c r="J90" s="62">
        <v>0</v>
      </c>
      <c r="K90" s="62">
        <v>0</v>
      </c>
      <c r="L90" s="62">
        <v>0</v>
      </c>
      <c r="M90" s="62">
        <v>184670</v>
      </c>
      <c r="N90" s="62">
        <v>0</v>
      </c>
      <c r="O90" s="62">
        <v>0</v>
      </c>
      <c r="P90" s="62">
        <v>0</v>
      </c>
      <c r="Q90" s="62">
        <v>0</v>
      </c>
      <c r="R90" s="62">
        <v>0</v>
      </c>
      <c r="S90" s="62">
        <v>0</v>
      </c>
      <c r="T90" s="62">
        <v>0</v>
      </c>
      <c r="U90" s="190">
        <f t="shared" si="423"/>
        <v>184670</v>
      </c>
      <c r="V90" s="197">
        <f t="shared" ref="V90:V91" si="446">U90/(U$5+U$6+U$7+U$8+U$10+U$9)</f>
        <v>3.3285870581427754E-3</v>
      </c>
      <c r="W90" s="62">
        <v>0</v>
      </c>
      <c r="X90" s="62">
        <v>0</v>
      </c>
      <c r="Y90" s="62">
        <v>0</v>
      </c>
      <c r="Z90" s="62">
        <v>0</v>
      </c>
      <c r="AA90" s="62">
        <v>0</v>
      </c>
      <c r="AB90" s="62">
        <v>0</v>
      </c>
      <c r="AC90" s="62">
        <v>0</v>
      </c>
      <c r="AD90" s="62">
        <v>71415</v>
      </c>
      <c r="AE90" s="62">
        <v>0</v>
      </c>
      <c r="AF90" s="62">
        <v>0</v>
      </c>
      <c r="AG90" s="62">
        <v>0</v>
      </c>
      <c r="AH90" s="62">
        <v>214720</v>
      </c>
      <c r="AI90" s="190">
        <f t="shared" si="424"/>
        <v>286135</v>
      </c>
      <c r="AJ90" s="197">
        <f t="shared" ref="AJ90:AJ91" si="447">AI90/(AI$5+AI$6+AI$7+AI$8+AI$10+AI$9)</f>
        <v>3.8888291342785578E-3</v>
      </c>
      <c r="AK90" s="62">
        <v>0</v>
      </c>
      <c r="AL90" s="62">
        <v>0</v>
      </c>
      <c r="AM90" s="62">
        <v>0</v>
      </c>
      <c r="AN90" s="62">
        <v>0</v>
      </c>
      <c r="AO90" s="62">
        <v>0</v>
      </c>
      <c r="AP90" s="62">
        <f>99000</f>
        <v>99000</v>
      </c>
      <c r="AQ90" s="62">
        <v>0</v>
      </c>
      <c r="AR90" s="62">
        <v>0</v>
      </c>
      <c r="AS90" s="62">
        <v>0</v>
      </c>
      <c r="AT90" s="62">
        <f>5000</f>
        <v>5000</v>
      </c>
      <c r="AU90" s="62">
        <f>28800</f>
        <v>28800</v>
      </c>
      <c r="AV90" s="62">
        <v>0</v>
      </c>
      <c r="AW90" s="190">
        <f t="shared" si="425"/>
        <v>132800</v>
      </c>
      <c r="AX90" s="197">
        <f t="shared" ref="AX90:AX91" si="448">AW90/(AW$5+AW$6+AW$7+AW$8+AW$10+AW$9)</f>
        <v>1.7407869408261032E-3</v>
      </c>
      <c r="AY90" s="62">
        <f>132170+49500</f>
        <v>181670</v>
      </c>
      <c r="AZ90" s="62">
        <v>0</v>
      </c>
      <c r="BA90" s="62">
        <f>66130</f>
        <v>66130</v>
      </c>
      <c r="BB90" s="62">
        <f>163100</f>
        <v>163100</v>
      </c>
      <c r="BC90" s="62">
        <f>91421</f>
        <v>91421</v>
      </c>
      <c r="BD90" s="62">
        <v>0</v>
      </c>
      <c r="BE90" s="62">
        <v>0</v>
      </c>
      <c r="BF90" s="62">
        <v>0</v>
      </c>
      <c r="BG90" s="62">
        <v>0</v>
      </c>
      <c r="BH90" s="62">
        <f>506700</f>
        <v>506700</v>
      </c>
      <c r="BI90" s="62">
        <f>45600</f>
        <v>45600</v>
      </c>
      <c r="BJ90" s="62">
        <f>49000</f>
        <v>49000</v>
      </c>
      <c r="BK90" s="190">
        <f t="shared" si="426"/>
        <v>1103621</v>
      </c>
      <c r="BL90" s="197">
        <f t="shared" ref="BL90:BL91" si="449">BK90/(BK$5+BK$6+BK$7+BK$8+BK$10+BK$9)</f>
        <v>1.5802354735150789E-2</v>
      </c>
      <c r="BM90" s="62">
        <f>63650+49000-63650+117850+121440+47000</f>
        <v>335290</v>
      </c>
      <c r="BN90" s="62">
        <f>518400</f>
        <v>518400</v>
      </c>
      <c r="BO90" s="62">
        <v>0</v>
      </c>
      <c r="BP90" s="62">
        <v>0</v>
      </c>
      <c r="BQ90" s="62">
        <v>0</v>
      </c>
      <c r="BR90" s="62">
        <v>0</v>
      </c>
      <c r="BS90" s="62">
        <v>0</v>
      </c>
      <c r="BT90" s="62">
        <v>0</v>
      </c>
      <c r="BU90" s="62">
        <v>0</v>
      </c>
      <c r="BV90" s="62">
        <v>0</v>
      </c>
      <c r="BW90" s="62">
        <v>0</v>
      </c>
      <c r="BX90" s="62">
        <v>0</v>
      </c>
      <c r="BY90" s="190">
        <f t="shared" si="427"/>
        <v>853690</v>
      </c>
      <c r="BZ90" s="197">
        <f t="shared" ref="BZ90:BZ91" si="450">BY90/(BY$5+BY$6+BY$7+BY$8+BY$10+BY$9)</f>
        <v>1.9560803603977647E-2</v>
      </c>
      <c r="CA90" s="62">
        <v>0</v>
      </c>
      <c r="CB90" s="62">
        <v>0</v>
      </c>
      <c r="CC90" s="62">
        <v>0</v>
      </c>
      <c r="CD90" s="62">
        <v>0</v>
      </c>
      <c r="CE90" s="62">
        <v>0</v>
      </c>
      <c r="CF90" s="62">
        <v>0</v>
      </c>
      <c r="CG90" s="62">
        <v>0</v>
      </c>
      <c r="CH90" s="62">
        <v>0</v>
      </c>
      <c r="CI90" s="62">
        <v>0</v>
      </c>
      <c r="CJ90" s="62">
        <v>0</v>
      </c>
      <c r="CK90" s="62">
        <v>0</v>
      </c>
      <c r="CL90" s="62">
        <v>0</v>
      </c>
      <c r="CM90" s="190">
        <f t="shared" si="428"/>
        <v>0</v>
      </c>
      <c r="CN90" s="62">
        <v>0</v>
      </c>
      <c r="CO90" s="62">
        <v>0</v>
      </c>
      <c r="CP90" s="62">
        <v>0</v>
      </c>
      <c r="CQ90" s="62">
        <v>0</v>
      </c>
      <c r="CR90" s="62">
        <v>0</v>
      </c>
      <c r="CS90" s="62">
        <v>0</v>
      </c>
      <c r="CT90" s="62">
        <v>0</v>
      </c>
      <c r="CU90" s="62">
        <v>0</v>
      </c>
      <c r="CV90" s="62">
        <v>0</v>
      </c>
      <c r="CW90" s="62">
        <v>0</v>
      </c>
      <c r="CX90" s="62">
        <v>0</v>
      </c>
      <c r="CY90" s="62">
        <v>0</v>
      </c>
      <c r="CZ90" s="190">
        <f t="shared" si="429"/>
        <v>0</v>
      </c>
      <c r="DA90" s="62">
        <v>0</v>
      </c>
      <c r="DB90" s="62">
        <v>0</v>
      </c>
      <c r="DC90" s="62">
        <v>0</v>
      </c>
      <c r="DD90" s="62">
        <v>0</v>
      </c>
      <c r="DE90" s="62">
        <v>0</v>
      </c>
      <c r="DF90" s="62">
        <v>0</v>
      </c>
      <c r="DG90" s="62">
        <v>0</v>
      </c>
      <c r="DH90" s="62">
        <v>0</v>
      </c>
      <c r="DI90" s="62">
        <v>0</v>
      </c>
      <c r="DJ90" s="62">
        <v>0</v>
      </c>
      <c r="DK90" s="62">
        <v>0</v>
      </c>
      <c r="DL90" s="62">
        <v>0</v>
      </c>
      <c r="DM90" s="190">
        <f t="shared" si="430"/>
        <v>0</v>
      </c>
      <c r="DN90" s="62">
        <v>0</v>
      </c>
      <c r="DO90" s="62">
        <v>0</v>
      </c>
      <c r="DP90" s="62">
        <v>0</v>
      </c>
      <c r="DQ90" s="62">
        <v>0</v>
      </c>
      <c r="DR90" s="62">
        <v>0</v>
      </c>
      <c r="DS90" s="62">
        <v>0</v>
      </c>
      <c r="DT90" s="62">
        <v>0</v>
      </c>
      <c r="DU90" s="62">
        <v>0</v>
      </c>
      <c r="DV90" s="62">
        <v>0</v>
      </c>
      <c r="DW90" s="62">
        <v>0</v>
      </c>
      <c r="DX90" s="62">
        <v>0</v>
      </c>
      <c r="DY90" s="62">
        <v>0</v>
      </c>
      <c r="DZ90" s="190">
        <f t="shared" si="431"/>
        <v>0</v>
      </c>
    </row>
    <row r="91" spans="1:130" ht="20.45" customHeight="1" outlineLevel="2">
      <c r="A91" s="525"/>
      <c r="B91" s="531"/>
      <c r="C91" s="30" t="s">
        <v>1928</v>
      </c>
      <c r="D91" s="62">
        <f t="shared" si="345"/>
        <v>2021942.0000000005</v>
      </c>
      <c r="E91" s="184">
        <f t="shared" ref="E91" si="451">D91/(D$5+D$6+D$7+D$8+D$10+D$9)</f>
        <v>6.2558953720432808E-3</v>
      </c>
      <c r="F91" s="62">
        <v>23000</v>
      </c>
      <c r="G91" s="190">
        <f t="shared" si="433"/>
        <v>23000</v>
      </c>
      <c r="H91" s="197">
        <f t="shared" si="445"/>
        <v>5.2536544306009385E-3</v>
      </c>
      <c r="I91" s="62">
        <v>4000</v>
      </c>
      <c r="J91" s="62">
        <v>30000</v>
      </c>
      <c r="K91" s="62">
        <v>0</v>
      </c>
      <c r="L91" s="62">
        <v>0</v>
      </c>
      <c r="M91" s="62">
        <v>50000</v>
      </c>
      <c r="N91" s="62">
        <v>90000</v>
      </c>
      <c r="O91" s="62">
        <v>0</v>
      </c>
      <c r="P91" s="62">
        <v>53000</v>
      </c>
      <c r="Q91" s="62">
        <v>22000</v>
      </c>
      <c r="R91" s="62">
        <v>0</v>
      </c>
      <c r="S91" s="62">
        <v>0</v>
      </c>
      <c r="T91" s="62">
        <v>0</v>
      </c>
      <c r="U91" s="190">
        <f t="shared" si="423"/>
        <v>249000</v>
      </c>
      <c r="V91" s="197">
        <f t="shared" si="446"/>
        <v>4.4881040638845024E-3</v>
      </c>
      <c r="W91" s="62">
        <v>20000</v>
      </c>
      <c r="X91" s="62">
        <v>28000</v>
      </c>
      <c r="Y91" s="62">
        <v>0</v>
      </c>
      <c r="Z91" s="62">
        <v>0</v>
      </c>
      <c r="AA91" s="62">
        <v>75000</v>
      </c>
      <c r="AB91" s="62">
        <v>7000</v>
      </c>
      <c r="AC91" s="62">
        <v>0</v>
      </c>
      <c r="AD91" s="62">
        <v>12000</v>
      </c>
      <c r="AE91" s="62">
        <v>33000</v>
      </c>
      <c r="AF91" s="62">
        <v>0</v>
      </c>
      <c r="AG91" s="62">
        <v>0</v>
      </c>
      <c r="AH91" s="62">
        <f>40000+600000+16000</f>
        <v>656000</v>
      </c>
      <c r="AI91" s="190">
        <f t="shared" si="424"/>
        <v>831000</v>
      </c>
      <c r="AJ91" s="197">
        <f t="shared" si="447"/>
        <v>1.1294029079230019E-2</v>
      </c>
      <c r="AK91" s="62">
        <f>8000</f>
        <v>8000</v>
      </c>
      <c r="AL91" s="62">
        <v>30000</v>
      </c>
      <c r="AM91" s="62">
        <f>15000+39580+20000</f>
        <v>74580</v>
      </c>
      <c r="AN91" s="62">
        <v>20000</v>
      </c>
      <c r="AO91" s="62">
        <f>36000</f>
        <v>36000</v>
      </c>
      <c r="AP91" s="62">
        <v>0</v>
      </c>
      <c r="AQ91" s="62">
        <v>15000</v>
      </c>
      <c r="AR91" s="62">
        <v>0</v>
      </c>
      <c r="AS91" s="62">
        <f>10000</f>
        <v>10000</v>
      </c>
      <c r="AT91" s="62">
        <f>26000+35168</f>
        <v>61168</v>
      </c>
      <c r="AU91" s="62">
        <v>51900</v>
      </c>
      <c r="AV91" s="62">
        <v>0</v>
      </c>
      <c r="AW91" s="190">
        <f t="shared" si="425"/>
        <v>306648</v>
      </c>
      <c r="AX91" s="197">
        <f t="shared" si="448"/>
        <v>4.0196448330605643E-3</v>
      </c>
      <c r="AY91" s="62">
        <f>41755+50600</f>
        <v>92355</v>
      </c>
      <c r="AZ91" s="62">
        <v>0</v>
      </c>
      <c r="BA91" s="62">
        <f>56764</f>
        <v>56764</v>
      </c>
      <c r="BB91" s="62">
        <f>10000</f>
        <v>10000</v>
      </c>
      <c r="BC91" s="62">
        <f>38100</f>
        <v>38100</v>
      </c>
      <c r="BD91" s="62">
        <f>27175</f>
        <v>27175</v>
      </c>
      <c r="BE91" s="62">
        <v>0</v>
      </c>
      <c r="BF91" s="62">
        <v>0</v>
      </c>
      <c r="BG91" s="62">
        <f>43000</f>
        <v>43000</v>
      </c>
      <c r="BH91" s="62">
        <f>38800</f>
        <v>38800</v>
      </c>
      <c r="BI91" s="62">
        <f>37600</f>
        <v>37600</v>
      </c>
      <c r="BJ91" s="62">
        <f>38000</f>
        <v>38000</v>
      </c>
      <c r="BK91" s="190">
        <f t="shared" si="426"/>
        <v>381794</v>
      </c>
      <c r="BL91" s="197">
        <f t="shared" si="449"/>
        <v>5.4667718571431313E-3</v>
      </c>
      <c r="BM91" s="62">
        <v>0</v>
      </c>
      <c r="BN91" s="62">
        <f>66300+56300</f>
        <v>122600</v>
      </c>
      <c r="BO91" s="62">
        <f>38900</f>
        <v>38900</v>
      </c>
      <c r="BP91" s="62">
        <f>43000</f>
        <v>43000</v>
      </c>
      <c r="BQ91" s="62">
        <f>26000</f>
        <v>26000</v>
      </c>
      <c r="BR91" s="62">
        <v>0</v>
      </c>
      <c r="BS91" s="62">
        <v>0</v>
      </c>
      <c r="BT91" s="62">
        <v>0</v>
      </c>
      <c r="BU91" s="62">
        <v>0</v>
      </c>
      <c r="BV91" s="62">
        <v>0</v>
      </c>
      <c r="BW91" s="62">
        <v>0</v>
      </c>
      <c r="BX91" s="62">
        <v>0</v>
      </c>
      <c r="BY91" s="190">
        <f t="shared" si="427"/>
        <v>230500</v>
      </c>
      <c r="BZ91" s="197">
        <f t="shared" si="450"/>
        <v>5.2815017520608737E-3</v>
      </c>
      <c r="CA91" s="62">
        <v>0</v>
      </c>
      <c r="CB91" s="62">
        <v>0</v>
      </c>
      <c r="CC91" s="62">
        <v>0</v>
      </c>
      <c r="CD91" s="62">
        <v>0</v>
      </c>
      <c r="CE91" s="62">
        <v>0</v>
      </c>
      <c r="CF91" s="62">
        <v>0</v>
      </c>
      <c r="CG91" s="62">
        <v>0</v>
      </c>
      <c r="CH91" s="62">
        <v>0</v>
      </c>
      <c r="CI91" s="62">
        <v>0</v>
      </c>
      <c r="CJ91" s="62">
        <v>0</v>
      </c>
      <c r="CK91" s="62">
        <v>0</v>
      </c>
      <c r="CL91" s="62">
        <v>0</v>
      </c>
      <c r="CM91" s="190">
        <f t="shared" si="428"/>
        <v>0</v>
      </c>
      <c r="CN91" s="62">
        <v>0</v>
      </c>
      <c r="CO91" s="62">
        <v>0</v>
      </c>
      <c r="CP91" s="62">
        <v>0</v>
      </c>
      <c r="CQ91" s="62">
        <v>0</v>
      </c>
      <c r="CR91" s="62">
        <v>0</v>
      </c>
      <c r="CS91" s="62">
        <v>0</v>
      </c>
      <c r="CT91" s="62">
        <v>0</v>
      </c>
      <c r="CU91" s="62">
        <v>0</v>
      </c>
      <c r="CV91" s="62">
        <v>0</v>
      </c>
      <c r="CW91" s="62">
        <v>0</v>
      </c>
      <c r="CX91" s="62">
        <v>0</v>
      </c>
      <c r="CY91" s="62">
        <v>0</v>
      </c>
      <c r="CZ91" s="190">
        <f t="shared" si="429"/>
        <v>0</v>
      </c>
      <c r="DA91" s="62">
        <v>0</v>
      </c>
      <c r="DB91" s="62">
        <v>0</v>
      </c>
      <c r="DC91" s="62">
        <v>0</v>
      </c>
      <c r="DD91" s="62">
        <v>0</v>
      </c>
      <c r="DE91" s="62">
        <v>0</v>
      </c>
      <c r="DF91" s="62">
        <v>0</v>
      </c>
      <c r="DG91" s="62">
        <v>0</v>
      </c>
      <c r="DH91" s="62">
        <v>0</v>
      </c>
      <c r="DI91" s="62">
        <v>0</v>
      </c>
      <c r="DJ91" s="62">
        <v>0</v>
      </c>
      <c r="DK91" s="62">
        <v>0</v>
      </c>
      <c r="DL91" s="62">
        <v>0</v>
      </c>
      <c r="DM91" s="190">
        <f t="shared" si="430"/>
        <v>0</v>
      </c>
      <c r="DN91" s="62">
        <v>0</v>
      </c>
      <c r="DO91" s="62">
        <v>0</v>
      </c>
      <c r="DP91" s="62">
        <v>0</v>
      </c>
      <c r="DQ91" s="62">
        <v>0</v>
      </c>
      <c r="DR91" s="62">
        <v>0</v>
      </c>
      <c r="DS91" s="62">
        <v>0</v>
      </c>
      <c r="DT91" s="62">
        <v>0</v>
      </c>
      <c r="DU91" s="62">
        <v>0</v>
      </c>
      <c r="DV91" s="62">
        <v>0</v>
      </c>
      <c r="DW91" s="62">
        <v>0</v>
      </c>
      <c r="DX91" s="62">
        <v>0</v>
      </c>
      <c r="DY91" s="62">
        <v>0</v>
      </c>
      <c r="DZ91" s="190">
        <f t="shared" si="431"/>
        <v>0</v>
      </c>
    </row>
    <row r="92" spans="1:130" s="194" customFormat="1" ht="20.45" customHeight="1" outlineLevel="1">
      <c r="A92" s="525"/>
      <c r="B92" s="527" t="s">
        <v>353</v>
      </c>
      <c r="C92" s="65" t="s">
        <v>307</v>
      </c>
      <c r="D92" s="66">
        <f t="shared" si="345"/>
        <v>4260759.9999999981</v>
      </c>
      <c r="E92" s="187">
        <f>SUM(E93:E94)</f>
        <v>1.318280582004188E-2</v>
      </c>
      <c r="F92" s="62">
        <f>SUM(F93:F94)</f>
        <v>11100</v>
      </c>
      <c r="G92" s="190">
        <f t="shared" si="433"/>
        <v>11100</v>
      </c>
      <c r="H92" s="196">
        <f t="shared" ref="H92:T92" si="452">SUM(H93:H94)</f>
        <v>2.5354593121595832E-3</v>
      </c>
      <c r="I92" s="62">
        <f t="shared" si="452"/>
        <v>0</v>
      </c>
      <c r="J92" s="62">
        <f t="shared" si="452"/>
        <v>0</v>
      </c>
      <c r="K92" s="62">
        <f t="shared" si="452"/>
        <v>25000</v>
      </c>
      <c r="L92" s="62">
        <f t="shared" si="452"/>
        <v>8500</v>
      </c>
      <c r="M92" s="62">
        <f t="shared" si="452"/>
        <v>0</v>
      </c>
      <c r="N92" s="62">
        <f t="shared" si="452"/>
        <v>0</v>
      </c>
      <c r="O92" s="62">
        <f t="shared" si="452"/>
        <v>221400</v>
      </c>
      <c r="P92" s="62">
        <f t="shared" si="452"/>
        <v>0</v>
      </c>
      <c r="Q92" s="62">
        <f t="shared" si="452"/>
        <v>5500</v>
      </c>
      <c r="R92" s="62">
        <f t="shared" si="452"/>
        <v>220000</v>
      </c>
      <c r="S92" s="62">
        <f t="shared" si="452"/>
        <v>5800</v>
      </c>
      <c r="T92" s="62">
        <f t="shared" si="452"/>
        <v>12200</v>
      </c>
      <c r="U92" s="190">
        <f t="shared" si="423"/>
        <v>498400</v>
      </c>
      <c r="V92" s="196">
        <f t="shared" ref="V92" si="453">SUM(V93:V94)</f>
        <v>8.9834179334941193E-3</v>
      </c>
      <c r="W92" s="62">
        <f t="shared" ref="W92:AH92" si="454">SUM(W93:W94)</f>
        <v>10600</v>
      </c>
      <c r="X92" s="62">
        <f t="shared" si="454"/>
        <v>7200</v>
      </c>
      <c r="Y92" s="62">
        <f t="shared" si="454"/>
        <v>0</v>
      </c>
      <c r="Z92" s="62">
        <f t="shared" si="454"/>
        <v>0</v>
      </c>
      <c r="AA92" s="62">
        <f t="shared" si="454"/>
        <v>4000</v>
      </c>
      <c r="AB92" s="62">
        <f t="shared" si="454"/>
        <v>58300</v>
      </c>
      <c r="AC92" s="62">
        <f t="shared" si="454"/>
        <v>46100</v>
      </c>
      <c r="AD92" s="62">
        <f t="shared" si="454"/>
        <v>7000</v>
      </c>
      <c r="AE92" s="62">
        <f t="shared" si="454"/>
        <v>59400</v>
      </c>
      <c r="AF92" s="62">
        <f t="shared" si="454"/>
        <v>0</v>
      </c>
      <c r="AG92" s="62">
        <f t="shared" si="454"/>
        <v>7500</v>
      </c>
      <c r="AH92" s="62">
        <f t="shared" si="454"/>
        <v>30100</v>
      </c>
      <c r="AI92" s="190">
        <f t="shared" si="424"/>
        <v>230200</v>
      </c>
      <c r="AJ92" s="196">
        <f t="shared" ref="AJ92" si="455">SUM(AJ93:AJ94)</f>
        <v>3.1286227365087248E-3</v>
      </c>
      <c r="AK92" s="62">
        <f t="shared" ref="AK92:AV92" si="456">SUM(AK93:AK94)</f>
        <v>5000</v>
      </c>
      <c r="AL92" s="62">
        <f t="shared" si="456"/>
        <v>6500</v>
      </c>
      <c r="AM92" s="62">
        <f t="shared" si="456"/>
        <v>35100</v>
      </c>
      <c r="AN92" s="62">
        <f t="shared" si="456"/>
        <v>414300</v>
      </c>
      <c r="AO92" s="62">
        <f t="shared" si="456"/>
        <v>152000</v>
      </c>
      <c r="AP92" s="62">
        <f t="shared" si="456"/>
        <v>68500</v>
      </c>
      <c r="AQ92" s="62">
        <f t="shared" si="456"/>
        <v>51300</v>
      </c>
      <c r="AR92" s="62">
        <f t="shared" si="456"/>
        <v>100000</v>
      </c>
      <c r="AS92" s="62">
        <f t="shared" si="456"/>
        <v>31730</v>
      </c>
      <c r="AT92" s="62">
        <f t="shared" si="456"/>
        <v>316090</v>
      </c>
      <c r="AU92" s="62">
        <f t="shared" si="456"/>
        <v>124800</v>
      </c>
      <c r="AV92" s="62">
        <f t="shared" si="456"/>
        <v>122900</v>
      </c>
      <c r="AW92" s="190">
        <f t="shared" si="425"/>
        <v>1428220</v>
      </c>
      <c r="AX92" s="196">
        <f t="shared" ref="AX92" si="457">SUM(AX93:AX94)</f>
        <v>1.8721586781827237E-2</v>
      </c>
      <c r="AY92" s="62">
        <f t="shared" ref="AY92:BJ92" si="458">SUM(AY93:AY94)</f>
        <v>0</v>
      </c>
      <c r="AZ92" s="62">
        <f t="shared" si="458"/>
        <v>154900</v>
      </c>
      <c r="BA92" s="62">
        <f t="shared" si="458"/>
        <v>77900</v>
      </c>
      <c r="BB92" s="62">
        <f t="shared" si="458"/>
        <v>0</v>
      </c>
      <c r="BC92" s="62">
        <f t="shared" si="458"/>
        <v>65500</v>
      </c>
      <c r="BD92" s="62">
        <f t="shared" si="458"/>
        <v>2700</v>
      </c>
      <c r="BE92" s="62">
        <f t="shared" si="458"/>
        <v>536880</v>
      </c>
      <c r="BF92" s="62">
        <f t="shared" si="458"/>
        <v>34800</v>
      </c>
      <c r="BG92" s="62">
        <f t="shared" si="458"/>
        <v>648380</v>
      </c>
      <c r="BH92" s="62">
        <f t="shared" si="458"/>
        <v>55200</v>
      </c>
      <c r="BI92" s="62">
        <f t="shared" si="458"/>
        <v>0</v>
      </c>
      <c r="BJ92" s="62">
        <f t="shared" si="458"/>
        <v>255280</v>
      </c>
      <c r="BK92" s="190">
        <f t="shared" si="426"/>
        <v>1831540</v>
      </c>
      <c r="BL92" s="196">
        <f t="shared" ref="BL92" si="459">SUM(BL93:BL94)</f>
        <v>2.6225166784265678E-2</v>
      </c>
      <c r="BM92" s="62">
        <f t="shared" ref="BM92:BX92" si="460">SUM(BM93:BM94)</f>
        <v>228800</v>
      </c>
      <c r="BN92" s="62">
        <f t="shared" si="460"/>
        <v>14700</v>
      </c>
      <c r="BO92" s="62">
        <f t="shared" si="460"/>
        <v>0</v>
      </c>
      <c r="BP92" s="62">
        <f t="shared" si="460"/>
        <v>10800</v>
      </c>
      <c r="BQ92" s="62">
        <f t="shared" si="460"/>
        <v>7000</v>
      </c>
      <c r="BR92" s="62">
        <f t="shared" si="460"/>
        <v>0</v>
      </c>
      <c r="BS92" s="62">
        <f t="shared" si="460"/>
        <v>0</v>
      </c>
      <c r="BT92" s="62">
        <f t="shared" si="460"/>
        <v>0</v>
      </c>
      <c r="BU92" s="62">
        <f t="shared" si="460"/>
        <v>0</v>
      </c>
      <c r="BV92" s="62">
        <f t="shared" si="460"/>
        <v>0</v>
      </c>
      <c r="BW92" s="62">
        <f t="shared" si="460"/>
        <v>0</v>
      </c>
      <c r="BX92" s="62">
        <f t="shared" si="460"/>
        <v>0</v>
      </c>
      <c r="BY92" s="190">
        <f t="shared" si="427"/>
        <v>261300</v>
      </c>
      <c r="BZ92" s="196">
        <f t="shared" ref="BZ92" si="461">SUM(BZ93:BZ94)</f>
        <v>5.9872295349826738E-3</v>
      </c>
      <c r="CA92" s="62">
        <f t="shared" ref="CA92:CL92" si="462">SUM(CA93:CA94)</f>
        <v>0</v>
      </c>
      <c r="CB92" s="62">
        <f t="shared" si="462"/>
        <v>0</v>
      </c>
      <c r="CC92" s="62">
        <f t="shared" si="462"/>
        <v>0</v>
      </c>
      <c r="CD92" s="62">
        <f t="shared" si="462"/>
        <v>0</v>
      </c>
      <c r="CE92" s="62">
        <f t="shared" si="462"/>
        <v>0</v>
      </c>
      <c r="CF92" s="62">
        <f t="shared" si="462"/>
        <v>0</v>
      </c>
      <c r="CG92" s="62">
        <f t="shared" si="462"/>
        <v>0</v>
      </c>
      <c r="CH92" s="62">
        <f t="shared" si="462"/>
        <v>0</v>
      </c>
      <c r="CI92" s="62">
        <f t="shared" si="462"/>
        <v>0</v>
      </c>
      <c r="CJ92" s="62">
        <f t="shared" si="462"/>
        <v>0</v>
      </c>
      <c r="CK92" s="62">
        <f t="shared" si="462"/>
        <v>0</v>
      </c>
      <c r="CL92" s="62">
        <f t="shared" si="462"/>
        <v>0</v>
      </c>
      <c r="CM92" s="190">
        <f t="shared" si="428"/>
        <v>0</v>
      </c>
      <c r="CN92" s="62">
        <f t="shared" ref="CN92:CY92" si="463">SUM(CN93:CN94)</f>
        <v>0</v>
      </c>
      <c r="CO92" s="62">
        <f t="shared" si="463"/>
        <v>0</v>
      </c>
      <c r="CP92" s="62">
        <f t="shared" si="463"/>
        <v>0</v>
      </c>
      <c r="CQ92" s="62">
        <f t="shared" si="463"/>
        <v>0</v>
      </c>
      <c r="CR92" s="62">
        <f t="shared" si="463"/>
        <v>0</v>
      </c>
      <c r="CS92" s="62">
        <f t="shared" si="463"/>
        <v>0</v>
      </c>
      <c r="CT92" s="62">
        <f t="shared" si="463"/>
        <v>0</v>
      </c>
      <c r="CU92" s="62">
        <f t="shared" si="463"/>
        <v>0</v>
      </c>
      <c r="CV92" s="62">
        <f t="shared" si="463"/>
        <v>0</v>
      </c>
      <c r="CW92" s="62">
        <f t="shared" si="463"/>
        <v>0</v>
      </c>
      <c r="CX92" s="62">
        <f t="shared" si="463"/>
        <v>0</v>
      </c>
      <c r="CY92" s="62">
        <f t="shared" si="463"/>
        <v>0</v>
      </c>
      <c r="CZ92" s="190">
        <f t="shared" si="429"/>
        <v>0</v>
      </c>
      <c r="DA92" s="62">
        <f t="shared" ref="DA92:DL92" si="464">SUM(DA93:DA94)</f>
        <v>0</v>
      </c>
      <c r="DB92" s="62">
        <f t="shared" si="464"/>
        <v>0</v>
      </c>
      <c r="DC92" s="62">
        <f t="shared" si="464"/>
        <v>0</v>
      </c>
      <c r="DD92" s="62">
        <f t="shared" si="464"/>
        <v>0</v>
      </c>
      <c r="DE92" s="62">
        <f t="shared" si="464"/>
        <v>0</v>
      </c>
      <c r="DF92" s="62">
        <f t="shared" si="464"/>
        <v>0</v>
      </c>
      <c r="DG92" s="62">
        <f t="shared" si="464"/>
        <v>0</v>
      </c>
      <c r="DH92" s="62">
        <f t="shared" si="464"/>
        <v>0</v>
      </c>
      <c r="DI92" s="62">
        <f t="shared" si="464"/>
        <v>0</v>
      </c>
      <c r="DJ92" s="62">
        <f t="shared" si="464"/>
        <v>0</v>
      </c>
      <c r="DK92" s="62">
        <f t="shared" si="464"/>
        <v>0</v>
      </c>
      <c r="DL92" s="62">
        <f t="shared" si="464"/>
        <v>0</v>
      </c>
      <c r="DM92" s="190">
        <f t="shared" si="430"/>
        <v>0</v>
      </c>
      <c r="DN92" s="62">
        <f t="shared" ref="DN92:DY92" si="465">SUM(DN93:DN94)</f>
        <v>0</v>
      </c>
      <c r="DO92" s="62">
        <f t="shared" si="465"/>
        <v>0</v>
      </c>
      <c r="DP92" s="62">
        <f t="shared" si="465"/>
        <v>0</v>
      </c>
      <c r="DQ92" s="62">
        <f t="shared" si="465"/>
        <v>0</v>
      </c>
      <c r="DR92" s="62">
        <f t="shared" si="465"/>
        <v>0</v>
      </c>
      <c r="DS92" s="62">
        <f t="shared" si="465"/>
        <v>0</v>
      </c>
      <c r="DT92" s="62">
        <f t="shared" si="465"/>
        <v>0</v>
      </c>
      <c r="DU92" s="62">
        <f t="shared" si="465"/>
        <v>0</v>
      </c>
      <c r="DV92" s="62">
        <f t="shared" si="465"/>
        <v>0</v>
      </c>
      <c r="DW92" s="62">
        <f t="shared" si="465"/>
        <v>0</v>
      </c>
      <c r="DX92" s="62">
        <f t="shared" si="465"/>
        <v>0</v>
      </c>
      <c r="DY92" s="62">
        <f t="shared" si="465"/>
        <v>0</v>
      </c>
      <c r="DZ92" s="190">
        <f t="shared" si="431"/>
        <v>0</v>
      </c>
    </row>
    <row r="93" spans="1:130" ht="20.45" customHeight="1" outlineLevel="2">
      <c r="A93" s="525"/>
      <c r="B93" s="528"/>
      <c r="C93" s="30" t="s">
        <v>354</v>
      </c>
      <c r="D93" s="62">
        <f t="shared" si="345"/>
        <v>350000.00000000006</v>
      </c>
      <c r="E93" s="184">
        <f t="shared" ref="E93:E94" si="466">D93/(D$5+D$6+D$7+D$8+D$10+D$9)</f>
        <v>1.0829011812481012E-3</v>
      </c>
      <c r="F93" s="62">
        <v>0</v>
      </c>
      <c r="G93" s="190">
        <f t="shared" si="433"/>
        <v>0</v>
      </c>
      <c r="H93" s="197">
        <f t="shared" ref="H93:H94" si="467">G93/(G$5+G$6+G$7+G$8+G$10+G$9)</f>
        <v>0</v>
      </c>
      <c r="I93" s="62">
        <v>0</v>
      </c>
      <c r="J93" s="62">
        <v>0</v>
      </c>
      <c r="K93" s="62">
        <v>0</v>
      </c>
      <c r="L93" s="62">
        <v>0</v>
      </c>
      <c r="M93" s="62">
        <v>0</v>
      </c>
      <c r="N93" s="62">
        <v>0</v>
      </c>
      <c r="O93" s="62">
        <v>0</v>
      </c>
      <c r="P93" s="62">
        <v>0</v>
      </c>
      <c r="Q93" s="62">
        <v>0</v>
      </c>
      <c r="R93" s="62">
        <v>220000</v>
      </c>
      <c r="S93" s="62">
        <v>0</v>
      </c>
      <c r="T93" s="62">
        <v>0</v>
      </c>
      <c r="U93" s="190">
        <f t="shared" si="423"/>
        <v>220000</v>
      </c>
      <c r="V93" s="197">
        <f t="shared" ref="V93:V94" si="468">U93/(U$5+U$6+U$7+U$8+U$10+U$9)</f>
        <v>3.9653931488136162E-3</v>
      </c>
      <c r="W93" s="62">
        <v>0</v>
      </c>
      <c r="X93" s="62">
        <v>0</v>
      </c>
      <c r="Y93" s="62">
        <v>0</v>
      </c>
      <c r="Z93" s="62">
        <v>0</v>
      </c>
      <c r="AA93" s="62">
        <v>0</v>
      </c>
      <c r="AB93" s="62">
        <v>0</v>
      </c>
      <c r="AC93" s="62">
        <v>0</v>
      </c>
      <c r="AD93" s="62">
        <v>0</v>
      </c>
      <c r="AE93" s="62">
        <v>0</v>
      </c>
      <c r="AF93" s="62">
        <v>0</v>
      </c>
      <c r="AG93" s="62">
        <v>0</v>
      </c>
      <c r="AH93" s="62">
        <v>0</v>
      </c>
      <c r="AI93" s="190">
        <f t="shared" si="424"/>
        <v>0</v>
      </c>
      <c r="AJ93" s="197">
        <f t="shared" ref="AJ93:AJ94" si="469">AI93/(AI$5+AI$6+AI$7+AI$8+AI$10+AI$9)</f>
        <v>0</v>
      </c>
      <c r="AK93" s="62">
        <v>0</v>
      </c>
      <c r="AL93" s="62">
        <v>0</v>
      </c>
      <c r="AM93" s="62">
        <v>0</v>
      </c>
      <c r="AN93" s="62">
        <v>0</v>
      </c>
      <c r="AO93" s="62">
        <f>130000</f>
        <v>130000</v>
      </c>
      <c r="AP93" s="62">
        <v>0</v>
      </c>
      <c r="AQ93" s="62">
        <v>0</v>
      </c>
      <c r="AR93" s="62">
        <v>0</v>
      </c>
      <c r="AS93" s="62">
        <v>0</v>
      </c>
      <c r="AT93" s="62">
        <v>0</v>
      </c>
      <c r="AU93" s="62">
        <v>0</v>
      </c>
      <c r="AV93" s="62">
        <v>0</v>
      </c>
      <c r="AW93" s="190">
        <f t="shared" si="425"/>
        <v>130000</v>
      </c>
      <c r="AX93" s="197">
        <f t="shared" ref="AX93:AX94" si="470">AW93/(AW$5+AW$6+AW$7+AW$8+AW$10+AW$9)</f>
        <v>1.7040836017122999E-3</v>
      </c>
      <c r="AY93" s="62">
        <v>0</v>
      </c>
      <c r="AZ93" s="62">
        <v>0</v>
      </c>
      <c r="BA93" s="62">
        <v>0</v>
      </c>
      <c r="BB93" s="62">
        <v>0</v>
      </c>
      <c r="BC93" s="62">
        <v>0</v>
      </c>
      <c r="BD93" s="62">
        <v>0</v>
      </c>
      <c r="BE93" s="62">
        <v>0</v>
      </c>
      <c r="BF93" s="62">
        <v>0</v>
      </c>
      <c r="BG93" s="62">
        <v>0</v>
      </c>
      <c r="BH93" s="62">
        <v>0</v>
      </c>
      <c r="BI93" s="62">
        <v>0</v>
      </c>
      <c r="BJ93" s="62">
        <v>0</v>
      </c>
      <c r="BK93" s="190">
        <f t="shared" si="426"/>
        <v>0</v>
      </c>
      <c r="BL93" s="197">
        <f t="shared" ref="BL93:BL94" si="471">BK93/(BK$5+BK$6+BK$7+BK$8+BK$10+BK$9)</f>
        <v>0</v>
      </c>
      <c r="BM93" s="62">
        <v>0</v>
      </c>
      <c r="BN93" s="62">
        <v>0</v>
      </c>
      <c r="BO93" s="62">
        <v>0</v>
      </c>
      <c r="BP93" s="62">
        <v>0</v>
      </c>
      <c r="BQ93" s="62">
        <v>0</v>
      </c>
      <c r="BR93" s="62">
        <v>0</v>
      </c>
      <c r="BS93" s="62">
        <v>0</v>
      </c>
      <c r="BT93" s="62">
        <v>0</v>
      </c>
      <c r="BU93" s="62">
        <v>0</v>
      </c>
      <c r="BV93" s="62">
        <v>0</v>
      </c>
      <c r="BW93" s="62">
        <v>0</v>
      </c>
      <c r="BX93" s="62">
        <v>0</v>
      </c>
      <c r="BY93" s="190">
        <f t="shared" si="427"/>
        <v>0</v>
      </c>
      <c r="BZ93" s="197">
        <f t="shared" ref="BZ93:BZ94" si="472">BY93/(BY$5+BY$6+BY$7+BY$8+BY$10+BY$9)</f>
        <v>0</v>
      </c>
      <c r="CA93" s="62">
        <v>0</v>
      </c>
      <c r="CB93" s="62">
        <v>0</v>
      </c>
      <c r="CC93" s="62">
        <v>0</v>
      </c>
      <c r="CD93" s="62">
        <v>0</v>
      </c>
      <c r="CE93" s="62">
        <v>0</v>
      </c>
      <c r="CF93" s="62">
        <v>0</v>
      </c>
      <c r="CG93" s="62">
        <v>0</v>
      </c>
      <c r="CH93" s="62">
        <v>0</v>
      </c>
      <c r="CI93" s="62">
        <v>0</v>
      </c>
      <c r="CJ93" s="62">
        <v>0</v>
      </c>
      <c r="CK93" s="62">
        <v>0</v>
      </c>
      <c r="CL93" s="62">
        <v>0</v>
      </c>
      <c r="CM93" s="190">
        <f t="shared" si="428"/>
        <v>0</v>
      </c>
      <c r="CN93" s="62">
        <v>0</v>
      </c>
      <c r="CO93" s="62">
        <v>0</v>
      </c>
      <c r="CP93" s="62">
        <v>0</v>
      </c>
      <c r="CQ93" s="62">
        <v>0</v>
      </c>
      <c r="CR93" s="62">
        <v>0</v>
      </c>
      <c r="CS93" s="62">
        <v>0</v>
      </c>
      <c r="CT93" s="62">
        <v>0</v>
      </c>
      <c r="CU93" s="62">
        <v>0</v>
      </c>
      <c r="CV93" s="62">
        <v>0</v>
      </c>
      <c r="CW93" s="62">
        <v>0</v>
      </c>
      <c r="CX93" s="62">
        <v>0</v>
      </c>
      <c r="CY93" s="62">
        <v>0</v>
      </c>
      <c r="CZ93" s="190">
        <f t="shared" si="429"/>
        <v>0</v>
      </c>
      <c r="DA93" s="62">
        <v>0</v>
      </c>
      <c r="DB93" s="62">
        <v>0</v>
      </c>
      <c r="DC93" s="62">
        <v>0</v>
      </c>
      <c r="DD93" s="62">
        <v>0</v>
      </c>
      <c r="DE93" s="62">
        <v>0</v>
      </c>
      <c r="DF93" s="62">
        <v>0</v>
      </c>
      <c r="DG93" s="62">
        <v>0</v>
      </c>
      <c r="DH93" s="62">
        <v>0</v>
      </c>
      <c r="DI93" s="62">
        <v>0</v>
      </c>
      <c r="DJ93" s="62">
        <v>0</v>
      </c>
      <c r="DK93" s="62">
        <v>0</v>
      </c>
      <c r="DL93" s="62">
        <v>0</v>
      </c>
      <c r="DM93" s="190">
        <f t="shared" si="430"/>
        <v>0</v>
      </c>
      <c r="DN93" s="62">
        <v>0</v>
      </c>
      <c r="DO93" s="62">
        <v>0</v>
      </c>
      <c r="DP93" s="62">
        <v>0</v>
      </c>
      <c r="DQ93" s="62">
        <v>0</v>
      </c>
      <c r="DR93" s="62">
        <v>0</v>
      </c>
      <c r="DS93" s="62">
        <v>0</v>
      </c>
      <c r="DT93" s="62">
        <v>0</v>
      </c>
      <c r="DU93" s="62">
        <v>0</v>
      </c>
      <c r="DV93" s="62">
        <v>0</v>
      </c>
      <c r="DW93" s="62">
        <v>0</v>
      </c>
      <c r="DX93" s="62">
        <v>0</v>
      </c>
      <c r="DY93" s="62">
        <v>0</v>
      </c>
      <c r="DZ93" s="190">
        <f t="shared" si="431"/>
        <v>0</v>
      </c>
    </row>
    <row r="94" spans="1:130" ht="20.45" customHeight="1" outlineLevel="2">
      <c r="A94" s="525"/>
      <c r="B94" s="531"/>
      <c r="C94" s="30" t="s">
        <v>2440</v>
      </c>
      <c r="D94" s="62">
        <f t="shared" si="345"/>
        <v>3910760</v>
      </c>
      <c r="E94" s="184">
        <f t="shared" si="466"/>
        <v>1.209990463879378E-2</v>
      </c>
      <c r="F94" s="62">
        <v>11100</v>
      </c>
      <c r="G94" s="190">
        <f t="shared" si="433"/>
        <v>11100</v>
      </c>
      <c r="H94" s="197">
        <f t="shared" si="467"/>
        <v>2.5354593121595832E-3</v>
      </c>
      <c r="I94" s="62">
        <v>0</v>
      </c>
      <c r="J94" s="62">
        <v>0</v>
      </c>
      <c r="K94" s="62">
        <v>25000</v>
      </c>
      <c r="L94" s="62">
        <v>8500</v>
      </c>
      <c r="M94" s="62">
        <v>0</v>
      </c>
      <c r="N94" s="62">
        <v>0</v>
      </c>
      <c r="O94" s="62">
        <v>221400</v>
      </c>
      <c r="P94" s="62">
        <v>0</v>
      </c>
      <c r="Q94" s="62">
        <v>5500</v>
      </c>
      <c r="R94" s="62">
        <v>0</v>
      </c>
      <c r="S94" s="62">
        <v>5800</v>
      </c>
      <c r="T94" s="62">
        <v>12200</v>
      </c>
      <c r="U94" s="190">
        <f t="shared" si="423"/>
        <v>278400</v>
      </c>
      <c r="V94" s="197">
        <f t="shared" si="468"/>
        <v>5.018024784680504E-3</v>
      </c>
      <c r="W94" s="62">
        <v>10600</v>
      </c>
      <c r="X94" s="62">
        <v>7200</v>
      </c>
      <c r="Y94" s="62">
        <v>0</v>
      </c>
      <c r="Z94" s="62">
        <v>0</v>
      </c>
      <c r="AA94" s="62">
        <v>4000</v>
      </c>
      <c r="AB94" s="62">
        <f>138300-80000</f>
        <v>58300</v>
      </c>
      <c r="AC94" s="62">
        <v>46100</v>
      </c>
      <c r="AD94" s="62">
        <v>7000</v>
      </c>
      <c r="AE94" s="62">
        <f>11100+33300+15000</f>
        <v>59400</v>
      </c>
      <c r="AF94" s="62">
        <v>0</v>
      </c>
      <c r="AG94" s="62">
        <v>7500</v>
      </c>
      <c r="AH94" s="62">
        <f>5900+24200</f>
        <v>30100</v>
      </c>
      <c r="AI94" s="190">
        <f t="shared" si="424"/>
        <v>230200</v>
      </c>
      <c r="AJ94" s="197">
        <f t="shared" si="469"/>
        <v>3.1286227365087248E-3</v>
      </c>
      <c r="AK94" s="62">
        <f>5000</f>
        <v>5000</v>
      </c>
      <c r="AL94" s="62">
        <f>6500</f>
        <v>6500</v>
      </c>
      <c r="AM94" s="62">
        <f>35100</f>
        <v>35100</v>
      </c>
      <c r="AN94" s="62">
        <f>95700+86000+86000+15600+15900+29100+86000</f>
        <v>414300</v>
      </c>
      <c r="AO94" s="62">
        <f>5200+16800</f>
        <v>22000</v>
      </c>
      <c r="AP94" s="62">
        <f>35500+33000</f>
        <v>68500</v>
      </c>
      <c r="AQ94" s="62">
        <v>51300</v>
      </c>
      <c r="AR94" s="62">
        <v>100000</v>
      </c>
      <c r="AS94" s="62">
        <f>6400+7000+6900+11430</f>
        <v>31730</v>
      </c>
      <c r="AT94" s="62">
        <f>33900+93600+4000+5300+4900+3900+170490</f>
        <v>316090</v>
      </c>
      <c r="AU94" s="62">
        <f>20600+98300+5900</f>
        <v>124800</v>
      </c>
      <c r="AV94" s="62">
        <f>5500+6900+43400+2900+64200</f>
        <v>122900</v>
      </c>
      <c r="AW94" s="190">
        <f t="shared" si="425"/>
        <v>1298220</v>
      </c>
      <c r="AX94" s="197">
        <f t="shared" si="470"/>
        <v>1.7017503180114937E-2</v>
      </c>
      <c r="AY94" s="62">
        <v>0</v>
      </c>
      <c r="AZ94" s="62">
        <f>20000+150000+11000+20000-100000+20000+33900</f>
        <v>154900</v>
      </c>
      <c r="BA94" s="62">
        <f>71200+3400+3300</f>
        <v>77900</v>
      </c>
      <c r="BB94" s="62">
        <v>0</v>
      </c>
      <c r="BC94" s="62">
        <f>6200+8700+5200+5400+40000</f>
        <v>65500</v>
      </c>
      <c r="BD94" s="62">
        <f>2700</f>
        <v>2700</v>
      </c>
      <c r="BE94" s="62">
        <f>532280+4600</f>
        <v>536880</v>
      </c>
      <c r="BF94" s="62">
        <f>11600+5700+7700+9800</f>
        <v>34800</v>
      </c>
      <c r="BG94" s="62">
        <f>15000+633380</f>
        <v>648380</v>
      </c>
      <c r="BH94" s="62">
        <f>39700+3800+6200+5500</f>
        <v>55200</v>
      </c>
      <c r="BI94" s="62">
        <v>0</v>
      </c>
      <c r="BJ94" s="62">
        <f>3500+251780</f>
        <v>255280</v>
      </c>
      <c r="BK94" s="190">
        <f t="shared" si="426"/>
        <v>1831540</v>
      </c>
      <c r="BL94" s="197">
        <f t="shared" si="471"/>
        <v>2.6225166784265678E-2</v>
      </c>
      <c r="BM94" s="62">
        <f>26400+5900+189200+7300</f>
        <v>228800</v>
      </c>
      <c r="BN94" s="62">
        <f>8000+6700</f>
        <v>14700</v>
      </c>
      <c r="BO94" s="62">
        <v>0</v>
      </c>
      <c r="BP94" s="62">
        <f>10800</f>
        <v>10800</v>
      </c>
      <c r="BQ94" s="62">
        <f>7000</f>
        <v>7000</v>
      </c>
      <c r="BR94" s="62">
        <v>0</v>
      </c>
      <c r="BS94" s="62">
        <v>0</v>
      </c>
      <c r="BT94" s="62">
        <v>0</v>
      </c>
      <c r="BU94" s="62">
        <v>0</v>
      </c>
      <c r="BV94" s="62">
        <v>0</v>
      </c>
      <c r="BW94" s="62">
        <v>0</v>
      </c>
      <c r="BX94" s="62">
        <v>0</v>
      </c>
      <c r="BY94" s="190">
        <f t="shared" si="427"/>
        <v>261300</v>
      </c>
      <c r="BZ94" s="197">
        <f t="shared" si="472"/>
        <v>5.9872295349826738E-3</v>
      </c>
      <c r="CA94" s="62">
        <v>0</v>
      </c>
      <c r="CB94" s="62">
        <v>0</v>
      </c>
      <c r="CC94" s="62">
        <v>0</v>
      </c>
      <c r="CD94" s="62">
        <v>0</v>
      </c>
      <c r="CE94" s="62">
        <v>0</v>
      </c>
      <c r="CF94" s="62">
        <v>0</v>
      </c>
      <c r="CG94" s="62">
        <v>0</v>
      </c>
      <c r="CH94" s="62">
        <v>0</v>
      </c>
      <c r="CI94" s="62">
        <v>0</v>
      </c>
      <c r="CJ94" s="62">
        <v>0</v>
      </c>
      <c r="CK94" s="62">
        <v>0</v>
      </c>
      <c r="CL94" s="62">
        <v>0</v>
      </c>
      <c r="CM94" s="190">
        <f t="shared" si="428"/>
        <v>0</v>
      </c>
      <c r="CN94" s="62">
        <v>0</v>
      </c>
      <c r="CO94" s="62">
        <v>0</v>
      </c>
      <c r="CP94" s="62">
        <v>0</v>
      </c>
      <c r="CQ94" s="62">
        <v>0</v>
      </c>
      <c r="CR94" s="62">
        <v>0</v>
      </c>
      <c r="CS94" s="62">
        <v>0</v>
      </c>
      <c r="CT94" s="62">
        <v>0</v>
      </c>
      <c r="CU94" s="62">
        <v>0</v>
      </c>
      <c r="CV94" s="62">
        <v>0</v>
      </c>
      <c r="CW94" s="62">
        <v>0</v>
      </c>
      <c r="CX94" s="62">
        <v>0</v>
      </c>
      <c r="CY94" s="62">
        <v>0</v>
      </c>
      <c r="CZ94" s="190">
        <f t="shared" si="429"/>
        <v>0</v>
      </c>
      <c r="DA94" s="62">
        <v>0</v>
      </c>
      <c r="DB94" s="62">
        <v>0</v>
      </c>
      <c r="DC94" s="62">
        <v>0</v>
      </c>
      <c r="DD94" s="62">
        <v>0</v>
      </c>
      <c r="DE94" s="62">
        <v>0</v>
      </c>
      <c r="DF94" s="62">
        <v>0</v>
      </c>
      <c r="DG94" s="62">
        <v>0</v>
      </c>
      <c r="DH94" s="62">
        <v>0</v>
      </c>
      <c r="DI94" s="62">
        <v>0</v>
      </c>
      <c r="DJ94" s="62">
        <v>0</v>
      </c>
      <c r="DK94" s="62">
        <v>0</v>
      </c>
      <c r="DL94" s="62">
        <v>0</v>
      </c>
      <c r="DM94" s="190">
        <f t="shared" si="430"/>
        <v>0</v>
      </c>
      <c r="DN94" s="62">
        <v>0</v>
      </c>
      <c r="DO94" s="62">
        <v>0</v>
      </c>
      <c r="DP94" s="62">
        <v>0</v>
      </c>
      <c r="DQ94" s="62">
        <v>0</v>
      </c>
      <c r="DR94" s="62">
        <v>0</v>
      </c>
      <c r="DS94" s="62">
        <v>0</v>
      </c>
      <c r="DT94" s="62">
        <v>0</v>
      </c>
      <c r="DU94" s="62">
        <v>0</v>
      </c>
      <c r="DV94" s="62">
        <v>0</v>
      </c>
      <c r="DW94" s="62">
        <v>0</v>
      </c>
      <c r="DX94" s="62">
        <v>0</v>
      </c>
      <c r="DY94" s="62">
        <v>0</v>
      </c>
      <c r="DZ94" s="190">
        <f t="shared" si="431"/>
        <v>0</v>
      </c>
    </row>
    <row r="95" spans="1:130" s="194" customFormat="1" ht="20.45" customHeight="1" outlineLevel="1">
      <c r="A95" s="525"/>
      <c r="B95" s="532" t="s">
        <v>355</v>
      </c>
      <c r="C95" s="65" t="s">
        <v>307</v>
      </c>
      <c r="D95" s="66">
        <f t="shared" si="345"/>
        <v>510430</v>
      </c>
      <c r="E95" s="187">
        <f>SUM(E96)</f>
        <v>1.5792721426984805E-3</v>
      </c>
      <c r="F95" s="62">
        <f t="shared" ref="F95:DY95" si="473">SUM(F96)</f>
        <v>105700</v>
      </c>
      <c r="G95" s="190">
        <f t="shared" si="433"/>
        <v>105700</v>
      </c>
      <c r="H95" s="196">
        <f>SUM(H96)</f>
        <v>2.4143968404979094E-2</v>
      </c>
      <c r="I95" s="62">
        <f t="shared" si="473"/>
        <v>0</v>
      </c>
      <c r="J95" s="62">
        <f t="shared" si="473"/>
        <v>0</v>
      </c>
      <c r="K95" s="62">
        <f t="shared" si="473"/>
        <v>13600</v>
      </c>
      <c r="L95" s="62">
        <f t="shared" si="473"/>
        <v>201430</v>
      </c>
      <c r="M95" s="62">
        <f t="shared" si="473"/>
        <v>0</v>
      </c>
      <c r="N95" s="62">
        <f t="shared" si="473"/>
        <v>0</v>
      </c>
      <c r="O95" s="62">
        <f t="shared" si="473"/>
        <v>63300</v>
      </c>
      <c r="P95" s="62">
        <f t="shared" si="473"/>
        <v>0</v>
      </c>
      <c r="Q95" s="62">
        <f t="shared" si="473"/>
        <v>33200</v>
      </c>
      <c r="R95" s="62">
        <f t="shared" si="473"/>
        <v>0</v>
      </c>
      <c r="S95" s="62">
        <f t="shared" si="473"/>
        <v>0</v>
      </c>
      <c r="T95" s="62">
        <f t="shared" si="473"/>
        <v>0</v>
      </c>
      <c r="U95" s="190">
        <f t="shared" si="423"/>
        <v>311530</v>
      </c>
      <c r="V95" s="196">
        <f>SUM(V96)</f>
        <v>5.6151769438632093E-3</v>
      </c>
      <c r="W95" s="62">
        <f t="shared" si="473"/>
        <v>0</v>
      </c>
      <c r="X95" s="62">
        <f t="shared" si="473"/>
        <v>0</v>
      </c>
      <c r="Y95" s="62">
        <f t="shared" si="473"/>
        <v>0</v>
      </c>
      <c r="Z95" s="62">
        <f t="shared" si="473"/>
        <v>0</v>
      </c>
      <c r="AA95" s="62">
        <f t="shared" si="473"/>
        <v>0</v>
      </c>
      <c r="AB95" s="62">
        <f t="shared" si="473"/>
        <v>0</v>
      </c>
      <c r="AC95" s="62">
        <f t="shared" si="473"/>
        <v>0</v>
      </c>
      <c r="AD95" s="62">
        <f t="shared" si="473"/>
        <v>0</v>
      </c>
      <c r="AE95" s="62">
        <f t="shared" si="473"/>
        <v>0</v>
      </c>
      <c r="AF95" s="62">
        <f t="shared" si="473"/>
        <v>0</v>
      </c>
      <c r="AG95" s="62">
        <f t="shared" si="473"/>
        <v>0</v>
      </c>
      <c r="AH95" s="62">
        <f t="shared" si="473"/>
        <v>63300</v>
      </c>
      <c r="AI95" s="190">
        <f t="shared" si="424"/>
        <v>63300</v>
      </c>
      <c r="AJ95" s="196">
        <f>SUM(AJ96)</f>
        <v>8.6030329809297259E-4</v>
      </c>
      <c r="AK95" s="62">
        <f t="shared" si="473"/>
        <v>0</v>
      </c>
      <c r="AL95" s="62">
        <f t="shared" si="473"/>
        <v>0</v>
      </c>
      <c r="AM95" s="62">
        <f t="shared" si="473"/>
        <v>0</v>
      </c>
      <c r="AN95" s="62">
        <f t="shared" si="473"/>
        <v>0</v>
      </c>
      <c r="AO95" s="62">
        <f t="shared" si="473"/>
        <v>0</v>
      </c>
      <c r="AP95" s="62">
        <f t="shared" si="473"/>
        <v>0</v>
      </c>
      <c r="AQ95" s="62">
        <f t="shared" si="473"/>
        <v>0</v>
      </c>
      <c r="AR95" s="62">
        <f t="shared" si="473"/>
        <v>0</v>
      </c>
      <c r="AS95" s="62">
        <f t="shared" si="473"/>
        <v>0</v>
      </c>
      <c r="AT95" s="62">
        <f t="shared" si="473"/>
        <v>0</v>
      </c>
      <c r="AU95" s="62">
        <f t="shared" si="473"/>
        <v>0</v>
      </c>
      <c r="AV95" s="62">
        <f t="shared" si="473"/>
        <v>0</v>
      </c>
      <c r="AW95" s="190">
        <f t="shared" si="425"/>
        <v>0</v>
      </c>
      <c r="AX95" s="196">
        <f>SUM(AX96)</f>
        <v>0</v>
      </c>
      <c r="AY95" s="62">
        <f t="shared" si="473"/>
        <v>0</v>
      </c>
      <c r="AZ95" s="62">
        <f t="shared" si="473"/>
        <v>0</v>
      </c>
      <c r="BA95" s="62">
        <f t="shared" si="473"/>
        <v>0</v>
      </c>
      <c r="BB95" s="62">
        <f t="shared" si="473"/>
        <v>29900</v>
      </c>
      <c r="BC95" s="62">
        <f t="shared" si="473"/>
        <v>0</v>
      </c>
      <c r="BD95" s="62">
        <f t="shared" si="473"/>
        <v>0</v>
      </c>
      <c r="BE95" s="62">
        <f t="shared" si="473"/>
        <v>0</v>
      </c>
      <c r="BF95" s="62">
        <f t="shared" si="473"/>
        <v>0</v>
      </c>
      <c r="BG95" s="62">
        <f t="shared" si="473"/>
        <v>0</v>
      </c>
      <c r="BH95" s="62">
        <f t="shared" si="473"/>
        <v>0</v>
      </c>
      <c r="BI95" s="62">
        <f t="shared" si="473"/>
        <v>0</v>
      </c>
      <c r="BJ95" s="62">
        <f t="shared" si="473"/>
        <v>188100</v>
      </c>
      <c r="BK95" s="190">
        <f t="shared" si="426"/>
        <v>218000</v>
      </c>
      <c r="BL95" s="196">
        <f>SUM(BL96)</f>
        <v>3.1214641006857167E-3</v>
      </c>
      <c r="BM95" s="62">
        <f t="shared" si="473"/>
        <v>-188100</v>
      </c>
      <c r="BN95" s="62">
        <f t="shared" si="473"/>
        <v>0</v>
      </c>
      <c r="BO95" s="62">
        <f t="shared" si="473"/>
        <v>0</v>
      </c>
      <c r="BP95" s="62">
        <f t="shared" si="473"/>
        <v>0</v>
      </c>
      <c r="BQ95" s="62">
        <f t="shared" si="473"/>
        <v>0</v>
      </c>
      <c r="BR95" s="62">
        <f t="shared" si="473"/>
        <v>0</v>
      </c>
      <c r="BS95" s="62">
        <f t="shared" si="473"/>
        <v>0</v>
      </c>
      <c r="BT95" s="62">
        <f t="shared" si="473"/>
        <v>0</v>
      </c>
      <c r="BU95" s="62">
        <f t="shared" si="473"/>
        <v>0</v>
      </c>
      <c r="BV95" s="62">
        <f t="shared" si="473"/>
        <v>0</v>
      </c>
      <c r="BW95" s="62">
        <f t="shared" si="473"/>
        <v>0</v>
      </c>
      <c r="BX95" s="62">
        <f t="shared" si="473"/>
        <v>0</v>
      </c>
      <c r="BY95" s="190">
        <f t="shared" si="427"/>
        <v>-188100</v>
      </c>
      <c r="BZ95" s="196">
        <f>SUM(BZ96)</f>
        <v>-4.3099803885581359E-3</v>
      </c>
      <c r="CA95" s="62">
        <f t="shared" si="473"/>
        <v>0</v>
      </c>
      <c r="CB95" s="62">
        <f t="shared" si="473"/>
        <v>0</v>
      </c>
      <c r="CC95" s="62">
        <f t="shared" si="473"/>
        <v>0</v>
      </c>
      <c r="CD95" s="62">
        <f t="shared" si="473"/>
        <v>0</v>
      </c>
      <c r="CE95" s="62">
        <f t="shared" si="473"/>
        <v>0</v>
      </c>
      <c r="CF95" s="62">
        <f t="shared" si="473"/>
        <v>0</v>
      </c>
      <c r="CG95" s="62">
        <f t="shared" si="473"/>
        <v>0</v>
      </c>
      <c r="CH95" s="62">
        <f t="shared" si="473"/>
        <v>0</v>
      </c>
      <c r="CI95" s="62">
        <f t="shared" si="473"/>
        <v>0</v>
      </c>
      <c r="CJ95" s="62">
        <f t="shared" si="473"/>
        <v>0</v>
      </c>
      <c r="CK95" s="62">
        <f t="shared" si="473"/>
        <v>0</v>
      </c>
      <c r="CL95" s="62">
        <f t="shared" si="473"/>
        <v>0</v>
      </c>
      <c r="CM95" s="190">
        <f t="shared" si="428"/>
        <v>0</v>
      </c>
      <c r="CN95" s="62">
        <f t="shared" si="473"/>
        <v>0</v>
      </c>
      <c r="CO95" s="62">
        <f t="shared" si="473"/>
        <v>0</v>
      </c>
      <c r="CP95" s="62">
        <f t="shared" si="473"/>
        <v>0</v>
      </c>
      <c r="CQ95" s="62">
        <f t="shared" si="473"/>
        <v>0</v>
      </c>
      <c r="CR95" s="62">
        <f t="shared" si="473"/>
        <v>0</v>
      </c>
      <c r="CS95" s="62">
        <f t="shared" si="473"/>
        <v>0</v>
      </c>
      <c r="CT95" s="62">
        <f t="shared" si="473"/>
        <v>0</v>
      </c>
      <c r="CU95" s="62">
        <f t="shared" si="473"/>
        <v>0</v>
      </c>
      <c r="CV95" s="62">
        <f t="shared" si="473"/>
        <v>0</v>
      </c>
      <c r="CW95" s="62">
        <f t="shared" si="473"/>
        <v>0</v>
      </c>
      <c r="CX95" s="62">
        <f t="shared" si="473"/>
        <v>0</v>
      </c>
      <c r="CY95" s="62">
        <f t="shared" si="473"/>
        <v>0</v>
      </c>
      <c r="CZ95" s="190">
        <f t="shared" si="429"/>
        <v>0</v>
      </c>
      <c r="DA95" s="62">
        <f t="shared" si="473"/>
        <v>0</v>
      </c>
      <c r="DB95" s="62">
        <f t="shared" si="473"/>
        <v>0</v>
      </c>
      <c r="DC95" s="62">
        <f t="shared" si="473"/>
        <v>0</v>
      </c>
      <c r="DD95" s="62">
        <f t="shared" si="473"/>
        <v>0</v>
      </c>
      <c r="DE95" s="62">
        <f t="shared" si="473"/>
        <v>0</v>
      </c>
      <c r="DF95" s="62">
        <f t="shared" si="473"/>
        <v>0</v>
      </c>
      <c r="DG95" s="62">
        <f t="shared" si="473"/>
        <v>0</v>
      </c>
      <c r="DH95" s="62">
        <f t="shared" si="473"/>
        <v>0</v>
      </c>
      <c r="DI95" s="62">
        <f t="shared" si="473"/>
        <v>0</v>
      </c>
      <c r="DJ95" s="62">
        <f t="shared" si="473"/>
        <v>0</v>
      </c>
      <c r="DK95" s="62">
        <f t="shared" si="473"/>
        <v>0</v>
      </c>
      <c r="DL95" s="62">
        <f t="shared" si="473"/>
        <v>0</v>
      </c>
      <c r="DM95" s="190">
        <f t="shared" si="430"/>
        <v>0</v>
      </c>
      <c r="DN95" s="62">
        <f t="shared" si="473"/>
        <v>0</v>
      </c>
      <c r="DO95" s="62">
        <f t="shared" si="473"/>
        <v>0</v>
      </c>
      <c r="DP95" s="62">
        <f t="shared" si="473"/>
        <v>0</v>
      </c>
      <c r="DQ95" s="62">
        <f t="shared" si="473"/>
        <v>0</v>
      </c>
      <c r="DR95" s="62">
        <f t="shared" si="473"/>
        <v>0</v>
      </c>
      <c r="DS95" s="62">
        <f t="shared" si="473"/>
        <v>0</v>
      </c>
      <c r="DT95" s="62">
        <f t="shared" si="473"/>
        <v>0</v>
      </c>
      <c r="DU95" s="62">
        <f t="shared" si="473"/>
        <v>0</v>
      </c>
      <c r="DV95" s="62">
        <f t="shared" si="473"/>
        <v>0</v>
      </c>
      <c r="DW95" s="62">
        <f t="shared" si="473"/>
        <v>0</v>
      </c>
      <c r="DX95" s="62">
        <f t="shared" si="473"/>
        <v>0</v>
      </c>
      <c r="DY95" s="62">
        <f t="shared" si="473"/>
        <v>0</v>
      </c>
      <c r="DZ95" s="190">
        <f t="shared" si="431"/>
        <v>0</v>
      </c>
    </row>
    <row r="96" spans="1:130" ht="20.45" customHeight="1" outlineLevel="2">
      <c r="A96" s="525"/>
      <c r="B96" s="531"/>
      <c r="C96" s="30" t="s">
        <v>356</v>
      </c>
      <c r="D96" s="62">
        <f t="shared" si="345"/>
        <v>510430</v>
      </c>
      <c r="E96" s="184">
        <f t="shared" ref="E96" si="474">D96/(D$5+D$6+D$7+D$8+D$10+D$9)</f>
        <v>1.5792721426984805E-3</v>
      </c>
      <c r="F96" s="62">
        <v>105700</v>
      </c>
      <c r="G96" s="190">
        <f t="shared" si="433"/>
        <v>105700</v>
      </c>
      <c r="H96" s="197">
        <f>G96/(G$5+G$6+G$7+G$8+G$10+G$9)</f>
        <v>2.4143968404979094E-2</v>
      </c>
      <c r="I96" s="62">
        <v>0</v>
      </c>
      <c r="J96" s="62">
        <v>0</v>
      </c>
      <c r="K96" s="62">
        <v>13600</v>
      </c>
      <c r="L96" s="62">
        <f>51000+81430+69000</f>
        <v>201430</v>
      </c>
      <c r="M96" s="62">
        <v>0</v>
      </c>
      <c r="N96" s="62">
        <v>0</v>
      </c>
      <c r="O96" s="62">
        <v>63300</v>
      </c>
      <c r="P96" s="62">
        <v>0</v>
      </c>
      <c r="Q96" s="62">
        <v>33200</v>
      </c>
      <c r="R96" s="62">
        <v>0</v>
      </c>
      <c r="S96" s="62">
        <v>0</v>
      </c>
      <c r="T96" s="62">
        <v>0</v>
      </c>
      <c r="U96" s="190">
        <f t="shared" si="423"/>
        <v>311530</v>
      </c>
      <c r="V96" s="197">
        <f>U96/(U$5+U$6+U$7+U$8+U$10+U$9)</f>
        <v>5.6151769438632093E-3</v>
      </c>
      <c r="W96" s="62">
        <v>0</v>
      </c>
      <c r="X96" s="62">
        <v>0</v>
      </c>
      <c r="Y96" s="62">
        <v>0</v>
      </c>
      <c r="Z96" s="62">
        <v>0</v>
      </c>
      <c r="AA96" s="62">
        <v>0</v>
      </c>
      <c r="AB96" s="62">
        <v>0</v>
      </c>
      <c r="AC96" s="62">
        <v>0</v>
      </c>
      <c r="AD96" s="62">
        <v>0</v>
      </c>
      <c r="AE96" s="62">
        <v>0</v>
      </c>
      <c r="AF96" s="62">
        <v>0</v>
      </c>
      <c r="AG96" s="62">
        <v>0</v>
      </c>
      <c r="AH96" s="62">
        <f>59000+4300</f>
        <v>63300</v>
      </c>
      <c r="AI96" s="190">
        <f t="shared" si="424"/>
        <v>63300</v>
      </c>
      <c r="AJ96" s="197">
        <f>AI96/(AI$5+AI$6+AI$7+AI$8+AI$10+AI$9)</f>
        <v>8.6030329809297259E-4</v>
      </c>
      <c r="AK96" s="62">
        <v>0</v>
      </c>
      <c r="AL96" s="62">
        <v>0</v>
      </c>
      <c r="AM96" s="62">
        <v>0</v>
      </c>
      <c r="AN96" s="62">
        <v>0</v>
      </c>
      <c r="AO96" s="62">
        <v>0</v>
      </c>
      <c r="AP96" s="62">
        <v>0</v>
      </c>
      <c r="AQ96" s="62">
        <v>0</v>
      </c>
      <c r="AR96" s="62">
        <v>0</v>
      </c>
      <c r="AS96" s="62">
        <v>0</v>
      </c>
      <c r="AT96" s="62">
        <v>0</v>
      </c>
      <c r="AU96" s="62">
        <v>0</v>
      </c>
      <c r="AV96" s="62">
        <v>0</v>
      </c>
      <c r="AW96" s="190">
        <f t="shared" si="425"/>
        <v>0</v>
      </c>
      <c r="AX96" s="197">
        <f>AW96/(AW$5+AW$6+AW$7+AW$8+AW$10+AW$9)</f>
        <v>0</v>
      </c>
      <c r="AY96" s="62">
        <v>0</v>
      </c>
      <c r="AZ96" s="62">
        <v>0</v>
      </c>
      <c r="BA96" s="62">
        <v>0</v>
      </c>
      <c r="BB96" s="62">
        <f>29900</f>
        <v>29900</v>
      </c>
      <c r="BC96" s="62">
        <v>0</v>
      </c>
      <c r="BD96" s="62">
        <v>0</v>
      </c>
      <c r="BE96" s="62">
        <v>0</v>
      </c>
      <c r="BF96" s="62">
        <v>0</v>
      </c>
      <c r="BG96" s="62">
        <v>0</v>
      </c>
      <c r="BH96" s="62">
        <f t="shared" ref="AY96:BJ97" si="475">SUM(BH97:BH106)</f>
        <v>0</v>
      </c>
      <c r="BI96" s="62">
        <v>0</v>
      </c>
      <c r="BJ96" s="62">
        <f>188100</f>
        <v>188100</v>
      </c>
      <c r="BK96" s="190">
        <f t="shared" si="426"/>
        <v>218000</v>
      </c>
      <c r="BL96" s="197">
        <f>BK96/(BK$5+BK$6+BK$7+BK$8+BK$10+BK$9)</f>
        <v>3.1214641006857167E-3</v>
      </c>
      <c r="BM96" s="62">
        <f>-188100</f>
        <v>-188100</v>
      </c>
      <c r="BN96" s="62">
        <v>0</v>
      </c>
      <c r="BO96" s="62">
        <v>0</v>
      </c>
      <c r="BP96" s="62">
        <v>0</v>
      </c>
      <c r="BQ96" s="62">
        <v>0</v>
      </c>
      <c r="BR96" s="62">
        <v>0</v>
      </c>
      <c r="BS96" s="62">
        <v>0</v>
      </c>
      <c r="BT96" s="62">
        <v>0</v>
      </c>
      <c r="BU96" s="62">
        <v>0</v>
      </c>
      <c r="BV96" s="62">
        <v>0</v>
      </c>
      <c r="BW96" s="62">
        <v>0</v>
      </c>
      <c r="BX96" s="62">
        <v>0</v>
      </c>
      <c r="BY96" s="190">
        <f t="shared" si="427"/>
        <v>-188100</v>
      </c>
      <c r="BZ96" s="197">
        <f>BY96/(BY$5+BY$6+BY$7+BY$8+BY$10+BY$9)</f>
        <v>-4.3099803885581359E-3</v>
      </c>
      <c r="CA96" s="62">
        <v>0</v>
      </c>
      <c r="CB96" s="62">
        <v>0</v>
      </c>
      <c r="CC96" s="62">
        <v>0</v>
      </c>
      <c r="CD96" s="62">
        <v>0</v>
      </c>
      <c r="CE96" s="62">
        <v>0</v>
      </c>
      <c r="CF96" s="62">
        <v>0</v>
      </c>
      <c r="CG96" s="62">
        <v>0</v>
      </c>
      <c r="CH96" s="62">
        <v>0</v>
      </c>
      <c r="CI96" s="62">
        <v>0</v>
      </c>
      <c r="CJ96" s="62">
        <v>0</v>
      </c>
      <c r="CK96" s="62">
        <v>0</v>
      </c>
      <c r="CL96" s="62">
        <v>0</v>
      </c>
      <c r="CM96" s="190">
        <f t="shared" si="428"/>
        <v>0</v>
      </c>
      <c r="CN96" s="62">
        <v>0</v>
      </c>
      <c r="CO96" s="62">
        <v>0</v>
      </c>
      <c r="CP96" s="62">
        <v>0</v>
      </c>
      <c r="CQ96" s="62">
        <v>0</v>
      </c>
      <c r="CR96" s="62">
        <v>0</v>
      </c>
      <c r="CS96" s="62">
        <v>0</v>
      </c>
      <c r="CT96" s="62">
        <v>0</v>
      </c>
      <c r="CU96" s="62">
        <v>0</v>
      </c>
      <c r="CV96" s="62">
        <v>0</v>
      </c>
      <c r="CW96" s="62">
        <v>0</v>
      </c>
      <c r="CX96" s="62">
        <v>0</v>
      </c>
      <c r="CY96" s="62">
        <v>0</v>
      </c>
      <c r="CZ96" s="190">
        <f t="shared" si="429"/>
        <v>0</v>
      </c>
      <c r="DA96" s="62">
        <v>0</v>
      </c>
      <c r="DB96" s="62">
        <v>0</v>
      </c>
      <c r="DC96" s="62">
        <v>0</v>
      </c>
      <c r="DD96" s="62">
        <v>0</v>
      </c>
      <c r="DE96" s="62">
        <v>0</v>
      </c>
      <c r="DF96" s="62">
        <v>0</v>
      </c>
      <c r="DG96" s="62">
        <v>0</v>
      </c>
      <c r="DH96" s="62">
        <v>0</v>
      </c>
      <c r="DI96" s="62">
        <v>0</v>
      </c>
      <c r="DJ96" s="62">
        <v>0</v>
      </c>
      <c r="DK96" s="62">
        <v>0</v>
      </c>
      <c r="DL96" s="62">
        <v>0</v>
      </c>
      <c r="DM96" s="190">
        <f t="shared" si="430"/>
        <v>0</v>
      </c>
      <c r="DN96" s="62">
        <v>0</v>
      </c>
      <c r="DO96" s="62">
        <v>0</v>
      </c>
      <c r="DP96" s="62">
        <v>0</v>
      </c>
      <c r="DQ96" s="62">
        <v>0</v>
      </c>
      <c r="DR96" s="62">
        <v>0</v>
      </c>
      <c r="DS96" s="62">
        <v>0</v>
      </c>
      <c r="DT96" s="62">
        <v>0</v>
      </c>
      <c r="DU96" s="62">
        <v>0</v>
      </c>
      <c r="DV96" s="62">
        <v>0</v>
      </c>
      <c r="DW96" s="62">
        <v>0</v>
      </c>
      <c r="DX96" s="62">
        <v>0</v>
      </c>
      <c r="DY96" s="62">
        <v>0</v>
      </c>
      <c r="DZ96" s="190">
        <f t="shared" si="431"/>
        <v>0</v>
      </c>
    </row>
    <row r="97" spans="1:130" s="194" customFormat="1" ht="20.45" customHeight="1" outlineLevel="1">
      <c r="A97" s="525"/>
      <c r="B97" s="527" t="s">
        <v>2619</v>
      </c>
      <c r="C97" s="65" t="s">
        <v>307</v>
      </c>
      <c r="D97" s="66">
        <f t="shared" si="345"/>
        <v>2312169.9999999995</v>
      </c>
      <c r="E97" s="187">
        <f>SUM(E98:E107)</f>
        <v>7.1538617835612056E-3</v>
      </c>
      <c r="F97" s="62">
        <f>SUM(F98:F107)</f>
        <v>0</v>
      </c>
      <c r="G97" s="190">
        <f t="shared" si="433"/>
        <v>0</v>
      </c>
      <c r="H97" s="196">
        <f t="shared" ref="H97:T97" si="476">SUM(H98:H107)</f>
        <v>0</v>
      </c>
      <c r="I97" s="62">
        <f t="shared" si="476"/>
        <v>56000</v>
      </c>
      <c r="J97" s="62">
        <f t="shared" si="476"/>
        <v>0</v>
      </c>
      <c r="K97" s="62">
        <f t="shared" si="476"/>
        <v>13900</v>
      </c>
      <c r="L97" s="62">
        <f t="shared" si="476"/>
        <v>0</v>
      </c>
      <c r="M97" s="62">
        <f t="shared" si="476"/>
        <v>103100</v>
      </c>
      <c r="N97" s="62">
        <f t="shared" si="476"/>
        <v>0</v>
      </c>
      <c r="O97" s="62">
        <f t="shared" si="476"/>
        <v>0</v>
      </c>
      <c r="P97" s="62">
        <f t="shared" si="476"/>
        <v>0</v>
      </c>
      <c r="Q97" s="62">
        <f t="shared" si="476"/>
        <v>75300</v>
      </c>
      <c r="R97" s="62">
        <f t="shared" si="476"/>
        <v>0</v>
      </c>
      <c r="S97" s="62">
        <f t="shared" si="476"/>
        <v>0</v>
      </c>
      <c r="T97" s="62">
        <f t="shared" si="476"/>
        <v>0</v>
      </c>
      <c r="U97" s="190">
        <f t="shared" si="423"/>
        <v>248300</v>
      </c>
      <c r="V97" s="196">
        <f t="shared" ref="V97" si="477">SUM(V98:V107)</f>
        <v>4.47548690386555E-3</v>
      </c>
      <c r="W97" s="62">
        <f t="shared" ref="W97:AH97" si="478">SUM(W98:W107)</f>
        <v>0</v>
      </c>
      <c r="X97" s="62">
        <f t="shared" si="478"/>
        <v>0</v>
      </c>
      <c r="Y97" s="62">
        <f t="shared" si="478"/>
        <v>4000</v>
      </c>
      <c r="Z97" s="62">
        <f t="shared" si="478"/>
        <v>0</v>
      </c>
      <c r="AA97" s="62">
        <f t="shared" si="478"/>
        <v>14500</v>
      </c>
      <c r="AB97" s="62">
        <f t="shared" si="478"/>
        <v>0</v>
      </c>
      <c r="AC97" s="62">
        <f t="shared" si="478"/>
        <v>71000</v>
      </c>
      <c r="AD97" s="62">
        <f t="shared" si="478"/>
        <v>86200</v>
      </c>
      <c r="AE97" s="62">
        <f t="shared" si="478"/>
        <v>2000</v>
      </c>
      <c r="AF97" s="62">
        <f t="shared" si="478"/>
        <v>0</v>
      </c>
      <c r="AG97" s="62">
        <f t="shared" si="478"/>
        <v>32700</v>
      </c>
      <c r="AH97" s="62">
        <f t="shared" si="478"/>
        <v>89420</v>
      </c>
      <c r="AI97" s="190">
        <f t="shared" si="424"/>
        <v>299820</v>
      </c>
      <c r="AJ97" s="196">
        <f t="shared" ref="AJ97" si="479">SUM(AJ98:AJ107)</f>
        <v>4.0748204555171412E-3</v>
      </c>
      <c r="AK97" s="62">
        <f t="shared" ref="AK97:AV97" si="480">SUM(AK98:AK107)</f>
        <v>70750</v>
      </c>
      <c r="AL97" s="62">
        <f t="shared" si="480"/>
        <v>4500</v>
      </c>
      <c r="AM97" s="62">
        <f t="shared" si="480"/>
        <v>26000</v>
      </c>
      <c r="AN97" s="62">
        <f t="shared" si="480"/>
        <v>6000</v>
      </c>
      <c r="AO97" s="62">
        <f t="shared" si="480"/>
        <v>18000</v>
      </c>
      <c r="AP97" s="62">
        <f t="shared" si="480"/>
        <v>0</v>
      </c>
      <c r="AQ97" s="62">
        <f t="shared" si="480"/>
        <v>192000</v>
      </c>
      <c r="AR97" s="62">
        <f t="shared" si="480"/>
        <v>246000</v>
      </c>
      <c r="AS97" s="62">
        <f t="shared" si="480"/>
        <v>288500</v>
      </c>
      <c r="AT97" s="62">
        <f t="shared" si="480"/>
        <v>596000</v>
      </c>
      <c r="AU97" s="62">
        <f t="shared" si="480"/>
        <v>0</v>
      </c>
      <c r="AV97" s="62">
        <f t="shared" si="480"/>
        <v>15500</v>
      </c>
      <c r="AW97" s="190">
        <f t="shared" si="425"/>
        <v>1463250</v>
      </c>
      <c r="AX97" s="196">
        <f t="shared" ref="AX97" si="481">SUM(AX98:AX107)</f>
        <v>1.9180771770811712E-2</v>
      </c>
      <c r="AY97" s="62">
        <f t="shared" si="475"/>
        <v>18000</v>
      </c>
      <c r="AZ97" s="62">
        <f t="shared" si="475"/>
        <v>79500</v>
      </c>
      <c r="BA97" s="62">
        <f t="shared" si="475"/>
        <v>28800</v>
      </c>
      <c r="BB97" s="62">
        <f t="shared" si="475"/>
        <v>27000</v>
      </c>
      <c r="BC97" s="62">
        <f t="shared" si="475"/>
        <v>18000</v>
      </c>
      <c r="BD97" s="62">
        <f t="shared" si="475"/>
        <v>4000</v>
      </c>
      <c r="BE97" s="62">
        <f t="shared" si="475"/>
        <v>63000</v>
      </c>
      <c r="BF97" s="62">
        <f t="shared" si="475"/>
        <v>0</v>
      </c>
      <c r="BG97" s="62">
        <f t="shared" si="475"/>
        <v>0</v>
      </c>
      <c r="BH97" s="62">
        <f t="shared" si="475"/>
        <v>0</v>
      </c>
      <c r="BI97" s="62">
        <f t="shared" si="475"/>
        <v>0</v>
      </c>
      <c r="BJ97" s="62">
        <f t="shared" si="475"/>
        <v>19000</v>
      </c>
      <c r="BK97" s="190">
        <f t="shared" si="426"/>
        <v>257300</v>
      </c>
      <c r="BL97" s="196">
        <f t="shared" ref="BL97" si="482">SUM(BL98:BL107)</f>
        <v>3.6841867573689678E-3</v>
      </c>
      <c r="BM97" s="62">
        <f t="shared" ref="BM97:BX97" si="483">SUM(BM98:BM107)</f>
        <v>0</v>
      </c>
      <c r="BN97" s="62">
        <f t="shared" si="483"/>
        <v>0</v>
      </c>
      <c r="BO97" s="62">
        <f t="shared" si="483"/>
        <v>30000</v>
      </c>
      <c r="BP97" s="62">
        <f t="shared" si="483"/>
        <v>0</v>
      </c>
      <c r="BQ97" s="62">
        <f t="shared" si="483"/>
        <v>13500</v>
      </c>
      <c r="BR97" s="62">
        <f t="shared" si="483"/>
        <v>0</v>
      </c>
      <c r="BS97" s="62">
        <f t="shared" si="483"/>
        <v>0</v>
      </c>
      <c r="BT97" s="62">
        <f t="shared" si="483"/>
        <v>0</v>
      </c>
      <c r="BU97" s="62">
        <f t="shared" si="483"/>
        <v>0</v>
      </c>
      <c r="BV97" s="62">
        <f t="shared" si="483"/>
        <v>0</v>
      </c>
      <c r="BW97" s="62">
        <f t="shared" si="483"/>
        <v>0</v>
      </c>
      <c r="BX97" s="62">
        <f t="shared" si="483"/>
        <v>0</v>
      </c>
      <c r="BY97" s="190">
        <f t="shared" si="427"/>
        <v>43500</v>
      </c>
      <c r="BZ97" s="196">
        <f t="shared" ref="BZ97" si="484">SUM(BZ98:BZ107)</f>
        <v>9.9672592717851643E-4</v>
      </c>
      <c r="CA97" s="62">
        <f t="shared" ref="CA97:CL97" si="485">SUM(CA98:CA107)</f>
        <v>0</v>
      </c>
      <c r="CB97" s="62">
        <f t="shared" si="485"/>
        <v>0</v>
      </c>
      <c r="CC97" s="62">
        <f t="shared" si="485"/>
        <v>0</v>
      </c>
      <c r="CD97" s="62">
        <f t="shared" si="485"/>
        <v>0</v>
      </c>
      <c r="CE97" s="62">
        <f t="shared" si="485"/>
        <v>0</v>
      </c>
      <c r="CF97" s="62">
        <f t="shared" si="485"/>
        <v>0</v>
      </c>
      <c r="CG97" s="62">
        <f t="shared" si="485"/>
        <v>0</v>
      </c>
      <c r="CH97" s="62">
        <f t="shared" si="485"/>
        <v>0</v>
      </c>
      <c r="CI97" s="62">
        <f t="shared" si="485"/>
        <v>0</v>
      </c>
      <c r="CJ97" s="62">
        <f t="shared" si="485"/>
        <v>0</v>
      </c>
      <c r="CK97" s="62">
        <f t="shared" si="485"/>
        <v>0</v>
      </c>
      <c r="CL97" s="62">
        <f t="shared" si="485"/>
        <v>0</v>
      </c>
      <c r="CM97" s="190">
        <f t="shared" si="428"/>
        <v>0</v>
      </c>
      <c r="CN97" s="62">
        <f t="shared" ref="CN97:CY97" si="486">SUM(CN98:CN107)</f>
        <v>0</v>
      </c>
      <c r="CO97" s="62">
        <f t="shared" si="486"/>
        <v>0</v>
      </c>
      <c r="CP97" s="62">
        <f t="shared" si="486"/>
        <v>0</v>
      </c>
      <c r="CQ97" s="62">
        <f t="shared" si="486"/>
        <v>0</v>
      </c>
      <c r="CR97" s="62">
        <f t="shared" si="486"/>
        <v>0</v>
      </c>
      <c r="CS97" s="62">
        <f t="shared" si="486"/>
        <v>0</v>
      </c>
      <c r="CT97" s="62">
        <f t="shared" si="486"/>
        <v>0</v>
      </c>
      <c r="CU97" s="62">
        <f t="shared" si="486"/>
        <v>0</v>
      </c>
      <c r="CV97" s="62">
        <f t="shared" si="486"/>
        <v>0</v>
      </c>
      <c r="CW97" s="62">
        <f t="shared" si="486"/>
        <v>0</v>
      </c>
      <c r="CX97" s="62">
        <f t="shared" si="486"/>
        <v>0</v>
      </c>
      <c r="CY97" s="62">
        <f t="shared" si="486"/>
        <v>0</v>
      </c>
      <c r="CZ97" s="190">
        <f t="shared" si="429"/>
        <v>0</v>
      </c>
      <c r="DA97" s="62">
        <f t="shared" ref="DA97:DL97" si="487">SUM(DA98:DA107)</f>
        <v>0</v>
      </c>
      <c r="DB97" s="62">
        <f t="shared" si="487"/>
        <v>0</v>
      </c>
      <c r="DC97" s="62">
        <f t="shared" si="487"/>
        <v>0</v>
      </c>
      <c r="DD97" s="62">
        <f t="shared" si="487"/>
        <v>0</v>
      </c>
      <c r="DE97" s="62">
        <f t="shared" si="487"/>
        <v>0</v>
      </c>
      <c r="DF97" s="62">
        <f t="shared" si="487"/>
        <v>0</v>
      </c>
      <c r="DG97" s="62">
        <f t="shared" si="487"/>
        <v>0</v>
      </c>
      <c r="DH97" s="62">
        <f t="shared" si="487"/>
        <v>0</v>
      </c>
      <c r="DI97" s="62">
        <f t="shared" si="487"/>
        <v>0</v>
      </c>
      <c r="DJ97" s="62">
        <f t="shared" si="487"/>
        <v>0</v>
      </c>
      <c r="DK97" s="62">
        <f t="shared" si="487"/>
        <v>0</v>
      </c>
      <c r="DL97" s="62">
        <f t="shared" si="487"/>
        <v>0</v>
      </c>
      <c r="DM97" s="190">
        <f t="shared" si="430"/>
        <v>0</v>
      </c>
      <c r="DN97" s="62">
        <f t="shared" ref="DN97:DY97" si="488">SUM(DN98:DN107)</f>
        <v>0</v>
      </c>
      <c r="DO97" s="62">
        <f t="shared" si="488"/>
        <v>0</v>
      </c>
      <c r="DP97" s="62">
        <f t="shared" si="488"/>
        <v>0</v>
      </c>
      <c r="DQ97" s="62">
        <f t="shared" si="488"/>
        <v>0</v>
      </c>
      <c r="DR97" s="62">
        <f t="shared" si="488"/>
        <v>0</v>
      </c>
      <c r="DS97" s="62">
        <f t="shared" si="488"/>
        <v>0</v>
      </c>
      <c r="DT97" s="62">
        <f t="shared" si="488"/>
        <v>0</v>
      </c>
      <c r="DU97" s="62">
        <f t="shared" si="488"/>
        <v>0</v>
      </c>
      <c r="DV97" s="62">
        <f t="shared" si="488"/>
        <v>0</v>
      </c>
      <c r="DW97" s="62">
        <f t="shared" si="488"/>
        <v>0</v>
      </c>
      <c r="DX97" s="62">
        <f t="shared" si="488"/>
        <v>0</v>
      </c>
      <c r="DY97" s="62">
        <f t="shared" si="488"/>
        <v>0</v>
      </c>
      <c r="DZ97" s="190">
        <f t="shared" si="431"/>
        <v>0</v>
      </c>
    </row>
    <row r="98" spans="1:130" ht="20.45" customHeight="1" outlineLevel="2">
      <c r="A98" s="525"/>
      <c r="B98" s="530"/>
      <c r="C98" s="30" t="s">
        <v>357</v>
      </c>
      <c r="D98" s="62">
        <f t="shared" si="345"/>
        <v>35000.000000000007</v>
      </c>
      <c r="E98" s="184">
        <f t="shared" ref="E98:E107" si="489">D98/(D$5+D$6+D$7+D$8+D$10+D$9)</f>
        <v>1.0829011812481011E-4</v>
      </c>
      <c r="F98" s="62">
        <v>0</v>
      </c>
      <c r="G98" s="190">
        <f t="shared" si="433"/>
        <v>0</v>
      </c>
      <c r="H98" s="197">
        <f t="shared" ref="H98:H107" si="490">G98/(G$5+G$6+G$7+G$8+G$10+G$9)</f>
        <v>0</v>
      </c>
      <c r="I98" s="62">
        <v>35000</v>
      </c>
      <c r="J98" s="62">
        <v>0</v>
      </c>
      <c r="K98" s="62">
        <v>0</v>
      </c>
      <c r="L98" s="62">
        <v>0</v>
      </c>
      <c r="M98" s="62">
        <v>0</v>
      </c>
      <c r="N98" s="62">
        <v>0</v>
      </c>
      <c r="O98" s="62">
        <v>0</v>
      </c>
      <c r="P98" s="62">
        <v>0</v>
      </c>
      <c r="Q98" s="62">
        <v>0</v>
      </c>
      <c r="R98" s="62">
        <v>0</v>
      </c>
      <c r="S98" s="62">
        <v>0</v>
      </c>
      <c r="T98" s="62">
        <v>0</v>
      </c>
      <c r="U98" s="190">
        <f t="shared" si="423"/>
        <v>35000</v>
      </c>
      <c r="V98" s="197">
        <f t="shared" ref="V98:V107" si="491">U98/(U$5+U$6+U$7+U$8+U$10+U$9)</f>
        <v>6.3085800094762076E-4</v>
      </c>
      <c r="W98" s="62">
        <v>0</v>
      </c>
      <c r="X98" s="62">
        <v>0</v>
      </c>
      <c r="Y98" s="62">
        <v>0</v>
      </c>
      <c r="Z98" s="62">
        <v>0</v>
      </c>
      <c r="AA98" s="62">
        <v>0</v>
      </c>
      <c r="AB98" s="62">
        <v>0</v>
      </c>
      <c r="AC98" s="62">
        <v>0</v>
      </c>
      <c r="AD98" s="62">
        <v>0</v>
      </c>
      <c r="AE98" s="62">
        <v>0</v>
      </c>
      <c r="AF98" s="62">
        <v>0</v>
      </c>
      <c r="AG98" s="62">
        <v>0</v>
      </c>
      <c r="AH98" s="62">
        <v>0</v>
      </c>
      <c r="AI98" s="190">
        <f t="shared" si="424"/>
        <v>0</v>
      </c>
      <c r="AJ98" s="197">
        <f t="shared" ref="AJ98:AJ107" si="492">AI98/(AI$5+AI$6+AI$7+AI$8+AI$10+AI$9)</f>
        <v>0</v>
      </c>
      <c r="AK98" s="62">
        <v>0</v>
      </c>
      <c r="AL98" s="62">
        <v>0</v>
      </c>
      <c r="AM98" s="62">
        <v>0</v>
      </c>
      <c r="AN98" s="62">
        <v>0</v>
      </c>
      <c r="AO98" s="62">
        <v>0</v>
      </c>
      <c r="AP98" s="62">
        <v>0</v>
      </c>
      <c r="AQ98" s="62">
        <v>0</v>
      </c>
      <c r="AR98" s="62">
        <v>0</v>
      </c>
      <c r="AS98" s="62">
        <v>0</v>
      </c>
      <c r="AT98" s="62">
        <v>0</v>
      </c>
      <c r="AU98" s="62">
        <v>0</v>
      </c>
      <c r="AV98" s="62">
        <v>0</v>
      </c>
      <c r="AW98" s="190">
        <f t="shared" si="425"/>
        <v>0</v>
      </c>
      <c r="AX98" s="197">
        <f t="shared" ref="AX98:AX107" si="493">AW98/(AW$5+AW$6+AW$7+AW$8+AW$10+AW$9)</f>
        <v>0</v>
      </c>
      <c r="AY98" s="62">
        <v>0</v>
      </c>
      <c r="AZ98" s="62">
        <v>0</v>
      </c>
      <c r="BA98" s="62">
        <v>0</v>
      </c>
      <c r="BB98" s="62">
        <v>0</v>
      </c>
      <c r="BC98" s="62">
        <v>0</v>
      </c>
      <c r="BD98" s="62">
        <v>0</v>
      </c>
      <c r="BE98" s="62">
        <v>0</v>
      </c>
      <c r="BF98" s="62">
        <v>0</v>
      </c>
      <c r="BG98" s="62">
        <v>0</v>
      </c>
      <c r="BH98" s="62">
        <v>0</v>
      </c>
      <c r="BI98" s="62">
        <v>0</v>
      </c>
      <c r="BJ98" s="62">
        <v>0</v>
      </c>
      <c r="BK98" s="190">
        <f t="shared" si="426"/>
        <v>0</v>
      </c>
      <c r="BL98" s="197">
        <f t="shared" ref="BL98:BL107" si="494">BK98/(BK$5+BK$6+BK$7+BK$8+BK$10+BK$9)</f>
        <v>0</v>
      </c>
      <c r="BM98" s="62">
        <v>0</v>
      </c>
      <c r="BN98" s="62">
        <v>0</v>
      </c>
      <c r="BO98" s="62">
        <v>0</v>
      </c>
      <c r="BP98" s="62">
        <v>0</v>
      </c>
      <c r="BQ98" s="62">
        <v>0</v>
      </c>
      <c r="BR98" s="62">
        <v>0</v>
      </c>
      <c r="BS98" s="62">
        <v>0</v>
      </c>
      <c r="BT98" s="62">
        <v>0</v>
      </c>
      <c r="BU98" s="62">
        <v>0</v>
      </c>
      <c r="BV98" s="62">
        <v>0</v>
      </c>
      <c r="BW98" s="62">
        <v>0</v>
      </c>
      <c r="BX98" s="62">
        <v>0</v>
      </c>
      <c r="BY98" s="190">
        <f t="shared" si="427"/>
        <v>0</v>
      </c>
      <c r="BZ98" s="197">
        <f t="shared" ref="BZ98:BZ107" si="495">BY98/(BY$5+BY$6+BY$7+BY$8+BY$10+BY$9)</f>
        <v>0</v>
      </c>
      <c r="CA98" s="62">
        <v>0</v>
      </c>
      <c r="CB98" s="62">
        <v>0</v>
      </c>
      <c r="CC98" s="62">
        <v>0</v>
      </c>
      <c r="CD98" s="62">
        <v>0</v>
      </c>
      <c r="CE98" s="62">
        <v>0</v>
      </c>
      <c r="CF98" s="62">
        <v>0</v>
      </c>
      <c r="CG98" s="62">
        <v>0</v>
      </c>
      <c r="CH98" s="62">
        <v>0</v>
      </c>
      <c r="CI98" s="62">
        <v>0</v>
      </c>
      <c r="CJ98" s="62">
        <v>0</v>
      </c>
      <c r="CK98" s="62">
        <v>0</v>
      </c>
      <c r="CL98" s="62">
        <v>0</v>
      </c>
      <c r="CM98" s="190">
        <f t="shared" si="428"/>
        <v>0</v>
      </c>
      <c r="CN98" s="62">
        <v>0</v>
      </c>
      <c r="CO98" s="62">
        <v>0</v>
      </c>
      <c r="CP98" s="62">
        <v>0</v>
      </c>
      <c r="CQ98" s="62">
        <v>0</v>
      </c>
      <c r="CR98" s="62">
        <v>0</v>
      </c>
      <c r="CS98" s="62">
        <v>0</v>
      </c>
      <c r="CT98" s="62">
        <v>0</v>
      </c>
      <c r="CU98" s="62">
        <v>0</v>
      </c>
      <c r="CV98" s="62">
        <v>0</v>
      </c>
      <c r="CW98" s="62">
        <v>0</v>
      </c>
      <c r="CX98" s="62">
        <v>0</v>
      </c>
      <c r="CY98" s="62">
        <v>0</v>
      </c>
      <c r="CZ98" s="190">
        <f t="shared" si="429"/>
        <v>0</v>
      </c>
      <c r="DA98" s="62">
        <v>0</v>
      </c>
      <c r="DB98" s="62">
        <v>0</v>
      </c>
      <c r="DC98" s="62">
        <v>0</v>
      </c>
      <c r="DD98" s="62">
        <v>0</v>
      </c>
      <c r="DE98" s="62">
        <v>0</v>
      </c>
      <c r="DF98" s="62">
        <v>0</v>
      </c>
      <c r="DG98" s="62">
        <v>0</v>
      </c>
      <c r="DH98" s="62">
        <v>0</v>
      </c>
      <c r="DI98" s="62">
        <v>0</v>
      </c>
      <c r="DJ98" s="62">
        <v>0</v>
      </c>
      <c r="DK98" s="62">
        <v>0</v>
      </c>
      <c r="DL98" s="62">
        <v>0</v>
      </c>
      <c r="DM98" s="190">
        <f t="shared" si="430"/>
        <v>0</v>
      </c>
      <c r="DN98" s="62">
        <v>0</v>
      </c>
      <c r="DO98" s="62">
        <v>0</v>
      </c>
      <c r="DP98" s="62">
        <v>0</v>
      </c>
      <c r="DQ98" s="62">
        <v>0</v>
      </c>
      <c r="DR98" s="62">
        <v>0</v>
      </c>
      <c r="DS98" s="62">
        <v>0</v>
      </c>
      <c r="DT98" s="62">
        <v>0</v>
      </c>
      <c r="DU98" s="62">
        <v>0</v>
      </c>
      <c r="DV98" s="62">
        <v>0</v>
      </c>
      <c r="DW98" s="62">
        <v>0</v>
      </c>
      <c r="DX98" s="62">
        <v>0</v>
      </c>
      <c r="DY98" s="62">
        <v>0</v>
      </c>
      <c r="DZ98" s="190">
        <f t="shared" si="431"/>
        <v>0</v>
      </c>
    </row>
    <row r="99" spans="1:130" ht="20.45" customHeight="1" outlineLevel="2">
      <c r="A99" s="525"/>
      <c r="B99" s="530"/>
      <c r="C99" s="30" t="s">
        <v>358</v>
      </c>
      <c r="D99" s="62">
        <f t="shared" si="345"/>
        <v>21000</v>
      </c>
      <c r="E99" s="184">
        <f t="shared" si="489"/>
        <v>6.4974070874886057E-5</v>
      </c>
      <c r="F99" s="62">
        <v>0</v>
      </c>
      <c r="G99" s="190">
        <f t="shared" si="433"/>
        <v>0</v>
      </c>
      <c r="H99" s="197">
        <f t="shared" si="490"/>
        <v>0</v>
      </c>
      <c r="I99" s="62">
        <v>21000</v>
      </c>
      <c r="J99" s="62">
        <v>0</v>
      </c>
      <c r="K99" s="62">
        <v>0</v>
      </c>
      <c r="L99" s="62">
        <v>0</v>
      </c>
      <c r="M99" s="62">
        <v>0</v>
      </c>
      <c r="N99" s="62">
        <v>0</v>
      </c>
      <c r="O99" s="62">
        <v>0</v>
      </c>
      <c r="P99" s="62">
        <v>0</v>
      </c>
      <c r="Q99" s="62">
        <v>0</v>
      </c>
      <c r="R99" s="62">
        <v>0</v>
      </c>
      <c r="S99" s="62">
        <v>0</v>
      </c>
      <c r="T99" s="62">
        <v>0</v>
      </c>
      <c r="U99" s="190">
        <f t="shared" si="423"/>
        <v>21000</v>
      </c>
      <c r="V99" s="197">
        <f t="shared" si="491"/>
        <v>3.7851480056857247E-4</v>
      </c>
      <c r="W99" s="62">
        <v>0</v>
      </c>
      <c r="X99" s="62">
        <v>0</v>
      </c>
      <c r="Y99" s="62">
        <v>0</v>
      </c>
      <c r="Z99" s="62">
        <v>0</v>
      </c>
      <c r="AA99" s="62">
        <v>0</v>
      </c>
      <c r="AB99" s="62">
        <v>0</v>
      </c>
      <c r="AC99" s="62">
        <v>0</v>
      </c>
      <c r="AD99" s="62">
        <v>0</v>
      </c>
      <c r="AE99" s="62">
        <v>0</v>
      </c>
      <c r="AF99" s="62">
        <v>0</v>
      </c>
      <c r="AG99" s="62">
        <v>0</v>
      </c>
      <c r="AH99" s="62">
        <v>0</v>
      </c>
      <c r="AI99" s="190">
        <f t="shared" si="424"/>
        <v>0</v>
      </c>
      <c r="AJ99" s="197">
        <f t="shared" si="492"/>
        <v>0</v>
      </c>
      <c r="AK99" s="62">
        <v>0</v>
      </c>
      <c r="AL99" s="62">
        <v>0</v>
      </c>
      <c r="AM99" s="62">
        <v>0</v>
      </c>
      <c r="AN99" s="62">
        <v>0</v>
      </c>
      <c r="AO99" s="62">
        <v>0</v>
      </c>
      <c r="AP99" s="62">
        <v>0</v>
      </c>
      <c r="AQ99" s="62">
        <v>0</v>
      </c>
      <c r="AR99" s="62">
        <v>0</v>
      </c>
      <c r="AS99" s="62">
        <v>0</v>
      </c>
      <c r="AT99" s="62">
        <v>0</v>
      </c>
      <c r="AU99" s="62">
        <v>0</v>
      </c>
      <c r="AV99" s="62">
        <v>0</v>
      </c>
      <c r="AW99" s="190">
        <f t="shared" si="425"/>
        <v>0</v>
      </c>
      <c r="AX99" s="197">
        <f t="shared" si="493"/>
        <v>0</v>
      </c>
      <c r="AY99" s="62">
        <v>0</v>
      </c>
      <c r="AZ99" s="62">
        <v>0</v>
      </c>
      <c r="BA99" s="62">
        <v>0</v>
      </c>
      <c r="BB99" s="62">
        <v>0</v>
      </c>
      <c r="BC99" s="62">
        <v>0</v>
      </c>
      <c r="BD99" s="62">
        <v>0</v>
      </c>
      <c r="BE99" s="62">
        <v>0</v>
      </c>
      <c r="BF99" s="62">
        <v>0</v>
      </c>
      <c r="BG99" s="62">
        <v>0</v>
      </c>
      <c r="BH99" s="62">
        <v>0</v>
      </c>
      <c r="BI99" s="62">
        <v>0</v>
      </c>
      <c r="BJ99" s="62">
        <v>0</v>
      </c>
      <c r="BK99" s="190">
        <f t="shared" si="426"/>
        <v>0</v>
      </c>
      <c r="BL99" s="197">
        <f t="shared" si="494"/>
        <v>0</v>
      </c>
      <c r="BM99" s="62">
        <v>0</v>
      </c>
      <c r="BN99" s="62">
        <v>0</v>
      </c>
      <c r="BO99" s="62">
        <v>0</v>
      </c>
      <c r="BP99" s="62">
        <v>0</v>
      </c>
      <c r="BQ99" s="62">
        <v>0</v>
      </c>
      <c r="BR99" s="62">
        <v>0</v>
      </c>
      <c r="BS99" s="62">
        <v>0</v>
      </c>
      <c r="BT99" s="62">
        <v>0</v>
      </c>
      <c r="BU99" s="62">
        <v>0</v>
      </c>
      <c r="BV99" s="62">
        <v>0</v>
      </c>
      <c r="BW99" s="62">
        <v>0</v>
      </c>
      <c r="BX99" s="62">
        <v>0</v>
      </c>
      <c r="BY99" s="190">
        <f t="shared" si="427"/>
        <v>0</v>
      </c>
      <c r="BZ99" s="197">
        <f t="shared" si="495"/>
        <v>0</v>
      </c>
      <c r="CA99" s="62">
        <v>0</v>
      </c>
      <c r="CB99" s="62">
        <v>0</v>
      </c>
      <c r="CC99" s="62">
        <v>0</v>
      </c>
      <c r="CD99" s="62">
        <v>0</v>
      </c>
      <c r="CE99" s="62">
        <v>0</v>
      </c>
      <c r="CF99" s="62">
        <v>0</v>
      </c>
      <c r="CG99" s="62">
        <v>0</v>
      </c>
      <c r="CH99" s="62">
        <v>0</v>
      </c>
      <c r="CI99" s="62">
        <v>0</v>
      </c>
      <c r="CJ99" s="62">
        <v>0</v>
      </c>
      <c r="CK99" s="62">
        <v>0</v>
      </c>
      <c r="CL99" s="62">
        <v>0</v>
      </c>
      <c r="CM99" s="190">
        <f t="shared" si="428"/>
        <v>0</v>
      </c>
      <c r="CN99" s="62">
        <v>0</v>
      </c>
      <c r="CO99" s="62">
        <v>0</v>
      </c>
      <c r="CP99" s="62">
        <v>0</v>
      </c>
      <c r="CQ99" s="62">
        <v>0</v>
      </c>
      <c r="CR99" s="62">
        <v>0</v>
      </c>
      <c r="CS99" s="62">
        <v>0</v>
      </c>
      <c r="CT99" s="62">
        <v>0</v>
      </c>
      <c r="CU99" s="62">
        <v>0</v>
      </c>
      <c r="CV99" s="62">
        <v>0</v>
      </c>
      <c r="CW99" s="62">
        <v>0</v>
      </c>
      <c r="CX99" s="62">
        <v>0</v>
      </c>
      <c r="CY99" s="62">
        <v>0</v>
      </c>
      <c r="CZ99" s="190">
        <f t="shared" si="429"/>
        <v>0</v>
      </c>
      <c r="DA99" s="62">
        <v>0</v>
      </c>
      <c r="DB99" s="62">
        <v>0</v>
      </c>
      <c r="DC99" s="62">
        <v>0</v>
      </c>
      <c r="DD99" s="62">
        <v>0</v>
      </c>
      <c r="DE99" s="62">
        <v>0</v>
      </c>
      <c r="DF99" s="62">
        <v>0</v>
      </c>
      <c r="DG99" s="62">
        <v>0</v>
      </c>
      <c r="DH99" s="62">
        <v>0</v>
      </c>
      <c r="DI99" s="62">
        <v>0</v>
      </c>
      <c r="DJ99" s="62">
        <v>0</v>
      </c>
      <c r="DK99" s="62">
        <v>0</v>
      </c>
      <c r="DL99" s="62">
        <v>0</v>
      </c>
      <c r="DM99" s="190">
        <f t="shared" si="430"/>
        <v>0</v>
      </c>
      <c r="DN99" s="62">
        <v>0</v>
      </c>
      <c r="DO99" s="62">
        <v>0</v>
      </c>
      <c r="DP99" s="62">
        <v>0</v>
      </c>
      <c r="DQ99" s="62">
        <v>0</v>
      </c>
      <c r="DR99" s="62">
        <v>0</v>
      </c>
      <c r="DS99" s="62">
        <v>0</v>
      </c>
      <c r="DT99" s="62">
        <v>0</v>
      </c>
      <c r="DU99" s="62">
        <v>0</v>
      </c>
      <c r="DV99" s="62">
        <v>0</v>
      </c>
      <c r="DW99" s="62">
        <v>0</v>
      </c>
      <c r="DX99" s="62">
        <v>0</v>
      </c>
      <c r="DY99" s="62">
        <v>0</v>
      </c>
      <c r="DZ99" s="190">
        <f t="shared" si="431"/>
        <v>0</v>
      </c>
    </row>
    <row r="100" spans="1:130" ht="20.45" customHeight="1" outlineLevel="2">
      <c r="A100" s="525"/>
      <c r="B100" s="530"/>
      <c r="C100" s="30" t="s">
        <v>359</v>
      </c>
      <c r="D100" s="62">
        <f t="shared" si="345"/>
        <v>13900.000000000002</v>
      </c>
      <c r="E100" s="184">
        <f t="shared" si="489"/>
        <v>4.3006646912424584E-5</v>
      </c>
      <c r="F100" s="62">
        <v>0</v>
      </c>
      <c r="G100" s="190">
        <f t="shared" si="433"/>
        <v>0</v>
      </c>
      <c r="H100" s="197">
        <f t="shared" si="490"/>
        <v>0</v>
      </c>
      <c r="I100" s="62">
        <v>0</v>
      </c>
      <c r="J100" s="62">
        <v>0</v>
      </c>
      <c r="K100" s="62">
        <v>13900</v>
      </c>
      <c r="L100" s="62">
        <v>0</v>
      </c>
      <c r="M100" s="62">
        <v>0</v>
      </c>
      <c r="N100" s="62">
        <v>0</v>
      </c>
      <c r="O100" s="62">
        <v>0</v>
      </c>
      <c r="P100" s="62">
        <v>0</v>
      </c>
      <c r="Q100" s="62">
        <v>0</v>
      </c>
      <c r="R100" s="62">
        <v>0</v>
      </c>
      <c r="S100" s="62">
        <v>0</v>
      </c>
      <c r="T100" s="62">
        <v>0</v>
      </c>
      <c r="U100" s="190">
        <f t="shared" si="423"/>
        <v>13900</v>
      </c>
      <c r="V100" s="197">
        <f t="shared" si="491"/>
        <v>2.5054074894776941E-4</v>
      </c>
      <c r="W100" s="62">
        <v>0</v>
      </c>
      <c r="X100" s="62">
        <v>0</v>
      </c>
      <c r="Y100" s="62">
        <v>0</v>
      </c>
      <c r="Z100" s="62">
        <v>0</v>
      </c>
      <c r="AA100" s="62">
        <v>0</v>
      </c>
      <c r="AB100" s="62">
        <v>0</v>
      </c>
      <c r="AC100" s="62">
        <v>0</v>
      </c>
      <c r="AD100" s="62">
        <v>0</v>
      </c>
      <c r="AE100" s="62">
        <v>0</v>
      </c>
      <c r="AF100" s="62">
        <v>0</v>
      </c>
      <c r="AG100" s="62">
        <v>0</v>
      </c>
      <c r="AH100" s="62">
        <v>0</v>
      </c>
      <c r="AI100" s="190">
        <f t="shared" si="424"/>
        <v>0</v>
      </c>
      <c r="AJ100" s="197">
        <f t="shared" si="492"/>
        <v>0</v>
      </c>
      <c r="AK100" s="62">
        <v>0</v>
      </c>
      <c r="AL100" s="62">
        <v>0</v>
      </c>
      <c r="AM100" s="62">
        <v>0</v>
      </c>
      <c r="AN100" s="62">
        <v>0</v>
      </c>
      <c r="AO100" s="62">
        <v>0</v>
      </c>
      <c r="AP100" s="62">
        <v>0</v>
      </c>
      <c r="AQ100" s="62">
        <v>0</v>
      </c>
      <c r="AR100" s="62">
        <v>0</v>
      </c>
      <c r="AS100" s="62">
        <v>0</v>
      </c>
      <c r="AT100" s="62">
        <v>0</v>
      </c>
      <c r="AU100" s="62">
        <v>0</v>
      </c>
      <c r="AV100" s="62">
        <v>0</v>
      </c>
      <c r="AW100" s="190">
        <f t="shared" si="425"/>
        <v>0</v>
      </c>
      <c r="AX100" s="197">
        <f t="shared" si="493"/>
        <v>0</v>
      </c>
      <c r="AY100" s="62">
        <v>0</v>
      </c>
      <c r="AZ100" s="62">
        <v>0</v>
      </c>
      <c r="BA100" s="62">
        <v>0</v>
      </c>
      <c r="BB100" s="62">
        <v>0</v>
      </c>
      <c r="BC100" s="62">
        <v>0</v>
      </c>
      <c r="BD100" s="62">
        <v>0</v>
      </c>
      <c r="BE100" s="62">
        <v>0</v>
      </c>
      <c r="BF100" s="62">
        <v>0</v>
      </c>
      <c r="BG100" s="62">
        <v>0</v>
      </c>
      <c r="BH100" s="62">
        <v>0</v>
      </c>
      <c r="BI100" s="62">
        <v>0</v>
      </c>
      <c r="BJ100" s="62">
        <v>0</v>
      </c>
      <c r="BK100" s="190">
        <f t="shared" si="426"/>
        <v>0</v>
      </c>
      <c r="BL100" s="197">
        <f t="shared" si="494"/>
        <v>0</v>
      </c>
      <c r="BM100" s="62">
        <v>0</v>
      </c>
      <c r="BN100" s="62">
        <v>0</v>
      </c>
      <c r="BO100" s="62">
        <v>0</v>
      </c>
      <c r="BP100" s="62">
        <v>0</v>
      </c>
      <c r="BQ100" s="62">
        <v>0</v>
      </c>
      <c r="BR100" s="62">
        <v>0</v>
      </c>
      <c r="BS100" s="62">
        <v>0</v>
      </c>
      <c r="BT100" s="62">
        <v>0</v>
      </c>
      <c r="BU100" s="62">
        <v>0</v>
      </c>
      <c r="BV100" s="62">
        <v>0</v>
      </c>
      <c r="BW100" s="62">
        <v>0</v>
      </c>
      <c r="BX100" s="62">
        <v>0</v>
      </c>
      <c r="BY100" s="190">
        <f t="shared" si="427"/>
        <v>0</v>
      </c>
      <c r="BZ100" s="197">
        <f t="shared" si="495"/>
        <v>0</v>
      </c>
      <c r="CA100" s="62">
        <v>0</v>
      </c>
      <c r="CB100" s="62">
        <v>0</v>
      </c>
      <c r="CC100" s="62">
        <v>0</v>
      </c>
      <c r="CD100" s="62">
        <v>0</v>
      </c>
      <c r="CE100" s="62">
        <v>0</v>
      </c>
      <c r="CF100" s="62">
        <v>0</v>
      </c>
      <c r="CG100" s="62">
        <v>0</v>
      </c>
      <c r="CH100" s="62">
        <v>0</v>
      </c>
      <c r="CI100" s="62">
        <v>0</v>
      </c>
      <c r="CJ100" s="62">
        <v>0</v>
      </c>
      <c r="CK100" s="62">
        <v>0</v>
      </c>
      <c r="CL100" s="62">
        <v>0</v>
      </c>
      <c r="CM100" s="190">
        <f t="shared" si="428"/>
        <v>0</v>
      </c>
      <c r="CN100" s="62">
        <v>0</v>
      </c>
      <c r="CO100" s="62">
        <v>0</v>
      </c>
      <c r="CP100" s="62">
        <v>0</v>
      </c>
      <c r="CQ100" s="62">
        <v>0</v>
      </c>
      <c r="CR100" s="62">
        <v>0</v>
      </c>
      <c r="CS100" s="62">
        <v>0</v>
      </c>
      <c r="CT100" s="62">
        <v>0</v>
      </c>
      <c r="CU100" s="62">
        <v>0</v>
      </c>
      <c r="CV100" s="62">
        <v>0</v>
      </c>
      <c r="CW100" s="62">
        <v>0</v>
      </c>
      <c r="CX100" s="62">
        <v>0</v>
      </c>
      <c r="CY100" s="62">
        <v>0</v>
      </c>
      <c r="CZ100" s="190">
        <f t="shared" si="429"/>
        <v>0</v>
      </c>
      <c r="DA100" s="62">
        <v>0</v>
      </c>
      <c r="DB100" s="62">
        <v>0</v>
      </c>
      <c r="DC100" s="62">
        <v>0</v>
      </c>
      <c r="DD100" s="62">
        <v>0</v>
      </c>
      <c r="DE100" s="62">
        <v>0</v>
      </c>
      <c r="DF100" s="62">
        <v>0</v>
      </c>
      <c r="DG100" s="62">
        <v>0</v>
      </c>
      <c r="DH100" s="62">
        <v>0</v>
      </c>
      <c r="DI100" s="62">
        <v>0</v>
      </c>
      <c r="DJ100" s="62">
        <v>0</v>
      </c>
      <c r="DK100" s="62">
        <v>0</v>
      </c>
      <c r="DL100" s="62">
        <v>0</v>
      </c>
      <c r="DM100" s="190">
        <f t="shared" si="430"/>
        <v>0</v>
      </c>
      <c r="DN100" s="62">
        <v>0</v>
      </c>
      <c r="DO100" s="62">
        <v>0</v>
      </c>
      <c r="DP100" s="62">
        <v>0</v>
      </c>
      <c r="DQ100" s="62">
        <v>0</v>
      </c>
      <c r="DR100" s="62">
        <v>0</v>
      </c>
      <c r="DS100" s="62">
        <v>0</v>
      </c>
      <c r="DT100" s="62">
        <v>0</v>
      </c>
      <c r="DU100" s="62">
        <v>0</v>
      </c>
      <c r="DV100" s="62">
        <v>0</v>
      </c>
      <c r="DW100" s="62">
        <v>0</v>
      </c>
      <c r="DX100" s="62">
        <v>0</v>
      </c>
      <c r="DY100" s="62">
        <v>0</v>
      </c>
      <c r="DZ100" s="190">
        <f t="shared" si="431"/>
        <v>0</v>
      </c>
    </row>
    <row r="101" spans="1:130" ht="20.45" customHeight="1" outlineLevel="2">
      <c r="A101" s="525"/>
      <c r="B101" s="530"/>
      <c r="C101" s="30" t="s">
        <v>360</v>
      </c>
      <c r="D101" s="62">
        <f t="shared" si="345"/>
        <v>226150.00000000006</v>
      </c>
      <c r="E101" s="184">
        <f t="shared" si="489"/>
        <v>6.9970886325502308E-4</v>
      </c>
      <c r="F101" s="62">
        <v>0</v>
      </c>
      <c r="G101" s="190">
        <f t="shared" si="433"/>
        <v>0</v>
      </c>
      <c r="H101" s="197">
        <f t="shared" si="490"/>
        <v>0</v>
      </c>
      <c r="I101" s="62">
        <v>0</v>
      </c>
      <c r="J101" s="62">
        <v>0</v>
      </c>
      <c r="K101" s="62">
        <v>0</v>
      </c>
      <c r="L101" s="62">
        <v>0</v>
      </c>
      <c r="M101" s="62">
        <v>72100</v>
      </c>
      <c r="N101" s="62">
        <v>0</v>
      </c>
      <c r="O101" s="62">
        <v>0</v>
      </c>
      <c r="P101" s="62">
        <v>0</v>
      </c>
      <c r="Q101" s="62">
        <v>53300</v>
      </c>
      <c r="R101" s="62">
        <v>0</v>
      </c>
      <c r="S101" s="62">
        <v>0</v>
      </c>
      <c r="T101" s="62">
        <v>0</v>
      </c>
      <c r="U101" s="190">
        <f t="shared" si="423"/>
        <v>125400</v>
      </c>
      <c r="V101" s="197">
        <f t="shared" si="491"/>
        <v>2.2602740948237613E-3</v>
      </c>
      <c r="W101" s="62">
        <v>0</v>
      </c>
      <c r="X101" s="62">
        <v>0</v>
      </c>
      <c r="Y101" s="62">
        <v>0</v>
      </c>
      <c r="Z101" s="62">
        <v>0</v>
      </c>
      <c r="AA101" s="62">
        <v>0</v>
      </c>
      <c r="AB101" s="62">
        <v>0</v>
      </c>
      <c r="AC101" s="62">
        <v>0</v>
      </c>
      <c r="AD101" s="62">
        <v>0</v>
      </c>
      <c r="AE101" s="62">
        <v>0</v>
      </c>
      <c r="AF101" s="62">
        <v>0</v>
      </c>
      <c r="AG101" s="62">
        <v>0</v>
      </c>
      <c r="AH101" s="62">
        <v>0</v>
      </c>
      <c r="AI101" s="190">
        <f t="shared" si="424"/>
        <v>0</v>
      </c>
      <c r="AJ101" s="197">
        <f t="shared" si="492"/>
        <v>0</v>
      </c>
      <c r="AK101" s="62">
        <v>70750</v>
      </c>
      <c r="AL101" s="62">
        <v>0</v>
      </c>
      <c r="AM101" s="62">
        <v>0</v>
      </c>
      <c r="AN101" s="62">
        <v>0</v>
      </c>
      <c r="AO101" s="62">
        <v>0</v>
      </c>
      <c r="AP101" s="62">
        <v>0</v>
      </c>
      <c r="AQ101" s="62">
        <v>0</v>
      </c>
      <c r="AR101" s="62">
        <v>0</v>
      </c>
      <c r="AS101" s="62">
        <v>0</v>
      </c>
      <c r="AT101" s="62">
        <v>0</v>
      </c>
      <c r="AU101" s="62">
        <v>0</v>
      </c>
      <c r="AV101" s="62">
        <v>0</v>
      </c>
      <c r="AW101" s="190">
        <f t="shared" si="425"/>
        <v>70750</v>
      </c>
      <c r="AX101" s="197">
        <f t="shared" si="493"/>
        <v>9.2741472939342478E-4</v>
      </c>
      <c r="AY101" s="62">
        <v>0</v>
      </c>
      <c r="AZ101" s="62">
        <v>0</v>
      </c>
      <c r="BA101" s="62">
        <v>0</v>
      </c>
      <c r="BB101" s="62">
        <v>0</v>
      </c>
      <c r="BC101" s="62">
        <v>0</v>
      </c>
      <c r="BD101" s="62">
        <v>0</v>
      </c>
      <c r="BE101" s="62">
        <v>0</v>
      </c>
      <c r="BF101" s="62">
        <v>0</v>
      </c>
      <c r="BG101" s="62">
        <v>0</v>
      </c>
      <c r="BH101" s="62">
        <v>0</v>
      </c>
      <c r="BI101" s="62">
        <v>0</v>
      </c>
      <c r="BJ101" s="62">
        <v>0</v>
      </c>
      <c r="BK101" s="190">
        <f t="shared" si="426"/>
        <v>0</v>
      </c>
      <c r="BL101" s="197">
        <f t="shared" si="494"/>
        <v>0</v>
      </c>
      <c r="BM101" s="62">
        <v>0</v>
      </c>
      <c r="BN101" s="62">
        <v>0</v>
      </c>
      <c r="BO101" s="62">
        <v>30000</v>
      </c>
      <c r="BP101" s="62">
        <v>0</v>
      </c>
      <c r="BQ101" s="62">
        <v>0</v>
      </c>
      <c r="BR101" s="62">
        <v>0</v>
      </c>
      <c r="BS101" s="62">
        <v>0</v>
      </c>
      <c r="BT101" s="62">
        <v>0</v>
      </c>
      <c r="BU101" s="62">
        <v>0</v>
      </c>
      <c r="BV101" s="62">
        <v>0</v>
      </c>
      <c r="BW101" s="62">
        <v>0</v>
      </c>
      <c r="BX101" s="62">
        <v>0</v>
      </c>
      <c r="BY101" s="190">
        <f t="shared" si="427"/>
        <v>30000</v>
      </c>
      <c r="BZ101" s="197">
        <f t="shared" si="495"/>
        <v>6.8739719115759753E-4</v>
      </c>
      <c r="CA101" s="62">
        <v>0</v>
      </c>
      <c r="CB101" s="62">
        <v>0</v>
      </c>
      <c r="CC101" s="62">
        <v>0</v>
      </c>
      <c r="CD101" s="62">
        <v>0</v>
      </c>
      <c r="CE101" s="62">
        <v>0</v>
      </c>
      <c r="CF101" s="62">
        <v>0</v>
      </c>
      <c r="CG101" s="62">
        <v>0</v>
      </c>
      <c r="CH101" s="62">
        <v>0</v>
      </c>
      <c r="CI101" s="62">
        <v>0</v>
      </c>
      <c r="CJ101" s="62">
        <v>0</v>
      </c>
      <c r="CK101" s="62">
        <v>0</v>
      </c>
      <c r="CL101" s="62">
        <v>0</v>
      </c>
      <c r="CM101" s="190">
        <f t="shared" si="428"/>
        <v>0</v>
      </c>
      <c r="CN101" s="62">
        <v>0</v>
      </c>
      <c r="CO101" s="62">
        <v>0</v>
      </c>
      <c r="CP101" s="62">
        <v>0</v>
      </c>
      <c r="CQ101" s="62">
        <v>0</v>
      </c>
      <c r="CR101" s="62">
        <v>0</v>
      </c>
      <c r="CS101" s="62">
        <v>0</v>
      </c>
      <c r="CT101" s="62">
        <v>0</v>
      </c>
      <c r="CU101" s="62">
        <v>0</v>
      </c>
      <c r="CV101" s="62">
        <v>0</v>
      </c>
      <c r="CW101" s="62">
        <v>0</v>
      </c>
      <c r="CX101" s="62">
        <v>0</v>
      </c>
      <c r="CY101" s="62">
        <v>0</v>
      </c>
      <c r="CZ101" s="190">
        <f t="shared" si="429"/>
        <v>0</v>
      </c>
      <c r="DA101" s="62">
        <v>0</v>
      </c>
      <c r="DB101" s="62">
        <v>0</v>
      </c>
      <c r="DC101" s="62">
        <v>0</v>
      </c>
      <c r="DD101" s="62">
        <v>0</v>
      </c>
      <c r="DE101" s="62">
        <v>0</v>
      </c>
      <c r="DF101" s="62">
        <v>0</v>
      </c>
      <c r="DG101" s="62">
        <v>0</v>
      </c>
      <c r="DH101" s="62">
        <v>0</v>
      </c>
      <c r="DI101" s="62">
        <v>0</v>
      </c>
      <c r="DJ101" s="62">
        <v>0</v>
      </c>
      <c r="DK101" s="62">
        <v>0</v>
      </c>
      <c r="DL101" s="62">
        <v>0</v>
      </c>
      <c r="DM101" s="190">
        <f t="shared" si="430"/>
        <v>0</v>
      </c>
      <c r="DN101" s="62">
        <v>0</v>
      </c>
      <c r="DO101" s="62">
        <v>0</v>
      </c>
      <c r="DP101" s="62">
        <v>0</v>
      </c>
      <c r="DQ101" s="62">
        <v>0</v>
      </c>
      <c r="DR101" s="62">
        <v>0</v>
      </c>
      <c r="DS101" s="62">
        <v>0</v>
      </c>
      <c r="DT101" s="62">
        <v>0</v>
      </c>
      <c r="DU101" s="62">
        <v>0</v>
      </c>
      <c r="DV101" s="62">
        <v>0</v>
      </c>
      <c r="DW101" s="62">
        <v>0</v>
      </c>
      <c r="DX101" s="62">
        <v>0</v>
      </c>
      <c r="DY101" s="62">
        <v>0</v>
      </c>
      <c r="DZ101" s="190">
        <f t="shared" si="431"/>
        <v>0</v>
      </c>
    </row>
    <row r="102" spans="1:130" ht="20.45" customHeight="1" outlineLevel="2">
      <c r="A102" s="525"/>
      <c r="B102" s="530"/>
      <c r="C102" s="30" t="s">
        <v>361</v>
      </c>
      <c r="D102" s="62">
        <f t="shared" si="345"/>
        <v>138200.00000000009</v>
      </c>
      <c r="E102" s="184">
        <f t="shared" si="489"/>
        <v>4.275912664242504E-4</v>
      </c>
      <c r="F102" s="62">
        <v>0</v>
      </c>
      <c r="G102" s="190">
        <f t="shared" si="433"/>
        <v>0</v>
      </c>
      <c r="H102" s="197">
        <f t="shared" si="490"/>
        <v>0</v>
      </c>
      <c r="I102" s="62">
        <v>0</v>
      </c>
      <c r="J102" s="62">
        <v>0</v>
      </c>
      <c r="K102" s="62">
        <v>0</v>
      </c>
      <c r="L102" s="62">
        <v>0</v>
      </c>
      <c r="M102" s="62">
        <v>31000</v>
      </c>
      <c r="N102" s="62">
        <v>0</v>
      </c>
      <c r="O102" s="62">
        <v>0</v>
      </c>
      <c r="P102" s="62">
        <v>0</v>
      </c>
      <c r="Q102" s="62">
        <v>0</v>
      </c>
      <c r="R102" s="62">
        <v>0</v>
      </c>
      <c r="S102" s="62">
        <v>0</v>
      </c>
      <c r="T102" s="62">
        <v>0</v>
      </c>
      <c r="U102" s="190">
        <f t="shared" si="423"/>
        <v>31000</v>
      </c>
      <c r="V102" s="197">
        <f t="shared" si="491"/>
        <v>5.5875994369646411E-4</v>
      </c>
      <c r="W102" s="62">
        <v>0</v>
      </c>
      <c r="X102" s="62">
        <v>0</v>
      </c>
      <c r="Y102" s="62">
        <v>0</v>
      </c>
      <c r="Z102" s="62">
        <v>0</v>
      </c>
      <c r="AA102" s="62">
        <v>0</v>
      </c>
      <c r="AB102" s="62">
        <v>0</v>
      </c>
      <c r="AC102" s="62">
        <v>0</v>
      </c>
      <c r="AD102" s="62">
        <v>86200</v>
      </c>
      <c r="AE102" s="62">
        <v>0</v>
      </c>
      <c r="AF102" s="62">
        <v>0</v>
      </c>
      <c r="AG102" s="62">
        <v>0</v>
      </c>
      <c r="AH102" s="62">
        <v>0</v>
      </c>
      <c r="AI102" s="190">
        <f t="shared" si="424"/>
        <v>86200</v>
      </c>
      <c r="AJ102" s="197">
        <f t="shared" si="492"/>
        <v>1.1715346650176025E-3</v>
      </c>
      <c r="AK102" s="62">
        <v>0</v>
      </c>
      <c r="AL102" s="62">
        <v>0</v>
      </c>
      <c r="AM102" s="62">
        <v>0</v>
      </c>
      <c r="AN102" s="62">
        <v>0</v>
      </c>
      <c r="AO102" s="62">
        <v>0</v>
      </c>
      <c r="AP102" s="62">
        <v>0</v>
      </c>
      <c r="AQ102" s="62">
        <v>0</v>
      </c>
      <c r="AR102" s="62">
        <v>0</v>
      </c>
      <c r="AS102" s="62">
        <v>0</v>
      </c>
      <c r="AT102" s="62">
        <v>0</v>
      </c>
      <c r="AU102" s="62">
        <v>0</v>
      </c>
      <c r="AV102" s="62">
        <v>0</v>
      </c>
      <c r="AW102" s="190">
        <f t="shared" si="425"/>
        <v>0</v>
      </c>
      <c r="AX102" s="197">
        <f t="shared" si="493"/>
        <v>0</v>
      </c>
      <c r="AY102" s="62">
        <v>0</v>
      </c>
      <c r="AZ102" s="62">
        <v>21000</v>
      </c>
      <c r="BA102" s="62">
        <v>0</v>
      </c>
      <c r="BB102" s="62">
        <v>0</v>
      </c>
      <c r="BC102" s="62">
        <v>0</v>
      </c>
      <c r="BD102" s="62">
        <v>0</v>
      </c>
      <c r="BE102" s="62">
        <v>0</v>
      </c>
      <c r="BF102" s="62">
        <v>0</v>
      </c>
      <c r="BG102" s="62">
        <v>0</v>
      </c>
      <c r="BH102" s="62">
        <v>0</v>
      </c>
      <c r="BI102" s="62">
        <v>0</v>
      </c>
      <c r="BJ102" s="62">
        <v>0</v>
      </c>
      <c r="BK102" s="190">
        <f t="shared" si="426"/>
        <v>21000</v>
      </c>
      <c r="BL102" s="197">
        <f t="shared" si="494"/>
        <v>3.0069149593761493E-4</v>
      </c>
      <c r="BM102" s="62">
        <v>0</v>
      </c>
      <c r="BN102" s="62">
        <v>0</v>
      </c>
      <c r="BO102" s="62">
        <v>0</v>
      </c>
      <c r="BP102" s="62">
        <v>0</v>
      </c>
      <c r="BQ102" s="62">
        <v>0</v>
      </c>
      <c r="BR102" s="62">
        <v>0</v>
      </c>
      <c r="BS102" s="62">
        <v>0</v>
      </c>
      <c r="BT102" s="62">
        <v>0</v>
      </c>
      <c r="BU102" s="62">
        <v>0</v>
      </c>
      <c r="BV102" s="62">
        <v>0</v>
      </c>
      <c r="BW102" s="62">
        <v>0</v>
      </c>
      <c r="BX102" s="62">
        <v>0</v>
      </c>
      <c r="BY102" s="190">
        <f t="shared" si="427"/>
        <v>0</v>
      </c>
      <c r="BZ102" s="197">
        <f t="shared" si="495"/>
        <v>0</v>
      </c>
      <c r="CA102" s="62">
        <v>0</v>
      </c>
      <c r="CB102" s="62">
        <v>0</v>
      </c>
      <c r="CC102" s="62">
        <v>0</v>
      </c>
      <c r="CD102" s="62">
        <v>0</v>
      </c>
      <c r="CE102" s="62">
        <v>0</v>
      </c>
      <c r="CF102" s="62">
        <v>0</v>
      </c>
      <c r="CG102" s="62">
        <v>0</v>
      </c>
      <c r="CH102" s="62">
        <v>0</v>
      </c>
      <c r="CI102" s="62">
        <v>0</v>
      </c>
      <c r="CJ102" s="62">
        <v>0</v>
      </c>
      <c r="CK102" s="62">
        <v>0</v>
      </c>
      <c r="CL102" s="62">
        <v>0</v>
      </c>
      <c r="CM102" s="190">
        <f t="shared" si="428"/>
        <v>0</v>
      </c>
      <c r="CN102" s="62">
        <v>0</v>
      </c>
      <c r="CO102" s="62">
        <v>0</v>
      </c>
      <c r="CP102" s="62">
        <v>0</v>
      </c>
      <c r="CQ102" s="62">
        <v>0</v>
      </c>
      <c r="CR102" s="62">
        <v>0</v>
      </c>
      <c r="CS102" s="62">
        <v>0</v>
      </c>
      <c r="CT102" s="62">
        <v>0</v>
      </c>
      <c r="CU102" s="62">
        <v>0</v>
      </c>
      <c r="CV102" s="62">
        <v>0</v>
      </c>
      <c r="CW102" s="62">
        <v>0</v>
      </c>
      <c r="CX102" s="62">
        <v>0</v>
      </c>
      <c r="CY102" s="62">
        <v>0</v>
      </c>
      <c r="CZ102" s="190">
        <f t="shared" si="429"/>
        <v>0</v>
      </c>
      <c r="DA102" s="62">
        <v>0</v>
      </c>
      <c r="DB102" s="62">
        <v>0</v>
      </c>
      <c r="DC102" s="62">
        <v>0</v>
      </c>
      <c r="DD102" s="62">
        <v>0</v>
      </c>
      <c r="DE102" s="62">
        <v>0</v>
      </c>
      <c r="DF102" s="62">
        <v>0</v>
      </c>
      <c r="DG102" s="62">
        <v>0</v>
      </c>
      <c r="DH102" s="62">
        <v>0</v>
      </c>
      <c r="DI102" s="62">
        <v>0</v>
      </c>
      <c r="DJ102" s="62">
        <v>0</v>
      </c>
      <c r="DK102" s="62">
        <v>0</v>
      </c>
      <c r="DL102" s="62">
        <v>0</v>
      </c>
      <c r="DM102" s="190">
        <f t="shared" si="430"/>
        <v>0</v>
      </c>
      <c r="DN102" s="62">
        <v>0</v>
      </c>
      <c r="DO102" s="62">
        <v>0</v>
      </c>
      <c r="DP102" s="62">
        <v>0</v>
      </c>
      <c r="DQ102" s="62">
        <v>0</v>
      </c>
      <c r="DR102" s="62">
        <v>0</v>
      </c>
      <c r="DS102" s="62">
        <v>0</v>
      </c>
      <c r="DT102" s="62">
        <v>0</v>
      </c>
      <c r="DU102" s="62">
        <v>0</v>
      </c>
      <c r="DV102" s="62">
        <v>0</v>
      </c>
      <c r="DW102" s="62">
        <v>0</v>
      </c>
      <c r="DX102" s="62">
        <v>0</v>
      </c>
      <c r="DY102" s="62">
        <v>0</v>
      </c>
      <c r="DZ102" s="190">
        <f t="shared" si="431"/>
        <v>0</v>
      </c>
    </row>
    <row r="103" spans="1:130" ht="20.45" customHeight="1" outlineLevel="2">
      <c r="A103" s="526"/>
      <c r="B103" s="530"/>
      <c r="C103" s="30" t="s">
        <v>2787</v>
      </c>
      <c r="D103" s="62">
        <f t="shared" si="345"/>
        <v>83999.999999999985</v>
      </c>
      <c r="E103" s="184">
        <f t="shared" si="489"/>
        <v>2.5989628349954417E-4</v>
      </c>
      <c r="F103" s="62">
        <v>0</v>
      </c>
      <c r="G103" s="190">
        <f t="shared" si="433"/>
        <v>0</v>
      </c>
      <c r="H103" s="197">
        <f t="shared" si="490"/>
        <v>0</v>
      </c>
      <c r="I103" s="62">
        <v>0</v>
      </c>
      <c r="J103" s="62">
        <v>0</v>
      </c>
      <c r="K103" s="62">
        <v>0</v>
      </c>
      <c r="L103" s="62">
        <v>0</v>
      </c>
      <c r="M103" s="62">
        <v>0</v>
      </c>
      <c r="N103" s="62">
        <v>0</v>
      </c>
      <c r="O103" s="62">
        <v>0</v>
      </c>
      <c r="P103" s="62">
        <v>0</v>
      </c>
      <c r="Q103" s="62">
        <v>22000</v>
      </c>
      <c r="R103" s="62">
        <v>0</v>
      </c>
      <c r="S103" s="62">
        <v>0</v>
      </c>
      <c r="T103" s="62">
        <v>0</v>
      </c>
      <c r="U103" s="190">
        <f t="shared" si="423"/>
        <v>22000</v>
      </c>
      <c r="V103" s="197">
        <f t="shared" si="491"/>
        <v>3.9653931488136166E-4</v>
      </c>
      <c r="W103" s="62">
        <v>0</v>
      </c>
      <c r="X103" s="62">
        <v>0</v>
      </c>
      <c r="Y103" s="62">
        <v>0</v>
      </c>
      <c r="Z103" s="62">
        <v>0</v>
      </c>
      <c r="AA103" s="62">
        <v>0</v>
      </c>
      <c r="AB103" s="62">
        <v>0</v>
      </c>
      <c r="AC103" s="62">
        <v>28000</v>
      </c>
      <c r="AD103" s="62">
        <v>0</v>
      </c>
      <c r="AE103" s="62">
        <v>0</v>
      </c>
      <c r="AF103" s="62">
        <v>0</v>
      </c>
      <c r="AG103" s="62">
        <v>0</v>
      </c>
      <c r="AH103" s="62">
        <v>0</v>
      </c>
      <c r="AI103" s="190">
        <f t="shared" si="424"/>
        <v>28000</v>
      </c>
      <c r="AJ103" s="197">
        <f t="shared" si="492"/>
        <v>3.8054490278994048E-4</v>
      </c>
      <c r="AK103" s="62">
        <v>0</v>
      </c>
      <c r="AL103" s="62">
        <v>0</v>
      </c>
      <c r="AM103" s="62">
        <v>0</v>
      </c>
      <c r="AN103" s="62">
        <v>0</v>
      </c>
      <c r="AO103" s="62">
        <v>0</v>
      </c>
      <c r="AP103" s="62">
        <v>0</v>
      </c>
      <c r="AQ103" s="62">
        <v>0</v>
      </c>
      <c r="AR103" s="62">
        <v>0</v>
      </c>
      <c r="AS103" s="62">
        <v>0</v>
      </c>
      <c r="AT103" s="62">
        <f>6000+28000</f>
        <v>34000</v>
      </c>
      <c r="AU103" s="62">
        <v>0</v>
      </c>
      <c r="AV103" s="62">
        <v>0</v>
      </c>
      <c r="AW103" s="190">
        <f t="shared" si="425"/>
        <v>34000</v>
      </c>
      <c r="AX103" s="197">
        <f t="shared" si="493"/>
        <v>4.4568340352475538E-4</v>
      </c>
      <c r="AY103" s="62">
        <v>0</v>
      </c>
      <c r="AZ103" s="62">
        <v>0</v>
      </c>
      <c r="BA103" s="62">
        <v>0</v>
      </c>
      <c r="BB103" s="62">
        <v>0</v>
      </c>
      <c r="BC103" s="62">
        <v>0</v>
      </c>
      <c r="BD103" s="62">
        <v>0</v>
      </c>
      <c r="BE103" s="62">
        <v>0</v>
      </c>
      <c r="BF103" s="62">
        <v>0</v>
      </c>
      <c r="BG103" s="62">
        <v>0</v>
      </c>
      <c r="BH103" s="62">
        <v>0</v>
      </c>
      <c r="BI103" s="62">
        <v>0</v>
      </c>
      <c r="BJ103" s="62">
        <v>0</v>
      </c>
      <c r="BK103" s="190">
        <f t="shared" si="426"/>
        <v>0</v>
      </c>
      <c r="BL103" s="197">
        <f t="shared" si="494"/>
        <v>0</v>
      </c>
      <c r="BM103" s="62">
        <v>0</v>
      </c>
      <c r="BN103" s="62">
        <v>0</v>
      </c>
      <c r="BO103" s="62">
        <v>0</v>
      </c>
      <c r="BP103" s="62">
        <v>0</v>
      </c>
      <c r="BQ103" s="62">
        <v>0</v>
      </c>
      <c r="BR103" s="62">
        <v>0</v>
      </c>
      <c r="BS103" s="62">
        <v>0</v>
      </c>
      <c r="BT103" s="62">
        <v>0</v>
      </c>
      <c r="BU103" s="62">
        <v>0</v>
      </c>
      <c r="BV103" s="62">
        <v>0</v>
      </c>
      <c r="BW103" s="62">
        <v>0</v>
      </c>
      <c r="BX103" s="62">
        <v>0</v>
      </c>
      <c r="BY103" s="190">
        <f t="shared" si="427"/>
        <v>0</v>
      </c>
      <c r="BZ103" s="197">
        <f t="shared" si="495"/>
        <v>0</v>
      </c>
      <c r="CA103" s="62">
        <v>0</v>
      </c>
      <c r="CB103" s="62">
        <v>0</v>
      </c>
      <c r="CC103" s="62">
        <v>0</v>
      </c>
      <c r="CD103" s="62">
        <v>0</v>
      </c>
      <c r="CE103" s="62">
        <v>0</v>
      </c>
      <c r="CF103" s="62">
        <v>0</v>
      </c>
      <c r="CG103" s="62">
        <v>0</v>
      </c>
      <c r="CH103" s="62">
        <v>0</v>
      </c>
      <c r="CI103" s="62">
        <v>0</v>
      </c>
      <c r="CJ103" s="62">
        <v>0</v>
      </c>
      <c r="CK103" s="62">
        <v>0</v>
      </c>
      <c r="CL103" s="62">
        <v>0</v>
      </c>
      <c r="CM103" s="190">
        <f t="shared" si="428"/>
        <v>0</v>
      </c>
      <c r="CN103" s="62">
        <v>0</v>
      </c>
      <c r="CO103" s="62">
        <v>0</v>
      </c>
      <c r="CP103" s="62">
        <v>0</v>
      </c>
      <c r="CQ103" s="62">
        <v>0</v>
      </c>
      <c r="CR103" s="62">
        <v>0</v>
      </c>
      <c r="CS103" s="62">
        <v>0</v>
      </c>
      <c r="CT103" s="62">
        <v>0</v>
      </c>
      <c r="CU103" s="62">
        <v>0</v>
      </c>
      <c r="CV103" s="62">
        <v>0</v>
      </c>
      <c r="CW103" s="62">
        <v>0</v>
      </c>
      <c r="CX103" s="62">
        <v>0</v>
      </c>
      <c r="CY103" s="62">
        <v>0</v>
      </c>
      <c r="CZ103" s="190">
        <f t="shared" si="429"/>
        <v>0</v>
      </c>
      <c r="DA103" s="62">
        <v>0</v>
      </c>
      <c r="DB103" s="62">
        <v>0</v>
      </c>
      <c r="DC103" s="62">
        <v>0</v>
      </c>
      <c r="DD103" s="62">
        <v>0</v>
      </c>
      <c r="DE103" s="62">
        <v>0</v>
      </c>
      <c r="DF103" s="62">
        <v>0</v>
      </c>
      <c r="DG103" s="62">
        <v>0</v>
      </c>
      <c r="DH103" s="62">
        <v>0</v>
      </c>
      <c r="DI103" s="62">
        <v>0</v>
      </c>
      <c r="DJ103" s="62">
        <v>0</v>
      </c>
      <c r="DK103" s="62">
        <v>0</v>
      </c>
      <c r="DL103" s="62">
        <v>0</v>
      </c>
      <c r="DM103" s="190">
        <f t="shared" si="430"/>
        <v>0</v>
      </c>
      <c r="DN103" s="62">
        <v>0</v>
      </c>
      <c r="DO103" s="62">
        <v>0</v>
      </c>
      <c r="DP103" s="62">
        <v>0</v>
      </c>
      <c r="DQ103" s="62">
        <v>0</v>
      </c>
      <c r="DR103" s="62">
        <v>0</v>
      </c>
      <c r="DS103" s="62">
        <v>0</v>
      </c>
      <c r="DT103" s="62">
        <v>0</v>
      </c>
      <c r="DU103" s="62">
        <v>0</v>
      </c>
      <c r="DV103" s="62">
        <v>0</v>
      </c>
      <c r="DW103" s="62">
        <v>0</v>
      </c>
      <c r="DX103" s="62">
        <v>0</v>
      </c>
      <c r="DY103" s="62">
        <v>0</v>
      </c>
      <c r="DZ103" s="190">
        <f t="shared" si="431"/>
        <v>0</v>
      </c>
    </row>
    <row r="104" spans="1:130" ht="20.45" customHeight="1" outlineLevel="2">
      <c r="A104" s="526"/>
      <c r="B104" s="530"/>
      <c r="C104" s="30" t="s">
        <v>2620</v>
      </c>
      <c r="D104" s="62">
        <f t="shared" si="345"/>
        <v>43000.000000000007</v>
      </c>
      <c r="E104" s="184">
        <f t="shared" si="489"/>
        <v>1.3304214512476671E-4</v>
      </c>
      <c r="F104" s="62">
        <v>0</v>
      </c>
      <c r="G104" s="190">
        <f t="shared" ref="G104" si="496">SUM(F104)</f>
        <v>0</v>
      </c>
      <c r="H104" s="197">
        <f t="shared" si="490"/>
        <v>0</v>
      </c>
      <c r="I104" s="62">
        <v>0</v>
      </c>
      <c r="J104" s="62">
        <v>0</v>
      </c>
      <c r="K104" s="62">
        <v>0</v>
      </c>
      <c r="L104" s="62">
        <v>0</v>
      </c>
      <c r="M104" s="62">
        <v>0</v>
      </c>
      <c r="N104" s="62">
        <v>0</v>
      </c>
      <c r="O104" s="62">
        <v>0</v>
      </c>
      <c r="P104" s="62">
        <v>0</v>
      </c>
      <c r="Q104" s="62">
        <v>0</v>
      </c>
      <c r="R104" s="62">
        <v>0</v>
      </c>
      <c r="S104" s="62">
        <v>0</v>
      </c>
      <c r="T104" s="62">
        <v>0</v>
      </c>
      <c r="U104" s="190">
        <f t="shared" ref="U104:U105" si="497">SUM(I104:T104)</f>
        <v>0</v>
      </c>
      <c r="V104" s="197">
        <f t="shared" si="491"/>
        <v>0</v>
      </c>
      <c r="W104" s="62">
        <v>0</v>
      </c>
      <c r="X104" s="62">
        <v>0</v>
      </c>
      <c r="Y104" s="62">
        <v>0</v>
      </c>
      <c r="Z104" s="62">
        <v>0</v>
      </c>
      <c r="AA104" s="62">
        <v>0</v>
      </c>
      <c r="AB104" s="62">
        <v>0</v>
      </c>
      <c r="AC104" s="62">
        <v>43000</v>
      </c>
      <c r="AD104" s="62">
        <v>0</v>
      </c>
      <c r="AE104" s="62">
        <v>0</v>
      </c>
      <c r="AF104" s="62">
        <v>0</v>
      </c>
      <c r="AG104" s="62">
        <v>0</v>
      </c>
      <c r="AH104" s="62">
        <v>0</v>
      </c>
      <c r="AI104" s="190">
        <f t="shared" ref="AI104" si="498">SUM(W104:AH104)</f>
        <v>43000</v>
      </c>
      <c r="AJ104" s="197">
        <f t="shared" si="492"/>
        <v>5.8440824357026576E-4</v>
      </c>
      <c r="AK104" s="62">
        <v>0</v>
      </c>
      <c r="AL104" s="62">
        <v>0</v>
      </c>
      <c r="AM104" s="62">
        <v>0</v>
      </c>
      <c r="AN104" s="62">
        <v>0</v>
      </c>
      <c r="AO104" s="62">
        <v>0</v>
      </c>
      <c r="AP104" s="62">
        <v>0</v>
      </c>
      <c r="AQ104" s="62">
        <v>0</v>
      </c>
      <c r="AR104" s="62">
        <v>0</v>
      </c>
      <c r="AS104" s="62">
        <v>0</v>
      </c>
      <c r="AT104" s="62">
        <v>0</v>
      </c>
      <c r="AU104" s="62">
        <v>0</v>
      </c>
      <c r="AV104" s="62">
        <v>0</v>
      </c>
      <c r="AW104" s="190">
        <f t="shared" ref="AW104:AW105" si="499">SUM(AK104:AV104)</f>
        <v>0</v>
      </c>
      <c r="AX104" s="197">
        <f t="shared" si="493"/>
        <v>0</v>
      </c>
      <c r="AY104" s="62">
        <v>0</v>
      </c>
      <c r="AZ104" s="62">
        <v>0</v>
      </c>
      <c r="BA104" s="62">
        <v>0</v>
      </c>
      <c r="BB104" s="62">
        <v>0</v>
      </c>
      <c r="BC104" s="62">
        <v>0</v>
      </c>
      <c r="BD104" s="62">
        <v>0</v>
      </c>
      <c r="BE104" s="62">
        <v>0</v>
      </c>
      <c r="BF104" s="62">
        <v>0</v>
      </c>
      <c r="BG104" s="62">
        <v>0</v>
      </c>
      <c r="BH104" s="62">
        <v>0</v>
      </c>
      <c r="BI104" s="62">
        <v>0</v>
      </c>
      <c r="BJ104" s="62">
        <v>0</v>
      </c>
      <c r="BK104" s="190">
        <f t="shared" ref="BK104:BK105" si="500">SUM(AY104:BJ104)</f>
        <v>0</v>
      </c>
      <c r="BL104" s="197">
        <f t="shared" si="494"/>
        <v>0</v>
      </c>
      <c r="BM104" s="62">
        <v>0</v>
      </c>
      <c r="BN104" s="62">
        <v>0</v>
      </c>
      <c r="BO104" s="62">
        <v>0</v>
      </c>
      <c r="BP104" s="62">
        <v>0</v>
      </c>
      <c r="BQ104" s="62">
        <v>0</v>
      </c>
      <c r="BR104" s="62">
        <v>0</v>
      </c>
      <c r="BS104" s="62">
        <v>0</v>
      </c>
      <c r="BT104" s="62">
        <v>0</v>
      </c>
      <c r="BU104" s="62">
        <v>0</v>
      </c>
      <c r="BV104" s="62">
        <v>0</v>
      </c>
      <c r="BW104" s="62">
        <v>0</v>
      </c>
      <c r="BX104" s="62">
        <v>0</v>
      </c>
      <c r="BY104" s="190">
        <f t="shared" ref="BY104:BY105" si="501">SUM(BM104:BX104)</f>
        <v>0</v>
      </c>
      <c r="BZ104" s="197">
        <f t="shared" si="495"/>
        <v>0</v>
      </c>
      <c r="CA104" s="62">
        <v>0</v>
      </c>
      <c r="CB104" s="62">
        <v>0</v>
      </c>
      <c r="CC104" s="62">
        <v>0</v>
      </c>
      <c r="CD104" s="62">
        <v>0</v>
      </c>
      <c r="CE104" s="62">
        <v>0</v>
      </c>
      <c r="CF104" s="62">
        <v>0</v>
      </c>
      <c r="CG104" s="62">
        <v>0</v>
      </c>
      <c r="CH104" s="62">
        <v>0</v>
      </c>
      <c r="CI104" s="62">
        <v>0</v>
      </c>
      <c r="CJ104" s="62">
        <v>0</v>
      </c>
      <c r="CK104" s="62">
        <v>0</v>
      </c>
      <c r="CL104" s="62">
        <v>0</v>
      </c>
      <c r="CM104" s="190">
        <f t="shared" ref="CM104:CM105" si="502">SUM(CA104:CL104)</f>
        <v>0</v>
      </c>
      <c r="CN104" s="62">
        <v>0</v>
      </c>
      <c r="CO104" s="62">
        <v>0</v>
      </c>
      <c r="CP104" s="62">
        <v>0</v>
      </c>
      <c r="CQ104" s="62">
        <v>0</v>
      </c>
      <c r="CR104" s="62">
        <v>0</v>
      </c>
      <c r="CS104" s="62">
        <v>0</v>
      </c>
      <c r="CT104" s="62">
        <v>0</v>
      </c>
      <c r="CU104" s="62">
        <v>0</v>
      </c>
      <c r="CV104" s="62">
        <v>0</v>
      </c>
      <c r="CW104" s="62">
        <v>0</v>
      </c>
      <c r="CX104" s="62">
        <v>0</v>
      </c>
      <c r="CY104" s="62">
        <v>0</v>
      </c>
      <c r="CZ104" s="190">
        <f t="shared" ref="CZ104:CZ105" si="503">SUM(CN104:CY104)</f>
        <v>0</v>
      </c>
      <c r="DA104" s="62">
        <v>0</v>
      </c>
      <c r="DB104" s="62">
        <v>0</v>
      </c>
      <c r="DC104" s="62">
        <v>0</v>
      </c>
      <c r="DD104" s="62">
        <v>0</v>
      </c>
      <c r="DE104" s="62">
        <v>0</v>
      </c>
      <c r="DF104" s="62">
        <v>0</v>
      </c>
      <c r="DG104" s="62">
        <v>0</v>
      </c>
      <c r="DH104" s="62">
        <v>0</v>
      </c>
      <c r="DI104" s="62">
        <v>0</v>
      </c>
      <c r="DJ104" s="62">
        <v>0</v>
      </c>
      <c r="DK104" s="62">
        <v>0</v>
      </c>
      <c r="DL104" s="62">
        <v>0</v>
      </c>
      <c r="DM104" s="190">
        <f t="shared" ref="DM104:DM105" si="504">SUM(DA104:DL104)</f>
        <v>0</v>
      </c>
      <c r="DN104" s="62">
        <v>0</v>
      </c>
      <c r="DO104" s="62">
        <v>0</v>
      </c>
      <c r="DP104" s="62">
        <v>0</v>
      </c>
      <c r="DQ104" s="62">
        <v>0</v>
      </c>
      <c r="DR104" s="62">
        <v>0</v>
      </c>
      <c r="DS104" s="62">
        <v>0</v>
      </c>
      <c r="DT104" s="62">
        <v>0</v>
      </c>
      <c r="DU104" s="62">
        <v>0</v>
      </c>
      <c r="DV104" s="62">
        <v>0</v>
      </c>
      <c r="DW104" s="62">
        <v>0</v>
      </c>
      <c r="DX104" s="62">
        <v>0</v>
      </c>
      <c r="DY104" s="62">
        <v>0</v>
      </c>
      <c r="DZ104" s="190">
        <f t="shared" ref="DZ104:DZ105" si="505">SUM(DN104:DY104)</f>
        <v>0</v>
      </c>
    </row>
    <row r="105" spans="1:130" ht="20.45" customHeight="1" outlineLevel="2">
      <c r="A105" s="526"/>
      <c r="B105" s="530"/>
      <c r="C105" s="30" t="s">
        <v>2621</v>
      </c>
      <c r="D105" s="62">
        <f t="shared" si="345"/>
        <v>1254500.0000000002</v>
      </c>
      <c r="E105" s="184">
        <f t="shared" si="489"/>
        <v>3.8814272339306941E-3</v>
      </c>
      <c r="F105" s="62">
        <v>0</v>
      </c>
      <c r="G105" s="190">
        <f t="shared" ref="G105" si="506">SUM(F105)</f>
        <v>0</v>
      </c>
      <c r="H105" s="197">
        <f t="shared" si="490"/>
        <v>0</v>
      </c>
      <c r="I105" s="62">
        <v>0</v>
      </c>
      <c r="J105" s="62">
        <v>0</v>
      </c>
      <c r="K105" s="62">
        <v>0</v>
      </c>
      <c r="L105" s="62">
        <v>0</v>
      </c>
      <c r="M105" s="62">
        <v>0</v>
      </c>
      <c r="N105" s="62">
        <v>0</v>
      </c>
      <c r="O105" s="62">
        <v>0</v>
      </c>
      <c r="P105" s="62">
        <v>0</v>
      </c>
      <c r="Q105" s="62">
        <v>0</v>
      </c>
      <c r="R105" s="62">
        <v>0</v>
      </c>
      <c r="S105" s="62">
        <v>0</v>
      </c>
      <c r="T105" s="62">
        <v>0</v>
      </c>
      <c r="U105" s="190">
        <f t="shared" si="497"/>
        <v>0</v>
      </c>
      <c r="V105" s="197">
        <f t="shared" si="491"/>
        <v>0</v>
      </c>
      <c r="W105" s="62">
        <v>0</v>
      </c>
      <c r="X105" s="62">
        <v>0</v>
      </c>
      <c r="Y105" s="62">
        <v>0</v>
      </c>
      <c r="Z105" s="62">
        <v>0</v>
      </c>
      <c r="AA105" s="62">
        <v>0</v>
      </c>
      <c r="AB105" s="62">
        <v>0</v>
      </c>
      <c r="AC105" s="62">
        <v>0</v>
      </c>
      <c r="AD105" s="62">
        <v>0</v>
      </c>
      <c r="AE105" s="62">
        <v>0</v>
      </c>
      <c r="AF105" s="62">
        <v>0</v>
      </c>
      <c r="AG105" s="62">
        <v>0</v>
      </c>
      <c r="AH105" s="62">
        <v>0</v>
      </c>
      <c r="AI105" s="190">
        <f t="shared" ref="AI105:AI106" si="507">SUM(W105:AH105)</f>
        <v>0</v>
      </c>
      <c r="AJ105" s="197">
        <f t="shared" si="492"/>
        <v>0</v>
      </c>
      <c r="AK105" s="62">
        <v>0</v>
      </c>
      <c r="AL105" s="62">
        <v>0</v>
      </c>
      <c r="AM105" s="62">
        <v>0</v>
      </c>
      <c r="AN105" s="62">
        <v>0</v>
      </c>
      <c r="AO105" s="62">
        <v>0</v>
      </c>
      <c r="AP105" s="62">
        <v>0</v>
      </c>
      <c r="AQ105" s="62">
        <v>165000</v>
      </c>
      <c r="AR105" s="62">
        <f>215000+42500-12500</f>
        <v>245000</v>
      </c>
      <c r="AS105" s="62">
        <v>282500</v>
      </c>
      <c r="AT105" s="62">
        <f>250000+22000+290000</f>
        <v>562000</v>
      </c>
      <c r="AU105" s="62">
        <v>0</v>
      </c>
      <c r="AV105" s="62">
        <v>0</v>
      </c>
      <c r="AW105" s="190">
        <f t="shared" si="499"/>
        <v>1254500</v>
      </c>
      <c r="AX105" s="197">
        <f t="shared" si="493"/>
        <v>1.6444406756523693E-2</v>
      </c>
      <c r="AY105" s="62">
        <v>0</v>
      </c>
      <c r="AZ105" s="62">
        <v>0</v>
      </c>
      <c r="BA105" s="62">
        <v>0</v>
      </c>
      <c r="BB105" s="62">
        <v>0</v>
      </c>
      <c r="BC105" s="62">
        <v>0</v>
      </c>
      <c r="BD105" s="62">
        <v>0</v>
      </c>
      <c r="BE105" s="62">
        <v>0</v>
      </c>
      <c r="BF105" s="62">
        <v>0</v>
      </c>
      <c r="BG105" s="62">
        <v>0</v>
      </c>
      <c r="BH105" s="62">
        <v>0</v>
      </c>
      <c r="BI105" s="62">
        <v>0</v>
      </c>
      <c r="BJ105" s="62">
        <v>0</v>
      </c>
      <c r="BK105" s="190">
        <f t="shared" si="500"/>
        <v>0</v>
      </c>
      <c r="BL105" s="197">
        <f t="shared" si="494"/>
        <v>0</v>
      </c>
      <c r="BM105" s="62">
        <v>0</v>
      </c>
      <c r="BN105" s="62">
        <v>0</v>
      </c>
      <c r="BO105" s="62">
        <v>0</v>
      </c>
      <c r="BP105" s="62">
        <v>0</v>
      </c>
      <c r="BQ105" s="62">
        <v>0</v>
      </c>
      <c r="BR105" s="62">
        <v>0</v>
      </c>
      <c r="BS105" s="62">
        <v>0</v>
      </c>
      <c r="BT105" s="62">
        <v>0</v>
      </c>
      <c r="BU105" s="62">
        <v>0</v>
      </c>
      <c r="BV105" s="62">
        <v>0</v>
      </c>
      <c r="BW105" s="62">
        <v>0</v>
      </c>
      <c r="BX105" s="62">
        <v>0</v>
      </c>
      <c r="BY105" s="190">
        <f t="shared" si="501"/>
        <v>0</v>
      </c>
      <c r="BZ105" s="197">
        <f t="shared" si="495"/>
        <v>0</v>
      </c>
      <c r="CA105" s="62">
        <v>0</v>
      </c>
      <c r="CB105" s="62">
        <v>0</v>
      </c>
      <c r="CC105" s="62">
        <v>0</v>
      </c>
      <c r="CD105" s="62">
        <v>0</v>
      </c>
      <c r="CE105" s="62">
        <v>0</v>
      </c>
      <c r="CF105" s="62">
        <v>0</v>
      </c>
      <c r="CG105" s="62">
        <v>0</v>
      </c>
      <c r="CH105" s="62">
        <v>0</v>
      </c>
      <c r="CI105" s="62">
        <v>0</v>
      </c>
      <c r="CJ105" s="62">
        <v>0</v>
      </c>
      <c r="CK105" s="62">
        <v>0</v>
      </c>
      <c r="CL105" s="62">
        <v>0</v>
      </c>
      <c r="CM105" s="190">
        <f t="shared" si="502"/>
        <v>0</v>
      </c>
      <c r="CN105" s="62">
        <v>0</v>
      </c>
      <c r="CO105" s="62">
        <v>0</v>
      </c>
      <c r="CP105" s="62">
        <v>0</v>
      </c>
      <c r="CQ105" s="62">
        <v>0</v>
      </c>
      <c r="CR105" s="62">
        <v>0</v>
      </c>
      <c r="CS105" s="62">
        <v>0</v>
      </c>
      <c r="CT105" s="62">
        <v>0</v>
      </c>
      <c r="CU105" s="62">
        <v>0</v>
      </c>
      <c r="CV105" s="62">
        <v>0</v>
      </c>
      <c r="CW105" s="62">
        <v>0</v>
      </c>
      <c r="CX105" s="62">
        <v>0</v>
      </c>
      <c r="CY105" s="62">
        <v>0</v>
      </c>
      <c r="CZ105" s="190">
        <f t="shared" si="503"/>
        <v>0</v>
      </c>
      <c r="DA105" s="62">
        <v>0</v>
      </c>
      <c r="DB105" s="62">
        <v>0</v>
      </c>
      <c r="DC105" s="62">
        <v>0</v>
      </c>
      <c r="DD105" s="62">
        <v>0</v>
      </c>
      <c r="DE105" s="62">
        <v>0</v>
      </c>
      <c r="DF105" s="62">
        <v>0</v>
      </c>
      <c r="DG105" s="62">
        <v>0</v>
      </c>
      <c r="DH105" s="62">
        <v>0</v>
      </c>
      <c r="DI105" s="62">
        <v>0</v>
      </c>
      <c r="DJ105" s="62">
        <v>0</v>
      </c>
      <c r="DK105" s="62">
        <v>0</v>
      </c>
      <c r="DL105" s="62">
        <v>0</v>
      </c>
      <c r="DM105" s="190">
        <f t="shared" si="504"/>
        <v>0</v>
      </c>
      <c r="DN105" s="62">
        <v>0</v>
      </c>
      <c r="DO105" s="62">
        <v>0</v>
      </c>
      <c r="DP105" s="62">
        <v>0</v>
      </c>
      <c r="DQ105" s="62">
        <v>0</v>
      </c>
      <c r="DR105" s="62">
        <v>0</v>
      </c>
      <c r="DS105" s="62">
        <v>0</v>
      </c>
      <c r="DT105" s="62">
        <v>0</v>
      </c>
      <c r="DU105" s="62">
        <v>0</v>
      </c>
      <c r="DV105" s="62">
        <v>0</v>
      </c>
      <c r="DW105" s="62">
        <v>0</v>
      </c>
      <c r="DX105" s="62">
        <v>0</v>
      </c>
      <c r="DY105" s="62">
        <v>0</v>
      </c>
      <c r="DZ105" s="190">
        <f t="shared" si="505"/>
        <v>0</v>
      </c>
    </row>
    <row r="106" spans="1:130" ht="20.45" customHeight="1" outlineLevel="2">
      <c r="A106" s="526"/>
      <c r="B106" s="530"/>
      <c r="C106" s="30" t="s">
        <v>2958</v>
      </c>
      <c r="D106" s="62">
        <f t="shared" si="345"/>
        <v>27000</v>
      </c>
      <c r="E106" s="184">
        <f t="shared" si="489"/>
        <v>8.3538091124853498E-5</v>
      </c>
      <c r="F106" s="62">
        <v>0</v>
      </c>
      <c r="G106" s="190">
        <f t="shared" ref="G106" si="508">SUM(F106)</f>
        <v>0</v>
      </c>
      <c r="H106" s="197">
        <f t="shared" si="490"/>
        <v>0</v>
      </c>
      <c r="I106" s="62">
        <v>0</v>
      </c>
      <c r="J106" s="62">
        <v>0</v>
      </c>
      <c r="K106" s="62">
        <v>0</v>
      </c>
      <c r="L106" s="62">
        <v>0</v>
      </c>
      <c r="M106" s="62">
        <v>0</v>
      </c>
      <c r="N106" s="62">
        <v>0</v>
      </c>
      <c r="O106" s="62">
        <v>0</v>
      </c>
      <c r="P106" s="62">
        <v>0</v>
      </c>
      <c r="Q106" s="62">
        <v>0</v>
      </c>
      <c r="R106" s="62">
        <v>0</v>
      </c>
      <c r="S106" s="62">
        <v>0</v>
      </c>
      <c r="T106" s="62">
        <v>0</v>
      </c>
      <c r="U106" s="190">
        <f t="shared" ref="U106" si="509">SUM(I106:T106)</f>
        <v>0</v>
      </c>
      <c r="V106" s="197">
        <f t="shared" si="491"/>
        <v>0</v>
      </c>
      <c r="W106" s="62">
        <v>0</v>
      </c>
      <c r="X106" s="62">
        <v>0</v>
      </c>
      <c r="Y106" s="62">
        <v>0</v>
      </c>
      <c r="Z106" s="62">
        <v>0</v>
      </c>
      <c r="AA106" s="62">
        <v>0</v>
      </c>
      <c r="AB106" s="62">
        <v>0</v>
      </c>
      <c r="AC106" s="62">
        <v>0</v>
      </c>
      <c r="AD106" s="62">
        <v>0</v>
      </c>
      <c r="AE106" s="62">
        <v>0</v>
      </c>
      <c r="AF106" s="62">
        <v>0</v>
      </c>
      <c r="AG106" s="62">
        <v>0</v>
      </c>
      <c r="AH106" s="62">
        <v>0</v>
      </c>
      <c r="AI106" s="190">
        <f t="shared" si="507"/>
        <v>0</v>
      </c>
      <c r="AJ106" s="197">
        <f t="shared" si="492"/>
        <v>0</v>
      </c>
      <c r="AK106" s="62">
        <v>0</v>
      </c>
      <c r="AL106" s="62">
        <v>0</v>
      </c>
      <c r="AM106" s="62">
        <v>0</v>
      </c>
      <c r="AN106" s="62">
        <v>0</v>
      </c>
      <c r="AO106" s="62">
        <v>0</v>
      </c>
      <c r="AP106" s="62">
        <v>0</v>
      </c>
      <c r="AQ106" s="62">
        <v>0</v>
      </c>
      <c r="AR106" s="62">
        <v>0</v>
      </c>
      <c r="AS106" s="62">
        <v>0</v>
      </c>
      <c r="AT106" s="62">
        <v>0</v>
      </c>
      <c r="AU106" s="62">
        <v>0</v>
      </c>
      <c r="AV106" s="62">
        <v>0</v>
      </c>
      <c r="AW106" s="190">
        <f t="shared" ref="AW106" si="510">SUM(AK106:AV106)</f>
        <v>0</v>
      </c>
      <c r="AX106" s="197">
        <f t="shared" si="493"/>
        <v>0</v>
      </c>
      <c r="AY106" s="62">
        <v>0</v>
      </c>
      <c r="AZ106" s="62">
        <v>0</v>
      </c>
      <c r="BA106" s="62">
        <v>0</v>
      </c>
      <c r="BB106" s="62">
        <f>27000</f>
        <v>27000</v>
      </c>
      <c r="BC106" s="62">
        <v>0</v>
      </c>
      <c r="BD106" s="62">
        <v>0</v>
      </c>
      <c r="BE106" s="62">
        <v>0</v>
      </c>
      <c r="BF106" s="62">
        <v>0</v>
      </c>
      <c r="BG106" s="62">
        <v>0</v>
      </c>
      <c r="BH106" s="62">
        <v>0</v>
      </c>
      <c r="BI106" s="62">
        <v>0</v>
      </c>
      <c r="BJ106" s="62">
        <v>0</v>
      </c>
      <c r="BK106" s="190">
        <f t="shared" ref="BK106" si="511">SUM(AY106:BJ106)</f>
        <v>27000</v>
      </c>
      <c r="BL106" s="197">
        <f t="shared" si="494"/>
        <v>3.8660335191979063E-4</v>
      </c>
      <c r="BM106" s="62">
        <v>0</v>
      </c>
      <c r="BN106" s="62">
        <v>0</v>
      </c>
      <c r="BO106" s="62">
        <v>0</v>
      </c>
      <c r="BP106" s="62">
        <v>0</v>
      </c>
      <c r="BQ106" s="62">
        <v>0</v>
      </c>
      <c r="BR106" s="62">
        <v>0</v>
      </c>
      <c r="BS106" s="62">
        <v>0</v>
      </c>
      <c r="BT106" s="62">
        <v>0</v>
      </c>
      <c r="BU106" s="62">
        <v>0</v>
      </c>
      <c r="BV106" s="62">
        <v>0</v>
      </c>
      <c r="BW106" s="62">
        <v>0</v>
      </c>
      <c r="BX106" s="62">
        <v>0</v>
      </c>
      <c r="BY106" s="190">
        <f t="shared" ref="BY106" si="512">SUM(BM106:BX106)</f>
        <v>0</v>
      </c>
      <c r="BZ106" s="197">
        <f t="shared" si="495"/>
        <v>0</v>
      </c>
      <c r="CA106" s="62">
        <v>0</v>
      </c>
      <c r="CB106" s="62">
        <v>0</v>
      </c>
      <c r="CC106" s="62">
        <v>0</v>
      </c>
      <c r="CD106" s="62">
        <v>0</v>
      </c>
      <c r="CE106" s="62">
        <v>0</v>
      </c>
      <c r="CF106" s="62">
        <v>0</v>
      </c>
      <c r="CG106" s="62">
        <v>0</v>
      </c>
      <c r="CH106" s="62">
        <v>0</v>
      </c>
      <c r="CI106" s="62">
        <v>0</v>
      </c>
      <c r="CJ106" s="62">
        <v>0</v>
      </c>
      <c r="CK106" s="62">
        <v>0</v>
      </c>
      <c r="CL106" s="62">
        <v>0</v>
      </c>
      <c r="CM106" s="190">
        <f t="shared" ref="CM106" si="513">SUM(CA106:CL106)</f>
        <v>0</v>
      </c>
      <c r="CN106" s="62">
        <v>0</v>
      </c>
      <c r="CO106" s="62">
        <v>0</v>
      </c>
      <c r="CP106" s="62">
        <v>0</v>
      </c>
      <c r="CQ106" s="62">
        <v>0</v>
      </c>
      <c r="CR106" s="62">
        <v>0</v>
      </c>
      <c r="CS106" s="62">
        <v>0</v>
      </c>
      <c r="CT106" s="62">
        <v>0</v>
      </c>
      <c r="CU106" s="62">
        <v>0</v>
      </c>
      <c r="CV106" s="62">
        <v>0</v>
      </c>
      <c r="CW106" s="62">
        <v>0</v>
      </c>
      <c r="CX106" s="62">
        <v>0</v>
      </c>
      <c r="CY106" s="62">
        <v>0</v>
      </c>
      <c r="CZ106" s="190">
        <f t="shared" ref="CZ106" si="514">SUM(CN106:CY106)</f>
        <v>0</v>
      </c>
      <c r="DA106" s="62">
        <v>0</v>
      </c>
      <c r="DB106" s="62">
        <v>0</v>
      </c>
      <c r="DC106" s="62">
        <v>0</v>
      </c>
      <c r="DD106" s="62">
        <v>0</v>
      </c>
      <c r="DE106" s="62">
        <v>0</v>
      </c>
      <c r="DF106" s="62">
        <v>0</v>
      </c>
      <c r="DG106" s="62">
        <v>0</v>
      </c>
      <c r="DH106" s="62">
        <v>0</v>
      </c>
      <c r="DI106" s="62">
        <v>0</v>
      </c>
      <c r="DJ106" s="62">
        <v>0</v>
      </c>
      <c r="DK106" s="62">
        <v>0</v>
      </c>
      <c r="DL106" s="62">
        <v>0</v>
      </c>
      <c r="DM106" s="190">
        <f t="shared" ref="DM106" si="515">SUM(DA106:DL106)</f>
        <v>0</v>
      </c>
      <c r="DN106" s="62">
        <v>0</v>
      </c>
      <c r="DO106" s="62">
        <v>0</v>
      </c>
      <c r="DP106" s="62">
        <v>0</v>
      </c>
      <c r="DQ106" s="62">
        <v>0</v>
      </c>
      <c r="DR106" s="62">
        <v>0</v>
      </c>
      <c r="DS106" s="62">
        <v>0</v>
      </c>
      <c r="DT106" s="62">
        <v>0</v>
      </c>
      <c r="DU106" s="62">
        <v>0</v>
      </c>
      <c r="DV106" s="62">
        <v>0</v>
      </c>
      <c r="DW106" s="62">
        <v>0</v>
      </c>
      <c r="DX106" s="62">
        <v>0</v>
      </c>
      <c r="DY106" s="62">
        <v>0</v>
      </c>
      <c r="DZ106" s="190">
        <f t="shared" ref="DZ106" si="516">SUM(DN106:DY106)</f>
        <v>0</v>
      </c>
    </row>
    <row r="107" spans="1:130" ht="20.45" customHeight="1" outlineLevel="2">
      <c r="A107" s="525"/>
      <c r="B107" s="529"/>
      <c r="C107" s="30" t="s">
        <v>380</v>
      </c>
      <c r="D107" s="62">
        <f t="shared" si="345"/>
        <v>469420</v>
      </c>
      <c r="E107" s="184">
        <f t="shared" si="489"/>
        <v>1.452387064289953E-3</v>
      </c>
      <c r="F107" s="62">
        <v>0</v>
      </c>
      <c r="G107" s="190">
        <f t="shared" si="433"/>
        <v>0</v>
      </c>
      <c r="H107" s="197">
        <f t="shared" si="490"/>
        <v>0</v>
      </c>
      <c r="I107" s="62">
        <v>0</v>
      </c>
      <c r="J107" s="62">
        <v>0</v>
      </c>
      <c r="K107" s="62">
        <v>0</v>
      </c>
      <c r="L107" s="62">
        <v>0</v>
      </c>
      <c r="M107" s="62">
        <v>0</v>
      </c>
      <c r="N107" s="62">
        <v>0</v>
      </c>
      <c r="O107" s="62">
        <v>0</v>
      </c>
      <c r="P107" s="62">
        <v>0</v>
      </c>
      <c r="Q107" s="62">
        <v>0</v>
      </c>
      <c r="R107" s="62">
        <v>0</v>
      </c>
      <c r="S107" s="62">
        <v>0</v>
      </c>
      <c r="T107" s="62">
        <v>0</v>
      </c>
      <c r="U107" s="190">
        <f t="shared" si="423"/>
        <v>0</v>
      </c>
      <c r="V107" s="197">
        <f t="shared" si="491"/>
        <v>0</v>
      </c>
      <c r="W107" s="62">
        <v>0</v>
      </c>
      <c r="X107" s="62">
        <v>0</v>
      </c>
      <c r="Y107" s="62">
        <v>4000</v>
      </c>
      <c r="Z107" s="62">
        <v>0</v>
      </c>
      <c r="AA107" s="62">
        <f>12500+2000</f>
        <v>14500</v>
      </c>
      <c r="AB107" s="62">
        <v>0</v>
      </c>
      <c r="AC107" s="62">
        <v>0</v>
      </c>
      <c r="AD107" s="62">
        <v>0</v>
      </c>
      <c r="AE107" s="62">
        <v>2000</v>
      </c>
      <c r="AF107" s="62">
        <v>0</v>
      </c>
      <c r="AG107" s="62">
        <v>32700</v>
      </c>
      <c r="AH107" s="62">
        <f>12000+2000+51720+23700</f>
        <v>89420</v>
      </c>
      <c r="AI107" s="190">
        <f t="shared" si="424"/>
        <v>142620</v>
      </c>
      <c r="AJ107" s="197">
        <f t="shared" si="492"/>
        <v>1.9383326441393327E-3</v>
      </c>
      <c r="AK107" s="62">
        <v>0</v>
      </c>
      <c r="AL107" s="62">
        <v>4500</v>
      </c>
      <c r="AM107" s="62">
        <f>26000</f>
        <v>26000</v>
      </c>
      <c r="AN107" s="62">
        <v>6000</v>
      </c>
      <c r="AO107" s="62">
        <f>18000</f>
        <v>18000</v>
      </c>
      <c r="AP107" s="62">
        <v>0</v>
      </c>
      <c r="AQ107" s="62">
        <f>18000+9000</f>
        <v>27000</v>
      </c>
      <c r="AR107" s="62">
        <f>1000</f>
        <v>1000</v>
      </c>
      <c r="AS107" s="62">
        <v>6000</v>
      </c>
      <c r="AT107" s="62">
        <v>0</v>
      </c>
      <c r="AU107" s="62">
        <v>0</v>
      </c>
      <c r="AV107" s="62">
        <f>15500</f>
        <v>15500</v>
      </c>
      <c r="AW107" s="190">
        <f t="shared" si="425"/>
        <v>104000</v>
      </c>
      <c r="AX107" s="197">
        <f t="shared" si="493"/>
        <v>1.3632668813698399E-3</v>
      </c>
      <c r="AY107" s="62">
        <v>18000</v>
      </c>
      <c r="AZ107" s="62">
        <f>5000+35500+18000</f>
        <v>58500</v>
      </c>
      <c r="BA107" s="62">
        <f>5000+23800</f>
        <v>28800</v>
      </c>
      <c r="BB107" s="62">
        <v>0</v>
      </c>
      <c r="BC107" s="62">
        <f>18000</f>
        <v>18000</v>
      </c>
      <c r="BD107" s="62">
        <f>4000</f>
        <v>4000</v>
      </c>
      <c r="BE107" s="62">
        <f>67000-4000</f>
        <v>63000</v>
      </c>
      <c r="BF107" s="62">
        <v>0</v>
      </c>
      <c r="BG107" s="62">
        <v>0</v>
      </c>
      <c r="BH107" s="62">
        <v>0</v>
      </c>
      <c r="BI107" s="62">
        <v>0</v>
      </c>
      <c r="BJ107" s="62">
        <f>19000</f>
        <v>19000</v>
      </c>
      <c r="BK107" s="190">
        <f t="shared" si="426"/>
        <v>209300</v>
      </c>
      <c r="BL107" s="197">
        <f t="shared" si="494"/>
        <v>2.9968919095115622E-3</v>
      </c>
      <c r="BM107" s="62">
        <v>0</v>
      </c>
      <c r="BN107" s="62">
        <v>0</v>
      </c>
      <c r="BO107" s="62">
        <v>0</v>
      </c>
      <c r="BP107" s="62">
        <v>0</v>
      </c>
      <c r="BQ107" s="62">
        <f>13500</f>
        <v>13500</v>
      </c>
      <c r="BR107" s="62">
        <v>0</v>
      </c>
      <c r="BS107" s="62">
        <v>0</v>
      </c>
      <c r="BT107" s="62">
        <v>0</v>
      </c>
      <c r="BU107" s="62">
        <v>0</v>
      </c>
      <c r="BV107" s="62">
        <v>0</v>
      </c>
      <c r="BW107" s="62">
        <v>0</v>
      </c>
      <c r="BX107" s="62">
        <v>0</v>
      </c>
      <c r="BY107" s="190">
        <f t="shared" si="427"/>
        <v>13500</v>
      </c>
      <c r="BZ107" s="197">
        <f t="shared" si="495"/>
        <v>3.0932873602091884E-4</v>
      </c>
      <c r="CA107" s="62">
        <v>0</v>
      </c>
      <c r="CB107" s="62">
        <v>0</v>
      </c>
      <c r="CC107" s="62">
        <v>0</v>
      </c>
      <c r="CD107" s="62">
        <v>0</v>
      </c>
      <c r="CE107" s="62">
        <v>0</v>
      </c>
      <c r="CF107" s="62">
        <v>0</v>
      </c>
      <c r="CG107" s="62">
        <v>0</v>
      </c>
      <c r="CH107" s="62">
        <v>0</v>
      </c>
      <c r="CI107" s="62">
        <v>0</v>
      </c>
      <c r="CJ107" s="62">
        <v>0</v>
      </c>
      <c r="CK107" s="62">
        <v>0</v>
      </c>
      <c r="CL107" s="62">
        <v>0</v>
      </c>
      <c r="CM107" s="190">
        <f t="shared" si="428"/>
        <v>0</v>
      </c>
      <c r="CN107" s="62">
        <v>0</v>
      </c>
      <c r="CO107" s="62">
        <v>0</v>
      </c>
      <c r="CP107" s="62">
        <v>0</v>
      </c>
      <c r="CQ107" s="62">
        <v>0</v>
      </c>
      <c r="CR107" s="62">
        <v>0</v>
      </c>
      <c r="CS107" s="62">
        <v>0</v>
      </c>
      <c r="CT107" s="62">
        <v>0</v>
      </c>
      <c r="CU107" s="62">
        <v>0</v>
      </c>
      <c r="CV107" s="62">
        <v>0</v>
      </c>
      <c r="CW107" s="62">
        <v>0</v>
      </c>
      <c r="CX107" s="62">
        <v>0</v>
      </c>
      <c r="CY107" s="62">
        <v>0</v>
      </c>
      <c r="CZ107" s="190">
        <f t="shared" si="429"/>
        <v>0</v>
      </c>
      <c r="DA107" s="62">
        <v>0</v>
      </c>
      <c r="DB107" s="62">
        <v>0</v>
      </c>
      <c r="DC107" s="62">
        <v>0</v>
      </c>
      <c r="DD107" s="62">
        <v>0</v>
      </c>
      <c r="DE107" s="62">
        <v>0</v>
      </c>
      <c r="DF107" s="62">
        <v>0</v>
      </c>
      <c r="DG107" s="62">
        <v>0</v>
      </c>
      <c r="DH107" s="62">
        <v>0</v>
      </c>
      <c r="DI107" s="62">
        <v>0</v>
      </c>
      <c r="DJ107" s="62">
        <v>0</v>
      </c>
      <c r="DK107" s="62">
        <v>0</v>
      </c>
      <c r="DL107" s="62">
        <v>0</v>
      </c>
      <c r="DM107" s="190">
        <f t="shared" si="430"/>
        <v>0</v>
      </c>
      <c r="DN107" s="62">
        <v>0</v>
      </c>
      <c r="DO107" s="62">
        <v>0</v>
      </c>
      <c r="DP107" s="62">
        <v>0</v>
      </c>
      <c r="DQ107" s="62">
        <v>0</v>
      </c>
      <c r="DR107" s="62">
        <v>0</v>
      </c>
      <c r="DS107" s="62">
        <v>0</v>
      </c>
      <c r="DT107" s="62">
        <v>0</v>
      </c>
      <c r="DU107" s="62">
        <v>0</v>
      </c>
      <c r="DV107" s="62">
        <v>0</v>
      </c>
      <c r="DW107" s="62">
        <v>0</v>
      </c>
      <c r="DX107" s="62">
        <v>0</v>
      </c>
      <c r="DY107" s="62">
        <v>0</v>
      </c>
      <c r="DZ107" s="190">
        <f t="shared" si="431"/>
        <v>0</v>
      </c>
    </row>
    <row r="108" spans="1:130" s="194" customFormat="1" ht="20.45" customHeight="1" outlineLevel="1">
      <c r="A108" s="525"/>
      <c r="B108" s="527" t="s">
        <v>362</v>
      </c>
      <c r="C108" s="65" t="s">
        <v>307</v>
      </c>
      <c r="D108" s="66">
        <f t="shared" si="345"/>
        <v>3034100</v>
      </c>
      <c r="E108" s="187">
        <f>SUM(E109:E112)</f>
        <v>9.3875156400710369E-3</v>
      </c>
      <c r="F108" s="62">
        <f t="shared" ref="F108:DX108" si="517">SUM(F109:F112)</f>
        <v>220600</v>
      </c>
      <c r="G108" s="190">
        <f t="shared" si="433"/>
        <v>220600</v>
      </c>
      <c r="H108" s="196">
        <f>SUM(H109:H112)</f>
        <v>5.0389398582198562E-2</v>
      </c>
      <c r="I108" s="62">
        <f t="shared" si="517"/>
        <v>258700</v>
      </c>
      <c r="J108" s="62">
        <f t="shared" si="517"/>
        <v>0</v>
      </c>
      <c r="K108" s="62">
        <f t="shared" si="517"/>
        <v>0</v>
      </c>
      <c r="L108" s="62">
        <f t="shared" si="517"/>
        <v>0</v>
      </c>
      <c r="M108" s="62">
        <f t="shared" si="517"/>
        <v>0</v>
      </c>
      <c r="N108" s="62">
        <f t="shared" si="517"/>
        <v>0</v>
      </c>
      <c r="O108" s="62">
        <f t="shared" si="517"/>
        <v>0</v>
      </c>
      <c r="P108" s="62">
        <f t="shared" si="517"/>
        <v>0</v>
      </c>
      <c r="Q108" s="62">
        <f t="shared" si="517"/>
        <v>0</v>
      </c>
      <c r="R108" s="62">
        <f t="shared" si="517"/>
        <v>0</v>
      </c>
      <c r="S108" s="62">
        <f t="shared" si="517"/>
        <v>170700</v>
      </c>
      <c r="T108" s="62">
        <f t="shared" si="517"/>
        <v>12400</v>
      </c>
      <c r="U108" s="190">
        <f t="shared" si="423"/>
        <v>441800</v>
      </c>
      <c r="V108" s="196">
        <f>SUM(V109:V112)</f>
        <v>7.9632304233902534E-3</v>
      </c>
      <c r="W108" s="62">
        <f t="shared" si="517"/>
        <v>7500</v>
      </c>
      <c r="X108" s="62">
        <f t="shared" si="517"/>
        <v>0</v>
      </c>
      <c r="Y108" s="62">
        <f t="shared" si="517"/>
        <v>0</v>
      </c>
      <c r="Z108" s="62">
        <f t="shared" si="517"/>
        <v>0</v>
      </c>
      <c r="AA108" s="62">
        <f t="shared" si="517"/>
        <v>0</v>
      </c>
      <c r="AB108" s="62">
        <f t="shared" si="517"/>
        <v>228000</v>
      </c>
      <c r="AC108" s="62">
        <f t="shared" ref="AC108:AF108" si="518">SUM(AC109:AC112)</f>
        <v>-57300</v>
      </c>
      <c r="AD108" s="62">
        <f t="shared" si="518"/>
        <v>0</v>
      </c>
      <c r="AE108" s="62">
        <f t="shared" si="518"/>
        <v>123600</v>
      </c>
      <c r="AF108" s="62">
        <f t="shared" si="518"/>
        <v>0</v>
      </c>
      <c r="AG108" s="62">
        <f t="shared" si="517"/>
        <v>0</v>
      </c>
      <c r="AH108" s="62">
        <f t="shared" si="517"/>
        <v>512500</v>
      </c>
      <c r="AI108" s="190">
        <f t="shared" si="424"/>
        <v>814300</v>
      </c>
      <c r="AJ108" s="196">
        <f>SUM(AJ109:AJ112)</f>
        <v>1.1067061226494592E-2</v>
      </c>
      <c r="AK108" s="62">
        <f t="shared" ref="AK108:AV108" si="519">SUM(AK109:AK112)</f>
        <v>0</v>
      </c>
      <c r="AL108" s="62">
        <f t="shared" si="519"/>
        <v>0</v>
      </c>
      <c r="AM108" s="62">
        <f t="shared" si="519"/>
        <v>48800</v>
      </c>
      <c r="AN108" s="62">
        <f t="shared" si="519"/>
        <v>374500</v>
      </c>
      <c r="AO108" s="62">
        <f t="shared" si="519"/>
        <v>229500</v>
      </c>
      <c r="AP108" s="62">
        <f t="shared" si="519"/>
        <v>-168900</v>
      </c>
      <c r="AQ108" s="62">
        <f t="shared" si="519"/>
        <v>0</v>
      </c>
      <c r="AR108" s="62">
        <f t="shared" si="519"/>
        <v>0</v>
      </c>
      <c r="AS108" s="62">
        <f t="shared" si="519"/>
        <v>0</v>
      </c>
      <c r="AT108" s="62">
        <f t="shared" si="519"/>
        <v>20400</v>
      </c>
      <c r="AU108" s="62">
        <f t="shared" si="519"/>
        <v>0</v>
      </c>
      <c r="AV108" s="62">
        <f t="shared" si="519"/>
        <v>0</v>
      </c>
      <c r="AW108" s="190">
        <f t="shared" si="425"/>
        <v>504300</v>
      </c>
      <c r="AX108" s="196">
        <f>SUM(AX109:AX112)</f>
        <v>6.6105335411039447E-3</v>
      </c>
      <c r="AY108" s="62">
        <f t="shared" ref="AY108:BJ108" si="520">SUM(AY109:AY112)</f>
        <v>0</v>
      </c>
      <c r="AZ108" s="62">
        <f t="shared" si="520"/>
        <v>0</v>
      </c>
      <c r="BA108" s="62">
        <f t="shared" si="520"/>
        <v>-2200</v>
      </c>
      <c r="BB108" s="62">
        <f t="shared" si="520"/>
        <v>0</v>
      </c>
      <c r="BC108" s="62">
        <f t="shared" si="520"/>
        <v>124400</v>
      </c>
      <c r="BD108" s="62">
        <f t="shared" si="520"/>
        <v>-42500</v>
      </c>
      <c r="BE108" s="62">
        <f t="shared" si="520"/>
        <v>0</v>
      </c>
      <c r="BF108" s="62">
        <f t="shared" si="520"/>
        <v>437200</v>
      </c>
      <c r="BG108" s="62">
        <f t="shared" si="520"/>
        <v>-178400</v>
      </c>
      <c r="BH108" s="62">
        <f t="shared" si="520"/>
        <v>400</v>
      </c>
      <c r="BI108" s="62">
        <f t="shared" si="520"/>
        <v>254900</v>
      </c>
      <c r="BJ108" s="62">
        <f t="shared" si="520"/>
        <v>11000</v>
      </c>
      <c r="BK108" s="190">
        <f t="shared" si="426"/>
        <v>604800</v>
      </c>
      <c r="BL108" s="196">
        <f>SUM(BL109:BL112)</f>
        <v>8.6599150830033098E-3</v>
      </c>
      <c r="BM108" s="62">
        <f t="shared" ref="BM108:BX108" si="521">SUM(BM109:BM112)</f>
        <v>467400</v>
      </c>
      <c r="BN108" s="62">
        <f t="shared" si="521"/>
        <v>-206800</v>
      </c>
      <c r="BO108" s="62">
        <f t="shared" si="521"/>
        <v>0</v>
      </c>
      <c r="BP108" s="62">
        <f t="shared" si="521"/>
        <v>0</v>
      </c>
      <c r="BQ108" s="62">
        <f t="shared" si="521"/>
        <v>187700</v>
      </c>
      <c r="BR108" s="62">
        <f t="shared" si="521"/>
        <v>0</v>
      </c>
      <c r="BS108" s="62">
        <f t="shared" si="521"/>
        <v>0</v>
      </c>
      <c r="BT108" s="62">
        <f t="shared" si="521"/>
        <v>0</v>
      </c>
      <c r="BU108" s="62">
        <f t="shared" si="521"/>
        <v>0</v>
      </c>
      <c r="BV108" s="62">
        <f t="shared" si="521"/>
        <v>0</v>
      </c>
      <c r="BW108" s="62">
        <f t="shared" si="521"/>
        <v>0</v>
      </c>
      <c r="BX108" s="62">
        <f t="shared" si="521"/>
        <v>0</v>
      </c>
      <c r="BY108" s="190">
        <f t="shared" si="427"/>
        <v>448300</v>
      </c>
      <c r="BZ108" s="196">
        <f>SUM(BZ109:BZ112)</f>
        <v>1.0272005359865031E-2</v>
      </c>
      <c r="CA108" s="62">
        <f t="shared" ref="CA108:CL108" si="522">SUM(CA109:CA112)</f>
        <v>0</v>
      </c>
      <c r="CB108" s="62">
        <f t="shared" si="522"/>
        <v>0</v>
      </c>
      <c r="CC108" s="62">
        <f t="shared" si="522"/>
        <v>0</v>
      </c>
      <c r="CD108" s="62">
        <f t="shared" si="522"/>
        <v>0</v>
      </c>
      <c r="CE108" s="62">
        <f t="shared" si="522"/>
        <v>0</v>
      </c>
      <c r="CF108" s="62">
        <f t="shared" si="522"/>
        <v>0</v>
      </c>
      <c r="CG108" s="62">
        <f t="shared" si="522"/>
        <v>0</v>
      </c>
      <c r="CH108" s="62">
        <f t="shared" si="522"/>
        <v>0</v>
      </c>
      <c r="CI108" s="62">
        <f t="shared" si="522"/>
        <v>0</v>
      </c>
      <c r="CJ108" s="62">
        <f t="shared" si="522"/>
        <v>0</v>
      </c>
      <c r="CK108" s="62">
        <f t="shared" si="522"/>
        <v>0</v>
      </c>
      <c r="CL108" s="62">
        <f t="shared" si="522"/>
        <v>0</v>
      </c>
      <c r="CM108" s="190">
        <f t="shared" si="428"/>
        <v>0</v>
      </c>
      <c r="CN108" s="62">
        <f t="shared" ref="CN108:CY108" si="523">SUM(CN109:CN112)</f>
        <v>0</v>
      </c>
      <c r="CO108" s="62">
        <f t="shared" si="523"/>
        <v>0</v>
      </c>
      <c r="CP108" s="62">
        <f t="shared" si="523"/>
        <v>0</v>
      </c>
      <c r="CQ108" s="62">
        <f t="shared" si="523"/>
        <v>0</v>
      </c>
      <c r="CR108" s="62">
        <f t="shared" si="523"/>
        <v>0</v>
      </c>
      <c r="CS108" s="62">
        <f t="shared" si="523"/>
        <v>0</v>
      </c>
      <c r="CT108" s="62">
        <f t="shared" si="523"/>
        <v>0</v>
      </c>
      <c r="CU108" s="62">
        <f t="shared" si="523"/>
        <v>0</v>
      </c>
      <c r="CV108" s="62">
        <f t="shared" si="523"/>
        <v>0</v>
      </c>
      <c r="CW108" s="62">
        <f t="shared" si="523"/>
        <v>0</v>
      </c>
      <c r="CX108" s="62">
        <f t="shared" si="523"/>
        <v>0</v>
      </c>
      <c r="CY108" s="62">
        <f t="shared" si="523"/>
        <v>0</v>
      </c>
      <c r="CZ108" s="190">
        <f t="shared" si="429"/>
        <v>0</v>
      </c>
      <c r="DA108" s="62">
        <f t="shared" ref="DA108:DL108" si="524">SUM(DA109:DA112)</f>
        <v>0</v>
      </c>
      <c r="DB108" s="62">
        <f t="shared" si="524"/>
        <v>0</v>
      </c>
      <c r="DC108" s="62">
        <f t="shared" si="524"/>
        <v>0</v>
      </c>
      <c r="DD108" s="62">
        <f t="shared" si="524"/>
        <v>0</v>
      </c>
      <c r="DE108" s="62">
        <f t="shared" si="524"/>
        <v>0</v>
      </c>
      <c r="DF108" s="62">
        <f t="shared" si="524"/>
        <v>0</v>
      </c>
      <c r="DG108" s="62">
        <f t="shared" si="524"/>
        <v>0</v>
      </c>
      <c r="DH108" s="62">
        <f t="shared" si="524"/>
        <v>0</v>
      </c>
      <c r="DI108" s="62">
        <f t="shared" si="524"/>
        <v>0</v>
      </c>
      <c r="DJ108" s="62">
        <f t="shared" si="524"/>
        <v>0</v>
      </c>
      <c r="DK108" s="62">
        <f t="shared" si="524"/>
        <v>0</v>
      </c>
      <c r="DL108" s="62">
        <f t="shared" si="524"/>
        <v>0</v>
      </c>
      <c r="DM108" s="190">
        <f t="shared" si="430"/>
        <v>0</v>
      </c>
      <c r="DN108" s="62">
        <f t="shared" ref="DN108:DQ108" si="525">SUM(DN109:DN112)</f>
        <v>0</v>
      </c>
      <c r="DO108" s="62">
        <f t="shared" si="525"/>
        <v>0</v>
      </c>
      <c r="DP108" s="62">
        <f t="shared" si="525"/>
        <v>0</v>
      </c>
      <c r="DQ108" s="62">
        <f t="shared" si="525"/>
        <v>0</v>
      </c>
      <c r="DR108" s="62">
        <f t="shared" ref="DR108:DU108" si="526">SUM(DR109:DR112)</f>
        <v>0</v>
      </c>
      <c r="DS108" s="62">
        <f t="shared" si="526"/>
        <v>0</v>
      </c>
      <c r="DT108" s="62">
        <f t="shared" si="526"/>
        <v>0</v>
      </c>
      <c r="DU108" s="62">
        <f t="shared" si="526"/>
        <v>0</v>
      </c>
      <c r="DV108" s="62">
        <f t="shared" ref="DV108:DW108" si="527">SUM(DV109:DV112)</f>
        <v>0</v>
      </c>
      <c r="DW108" s="62">
        <f t="shared" si="527"/>
        <v>0</v>
      </c>
      <c r="DX108" s="62">
        <f t="shared" si="517"/>
        <v>0</v>
      </c>
      <c r="DY108" s="62">
        <f t="shared" ref="DY108" si="528">SUM(DY109:DY112)</f>
        <v>0</v>
      </c>
      <c r="DZ108" s="190">
        <f t="shared" si="431"/>
        <v>0</v>
      </c>
    </row>
    <row r="109" spans="1:130" ht="20.45" customHeight="1" outlineLevel="2">
      <c r="A109" s="525"/>
      <c r="B109" s="528"/>
      <c r="C109" s="30" t="s">
        <v>363</v>
      </c>
      <c r="D109" s="62">
        <f t="shared" si="345"/>
        <v>268700.00000000012</v>
      </c>
      <c r="E109" s="184">
        <f t="shared" ref="E109:E112" si="529">D109/(D$5+D$6+D$7+D$8+D$10+D$9)</f>
        <v>8.3135870686104239E-4</v>
      </c>
      <c r="F109" s="62">
        <v>0</v>
      </c>
      <c r="G109" s="190">
        <f t="shared" si="433"/>
        <v>0</v>
      </c>
      <c r="H109" s="197">
        <f t="shared" ref="H109:H112" si="530">G109/(G$5+G$6+G$7+G$8+G$10+G$9)</f>
        <v>0</v>
      </c>
      <c r="I109" s="62">
        <v>258700</v>
      </c>
      <c r="J109" s="62">
        <v>0</v>
      </c>
      <c r="K109" s="62">
        <v>0</v>
      </c>
      <c r="L109" s="62">
        <v>0</v>
      </c>
      <c r="M109" s="62">
        <v>0</v>
      </c>
      <c r="N109" s="62">
        <v>0</v>
      </c>
      <c r="O109" s="62">
        <v>0</v>
      </c>
      <c r="P109" s="62">
        <v>0</v>
      </c>
      <c r="Q109" s="62">
        <v>0</v>
      </c>
      <c r="R109" s="62">
        <v>0</v>
      </c>
      <c r="S109" s="62">
        <v>0</v>
      </c>
      <c r="T109" s="62">
        <v>0</v>
      </c>
      <c r="U109" s="190">
        <f t="shared" si="423"/>
        <v>258700</v>
      </c>
      <c r="V109" s="197">
        <f t="shared" ref="V109:V112" si="531">U109/(U$5+U$6+U$7+U$8+U$10+U$9)</f>
        <v>4.6629418527185575E-3</v>
      </c>
      <c r="W109" s="62">
        <v>0</v>
      </c>
      <c r="X109" s="62">
        <v>0</v>
      </c>
      <c r="Y109" s="62">
        <v>0</v>
      </c>
      <c r="Z109" s="62">
        <v>0</v>
      </c>
      <c r="AA109" s="62">
        <v>0</v>
      </c>
      <c r="AB109" s="62">
        <v>10000</v>
      </c>
      <c r="AC109" s="62">
        <v>0</v>
      </c>
      <c r="AD109" s="62">
        <v>0</v>
      </c>
      <c r="AE109" s="62">
        <v>0</v>
      </c>
      <c r="AF109" s="62">
        <v>0</v>
      </c>
      <c r="AG109" s="62">
        <v>0</v>
      </c>
      <c r="AH109" s="62">
        <v>0</v>
      </c>
      <c r="AI109" s="190">
        <f t="shared" si="424"/>
        <v>10000</v>
      </c>
      <c r="AJ109" s="197">
        <f t="shared" ref="AJ109:AJ112" si="532">AI109/(AI$5+AI$6+AI$7+AI$8+AI$10+AI$9)</f>
        <v>1.3590889385355016E-4</v>
      </c>
      <c r="AK109" s="62">
        <v>0</v>
      </c>
      <c r="AL109" s="62">
        <v>0</v>
      </c>
      <c r="AM109" s="62">
        <v>0</v>
      </c>
      <c r="AN109" s="62">
        <v>0</v>
      </c>
      <c r="AO109" s="62">
        <v>0</v>
      </c>
      <c r="AP109" s="62">
        <v>0</v>
      </c>
      <c r="AQ109" s="62">
        <v>0</v>
      </c>
      <c r="AR109" s="62">
        <v>0</v>
      </c>
      <c r="AS109" s="62">
        <v>0</v>
      </c>
      <c r="AT109" s="62">
        <v>0</v>
      </c>
      <c r="AU109" s="62">
        <v>0</v>
      </c>
      <c r="AV109" s="62">
        <v>0</v>
      </c>
      <c r="AW109" s="190">
        <f t="shared" si="425"/>
        <v>0</v>
      </c>
      <c r="AX109" s="197">
        <f t="shared" ref="AX109:AX112" si="533">AW109/(AW$5+AW$6+AW$7+AW$8+AW$10+AW$9)</f>
        <v>0</v>
      </c>
      <c r="AY109" s="62">
        <v>0</v>
      </c>
      <c r="AZ109" s="62">
        <v>0</v>
      </c>
      <c r="BA109" s="62">
        <v>0</v>
      </c>
      <c r="BB109" s="62">
        <v>0</v>
      </c>
      <c r="BC109" s="62">
        <v>0</v>
      </c>
      <c r="BD109" s="62">
        <v>0</v>
      </c>
      <c r="BE109" s="62">
        <v>0</v>
      </c>
      <c r="BF109" s="62">
        <v>0</v>
      </c>
      <c r="BG109" s="62">
        <v>0</v>
      </c>
      <c r="BH109" s="62">
        <v>0</v>
      </c>
      <c r="BI109" s="62">
        <v>0</v>
      </c>
      <c r="BJ109" s="62">
        <v>0</v>
      </c>
      <c r="BK109" s="190">
        <f t="shared" si="426"/>
        <v>0</v>
      </c>
      <c r="BL109" s="197">
        <f t="shared" ref="BL109:BL112" si="534">BK109/(BK$5+BK$6+BK$7+BK$8+BK$10+BK$9)</f>
        <v>0</v>
      </c>
      <c r="BM109" s="62">
        <v>0</v>
      </c>
      <c r="BN109" s="62">
        <v>0</v>
      </c>
      <c r="BO109" s="62">
        <v>0</v>
      </c>
      <c r="BP109" s="62">
        <v>0</v>
      </c>
      <c r="BQ109" s="62">
        <v>0</v>
      </c>
      <c r="BR109" s="62">
        <v>0</v>
      </c>
      <c r="BS109" s="62">
        <v>0</v>
      </c>
      <c r="BT109" s="62">
        <v>0</v>
      </c>
      <c r="BU109" s="62">
        <v>0</v>
      </c>
      <c r="BV109" s="62">
        <v>0</v>
      </c>
      <c r="BW109" s="62">
        <v>0</v>
      </c>
      <c r="BX109" s="62">
        <v>0</v>
      </c>
      <c r="BY109" s="190">
        <f t="shared" si="427"/>
        <v>0</v>
      </c>
      <c r="BZ109" s="197">
        <f t="shared" ref="BZ109:BZ112" si="535">BY109/(BY$5+BY$6+BY$7+BY$8+BY$10+BY$9)</f>
        <v>0</v>
      </c>
      <c r="CA109" s="62">
        <v>0</v>
      </c>
      <c r="CB109" s="62">
        <v>0</v>
      </c>
      <c r="CC109" s="62">
        <v>0</v>
      </c>
      <c r="CD109" s="62">
        <v>0</v>
      </c>
      <c r="CE109" s="62">
        <v>0</v>
      </c>
      <c r="CF109" s="62">
        <v>0</v>
      </c>
      <c r="CG109" s="62">
        <v>0</v>
      </c>
      <c r="CH109" s="62">
        <v>0</v>
      </c>
      <c r="CI109" s="62">
        <v>0</v>
      </c>
      <c r="CJ109" s="62">
        <v>0</v>
      </c>
      <c r="CK109" s="62">
        <v>0</v>
      </c>
      <c r="CL109" s="62">
        <v>0</v>
      </c>
      <c r="CM109" s="190">
        <f t="shared" si="428"/>
        <v>0</v>
      </c>
      <c r="CN109" s="62">
        <v>0</v>
      </c>
      <c r="CO109" s="62">
        <v>0</v>
      </c>
      <c r="CP109" s="62">
        <v>0</v>
      </c>
      <c r="CQ109" s="62">
        <v>0</v>
      </c>
      <c r="CR109" s="62">
        <v>0</v>
      </c>
      <c r="CS109" s="62">
        <v>0</v>
      </c>
      <c r="CT109" s="62">
        <v>0</v>
      </c>
      <c r="CU109" s="62">
        <v>0</v>
      </c>
      <c r="CV109" s="62">
        <v>0</v>
      </c>
      <c r="CW109" s="62">
        <v>0</v>
      </c>
      <c r="CX109" s="62">
        <v>0</v>
      </c>
      <c r="CY109" s="62">
        <v>0</v>
      </c>
      <c r="CZ109" s="190">
        <f t="shared" si="429"/>
        <v>0</v>
      </c>
      <c r="DA109" s="62">
        <v>0</v>
      </c>
      <c r="DB109" s="62">
        <v>0</v>
      </c>
      <c r="DC109" s="62">
        <v>0</v>
      </c>
      <c r="DD109" s="62">
        <v>0</v>
      </c>
      <c r="DE109" s="62">
        <v>0</v>
      </c>
      <c r="DF109" s="62">
        <v>0</v>
      </c>
      <c r="DG109" s="62">
        <v>0</v>
      </c>
      <c r="DH109" s="62">
        <v>0</v>
      </c>
      <c r="DI109" s="62">
        <v>0</v>
      </c>
      <c r="DJ109" s="62">
        <v>0</v>
      </c>
      <c r="DK109" s="62">
        <v>0</v>
      </c>
      <c r="DL109" s="62">
        <v>0</v>
      </c>
      <c r="DM109" s="190">
        <f t="shared" si="430"/>
        <v>0</v>
      </c>
      <c r="DN109" s="62">
        <v>0</v>
      </c>
      <c r="DO109" s="62">
        <v>0</v>
      </c>
      <c r="DP109" s="62">
        <v>0</v>
      </c>
      <c r="DQ109" s="62">
        <v>0</v>
      </c>
      <c r="DR109" s="62">
        <v>0</v>
      </c>
      <c r="DS109" s="62">
        <v>0</v>
      </c>
      <c r="DT109" s="62">
        <v>0</v>
      </c>
      <c r="DU109" s="62">
        <v>0</v>
      </c>
      <c r="DV109" s="62">
        <v>0</v>
      </c>
      <c r="DW109" s="62">
        <v>0</v>
      </c>
      <c r="DX109" s="62">
        <v>0</v>
      </c>
      <c r="DY109" s="62">
        <v>0</v>
      </c>
      <c r="DZ109" s="190">
        <f t="shared" si="431"/>
        <v>0</v>
      </c>
    </row>
    <row r="110" spans="1:130" ht="20.45" customHeight="1" outlineLevel="2">
      <c r="A110" s="526"/>
      <c r="B110" s="528"/>
      <c r="C110" s="30" t="s">
        <v>364</v>
      </c>
      <c r="D110" s="62">
        <f t="shared" si="345"/>
        <v>2447599.9999999995</v>
      </c>
      <c r="E110" s="184">
        <f t="shared" si="529"/>
        <v>7.5728826606367185E-3</v>
      </c>
      <c r="F110" s="62">
        <v>220600</v>
      </c>
      <c r="G110" s="190">
        <f t="shared" ref="G110:G111" si="536">SUM(F110)</f>
        <v>220600</v>
      </c>
      <c r="H110" s="197">
        <f t="shared" si="530"/>
        <v>5.0389398582198562E-2</v>
      </c>
      <c r="I110" s="62">
        <v>0</v>
      </c>
      <c r="J110" s="62">
        <v>0</v>
      </c>
      <c r="K110" s="62">
        <v>0</v>
      </c>
      <c r="L110" s="62">
        <v>0</v>
      </c>
      <c r="M110" s="62">
        <v>0</v>
      </c>
      <c r="N110" s="62">
        <v>0</v>
      </c>
      <c r="O110" s="62">
        <v>0</v>
      </c>
      <c r="P110" s="62">
        <v>0</v>
      </c>
      <c r="Q110" s="62">
        <v>0</v>
      </c>
      <c r="R110" s="62">
        <v>0</v>
      </c>
      <c r="S110" s="62">
        <f>116900+53800</f>
        <v>170700</v>
      </c>
      <c r="T110" s="62">
        <v>12400</v>
      </c>
      <c r="U110" s="190">
        <f t="shared" ref="U110:U111" si="537">SUM(I110:T110)</f>
        <v>183100</v>
      </c>
      <c r="V110" s="197">
        <f t="shared" si="531"/>
        <v>3.3002885706716963E-3</v>
      </c>
      <c r="W110" s="62">
        <v>7500</v>
      </c>
      <c r="X110" s="62">
        <v>0</v>
      </c>
      <c r="Y110" s="62">
        <v>0</v>
      </c>
      <c r="Z110" s="62">
        <v>0</v>
      </c>
      <c r="AA110" s="62">
        <v>0</v>
      </c>
      <c r="AB110" s="62">
        <f>57300+52100+47000+49100-9800+51700-47000</f>
        <v>200400</v>
      </c>
      <c r="AC110" s="62">
        <f>120200-57300-120200</f>
        <v>-57300</v>
      </c>
      <c r="AD110" s="62">
        <v>0</v>
      </c>
      <c r="AE110" s="62">
        <f>155700-107200-48500+6000+65100+52500</f>
        <v>123600</v>
      </c>
      <c r="AF110" s="62">
        <v>0</v>
      </c>
      <c r="AG110" s="62">
        <v>0</v>
      </c>
      <c r="AH110" s="62">
        <f>-25800-103400-99000-24700+123900-260400+129200+130200+130200+123700+129200+260400+129200-130200</f>
        <v>512500</v>
      </c>
      <c r="AI110" s="190">
        <f t="shared" ref="AI110:AI111" si="538">SUM(W110:AH110)</f>
        <v>786700</v>
      </c>
      <c r="AJ110" s="197">
        <f t="shared" si="532"/>
        <v>1.0691952679458792E-2</v>
      </c>
      <c r="AK110" s="62">
        <v>0</v>
      </c>
      <c r="AL110" s="62">
        <v>0</v>
      </c>
      <c r="AM110" s="62">
        <v>32900</v>
      </c>
      <c r="AN110" s="62">
        <f>47800+49100-47800+900+147100+137500+129200+130200-147100+800-103400-25800</f>
        <v>318500</v>
      </c>
      <c r="AO110" s="62">
        <f>117200+112300</f>
        <v>229500</v>
      </c>
      <c r="AP110" s="62">
        <f>60600-164400-65100</f>
        <v>-168900</v>
      </c>
      <c r="AQ110" s="62">
        <v>0</v>
      </c>
      <c r="AR110" s="62">
        <f>130200+117200+64600-312000</f>
        <v>0</v>
      </c>
      <c r="AS110" s="62">
        <v>0</v>
      </c>
      <c r="AT110" s="62">
        <v>0</v>
      </c>
      <c r="AU110" s="62">
        <f>130200-65100-65100</f>
        <v>0</v>
      </c>
      <c r="AV110" s="62">
        <v>0</v>
      </c>
      <c r="AW110" s="190">
        <f t="shared" ref="AW110:AW111" si="539">SUM(AK110:AV110)</f>
        <v>412000</v>
      </c>
      <c r="AX110" s="197">
        <f t="shared" si="533"/>
        <v>5.4006341838882116E-3</v>
      </c>
      <c r="AY110" s="62">
        <v>0</v>
      </c>
      <c r="AZ110" s="62">
        <v>0</v>
      </c>
      <c r="BA110" s="62">
        <f>-2200</f>
        <v>-2200</v>
      </c>
      <c r="BB110" s="62">
        <v>0</v>
      </c>
      <c r="BC110" s="62">
        <f>64600+59800</f>
        <v>124400</v>
      </c>
      <c r="BD110" s="62">
        <f>-64600</f>
        <v>-64600</v>
      </c>
      <c r="BE110" s="62">
        <v>0</v>
      </c>
      <c r="BF110" s="62">
        <f>140200+142100+143200</f>
        <v>425500</v>
      </c>
      <c r="BG110" s="62">
        <f>-143200-42000+6800</f>
        <v>-178400</v>
      </c>
      <c r="BH110" s="62">
        <f>52100-52100+400</f>
        <v>400</v>
      </c>
      <c r="BI110" s="62">
        <f>129200-2800</f>
        <v>126400</v>
      </c>
      <c r="BJ110" s="62">
        <v>0</v>
      </c>
      <c r="BK110" s="190">
        <f t="shared" ref="BK110:BK111" si="540">SUM(AY110:BJ110)</f>
        <v>431500</v>
      </c>
      <c r="BL110" s="197">
        <f t="shared" si="534"/>
        <v>6.1784943093848022E-3</v>
      </c>
      <c r="BM110" s="62">
        <f>510700+104200+104200-129200-130200+1200+6500</f>
        <v>467400</v>
      </c>
      <c r="BN110" s="62">
        <f>-208400+1600</f>
        <v>-206800</v>
      </c>
      <c r="BO110" s="62">
        <v>0</v>
      </c>
      <c r="BP110" s="62">
        <v>0</v>
      </c>
      <c r="BQ110" s="62">
        <f>104200+48900</f>
        <v>153100</v>
      </c>
      <c r="BR110" s="62">
        <v>0</v>
      </c>
      <c r="BS110" s="62">
        <v>0</v>
      </c>
      <c r="BT110" s="62">
        <v>0</v>
      </c>
      <c r="BU110" s="62">
        <v>0</v>
      </c>
      <c r="BV110" s="62">
        <v>0</v>
      </c>
      <c r="BW110" s="62">
        <v>0</v>
      </c>
      <c r="BX110" s="62">
        <v>0</v>
      </c>
      <c r="BY110" s="190">
        <f t="shared" ref="BY110:BY111" si="541">SUM(BM110:BX110)</f>
        <v>413700</v>
      </c>
      <c r="BZ110" s="197">
        <f t="shared" si="535"/>
        <v>9.4792072660632685E-3</v>
      </c>
      <c r="CA110" s="62">
        <v>0</v>
      </c>
      <c r="CB110" s="62">
        <v>0</v>
      </c>
      <c r="CC110" s="62">
        <v>0</v>
      </c>
      <c r="CD110" s="62">
        <v>0</v>
      </c>
      <c r="CE110" s="62">
        <v>0</v>
      </c>
      <c r="CF110" s="62">
        <v>0</v>
      </c>
      <c r="CG110" s="62">
        <v>0</v>
      </c>
      <c r="CH110" s="62">
        <v>0</v>
      </c>
      <c r="CI110" s="62">
        <v>0</v>
      </c>
      <c r="CJ110" s="62">
        <v>0</v>
      </c>
      <c r="CK110" s="62">
        <v>0</v>
      </c>
      <c r="CL110" s="62">
        <v>0</v>
      </c>
      <c r="CM110" s="190">
        <f t="shared" ref="CM110:CM111" si="542">SUM(CA110:CL110)</f>
        <v>0</v>
      </c>
      <c r="CN110" s="62">
        <v>0</v>
      </c>
      <c r="CO110" s="62">
        <v>0</v>
      </c>
      <c r="CP110" s="62">
        <v>0</v>
      </c>
      <c r="CQ110" s="62">
        <v>0</v>
      </c>
      <c r="CR110" s="62">
        <v>0</v>
      </c>
      <c r="CS110" s="62">
        <v>0</v>
      </c>
      <c r="CT110" s="62">
        <v>0</v>
      </c>
      <c r="CU110" s="62">
        <v>0</v>
      </c>
      <c r="CV110" s="62">
        <v>0</v>
      </c>
      <c r="CW110" s="62">
        <v>0</v>
      </c>
      <c r="CX110" s="62">
        <v>0</v>
      </c>
      <c r="CY110" s="62">
        <v>0</v>
      </c>
      <c r="CZ110" s="190">
        <f t="shared" ref="CZ110:CZ111" si="543">SUM(CN110:CY110)</f>
        <v>0</v>
      </c>
      <c r="DA110" s="62">
        <v>0</v>
      </c>
      <c r="DB110" s="62">
        <v>0</v>
      </c>
      <c r="DC110" s="62">
        <v>0</v>
      </c>
      <c r="DD110" s="62">
        <v>0</v>
      </c>
      <c r="DE110" s="62">
        <v>0</v>
      </c>
      <c r="DF110" s="62">
        <v>0</v>
      </c>
      <c r="DG110" s="62">
        <v>0</v>
      </c>
      <c r="DH110" s="62">
        <v>0</v>
      </c>
      <c r="DI110" s="62">
        <v>0</v>
      </c>
      <c r="DJ110" s="62">
        <v>0</v>
      </c>
      <c r="DK110" s="62">
        <v>0</v>
      </c>
      <c r="DL110" s="62">
        <v>0</v>
      </c>
      <c r="DM110" s="190">
        <f t="shared" ref="DM110:DM111" si="544">SUM(DA110:DL110)</f>
        <v>0</v>
      </c>
      <c r="DN110" s="62">
        <v>0</v>
      </c>
      <c r="DO110" s="62">
        <v>0</v>
      </c>
      <c r="DP110" s="62">
        <v>0</v>
      </c>
      <c r="DQ110" s="62">
        <v>0</v>
      </c>
      <c r="DR110" s="62">
        <v>0</v>
      </c>
      <c r="DS110" s="62">
        <v>0</v>
      </c>
      <c r="DT110" s="62">
        <v>0</v>
      </c>
      <c r="DU110" s="62">
        <v>0</v>
      </c>
      <c r="DV110" s="62">
        <v>0</v>
      </c>
      <c r="DW110" s="62">
        <v>0</v>
      </c>
      <c r="DX110" s="62">
        <v>0</v>
      </c>
      <c r="DY110" s="62">
        <v>0</v>
      </c>
      <c r="DZ110" s="190">
        <f t="shared" ref="DZ110:DZ111" si="545">SUM(DN110:DY110)</f>
        <v>0</v>
      </c>
    </row>
    <row r="111" spans="1:130" ht="20.45" customHeight="1" outlineLevel="2">
      <c r="A111" s="526"/>
      <c r="B111" s="528"/>
      <c r="C111" s="30" t="s">
        <v>2622</v>
      </c>
      <c r="D111" s="62">
        <f t="shared" si="345"/>
        <v>153400</v>
      </c>
      <c r="E111" s="184">
        <f t="shared" si="529"/>
        <v>4.7462011772416769E-4</v>
      </c>
      <c r="F111" s="62">
        <v>0</v>
      </c>
      <c r="G111" s="190">
        <f t="shared" si="536"/>
        <v>0</v>
      </c>
      <c r="H111" s="197">
        <f t="shared" si="530"/>
        <v>0</v>
      </c>
      <c r="I111" s="62">
        <v>0</v>
      </c>
      <c r="J111" s="62">
        <v>0</v>
      </c>
      <c r="K111" s="62">
        <v>0</v>
      </c>
      <c r="L111" s="62">
        <v>0</v>
      </c>
      <c r="M111" s="62">
        <v>0</v>
      </c>
      <c r="N111" s="62">
        <v>0</v>
      </c>
      <c r="O111" s="62">
        <v>0</v>
      </c>
      <c r="P111" s="62">
        <v>0</v>
      </c>
      <c r="Q111" s="62">
        <v>0</v>
      </c>
      <c r="R111" s="62">
        <v>0</v>
      </c>
      <c r="S111" s="62">
        <v>0</v>
      </c>
      <c r="T111" s="62">
        <v>0</v>
      </c>
      <c r="U111" s="190">
        <f t="shared" si="537"/>
        <v>0</v>
      </c>
      <c r="V111" s="197">
        <f t="shared" si="531"/>
        <v>0</v>
      </c>
      <c r="W111" s="62">
        <v>0</v>
      </c>
      <c r="X111" s="62">
        <v>0</v>
      </c>
      <c r="Y111" s="62">
        <v>0</v>
      </c>
      <c r="Z111" s="62">
        <v>0</v>
      </c>
      <c r="AA111" s="62">
        <v>0</v>
      </c>
      <c r="AB111" s="62">
        <v>8200</v>
      </c>
      <c r="AC111" s="62">
        <f>45400-45400</f>
        <v>0</v>
      </c>
      <c r="AD111" s="62">
        <v>0</v>
      </c>
      <c r="AE111" s="62">
        <v>0</v>
      </c>
      <c r="AF111" s="62">
        <v>0</v>
      </c>
      <c r="AG111" s="62">
        <v>0</v>
      </c>
      <c r="AH111" s="62">
        <v>0</v>
      </c>
      <c r="AI111" s="190">
        <f t="shared" si="538"/>
        <v>8200</v>
      </c>
      <c r="AJ111" s="197">
        <f t="shared" si="532"/>
        <v>1.1144529295991115E-4</v>
      </c>
      <c r="AK111" s="62">
        <v>0</v>
      </c>
      <c r="AL111" s="62">
        <v>0</v>
      </c>
      <c r="AM111" s="62">
        <v>0</v>
      </c>
      <c r="AN111" s="62">
        <f>45400*2-43200</f>
        <v>47600</v>
      </c>
      <c r="AO111" s="62">
        <v>0</v>
      </c>
      <c r="AP111" s="62">
        <v>0</v>
      </c>
      <c r="AQ111" s="62">
        <v>0</v>
      </c>
      <c r="AR111" s="62">
        <v>0</v>
      </c>
      <c r="AS111" s="62">
        <v>0</v>
      </c>
      <c r="AT111" s="62">
        <v>0</v>
      </c>
      <c r="AU111" s="62">
        <v>0</v>
      </c>
      <c r="AV111" s="62">
        <v>0</v>
      </c>
      <c r="AW111" s="190">
        <f t="shared" si="539"/>
        <v>47600</v>
      </c>
      <c r="AX111" s="197">
        <f t="shared" si="533"/>
        <v>6.2395676493465755E-4</v>
      </c>
      <c r="AY111" s="62">
        <v>0</v>
      </c>
      <c r="AZ111" s="62">
        <v>0</v>
      </c>
      <c r="BA111" s="62">
        <v>0</v>
      </c>
      <c r="BB111" s="62">
        <v>0</v>
      </c>
      <c r="BC111" s="62">
        <v>0</v>
      </c>
      <c r="BD111" s="62">
        <v>0</v>
      </c>
      <c r="BE111" s="62">
        <v>0</v>
      </c>
      <c r="BF111" s="62">
        <v>0</v>
      </c>
      <c r="BG111" s="62">
        <v>0</v>
      </c>
      <c r="BH111" s="62">
        <v>0</v>
      </c>
      <c r="BI111" s="62">
        <f>52200+45400</f>
        <v>97600</v>
      </c>
      <c r="BJ111" s="62">
        <v>0</v>
      </c>
      <c r="BK111" s="190">
        <f t="shared" si="540"/>
        <v>97600</v>
      </c>
      <c r="BL111" s="197">
        <f t="shared" si="534"/>
        <v>1.3974995239767246E-3</v>
      </c>
      <c r="BM111" s="62">
        <v>0</v>
      </c>
      <c r="BN111" s="62">
        <v>0</v>
      </c>
      <c r="BO111" s="62">
        <v>0</v>
      </c>
      <c r="BP111" s="62">
        <v>0</v>
      </c>
      <c r="BQ111" s="62">
        <v>0</v>
      </c>
      <c r="BR111" s="62">
        <v>0</v>
      </c>
      <c r="BS111" s="62">
        <v>0</v>
      </c>
      <c r="BT111" s="62">
        <v>0</v>
      </c>
      <c r="BU111" s="62">
        <v>0</v>
      </c>
      <c r="BV111" s="62">
        <v>0</v>
      </c>
      <c r="BW111" s="62">
        <v>0</v>
      </c>
      <c r="BX111" s="62">
        <v>0</v>
      </c>
      <c r="BY111" s="190">
        <f t="shared" si="541"/>
        <v>0</v>
      </c>
      <c r="BZ111" s="197">
        <f t="shared" si="535"/>
        <v>0</v>
      </c>
      <c r="CA111" s="62">
        <v>0</v>
      </c>
      <c r="CB111" s="62">
        <v>0</v>
      </c>
      <c r="CC111" s="62">
        <v>0</v>
      </c>
      <c r="CD111" s="62">
        <v>0</v>
      </c>
      <c r="CE111" s="62">
        <v>0</v>
      </c>
      <c r="CF111" s="62">
        <v>0</v>
      </c>
      <c r="CG111" s="62">
        <v>0</v>
      </c>
      <c r="CH111" s="62">
        <v>0</v>
      </c>
      <c r="CI111" s="62">
        <v>0</v>
      </c>
      <c r="CJ111" s="62">
        <v>0</v>
      </c>
      <c r="CK111" s="62">
        <v>0</v>
      </c>
      <c r="CL111" s="62">
        <v>0</v>
      </c>
      <c r="CM111" s="190">
        <f t="shared" si="542"/>
        <v>0</v>
      </c>
      <c r="CN111" s="62">
        <v>0</v>
      </c>
      <c r="CO111" s="62">
        <v>0</v>
      </c>
      <c r="CP111" s="62">
        <v>0</v>
      </c>
      <c r="CQ111" s="62">
        <v>0</v>
      </c>
      <c r="CR111" s="62">
        <v>0</v>
      </c>
      <c r="CS111" s="62">
        <v>0</v>
      </c>
      <c r="CT111" s="62">
        <v>0</v>
      </c>
      <c r="CU111" s="62">
        <v>0</v>
      </c>
      <c r="CV111" s="62">
        <v>0</v>
      </c>
      <c r="CW111" s="62">
        <v>0</v>
      </c>
      <c r="CX111" s="62">
        <v>0</v>
      </c>
      <c r="CY111" s="62">
        <v>0</v>
      </c>
      <c r="CZ111" s="190">
        <f t="shared" si="543"/>
        <v>0</v>
      </c>
      <c r="DA111" s="62">
        <v>0</v>
      </c>
      <c r="DB111" s="62">
        <v>0</v>
      </c>
      <c r="DC111" s="62">
        <v>0</v>
      </c>
      <c r="DD111" s="62">
        <v>0</v>
      </c>
      <c r="DE111" s="62">
        <v>0</v>
      </c>
      <c r="DF111" s="62">
        <v>0</v>
      </c>
      <c r="DG111" s="62">
        <v>0</v>
      </c>
      <c r="DH111" s="62">
        <v>0</v>
      </c>
      <c r="DI111" s="62">
        <v>0</v>
      </c>
      <c r="DJ111" s="62">
        <v>0</v>
      </c>
      <c r="DK111" s="62">
        <v>0</v>
      </c>
      <c r="DL111" s="62">
        <v>0</v>
      </c>
      <c r="DM111" s="190">
        <f t="shared" si="544"/>
        <v>0</v>
      </c>
      <c r="DN111" s="62">
        <v>0</v>
      </c>
      <c r="DO111" s="62">
        <v>0</v>
      </c>
      <c r="DP111" s="62">
        <v>0</v>
      </c>
      <c r="DQ111" s="62">
        <v>0</v>
      </c>
      <c r="DR111" s="62">
        <v>0</v>
      </c>
      <c r="DS111" s="62">
        <v>0</v>
      </c>
      <c r="DT111" s="62">
        <v>0</v>
      </c>
      <c r="DU111" s="62">
        <v>0</v>
      </c>
      <c r="DV111" s="62">
        <v>0</v>
      </c>
      <c r="DW111" s="62">
        <v>0</v>
      </c>
      <c r="DX111" s="62">
        <v>0</v>
      </c>
      <c r="DY111" s="62">
        <v>0</v>
      </c>
      <c r="DZ111" s="190">
        <f t="shared" si="545"/>
        <v>0</v>
      </c>
    </row>
    <row r="112" spans="1:130" ht="20.45" customHeight="1" outlineLevel="2">
      <c r="A112" s="525"/>
      <c r="B112" s="531"/>
      <c r="C112" s="30" t="s">
        <v>2623</v>
      </c>
      <c r="D112" s="62">
        <f t="shared" si="345"/>
        <v>164400.00000000006</v>
      </c>
      <c r="E112" s="184">
        <f t="shared" si="529"/>
        <v>5.0865415484910813E-4</v>
      </c>
      <c r="F112" s="62">
        <v>0</v>
      </c>
      <c r="G112" s="190">
        <f t="shared" si="433"/>
        <v>0</v>
      </c>
      <c r="H112" s="197">
        <f t="shared" si="530"/>
        <v>0</v>
      </c>
      <c r="I112" s="62">
        <v>0</v>
      </c>
      <c r="J112" s="62">
        <v>0</v>
      </c>
      <c r="K112" s="62">
        <v>0</v>
      </c>
      <c r="L112" s="62">
        <v>0</v>
      </c>
      <c r="M112" s="62">
        <v>0</v>
      </c>
      <c r="N112" s="62">
        <v>0</v>
      </c>
      <c r="O112" s="62">
        <v>0</v>
      </c>
      <c r="P112" s="62">
        <v>0</v>
      </c>
      <c r="Q112" s="62">
        <v>0</v>
      </c>
      <c r="R112" s="62">
        <v>0</v>
      </c>
      <c r="S112" s="62">
        <v>0</v>
      </c>
      <c r="T112" s="62">
        <v>0</v>
      </c>
      <c r="U112" s="190">
        <f t="shared" si="423"/>
        <v>0</v>
      </c>
      <c r="V112" s="197">
        <f t="shared" si="531"/>
        <v>0</v>
      </c>
      <c r="W112" s="62">
        <v>0</v>
      </c>
      <c r="X112" s="62">
        <v>0</v>
      </c>
      <c r="Y112" s="62">
        <v>0</v>
      </c>
      <c r="Z112" s="62">
        <v>0</v>
      </c>
      <c r="AA112" s="62">
        <v>0</v>
      </c>
      <c r="AB112" s="62">
        <v>9400</v>
      </c>
      <c r="AC112" s="62">
        <v>0</v>
      </c>
      <c r="AD112" s="62">
        <v>0</v>
      </c>
      <c r="AE112" s="62">
        <v>0</v>
      </c>
      <c r="AF112" s="62">
        <v>0</v>
      </c>
      <c r="AG112" s="62">
        <v>0</v>
      </c>
      <c r="AH112" s="62">
        <v>0</v>
      </c>
      <c r="AI112" s="190">
        <f t="shared" si="424"/>
        <v>9400</v>
      </c>
      <c r="AJ112" s="197">
        <f t="shared" si="532"/>
        <v>1.2775436022233717E-4</v>
      </c>
      <c r="AK112" s="62">
        <v>0</v>
      </c>
      <c r="AL112" s="62">
        <v>0</v>
      </c>
      <c r="AM112" s="62">
        <v>15900</v>
      </c>
      <c r="AN112" s="62">
        <f>8400</f>
        <v>8400</v>
      </c>
      <c r="AO112" s="62">
        <v>0</v>
      </c>
      <c r="AP112" s="62">
        <v>0</v>
      </c>
      <c r="AQ112" s="62">
        <v>0</v>
      </c>
      <c r="AR112" s="62">
        <v>0</v>
      </c>
      <c r="AS112" s="62">
        <v>0</v>
      </c>
      <c r="AT112" s="62">
        <v>20400</v>
      </c>
      <c r="AU112" s="62">
        <v>0</v>
      </c>
      <c r="AV112" s="62">
        <v>0</v>
      </c>
      <c r="AW112" s="190">
        <f t="shared" si="425"/>
        <v>44700</v>
      </c>
      <c r="AX112" s="197">
        <f t="shared" si="533"/>
        <v>5.8594259228107542E-4</v>
      </c>
      <c r="AY112" s="62">
        <v>0</v>
      </c>
      <c r="AZ112" s="62">
        <v>0</v>
      </c>
      <c r="BA112" s="62">
        <v>0</v>
      </c>
      <c r="BB112" s="62">
        <v>0</v>
      </c>
      <c r="BC112" s="62">
        <v>0</v>
      </c>
      <c r="BD112" s="62">
        <f>12000+10100</f>
        <v>22100</v>
      </c>
      <c r="BE112" s="62">
        <v>0</v>
      </c>
      <c r="BF112" s="62">
        <v>11700</v>
      </c>
      <c r="BG112" s="62">
        <v>0</v>
      </c>
      <c r="BH112" s="62">
        <v>0</v>
      </c>
      <c r="BI112" s="62">
        <f>15700+8000+7200</f>
        <v>30900</v>
      </c>
      <c r="BJ112" s="62">
        <f>11000</f>
        <v>11000</v>
      </c>
      <c r="BK112" s="190">
        <f t="shared" si="426"/>
        <v>75700</v>
      </c>
      <c r="BL112" s="197">
        <f t="shared" si="534"/>
        <v>1.0839212496417834E-3</v>
      </c>
      <c r="BM112" s="62">
        <v>0</v>
      </c>
      <c r="BN112" s="62">
        <v>0</v>
      </c>
      <c r="BO112" s="62">
        <v>0</v>
      </c>
      <c r="BP112" s="62">
        <v>0</v>
      </c>
      <c r="BQ112" s="62">
        <f>34600</f>
        <v>34600</v>
      </c>
      <c r="BR112" s="62">
        <v>0</v>
      </c>
      <c r="BS112" s="62">
        <v>0</v>
      </c>
      <c r="BT112" s="62">
        <v>0</v>
      </c>
      <c r="BU112" s="62">
        <v>0</v>
      </c>
      <c r="BV112" s="62">
        <v>0</v>
      </c>
      <c r="BW112" s="62">
        <v>0</v>
      </c>
      <c r="BX112" s="62">
        <v>0</v>
      </c>
      <c r="BY112" s="190">
        <f t="shared" si="427"/>
        <v>34600</v>
      </c>
      <c r="BZ112" s="197">
        <f t="shared" si="535"/>
        <v>7.9279809380176241E-4</v>
      </c>
      <c r="CA112" s="62">
        <v>0</v>
      </c>
      <c r="CB112" s="62">
        <v>0</v>
      </c>
      <c r="CC112" s="62">
        <v>0</v>
      </c>
      <c r="CD112" s="62">
        <v>0</v>
      </c>
      <c r="CE112" s="62">
        <v>0</v>
      </c>
      <c r="CF112" s="62">
        <v>0</v>
      </c>
      <c r="CG112" s="62">
        <v>0</v>
      </c>
      <c r="CH112" s="62">
        <v>0</v>
      </c>
      <c r="CI112" s="62">
        <v>0</v>
      </c>
      <c r="CJ112" s="62">
        <v>0</v>
      </c>
      <c r="CK112" s="62">
        <v>0</v>
      </c>
      <c r="CL112" s="62">
        <v>0</v>
      </c>
      <c r="CM112" s="190">
        <f t="shared" si="428"/>
        <v>0</v>
      </c>
      <c r="CN112" s="62">
        <v>0</v>
      </c>
      <c r="CO112" s="62">
        <v>0</v>
      </c>
      <c r="CP112" s="62">
        <v>0</v>
      </c>
      <c r="CQ112" s="62">
        <v>0</v>
      </c>
      <c r="CR112" s="62">
        <v>0</v>
      </c>
      <c r="CS112" s="62">
        <v>0</v>
      </c>
      <c r="CT112" s="62">
        <v>0</v>
      </c>
      <c r="CU112" s="62">
        <v>0</v>
      </c>
      <c r="CV112" s="62">
        <v>0</v>
      </c>
      <c r="CW112" s="62">
        <v>0</v>
      </c>
      <c r="CX112" s="62">
        <v>0</v>
      </c>
      <c r="CY112" s="62">
        <v>0</v>
      </c>
      <c r="CZ112" s="190">
        <f t="shared" si="429"/>
        <v>0</v>
      </c>
      <c r="DA112" s="62">
        <v>0</v>
      </c>
      <c r="DB112" s="62">
        <v>0</v>
      </c>
      <c r="DC112" s="62">
        <v>0</v>
      </c>
      <c r="DD112" s="62">
        <v>0</v>
      </c>
      <c r="DE112" s="62">
        <v>0</v>
      </c>
      <c r="DF112" s="62">
        <v>0</v>
      </c>
      <c r="DG112" s="62">
        <v>0</v>
      </c>
      <c r="DH112" s="62">
        <v>0</v>
      </c>
      <c r="DI112" s="62">
        <v>0</v>
      </c>
      <c r="DJ112" s="62">
        <v>0</v>
      </c>
      <c r="DK112" s="62">
        <v>0</v>
      </c>
      <c r="DL112" s="62">
        <v>0</v>
      </c>
      <c r="DM112" s="190">
        <f t="shared" si="430"/>
        <v>0</v>
      </c>
      <c r="DN112" s="62">
        <v>0</v>
      </c>
      <c r="DO112" s="62">
        <v>0</v>
      </c>
      <c r="DP112" s="62">
        <v>0</v>
      </c>
      <c r="DQ112" s="62">
        <v>0</v>
      </c>
      <c r="DR112" s="62">
        <v>0</v>
      </c>
      <c r="DS112" s="62">
        <v>0</v>
      </c>
      <c r="DT112" s="62">
        <v>0</v>
      </c>
      <c r="DU112" s="62">
        <v>0</v>
      </c>
      <c r="DV112" s="62">
        <v>0</v>
      </c>
      <c r="DW112" s="62">
        <v>0</v>
      </c>
      <c r="DX112" s="62">
        <v>0</v>
      </c>
      <c r="DY112" s="62">
        <v>0</v>
      </c>
      <c r="DZ112" s="190">
        <f t="shared" si="431"/>
        <v>0</v>
      </c>
    </row>
    <row r="113" spans="1:130" s="194" customFormat="1" ht="20.45" customHeight="1" outlineLevel="1">
      <c r="A113" s="525"/>
      <c r="B113" s="527" t="s">
        <v>365</v>
      </c>
      <c r="C113" s="65" t="s">
        <v>307</v>
      </c>
      <c r="D113" s="66">
        <f t="shared" si="345"/>
        <v>4203897.0000000009</v>
      </c>
      <c r="E113" s="187">
        <f>SUM(E114)</f>
        <v>1.3006871506129569E-2</v>
      </c>
      <c r="F113" s="62">
        <f t="shared" ref="F113:DY113" si="546">SUM(F114)</f>
        <v>0</v>
      </c>
      <c r="G113" s="190">
        <f t="shared" si="433"/>
        <v>0</v>
      </c>
      <c r="H113" s="196">
        <f>SUM(H114)</f>
        <v>0</v>
      </c>
      <c r="I113" s="62">
        <f t="shared" si="546"/>
        <v>0</v>
      </c>
      <c r="J113" s="62">
        <f t="shared" si="546"/>
        <v>0</v>
      </c>
      <c r="K113" s="62">
        <f t="shared" si="546"/>
        <v>0</v>
      </c>
      <c r="L113" s="62">
        <f t="shared" si="546"/>
        <v>0</v>
      </c>
      <c r="M113" s="62">
        <f t="shared" si="546"/>
        <v>0</v>
      </c>
      <c r="N113" s="62">
        <f t="shared" si="546"/>
        <v>0</v>
      </c>
      <c r="O113" s="62">
        <f t="shared" si="546"/>
        <v>0</v>
      </c>
      <c r="P113" s="62">
        <f t="shared" si="546"/>
        <v>270500</v>
      </c>
      <c r="Q113" s="62">
        <f t="shared" si="546"/>
        <v>0</v>
      </c>
      <c r="R113" s="62">
        <f t="shared" si="546"/>
        <v>0</v>
      </c>
      <c r="S113" s="62">
        <f t="shared" si="546"/>
        <v>0</v>
      </c>
      <c r="T113" s="62">
        <f t="shared" si="546"/>
        <v>0</v>
      </c>
      <c r="U113" s="190">
        <f t="shared" si="423"/>
        <v>270500</v>
      </c>
      <c r="V113" s="196">
        <f>SUM(V114)</f>
        <v>4.8756311216094691E-3</v>
      </c>
      <c r="W113" s="62">
        <f t="shared" si="546"/>
        <v>0</v>
      </c>
      <c r="X113" s="62">
        <f t="shared" si="546"/>
        <v>0</v>
      </c>
      <c r="Y113" s="62">
        <f t="shared" si="546"/>
        <v>147000</v>
      </c>
      <c r="Z113" s="62">
        <f t="shared" si="546"/>
        <v>-147000</v>
      </c>
      <c r="AA113" s="62">
        <f t="shared" si="546"/>
        <v>145600</v>
      </c>
      <c r="AB113" s="62">
        <f t="shared" si="546"/>
        <v>0</v>
      </c>
      <c r="AC113" s="62">
        <f t="shared" si="546"/>
        <v>276100</v>
      </c>
      <c r="AD113" s="62">
        <f t="shared" si="546"/>
        <v>312684</v>
      </c>
      <c r="AE113" s="62">
        <f t="shared" si="546"/>
        <v>0</v>
      </c>
      <c r="AF113" s="62">
        <f t="shared" si="546"/>
        <v>0</v>
      </c>
      <c r="AG113" s="62">
        <f t="shared" si="546"/>
        <v>179000</v>
      </c>
      <c r="AH113" s="62">
        <f t="shared" si="546"/>
        <v>0</v>
      </c>
      <c r="AI113" s="190">
        <f t="shared" si="424"/>
        <v>913384</v>
      </c>
      <c r="AJ113" s="196">
        <f>SUM(AJ114)</f>
        <v>1.2413700910353107E-2</v>
      </c>
      <c r="AK113" s="62">
        <f t="shared" si="546"/>
        <v>0</v>
      </c>
      <c r="AL113" s="62">
        <f t="shared" si="546"/>
        <v>0</v>
      </c>
      <c r="AM113" s="62">
        <f t="shared" si="546"/>
        <v>0</v>
      </c>
      <c r="AN113" s="62">
        <f t="shared" si="546"/>
        <v>80850</v>
      </c>
      <c r="AO113" s="62">
        <f t="shared" si="546"/>
        <v>99810</v>
      </c>
      <c r="AP113" s="62">
        <f t="shared" si="546"/>
        <v>577810</v>
      </c>
      <c r="AQ113" s="62">
        <f t="shared" si="546"/>
        <v>0</v>
      </c>
      <c r="AR113" s="62">
        <f t="shared" si="546"/>
        <v>0</v>
      </c>
      <c r="AS113" s="62">
        <f t="shared" si="546"/>
        <v>128600</v>
      </c>
      <c r="AT113" s="62">
        <f t="shared" si="546"/>
        <v>0</v>
      </c>
      <c r="AU113" s="62">
        <f t="shared" si="546"/>
        <v>22656</v>
      </c>
      <c r="AV113" s="62">
        <f t="shared" si="546"/>
        <v>0</v>
      </c>
      <c r="AW113" s="190">
        <f t="shared" si="425"/>
        <v>909726</v>
      </c>
      <c r="AX113" s="196">
        <f>SUM(AX114)</f>
        <v>1.1924993528087105E-2</v>
      </c>
      <c r="AY113" s="62">
        <f t="shared" si="546"/>
        <v>0</v>
      </c>
      <c r="AZ113" s="62">
        <f t="shared" si="546"/>
        <v>0</v>
      </c>
      <c r="BA113" s="62">
        <f t="shared" si="546"/>
        <v>0</v>
      </c>
      <c r="BB113" s="62">
        <f t="shared" si="546"/>
        <v>0</v>
      </c>
      <c r="BC113" s="62">
        <f t="shared" si="546"/>
        <v>0</v>
      </c>
      <c r="BD113" s="62">
        <f t="shared" si="546"/>
        <v>0</v>
      </c>
      <c r="BE113" s="62">
        <f t="shared" si="546"/>
        <v>398100</v>
      </c>
      <c r="BF113" s="62">
        <f t="shared" si="546"/>
        <v>0</v>
      </c>
      <c r="BG113" s="62">
        <f t="shared" si="546"/>
        <v>0</v>
      </c>
      <c r="BH113" s="62">
        <f t="shared" si="546"/>
        <v>208341</v>
      </c>
      <c r="BI113" s="62">
        <f t="shared" si="546"/>
        <v>236920</v>
      </c>
      <c r="BJ113" s="62">
        <f t="shared" si="546"/>
        <v>771410</v>
      </c>
      <c r="BK113" s="190">
        <f t="shared" si="426"/>
        <v>1614771</v>
      </c>
      <c r="BL113" s="196">
        <f>SUM(BL114)</f>
        <v>2.312132893269897E-2</v>
      </c>
      <c r="BM113" s="62">
        <f t="shared" si="546"/>
        <v>404416</v>
      </c>
      <c r="BN113" s="62">
        <f t="shared" si="546"/>
        <v>0</v>
      </c>
      <c r="BO113" s="62">
        <f t="shared" si="546"/>
        <v>91100</v>
      </c>
      <c r="BP113" s="62">
        <f t="shared" si="546"/>
        <v>0</v>
      </c>
      <c r="BQ113" s="62">
        <f t="shared" si="546"/>
        <v>0</v>
      </c>
      <c r="BR113" s="62">
        <f t="shared" si="546"/>
        <v>0</v>
      </c>
      <c r="BS113" s="62">
        <f t="shared" si="546"/>
        <v>0</v>
      </c>
      <c r="BT113" s="62">
        <f t="shared" si="546"/>
        <v>0</v>
      </c>
      <c r="BU113" s="62">
        <f t="shared" si="546"/>
        <v>0</v>
      </c>
      <c r="BV113" s="62">
        <f t="shared" si="546"/>
        <v>0</v>
      </c>
      <c r="BW113" s="62">
        <f t="shared" si="546"/>
        <v>0</v>
      </c>
      <c r="BX113" s="62">
        <f t="shared" si="546"/>
        <v>0</v>
      </c>
      <c r="BY113" s="190">
        <f t="shared" si="427"/>
        <v>495516</v>
      </c>
      <c r="BZ113" s="196">
        <f>SUM(BZ114)</f>
        <v>1.135387688578827E-2</v>
      </c>
      <c r="CA113" s="62">
        <f t="shared" si="546"/>
        <v>0</v>
      </c>
      <c r="CB113" s="62">
        <f t="shared" si="546"/>
        <v>0</v>
      </c>
      <c r="CC113" s="62">
        <f t="shared" si="546"/>
        <v>0</v>
      </c>
      <c r="CD113" s="62">
        <f t="shared" si="546"/>
        <v>0</v>
      </c>
      <c r="CE113" s="62">
        <f t="shared" si="546"/>
        <v>0</v>
      </c>
      <c r="CF113" s="62">
        <f t="shared" si="546"/>
        <v>0</v>
      </c>
      <c r="CG113" s="62">
        <f t="shared" si="546"/>
        <v>0</v>
      </c>
      <c r="CH113" s="62">
        <f t="shared" si="546"/>
        <v>0</v>
      </c>
      <c r="CI113" s="62">
        <f t="shared" si="546"/>
        <v>0</v>
      </c>
      <c r="CJ113" s="62">
        <f t="shared" si="546"/>
        <v>0</v>
      </c>
      <c r="CK113" s="62">
        <f t="shared" si="546"/>
        <v>0</v>
      </c>
      <c r="CL113" s="62">
        <f t="shared" si="546"/>
        <v>0</v>
      </c>
      <c r="CM113" s="190">
        <f t="shared" si="428"/>
        <v>0</v>
      </c>
      <c r="CN113" s="62">
        <f t="shared" si="546"/>
        <v>0</v>
      </c>
      <c r="CO113" s="62">
        <f t="shared" si="546"/>
        <v>0</v>
      </c>
      <c r="CP113" s="62">
        <f t="shared" si="546"/>
        <v>0</v>
      </c>
      <c r="CQ113" s="62">
        <f t="shared" si="546"/>
        <v>0</v>
      </c>
      <c r="CR113" s="62">
        <f t="shared" si="546"/>
        <v>0</v>
      </c>
      <c r="CS113" s="62">
        <f t="shared" si="546"/>
        <v>0</v>
      </c>
      <c r="CT113" s="62">
        <f t="shared" si="546"/>
        <v>0</v>
      </c>
      <c r="CU113" s="62">
        <f t="shared" si="546"/>
        <v>0</v>
      </c>
      <c r="CV113" s="62">
        <f t="shared" si="546"/>
        <v>0</v>
      </c>
      <c r="CW113" s="62">
        <f t="shared" si="546"/>
        <v>0</v>
      </c>
      <c r="CX113" s="62">
        <f t="shared" si="546"/>
        <v>0</v>
      </c>
      <c r="CY113" s="62">
        <f t="shared" si="546"/>
        <v>0</v>
      </c>
      <c r="CZ113" s="190">
        <f t="shared" si="429"/>
        <v>0</v>
      </c>
      <c r="DA113" s="62">
        <f t="shared" si="546"/>
        <v>0</v>
      </c>
      <c r="DB113" s="62">
        <f t="shared" si="546"/>
        <v>0</v>
      </c>
      <c r="DC113" s="62">
        <f t="shared" si="546"/>
        <v>0</v>
      </c>
      <c r="DD113" s="62">
        <f t="shared" si="546"/>
        <v>0</v>
      </c>
      <c r="DE113" s="62">
        <f t="shared" si="546"/>
        <v>0</v>
      </c>
      <c r="DF113" s="62">
        <f t="shared" si="546"/>
        <v>0</v>
      </c>
      <c r="DG113" s="62">
        <f t="shared" si="546"/>
        <v>0</v>
      </c>
      <c r="DH113" s="62">
        <f t="shared" si="546"/>
        <v>0</v>
      </c>
      <c r="DI113" s="62">
        <f t="shared" si="546"/>
        <v>0</v>
      </c>
      <c r="DJ113" s="62">
        <f t="shared" si="546"/>
        <v>0</v>
      </c>
      <c r="DK113" s="62">
        <f t="shared" si="546"/>
        <v>0</v>
      </c>
      <c r="DL113" s="62">
        <f t="shared" si="546"/>
        <v>0</v>
      </c>
      <c r="DM113" s="190">
        <f t="shared" si="430"/>
        <v>0</v>
      </c>
      <c r="DN113" s="62">
        <f t="shared" si="546"/>
        <v>0</v>
      </c>
      <c r="DO113" s="62">
        <f t="shared" si="546"/>
        <v>0</v>
      </c>
      <c r="DP113" s="62">
        <f t="shared" si="546"/>
        <v>0</v>
      </c>
      <c r="DQ113" s="62">
        <f t="shared" si="546"/>
        <v>0</v>
      </c>
      <c r="DR113" s="62">
        <f t="shared" si="546"/>
        <v>0</v>
      </c>
      <c r="DS113" s="62">
        <f t="shared" si="546"/>
        <v>0</v>
      </c>
      <c r="DT113" s="62">
        <f t="shared" si="546"/>
        <v>0</v>
      </c>
      <c r="DU113" s="62">
        <f t="shared" si="546"/>
        <v>0</v>
      </c>
      <c r="DV113" s="62">
        <f t="shared" si="546"/>
        <v>0</v>
      </c>
      <c r="DW113" s="62">
        <f t="shared" si="546"/>
        <v>0</v>
      </c>
      <c r="DX113" s="62">
        <f t="shared" si="546"/>
        <v>0</v>
      </c>
      <c r="DY113" s="62">
        <f t="shared" si="546"/>
        <v>0</v>
      </c>
      <c r="DZ113" s="190">
        <f t="shared" si="431"/>
        <v>0</v>
      </c>
    </row>
    <row r="114" spans="1:130" ht="20.45" customHeight="1" outlineLevel="2">
      <c r="A114" s="525"/>
      <c r="B114" s="529"/>
      <c r="C114" s="30" t="s">
        <v>2601</v>
      </c>
      <c r="D114" s="62">
        <f t="shared" si="345"/>
        <v>4203897.0000000009</v>
      </c>
      <c r="E114" s="184">
        <f t="shared" ref="E114" si="547">D114/(D$5+D$6+D$7+D$8+D$10+D$9)</f>
        <v>1.3006871506129569E-2</v>
      </c>
      <c r="F114" s="62">
        <v>0</v>
      </c>
      <c r="G114" s="190">
        <f t="shared" si="433"/>
        <v>0</v>
      </c>
      <c r="H114" s="197">
        <f>G114/(G$5+G$6+G$7+G$8+G$10+G$9)</f>
        <v>0</v>
      </c>
      <c r="I114" s="62">
        <v>0</v>
      </c>
      <c r="J114" s="62">
        <v>0</v>
      </c>
      <c r="K114" s="62">
        <v>0</v>
      </c>
      <c r="L114" s="62">
        <v>0</v>
      </c>
      <c r="M114" s="62">
        <v>0</v>
      </c>
      <c r="N114" s="62">
        <v>0</v>
      </c>
      <c r="O114" s="62">
        <v>0</v>
      </c>
      <c r="P114" s="62">
        <v>270500</v>
      </c>
      <c r="Q114" s="62">
        <v>0</v>
      </c>
      <c r="R114" s="62">
        <v>0</v>
      </c>
      <c r="S114" s="62">
        <v>0</v>
      </c>
      <c r="T114" s="62">
        <v>0</v>
      </c>
      <c r="U114" s="190">
        <f t="shared" si="423"/>
        <v>270500</v>
      </c>
      <c r="V114" s="197">
        <f>U114/(U$5+U$6+U$7+U$8+U$10+U$9)</f>
        <v>4.8756311216094691E-3</v>
      </c>
      <c r="W114" s="62">
        <v>0</v>
      </c>
      <c r="X114" s="62">
        <v>0</v>
      </c>
      <c r="Y114" s="62">
        <v>147000</v>
      </c>
      <c r="Z114" s="62">
        <v>-147000</v>
      </c>
      <c r="AA114" s="62">
        <f>64600+16000+61800+3200</f>
        <v>145600</v>
      </c>
      <c r="AB114" s="62">
        <v>0</v>
      </c>
      <c r="AC114" s="62">
        <v>276100</v>
      </c>
      <c r="AD114" s="62">
        <f>165900+46000+112000-98489+63373+23900</f>
        <v>312684</v>
      </c>
      <c r="AE114" s="62">
        <v>0</v>
      </c>
      <c r="AF114" s="62">
        <v>0</v>
      </c>
      <c r="AG114" s="62">
        <f>161400+17600</f>
        <v>179000</v>
      </c>
      <c r="AH114" s="62">
        <v>0</v>
      </c>
      <c r="AI114" s="190">
        <f t="shared" si="424"/>
        <v>913384</v>
      </c>
      <c r="AJ114" s="197">
        <f>AI114/(AI$5+AI$6+AI$7+AI$8+AI$10+AI$9)</f>
        <v>1.2413700910353107E-2</v>
      </c>
      <c r="AK114" s="62">
        <v>0</v>
      </c>
      <c r="AL114" s="62">
        <v>0</v>
      </c>
      <c r="AM114" s="62">
        <v>0</v>
      </c>
      <c r="AN114" s="62">
        <f>20000+11000+3350+36000+10500</f>
        <v>80850</v>
      </c>
      <c r="AO114" s="62">
        <f>14500+9500+11200+4000+7000+53610</f>
        <v>99810</v>
      </c>
      <c r="AP114" s="62">
        <v>577810</v>
      </c>
      <c r="AQ114" s="62">
        <v>0</v>
      </c>
      <c r="AR114" s="62">
        <v>0</v>
      </c>
      <c r="AS114" s="62">
        <v>128600</v>
      </c>
      <c r="AT114" s="62">
        <v>0</v>
      </c>
      <c r="AU114" s="62">
        <f>22656</f>
        <v>22656</v>
      </c>
      <c r="AV114" s="62">
        <v>0</v>
      </c>
      <c r="AW114" s="190">
        <f t="shared" si="425"/>
        <v>909726</v>
      </c>
      <c r="AX114" s="197">
        <f>AW114/(AW$5+AW$6+AW$7+AW$8+AW$10+AW$9)</f>
        <v>1.1924993528087105E-2</v>
      </c>
      <c r="AY114" s="62">
        <v>0</v>
      </c>
      <c r="AZ114" s="62">
        <v>0</v>
      </c>
      <c r="BA114" s="62">
        <v>0</v>
      </c>
      <c r="BB114" s="62">
        <v>0</v>
      </c>
      <c r="BC114" s="62">
        <v>0</v>
      </c>
      <c r="BD114" s="62">
        <v>0</v>
      </c>
      <c r="BE114" s="62">
        <f>389000+5100+4000</f>
        <v>398100</v>
      </c>
      <c r="BF114" s="62">
        <v>0</v>
      </c>
      <c r="BG114" s="62">
        <v>0</v>
      </c>
      <c r="BH114" s="62">
        <v>208341</v>
      </c>
      <c r="BI114" s="62">
        <f>236920</f>
        <v>236920</v>
      </c>
      <c r="BJ114" s="62">
        <f>197400+67810+84800+421400</f>
        <v>771410</v>
      </c>
      <c r="BK114" s="190">
        <f t="shared" si="426"/>
        <v>1614771</v>
      </c>
      <c r="BL114" s="197">
        <f>BK114/(BK$5+BK$6+BK$7+BK$8+BK$10+BK$9)</f>
        <v>2.312132893269897E-2</v>
      </c>
      <c r="BM114" s="62">
        <f>434547-30131</f>
        <v>404416</v>
      </c>
      <c r="BN114" s="62">
        <v>0</v>
      </c>
      <c r="BO114" s="62">
        <f>9000+50400+31700</f>
        <v>91100</v>
      </c>
      <c r="BP114" s="62">
        <v>0</v>
      </c>
      <c r="BQ114" s="62">
        <v>0</v>
      </c>
      <c r="BR114" s="62">
        <v>0</v>
      </c>
      <c r="BS114" s="62">
        <v>0</v>
      </c>
      <c r="BT114" s="62">
        <v>0</v>
      </c>
      <c r="BU114" s="62">
        <v>0</v>
      </c>
      <c r="BV114" s="62">
        <v>0</v>
      </c>
      <c r="BW114" s="62">
        <v>0</v>
      </c>
      <c r="BX114" s="62">
        <v>0</v>
      </c>
      <c r="BY114" s="190">
        <f t="shared" si="427"/>
        <v>495516</v>
      </c>
      <c r="BZ114" s="197">
        <f>BY114/(BY$5+BY$6+BY$7+BY$8+BY$10+BY$9)</f>
        <v>1.135387688578827E-2</v>
      </c>
      <c r="CA114" s="62">
        <v>0</v>
      </c>
      <c r="CB114" s="62">
        <v>0</v>
      </c>
      <c r="CC114" s="62">
        <v>0</v>
      </c>
      <c r="CD114" s="62">
        <v>0</v>
      </c>
      <c r="CE114" s="62">
        <v>0</v>
      </c>
      <c r="CF114" s="62">
        <v>0</v>
      </c>
      <c r="CG114" s="62">
        <v>0</v>
      </c>
      <c r="CH114" s="62">
        <v>0</v>
      </c>
      <c r="CI114" s="62">
        <v>0</v>
      </c>
      <c r="CJ114" s="62">
        <v>0</v>
      </c>
      <c r="CK114" s="62">
        <v>0</v>
      </c>
      <c r="CL114" s="62">
        <v>0</v>
      </c>
      <c r="CM114" s="190">
        <f t="shared" si="428"/>
        <v>0</v>
      </c>
      <c r="CN114" s="62">
        <v>0</v>
      </c>
      <c r="CO114" s="62">
        <v>0</v>
      </c>
      <c r="CP114" s="62">
        <v>0</v>
      </c>
      <c r="CQ114" s="62">
        <v>0</v>
      </c>
      <c r="CR114" s="62">
        <v>0</v>
      </c>
      <c r="CS114" s="62">
        <v>0</v>
      </c>
      <c r="CT114" s="62">
        <v>0</v>
      </c>
      <c r="CU114" s="62">
        <v>0</v>
      </c>
      <c r="CV114" s="62">
        <v>0</v>
      </c>
      <c r="CW114" s="62">
        <v>0</v>
      </c>
      <c r="CX114" s="62">
        <v>0</v>
      </c>
      <c r="CY114" s="62">
        <v>0</v>
      </c>
      <c r="CZ114" s="190">
        <f t="shared" si="429"/>
        <v>0</v>
      </c>
      <c r="DA114" s="62">
        <v>0</v>
      </c>
      <c r="DB114" s="62">
        <v>0</v>
      </c>
      <c r="DC114" s="62">
        <v>0</v>
      </c>
      <c r="DD114" s="62">
        <v>0</v>
      </c>
      <c r="DE114" s="62">
        <v>0</v>
      </c>
      <c r="DF114" s="62">
        <v>0</v>
      </c>
      <c r="DG114" s="62">
        <v>0</v>
      </c>
      <c r="DH114" s="62">
        <v>0</v>
      </c>
      <c r="DI114" s="62">
        <v>0</v>
      </c>
      <c r="DJ114" s="62">
        <v>0</v>
      </c>
      <c r="DK114" s="62">
        <v>0</v>
      </c>
      <c r="DL114" s="62">
        <v>0</v>
      </c>
      <c r="DM114" s="190">
        <f t="shared" si="430"/>
        <v>0</v>
      </c>
      <c r="DN114" s="62">
        <v>0</v>
      </c>
      <c r="DO114" s="62">
        <v>0</v>
      </c>
      <c r="DP114" s="62">
        <v>0</v>
      </c>
      <c r="DQ114" s="62">
        <v>0</v>
      </c>
      <c r="DR114" s="62">
        <v>0</v>
      </c>
      <c r="DS114" s="62">
        <v>0</v>
      </c>
      <c r="DT114" s="62">
        <v>0</v>
      </c>
      <c r="DU114" s="62">
        <v>0</v>
      </c>
      <c r="DV114" s="62">
        <v>0</v>
      </c>
      <c r="DW114" s="62">
        <v>0</v>
      </c>
      <c r="DX114" s="62">
        <v>0</v>
      </c>
      <c r="DY114" s="62">
        <v>0</v>
      </c>
      <c r="DZ114" s="190">
        <f t="shared" si="431"/>
        <v>0</v>
      </c>
    </row>
    <row r="115" spans="1:130" s="194" customFormat="1" ht="20.45" customHeight="1" outlineLevel="1">
      <c r="A115" s="526"/>
      <c r="B115" s="527" t="s">
        <v>3222</v>
      </c>
      <c r="C115" s="65" t="s">
        <v>307</v>
      </c>
      <c r="D115" s="66">
        <f t="shared" si="345"/>
        <v>8028299.9999999991</v>
      </c>
      <c r="E115" s="187">
        <f>SUM(E116:E122)</f>
        <v>2.4839587295468937E-2</v>
      </c>
      <c r="F115" s="62">
        <f>SUM(F116:F122)</f>
        <v>0</v>
      </c>
      <c r="G115" s="190">
        <f t="shared" ref="G115:G117" si="548">SUM(F115)</f>
        <v>0</v>
      </c>
      <c r="H115" s="196">
        <f t="shared" ref="H115:T115" si="549">SUM(H116:H122)</f>
        <v>0</v>
      </c>
      <c r="I115" s="62">
        <f t="shared" si="549"/>
        <v>0</v>
      </c>
      <c r="J115" s="62">
        <f t="shared" si="549"/>
        <v>0</v>
      </c>
      <c r="K115" s="62">
        <f t="shared" si="549"/>
        <v>0</v>
      </c>
      <c r="L115" s="62">
        <f t="shared" si="549"/>
        <v>0</v>
      </c>
      <c r="M115" s="62">
        <f t="shared" si="549"/>
        <v>0</v>
      </c>
      <c r="N115" s="62">
        <f t="shared" si="549"/>
        <v>0</v>
      </c>
      <c r="O115" s="62">
        <f t="shared" si="549"/>
        <v>0</v>
      </c>
      <c r="P115" s="62">
        <f t="shared" si="549"/>
        <v>145000</v>
      </c>
      <c r="Q115" s="62">
        <f t="shared" si="549"/>
        <v>0</v>
      </c>
      <c r="R115" s="62">
        <f t="shared" si="549"/>
        <v>105000</v>
      </c>
      <c r="S115" s="62">
        <f t="shared" si="549"/>
        <v>105000</v>
      </c>
      <c r="T115" s="62">
        <f t="shared" si="549"/>
        <v>105000</v>
      </c>
      <c r="U115" s="190">
        <f t="shared" ref="U115:U122" si="550">SUM(I115:T115)</f>
        <v>460000</v>
      </c>
      <c r="V115" s="196">
        <f t="shared" ref="V115" si="551">SUM(V116:V122)</f>
        <v>8.2912765838830168E-3</v>
      </c>
      <c r="W115" s="62">
        <f t="shared" ref="W115:AH115" si="552">SUM(W116:W122)</f>
        <v>104000</v>
      </c>
      <c r="X115" s="62">
        <f t="shared" si="552"/>
        <v>103000</v>
      </c>
      <c r="Y115" s="62">
        <f t="shared" si="552"/>
        <v>103000</v>
      </c>
      <c r="Z115" s="62">
        <f t="shared" si="552"/>
        <v>103000</v>
      </c>
      <c r="AA115" s="62">
        <f t="shared" si="552"/>
        <v>103000</v>
      </c>
      <c r="AB115" s="62">
        <f t="shared" si="552"/>
        <v>1603000</v>
      </c>
      <c r="AC115" s="62">
        <f t="shared" si="552"/>
        <v>1453000</v>
      </c>
      <c r="AD115" s="62">
        <f t="shared" si="552"/>
        <v>103000</v>
      </c>
      <c r="AE115" s="62">
        <f t="shared" si="552"/>
        <v>0</v>
      </c>
      <c r="AF115" s="62">
        <f t="shared" si="552"/>
        <v>0</v>
      </c>
      <c r="AG115" s="62">
        <f t="shared" si="552"/>
        <v>76000</v>
      </c>
      <c r="AH115" s="62">
        <f t="shared" si="552"/>
        <v>38000</v>
      </c>
      <c r="AI115" s="190">
        <f t="shared" ref="AI115:AI117" si="553">SUM(W115:AH115)</f>
        <v>3789000</v>
      </c>
      <c r="AJ115" s="196">
        <f t="shared" ref="AJ115" si="554">SUM(AJ116:AJ122)</f>
        <v>5.1495879881110165E-2</v>
      </c>
      <c r="AK115" s="62">
        <f t="shared" ref="AK115:AV115" si="555">SUM(AK116:AK122)</f>
        <v>38000</v>
      </c>
      <c r="AL115" s="62">
        <f t="shared" si="555"/>
        <v>43000</v>
      </c>
      <c r="AM115" s="62">
        <f t="shared" si="555"/>
        <v>179100</v>
      </c>
      <c r="AN115" s="62">
        <f t="shared" si="555"/>
        <v>200000</v>
      </c>
      <c r="AO115" s="62">
        <f t="shared" si="555"/>
        <v>200000</v>
      </c>
      <c r="AP115" s="62">
        <f t="shared" si="555"/>
        <v>200000</v>
      </c>
      <c r="AQ115" s="62">
        <f t="shared" si="555"/>
        <v>2006200</v>
      </c>
      <c r="AR115" s="62">
        <f t="shared" si="555"/>
        <v>0</v>
      </c>
      <c r="AS115" s="62">
        <f t="shared" si="555"/>
        <v>60000</v>
      </c>
      <c r="AT115" s="62">
        <f t="shared" si="555"/>
        <v>60000</v>
      </c>
      <c r="AU115" s="62">
        <f t="shared" si="555"/>
        <v>60000</v>
      </c>
      <c r="AV115" s="62">
        <f t="shared" si="555"/>
        <v>60000</v>
      </c>
      <c r="AW115" s="190">
        <f t="shared" ref="AW115:AW122" si="556">SUM(AK115:AV115)</f>
        <v>3106300</v>
      </c>
      <c r="AX115" s="196">
        <f t="shared" ref="AX115" si="557">SUM(AX116:AX122)</f>
        <v>4.0718422246145518E-2</v>
      </c>
      <c r="AY115" s="62">
        <f t="shared" ref="AY115:BJ115" si="558">SUM(AY116:AY122)</f>
        <v>60000</v>
      </c>
      <c r="AZ115" s="62">
        <f t="shared" si="558"/>
        <v>60000</v>
      </c>
      <c r="BA115" s="62">
        <f t="shared" si="558"/>
        <v>60000</v>
      </c>
      <c r="BB115" s="62">
        <f t="shared" si="558"/>
        <v>60000</v>
      </c>
      <c r="BC115" s="62">
        <f t="shared" si="558"/>
        <v>63000</v>
      </c>
      <c r="BD115" s="62">
        <f t="shared" si="558"/>
        <v>80000</v>
      </c>
      <c r="BE115" s="62">
        <f t="shared" si="558"/>
        <v>3200</v>
      </c>
      <c r="BF115" s="62">
        <f t="shared" si="558"/>
        <v>60000</v>
      </c>
      <c r="BG115" s="62">
        <f t="shared" si="558"/>
        <v>36800</v>
      </c>
      <c r="BH115" s="62">
        <f t="shared" si="558"/>
        <v>60000</v>
      </c>
      <c r="BI115" s="62">
        <f t="shared" si="558"/>
        <v>70000</v>
      </c>
      <c r="BJ115" s="62">
        <f t="shared" si="558"/>
        <v>0</v>
      </c>
      <c r="BK115" s="190">
        <f t="shared" ref="BK115:BK122" si="559">SUM(AY115:BJ115)</f>
        <v>613000</v>
      </c>
      <c r="BL115" s="196">
        <f t="shared" ref="BL115" si="560">SUM(BL116:BL122)</f>
        <v>8.7773279528456163E-3</v>
      </c>
      <c r="BM115" s="62">
        <f t="shared" ref="BM115:BX115" si="561">SUM(BM116:BM122)</f>
        <v>60000</v>
      </c>
      <c r="BN115" s="62">
        <f t="shared" si="561"/>
        <v>0</v>
      </c>
      <c r="BO115" s="62">
        <f t="shared" si="561"/>
        <v>0</v>
      </c>
      <c r="BP115" s="62">
        <f t="shared" si="561"/>
        <v>0</v>
      </c>
      <c r="BQ115" s="62">
        <f t="shared" si="561"/>
        <v>0</v>
      </c>
      <c r="BR115" s="62">
        <f t="shared" si="561"/>
        <v>0</v>
      </c>
      <c r="BS115" s="62">
        <f t="shared" si="561"/>
        <v>0</v>
      </c>
      <c r="BT115" s="62">
        <f t="shared" si="561"/>
        <v>0</v>
      </c>
      <c r="BU115" s="62">
        <f t="shared" si="561"/>
        <v>0</v>
      </c>
      <c r="BV115" s="62">
        <f t="shared" si="561"/>
        <v>0</v>
      </c>
      <c r="BW115" s="62">
        <f t="shared" si="561"/>
        <v>0</v>
      </c>
      <c r="BX115" s="62">
        <f t="shared" si="561"/>
        <v>0</v>
      </c>
      <c r="BY115" s="190">
        <f t="shared" ref="BY115:BY122" si="562">SUM(BM115:BX115)</f>
        <v>60000</v>
      </c>
      <c r="BZ115" s="196">
        <f t="shared" ref="BZ115" si="563">SUM(BZ116:BZ122)</f>
        <v>1.3747943823151951E-3</v>
      </c>
      <c r="CA115" s="62">
        <f t="shared" ref="CA115:CL115" si="564">SUM(CA116:CA122)</f>
        <v>0</v>
      </c>
      <c r="CB115" s="62">
        <f t="shared" si="564"/>
        <v>0</v>
      </c>
      <c r="CC115" s="62">
        <f t="shared" si="564"/>
        <v>0</v>
      </c>
      <c r="CD115" s="62">
        <f t="shared" si="564"/>
        <v>0</v>
      </c>
      <c r="CE115" s="62">
        <f t="shared" si="564"/>
        <v>0</v>
      </c>
      <c r="CF115" s="62">
        <f t="shared" si="564"/>
        <v>0</v>
      </c>
      <c r="CG115" s="62">
        <f t="shared" si="564"/>
        <v>0</v>
      </c>
      <c r="CH115" s="62">
        <f t="shared" si="564"/>
        <v>0</v>
      </c>
      <c r="CI115" s="62">
        <f t="shared" si="564"/>
        <v>0</v>
      </c>
      <c r="CJ115" s="62">
        <f t="shared" si="564"/>
        <v>0</v>
      </c>
      <c r="CK115" s="62">
        <f t="shared" si="564"/>
        <v>0</v>
      </c>
      <c r="CL115" s="62">
        <f t="shared" si="564"/>
        <v>0</v>
      </c>
      <c r="CM115" s="190">
        <f t="shared" ref="CM115:CM122" si="565">SUM(CA115:CL115)</f>
        <v>0</v>
      </c>
      <c r="CN115" s="62">
        <f t="shared" ref="CN115:CY115" si="566">SUM(CN116:CN122)</f>
        <v>0</v>
      </c>
      <c r="CO115" s="62">
        <f t="shared" si="566"/>
        <v>0</v>
      </c>
      <c r="CP115" s="62">
        <f t="shared" si="566"/>
        <v>0</v>
      </c>
      <c r="CQ115" s="62">
        <f t="shared" si="566"/>
        <v>0</v>
      </c>
      <c r="CR115" s="62">
        <f t="shared" si="566"/>
        <v>0</v>
      </c>
      <c r="CS115" s="62">
        <f t="shared" si="566"/>
        <v>0</v>
      </c>
      <c r="CT115" s="62">
        <f t="shared" si="566"/>
        <v>0</v>
      </c>
      <c r="CU115" s="62">
        <f t="shared" si="566"/>
        <v>0</v>
      </c>
      <c r="CV115" s="62">
        <f t="shared" si="566"/>
        <v>0</v>
      </c>
      <c r="CW115" s="62">
        <f t="shared" si="566"/>
        <v>0</v>
      </c>
      <c r="CX115" s="62">
        <f t="shared" si="566"/>
        <v>0</v>
      </c>
      <c r="CY115" s="62">
        <f t="shared" si="566"/>
        <v>0</v>
      </c>
      <c r="CZ115" s="190">
        <f t="shared" ref="CZ115:CZ122" si="567">SUM(CN115:CY115)</f>
        <v>0</v>
      </c>
      <c r="DA115" s="62">
        <f t="shared" ref="DA115:DL115" si="568">SUM(DA116:DA122)</f>
        <v>0</v>
      </c>
      <c r="DB115" s="62">
        <f t="shared" si="568"/>
        <v>0</v>
      </c>
      <c r="DC115" s="62">
        <f t="shared" si="568"/>
        <v>0</v>
      </c>
      <c r="DD115" s="62">
        <f t="shared" si="568"/>
        <v>0</v>
      </c>
      <c r="DE115" s="62">
        <f t="shared" si="568"/>
        <v>0</v>
      </c>
      <c r="DF115" s="62">
        <f t="shared" si="568"/>
        <v>0</v>
      </c>
      <c r="DG115" s="62">
        <f t="shared" si="568"/>
        <v>0</v>
      </c>
      <c r="DH115" s="62">
        <f t="shared" si="568"/>
        <v>0</v>
      </c>
      <c r="DI115" s="62">
        <f t="shared" si="568"/>
        <v>0</v>
      </c>
      <c r="DJ115" s="62">
        <f t="shared" si="568"/>
        <v>0</v>
      </c>
      <c r="DK115" s="62">
        <f t="shared" si="568"/>
        <v>0</v>
      </c>
      <c r="DL115" s="62">
        <f t="shared" si="568"/>
        <v>0</v>
      </c>
      <c r="DM115" s="190">
        <f t="shared" ref="DM115:DM122" si="569">SUM(DA115:DL115)</f>
        <v>0</v>
      </c>
      <c r="DN115" s="62">
        <f t="shared" ref="DN115:DY115" si="570">SUM(DN116:DN122)</f>
        <v>0</v>
      </c>
      <c r="DO115" s="62">
        <f t="shared" si="570"/>
        <v>0</v>
      </c>
      <c r="DP115" s="62">
        <f t="shared" si="570"/>
        <v>0</v>
      </c>
      <c r="DQ115" s="62">
        <f t="shared" si="570"/>
        <v>0</v>
      </c>
      <c r="DR115" s="62">
        <f t="shared" si="570"/>
        <v>0</v>
      </c>
      <c r="DS115" s="62">
        <f t="shared" si="570"/>
        <v>0</v>
      </c>
      <c r="DT115" s="62">
        <f t="shared" si="570"/>
        <v>0</v>
      </c>
      <c r="DU115" s="62">
        <f t="shared" si="570"/>
        <v>0</v>
      </c>
      <c r="DV115" s="62">
        <f t="shared" si="570"/>
        <v>0</v>
      </c>
      <c r="DW115" s="62">
        <f t="shared" si="570"/>
        <v>0</v>
      </c>
      <c r="DX115" s="62">
        <f t="shared" si="570"/>
        <v>0</v>
      </c>
      <c r="DY115" s="62">
        <f t="shared" si="570"/>
        <v>0</v>
      </c>
      <c r="DZ115" s="190">
        <f t="shared" ref="DZ115:DZ122" si="571">SUM(DN115:DY115)</f>
        <v>0</v>
      </c>
    </row>
    <row r="116" spans="1:130" ht="20.45" customHeight="1" outlineLevel="2">
      <c r="A116" s="526"/>
      <c r="B116" s="528"/>
      <c r="C116" s="30" t="s">
        <v>366</v>
      </c>
      <c r="D116" s="62">
        <f t="shared" si="345"/>
        <v>40000.000000000007</v>
      </c>
      <c r="E116" s="184">
        <f t="shared" ref="E116:E122" si="572">D116/(D$5+D$6+D$7+D$8+D$10+D$9)</f>
        <v>1.2376013499978299E-4</v>
      </c>
      <c r="F116" s="62">
        <v>0</v>
      </c>
      <c r="G116" s="190">
        <f t="shared" si="548"/>
        <v>0</v>
      </c>
      <c r="H116" s="197">
        <f t="shared" ref="H116:H122" si="573">G116/(G$5+G$6+G$7+G$8+G$10+G$9)</f>
        <v>0</v>
      </c>
      <c r="I116" s="62">
        <v>0</v>
      </c>
      <c r="J116" s="62">
        <v>0</v>
      </c>
      <c r="K116" s="62">
        <v>0</v>
      </c>
      <c r="L116" s="62">
        <v>0</v>
      </c>
      <c r="M116" s="62">
        <v>0</v>
      </c>
      <c r="N116" s="62">
        <v>0</v>
      </c>
      <c r="O116" s="62">
        <v>0</v>
      </c>
      <c r="P116" s="62">
        <v>40000</v>
      </c>
      <c r="Q116" s="62">
        <v>0</v>
      </c>
      <c r="R116" s="62">
        <v>0</v>
      </c>
      <c r="S116" s="62">
        <v>0</v>
      </c>
      <c r="T116" s="62">
        <v>0</v>
      </c>
      <c r="U116" s="190">
        <f t="shared" si="550"/>
        <v>40000</v>
      </c>
      <c r="V116" s="197">
        <f t="shared" ref="V116:V122" si="574">U116/(U$5+U$6+U$7+U$8+U$10+U$9)</f>
        <v>7.2098057251156666E-4</v>
      </c>
      <c r="W116" s="62">
        <v>0</v>
      </c>
      <c r="X116" s="62">
        <v>0</v>
      </c>
      <c r="Y116" s="62">
        <v>0</v>
      </c>
      <c r="Z116" s="62">
        <v>0</v>
      </c>
      <c r="AA116" s="62">
        <v>0</v>
      </c>
      <c r="AB116" s="62">
        <v>0</v>
      </c>
      <c r="AC116" s="62">
        <v>0</v>
      </c>
      <c r="AD116" s="62">
        <v>0</v>
      </c>
      <c r="AE116" s="62">
        <v>0</v>
      </c>
      <c r="AF116" s="62">
        <v>0</v>
      </c>
      <c r="AG116" s="62">
        <v>0</v>
      </c>
      <c r="AH116" s="62">
        <v>0</v>
      </c>
      <c r="AI116" s="190">
        <f t="shared" si="553"/>
        <v>0</v>
      </c>
      <c r="AJ116" s="197">
        <f t="shared" ref="AJ116:AJ122" si="575">AI116/(AI$5+AI$6+AI$7+AI$8+AI$10+AI$9)</f>
        <v>0</v>
      </c>
      <c r="AK116" s="62">
        <v>0</v>
      </c>
      <c r="AL116" s="62">
        <v>0</v>
      </c>
      <c r="AM116" s="62">
        <v>0</v>
      </c>
      <c r="AN116" s="62">
        <v>0</v>
      </c>
      <c r="AO116" s="62">
        <v>0</v>
      </c>
      <c r="AP116" s="62">
        <v>0</v>
      </c>
      <c r="AQ116" s="62">
        <v>0</v>
      </c>
      <c r="AR116" s="62">
        <v>0</v>
      </c>
      <c r="AS116" s="62">
        <v>0</v>
      </c>
      <c r="AT116" s="62">
        <v>0</v>
      </c>
      <c r="AU116" s="62">
        <v>0</v>
      </c>
      <c r="AV116" s="62">
        <v>0</v>
      </c>
      <c r="AW116" s="190">
        <f t="shared" si="556"/>
        <v>0</v>
      </c>
      <c r="AX116" s="197">
        <f t="shared" ref="AX116:AX122" si="576">AW116/(AW$5+AW$6+AW$7+AW$8+AW$10+AW$9)</f>
        <v>0</v>
      </c>
      <c r="AY116" s="62">
        <v>0</v>
      </c>
      <c r="AZ116" s="62">
        <v>0</v>
      </c>
      <c r="BA116" s="62">
        <v>0</v>
      </c>
      <c r="BB116" s="62">
        <v>0</v>
      </c>
      <c r="BC116" s="62">
        <v>0</v>
      </c>
      <c r="BD116" s="62">
        <v>0</v>
      </c>
      <c r="BE116" s="62">
        <v>0</v>
      </c>
      <c r="BF116" s="62">
        <v>0</v>
      </c>
      <c r="BG116" s="62">
        <v>0</v>
      </c>
      <c r="BH116" s="62">
        <v>0</v>
      </c>
      <c r="BI116" s="62">
        <v>0</v>
      </c>
      <c r="BJ116" s="62">
        <v>0</v>
      </c>
      <c r="BK116" s="190">
        <f t="shared" si="559"/>
        <v>0</v>
      </c>
      <c r="BL116" s="197">
        <f t="shared" ref="BL116:BL122" si="577">BK116/(BK$5+BK$6+BK$7+BK$8+BK$10+BK$9)</f>
        <v>0</v>
      </c>
      <c r="BM116" s="62">
        <v>0</v>
      </c>
      <c r="BN116" s="62">
        <v>0</v>
      </c>
      <c r="BO116" s="62">
        <v>0</v>
      </c>
      <c r="BP116" s="62">
        <v>0</v>
      </c>
      <c r="BQ116" s="62">
        <v>0</v>
      </c>
      <c r="BR116" s="62">
        <v>0</v>
      </c>
      <c r="BS116" s="62">
        <v>0</v>
      </c>
      <c r="BT116" s="62">
        <v>0</v>
      </c>
      <c r="BU116" s="62">
        <v>0</v>
      </c>
      <c r="BV116" s="62">
        <v>0</v>
      </c>
      <c r="BW116" s="62">
        <v>0</v>
      </c>
      <c r="BX116" s="62">
        <v>0</v>
      </c>
      <c r="BY116" s="190">
        <f t="shared" si="562"/>
        <v>0</v>
      </c>
      <c r="BZ116" s="197">
        <f t="shared" ref="BZ116:BZ122" si="578">BY116/(BY$5+BY$6+BY$7+BY$8+BY$10+BY$9)</f>
        <v>0</v>
      </c>
      <c r="CA116" s="62">
        <v>0</v>
      </c>
      <c r="CB116" s="62">
        <v>0</v>
      </c>
      <c r="CC116" s="62">
        <v>0</v>
      </c>
      <c r="CD116" s="62">
        <v>0</v>
      </c>
      <c r="CE116" s="62">
        <v>0</v>
      </c>
      <c r="CF116" s="62">
        <v>0</v>
      </c>
      <c r="CG116" s="62">
        <v>0</v>
      </c>
      <c r="CH116" s="62">
        <v>0</v>
      </c>
      <c r="CI116" s="62">
        <v>0</v>
      </c>
      <c r="CJ116" s="62">
        <v>0</v>
      </c>
      <c r="CK116" s="62">
        <v>0</v>
      </c>
      <c r="CL116" s="62">
        <v>0</v>
      </c>
      <c r="CM116" s="190">
        <f t="shared" si="565"/>
        <v>0</v>
      </c>
      <c r="CN116" s="62">
        <v>0</v>
      </c>
      <c r="CO116" s="62">
        <v>0</v>
      </c>
      <c r="CP116" s="62">
        <v>0</v>
      </c>
      <c r="CQ116" s="62">
        <v>0</v>
      </c>
      <c r="CR116" s="62">
        <v>0</v>
      </c>
      <c r="CS116" s="62">
        <v>0</v>
      </c>
      <c r="CT116" s="62">
        <v>0</v>
      </c>
      <c r="CU116" s="62">
        <v>0</v>
      </c>
      <c r="CV116" s="62">
        <v>0</v>
      </c>
      <c r="CW116" s="62">
        <v>0</v>
      </c>
      <c r="CX116" s="62">
        <v>0</v>
      </c>
      <c r="CY116" s="62">
        <v>0</v>
      </c>
      <c r="CZ116" s="190">
        <f t="shared" si="567"/>
        <v>0</v>
      </c>
      <c r="DA116" s="62">
        <v>0</v>
      </c>
      <c r="DB116" s="62">
        <v>0</v>
      </c>
      <c r="DC116" s="62">
        <v>0</v>
      </c>
      <c r="DD116" s="62">
        <v>0</v>
      </c>
      <c r="DE116" s="62">
        <v>0</v>
      </c>
      <c r="DF116" s="62">
        <v>0</v>
      </c>
      <c r="DG116" s="62">
        <v>0</v>
      </c>
      <c r="DH116" s="62">
        <v>0</v>
      </c>
      <c r="DI116" s="62">
        <v>0</v>
      </c>
      <c r="DJ116" s="62">
        <v>0</v>
      </c>
      <c r="DK116" s="62">
        <v>0</v>
      </c>
      <c r="DL116" s="62">
        <v>0</v>
      </c>
      <c r="DM116" s="190">
        <f t="shared" si="569"/>
        <v>0</v>
      </c>
      <c r="DN116" s="62">
        <v>0</v>
      </c>
      <c r="DO116" s="62">
        <v>0</v>
      </c>
      <c r="DP116" s="62">
        <v>0</v>
      </c>
      <c r="DQ116" s="62">
        <v>0</v>
      </c>
      <c r="DR116" s="62">
        <v>0</v>
      </c>
      <c r="DS116" s="62">
        <v>0</v>
      </c>
      <c r="DT116" s="62">
        <v>0</v>
      </c>
      <c r="DU116" s="62">
        <v>0</v>
      </c>
      <c r="DV116" s="62">
        <v>0</v>
      </c>
      <c r="DW116" s="62">
        <v>0</v>
      </c>
      <c r="DX116" s="62">
        <v>0</v>
      </c>
      <c r="DY116" s="62">
        <v>0</v>
      </c>
      <c r="DZ116" s="190">
        <f t="shared" si="571"/>
        <v>0</v>
      </c>
    </row>
    <row r="117" spans="1:130" ht="20.45" customHeight="1" outlineLevel="2">
      <c r="A117" s="526"/>
      <c r="B117" s="528"/>
      <c r="C117" s="30" t="s">
        <v>367</v>
      </c>
      <c r="D117" s="62">
        <f t="shared" si="345"/>
        <v>1397000.0000000005</v>
      </c>
      <c r="E117" s="184">
        <f t="shared" si="572"/>
        <v>4.3223227148674213E-3</v>
      </c>
      <c r="F117" s="62">
        <v>0</v>
      </c>
      <c r="G117" s="190">
        <f t="shared" si="548"/>
        <v>0</v>
      </c>
      <c r="H117" s="197">
        <f t="shared" si="573"/>
        <v>0</v>
      </c>
      <c r="I117" s="62">
        <v>0</v>
      </c>
      <c r="J117" s="62">
        <v>0</v>
      </c>
      <c r="K117" s="62">
        <v>0</v>
      </c>
      <c r="L117" s="62">
        <v>0</v>
      </c>
      <c r="M117" s="62">
        <v>0</v>
      </c>
      <c r="N117" s="62">
        <v>0</v>
      </c>
      <c r="O117" s="62">
        <v>0</v>
      </c>
      <c r="P117" s="62">
        <v>105000</v>
      </c>
      <c r="Q117" s="62">
        <v>0</v>
      </c>
      <c r="R117" s="62">
        <v>105000</v>
      </c>
      <c r="S117" s="62">
        <v>105000</v>
      </c>
      <c r="T117" s="62">
        <v>105000</v>
      </c>
      <c r="U117" s="190">
        <f t="shared" si="550"/>
        <v>420000</v>
      </c>
      <c r="V117" s="197">
        <f t="shared" si="574"/>
        <v>7.5702960113714496E-3</v>
      </c>
      <c r="W117" s="62">
        <v>104000</v>
      </c>
      <c r="X117" s="62">
        <v>103000</v>
      </c>
      <c r="Y117" s="62">
        <v>103000</v>
      </c>
      <c r="Z117" s="62">
        <v>103000</v>
      </c>
      <c r="AA117" s="62">
        <v>103000</v>
      </c>
      <c r="AB117" s="62">
        <v>103000</v>
      </c>
      <c r="AC117" s="62">
        <v>103000</v>
      </c>
      <c r="AD117" s="62">
        <v>103000</v>
      </c>
      <c r="AE117" s="62">
        <f>85000-85000</f>
        <v>0</v>
      </c>
      <c r="AF117" s="62">
        <v>0</v>
      </c>
      <c r="AG117" s="62">
        <f>38000+38000</f>
        <v>76000</v>
      </c>
      <c r="AH117" s="62">
        <v>38000</v>
      </c>
      <c r="AI117" s="190">
        <f t="shared" si="553"/>
        <v>939000</v>
      </c>
      <c r="AJ117" s="197">
        <f t="shared" si="575"/>
        <v>1.2761845132848362E-2</v>
      </c>
      <c r="AK117" s="62">
        <v>38000</v>
      </c>
      <c r="AL117" s="62">
        <v>43000</v>
      </c>
      <c r="AM117" s="62">
        <v>-43000</v>
      </c>
      <c r="AN117" s="62">
        <v>0</v>
      </c>
      <c r="AO117" s="62">
        <v>0</v>
      </c>
      <c r="AP117" s="62">
        <v>0</v>
      </c>
      <c r="AQ117" s="62">
        <v>0</v>
      </c>
      <c r="AR117" s="62">
        <v>0</v>
      </c>
      <c r="AS117" s="62">
        <v>0</v>
      </c>
      <c r="AT117" s="62">
        <v>0</v>
      </c>
      <c r="AU117" s="62">
        <v>0</v>
      </c>
      <c r="AV117" s="62">
        <v>0</v>
      </c>
      <c r="AW117" s="190">
        <f t="shared" si="556"/>
        <v>38000</v>
      </c>
      <c r="AX117" s="197">
        <f t="shared" si="576"/>
        <v>4.9811674511590306E-4</v>
      </c>
      <c r="AY117" s="62">
        <v>0</v>
      </c>
      <c r="AZ117" s="62">
        <v>0</v>
      </c>
      <c r="BA117" s="62">
        <v>0</v>
      </c>
      <c r="BB117" s="62">
        <v>0</v>
      </c>
      <c r="BC117" s="62">
        <v>0</v>
      </c>
      <c r="BD117" s="62">
        <v>0</v>
      </c>
      <c r="BE117" s="62">
        <v>0</v>
      </c>
      <c r="BF117" s="62">
        <v>0</v>
      </c>
      <c r="BG117" s="62">
        <v>0</v>
      </c>
      <c r="BH117" s="62">
        <v>0</v>
      </c>
      <c r="BI117" s="62">
        <v>0</v>
      </c>
      <c r="BJ117" s="62">
        <v>0</v>
      </c>
      <c r="BK117" s="190">
        <f t="shared" si="559"/>
        <v>0</v>
      </c>
      <c r="BL117" s="197">
        <f t="shared" si="577"/>
        <v>0</v>
      </c>
      <c r="BM117" s="62">
        <v>0</v>
      </c>
      <c r="BN117" s="62">
        <v>0</v>
      </c>
      <c r="BO117" s="62">
        <v>0</v>
      </c>
      <c r="BP117" s="62">
        <v>0</v>
      </c>
      <c r="BQ117" s="62">
        <v>0</v>
      </c>
      <c r="BR117" s="62">
        <v>0</v>
      </c>
      <c r="BS117" s="62">
        <v>0</v>
      </c>
      <c r="BT117" s="62">
        <v>0</v>
      </c>
      <c r="BU117" s="62">
        <v>0</v>
      </c>
      <c r="BV117" s="62">
        <v>0</v>
      </c>
      <c r="BW117" s="62">
        <v>0</v>
      </c>
      <c r="BX117" s="62">
        <v>0</v>
      </c>
      <c r="BY117" s="190">
        <f t="shared" si="562"/>
        <v>0</v>
      </c>
      <c r="BZ117" s="197">
        <f t="shared" si="578"/>
        <v>0</v>
      </c>
      <c r="CA117" s="62">
        <v>0</v>
      </c>
      <c r="CB117" s="62">
        <v>0</v>
      </c>
      <c r="CC117" s="62">
        <v>0</v>
      </c>
      <c r="CD117" s="62">
        <v>0</v>
      </c>
      <c r="CE117" s="62">
        <v>0</v>
      </c>
      <c r="CF117" s="62">
        <v>0</v>
      </c>
      <c r="CG117" s="62">
        <v>0</v>
      </c>
      <c r="CH117" s="62">
        <v>0</v>
      </c>
      <c r="CI117" s="62">
        <v>0</v>
      </c>
      <c r="CJ117" s="62">
        <v>0</v>
      </c>
      <c r="CK117" s="62">
        <v>0</v>
      </c>
      <c r="CL117" s="62">
        <v>0</v>
      </c>
      <c r="CM117" s="190">
        <f t="shared" si="565"/>
        <v>0</v>
      </c>
      <c r="CN117" s="62">
        <v>0</v>
      </c>
      <c r="CO117" s="62">
        <v>0</v>
      </c>
      <c r="CP117" s="62">
        <v>0</v>
      </c>
      <c r="CQ117" s="62">
        <v>0</v>
      </c>
      <c r="CR117" s="62">
        <v>0</v>
      </c>
      <c r="CS117" s="62">
        <v>0</v>
      </c>
      <c r="CT117" s="62">
        <v>0</v>
      </c>
      <c r="CU117" s="62">
        <v>0</v>
      </c>
      <c r="CV117" s="62">
        <v>0</v>
      </c>
      <c r="CW117" s="62">
        <v>0</v>
      </c>
      <c r="CX117" s="62">
        <v>0</v>
      </c>
      <c r="CY117" s="62">
        <v>0</v>
      </c>
      <c r="CZ117" s="190">
        <f t="shared" si="567"/>
        <v>0</v>
      </c>
      <c r="DA117" s="62">
        <v>0</v>
      </c>
      <c r="DB117" s="62">
        <v>0</v>
      </c>
      <c r="DC117" s="62">
        <v>0</v>
      </c>
      <c r="DD117" s="62">
        <v>0</v>
      </c>
      <c r="DE117" s="62">
        <v>0</v>
      </c>
      <c r="DF117" s="62">
        <v>0</v>
      </c>
      <c r="DG117" s="62">
        <v>0</v>
      </c>
      <c r="DH117" s="62">
        <v>0</v>
      </c>
      <c r="DI117" s="62">
        <v>0</v>
      </c>
      <c r="DJ117" s="62">
        <v>0</v>
      </c>
      <c r="DK117" s="62">
        <v>0</v>
      </c>
      <c r="DL117" s="62">
        <v>0</v>
      </c>
      <c r="DM117" s="190">
        <f t="shared" si="569"/>
        <v>0</v>
      </c>
      <c r="DN117" s="62">
        <v>0</v>
      </c>
      <c r="DO117" s="62">
        <v>0</v>
      </c>
      <c r="DP117" s="62">
        <v>0</v>
      </c>
      <c r="DQ117" s="62">
        <v>0</v>
      </c>
      <c r="DR117" s="62">
        <v>0</v>
      </c>
      <c r="DS117" s="62">
        <v>0</v>
      </c>
      <c r="DT117" s="62">
        <v>0</v>
      </c>
      <c r="DU117" s="62">
        <v>0</v>
      </c>
      <c r="DV117" s="62">
        <v>0</v>
      </c>
      <c r="DW117" s="62">
        <v>0</v>
      </c>
      <c r="DX117" s="62">
        <v>0</v>
      </c>
      <c r="DY117" s="62">
        <v>0</v>
      </c>
      <c r="DZ117" s="190">
        <f t="shared" si="571"/>
        <v>0</v>
      </c>
    </row>
    <row r="118" spans="1:130" ht="20.45" customHeight="1" outlineLevel="2">
      <c r="A118" s="526"/>
      <c r="B118" s="528"/>
      <c r="C118" s="30" t="s">
        <v>2624</v>
      </c>
      <c r="D118" s="62">
        <f t="shared" si="345"/>
        <v>1010000</v>
      </c>
      <c r="E118" s="184">
        <f t="shared" si="572"/>
        <v>3.1249434087445198E-3</v>
      </c>
      <c r="F118" s="62">
        <v>0</v>
      </c>
      <c r="G118" s="190">
        <f t="shared" ref="G118:G122" si="579">SUM(F118)</f>
        <v>0</v>
      </c>
      <c r="H118" s="197">
        <f t="shared" si="573"/>
        <v>0</v>
      </c>
      <c r="I118" s="62">
        <v>0</v>
      </c>
      <c r="J118" s="62">
        <v>0</v>
      </c>
      <c r="K118" s="62">
        <v>0</v>
      </c>
      <c r="L118" s="62">
        <v>0</v>
      </c>
      <c r="M118" s="62">
        <v>0</v>
      </c>
      <c r="N118" s="62">
        <v>0</v>
      </c>
      <c r="O118" s="62">
        <v>0</v>
      </c>
      <c r="P118" s="62">
        <v>0</v>
      </c>
      <c r="Q118" s="62">
        <v>0</v>
      </c>
      <c r="R118" s="62">
        <v>0</v>
      </c>
      <c r="S118" s="62">
        <v>0</v>
      </c>
      <c r="T118" s="62">
        <v>0</v>
      </c>
      <c r="U118" s="190">
        <f t="shared" si="550"/>
        <v>0</v>
      </c>
      <c r="V118" s="197">
        <f t="shared" si="574"/>
        <v>0</v>
      </c>
      <c r="W118" s="62">
        <v>0</v>
      </c>
      <c r="X118" s="62">
        <v>0</v>
      </c>
      <c r="Y118" s="62">
        <v>0</v>
      </c>
      <c r="Z118" s="62">
        <v>0</v>
      </c>
      <c r="AA118" s="62">
        <v>0</v>
      </c>
      <c r="AB118" s="62">
        <v>0</v>
      </c>
      <c r="AC118" s="62">
        <v>0</v>
      </c>
      <c r="AD118" s="62">
        <v>0</v>
      </c>
      <c r="AE118" s="62">
        <v>0</v>
      </c>
      <c r="AF118" s="62">
        <v>0</v>
      </c>
      <c r="AG118" s="62">
        <v>0</v>
      </c>
      <c r="AH118" s="62">
        <v>0</v>
      </c>
      <c r="AI118" s="190">
        <f t="shared" ref="AI118:AI122" si="580">SUM(W118:AH118)</f>
        <v>0</v>
      </c>
      <c r="AJ118" s="197">
        <f t="shared" si="575"/>
        <v>0</v>
      </c>
      <c r="AK118" s="62">
        <v>0</v>
      </c>
      <c r="AL118" s="62">
        <v>0</v>
      </c>
      <c r="AM118" s="62">
        <v>200000</v>
      </c>
      <c r="AN118" s="62">
        <v>200000</v>
      </c>
      <c r="AO118" s="62">
        <v>200000</v>
      </c>
      <c r="AP118" s="62">
        <v>200000</v>
      </c>
      <c r="AQ118" s="62">
        <v>200000</v>
      </c>
      <c r="AR118" s="62">
        <v>0</v>
      </c>
      <c r="AS118" s="62">
        <v>0</v>
      </c>
      <c r="AT118" s="62">
        <v>0</v>
      </c>
      <c r="AU118" s="62">
        <v>0</v>
      </c>
      <c r="AV118" s="62">
        <v>0</v>
      </c>
      <c r="AW118" s="190">
        <f t="shared" si="556"/>
        <v>1000000</v>
      </c>
      <c r="AX118" s="197">
        <f t="shared" si="576"/>
        <v>1.3108335397786922E-2</v>
      </c>
      <c r="AY118" s="62">
        <v>0</v>
      </c>
      <c r="AZ118" s="62">
        <v>0</v>
      </c>
      <c r="BA118" s="62">
        <v>0</v>
      </c>
      <c r="BB118" s="62">
        <v>0</v>
      </c>
      <c r="BC118" s="62">
        <v>0</v>
      </c>
      <c r="BD118" s="62">
        <v>0</v>
      </c>
      <c r="BE118" s="62">
        <v>0</v>
      </c>
      <c r="BF118" s="62">
        <v>0</v>
      </c>
      <c r="BG118" s="62">
        <v>0</v>
      </c>
      <c r="BH118" s="62">
        <v>0</v>
      </c>
      <c r="BI118" s="62">
        <f>10000</f>
        <v>10000</v>
      </c>
      <c r="BJ118" s="62">
        <v>0</v>
      </c>
      <c r="BK118" s="190">
        <f t="shared" si="559"/>
        <v>10000</v>
      </c>
      <c r="BL118" s="197">
        <f t="shared" si="577"/>
        <v>1.4318642663695949E-4</v>
      </c>
      <c r="BM118" s="62">
        <v>0</v>
      </c>
      <c r="BN118" s="62">
        <v>0</v>
      </c>
      <c r="BO118" s="62">
        <v>0</v>
      </c>
      <c r="BP118" s="62">
        <v>0</v>
      </c>
      <c r="BQ118" s="62">
        <v>0</v>
      </c>
      <c r="BR118" s="62">
        <v>0</v>
      </c>
      <c r="BS118" s="62">
        <v>0</v>
      </c>
      <c r="BT118" s="62">
        <v>0</v>
      </c>
      <c r="BU118" s="62">
        <v>0</v>
      </c>
      <c r="BV118" s="62">
        <v>0</v>
      </c>
      <c r="BW118" s="62">
        <v>0</v>
      </c>
      <c r="BX118" s="62">
        <v>0</v>
      </c>
      <c r="BY118" s="190">
        <f t="shared" si="562"/>
        <v>0</v>
      </c>
      <c r="BZ118" s="197">
        <f t="shared" si="578"/>
        <v>0</v>
      </c>
      <c r="CA118" s="62">
        <v>0</v>
      </c>
      <c r="CB118" s="62">
        <v>0</v>
      </c>
      <c r="CC118" s="62">
        <v>0</v>
      </c>
      <c r="CD118" s="62">
        <v>0</v>
      </c>
      <c r="CE118" s="62">
        <v>0</v>
      </c>
      <c r="CF118" s="62">
        <v>0</v>
      </c>
      <c r="CG118" s="62">
        <v>0</v>
      </c>
      <c r="CH118" s="62">
        <v>0</v>
      </c>
      <c r="CI118" s="62">
        <v>0</v>
      </c>
      <c r="CJ118" s="62">
        <v>0</v>
      </c>
      <c r="CK118" s="62">
        <v>0</v>
      </c>
      <c r="CL118" s="62">
        <v>0</v>
      </c>
      <c r="CM118" s="190">
        <f t="shared" si="565"/>
        <v>0</v>
      </c>
      <c r="CN118" s="62">
        <v>0</v>
      </c>
      <c r="CO118" s="62">
        <v>0</v>
      </c>
      <c r="CP118" s="62">
        <v>0</v>
      </c>
      <c r="CQ118" s="62">
        <v>0</v>
      </c>
      <c r="CR118" s="62">
        <v>0</v>
      </c>
      <c r="CS118" s="62">
        <v>0</v>
      </c>
      <c r="CT118" s="62">
        <v>0</v>
      </c>
      <c r="CU118" s="62">
        <v>0</v>
      </c>
      <c r="CV118" s="62">
        <v>0</v>
      </c>
      <c r="CW118" s="62">
        <v>0</v>
      </c>
      <c r="CX118" s="62">
        <v>0</v>
      </c>
      <c r="CY118" s="62">
        <v>0</v>
      </c>
      <c r="CZ118" s="190">
        <f t="shared" si="567"/>
        <v>0</v>
      </c>
      <c r="DA118" s="62">
        <v>0</v>
      </c>
      <c r="DB118" s="62">
        <v>0</v>
      </c>
      <c r="DC118" s="62">
        <v>0</v>
      </c>
      <c r="DD118" s="62">
        <v>0</v>
      </c>
      <c r="DE118" s="62">
        <v>0</v>
      </c>
      <c r="DF118" s="62">
        <v>0</v>
      </c>
      <c r="DG118" s="62">
        <v>0</v>
      </c>
      <c r="DH118" s="62">
        <v>0</v>
      </c>
      <c r="DI118" s="62">
        <v>0</v>
      </c>
      <c r="DJ118" s="62">
        <v>0</v>
      </c>
      <c r="DK118" s="62">
        <v>0</v>
      </c>
      <c r="DL118" s="62">
        <v>0</v>
      </c>
      <c r="DM118" s="190">
        <f t="shared" si="569"/>
        <v>0</v>
      </c>
      <c r="DN118" s="62">
        <v>0</v>
      </c>
      <c r="DO118" s="62">
        <v>0</v>
      </c>
      <c r="DP118" s="62">
        <v>0</v>
      </c>
      <c r="DQ118" s="62">
        <v>0</v>
      </c>
      <c r="DR118" s="62">
        <v>0</v>
      </c>
      <c r="DS118" s="62">
        <v>0</v>
      </c>
      <c r="DT118" s="62">
        <v>0</v>
      </c>
      <c r="DU118" s="62">
        <v>0</v>
      </c>
      <c r="DV118" s="62">
        <v>0</v>
      </c>
      <c r="DW118" s="62">
        <v>0</v>
      </c>
      <c r="DX118" s="62">
        <v>0</v>
      </c>
      <c r="DY118" s="62">
        <v>0</v>
      </c>
      <c r="DZ118" s="190">
        <f t="shared" si="571"/>
        <v>0</v>
      </c>
    </row>
    <row r="119" spans="1:130" ht="20.45" customHeight="1" outlineLevel="2">
      <c r="A119" s="526"/>
      <c r="B119" s="528"/>
      <c r="C119" s="30" t="s">
        <v>2625</v>
      </c>
      <c r="D119" s="62">
        <f t="shared" si="345"/>
        <v>4649999.9999999991</v>
      </c>
      <c r="E119" s="184">
        <f t="shared" si="572"/>
        <v>1.4387115693724766E-2</v>
      </c>
      <c r="F119" s="62">
        <v>0</v>
      </c>
      <c r="G119" s="190">
        <f t="shared" ref="G119" si="581">SUM(F119)</f>
        <v>0</v>
      </c>
      <c r="H119" s="197">
        <f t="shared" si="573"/>
        <v>0</v>
      </c>
      <c r="I119" s="62">
        <v>0</v>
      </c>
      <c r="J119" s="62">
        <v>0</v>
      </c>
      <c r="K119" s="62">
        <v>0</v>
      </c>
      <c r="L119" s="62">
        <v>0</v>
      </c>
      <c r="M119" s="62">
        <v>0</v>
      </c>
      <c r="N119" s="62">
        <v>0</v>
      </c>
      <c r="O119" s="62">
        <v>0</v>
      </c>
      <c r="P119" s="62">
        <v>0</v>
      </c>
      <c r="Q119" s="62">
        <v>0</v>
      </c>
      <c r="R119" s="62">
        <v>0</v>
      </c>
      <c r="S119" s="62">
        <v>0</v>
      </c>
      <c r="T119" s="62">
        <v>0</v>
      </c>
      <c r="U119" s="190">
        <f t="shared" ref="U119:U121" si="582">SUM(I119:T119)</f>
        <v>0</v>
      </c>
      <c r="V119" s="197">
        <f t="shared" si="574"/>
        <v>0</v>
      </c>
      <c r="W119" s="62">
        <v>0</v>
      </c>
      <c r="X119" s="62">
        <v>0</v>
      </c>
      <c r="Y119" s="62">
        <v>0</v>
      </c>
      <c r="Z119" s="62">
        <v>0</v>
      </c>
      <c r="AA119" s="62">
        <v>0</v>
      </c>
      <c r="AB119" s="62">
        <v>1500000</v>
      </c>
      <c r="AC119" s="62">
        <v>1350000</v>
      </c>
      <c r="AD119" s="62">
        <v>0</v>
      </c>
      <c r="AE119" s="62">
        <v>0</v>
      </c>
      <c r="AF119" s="62">
        <v>0</v>
      </c>
      <c r="AG119" s="62">
        <v>0</v>
      </c>
      <c r="AH119" s="62">
        <v>0</v>
      </c>
      <c r="AI119" s="190">
        <f t="shared" ref="AI119" si="583">SUM(W119:AH119)</f>
        <v>2850000</v>
      </c>
      <c r="AJ119" s="197">
        <f t="shared" si="575"/>
        <v>3.87340347482618E-2</v>
      </c>
      <c r="AK119" s="62">
        <v>0</v>
      </c>
      <c r="AL119" s="62">
        <v>0</v>
      </c>
      <c r="AM119" s="62">
        <v>0</v>
      </c>
      <c r="AN119" s="62">
        <v>0</v>
      </c>
      <c r="AO119" s="62">
        <v>0</v>
      </c>
      <c r="AP119" s="62">
        <v>0</v>
      </c>
      <c r="AQ119" s="62">
        <v>1800000</v>
      </c>
      <c r="AR119" s="62">
        <v>0</v>
      </c>
      <c r="AS119" s="62">
        <v>0</v>
      </c>
      <c r="AT119" s="62">
        <v>0</v>
      </c>
      <c r="AU119" s="62">
        <v>0</v>
      </c>
      <c r="AV119" s="62">
        <v>0</v>
      </c>
      <c r="AW119" s="190">
        <f t="shared" ref="AW119:AW121" si="584">SUM(AK119:AV119)</f>
        <v>1800000</v>
      </c>
      <c r="AX119" s="197">
        <f t="shared" si="576"/>
        <v>2.3595003716016461E-2</v>
      </c>
      <c r="AY119" s="62">
        <v>0</v>
      </c>
      <c r="AZ119" s="62">
        <v>0</v>
      </c>
      <c r="BA119" s="62">
        <v>0</v>
      </c>
      <c r="BB119" s="62">
        <v>0</v>
      </c>
      <c r="BC119" s="62">
        <v>0</v>
      </c>
      <c r="BD119" s="62">
        <v>0</v>
      </c>
      <c r="BE119" s="62">
        <v>0</v>
      </c>
      <c r="BF119" s="62">
        <v>0</v>
      </c>
      <c r="BG119" s="62">
        <v>0</v>
      </c>
      <c r="BH119" s="62">
        <v>0</v>
      </c>
      <c r="BI119" s="62">
        <v>0</v>
      </c>
      <c r="BJ119" s="62">
        <v>0</v>
      </c>
      <c r="BK119" s="190">
        <f t="shared" ref="BK119:BK121" si="585">SUM(AY119:BJ119)</f>
        <v>0</v>
      </c>
      <c r="BL119" s="197">
        <f t="shared" si="577"/>
        <v>0</v>
      </c>
      <c r="BM119" s="62">
        <v>0</v>
      </c>
      <c r="BN119" s="62">
        <v>0</v>
      </c>
      <c r="BO119" s="62">
        <v>0</v>
      </c>
      <c r="BP119" s="62">
        <v>0</v>
      </c>
      <c r="BQ119" s="62">
        <v>0</v>
      </c>
      <c r="BR119" s="62">
        <v>0</v>
      </c>
      <c r="BS119" s="62">
        <v>0</v>
      </c>
      <c r="BT119" s="62">
        <v>0</v>
      </c>
      <c r="BU119" s="62">
        <v>0</v>
      </c>
      <c r="BV119" s="62">
        <v>0</v>
      </c>
      <c r="BW119" s="62">
        <v>0</v>
      </c>
      <c r="BX119" s="62">
        <v>0</v>
      </c>
      <c r="BY119" s="190">
        <f t="shared" ref="BY119:BY121" si="586">SUM(BM119:BX119)</f>
        <v>0</v>
      </c>
      <c r="BZ119" s="197">
        <f t="shared" si="578"/>
        <v>0</v>
      </c>
      <c r="CA119" s="62">
        <v>0</v>
      </c>
      <c r="CB119" s="62">
        <v>0</v>
      </c>
      <c r="CC119" s="62">
        <v>0</v>
      </c>
      <c r="CD119" s="62">
        <v>0</v>
      </c>
      <c r="CE119" s="62">
        <v>0</v>
      </c>
      <c r="CF119" s="62">
        <v>0</v>
      </c>
      <c r="CG119" s="62">
        <v>0</v>
      </c>
      <c r="CH119" s="62">
        <v>0</v>
      </c>
      <c r="CI119" s="62">
        <v>0</v>
      </c>
      <c r="CJ119" s="62">
        <v>0</v>
      </c>
      <c r="CK119" s="62">
        <v>0</v>
      </c>
      <c r="CL119" s="62">
        <v>0</v>
      </c>
      <c r="CM119" s="190">
        <f t="shared" ref="CM119:CM121" si="587">SUM(CA119:CL119)</f>
        <v>0</v>
      </c>
      <c r="CN119" s="62">
        <v>0</v>
      </c>
      <c r="CO119" s="62">
        <v>0</v>
      </c>
      <c r="CP119" s="62">
        <v>0</v>
      </c>
      <c r="CQ119" s="62">
        <v>0</v>
      </c>
      <c r="CR119" s="62">
        <v>0</v>
      </c>
      <c r="CS119" s="62">
        <v>0</v>
      </c>
      <c r="CT119" s="62">
        <v>0</v>
      </c>
      <c r="CU119" s="62">
        <v>0</v>
      </c>
      <c r="CV119" s="62">
        <v>0</v>
      </c>
      <c r="CW119" s="62">
        <v>0</v>
      </c>
      <c r="CX119" s="62">
        <v>0</v>
      </c>
      <c r="CY119" s="62">
        <v>0</v>
      </c>
      <c r="CZ119" s="190">
        <f t="shared" ref="CZ119:CZ121" si="588">SUM(CN119:CY119)</f>
        <v>0</v>
      </c>
      <c r="DA119" s="62">
        <v>0</v>
      </c>
      <c r="DB119" s="62">
        <v>0</v>
      </c>
      <c r="DC119" s="62">
        <v>0</v>
      </c>
      <c r="DD119" s="62">
        <v>0</v>
      </c>
      <c r="DE119" s="62">
        <v>0</v>
      </c>
      <c r="DF119" s="62">
        <v>0</v>
      </c>
      <c r="DG119" s="62">
        <v>0</v>
      </c>
      <c r="DH119" s="62">
        <v>0</v>
      </c>
      <c r="DI119" s="62">
        <v>0</v>
      </c>
      <c r="DJ119" s="62">
        <v>0</v>
      </c>
      <c r="DK119" s="62">
        <v>0</v>
      </c>
      <c r="DL119" s="62">
        <v>0</v>
      </c>
      <c r="DM119" s="190">
        <f t="shared" ref="DM119:DM121" si="589">SUM(DA119:DL119)</f>
        <v>0</v>
      </c>
      <c r="DN119" s="62">
        <v>0</v>
      </c>
      <c r="DO119" s="62">
        <v>0</v>
      </c>
      <c r="DP119" s="62">
        <v>0</v>
      </c>
      <c r="DQ119" s="62">
        <v>0</v>
      </c>
      <c r="DR119" s="62">
        <v>0</v>
      </c>
      <c r="DS119" s="62">
        <v>0</v>
      </c>
      <c r="DT119" s="62">
        <v>0</v>
      </c>
      <c r="DU119" s="62">
        <v>0</v>
      </c>
      <c r="DV119" s="62">
        <v>0</v>
      </c>
      <c r="DW119" s="62">
        <v>0</v>
      </c>
      <c r="DX119" s="62">
        <v>0</v>
      </c>
      <c r="DY119" s="62">
        <v>0</v>
      </c>
      <c r="DZ119" s="190">
        <f t="shared" ref="DZ119:DZ121" si="590">SUM(DN119:DY119)</f>
        <v>0</v>
      </c>
    </row>
    <row r="120" spans="1:130" ht="20.45" customHeight="1" outlineLevel="2">
      <c r="A120" s="526"/>
      <c r="B120" s="528"/>
      <c r="C120" s="30" t="s">
        <v>2626</v>
      </c>
      <c r="D120" s="62">
        <f t="shared" si="345"/>
        <v>876800</v>
      </c>
      <c r="E120" s="184">
        <f t="shared" si="572"/>
        <v>2.7128221591952426E-3</v>
      </c>
      <c r="F120" s="62">
        <v>0</v>
      </c>
      <c r="G120" s="190">
        <f t="shared" ref="G120" si="591">SUM(F120)</f>
        <v>0</v>
      </c>
      <c r="H120" s="197">
        <f t="shared" si="573"/>
        <v>0</v>
      </c>
      <c r="I120" s="62">
        <v>0</v>
      </c>
      <c r="J120" s="62">
        <v>0</v>
      </c>
      <c r="K120" s="62">
        <v>0</v>
      </c>
      <c r="L120" s="62">
        <v>0</v>
      </c>
      <c r="M120" s="62">
        <v>0</v>
      </c>
      <c r="N120" s="62">
        <v>0</v>
      </c>
      <c r="O120" s="62">
        <v>0</v>
      </c>
      <c r="P120" s="62">
        <v>0</v>
      </c>
      <c r="Q120" s="62">
        <v>0</v>
      </c>
      <c r="R120" s="62">
        <v>0</v>
      </c>
      <c r="S120" s="62">
        <v>0</v>
      </c>
      <c r="T120" s="62">
        <v>0</v>
      </c>
      <c r="U120" s="190">
        <f t="shared" si="582"/>
        <v>0</v>
      </c>
      <c r="V120" s="197">
        <f t="shared" si="574"/>
        <v>0</v>
      </c>
      <c r="W120" s="62">
        <v>0</v>
      </c>
      <c r="X120" s="62">
        <v>0</v>
      </c>
      <c r="Y120" s="62">
        <v>0</v>
      </c>
      <c r="Z120" s="62">
        <v>0</v>
      </c>
      <c r="AA120" s="62">
        <v>0</v>
      </c>
      <c r="AB120" s="62">
        <v>0</v>
      </c>
      <c r="AC120" s="62">
        <v>0</v>
      </c>
      <c r="AD120" s="62">
        <v>0</v>
      </c>
      <c r="AE120" s="62">
        <v>0</v>
      </c>
      <c r="AF120" s="62">
        <v>0</v>
      </c>
      <c r="AG120" s="62">
        <v>0</v>
      </c>
      <c r="AH120" s="62">
        <v>0</v>
      </c>
      <c r="AI120" s="190">
        <f t="shared" ref="AI120" si="592">SUM(W120:AH120)</f>
        <v>0</v>
      </c>
      <c r="AJ120" s="197">
        <f t="shared" si="575"/>
        <v>0</v>
      </c>
      <c r="AK120" s="62">
        <v>0</v>
      </c>
      <c r="AL120" s="62">
        <v>0</v>
      </c>
      <c r="AM120" s="62">
        <v>0</v>
      </c>
      <c r="AN120" s="62">
        <v>0</v>
      </c>
      <c r="AO120" s="62">
        <v>0</v>
      </c>
      <c r="AP120" s="62">
        <v>0</v>
      </c>
      <c r="AQ120" s="62">
        <v>0</v>
      </c>
      <c r="AR120" s="62">
        <v>0</v>
      </c>
      <c r="AS120" s="62">
        <v>60000</v>
      </c>
      <c r="AT120" s="62">
        <v>60000</v>
      </c>
      <c r="AU120" s="62">
        <v>60000</v>
      </c>
      <c r="AV120" s="62">
        <v>60000</v>
      </c>
      <c r="AW120" s="190">
        <f t="shared" si="584"/>
        <v>240000</v>
      </c>
      <c r="AX120" s="197">
        <f t="shared" si="576"/>
        <v>3.1460004954688612E-3</v>
      </c>
      <c r="AY120" s="62">
        <v>60000</v>
      </c>
      <c r="AZ120" s="62">
        <v>60000</v>
      </c>
      <c r="BA120" s="62">
        <v>60000</v>
      </c>
      <c r="BB120" s="62">
        <v>60000</v>
      </c>
      <c r="BC120" s="62">
        <v>60000</v>
      </c>
      <c r="BD120" s="62">
        <v>60000</v>
      </c>
      <c r="BE120" s="62">
        <v>0</v>
      </c>
      <c r="BF120" s="62">
        <v>60000</v>
      </c>
      <c r="BG120" s="62">
        <v>36800</v>
      </c>
      <c r="BH120" s="62">
        <v>60000</v>
      </c>
      <c r="BI120" s="62">
        <v>60000</v>
      </c>
      <c r="BJ120" s="62">
        <v>0</v>
      </c>
      <c r="BK120" s="190">
        <f t="shared" si="585"/>
        <v>576800</v>
      </c>
      <c r="BL120" s="197">
        <f t="shared" si="577"/>
        <v>8.2589930884198227E-3</v>
      </c>
      <c r="BM120" s="62">
        <v>60000</v>
      </c>
      <c r="BN120" s="62">
        <v>0</v>
      </c>
      <c r="BO120" s="62">
        <v>0</v>
      </c>
      <c r="BP120" s="62">
        <v>0</v>
      </c>
      <c r="BQ120" s="62">
        <v>0</v>
      </c>
      <c r="BR120" s="62">
        <v>0</v>
      </c>
      <c r="BS120" s="62">
        <v>0</v>
      </c>
      <c r="BT120" s="62">
        <v>0</v>
      </c>
      <c r="BU120" s="62">
        <v>0</v>
      </c>
      <c r="BV120" s="62">
        <v>0</v>
      </c>
      <c r="BW120" s="62">
        <v>0</v>
      </c>
      <c r="BX120" s="62">
        <v>0</v>
      </c>
      <c r="BY120" s="190">
        <f t="shared" si="586"/>
        <v>60000</v>
      </c>
      <c r="BZ120" s="197">
        <f t="shared" si="578"/>
        <v>1.3747943823151951E-3</v>
      </c>
      <c r="CA120" s="62">
        <v>0</v>
      </c>
      <c r="CB120" s="62">
        <v>0</v>
      </c>
      <c r="CC120" s="62">
        <v>0</v>
      </c>
      <c r="CD120" s="62">
        <v>0</v>
      </c>
      <c r="CE120" s="62">
        <v>0</v>
      </c>
      <c r="CF120" s="62">
        <v>0</v>
      </c>
      <c r="CG120" s="62">
        <v>0</v>
      </c>
      <c r="CH120" s="62">
        <v>0</v>
      </c>
      <c r="CI120" s="62">
        <v>0</v>
      </c>
      <c r="CJ120" s="62">
        <v>0</v>
      </c>
      <c r="CK120" s="62">
        <v>0</v>
      </c>
      <c r="CL120" s="62">
        <v>0</v>
      </c>
      <c r="CM120" s="190">
        <f t="shared" si="587"/>
        <v>0</v>
      </c>
      <c r="CN120" s="62">
        <v>0</v>
      </c>
      <c r="CO120" s="62">
        <v>0</v>
      </c>
      <c r="CP120" s="62">
        <v>0</v>
      </c>
      <c r="CQ120" s="62">
        <v>0</v>
      </c>
      <c r="CR120" s="62">
        <v>0</v>
      </c>
      <c r="CS120" s="62">
        <v>0</v>
      </c>
      <c r="CT120" s="62">
        <v>0</v>
      </c>
      <c r="CU120" s="62">
        <v>0</v>
      </c>
      <c r="CV120" s="62">
        <v>0</v>
      </c>
      <c r="CW120" s="62">
        <v>0</v>
      </c>
      <c r="CX120" s="62">
        <v>0</v>
      </c>
      <c r="CY120" s="62">
        <v>0</v>
      </c>
      <c r="CZ120" s="190">
        <f t="shared" si="588"/>
        <v>0</v>
      </c>
      <c r="DA120" s="62">
        <v>0</v>
      </c>
      <c r="DB120" s="62">
        <v>0</v>
      </c>
      <c r="DC120" s="62">
        <v>0</v>
      </c>
      <c r="DD120" s="62">
        <v>0</v>
      </c>
      <c r="DE120" s="62">
        <v>0</v>
      </c>
      <c r="DF120" s="62">
        <v>0</v>
      </c>
      <c r="DG120" s="62">
        <v>0</v>
      </c>
      <c r="DH120" s="62">
        <v>0</v>
      </c>
      <c r="DI120" s="62">
        <v>0</v>
      </c>
      <c r="DJ120" s="62">
        <v>0</v>
      </c>
      <c r="DK120" s="62">
        <v>0</v>
      </c>
      <c r="DL120" s="62">
        <v>0</v>
      </c>
      <c r="DM120" s="190">
        <f t="shared" si="589"/>
        <v>0</v>
      </c>
      <c r="DN120" s="62">
        <v>0</v>
      </c>
      <c r="DO120" s="62">
        <v>0</v>
      </c>
      <c r="DP120" s="62">
        <v>0</v>
      </c>
      <c r="DQ120" s="62">
        <v>0</v>
      </c>
      <c r="DR120" s="62">
        <v>0</v>
      </c>
      <c r="DS120" s="62">
        <v>0</v>
      </c>
      <c r="DT120" s="62">
        <v>0</v>
      </c>
      <c r="DU120" s="62">
        <v>0</v>
      </c>
      <c r="DV120" s="62">
        <v>0</v>
      </c>
      <c r="DW120" s="62">
        <v>0</v>
      </c>
      <c r="DX120" s="62">
        <v>0</v>
      </c>
      <c r="DY120" s="62">
        <v>0</v>
      </c>
      <c r="DZ120" s="190">
        <f t="shared" si="590"/>
        <v>0</v>
      </c>
    </row>
    <row r="121" spans="1:130" ht="20.45" customHeight="1" outlineLevel="2">
      <c r="A121" s="526"/>
      <c r="B121" s="528"/>
      <c r="C121" s="30" t="s">
        <v>3060</v>
      </c>
      <c r="D121" s="62">
        <f t="shared" si="345"/>
        <v>34500.000000000007</v>
      </c>
      <c r="E121" s="184">
        <f t="shared" si="572"/>
        <v>1.0674311643731283E-4</v>
      </c>
      <c r="F121" s="62">
        <v>0</v>
      </c>
      <c r="G121" s="190">
        <f t="shared" ref="G121" si="593">SUM(F121)</f>
        <v>0</v>
      </c>
      <c r="H121" s="197">
        <f t="shared" si="573"/>
        <v>0</v>
      </c>
      <c r="I121" s="62">
        <v>0</v>
      </c>
      <c r="J121" s="62">
        <v>0</v>
      </c>
      <c r="K121" s="62">
        <v>0</v>
      </c>
      <c r="L121" s="62">
        <v>0</v>
      </c>
      <c r="M121" s="62">
        <v>0</v>
      </c>
      <c r="N121" s="62">
        <v>0</v>
      </c>
      <c r="O121" s="62">
        <v>0</v>
      </c>
      <c r="P121" s="62">
        <v>0</v>
      </c>
      <c r="Q121" s="62">
        <v>0</v>
      </c>
      <c r="R121" s="62">
        <v>0</v>
      </c>
      <c r="S121" s="62">
        <v>0</v>
      </c>
      <c r="T121" s="62">
        <v>0</v>
      </c>
      <c r="U121" s="190">
        <f t="shared" si="582"/>
        <v>0</v>
      </c>
      <c r="V121" s="197">
        <f t="shared" si="574"/>
        <v>0</v>
      </c>
      <c r="W121" s="62">
        <v>0</v>
      </c>
      <c r="X121" s="62">
        <v>0</v>
      </c>
      <c r="Y121" s="62">
        <v>0</v>
      </c>
      <c r="Z121" s="62">
        <v>0</v>
      </c>
      <c r="AA121" s="62">
        <v>0</v>
      </c>
      <c r="AB121" s="62">
        <v>0</v>
      </c>
      <c r="AC121" s="62">
        <v>0</v>
      </c>
      <c r="AD121" s="62">
        <v>0</v>
      </c>
      <c r="AE121" s="62">
        <v>0</v>
      </c>
      <c r="AF121" s="62">
        <v>0</v>
      </c>
      <c r="AG121" s="62">
        <v>0</v>
      </c>
      <c r="AH121" s="62">
        <v>0</v>
      </c>
      <c r="AI121" s="190">
        <f t="shared" ref="AI121" si="594">SUM(W121:AH121)</f>
        <v>0</v>
      </c>
      <c r="AJ121" s="197">
        <f t="shared" si="575"/>
        <v>0</v>
      </c>
      <c r="AK121" s="62">
        <v>0</v>
      </c>
      <c r="AL121" s="62">
        <v>0</v>
      </c>
      <c r="AM121" s="62">
        <v>22100</v>
      </c>
      <c r="AN121" s="62">
        <v>0</v>
      </c>
      <c r="AO121" s="62">
        <v>0</v>
      </c>
      <c r="AP121" s="62">
        <v>0</v>
      </c>
      <c r="AQ121" s="62">
        <v>6200</v>
      </c>
      <c r="AR121" s="62">
        <v>0</v>
      </c>
      <c r="AS121" s="62">
        <v>0</v>
      </c>
      <c r="AT121" s="62">
        <v>0</v>
      </c>
      <c r="AU121" s="62">
        <v>0</v>
      </c>
      <c r="AV121" s="62">
        <v>0</v>
      </c>
      <c r="AW121" s="190">
        <f t="shared" si="584"/>
        <v>28300</v>
      </c>
      <c r="AX121" s="197">
        <f t="shared" si="576"/>
        <v>3.7096589175736989E-4</v>
      </c>
      <c r="AY121" s="62">
        <v>0</v>
      </c>
      <c r="AZ121" s="62">
        <v>0</v>
      </c>
      <c r="BA121" s="62">
        <v>0</v>
      </c>
      <c r="BB121" s="62">
        <v>0</v>
      </c>
      <c r="BC121" s="62">
        <f>3000</f>
        <v>3000</v>
      </c>
      <c r="BD121" s="62">
        <v>0</v>
      </c>
      <c r="BE121" s="62">
        <f>3200</f>
        <v>3200</v>
      </c>
      <c r="BF121" s="62">
        <v>0</v>
      </c>
      <c r="BG121" s="62">
        <v>0</v>
      </c>
      <c r="BH121" s="62">
        <v>0</v>
      </c>
      <c r="BI121" s="62">
        <v>0</v>
      </c>
      <c r="BJ121" s="62">
        <v>0</v>
      </c>
      <c r="BK121" s="190">
        <f t="shared" si="585"/>
        <v>6200</v>
      </c>
      <c r="BL121" s="197">
        <f t="shared" si="577"/>
        <v>8.877558451491488E-5</v>
      </c>
      <c r="BM121" s="62">
        <v>0</v>
      </c>
      <c r="BN121" s="62">
        <v>0</v>
      </c>
      <c r="BO121" s="62">
        <v>0</v>
      </c>
      <c r="BP121" s="62">
        <v>0</v>
      </c>
      <c r="BQ121" s="62">
        <v>0</v>
      </c>
      <c r="BR121" s="62">
        <v>0</v>
      </c>
      <c r="BS121" s="62">
        <v>0</v>
      </c>
      <c r="BT121" s="62">
        <v>0</v>
      </c>
      <c r="BU121" s="62">
        <v>0</v>
      </c>
      <c r="BV121" s="62">
        <v>0</v>
      </c>
      <c r="BW121" s="62">
        <v>0</v>
      </c>
      <c r="BX121" s="62">
        <v>0</v>
      </c>
      <c r="BY121" s="190">
        <f t="shared" si="586"/>
        <v>0</v>
      </c>
      <c r="BZ121" s="197">
        <f t="shared" si="578"/>
        <v>0</v>
      </c>
      <c r="CA121" s="62">
        <v>0</v>
      </c>
      <c r="CB121" s="62">
        <v>0</v>
      </c>
      <c r="CC121" s="62">
        <v>0</v>
      </c>
      <c r="CD121" s="62">
        <v>0</v>
      </c>
      <c r="CE121" s="62">
        <v>0</v>
      </c>
      <c r="CF121" s="62">
        <v>0</v>
      </c>
      <c r="CG121" s="62">
        <v>0</v>
      </c>
      <c r="CH121" s="62">
        <v>0</v>
      </c>
      <c r="CI121" s="62">
        <v>0</v>
      </c>
      <c r="CJ121" s="62">
        <v>0</v>
      </c>
      <c r="CK121" s="62">
        <v>0</v>
      </c>
      <c r="CL121" s="62">
        <v>0</v>
      </c>
      <c r="CM121" s="190">
        <f t="shared" si="587"/>
        <v>0</v>
      </c>
      <c r="CN121" s="62">
        <v>0</v>
      </c>
      <c r="CO121" s="62">
        <v>0</v>
      </c>
      <c r="CP121" s="62">
        <v>0</v>
      </c>
      <c r="CQ121" s="62">
        <v>0</v>
      </c>
      <c r="CR121" s="62">
        <v>0</v>
      </c>
      <c r="CS121" s="62">
        <v>0</v>
      </c>
      <c r="CT121" s="62">
        <v>0</v>
      </c>
      <c r="CU121" s="62">
        <v>0</v>
      </c>
      <c r="CV121" s="62">
        <v>0</v>
      </c>
      <c r="CW121" s="62">
        <v>0</v>
      </c>
      <c r="CX121" s="62">
        <v>0</v>
      </c>
      <c r="CY121" s="62">
        <v>0</v>
      </c>
      <c r="CZ121" s="190">
        <f t="shared" si="588"/>
        <v>0</v>
      </c>
      <c r="DA121" s="62">
        <v>0</v>
      </c>
      <c r="DB121" s="62">
        <v>0</v>
      </c>
      <c r="DC121" s="62">
        <v>0</v>
      </c>
      <c r="DD121" s="62">
        <v>0</v>
      </c>
      <c r="DE121" s="62">
        <v>0</v>
      </c>
      <c r="DF121" s="62">
        <v>0</v>
      </c>
      <c r="DG121" s="62">
        <v>0</v>
      </c>
      <c r="DH121" s="62">
        <v>0</v>
      </c>
      <c r="DI121" s="62">
        <v>0</v>
      </c>
      <c r="DJ121" s="62">
        <v>0</v>
      </c>
      <c r="DK121" s="62">
        <v>0</v>
      </c>
      <c r="DL121" s="62">
        <v>0</v>
      </c>
      <c r="DM121" s="190">
        <f t="shared" si="589"/>
        <v>0</v>
      </c>
      <c r="DN121" s="62">
        <v>0</v>
      </c>
      <c r="DO121" s="62">
        <v>0</v>
      </c>
      <c r="DP121" s="62">
        <v>0</v>
      </c>
      <c r="DQ121" s="62">
        <v>0</v>
      </c>
      <c r="DR121" s="62">
        <v>0</v>
      </c>
      <c r="DS121" s="62">
        <v>0</v>
      </c>
      <c r="DT121" s="62">
        <v>0</v>
      </c>
      <c r="DU121" s="62">
        <v>0</v>
      </c>
      <c r="DV121" s="62">
        <v>0</v>
      </c>
      <c r="DW121" s="62">
        <v>0</v>
      </c>
      <c r="DX121" s="62">
        <v>0</v>
      </c>
      <c r="DY121" s="62">
        <v>0</v>
      </c>
      <c r="DZ121" s="190">
        <f t="shared" si="590"/>
        <v>0</v>
      </c>
    </row>
    <row r="122" spans="1:130" ht="20.45" customHeight="1" outlineLevel="2">
      <c r="A122" s="526"/>
      <c r="B122" s="528"/>
      <c r="C122" s="30" t="s">
        <v>3223</v>
      </c>
      <c r="D122" s="62">
        <f t="shared" si="345"/>
        <v>19999.999999999996</v>
      </c>
      <c r="E122" s="184">
        <f t="shared" si="572"/>
        <v>6.188006749989147E-5</v>
      </c>
      <c r="F122" s="62">
        <v>0</v>
      </c>
      <c r="G122" s="190">
        <f t="shared" si="579"/>
        <v>0</v>
      </c>
      <c r="H122" s="197">
        <f t="shared" si="573"/>
        <v>0</v>
      </c>
      <c r="I122" s="62">
        <v>0</v>
      </c>
      <c r="J122" s="62">
        <v>0</v>
      </c>
      <c r="K122" s="62">
        <v>0</v>
      </c>
      <c r="L122" s="62">
        <v>0</v>
      </c>
      <c r="M122" s="62">
        <v>0</v>
      </c>
      <c r="N122" s="62">
        <v>0</v>
      </c>
      <c r="O122" s="62">
        <v>0</v>
      </c>
      <c r="P122" s="62">
        <v>0</v>
      </c>
      <c r="Q122" s="62">
        <v>0</v>
      </c>
      <c r="R122" s="62">
        <v>0</v>
      </c>
      <c r="S122" s="62">
        <v>0</v>
      </c>
      <c r="T122" s="62">
        <v>0</v>
      </c>
      <c r="U122" s="190">
        <f t="shared" si="550"/>
        <v>0</v>
      </c>
      <c r="V122" s="197">
        <f t="shared" si="574"/>
        <v>0</v>
      </c>
      <c r="W122" s="62">
        <v>0</v>
      </c>
      <c r="X122" s="62">
        <v>0</v>
      </c>
      <c r="Y122" s="62">
        <v>0</v>
      </c>
      <c r="Z122" s="62">
        <v>0</v>
      </c>
      <c r="AA122" s="62">
        <v>0</v>
      </c>
      <c r="AB122" s="62">
        <v>0</v>
      </c>
      <c r="AC122" s="62">
        <v>0</v>
      </c>
      <c r="AD122" s="62">
        <v>0</v>
      </c>
      <c r="AE122" s="62">
        <v>0</v>
      </c>
      <c r="AF122" s="62">
        <v>0</v>
      </c>
      <c r="AG122" s="62">
        <v>0</v>
      </c>
      <c r="AH122" s="62">
        <v>0</v>
      </c>
      <c r="AI122" s="190">
        <f t="shared" si="580"/>
        <v>0</v>
      </c>
      <c r="AJ122" s="197">
        <f t="shared" si="575"/>
        <v>0</v>
      </c>
      <c r="AK122" s="62">
        <v>0</v>
      </c>
      <c r="AL122" s="62">
        <v>0</v>
      </c>
      <c r="AM122" s="62">
        <v>0</v>
      </c>
      <c r="AN122" s="62">
        <v>0</v>
      </c>
      <c r="AO122" s="62">
        <v>0</v>
      </c>
      <c r="AP122" s="62">
        <v>0</v>
      </c>
      <c r="AQ122" s="62">
        <v>0</v>
      </c>
      <c r="AR122" s="62">
        <v>0</v>
      </c>
      <c r="AS122" s="62">
        <v>0</v>
      </c>
      <c r="AT122" s="62">
        <v>0</v>
      </c>
      <c r="AU122" s="62">
        <v>0</v>
      </c>
      <c r="AV122" s="62">
        <v>0</v>
      </c>
      <c r="AW122" s="190">
        <f t="shared" si="556"/>
        <v>0</v>
      </c>
      <c r="AX122" s="197">
        <f t="shared" si="576"/>
        <v>0</v>
      </c>
      <c r="AY122" s="62">
        <v>0</v>
      </c>
      <c r="AZ122" s="62">
        <v>0</v>
      </c>
      <c r="BA122" s="62">
        <v>0</v>
      </c>
      <c r="BB122" s="62">
        <v>0</v>
      </c>
      <c r="BC122" s="62">
        <v>0</v>
      </c>
      <c r="BD122" s="62">
        <f>20000</f>
        <v>20000</v>
      </c>
      <c r="BE122" s="62">
        <v>0</v>
      </c>
      <c r="BF122" s="62">
        <v>0</v>
      </c>
      <c r="BG122" s="62">
        <v>0</v>
      </c>
      <c r="BH122" s="62">
        <v>0</v>
      </c>
      <c r="BI122" s="62">
        <v>0</v>
      </c>
      <c r="BJ122" s="62">
        <v>0</v>
      </c>
      <c r="BK122" s="190">
        <f t="shared" si="559"/>
        <v>20000</v>
      </c>
      <c r="BL122" s="197">
        <f t="shared" si="577"/>
        <v>2.8637285327391898E-4</v>
      </c>
      <c r="BM122" s="62">
        <v>0</v>
      </c>
      <c r="BN122" s="62">
        <v>0</v>
      </c>
      <c r="BO122" s="62">
        <v>0</v>
      </c>
      <c r="BP122" s="62">
        <v>0</v>
      </c>
      <c r="BQ122" s="62">
        <v>0</v>
      </c>
      <c r="BR122" s="62">
        <v>0</v>
      </c>
      <c r="BS122" s="62">
        <v>0</v>
      </c>
      <c r="BT122" s="62">
        <v>0</v>
      </c>
      <c r="BU122" s="62">
        <v>0</v>
      </c>
      <c r="BV122" s="62">
        <v>0</v>
      </c>
      <c r="BW122" s="62">
        <v>0</v>
      </c>
      <c r="BX122" s="62">
        <v>0</v>
      </c>
      <c r="BY122" s="190">
        <f t="shared" si="562"/>
        <v>0</v>
      </c>
      <c r="BZ122" s="197">
        <f t="shared" si="578"/>
        <v>0</v>
      </c>
      <c r="CA122" s="62">
        <v>0</v>
      </c>
      <c r="CB122" s="62">
        <v>0</v>
      </c>
      <c r="CC122" s="62">
        <v>0</v>
      </c>
      <c r="CD122" s="62">
        <v>0</v>
      </c>
      <c r="CE122" s="62">
        <v>0</v>
      </c>
      <c r="CF122" s="62">
        <v>0</v>
      </c>
      <c r="CG122" s="62">
        <v>0</v>
      </c>
      <c r="CH122" s="62">
        <v>0</v>
      </c>
      <c r="CI122" s="62">
        <v>0</v>
      </c>
      <c r="CJ122" s="62">
        <v>0</v>
      </c>
      <c r="CK122" s="62">
        <v>0</v>
      </c>
      <c r="CL122" s="62">
        <v>0</v>
      </c>
      <c r="CM122" s="190">
        <f t="shared" si="565"/>
        <v>0</v>
      </c>
      <c r="CN122" s="62">
        <v>0</v>
      </c>
      <c r="CO122" s="62">
        <v>0</v>
      </c>
      <c r="CP122" s="62">
        <v>0</v>
      </c>
      <c r="CQ122" s="62">
        <v>0</v>
      </c>
      <c r="CR122" s="62">
        <v>0</v>
      </c>
      <c r="CS122" s="62">
        <v>0</v>
      </c>
      <c r="CT122" s="62">
        <v>0</v>
      </c>
      <c r="CU122" s="62">
        <v>0</v>
      </c>
      <c r="CV122" s="62">
        <v>0</v>
      </c>
      <c r="CW122" s="62">
        <v>0</v>
      </c>
      <c r="CX122" s="62">
        <v>0</v>
      </c>
      <c r="CY122" s="62">
        <v>0</v>
      </c>
      <c r="CZ122" s="190">
        <f t="shared" si="567"/>
        <v>0</v>
      </c>
      <c r="DA122" s="62">
        <v>0</v>
      </c>
      <c r="DB122" s="62">
        <v>0</v>
      </c>
      <c r="DC122" s="62">
        <v>0</v>
      </c>
      <c r="DD122" s="62">
        <v>0</v>
      </c>
      <c r="DE122" s="62">
        <v>0</v>
      </c>
      <c r="DF122" s="62">
        <v>0</v>
      </c>
      <c r="DG122" s="62">
        <v>0</v>
      </c>
      <c r="DH122" s="62">
        <v>0</v>
      </c>
      <c r="DI122" s="62">
        <v>0</v>
      </c>
      <c r="DJ122" s="62">
        <v>0</v>
      </c>
      <c r="DK122" s="62">
        <v>0</v>
      </c>
      <c r="DL122" s="62">
        <v>0</v>
      </c>
      <c r="DM122" s="190">
        <f t="shared" si="569"/>
        <v>0</v>
      </c>
      <c r="DN122" s="62">
        <v>0</v>
      </c>
      <c r="DO122" s="62">
        <v>0</v>
      </c>
      <c r="DP122" s="62">
        <v>0</v>
      </c>
      <c r="DQ122" s="62">
        <v>0</v>
      </c>
      <c r="DR122" s="62">
        <v>0</v>
      </c>
      <c r="DS122" s="62">
        <v>0</v>
      </c>
      <c r="DT122" s="62">
        <v>0</v>
      </c>
      <c r="DU122" s="62">
        <v>0</v>
      </c>
      <c r="DV122" s="62">
        <v>0</v>
      </c>
      <c r="DW122" s="62">
        <v>0</v>
      </c>
      <c r="DX122" s="62">
        <v>0</v>
      </c>
      <c r="DY122" s="62">
        <v>0</v>
      </c>
      <c r="DZ122" s="190">
        <f t="shared" si="571"/>
        <v>0</v>
      </c>
    </row>
    <row r="123" spans="1:130" s="194" customFormat="1" ht="20.45" customHeight="1" outlineLevel="1">
      <c r="A123" s="525"/>
      <c r="B123" s="527" t="s">
        <v>2103</v>
      </c>
      <c r="C123" s="65" t="s">
        <v>307</v>
      </c>
      <c r="D123" s="66">
        <f t="shared" si="345"/>
        <v>3909150</v>
      </c>
      <c r="E123" s="187">
        <f>SUM(E124:E128)</f>
        <v>1.2094923293360038E-2</v>
      </c>
      <c r="F123" s="62">
        <f>SUM(F124:F128)</f>
        <v>0</v>
      </c>
      <c r="G123" s="190">
        <f t="shared" si="433"/>
        <v>0</v>
      </c>
      <c r="H123" s="196">
        <f t="shared" ref="H123:T123" si="595">SUM(H124:H128)</f>
        <v>0</v>
      </c>
      <c r="I123" s="62">
        <f t="shared" si="595"/>
        <v>0</v>
      </c>
      <c r="J123" s="62">
        <f t="shared" si="595"/>
        <v>0</v>
      </c>
      <c r="K123" s="62">
        <f t="shared" si="595"/>
        <v>0</v>
      </c>
      <c r="L123" s="62">
        <f t="shared" si="595"/>
        <v>0</v>
      </c>
      <c r="M123" s="62">
        <f t="shared" si="595"/>
        <v>0</v>
      </c>
      <c r="N123" s="62">
        <f t="shared" si="595"/>
        <v>0</v>
      </c>
      <c r="O123" s="62">
        <f t="shared" si="595"/>
        <v>0</v>
      </c>
      <c r="P123" s="62">
        <f t="shared" si="595"/>
        <v>0</v>
      </c>
      <c r="Q123" s="62">
        <f t="shared" si="595"/>
        <v>0</v>
      </c>
      <c r="R123" s="62">
        <f t="shared" si="595"/>
        <v>174602</v>
      </c>
      <c r="S123" s="62">
        <f t="shared" si="595"/>
        <v>377508</v>
      </c>
      <c r="T123" s="62">
        <f t="shared" si="595"/>
        <v>0</v>
      </c>
      <c r="U123" s="190">
        <f t="shared" si="423"/>
        <v>552110</v>
      </c>
      <c r="V123" s="196">
        <f t="shared" ref="V123" si="596">SUM(V124:V128)</f>
        <v>9.951514597234026E-3</v>
      </c>
      <c r="W123" s="62">
        <f t="shared" ref="W123:AH123" si="597">SUM(W124:W128)</f>
        <v>0</v>
      </c>
      <c r="X123" s="62">
        <f t="shared" si="597"/>
        <v>0</v>
      </c>
      <c r="Y123" s="62">
        <f t="shared" si="597"/>
        <v>0</v>
      </c>
      <c r="Z123" s="62">
        <f t="shared" si="597"/>
        <v>0</v>
      </c>
      <c r="AA123" s="62">
        <f t="shared" si="597"/>
        <v>0</v>
      </c>
      <c r="AB123" s="62">
        <f t="shared" si="597"/>
        <v>0</v>
      </c>
      <c r="AC123" s="62">
        <f t="shared" si="597"/>
        <v>430120</v>
      </c>
      <c r="AD123" s="62">
        <f t="shared" si="597"/>
        <v>400000</v>
      </c>
      <c r="AE123" s="62">
        <f t="shared" si="597"/>
        <v>400000</v>
      </c>
      <c r="AF123" s="62">
        <f t="shared" si="597"/>
        <v>400000</v>
      </c>
      <c r="AG123" s="62">
        <f t="shared" si="597"/>
        <v>0</v>
      </c>
      <c r="AH123" s="62">
        <f t="shared" si="597"/>
        <v>0</v>
      </c>
      <c r="AI123" s="190">
        <f t="shared" si="424"/>
        <v>1630120</v>
      </c>
      <c r="AJ123" s="196">
        <f t="shared" ref="AJ123" si="598">SUM(AJ124:AJ128)</f>
        <v>2.2154780604854922E-2</v>
      </c>
      <c r="AK123" s="62">
        <f t="shared" ref="AK123:AV123" si="599">SUM(AK124:AK128)</f>
        <v>0</v>
      </c>
      <c r="AL123" s="62">
        <f t="shared" si="599"/>
        <v>264220</v>
      </c>
      <c r="AM123" s="62">
        <f t="shared" si="599"/>
        <v>0</v>
      </c>
      <c r="AN123" s="62">
        <f t="shared" si="599"/>
        <v>59400</v>
      </c>
      <c r="AO123" s="62">
        <f t="shared" si="599"/>
        <v>0</v>
      </c>
      <c r="AP123" s="62">
        <f t="shared" si="599"/>
        <v>0</v>
      </c>
      <c r="AQ123" s="62">
        <f t="shared" si="599"/>
        <v>0</v>
      </c>
      <c r="AR123" s="62">
        <f t="shared" si="599"/>
        <v>538126</v>
      </c>
      <c r="AS123" s="62">
        <f t="shared" si="599"/>
        <v>0</v>
      </c>
      <c r="AT123" s="62">
        <f t="shared" si="599"/>
        <v>0</v>
      </c>
      <c r="AU123" s="62">
        <f t="shared" si="599"/>
        <v>0</v>
      </c>
      <c r="AV123" s="62">
        <f t="shared" si="599"/>
        <v>0</v>
      </c>
      <c r="AW123" s="190">
        <f t="shared" si="425"/>
        <v>861746</v>
      </c>
      <c r="AX123" s="196">
        <f t="shared" ref="AX123" si="600">SUM(AX124:AX128)</f>
        <v>1.129605559570129E-2</v>
      </c>
      <c r="AY123" s="62">
        <f t="shared" ref="AY123:BJ123" si="601">SUM(AY124:AY128)</f>
        <v>0</v>
      </c>
      <c r="AZ123" s="62">
        <f t="shared" si="601"/>
        <v>0</v>
      </c>
      <c r="BA123" s="62">
        <f t="shared" si="601"/>
        <v>0</v>
      </c>
      <c r="BB123" s="62">
        <f t="shared" si="601"/>
        <v>0</v>
      </c>
      <c r="BC123" s="62">
        <f t="shared" si="601"/>
        <v>0</v>
      </c>
      <c r="BD123" s="62">
        <f t="shared" si="601"/>
        <v>0</v>
      </c>
      <c r="BE123" s="62">
        <f t="shared" si="601"/>
        <v>0</v>
      </c>
      <c r="BF123" s="62">
        <f t="shared" si="601"/>
        <v>0</v>
      </c>
      <c r="BG123" s="62">
        <f t="shared" si="601"/>
        <v>587574</v>
      </c>
      <c r="BH123" s="62">
        <f t="shared" si="601"/>
        <v>0</v>
      </c>
      <c r="BI123" s="62">
        <f t="shared" si="601"/>
        <v>0</v>
      </c>
      <c r="BJ123" s="62">
        <f t="shared" si="601"/>
        <v>0</v>
      </c>
      <c r="BK123" s="190">
        <f t="shared" si="426"/>
        <v>587574</v>
      </c>
      <c r="BL123" s="196">
        <f t="shared" ref="BL123" si="602">SUM(BL124:BL128)</f>
        <v>8.4132621444784842E-3</v>
      </c>
      <c r="BM123" s="62">
        <f t="shared" ref="BM123:BX123" si="603">SUM(BM124:BM128)</f>
        <v>40000</v>
      </c>
      <c r="BN123" s="62">
        <f t="shared" si="603"/>
        <v>0</v>
      </c>
      <c r="BO123" s="62">
        <f t="shared" si="603"/>
        <v>237600</v>
      </c>
      <c r="BP123" s="62">
        <f t="shared" si="603"/>
        <v>0</v>
      </c>
      <c r="BQ123" s="62">
        <f t="shared" si="603"/>
        <v>0</v>
      </c>
      <c r="BR123" s="62">
        <f t="shared" si="603"/>
        <v>0</v>
      </c>
      <c r="BS123" s="62">
        <f t="shared" si="603"/>
        <v>0</v>
      </c>
      <c r="BT123" s="62">
        <f t="shared" si="603"/>
        <v>0</v>
      </c>
      <c r="BU123" s="62">
        <f t="shared" si="603"/>
        <v>0</v>
      </c>
      <c r="BV123" s="62">
        <f t="shared" si="603"/>
        <v>0</v>
      </c>
      <c r="BW123" s="62">
        <f t="shared" si="603"/>
        <v>0</v>
      </c>
      <c r="BX123" s="62">
        <f t="shared" si="603"/>
        <v>0</v>
      </c>
      <c r="BY123" s="190">
        <f t="shared" si="427"/>
        <v>277600</v>
      </c>
      <c r="BZ123" s="196">
        <f t="shared" ref="BZ123" si="604">SUM(BZ124:BZ128)</f>
        <v>6.3607153421783025E-3</v>
      </c>
      <c r="CA123" s="62">
        <f t="shared" ref="CA123:CL123" si="605">SUM(CA124:CA128)</f>
        <v>0</v>
      </c>
      <c r="CB123" s="62">
        <f t="shared" si="605"/>
        <v>0</v>
      </c>
      <c r="CC123" s="62">
        <f t="shared" si="605"/>
        <v>0</v>
      </c>
      <c r="CD123" s="62">
        <f t="shared" si="605"/>
        <v>0</v>
      </c>
      <c r="CE123" s="62">
        <f t="shared" si="605"/>
        <v>0</v>
      </c>
      <c r="CF123" s="62">
        <f t="shared" si="605"/>
        <v>0</v>
      </c>
      <c r="CG123" s="62">
        <f t="shared" si="605"/>
        <v>0</v>
      </c>
      <c r="CH123" s="62">
        <f t="shared" si="605"/>
        <v>0</v>
      </c>
      <c r="CI123" s="62">
        <f t="shared" si="605"/>
        <v>0</v>
      </c>
      <c r="CJ123" s="62">
        <f t="shared" si="605"/>
        <v>0</v>
      </c>
      <c r="CK123" s="62">
        <f t="shared" si="605"/>
        <v>0</v>
      </c>
      <c r="CL123" s="62">
        <f t="shared" si="605"/>
        <v>0</v>
      </c>
      <c r="CM123" s="190">
        <f t="shared" si="428"/>
        <v>0</v>
      </c>
      <c r="CN123" s="62">
        <f t="shared" ref="CN123:CY123" si="606">SUM(CN124:CN128)</f>
        <v>0</v>
      </c>
      <c r="CO123" s="62">
        <f t="shared" si="606"/>
        <v>0</v>
      </c>
      <c r="CP123" s="62">
        <f t="shared" si="606"/>
        <v>0</v>
      </c>
      <c r="CQ123" s="62">
        <f t="shared" si="606"/>
        <v>0</v>
      </c>
      <c r="CR123" s="62">
        <f t="shared" si="606"/>
        <v>0</v>
      </c>
      <c r="CS123" s="62">
        <f t="shared" si="606"/>
        <v>0</v>
      </c>
      <c r="CT123" s="62">
        <f t="shared" si="606"/>
        <v>0</v>
      </c>
      <c r="CU123" s="62">
        <f t="shared" si="606"/>
        <v>0</v>
      </c>
      <c r="CV123" s="62">
        <f t="shared" si="606"/>
        <v>0</v>
      </c>
      <c r="CW123" s="62">
        <f t="shared" si="606"/>
        <v>0</v>
      </c>
      <c r="CX123" s="62">
        <f t="shared" si="606"/>
        <v>0</v>
      </c>
      <c r="CY123" s="62">
        <f t="shared" si="606"/>
        <v>0</v>
      </c>
      <c r="CZ123" s="190">
        <f t="shared" si="429"/>
        <v>0</v>
      </c>
      <c r="DA123" s="62">
        <f t="shared" ref="DA123:DL123" si="607">SUM(DA124:DA128)</f>
        <v>0</v>
      </c>
      <c r="DB123" s="62">
        <f t="shared" si="607"/>
        <v>0</v>
      </c>
      <c r="DC123" s="62">
        <f t="shared" si="607"/>
        <v>0</v>
      </c>
      <c r="DD123" s="62">
        <f t="shared" si="607"/>
        <v>0</v>
      </c>
      <c r="DE123" s="62">
        <f t="shared" si="607"/>
        <v>0</v>
      </c>
      <c r="DF123" s="62">
        <f t="shared" si="607"/>
        <v>0</v>
      </c>
      <c r="DG123" s="62">
        <f t="shared" si="607"/>
        <v>0</v>
      </c>
      <c r="DH123" s="62">
        <f t="shared" si="607"/>
        <v>0</v>
      </c>
      <c r="DI123" s="62">
        <f t="shared" si="607"/>
        <v>0</v>
      </c>
      <c r="DJ123" s="62">
        <f t="shared" si="607"/>
        <v>0</v>
      </c>
      <c r="DK123" s="62">
        <f t="shared" si="607"/>
        <v>0</v>
      </c>
      <c r="DL123" s="62">
        <f t="shared" si="607"/>
        <v>0</v>
      </c>
      <c r="DM123" s="190">
        <f t="shared" si="430"/>
        <v>0</v>
      </c>
      <c r="DN123" s="62">
        <f t="shared" ref="DN123:DY123" si="608">SUM(DN124:DN128)</f>
        <v>0</v>
      </c>
      <c r="DO123" s="62">
        <f t="shared" si="608"/>
        <v>0</v>
      </c>
      <c r="DP123" s="62">
        <f t="shared" si="608"/>
        <v>0</v>
      </c>
      <c r="DQ123" s="62">
        <f t="shared" si="608"/>
        <v>0</v>
      </c>
      <c r="DR123" s="62">
        <f t="shared" si="608"/>
        <v>0</v>
      </c>
      <c r="DS123" s="62">
        <f t="shared" si="608"/>
        <v>0</v>
      </c>
      <c r="DT123" s="62">
        <f t="shared" si="608"/>
        <v>0</v>
      </c>
      <c r="DU123" s="62">
        <f t="shared" si="608"/>
        <v>0</v>
      </c>
      <c r="DV123" s="62">
        <f t="shared" si="608"/>
        <v>0</v>
      </c>
      <c r="DW123" s="62">
        <f t="shared" si="608"/>
        <v>0</v>
      </c>
      <c r="DX123" s="62">
        <f t="shared" si="608"/>
        <v>0</v>
      </c>
      <c r="DY123" s="62">
        <f t="shared" si="608"/>
        <v>0</v>
      </c>
      <c r="DZ123" s="190">
        <f t="shared" si="431"/>
        <v>0</v>
      </c>
    </row>
    <row r="124" spans="1:130" ht="20.45" customHeight="1" outlineLevel="2">
      <c r="A124" s="525"/>
      <c r="B124" s="528"/>
      <c r="C124" s="30" t="s">
        <v>368</v>
      </c>
      <c r="D124" s="62">
        <f t="shared" si="345"/>
        <v>1969129.9999999998</v>
      </c>
      <c r="E124" s="184">
        <f t="shared" ref="E124:E128" si="609">D124/(D$5+D$6+D$7+D$8+D$10+D$9)</f>
        <v>6.092494865803065E-3</v>
      </c>
      <c r="F124" s="62">
        <v>0</v>
      </c>
      <c r="G124" s="190">
        <f t="shared" si="433"/>
        <v>0</v>
      </c>
      <c r="H124" s="197">
        <f t="shared" ref="H124:H128" si="610">G124/(G$5+G$6+G$7+G$8+G$10+G$9)</f>
        <v>0</v>
      </c>
      <c r="I124" s="62">
        <v>0</v>
      </c>
      <c r="J124" s="62">
        <v>0</v>
      </c>
      <c r="K124" s="62">
        <v>0</v>
      </c>
      <c r="L124" s="62">
        <v>0</v>
      </c>
      <c r="M124" s="62">
        <v>0</v>
      </c>
      <c r="N124" s="62">
        <v>0</v>
      </c>
      <c r="O124" s="62">
        <v>0</v>
      </c>
      <c r="P124" s="62">
        <v>0</v>
      </c>
      <c r="Q124" s="62">
        <v>0</v>
      </c>
      <c r="R124" s="62">
        <v>174602</v>
      </c>
      <c r="S124" s="62">
        <v>357508</v>
      </c>
      <c r="T124" s="62">
        <v>0</v>
      </c>
      <c r="U124" s="190">
        <f t="shared" si="423"/>
        <v>532110</v>
      </c>
      <c r="V124" s="197">
        <f t="shared" ref="V124:V128" si="611">U124/(U$5+U$6+U$7+U$8+U$10+U$9)</f>
        <v>9.5910243109782432E-3</v>
      </c>
      <c r="W124" s="62">
        <v>0</v>
      </c>
      <c r="X124" s="62">
        <v>0</v>
      </c>
      <c r="Y124" s="62">
        <v>0</v>
      </c>
      <c r="Z124" s="62">
        <v>0</v>
      </c>
      <c r="AA124" s="62">
        <v>0</v>
      </c>
      <c r="AB124" s="62">
        <v>0</v>
      </c>
      <c r="AC124" s="62">
        <v>430120</v>
      </c>
      <c r="AD124" s="62">
        <v>0</v>
      </c>
      <c r="AE124" s="62">
        <v>0</v>
      </c>
      <c r="AF124" s="62">
        <v>0</v>
      </c>
      <c r="AG124" s="62">
        <v>0</v>
      </c>
      <c r="AH124" s="62">
        <v>0</v>
      </c>
      <c r="AI124" s="190">
        <f t="shared" si="424"/>
        <v>430120</v>
      </c>
      <c r="AJ124" s="197">
        <f t="shared" ref="AJ124:AJ128" si="612">AI124/(AI$5+AI$6+AI$7+AI$8+AI$10+AI$9)</f>
        <v>5.8457133424289001E-3</v>
      </c>
      <c r="AK124" s="62">
        <v>0</v>
      </c>
      <c r="AL124" s="62">
        <v>0</v>
      </c>
      <c r="AM124" s="62">
        <v>0</v>
      </c>
      <c r="AN124" s="62">
        <v>0</v>
      </c>
      <c r="AO124" s="62">
        <v>0</v>
      </c>
      <c r="AP124" s="62">
        <v>0</v>
      </c>
      <c r="AQ124" s="62">
        <v>0</v>
      </c>
      <c r="AR124" s="62">
        <v>478726</v>
      </c>
      <c r="AS124" s="62">
        <v>0</v>
      </c>
      <c r="AT124" s="62">
        <v>0</v>
      </c>
      <c r="AU124" s="62">
        <v>0</v>
      </c>
      <c r="AV124" s="62">
        <v>0</v>
      </c>
      <c r="AW124" s="190">
        <f t="shared" si="425"/>
        <v>478726</v>
      </c>
      <c r="AX124" s="197">
        <f t="shared" ref="AX124:AX128" si="613">AW124/(AW$5+AW$6+AW$7+AW$8+AW$10+AW$9)</f>
        <v>6.2753009716409423E-3</v>
      </c>
      <c r="AY124" s="62">
        <v>0</v>
      </c>
      <c r="AZ124" s="62">
        <v>0</v>
      </c>
      <c r="BA124" s="62">
        <v>0</v>
      </c>
      <c r="BB124" s="62">
        <v>0</v>
      </c>
      <c r="BC124" s="62">
        <v>0</v>
      </c>
      <c r="BD124" s="62">
        <v>0</v>
      </c>
      <c r="BE124" s="62">
        <v>0</v>
      </c>
      <c r="BF124" s="62">
        <v>0</v>
      </c>
      <c r="BG124" s="62">
        <v>528174</v>
      </c>
      <c r="BH124" s="62">
        <v>0</v>
      </c>
      <c r="BI124" s="62">
        <v>0</v>
      </c>
      <c r="BJ124" s="62">
        <v>0</v>
      </c>
      <c r="BK124" s="190">
        <f t="shared" si="426"/>
        <v>528174</v>
      </c>
      <c r="BL124" s="197">
        <f t="shared" ref="BL124:BL128" si="614">BK124/(BK$5+BK$6+BK$7+BK$8+BK$10+BK$9)</f>
        <v>7.5627347702549447E-3</v>
      </c>
      <c r="BM124" s="62">
        <v>0</v>
      </c>
      <c r="BN124" s="62">
        <v>0</v>
      </c>
      <c r="BO124" s="62">
        <v>0</v>
      </c>
      <c r="BP124" s="62">
        <v>0</v>
      </c>
      <c r="BQ124" s="62">
        <v>0</v>
      </c>
      <c r="BR124" s="62">
        <v>0</v>
      </c>
      <c r="BS124" s="62">
        <v>0</v>
      </c>
      <c r="BT124" s="62">
        <v>0</v>
      </c>
      <c r="BU124" s="62">
        <v>0</v>
      </c>
      <c r="BV124" s="62">
        <v>0</v>
      </c>
      <c r="BW124" s="62">
        <v>0</v>
      </c>
      <c r="BX124" s="62">
        <v>0</v>
      </c>
      <c r="BY124" s="190">
        <f t="shared" si="427"/>
        <v>0</v>
      </c>
      <c r="BZ124" s="197">
        <f t="shared" ref="BZ124:BZ128" si="615">BY124/(BY$5+BY$6+BY$7+BY$8+BY$10+BY$9)</f>
        <v>0</v>
      </c>
      <c r="CA124" s="62">
        <v>0</v>
      </c>
      <c r="CB124" s="62">
        <v>0</v>
      </c>
      <c r="CC124" s="62">
        <v>0</v>
      </c>
      <c r="CD124" s="62">
        <v>0</v>
      </c>
      <c r="CE124" s="62">
        <v>0</v>
      </c>
      <c r="CF124" s="62">
        <v>0</v>
      </c>
      <c r="CG124" s="62">
        <v>0</v>
      </c>
      <c r="CH124" s="62">
        <v>0</v>
      </c>
      <c r="CI124" s="62">
        <v>0</v>
      </c>
      <c r="CJ124" s="62">
        <v>0</v>
      </c>
      <c r="CK124" s="62">
        <v>0</v>
      </c>
      <c r="CL124" s="62">
        <v>0</v>
      </c>
      <c r="CM124" s="190">
        <f t="shared" si="428"/>
        <v>0</v>
      </c>
      <c r="CN124" s="62">
        <v>0</v>
      </c>
      <c r="CO124" s="62">
        <v>0</v>
      </c>
      <c r="CP124" s="62">
        <v>0</v>
      </c>
      <c r="CQ124" s="62">
        <v>0</v>
      </c>
      <c r="CR124" s="62">
        <v>0</v>
      </c>
      <c r="CS124" s="62">
        <v>0</v>
      </c>
      <c r="CT124" s="62">
        <v>0</v>
      </c>
      <c r="CU124" s="62">
        <v>0</v>
      </c>
      <c r="CV124" s="62">
        <v>0</v>
      </c>
      <c r="CW124" s="62">
        <v>0</v>
      </c>
      <c r="CX124" s="62">
        <v>0</v>
      </c>
      <c r="CY124" s="62">
        <v>0</v>
      </c>
      <c r="CZ124" s="190">
        <f t="shared" si="429"/>
        <v>0</v>
      </c>
      <c r="DA124" s="62">
        <v>0</v>
      </c>
      <c r="DB124" s="62">
        <v>0</v>
      </c>
      <c r="DC124" s="62">
        <v>0</v>
      </c>
      <c r="DD124" s="62">
        <v>0</v>
      </c>
      <c r="DE124" s="62">
        <v>0</v>
      </c>
      <c r="DF124" s="62">
        <v>0</v>
      </c>
      <c r="DG124" s="62">
        <v>0</v>
      </c>
      <c r="DH124" s="62">
        <v>0</v>
      </c>
      <c r="DI124" s="62">
        <v>0</v>
      </c>
      <c r="DJ124" s="62">
        <v>0</v>
      </c>
      <c r="DK124" s="62">
        <v>0</v>
      </c>
      <c r="DL124" s="62">
        <v>0</v>
      </c>
      <c r="DM124" s="190">
        <f t="shared" si="430"/>
        <v>0</v>
      </c>
      <c r="DN124" s="62">
        <v>0</v>
      </c>
      <c r="DO124" s="62">
        <v>0</v>
      </c>
      <c r="DP124" s="62">
        <v>0</v>
      </c>
      <c r="DQ124" s="62">
        <v>0</v>
      </c>
      <c r="DR124" s="62">
        <v>0</v>
      </c>
      <c r="DS124" s="62">
        <v>0</v>
      </c>
      <c r="DT124" s="62">
        <v>0</v>
      </c>
      <c r="DU124" s="62">
        <v>0</v>
      </c>
      <c r="DV124" s="62">
        <v>0</v>
      </c>
      <c r="DW124" s="62">
        <v>0</v>
      </c>
      <c r="DX124" s="62">
        <v>0</v>
      </c>
      <c r="DY124" s="62">
        <v>0</v>
      </c>
      <c r="DZ124" s="190">
        <f t="shared" si="431"/>
        <v>0</v>
      </c>
    </row>
    <row r="125" spans="1:130" ht="20.45" customHeight="1" outlineLevel="2">
      <c r="A125" s="526"/>
      <c r="B125" s="528"/>
      <c r="C125" s="30" t="s">
        <v>2010</v>
      </c>
      <c r="D125" s="62">
        <f t="shared" si="345"/>
        <v>224220</v>
      </c>
      <c r="E125" s="184">
        <f t="shared" si="609"/>
        <v>6.9373743674128337E-4</v>
      </c>
      <c r="F125" s="62">
        <v>0</v>
      </c>
      <c r="G125" s="190">
        <f t="shared" ref="G125" si="616">SUM(F125)</f>
        <v>0</v>
      </c>
      <c r="H125" s="197">
        <f t="shared" si="610"/>
        <v>0</v>
      </c>
      <c r="I125" s="62">
        <v>0</v>
      </c>
      <c r="J125" s="62">
        <v>0</v>
      </c>
      <c r="K125" s="62">
        <v>0</v>
      </c>
      <c r="L125" s="62">
        <v>0</v>
      </c>
      <c r="M125" s="62">
        <v>0</v>
      </c>
      <c r="N125" s="62">
        <v>0</v>
      </c>
      <c r="O125" s="62">
        <v>0</v>
      </c>
      <c r="P125" s="62">
        <v>0</v>
      </c>
      <c r="Q125" s="62">
        <v>0</v>
      </c>
      <c r="R125" s="62">
        <v>0</v>
      </c>
      <c r="S125" s="62">
        <v>0</v>
      </c>
      <c r="T125" s="62">
        <v>0</v>
      </c>
      <c r="U125" s="190">
        <f t="shared" si="423"/>
        <v>0</v>
      </c>
      <c r="V125" s="197">
        <f t="shared" si="611"/>
        <v>0</v>
      </c>
      <c r="W125" s="62">
        <v>0</v>
      </c>
      <c r="X125" s="62">
        <v>0</v>
      </c>
      <c r="Y125" s="62">
        <v>0</v>
      </c>
      <c r="Z125" s="62">
        <v>0</v>
      </c>
      <c r="AA125" s="62">
        <v>0</v>
      </c>
      <c r="AB125" s="62">
        <v>0</v>
      </c>
      <c r="AC125" s="62">
        <v>0</v>
      </c>
      <c r="AD125" s="62">
        <v>0</v>
      </c>
      <c r="AE125" s="62">
        <v>0</v>
      </c>
      <c r="AF125" s="62">
        <v>0</v>
      </c>
      <c r="AG125" s="62">
        <v>0</v>
      </c>
      <c r="AH125" s="62">
        <v>0</v>
      </c>
      <c r="AI125" s="190">
        <f t="shared" ref="AI125" si="617">SUM(W125:AH125)</f>
        <v>0</v>
      </c>
      <c r="AJ125" s="197">
        <f t="shared" si="612"/>
        <v>0</v>
      </c>
      <c r="AK125" s="62">
        <v>0</v>
      </c>
      <c r="AL125" s="62">
        <v>224220</v>
      </c>
      <c r="AM125" s="62">
        <v>0</v>
      </c>
      <c r="AN125" s="62">
        <v>0</v>
      </c>
      <c r="AO125" s="62">
        <v>0</v>
      </c>
      <c r="AP125" s="62">
        <v>0</v>
      </c>
      <c r="AQ125" s="62">
        <v>0</v>
      </c>
      <c r="AR125" s="62">
        <v>0</v>
      </c>
      <c r="AS125" s="62">
        <v>0</v>
      </c>
      <c r="AT125" s="62">
        <v>0</v>
      </c>
      <c r="AU125" s="62">
        <v>0</v>
      </c>
      <c r="AV125" s="62">
        <v>0</v>
      </c>
      <c r="AW125" s="190">
        <f t="shared" si="425"/>
        <v>224220</v>
      </c>
      <c r="AX125" s="197">
        <f t="shared" si="613"/>
        <v>2.9391509628917839E-3</v>
      </c>
      <c r="AY125" s="62">
        <v>0</v>
      </c>
      <c r="AZ125" s="62">
        <v>0</v>
      </c>
      <c r="BA125" s="62">
        <v>0</v>
      </c>
      <c r="BB125" s="62">
        <v>0</v>
      </c>
      <c r="BC125" s="62">
        <v>0</v>
      </c>
      <c r="BD125" s="62">
        <v>0</v>
      </c>
      <c r="BE125" s="62">
        <v>0</v>
      </c>
      <c r="BF125" s="62">
        <v>0</v>
      </c>
      <c r="BG125" s="62">
        <v>0</v>
      </c>
      <c r="BH125" s="62">
        <v>0</v>
      </c>
      <c r="BI125" s="62">
        <v>0</v>
      </c>
      <c r="BJ125" s="62">
        <v>0</v>
      </c>
      <c r="BK125" s="190">
        <f t="shared" si="426"/>
        <v>0</v>
      </c>
      <c r="BL125" s="197">
        <f t="shared" si="614"/>
        <v>0</v>
      </c>
      <c r="BM125" s="62">
        <v>0</v>
      </c>
      <c r="BN125" s="62">
        <v>0</v>
      </c>
      <c r="BO125" s="62">
        <v>0</v>
      </c>
      <c r="BP125" s="62">
        <v>0</v>
      </c>
      <c r="BQ125" s="62">
        <v>0</v>
      </c>
      <c r="BR125" s="62">
        <v>0</v>
      </c>
      <c r="BS125" s="62">
        <v>0</v>
      </c>
      <c r="BT125" s="62">
        <v>0</v>
      </c>
      <c r="BU125" s="62">
        <v>0</v>
      </c>
      <c r="BV125" s="62">
        <v>0</v>
      </c>
      <c r="BW125" s="62">
        <v>0</v>
      </c>
      <c r="BX125" s="62">
        <v>0</v>
      </c>
      <c r="BY125" s="190">
        <f t="shared" si="427"/>
        <v>0</v>
      </c>
      <c r="BZ125" s="197">
        <f t="shared" si="615"/>
        <v>0</v>
      </c>
      <c r="CA125" s="62">
        <v>0</v>
      </c>
      <c r="CB125" s="62">
        <v>0</v>
      </c>
      <c r="CC125" s="62">
        <v>0</v>
      </c>
      <c r="CD125" s="62">
        <v>0</v>
      </c>
      <c r="CE125" s="62">
        <v>0</v>
      </c>
      <c r="CF125" s="62">
        <v>0</v>
      </c>
      <c r="CG125" s="62">
        <v>0</v>
      </c>
      <c r="CH125" s="62">
        <v>0</v>
      </c>
      <c r="CI125" s="62">
        <v>0</v>
      </c>
      <c r="CJ125" s="62">
        <v>0</v>
      </c>
      <c r="CK125" s="62">
        <v>0</v>
      </c>
      <c r="CL125" s="62">
        <v>0</v>
      </c>
      <c r="CM125" s="190">
        <f t="shared" si="428"/>
        <v>0</v>
      </c>
      <c r="CN125" s="62">
        <v>0</v>
      </c>
      <c r="CO125" s="62">
        <v>0</v>
      </c>
      <c r="CP125" s="62">
        <v>0</v>
      </c>
      <c r="CQ125" s="62">
        <v>0</v>
      </c>
      <c r="CR125" s="62">
        <v>0</v>
      </c>
      <c r="CS125" s="62">
        <v>0</v>
      </c>
      <c r="CT125" s="62">
        <v>0</v>
      </c>
      <c r="CU125" s="62">
        <v>0</v>
      </c>
      <c r="CV125" s="62">
        <v>0</v>
      </c>
      <c r="CW125" s="62">
        <v>0</v>
      </c>
      <c r="CX125" s="62">
        <v>0</v>
      </c>
      <c r="CY125" s="62">
        <v>0</v>
      </c>
      <c r="CZ125" s="190">
        <f t="shared" si="429"/>
        <v>0</v>
      </c>
      <c r="DA125" s="62">
        <v>0</v>
      </c>
      <c r="DB125" s="62">
        <v>0</v>
      </c>
      <c r="DC125" s="62">
        <v>0</v>
      </c>
      <c r="DD125" s="62">
        <v>0</v>
      </c>
      <c r="DE125" s="62">
        <v>0</v>
      </c>
      <c r="DF125" s="62">
        <v>0</v>
      </c>
      <c r="DG125" s="62">
        <v>0</v>
      </c>
      <c r="DH125" s="62">
        <v>0</v>
      </c>
      <c r="DI125" s="62">
        <v>0</v>
      </c>
      <c r="DJ125" s="62">
        <v>0</v>
      </c>
      <c r="DK125" s="62">
        <v>0</v>
      </c>
      <c r="DL125" s="62">
        <v>0</v>
      </c>
      <c r="DM125" s="190">
        <f t="shared" si="430"/>
        <v>0</v>
      </c>
      <c r="DN125" s="62">
        <v>0</v>
      </c>
      <c r="DO125" s="62">
        <v>0</v>
      </c>
      <c r="DP125" s="62">
        <v>0</v>
      </c>
      <c r="DQ125" s="62">
        <v>0</v>
      </c>
      <c r="DR125" s="62">
        <v>0</v>
      </c>
      <c r="DS125" s="62">
        <v>0</v>
      </c>
      <c r="DT125" s="62">
        <v>0</v>
      </c>
      <c r="DU125" s="62">
        <v>0</v>
      </c>
      <c r="DV125" s="62">
        <v>0</v>
      </c>
      <c r="DW125" s="62">
        <v>0</v>
      </c>
      <c r="DX125" s="62">
        <v>0</v>
      </c>
      <c r="DY125" s="62">
        <v>0</v>
      </c>
      <c r="DZ125" s="190">
        <f t="shared" si="431"/>
        <v>0</v>
      </c>
    </row>
    <row r="126" spans="1:130" ht="20.45" customHeight="1" outlineLevel="2">
      <c r="A126" s="526"/>
      <c r="B126" s="528"/>
      <c r="C126" s="30" t="s">
        <v>369</v>
      </c>
      <c r="D126" s="62">
        <f t="shared" si="345"/>
        <v>100000</v>
      </c>
      <c r="E126" s="184">
        <f t="shared" si="609"/>
        <v>3.094003374994574E-4</v>
      </c>
      <c r="F126" s="62">
        <v>0</v>
      </c>
      <c r="G126" s="190">
        <f t="shared" ref="G126" si="618">SUM(F126)</f>
        <v>0</v>
      </c>
      <c r="H126" s="197">
        <f t="shared" si="610"/>
        <v>0</v>
      </c>
      <c r="I126" s="62">
        <v>0</v>
      </c>
      <c r="J126" s="62">
        <v>0</v>
      </c>
      <c r="K126" s="62">
        <v>0</v>
      </c>
      <c r="L126" s="62">
        <v>0</v>
      </c>
      <c r="M126" s="62">
        <v>0</v>
      </c>
      <c r="N126" s="62">
        <v>0</v>
      </c>
      <c r="O126" s="62">
        <v>0</v>
      </c>
      <c r="P126" s="62">
        <v>0</v>
      </c>
      <c r="Q126" s="62">
        <v>0</v>
      </c>
      <c r="R126" s="62">
        <v>0</v>
      </c>
      <c r="S126" s="62">
        <v>20000</v>
      </c>
      <c r="T126" s="62">
        <v>0</v>
      </c>
      <c r="U126" s="190">
        <f t="shared" ref="U126:U127" si="619">SUM(I126:T126)</f>
        <v>20000</v>
      </c>
      <c r="V126" s="197">
        <f t="shared" si="611"/>
        <v>3.6049028625578333E-4</v>
      </c>
      <c r="W126" s="62">
        <v>0</v>
      </c>
      <c r="X126" s="62">
        <v>0</v>
      </c>
      <c r="Y126" s="62">
        <v>0</v>
      </c>
      <c r="Z126" s="62">
        <v>0</v>
      </c>
      <c r="AA126" s="62">
        <v>0</v>
      </c>
      <c r="AB126" s="62">
        <v>0</v>
      </c>
      <c r="AC126" s="62">
        <v>0</v>
      </c>
      <c r="AD126" s="62">
        <v>0</v>
      </c>
      <c r="AE126" s="62">
        <v>0</v>
      </c>
      <c r="AF126" s="62">
        <v>0</v>
      </c>
      <c r="AG126" s="62">
        <v>0</v>
      </c>
      <c r="AH126" s="62">
        <v>0</v>
      </c>
      <c r="AI126" s="190">
        <f t="shared" ref="AI126" si="620">SUM(W126:AH126)</f>
        <v>0</v>
      </c>
      <c r="AJ126" s="197">
        <f t="shared" si="612"/>
        <v>0</v>
      </c>
      <c r="AK126" s="62">
        <v>0</v>
      </c>
      <c r="AL126" s="62">
        <v>40000</v>
      </c>
      <c r="AM126" s="62">
        <v>0</v>
      </c>
      <c r="AN126" s="62">
        <v>0</v>
      </c>
      <c r="AO126" s="62">
        <v>0</v>
      </c>
      <c r="AP126" s="62">
        <v>0</v>
      </c>
      <c r="AQ126" s="62">
        <v>0</v>
      </c>
      <c r="AR126" s="62">
        <v>0</v>
      </c>
      <c r="AS126" s="62">
        <v>0</v>
      </c>
      <c r="AT126" s="62">
        <v>0</v>
      </c>
      <c r="AU126" s="62">
        <v>0</v>
      </c>
      <c r="AV126" s="62">
        <v>0</v>
      </c>
      <c r="AW126" s="190">
        <f t="shared" ref="AW126:AW127" si="621">SUM(AK126:AV126)</f>
        <v>40000</v>
      </c>
      <c r="AX126" s="197">
        <f t="shared" si="613"/>
        <v>5.243334159114769E-4</v>
      </c>
      <c r="AY126" s="62">
        <v>0</v>
      </c>
      <c r="AZ126" s="62">
        <v>0</v>
      </c>
      <c r="BA126" s="62">
        <v>0</v>
      </c>
      <c r="BB126" s="62">
        <v>0</v>
      </c>
      <c r="BC126" s="62">
        <v>0</v>
      </c>
      <c r="BD126" s="62">
        <v>0</v>
      </c>
      <c r="BE126" s="62">
        <v>0</v>
      </c>
      <c r="BF126" s="62">
        <v>0</v>
      </c>
      <c r="BG126" s="62">
        <v>0</v>
      </c>
      <c r="BH126" s="62">
        <v>0</v>
      </c>
      <c r="BI126" s="62">
        <v>0</v>
      </c>
      <c r="BJ126" s="62">
        <v>0</v>
      </c>
      <c r="BK126" s="190">
        <f t="shared" ref="BK126:BK127" si="622">SUM(AY126:BJ126)</f>
        <v>0</v>
      </c>
      <c r="BL126" s="197">
        <f t="shared" si="614"/>
        <v>0</v>
      </c>
      <c r="BM126" s="62">
        <v>40000</v>
      </c>
      <c r="BN126" s="62">
        <v>0</v>
      </c>
      <c r="BO126" s="62">
        <v>0</v>
      </c>
      <c r="BP126" s="62">
        <v>0</v>
      </c>
      <c r="BQ126" s="62">
        <v>0</v>
      </c>
      <c r="BR126" s="62">
        <v>0</v>
      </c>
      <c r="BS126" s="62">
        <v>0</v>
      </c>
      <c r="BT126" s="62">
        <v>0</v>
      </c>
      <c r="BU126" s="62">
        <v>0</v>
      </c>
      <c r="BV126" s="62">
        <v>0</v>
      </c>
      <c r="BW126" s="62">
        <v>0</v>
      </c>
      <c r="BX126" s="62">
        <v>0</v>
      </c>
      <c r="BY126" s="190">
        <f t="shared" ref="BY126:BY127" si="623">SUM(BM126:BX126)</f>
        <v>40000</v>
      </c>
      <c r="BZ126" s="197">
        <f t="shared" si="615"/>
        <v>9.1652958821013004E-4</v>
      </c>
      <c r="CA126" s="62">
        <v>0</v>
      </c>
      <c r="CB126" s="62">
        <v>0</v>
      </c>
      <c r="CC126" s="62">
        <v>0</v>
      </c>
      <c r="CD126" s="62">
        <v>0</v>
      </c>
      <c r="CE126" s="62">
        <v>0</v>
      </c>
      <c r="CF126" s="62">
        <v>0</v>
      </c>
      <c r="CG126" s="62">
        <v>0</v>
      </c>
      <c r="CH126" s="62">
        <v>0</v>
      </c>
      <c r="CI126" s="62">
        <v>0</v>
      </c>
      <c r="CJ126" s="62">
        <v>0</v>
      </c>
      <c r="CK126" s="62">
        <v>0</v>
      </c>
      <c r="CL126" s="62">
        <v>0</v>
      </c>
      <c r="CM126" s="190">
        <f t="shared" ref="CM126:CM127" si="624">SUM(CA126:CL126)</f>
        <v>0</v>
      </c>
      <c r="CN126" s="62">
        <v>0</v>
      </c>
      <c r="CO126" s="62">
        <v>0</v>
      </c>
      <c r="CP126" s="62">
        <v>0</v>
      </c>
      <c r="CQ126" s="62">
        <v>0</v>
      </c>
      <c r="CR126" s="62">
        <v>0</v>
      </c>
      <c r="CS126" s="62">
        <v>0</v>
      </c>
      <c r="CT126" s="62">
        <v>0</v>
      </c>
      <c r="CU126" s="62">
        <v>0</v>
      </c>
      <c r="CV126" s="62">
        <v>0</v>
      </c>
      <c r="CW126" s="62">
        <v>0</v>
      </c>
      <c r="CX126" s="62">
        <v>0</v>
      </c>
      <c r="CY126" s="62">
        <v>0</v>
      </c>
      <c r="CZ126" s="190">
        <f t="shared" ref="CZ126:CZ127" si="625">SUM(CN126:CY126)</f>
        <v>0</v>
      </c>
      <c r="DA126" s="62">
        <v>0</v>
      </c>
      <c r="DB126" s="62">
        <v>0</v>
      </c>
      <c r="DC126" s="62">
        <v>0</v>
      </c>
      <c r="DD126" s="62">
        <v>0</v>
      </c>
      <c r="DE126" s="62">
        <v>0</v>
      </c>
      <c r="DF126" s="62">
        <v>0</v>
      </c>
      <c r="DG126" s="62">
        <v>0</v>
      </c>
      <c r="DH126" s="62">
        <v>0</v>
      </c>
      <c r="DI126" s="62">
        <v>0</v>
      </c>
      <c r="DJ126" s="62">
        <v>0</v>
      </c>
      <c r="DK126" s="62">
        <v>0</v>
      </c>
      <c r="DL126" s="62">
        <v>0</v>
      </c>
      <c r="DM126" s="190">
        <f t="shared" ref="DM126:DM127" si="626">SUM(DA126:DL126)</f>
        <v>0</v>
      </c>
      <c r="DN126" s="62">
        <v>0</v>
      </c>
      <c r="DO126" s="62">
        <v>0</v>
      </c>
      <c r="DP126" s="62">
        <v>0</v>
      </c>
      <c r="DQ126" s="62">
        <v>0</v>
      </c>
      <c r="DR126" s="62">
        <v>0</v>
      </c>
      <c r="DS126" s="62">
        <v>0</v>
      </c>
      <c r="DT126" s="62">
        <v>0</v>
      </c>
      <c r="DU126" s="62">
        <v>0</v>
      </c>
      <c r="DV126" s="62">
        <v>0</v>
      </c>
      <c r="DW126" s="62">
        <v>0</v>
      </c>
      <c r="DX126" s="62">
        <v>0</v>
      </c>
      <c r="DY126" s="62">
        <v>0</v>
      </c>
      <c r="DZ126" s="190">
        <f t="shared" ref="DZ126:DZ127" si="627">SUM(DN126:DY126)</f>
        <v>0</v>
      </c>
    </row>
    <row r="127" spans="1:130" ht="20.45" customHeight="1" outlineLevel="2">
      <c r="A127" s="526"/>
      <c r="B127" s="528"/>
      <c r="C127" s="30" t="s">
        <v>2628</v>
      </c>
      <c r="D127" s="62">
        <f t="shared" si="345"/>
        <v>1199999.9999999998</v>
      </c>
      <c r="E127" s="184">
        <f t="shared" si="609"/>
        <v>3.7128040499934882E-3</v>
      </c>
      <c r="F127" s="62">
        <v>0</v>
      </c>
      <c r="G127" s="190">
        <f t="shared" ref="G127" si="628">SUM(F127)</f>
        <v>0</v>
      </c>
      <c r="H127" s="197">
        <f t="shared" si="610"/>
        <v>0</v>
      </c>
      <c r="I127" s="62">
        <v>0</v>
      </c>
      <c r="J127" s="62">
        <v>0</v>
      </c>
      <c r="K127" s="62">
        <v>0</v>
      </c>
      <c r="L127" s="62">
        <v>0</v>
      </c>
      <c r="M127" s="62">
        <v>0</v>
      </c>
      <c r="N127" s="62">
        <v>0</v>
      </c>
      <c r="O127" s="62">
        <v>0</v>
      </c>
      <c r="P127" s="62">
        <v>0</v>
      </c>
      <c r="Q127" s="62">
        <v>0</v>
      </c>
      <c r="R127" s="62">
        <v>0</v>
      </c>
      <c r="S127" s="62">
        <v>0</v>
      </c>
      <c r="T127" s="62">
        <v>0</v>
      </c>
      <c r="U127" s="190">
        <f t="shared" si="619"/>
        <v>0</v>
      </c>
      <c r="V127" s="197">
        <f t="shared" si="611"/>
        <v>0</v>
      </c>
      <c r="W127" s="62">
        <v>0</v>
      </c>
      <c r="X127" s="62">
        <v>0</v>
      </c>
      <c r="Y127" s="62">
        <v>0</v>
      </c>
      <c r="Z127" s="62">
        <v>0</v>
      </c>
      <c r="AA127" s="62">
        <v>0</v>
      </c>
      <c r="AB127" s="62">
        <v>0</v>
      </c>
      <c r="AC127" s="62">
        <v>0</v>
      </c>
      <c r="AD127" s="62">
        <v>400000</v>
      </c>
      <c r="AE127" s="62">
        <v>400000</v>
      </c>
      <c r="AF127" s="62">
        <v>400000</v>
      </c>
      <c r="AG127" s="62">
        <v>0</v>
      </c>
      <c r="AH127" s="62">
        <v>0</v>
      </c>
      <c r="AI127" s="190">
        <f t="shared" ref="AI127" si="629">SUM(W127:AH127)</f>
        <v>1200000</v>
      </c>
      <c r="AJ127" s="197">
        <f t="shared" si="612"/>
        <v>1.6309067262426022E-2</v>
      </c>
      <c r="AK127" s="62">
        <v>0</v>
      </c>
      <c r="AL127" s="62">
        <v>0</v>
      </c>
      <c r="AM127" s="62">
        <v>0</v>
      </c>
      <c r="AN127" s="62">
        <v>0</v>
      </c>
      <c r="AO127" s="62">
        <v>0</v>
      </c>
      <c r="AP127" s="62">
        <v>0</v>
      </c>
      <c r="AQ127" s="62">
        <v>0</v>
      </c>
      <c r="AR127" s="62">
        <v>0</v>
      </c>
      <c r="AS127" s="62">
        <v>0</v>
      </c>
      <c r="AT127" s="62">
        <v>0</v>
      </c>
      <c r="AU127" s="62">
        <v>0</v>
      </c>
      <c r="AV127" s="62">
        <v>0</v>
      </c>
      <c r="AW127" s="190">
        <f t="shared" si="621"/>
        <v>0</v>
      </c>
      <c r="AX127" s="197">
        <f t="shared" si="613"/>
        <v>0</v>
      </c>
      <c r="AY127" s="62">
        <v>0</v>
      </c>
      <c r="AZ127" s="62">
        <v>0</v>
      </c>
      <c r="BA127" s="62">
        <v>0</v>
      </c>
      <c r="BB127" s="62">
        <v>0</v>
      </c>
      <c r="BC127" s="62">
        <v>0</v>
      </c>
      <c r="BD127" s="62">
        <v>0</v>
      </c>
      <c r="BE127" s="62">
        <v>0</v>
      </c>
      <c r="BF127" s="62">
        <v>0</v>
      </c>
      <c r="BG127" s="62">
        <v>0</v>
      </c>
      <c r="BH127" s="62">
        <v>0</v>
      </c>
      <c r="BI127" s="62">
        <v>0</v>
      </c>
      <c r="BJ127" s="62">
        <v>0</v>
      </c>
      <c r="BK127" s="190">
        <f t="shared" si="622"/>
        <v>0</v>
      </c>
      <c r="BL127" s="197">
        <f t="shared" si="614"/>
        <v>0</v>
      </c>
      <c r="BM127" s="62">
        <v>0</v>
      </c>
      <c r="BN127" s="62">
        <v>0</v>
      </c>
      <c r="BO127" s="62">
        <v>0</v>
      </c>
      <c r="BP127" s="62">
        <v>0</v>
      </c>
      <c r="BQ127" s="62">
        <v>0</v>
      </c>
      <c r="BR127" s="62">
        <v>0</v>
      </c>
      <c r="BS127" s="62">
        <v>0</v>
      </c>
      <c r="BT127" s="62">
        <v>0</v>
      </c>
      <c r="BU127" s="62">
        <v>0</v>
      </c>
      <c r="BV127" s="62">
        <v>0</v>
      </c>
      <c r="BW127" s="62">
        <v>0</v>
      </c>
      <c r="BX127" s="62">
        <v>0</v>
      </c>
      <c r="BY127" s="190">
        <f t="shared" si="623"/>
        <v>0</v>
      </c>
      <c r="BZ127" s="197">
        <f t="shared" si="615"/>
        <v>0</v>
      </c>
      <c r="CA127" s="62">
        <v>0</v>
      </c>
      <c r="CB127" s="62">
        <v>0</v>
      </c>
      <c r="CC127" s="62">
        <v>0</v>
      </c>
      <c r="CD127" s="62">
        <v>0</v>
      </c>
      <c r="CE127" s="62">
        <v>0</v>
      </c>
      <c r="CF127" s="62">
        <v>0</v>
      </c>
      <c r="CG127" s="62">
        <v>0</v>
      </c>
      <c r="CH127" s="62">
        <v>0</v>
      </c>
      <c r="CI127" s="62">
        <v>0</v>
      </c>
      <c r="CJ127" s="62">
        <v>0</v>
      </c>
      <c r="CK127" s="62">
        <v>0</v>
      </c>
      <c r="CL127" s="62">
        <v>0</v>
      </c>
      <c r="CM127" s="190">
        <f t="shared" si="624"/>
        <v>0</v>
      </c>
      <c r="CN127" s="62">
        <v>0</v>
      </c>
      <c r="CO127" s="62">
        <v>0</v>
      </c>
      <c r="CP127" s="62">
        <v>0</v>
      </c>
      <c r="CQ127" s="62">
        <v>0</v>
      </c>
      <c r="CR127" s="62">
        <v>0</v>
      </c>
      <c r="CS127" s="62">
        <v>0</v>
      </c>
      <c r="CT127" s="62">
        <v>0</v>
      </c>
      <c r="CU127" s="62">
        <v>0</v>
      </c>
      <c r="CV127" s="62">
        <v>0</v>
      </c>
      <c r="CW127" s="62">
        <v>0</v>
      </c>
      <c r="CX127" s="62">
        <v>0</v>
      </c>
      <c r="CY127" s="62">
        <v>0</v>
      </c>
      <c r="CZ127" s="190">
        <f t="shared" si="625"/>
        <v>0</v>
      </c>
      <c r="DA127" s="62">
        <v>0</v>
      </c>
      <c r="DB127" s="62">
        <v>0</v>
      </c>
      <c r="DC127" s="62">
        <v>0</v>
      </c>
      <c r="DD127" s="62">
        <v>0</v>
      </c>
      <c r="DE127" s="62">
        <v>0</v>
      </c>
      <c r="DF127" s="62">
        <v>0</v>
      </c>
      <c r="DG127" s="62">
        <v>0</v>
      </c>
      <c r="DH127" s="62">
        <v>0</v>
      </c>
      <c r="DI127" s="62">
        <v>0</v>
      </c>
      <c r="DJ127" s="62">
        <v>0</v>
      </c>
      <c r="DK127" s="62">
        <v>0</v>
      </c>
      <c r="DL127" s="62">
        <v>0</v>
      </c>
      <c r="DM127" s="190">
        <f t="shared" si="626"/>
        <v>0</v>
      </c>
      <c r="DN127" s="62">
        <v>0</v>
      </c>
      <c r="DO127" s="62">
        <v>0</v>
      </c>
      <c r="DP127" s="62">
        <v>0</v>
      </c>
      <c r="DQ127" s="62">
        <v>0</v>
      </c>
      <c r="DR127" s="62">
        <v>0</v>
      </c>
      <c r="DS127" s="62">
        <v>0</v>
      </c>
      <c r="DT127" s="62">
        <v>0</v>
      </c>
      <c r="DU127" s="62">
        <v>0</v>
      </c>
      <c r="DV127" s="62">
        <v>0</v>
      </c>
      <c r="DW127" s="62">
        <v>0</v>
      </c>
      <c r="DX127" s="62">
        <v>0</v>
      </c>
      <c r="DY127" s="62">
        <v>0</v>
      </c>
      <c r="DZ127" s="190">
        <f t="shared" si="627"/>
        <v>0</v>
      </c>
    </row>
    <row r="128" spans="1:130" ht="20.45" customHeight="1" outlineLevel="2">
      <c r="A128" s="525"/>
      <c r="B128" s="531"/>
      <c r="C128" s="30" t="s">
        <v>2629</v>
      </c>
      <c r="D128" s="62">
        <f t="shared" si="345"/>
        <v>415800.00000000006</v>
      </c>
      <c r="E128" s="184">
        <f t="shared" si="609"/>
        <v>1.2864866033227441E-3</v>
      </c>
      <c r="F128" s="62">
        <v>0</v>
      </c>
      <c r="G128" s="190">
        <f t="shared" si="433"/>
        <v>0</v>
      </c>
      <c r="H128" s="197">
        <f t="shared" si="610"/>
        <v>0</v>
      </c>
      <c r="I128" s="62">
        <v>0</v>
      </c>
      <c r="J128" s="62">
        <v>0</v>
      </c>
      <c r="K128" s="62">
        <v>0</v>
      </c>
      <c r="L128" s="62">
        <v>0</v>
      </c>
      <c r="M128" s="62">
        <v>0</v>
      </c>
      <c r="N128" s="62">
        <v>0</v>
      </c>
      <c r="O128" s="62">
        <v>0</v>
      </c>
      <c r="P128" s="62">
        <v>0</v>
      </c>
      <c r="Q128" s="62">
        <v>0</v>
      </c>
      <c r="R128" s="62">
        <v>0</v>
      </c>
      <c r="S128" s="62">
        <v>0</v>
      </c>
      <c r="T128" s="62">
        <v>0</v>
      </c>
      <c r="U128" s="190">
        <f t="shared" si="423"/>
        <v>0</v>
      </c>
      <c r="V128" s="197">
        <f t="shared" si="611"/>
        <v>0</v>
      </c>
      <c r="W128" s="62">
        <v>0</v>
      </c>
      <c r="X128" s="62">
        <v>0</v>
      </c>
      <c r="Y128" s="62">
        <v>0</v>
      </c>
      <c r="Z128" s="62">
        <v>0</v>
      </c>
      <c r="AA128" s="62">
        <v>0</v>
      </c>
      <c r="AB128" s="62">
        <v>0</v>
      </c>
      <c r="AC128" s="62">
        <v>0</v>
      </c>
      <c r="AD128" s="62">
        <v>0</v>
      </c>
      <c r="AE128" s="62">
        <v>0</v>
      </c>
      <c r="AF128" s="62">
        <v>0</v>
      </c>
      <c r="AG128" s="62">
        <v>0</v>
      </c>
      <c r="AH128" s="62">
        <v>0</v>
      </c>
      <c r="AI128" s="190">
        <f t="shared" si="424"/>
        <v>0</v>
      </c>
      <c r="AJ128" s="197">
        <f t="shared" si="612"/>
        <v>0</v>
      </c>
      <c r="AK128" s="62">
        <v>0</v>
      </c>
      <c r="AL128" s="62">
        <v>0</v>
      </c>
      <c r="AM128" s="62">
        <v>0</v>
      </c>
      <c r="AN128" s="62">
        <v>59400</v>
      </c>
      <c r="AO128" s="62">
        <v>0</v>
      </c>
      <c r="AP128" s="62">
        <v>0</v>
      </c>
      <c r="AQ128" s="62">
        <v>0</v>
      </c>
      <c r="AR128" s="62">
        <v>59400</v>
      </c>
      <c r="AS128" s="62">
        <v>0</v>
      </c>
      <c r="AT128" s="62">
        <v>0</v>
      </c>
      <c r="AU128" s="62">
        <v>0</v>
      </c>
      <c r="AV128" s="62">
        <v>0</v>
      </c>
      <c r="AW128" s="190">
        <f t="shared" si="425"/>
        <v>118800</v>
      </c>
      <c r="AX128" s="197">
        <f t="shared" si="613"/>
        <v>1.5572702452570865E-3</v>
      </c>
      <c r="AY128" s="62">
        <v>0</v>
      </c>
      <c r="AZ128" s="62">
        <v>0</v>
      </c>
      <c r="BA128" s="62">
        <v>0</v>
      </c>
      <c r="BB128" s="62">
        <v>0</v>
      </c>
      <c r="BC128" s="62">
        <v>0</v>
      </c>
      <c r="BD128" s="62">
        <v>0</v>
      </c>
      <c r="BE128" s="62">
        <v>0</v>
      </c>
      <c r="BF128" s="62">
        <v>0</v>
      </c>
      <c r="BG128" s="62">
        <v>59400</v>
      </c>
      <c r="BH128" s="62">
        <v>0</v>
      </c>
      <c r="BI128" s="62">
        <v>0</v>
      </c>
      <c r="BJ128" s="62">
        <v>0</v>
      </c>
      <c r="BK128" s="190">
        <f t="shared" si="426"/>
        <v>59400</v>
      </c>
      <c r="BL128" s="197">
        <f t="shared" si="614"/>
        <v>8.5052737422353943E-4</v>
      </c>
      <c r="BM128" s="62">
        <v>0</v>
      </c>
      <c r="BN128" s="62">
        <v>0</v>
      </c>
      <c r="BO128" s="62">
        <f>59400*4</f>
        <v>237600</v>
      </c>
      <c r="BP128" s="62">
        <v>0</v>
      </c>
      <c r="BQ128" s="62">
        <v>0</v>
      </c>
      <c r="BR128" s="62">
        <v>0</v>
      </c>
      <c r="BS128" s="62">
        <v>0</v>
      </c>
      <c r="BT128" s="62">
        <v>0</v>
      </c>
      <c r="BU128" s="62">
        <v>0</v>
      </c>
      <c r="BV128" s="62">
        <v>0</v>
      </c>
      <c r="BW128" s="62">
        <v>0</v>
      </c>
      <c r="BX128" s="62">
        <v>0</v>
      </c>
      <c r="BY128" s="190">
        <f t="shared" si="427"/>
        <v>237600</v>
      </c>
      <c r="BZ128" s="197">
        <f t="shared" si="615"/>
        <v>5.4441857539681724E-3</v>
      </c>
      <c r="CA128" s="62">
        <v>0</v>
      </c>
      <c r="CB128" s="62">
        <v>0</v>
      </c>
      <c r="CC128" s="62">
        <v>0</v>
      </c>
      <c r="CD128" s="62">
        <v>0</v>
      </c>
      <c r="CE128" s="62">
        <v>0</v>
      </c>
      <c r="CF128" s="62">
        <v>0</v>
      </c>
      <c r="CG128" s="62">
        <v>0</v>
      </c>
      <c r="CH128" s="62">
        <v>0</v>
      </c>
      <c r="CI128" s="62">
        <v>0</v>
      </c>
      <c r="CJ128" s="62">
        <v>0</v>
      </c>
      <c r="CK128" s="62">
        <v>0</v>
      </c>
      <c r="CL128" s="62">
        <v>0</v>
      </c>
      <c r="CM128" s="190">
        <f t="shared" si="428"/>
        <v>0</v>
      </c>
      <c r="CN128" s="62">
        <v>0</v>
      </c>
      <c r="CO128" s="62">
        <v>0</v>
      </c>
      <c r="CP128" s="62">
        <v>0</v>
      </c>
      <c r="CQ128" s="62">
        <v>0</v>
      </c>
      <c r="CR128" s="62">
        <v>0</v>
      </c>
      <c r="CS128" s="62">
        <v>0</v>
      </c>
      <c r="CT128" s="62">
        <v>0</v>
      </c>
      <c r="CU128" s="62">
        <v>0</v>
      </c>
      <c r="CV128" s="62">
        <v>0</v>
      </c>
      <c r="CW128" s="62">
        <v>0</v>
      </c>
      <c r="CX128" s="62">
        <v>0</v>
      </c>
      <c r="CY128" s="62">
        <v>0</v>
      </c>
      <c r="CZ128" s="190">
        <f t="shared" si="429"/>
        <v>0</v>
      </c>
      <c r="DA128" s="62">
        <v>0</v>
      </c>
      <c r="DB128" s="62">
        <v>0</v>
      </c>
      <c r="DC128" s="62">
        <v>0</v>
      </c>
      <c r="DD128" s="62">
        <v>0</v>
      </c>
      <c r="DE128" s="62">
        <v>0</v>
      </c>
      <c r="DF128" s="62">
        <v>0</v>
      </c>
      <c r="DG128" s="62">
        <v>0</v>
      </c>
      <c r="DH128" s="62">
        <v>0</v>
      </c>
      <c r="DI128" s="62">
        <v>0</v>
      </c>
      <c r="DJ128" s="62">
        <v>0</v>
      </c>
      <c r="DK128" s="62">
        <v>0</v>
      </c>
      <c r="DL128" s="62">
        <v>0</v>
      </c>
      <c r="DM128" s="190">
        <f t="shared" si="430"/>
        <v>0</v>
      </c>
      <c r="DN128" s="62">
        <v>0</v>
      </c>
      <c r="DO128" s="62">
        <v>0</v>
      </c>
      <c r="DP128" s="62">
        <v>0</v>
      </c>
      <c r="DQ128" s="62">
        <v>0</v>
      </c>
      <c r="DR128" s="62">
        <v>0</v>
      </c>
      <c r="DS128" s="62">
        <v>0</v>
      </c>
      <c r="DT128" s="62">
        <v>0</v>
      </c>
      <c r="DU128" s="62">
        <v>0</v>
      </c>
      <c r="DV128" s="62">
        <v>0</v>
      </c>
      <c r="DW128" s="62">
        <v>0</v>
      </c>
      <c r="DX128" s="62">
        <v>0</v>
      </c>
      <c r="DY128" s="62">
        <v>0</v>
      </c>
      <c r="DZ128" s="190">
        <f t="shared" si="431"/>
        <v>0</v>
      </c>
    </row>
    <row r="129" spans="1:130" s="194" customFormat="1" ht="20.45" customHeight="1" outlineLevel="1">
      <c r="A129" s="525"/>
      <c r="B129" s="527" t="s">
        <v>370</v>
      </c>
      <c r="C129" s="65" t="s">
        <v>307</v>
      </c>
      <c r="D129" s="66">
        <f t="shared" si="345"/>
        <v>26691542.999999996</v>
      </c>
      <c r="E129" s="187">
        <f>SUM(E130:E131)</f>
        <v>8.2583724125812816E-2</v>
      </c>
      <c r="F129" s="62">
        <f t="shared" ref="F129:DX129" si="630">SUM(F130:F131)</f>
        <v>400000</v>
      </c>
      <c r="G129" s="190">
        <f t="shared" si="433"/>
        <v>400000</v>
      </c>
      <c r="H129" s="196">
        <f>SUM(H130:H131)</f>
        <v>9.1367903140885887E-2</v>
      </c>
      <c r="I129" s="62">
        <f t="shared" si="630"/>
        <v>1068000</v>
      </c>
      <c r="J129" s="62">
        <f t="shared" si="630"/>
        <v>100000</v>
      </c>
      <c r="K129" s="62">
        <f t="shared" si="630"/>
        <v>100000</v>
      </c>
      <c r="L129" s="62">
        <f t="shared" si="630"/>
        <v>809000</v>
      </c>
      <c r="M129" s="62">
        <f t="shared" si="630"/>
        <v>100000</v>
      </c>
      <c r="N129" s="62">
        <f t="shared" si="630"/>
        <v>600000</v>
      </c>
      <c r="O129" s="62">
        <f t="shared" si="630"/>
        <v>100000</v>
      </c>
      <c r="P129" s="62">
        <f t="shared" si="630"/>
        <v>987000</v>
      </c>
      <c r="Q129" s="62">
        <f t="shared" si="630"/>
        <v>100000</v>
      </c>
      <c r="R129" s="62">
        <f t="shared" si="630"/>
        <v>200000</v>
      </c>
      <c r="S129" s="62">
        <f t="shared" si="630"/>
        <v>100000</v>
      </c>
      <c r="T129" s="62">
        <f t="shared" si="630"/>
        <v>842000</v>
      </c>
      <c r="U129" s="190">
        <f t="shared" si="423"/>
        <v>5106000</v>
      </c>
      <c r="V129" s="196">
        <f>SUM(V130:V131)</f>
        <v>9.2033170081101484E-2</v>
      </c>
      <c r="W129" s="62">
        <f t="shared" si="630"/>
        <v>651400</v>
      </c>
      <c r="X129" s="62">
        <f t="shared" si="630"/>
        <v>200000</v>
      </c>
      <c r="Y129" s="62">
        <f t="shared" si="630"/>
        <v>500000</v>
      </c>
      <c r="Z129" s="62">
        <f t="shared" si="630"/>
        <v>500000</v>
      </c>
      <c r="AA129" s="62">
        <f t="shared" si="630"/>
        <v>295500</v>
      </c>
      <c r="AB129" s="62">
        <f t="shared" si="630"/>
        <v>519000</v>
      </c>
      <c r="AC129" s="62">
        <f t="shared" ref="AC129:AF129" si="631">SUM(AC130:AC131)</f>
        <v>833000</v>
      </c>
      <c r="AD129" s="62">
        <f t="shared" si="631"/>
        <v>488000</v>
      </c>
      <c r="AE129" s="62">
        <f t="shared" si="631"/>
        <v>650000</v>
      </c>
      <c r="AF129" s="62">
        <f t="shared" si="631"/>
        <v>200000</v>
      </c>
      <c r="AG129" s="62">
        <f t="shared" si="630"/>
        <v>500000</v>
      </c>
      <c r="AH129" s="62">
        <f t="shared" si="630"/>
        <v>1035000</v>
      </c>
      <c r="AI129" s="190">
        <f t="shared" si="424"/>
        <v>6371900</v>
      </c>
      <c r="AJ129" s="196">
        <f>SUM(AJ130:AJ131)</f>
        <v>8.6599788074543632E-2</v>
      </c>
      <c r="AK129" s="62">
        <f t="shared" ref="AK129:AV129" si="632">SUM(AK130:AK131)</f>
        <v>1102550</v>
      </c>
      <c r="AL129" s="62">
        <f t="shared" si="632"/>
        <v>500000</v>
      </c>
      <c r="AM129" s="62">
        <f t="shared" si="632"/>
        <v>396920</v>
      </c>
      <c r="AN129" s="62">
        <f t="shared" si="632"/>
        <v>1116713</v>
      </c>
      <c r="AO129" s="62">
        <f t="shared" si="632"/>
        <v>239700</v>
      </c>
      <c r="AP129" s="62">
        <f t="shared" si="632"/>
        <v>681500</v>
      </c>
      <c r="AQ129" s="62">
        <f t="shared" si="632"/>
        <v>402200</v>
      </c>
      <c r="AR129" s="62">
        <f t="shared" si="632"/>
        <v>895000</v>
      </c>
      <c r="AS129" s="62">
        <f t="shared" si="632"/>
        <v>200000</v>
      </c>
      <c r="AT129" s="62">
        <f t="shared" si="632"/>
        <v>200000</v>
      </c>
      <c r="AU129" s="62">
        <f t="shared" si="632"/>
        <v>545300</v>
      </c>
      <c r="AV129" s="62">
        <f t="shared" si="632"/>
        <v>440000</v>
      </c>
      <c r="AW129" s="190">
        <f t="shared" si="425"/>
        <v>6719883</v>
      </c>
      <c r="AX129" s="196">
        <f>SUM(AX130:AX131)</f>
        <v>8.8086480197886577E-2</v>
      </c>
      <c r="AY129" s="62">
        <f t="shared" ref="AY129:BJ129" si="633">SUM(AY130:AY131)</f>
        <v>650000</v>
      </c>
      <c r="AZ129" s="62">
        <f t="shared" si="633"/>
        <v>604200</v>
      </c>
      <c r="BA129" s="62">
        <f t="shared" si="633"/>
        <v>200000</v>
      </c>
      <c r="BB129" s="62">
        <f t="shared" si="633"/>
        <v>864800</v>
      </c>
      <c r="BC129" s="62">
        <f t="shared" si="633"/>
        <v>109200</v>
      </c>
      <c r="BD129" s="62">
        <f t="shared" si="633"/>
        <v>554000</v>
      </c>
      <c r="BE129" s="62">
        <f t="shared" si="633"/>
        <v>200000</v>
      </c>
      <c r="BF129" s="62">
        <f t="shared" si="633"/>
        <v>200000</v>
      </c>
      <c r="BG129" s="62">
        <f t="shared" si="633"/>
        <v>920000</v>
      </c>
      <c r="BH129" s="62">
        <f t="shared" si="633"/>
        <v>267000</v>
      </c>
      <c r="BI129" s="62">
        <f t="shared" si="633"/>
        <v>500000</v>
      </c>
      <c r="BJ129" s="62">
        <f t="shared" si="633"/>
        <v>272000</v>
      </c>
      <c r="BK129" s="190">
        <f t="shared" si="426"/>
        <v>5341200</v>
      </c>
      <c r="BL129" s="196">
        <f>SUM(BL130:BL131)</f>
        <v>7.6478734195332812E-2</v>
      </c>
      <c r="BM129" s="62">
        <f t="shared" ref="BM129:BX129" si="634">SUM(BM130:BM131)</f>
        <v>1150000</v>
      </c>
      <c r="BN129" s="62">
        <f t="shared" si="634"/>
        <v>200000</v>
      </c>
      <c r="BO129" s="62">
        <f t="shared" si="634"/>
        <v>500000</v>
      </c>
      <c r="BP129" s="62">
        <f t="shared" si="634"/>
        <v>702560</v>
      </c>
      <c r="BQ129" s="62">
        <f t="shared" si="634"/>
        <v>200000</v>
      </c>
      <c r="BR129" s="62">
        <f t="shared" si="634"/>
        <v>0</v>
      </c>
      <c r="BS129" s="62">
        <f t="shared" si="634"/>
        <v>0</v>
      </c>
      <c r="BT129" s="62">
        <f t="shared" si="634"/>
        <v>0</v>
      </c>
      <c r="BU129" s="62">
        <f t="shared" si="634"/>
        <v>0</v>
      </c>
      <c r="BV129" s="62">
        <f t="shared" si="634"/>
        <v>0</v>
      </c>
      <c r="BW129" s="62">
        <f t="shared" si="634"/>
        <v>0</v>
      </c>
      <c r="BX129" s="62">
        <f t="shared" si="634"/>
        <v>0</v>
      </c>
      <c r="BY129" s="190">
        <f t="shared" si="427"/>
        <v>2752560</v>
      </c>
      <c r="BZ129" s="196">
        <f>SUM(BZ130:BZ131)</f>
        <v>6.3070067083091888E-2</v>
      </c>
      <c r="CA129" s="62">
        <f t="shared" ref="CA129:CL129" si="635">SUM(CA130:CA131)</f>
        <v>0</v>
      </c>
      <c r="CB129" s="62">
        <f t="shared" si="635"/>
        <v>0</v>
      </c>
      <c r="CC129" s="62">
        <f t="shared" si="635"/>
        <v>0</v>
      </c>
      <c r="CD129" s="62">
        <f t="shared" si="635"/>
        <v>0</v>
      </c>
      <c r="CE129" s="62">
        <f t="shared" si="635"/>
        <v>0</v>
      </c>
      <c r="CF129" s="62">
        <f t="shared" si="635"/>
        <v>0</v>
      </c>
      <c r="CG129" s="62">
        <f t="shared" si="635"/>
        <v>0</v>
      </c>
      <c r="CH129" s="62">
        <f t="shared" si="635"/>
        <v>0</v>
      </c>
      <c r="CI129" s="62">
        <f t="shared" si="635"/>
        <v>0</v>
      </c>
      <c r="CJ129" s="62">
        <f t="shared" si="635"/>
        <v>0</v>
      </c>
      <c r="CK129" s="62">
        <f t="shared" si="635"/>
        <v>0</v>
      </c>
      <c r="CL129" s="62">
        <f t="shared" si="635"/>
        <v>0</v>
      </c>
      <c r="CM129" s="190">
        <f t="shared" si="428"/>
        <v>0</v>
      </c>
      <c r="CN129" s="62">
        <f t="shared" ref="CN129:CY129" si="636">SUM(CN130:CN131)</f>
        <v>0</v>
      </c>
      <c r="CO129" s="62">
        <f t="shared" si="636"/>
        <v>0</v>
      </c>
      <c r="CP129" s="62">
        <f t="shared" si="636"/>
        <v>0</v>
      </c>
      <c r="CQ129" s="62">
        <f t="shared" si="636"/>
        <v>0</v>
      </c>
      <c r="CR129" s="62">
        <f t="shared" si="636"/>
        <v>0</v>
      </c>
      <c r="CS129" s="62">
        <f t="shared" si="636"/>
        <v>0</v>
      </c>
      <c r="CT129" s="62">
        <f t="shared" si="636"/>
        <v>0</v>
      </c>
      <c r="CU129" s="62">
        <f t="shared" si="636"/>
        <v>0</v>
      </c>
      <c r="CV129" s="62">
        <f t="shared" si="636"/>
        <v>0</v>
      </c>
      <c r="CW129" s="62">
        <f t="shared" si="636"/>
        <v>0</v>
      </c>
      <c r="CX129" s="62">
        <f t="shared" si="636"/>
        <v>0</v>
      </c>
      <c r="CY129" s="62">
        <f t="shared" si="636"/>
        <v>0</v>
      </c>
      <c r="CZ129" s="190">
        <f t="shared" si="429"/>
        <v>0</v>
      </c>
      <c r="DA129" s="62">
        <f t="shared" ref="DA129:DL129" si="637">SUM(DA130:DA131)</f>
        <v>0</v>
      </c>
      <c r="DB129" s="62">
        <f t="shared" si="637"/>
        <v>0</v>
      </c>
      <c r="DC129" s="62">
        <f t="shared" si="637"/>
        <v>0</v>
      </c>
      <c r="DD129" s="62">
        <f t="shared" si="637"/>
        <v>0</v>
      </c>
      <c r="DE129" s="62">
        <f t="shared" si="637"/>
        <v>0</v>
      </c>
      <c r="DF129" s="62">
        <f t="shared" si="637"/>
        <v>0</v>
      </c>
      <c r="DG129" s="62">
        <f t="shared" si="637"/>
        <v>0</v>
      </c>
      <c r="DH129" s="62">
        <f t="shared" si="637"/>
        <v>0</v>
      </c>
      <c r="DI129" s="62">
        <f t="shared" si="637"/>
        <v>0</v>
      </c>
      <c r="DJ129" s="62">
        <f t="shared" si="637"/>
        <v>0</v>
      </c>
      <c r="DK129" s="62">
        <f t="shared" si="637"/>
        <v>0</v>
      </c>
      <c r="DL129" s="62">
        <f t="shared" si="637"/>
        <v>0</v>
      </c>
      <c r="DM129" s="190">
        <f t="shared" si="430"/>
        <v>0</v>
      </c>
      <c r="DN129" s="62">
        <f t="shared" ref="DN129:DQ129" si="638">SUM(DN130:DN131)</f>
        <v>0</v>
      </c>
      <c r="DO129" s="62">
        <f t="shared" si="638"/>
        <v>0</v>
      </c>
      <c r="DP129" s="62">
        <f t="shared" si="638"/>
        <v>0</v>
      </c>
      <c r="DQ129" s="62">
        <f t="shared" si="638"/>
        <v>0</v>
      </c>
      <c r="DR129" s="62">
        <f t="shared" ref="DR129:DU129" si="639">SUM(DR130:DR131)</f>
        <v>0</v>
      </c>
      <c r="DS129" s="62">
        <f t="shared" si="639"/>
        <v>0</v>
      </c>
      <c r="DT129" s="62">
        <f t="shared" si="639"/>
        <v>0</v>
      </c>
      <c r="DU129" s="62">
        <f t="shared" si="639"/>
        <v>0</v>
      </c>
      <c r="DV129" s="62">
        <f t="shared" ref="DV129:DW129" si="640">SUM(DV130:DV131)</f>
        <v>0</v>
      </c>
      <c r="DW129" s="62">
        <f t="shared" si="640"/>
        <v>0</v>
      </c>
      <c r="DX129" s="62">
        <f t="shared" si="630"/>
        <v>0</v>
      </c>
      <c r="DY129" s="62">
        <f t="shared" ref="DY129" si="641">SUM(DY130:DY131)</f>
        <v>0</v>
      </c>
      <c r="DZ129" s="190">
        <f t="shared" si="431"/>
        <v>0</v>
      </c>
    </row>
    <row r="130" spans="1:130" ht="20.45" customHeight="1" outlineLevel="2">
      <c r="A130" s="525"/>
      <c r="B130" s="528"/>
      <c r="C130" s="30" t="s">
        <v>371</v>
      </c>
      <c r="D130" s="62">
        <f t="shared" si="345"/>
        <v>24891543.000000007</v>
      </c>
      <c r="E130" s="184">
        <f t="shared" ref="E130:E131" si="642">D130/(D$5+D$6+D$7+D$8+D$10+D$9)</f>
        <v>7.7014518050822586E-2</v>
      </c>
      <c r="F130" s="62">
        <v>200000</v>
      </c>
      <c r="G130" s="190">
        <f t="shared" si="433"/>
        <v>200000</v>
      </c>
      <c r="H130" s="197">
        <f t="shared" ref="H130:H131" si="643">G130/(G$5+G$6+G$7+G$8+G$10+G$9)</f>
        <v>4.5683951570442943E-2</v>
      </c>
      <c r="I130" s="62">
        <v>1068000</v>
      </c>
      <c r="J130" s="62">
        <v>100000</v>
      </c>
      <c r="K130" s="62">
        <v>100000</v>
      </c>
      <c r="L130" s="62">
        <v>809000</v>
      </c>
      <c r="M130" s="62">
        <v>100000</v>
      </c>
      <c r="N130" s="62">
        <v>600000</v>
      </c>
      <c r="O130" s="62">
        <v>100000</v>
      </c>
      <c r="P130" s="62">
        <v>787000</v>
      </c>
      <c r="Q130" s="62">
        <v>100000</v>
      </c>
      <c r="R130" s="62">
        <v>200000</v>
      </c>
      <c r="S130" s="62">
        <v>100000</v>
      </c>
      <c r="T130" s="62">
        <f>35000+100000+424000+83000</f>
        <v>642000</v>
      </c>
      <c r="U130" s="190">
        <f t="shared" si="423"/>
        <v>4706000</v>
      </c>
      <c r="V130" s="197">
        <f t="shared" ref="V130:V131" si="644">U130/(U$5+U$6+U$7+U$8+U$10+U$9)</f>
        <v>8.4823364355985822E-2</v>
      </c>
      <c r="W130" s="62">
        <f>200000+400000+51400</f>
        <v>651400</v>
      </c>
      <c r="X130" s="62">
        <v>200000</v>
      </c>
      <c r="Y130" s="62">
        <f>200000+300000</f>
        <v>500000</v>
      </c>
      <c r="Z130" s="62">
        <v>500000</v>
      </c>
      <c r="AA130" s="62">
        <f>26000+200000+69500</f>
        <v>295500</v>
      </c>
      <c r="AB130" s="62">
        <f>300000+219000</f>
        <v>519000</v>
      </c>
      <c r="AC130" s="62">
        <f>200000+6000+118000+300000+109000+100000</f>
        <v>833000</v>
      </c>
      <c r="AD130" s="62">
        <f>200000+43000+45000</f>
        <v>288000</v>
      </c>
      <c r="AE130" s="62">
        <f>200000+50000+100000+300000</f>
        <v>650000</v>
      </c>
      <c r="AF130" s="62">
        <v>200000</v>
      </c>
      <c r="AG130" s="62">
        <f>200000+300000</f>
        <v>500000</v>
      </c>
      <c r="AH130" s="62">
        <f>200000+34000+52100+130000-52100+300000+3000+68000+300000</f>
        <v>1035000</v>
      </c>
      <c r="AI130" s="190">
        <f t="shared" si="424"/>
        <v>6171900</v>
      </c>
      <c r="AJ130" s="197">
        <f t="shared" ref="AJ130:AJ131" si="645">AI130/(AI$5+AI$6+AI$7+AI$8+AI$10+AI$9)</f>
        <v>8.3881610197472631E-2</v>
      </c>
      <c r="AK130" s="62">
        <f>22750+200000+79800+600000</f>
        <v>902550</v>
      </c>
      <c r="AL130" s="62">
        <f>200000+300000</f>
        <v>500000</v>
      </c>
      <c r="AM130" s="62">
        <f>200000+151720+16500+21400+7300</f>
        <v>396920</v>
      </c>
      <c r="AN130" s="62">
        <f>200000+50000+200000+27000+439713+200000</f>
        <v>1116713</v>
      </c>
      <c r="AO130" s="62">
        <f>200000+39700</f>
        <v>239700</v>
      </c>
      <c r="AP130" s="62">
        <f>200000+300000+49000+22500+110000</f>
        <v>681500</v>
      </c>
      <c r="AQ130" s="62">
        <f>200000+102200+100000</f>
        <v>402200</v>
      </c>
      <c r="AR130" s="62">
        <f>200000+300000+300000-105000</f>
        <v>695000</v>
      </c>
      <c r="AS130" s="62">
        <v>200000</v>
      </c>
      <c r="AT130" s="62">
        <v>200000</v>
      </c>
      <c r="AU130" s="62">
        <f>200000+300000+45300</f>
        <v>545300</v>
      </c>
      <c r="AV130" s="62">
        <f>200000+40000</f>
        <v>240000</v>
      </c>
      <c r="AW130" s="190">
        <f t="shared" si="425"/>
        <v>6119883</v>
      </c>
      <c r="AX130" s="197">
        <f t="shared" ref="AX130:AX131" si="646">AW130/(AW$5+AW$6+AW$7+AW$8+AW$10+AW$9)</f>
        <v>8.0221478959214429E-2</v>
      </c>
      <c r="AY130" s="62">
        <f>50000+200000+400000</f>
        <v>650000</v>
      </c>
      <c r="AZ130" s="62">
        <f>200000+104200+300000</f>
        <v>604200</v>
      </c>
      <c r="BA130" s="62">
        <v>200000</v>
      </c>
      <c r="BB130" s="62">
        <f>211000+400000+163000+90800</f>
        <v>864800</v>
      </c>
      <c r="BC130" s="62">
        <f>200000+90800-181600</f>
        <v>109200</v>
      </c>
      <c r="BD130" s="62">
        <f>200000+300000+18000+36000</f>
        <v>554000</v>
      </c>
      <c r="BE130" s="62">
        <f>200000</f>
        <v>200000</v>
      </c>
      <c r="BF130" s="62">
        <f>200000</f>
        <v>200000</v>
      </c>
      <c r="BG130" s="62">
        <f>200000+400000+70000+50000+103400+400+400-104200</f>
        <v>720000</v>
      </c>
      <c r="BH130" s="62">
        <f>200000+67000</f>
        <v>267000</v>
      </c>
      <c r="BI130" s="62">
        <f>200000+300000</f>
        <v>500000</v>
      </c>
      <c r="BJ130" s="62">
        <f>200000+72000</f>
        <v>272000</v>
      </c>
      <c r="BK130" s="190">
        <f t="shared" si="426"/>
        <v>5141200</v>
      </c>
      <c r="BL130" s="197">
        <f t="shared" ref="BL130:BL131" si="647">BK130/(BK$5+BK$6+BK$7+BK$8+BK$10+BK$9)</f>
        <v>7.3615005662593616E-2</v>
      </c>
      <c r="BM130" s="62">
        <f>200000+300000+400000+50000</f>
        <v>950000</v>
      </c>
      <c r="BN130" s="62">
        <v>200000</v>
      </c>
      <c r="BO130" s="62">
        <v>500000</v>
      </c>
      <c r="BP130" s="62">
        <f>200000+14560+38000+450000</f>
        <v>702560</v>
      </c>
      <c r="BQ130" s="62">
        <v>200000</v>
      </c>
      <c r="BR130" s="62">
        <v>0</v>
      </c>
      <c r="BS130" s="62">
        <v>0</v>
      </c>
      <c r="BT130" s="62">
        <v>0</v>
      </c>
      <c r="BU130" s="62">
        <v>0</v>
      </c>
      <c r="BV130" s="62">
        <v>0</v>
      </c>
      <c r="BW130" s="62">
        <v>0</v>
      </c>
      <c r="BX130" s="62">
        <v>0</v>
      </c>
      <c r="BY130" s="190">
        <f t="shared" si="427"/>
        <v>2552560</v>
      </c>
      <c r="BZ130" s="197">
        <f t="shared" ref="BZ130:BZ131" si="648">BY130/(BY$5+BY$6+BY$7+BY$8+BY$10+BY$9)</f>
        <v>5.8487419142041232E-2</v>
      </c>
      <c r="CA130" s="62">
        <v>0</v>
      </c>
      <c r="CB130" s="62">
        <v>0</v>
      </c>
      <c r="CC130" s="62">
        <v>0</v>
      </c>
      <c r="CD130" s="62">
        <v>0</v>
      </c>
      <c r="CE130" s="62">
        <v>0</v>
      </c>
      <c r="CF130" s="62">
        <v>0</v>
      </c>
      <c r="CG130" s="62">
        <v>0</v>
      </c>
      <c r="CH130" s="62">
        <v>0</v>
      </c>
      <c r="CI130" s="62">
        <v>0</v>
      </c>
      <c r="CJ130" s="62">
        <v>0</v>
      </c>
      <c r="CK130" s="62">
        <v>0</v>
      </c>
      <c r="CL130" s="62">
        <v>0</v>
      </c>
      <c r="CM130" s="190">
        <f t="shared" si="428"/>
        <v>0</v>
      </c>
      <c r="CN130" s="62">
        <v>0</v>
      </c>
      <c r="CO130" s="62">
        <v>0</v>
      </c>
      <c r="CP130" s="62">
        <v>0</v>
      </c>
      <c r="CQ130" s="62">
        <v>0</v>
      </c>
      <c r="CR130" s="62">
        <v>0</v>
      </c>
      <c r="CS130" s="62">
        <v>0</v>
      </c>
      <c r="CT130" s="62">
        <v>0</v>
      </c>
      <c r="CU130" s="62">
        <v>0</v>
      </c>
      <c r="CV130" s="62">
        <v>0</v>
      </c>
      <c r="CW130" s="62">
        <v>0</v>
      </c>
      <c r="CX130" s="62">
        <v>0</v>
      </c>
      <c r="CY130" s="62">
        <v>0</v>
      </c>
      <c r="CZ130" s="190">
        <f t="shared" si="429"/>
        <v>0</v>
      </c>
      <c r="DA130" s="62">
        <v>0</v>
      </c>
      <c r="DB130" s="62">
        <v>0</v>
      </c>
      <c r="DC130" s="62">
        <v>0</v>
      </c>
      <c r="DD130" s="62">
        <v>0</v>
      </c>
      <c r="DE130" s="62">
        <v>0</v>
      </c>
      <c r="DF130" s="62">
        <v>0</v>
      </c>
      <c r="DG130" s="62">
        <v>0</v>
      </c>
      <c r="DH130" s="62">
        <v>0</v>
      </c>
      <c r="DI130" s="62">
        <v>0</v>
      </c>
      <c r="DJ130" s="62">
        <v>0</v>
      </c>
      <c r="DK130" s="62">
        <v>0</v>
      </c>
      <c r="DL130" s="62">
        <v>0</v>
      </c>
      <c r="DM130" s="190">
        <f t="shared" si="430"/>
        <v>0</v>
      </c>
      <c r="DN130" s="62">
        <v>0</v>
      </c>
      <c r="DO130" s="62">
        <v>0</v>
      </c>
      <c r="DP130" s="62">
        <v>0</v>
      </c>
      <c r="DQ130" s="62">
        <v>0</v>
      </c>
      <c r="DR130" s="62">
        <v>0</v>
      </c>
      <c r="DS130" s="62">
        <v>0</v>
      </c>
      <c r="DT130" s="62">
        <v>0</v>
      </c>
      <c r="DU130" s="62">
        <v>0</v>
      </c>
      <c r="DV130" s="62">
        <v>0</v>
      </c>
      <c r="DW130" s="62">
        <v>0</v>
      </c>
      <c r="DX130" s="62">
        <v>0</v>
      </c>
      <c r="DY130" s="62">
        <v>0</v>
      </c>
      <c r="DZ130" s="190">
        <f t="shared" si="431"/>
        <v>0</v>
      </c>
    </row>
    <row r="131" spans="1:130" ht="20.45" customHeight="1" outlineLevel="2">
      <c r="A131" s="525"/>
      <c r="B131" s="531"/>
      <c r="C131" s="30" t="s">
        <v>372</v>
      </c>
      <c r="D131" s="62">
        <f t="shared" si="345"/>
        <v>1800000.0000000007</v>
      </c>
      <c r="E131" s="184">
        <f t="shared" si="642"/>
        <v>5.5692060749902355E-3</v>
      </c>
      <c r="F131" s="62">
        <v>200000</v>
      </c>
      <c r="G131" s="190">
        <f t="shared" si="433"/>
        <v>200000</v>
      </c>
      <c r="H131" s="197">
        <f t="shared" si="643"/>
        <v>4.5683951570442943E-2</v>
      </c>
      <c r="I131" s="62">
        <v>0</v>
      </c>
      <c r="J131" s="62">
        <v>0</v>
      </c>
      <c r="K131" s="62">
        <v>0</v>
      </c>
      <c r="L131" s="62">
        <v>0</v>
      </c>
      <c r="M131" s="62">
        <v>0</v>
      </c>
      <c r="N131" s="62">
        <v>0</v>
      </c>
      <c r="O131" s="62">
        <v>0</v>
      </c>
      <c r="P131" s="62">
        <v>200000</v>
      </c>
      <c r="Q131" s="62">
        <v>0</v>
      </c>
      <c r="R131" s="62">
        <v>0</v>
      </c>
      <c r="S131" s="62">
        <v>0</v>
      </c>
      <c r="T131" s="62">
        <v>200000</v>
      </c>
      <c r="U131" s="190">
        <f t="shared" si="423"/>
        <v>400000</v>
      </c>
      <c r="V131" s="197">
        <f t="shared" si="644"/>
        <v>7.2098057251156668E-3</v>
      </c>
      <c r="W131" s="62">
        <v>0</v>
      </c>
      <c r="X131" s="62">
        <v>0</v>
      </c>
      <c r="Y131" s="62">
        <v>0</v>
      </c>
      <c r="Z131" s="62">
        <v>0</v>
      </c>
      <c r="AA131" s="62">
        <v>0</v>
      </c>
      <c r="AB131" s="62">
        <v>0</v>
      </c>
      <c r="AC131" s="62">
        <v>0</v>
      </c>
      <c r="AD131" s="62">
        <v>200000</v>
      </c>
      <c r="AE131" s="62">
        <v>0</v>
      </c>
      <c r="AF131" s="62">
        <v>0</v>
      </c>
      <c r="AG131" s="62">
        <v>0</v>
      </c>
      <c r="AH131" s="62">
        <v>0</v>
      </c>
      <c r="AI131" s="190">
        <f t="shared" si="424"/>
        <v>200000</v>
      </c>
      <c r="AJ131" s="197">
        <f t="shared" si="645"/>
        <v>2.7181778770710035E-3</v>
      </c>
      <c r="AK131" s="62">
        <v>200000</v>
      </c>
      <c r="AL131" s="62">
        <v>0</v>
      </c>
      <c r="AM131" s="62">
        <v>0</v>
      </c>
      <c r="AN131" s="62">
        <v>0</v>
      </c>
      <c r="AO131" s="62">
        <v>0</v>
      </c>
      <c r="AP131" s="62">
        <v>0</v>
      </c>
      <c r="AQ131" s="62">
        <v>0</v>
      </c>
      <c r="AR131" s="62">
        <v>200000</v>
      </c>
      <c r="AS131" s="62">
        <v>0</v>
      </c>
      <c r="AT131" s="62">
        <v>0</v>
      </c>
      <c r="AU131" s="62">
        <v>0</v>
      </c>
      <c r="AV131" s="62">
        <v>200000</v>
      </c>
      <c r="AW131" s="190">
        <f t="shared" si="425"/>
        <v>600000</v>
      </c>
      <c r="AX131" s="197">
        <f t="shared" si="646"/>
        <v>7.8650012386721532E-3</v>
      </c>
      <c r="AY131" s="62">
        <v>0</v>
      </c>
      <c r="AZ131" s="62">
        <v>0</v>
      </c>
      <c r="BA131" s="62">
        <v>0</v>
      </c>
      <c r="BB131" s="62">
        <v>0</v>
      </c>
      <c r="BC131" s="62">
        <v>0</v>
      </c>
      <c r="BD131" s="62">
        <v>0</v>
      </c>
      <c r="BE131" s="62">
        <v>0</v>
      </c>
      <c r="BF131" s="62">
        <v>0</v>
      </c>
      <c r="BG131" s="62">
        <v>200000</v>
      </c>
      <c r="BH131" s="62">
        <v>0</v>
      </c>
      <c r="BI131" s="62">
        <v>0</v>
      </c>
      <c r="BJ131" s="62">
        <v>0</v>
      </c>
      <c r="BK131" s="190">
        <f t="shared" si="426"/>
        <v>200000</v>
      </c>
      <c r="BL131" s="197">
        <f t="shared" si="647"/>
        <v>2.8637285327391898E-3</v>
      </c>
      <c r="BM131" s="62">
        <v>200000</v>
      </c>
      <c r="BN131" s="62">
        <v>0</v>
      </c>
      <c r="BO131" s="62">
        <v>0</v>
      </c>
      <c r="BP131" s="62">
        <v>0</v>
      </c>
      <c r="BQ131" s="62">
        <v>0</v>
      </c>
      <c r="BR131" s="62">
        <v>0</v>
      </c>
      <c r="BS131" s="62">
        <v>0</v>
      </c>
      <c r="BT131" s="62">
        <v>0</v>
      </c>
      <c r="BU131" s="62">
        <v>0</v>
      </c>
      <c r="BV131" s="62">
        <v>0</v>
      </c>
      <c r="BW131" s="62">
        <v>0</v>
      </c>
      <c r="BX131" s="62">
        <v>0</v>
      </c>
      <c r="BY131" s="190">
        <f t="shared" si="427"/>
        <v>200000</v>
      </c>
      <c r="BZ131" s="197">
        <f t="shared" si="648"/>
        <v>4.5826479410506502E-3</v>
      </c>
      <c r="CA131" s="62">
        <v>0</v>
      </c>
      <c r="CB131" s="62">
        <v>0</v>
      </c>
      <c r="CC131" s="62">
        <v>0</v>
      </c>
      <c r="CD131" s="62">
        <v>0</v>
      </c>
      <c r="CE131" s="62">
        <v>0</v>
      </c>
      <c r="CF131" s="62">
        <v>0</v>
      </c>
      <c r="CG131" s="62">
        <v>0</v>
      </c>
      <c r="CH131" s="62">
        <v>0</v>
      </c>
      <c r="CI131" s="62">
        <v>0</v>
      </c>
      <c r="CJ131" s="62">
        <v>0</v>
      </c>
      <c r="CK131" s="62">
        <v>0</v>
      </c>
      <c r="CL131" s="62">
        <v>0</v>
      </c>
      <c r="CM131" s="190">
        <f t="shared" si="428"/>
        <v>0</v>
      </c>
      <c r="CN131" s="62">
        <v>0</v>
      </c>
      <c r="CO131" s="62">
        <v>0</v>
      </c>
      <c r="CP131" s="62">
        <v>0</v>
      </c>
      <c r="CQ131" s="62">
        <v>0</v>
      </c>
      <c r="CR131" s="62">
        <v>0</v>
      </c>
      <c r="CS131" s="62">
        <v>0</v>
      </c>
      <c r="CT131" s="62">
        <v>0</v>
      </c>
      <c r="CU131" s="62">
        <v>0</v>
      </c>
      <c r="CV131" s="62">
        <v>0</v>
      </c>
      <c r="CW131" s="62">
        <v>0</v>
      </c>
      <c r="CX131" s="62">
        <v>0</v>
      </c>
      <c r="CY131" s="62">
        <v>0</v>
      </c>
      <c r="CZ131" s="190">
        <f t="shared" si="429"/>
        <v>0</v>
      </c>
      <c r="DA131" s="62">
        <v>0</v>
      </c>
      <c r="DB131" s="62">
        <v>0</v>
      </c>
      <c r="DC131" s="62">
        <v>0</v>
      </c>
      <c r="DD131" s="62">
        <v>0</v>
      </c>
      <c r="DE131" s="62">
        <v>0</v>
      </c>
      <c r="DF131" s="62">
        <v>0</v>
      </c>
      <c r="DG131" s="62">
        <v>0</v>
      </c>
      <c r="DH131" s="62">
        <v>0</v>
      </c>
      <c r="DI131" s="62">
        <v>0</v>
      </c>
      <c r="DJ131" s="62">
        <v>0</v>
      </c>
      <c r="DK131" s="62">
        <v>0</v>
      </c>
      <c r="DL131" s="62">
        <v>0</v>
      </c>
      <c r="DM131" s="190">
        <f t="shared" si="430"/>
        <v>0</v>
      </c>
      <c r="DN131" s="62">
        <v>0</v>
      </c>
      <c r="DO131" s="62">
        <v>0</v>
      </c>
      <c r="DP131" s="62">
        <v>0</v>
      </c>
      <c r="DQ131" s="62">
        <v>0</v>
      </c>
      <c r="DR131" s="62">
        <v>0</v>
      </c>
      <c r="DS131" s="62">
        <v>0</v>
      </c>
      <c r="DT131" s="62">
        <v>0</v>
      </c>
      <c r="DU131" s="62">
        <v>0</v>
      </c>
      <c r="DV131" s="62">
        <v>0</v>
      </c>
      <c r="DW131" s="62">
        <v>0</v>
      </c>
      <c r="DX131" s="62">
        <v>0</v>
      </c>
      <c r="DY131" s="62">
        <v>0</v>
      </c>
      <c r="DZ131" s="190">
        <f t="shared" si="431"/>
        <v>0</v>
      </c>
    </row>
    <row r="132" spans="1:130" s="194" customFormat="1" ht="20.45" customHeight="1" outlineLevel="1">
      <c r="A132" s="525"/>
      <c r="B132" s="527" t="s">
        <v>373</v>
      </c>
      <c r="C132" s="65" t="s">
        <v>307</v>
      </c>
      <c r="D132" s="66">
        <f t="shared" si="345"/>
        <v>4077667.0000000005</v>
      </c>
      <c r="E132" s="187">
        <f>SUM(E133:E134)</f>
        <v>1.2616315460104001E-2</v>
      </c>
      <c r="F132" s="62">
        <f t="shared" ref="F132:DX132" si="649">SUM(F133:F134)</f>
        <v>100000</v>
      </c>
      <c r="G132" s="190">
        <f t="shared" si="433"/>
        <v>100000</v>
      </c>
      <c r="H132" s="196">
        <f>SUM(H133:H134)</f>
        <v>2.2841975785221472E-2</v>
      </c>
      <c r="I132" s="62">
        <f t="shared" si="649"/>
        <v>0</v>
      </c>
      <c r="J132" s="62">
        <f t="shared" si="649"/>
        <v>50000</v>
      </c>
      <c r="K132" s="62">
        <f t="shared" si="649"/>
        <v>50000</v>
      </c>
      <c r="L132" s="62">
        <f t="shared" si="649"/>
        <v>0</v>
      </c>
      <c r="M132" s="62">
        <f t="shared" si="649"/>
        <v>0</v>
      </c>
      <c r="N132" s="62">
        <f t="shared" si="649"/>
        <v>0</v>
      </c>
      <c r="O132" s="62">
        <f t="shared" si="649"/>
        <v>0</v>
      </c>
      <c r="P132" s="62">
        <f t="shared" si="649"/>
        <v>50000</v>
      </c>
      <c r="Q132" s="62">
        <f t="shared" si="649"/>
        <v>50000</v>
      </c>
      <c r="R132" s="62">
        <f t="shared" si="649"/>
        <v>0</v>
      </c>
      <c r="S132" s="62">
        <f t="shared" si="649"/>
        <v>150000</v>
      </c>
      <c r="T132" s="62">
        <f t="shared" si="649"/>
        <v>377667</v>
      </c>
      <c r="U132" s="190">
        <f t="shared" si="423"/>
        <v>727667</v>
      </c>
      <c r="V132" s="196">
        <f>SUM(V133:V134)</f>
        <v>1.3115844256444355E-2</v>
      </c>
      <c r="W132" s="62">
        <f t="shared" si="649"/>
        <v>0</v>
      </c>
      <c r="X132" s="62">
        <f t="shared" si="649"/>
        <v>400000</v>
      </c>
      <c r="Y132" s="62">
        <f t="shared" si="649"/>
        <v>0</v>
      </c>
      <c r="Z132" s="62">
        <f t="shared" si="649"/>
        <v>0</v>
      </c>
      <c r="AA132" s="62">
        <f t="shared" si="649"/>
        <v>50000</v>
      </c>
      <c r="AB132" s="62">
        <f t="shared" si="649"/>
        <v>0</v>
      </c>
      <c r="AC132" s="62">
        <f t="shared" ref="AC132:AF132" si="650">SUM(AC133:AC134)</f>
        <v>0</v>
      </c>
      <c r="AD132" s="62">
        <f t="shared" si="650"/>
        <v>0</v>
      </c>
      <c r="AE132" s="62">
        <f t="shared" si="650"/>
        <v>50000</v>
      </c>
      <c r="AF132" s="62">
        <f t="shared" si="650"/>
        <v>200000</v>
      </c>
      <c r="AG132" s="62">
        <f t="shared" si="649"/>
        <v>0</v>
      </c>
      <c r="AH132" s="62">
        <f t="shared" si="649"/>
        <v>150000</v>
      </c>
      <c r="AI132" s="190">
        <f t="shared" si="424"/>
        <v>850000</v>
      </c>
      <c r="AJ132" s="196">
        <f>SUM(AJ133:AJ134)</f>
        <v>1.1552255977551764E-2</v>
      </c>
      <c r="AK132" s="62">
        <f t="shared" ref="AK132:AV132" si="651">SUM(AK133:AK134)</f>
        <v>50000</v>
      </c>
      <c r="AL132" s="62">
        <f t="shared" si="651"/>
        <v>0</v>
      </c>
      <c r="AM132" s="62">
        <f t="shared" si="651"/>
        <v>300000</v>
      </c>
      <c r="AN132" s="62">
        <f t="shared" si="651"/>
        <v>300000</v>
      </c>
      <c r="AO132" s="62">
        <f t="shared" si="651"/>
        <v>50000</v>
      </c>
      <c r="AP132" s="62">
        <f t="shared" si="651"/>
        <v>0</v>
      </c>
      <c r="AQ132" s="62">
        <f t="shared" si="651"/>
        <v>0</v>
      </c>
      <c r="AR132" s="62">
        <f t="shared" si="651"/>
        <v>200000</v>
      </c>
      <c r="AS132" s="62">
        <f t="shared" si="651"/>
        <v>0</v>
      </c>
      <c r="AT132" s="62">
        <f t="shared" si="651"/>
        <v>0</v>
      </c>
      <c r="AU132" s="62">
        <f t="shared" si="651"/>
        <v>0</v>
      </c>
      <c r="AV132" s="62">
        <f t="shared" si="651"/>
        <v>0</v>
      </c>
      <c r="AW132" s="190">
        <f t="shared" si="425"/>
        <v>900000</v>
      </c>
      <c r="AX132" s="196">
        <f>SUM(AX133:AX134)</f>
        <v>1.1797501858008231E-2</v>
      </c>
      <c r="AY132" s="62">
        <f t="shared" ref="AY132:BJ132" si="652">SUM(AY133:AY134)</f>
        <v>100000</v>
      </c>
      <c r="AZ132" s="62">
        <f t="shared" si="652"/>
        <v>100000</v>
      </c>
      <c r="BA132" s="62">
        <f t="shared" si="652"/>
        <v>0</v>
      </c>
      <c r="BB132" s="62">
        <f t="shared" si="652"/>
        <v>600000</v>
      </c>
      <c r="BC132" s="62">
        <f t="shared" si="652"/>
        <v>0</v>
      </c>
      <c r="BD132" s="62">
        <f t="shared" si="652"/>
        <v>0</v>
      </c>
      <c r="BE132" s="62">
        <f t="shared" si="652"/>
        <v>0</v>
      </c>
      <c r="BF132" s="62">
        <f t="shared" si="652"/>
        <v>0</v>
      </c>
      <c r="BG132" s="62">
        <f t="shared" si="652"/>
        <v>50000</v>
      </c>
      <c r="BH132" s="62">
        <f t="shared" si="652"/>
        <v>50000</v>
      </c>
      <c r="BI132" s="62">
        <f t="shared" si="652"/>
        <v>500000</v>
      </c>
      <c r="BJ132" s="62">
        <f t="shared" si="652"/>
        <v>0</v>
      </c>
      <c r="BK132" s="190">
        <f t="shared" si="426"/>
        <v>1400000</v>
      </c>
      <c r="BL132" s="196">
        <f>SUM(BL133:BL134)</f>
        <v>2.004609972917433E-2</v>
      </c>
      <c r="BM132" s="62">
        <f t="shared" ref="BM132:BX132" si="653">SUM(BM133:BM134)</f>
        <v>50000</v>
      </c>
      <c r="BN132" s="62">
        <f t="shared" si="653"/>
        <v>0</v>
      </c>
      <c r="BO132" s="62">
        <f t="shared" si="653"/>
        <v>50000</v>
      </c>
      <c r="BP132" s="62">
        <f t="shared" si="653"/>
        <v>0</v>
      </c>
      <c r="BQ132" s="62">
        <f t="shared" si="653"/>
        <v>0</v>
      </c>
      <c r="BR132" s="62">
        <f t="shared" si="653"/>
        <v>0</v>
      </c>
      <c r="BS132" s="62">
        <f t="shared" si="653"/>
        <v>0</v>
      </c>
      <c r="BT132" s="62">
        <f t="shared" si="653"/>
        <v>0</v>
      </c>
      <c r="BU132" s="62">
        <f t="shared" si="653"/>
        <v>0</v>
      </c>
      <c r="BV132" s="62">
        <f t="shared" si="653"/>
        <v>0</v>
      </c>
      <c r="BW132" s="62">
        <f t="shared" si="653"/>
        <v>0</v>
      </c>
      <c r="BX132" s="62">
        <f t="shared" si="653"/>
        <v>0</v>
      </c>
      <c r="BY132" s="190">
        <f t="shared" si="427"/>
        <v>100000</v>
      </c>
      <c r="BZ132" s="196">
        <f>SUM(BZ133:BZ134)</f>
        <v>2.2913239705253251E-3</v>
      </c>
      <c r="CA132" s="62">
        <f t="shared" ref="CA132:CL132" si="654">SUM(CA133:CA134)</f>
        <v>0</v>
      </c>
      <c r="CB132" s="62">
        <f t="shared" si="654"/>
        <v>0</v>
      </c>
      <c r="CC132" s="62">
        <f t="shared" si="654"/>
        <v>0</v>
      </c>
      <c r="CD132" s="62">
        <f t="shared" si="654"/>
        <v>0</v>
      </c>
      <c r="CE132" s="62">
        <f t="shared" si="654"/>
        <v>0</v>
      </c>
      <c r="CF132" s="62">
        <f t="shared" si="654"/>
        <v>0</v>
      </c>
      <c r="CG132" s="62">
        <f t="shared" si="654"/>
        <v>0</v>
      </c>
      <c r="CH132" s="62">
        <f t="shared" si="654"/>
        <v>0</v>
      </c>
      <c r="CI132" s="62">
        <f t="shared" si="654"/>
        <v>0</v>
      </c>
      <c r="CJ132" s="62">
        <f t="shared" si="654"/>
        <v>0</v>
      </c>
      <c r="CK132" s="62">
        <f t="shared" si="654"/>
        <v>0</v>
      </c>
      <c r="CL132" s="62">
        <f t="shared" si="654"/>
        <v>0</v>
      </c>
      <c r="CM132" s="190">
        <f t="shared" si="428"/>
        <v>0</v>
      </c>
      <c r="CN132" s="62">
        <f t="shared" ref="CN132:CY132" si="655">SUM(CN133:CN134)</f>
        <v>0</v>
      </c>
      <c r="CO132" s="62">
        <f t="shared" si="655"/>
        <v>0</v>
      </c>
      <c r="CP132" s="62">
        <f t="shared" si="655"/>
        <v>0</v>
      </c>
      <c r="CQ132" s="62">
        <f t="shared" si="655"/>
        <v>0</v>
      </c>
      <c r="CR132" s="62">
        <f t="shared" si="655"/>
        <v>0</v>
      </c>
      <c r="CS132" s="62">
        <f t="shared" si="655"/>
        <v>0</v>
      </c>
      <c r="CT132" s="62">
        <f t="shared" si="655"/>
        <v>0</v>
      </c>
      <c r="CU132" s="62">
        <f t="shared" si="655"/>
        <v>0</v>
      </c>
      <c r="CV132" s="62">
        <f t="shared" si="655"/>
        <v>0</v>
      </c>
      <c r="CW132" s="62">
        <f t="shared" si="655"/>
        <v>0</v>
      </c>
      <c r="CX132" s="62">
        <f t="shared" si="655"/>
        <v>0</v>
      </c>
      <c r="CY132" s="62">
        <f t="shared" si="655"/>
        <v>0</v>
      </c>
      <c r="CZ132" s="190">
        <f t="shared" si="429"/>
        <v>0</v>
      </c>
      <c r="DA132" s="62">
        <f t="shared" ref="DA132:DL132" si="656">SUM(DA133:DA134)</f>
        <v>0</v>
      </c>
      <c r="DB132" s="62">
        <f t="shared" si="656"/>
        <v>0</v>
      </c>
      <c r="DC132" s="62">
        <f t="shared" si="656"/>
        <v>0</v>
      </c>
      <c r="DD132" s="62">
        <f t="shared" si="656"/>
        <v>0</v>
      </c>
      <c r="DE132" s="62">
        <f t="shared" si="656"/>
        <v>0</v>
      </c>
      <c r="DF132" s="62">
        <f t="shared" si="656"/>
        <v>0</v>
      </c>
      <c r="DG132" s="62">
        <f t="shared" si="656"/>
        <v>0</v>
      </c>
      <c r="DH132" s="62">
        <f t="shared" si="656"/>
        <v>0</v>
      </c>
      <c r="DI132" s="62">
        <f t="shared" si="656"/>
        <v>0</v>
      </c>
      <c r="DJ132" s="62">
        <f t="shared" si="656"/>
        <v>0</v>
      </c>
      <c r="DK132" s="62">
        <f t="shared" si="656"/>
        <v>0</v>
      </c>
      <c r="DL132" s="62">
        <f t="shared" si="656"/>
        <v>0</v>
      </c>
      <c r="DM132" s="190">
        <f t="shared" si="430"/>
        <v>0</v>
      </c>
      <c r="DN132" s="62">
        <f t="shared" ref="DN132:DQ132" si="657">SUM(DN133:DN134)</f>
        <v>0</v>
      </c>
      <c r="DO132" s="62">
        <f t="shared" si="657"/>
        <v>0</v>
      </c>
      <c r="DP132" s="62">
        <f t="shared" si="657"/>
        <v>0</v>
      </c>
      <c r="DQ132" s="62">
        <f t="shared" si="657"/>
        <v>0</v>
      </c>
      <c r="DR132" s="62">
        <f t="shared" ref="DR132:DU132" si="658">SUM(DR133:DR134)</f>
        <v>0</v>
      </c>
      <c r="DS132" s="62">
        <f t="shared" si="658"/>
        <v>0</v>
      </c>
      <c r="DT132" s="62">
        <f t="shared" si="658"/>
        <v>0</v>
      </c>
      <c r="DU132" s="62">
        <f t="shared" si="658"/>
        <v>0</v>
      </c>
      <c r="DV132" s="62">
        <f t="shared" ref="DV132:DW132" si="659">SUM(DV133:DV134)</f>
        <v>0</v>
      </c>
      <c r="DW132" s="62">
        <f t="shared" si="659"/>
        <v>0</v>
      </c>
      <c r="DX132" s="62">
        <f t="shared" si="649"/>
        <v>0</v>
      </c>
      <c r="DY132" s="62">
        <f t="shared" ref="DY132" si="660">SUM(DY133:DY134)</f>
        <v>0</v>
      </c>
      <c r="DZ132" s="190">
        <f t="shared" si="431"/>
        <v>0</v>
      </c>
    </row>
    <row r="133" spans="1:130" ht="20.45" customHeight="1" outlineLevel="2">
      <c r="A133" s="525"/>
      <c r="B133" s="528"/>
      <c r="C133" s="30" t="s">
        <v>374</v>
      </c>
      <c r="D133" s="62">
        <f t="shared" ref="D133:D151" si="661">SUM(F133:FJ133)-G133-U133-AI133-AW133-BK133-BY133-CM133-CZ133-DM133-DZ133-H133-V133-AJ133-AX133-BL133-BZ133</f>
        <v>3900000</v>
      </c>
      <c r="E133" s="184">
        <f t="shared" ref="E133:E134" si="662">D133/(D$5+D$6+D$7+D$8+D$10+D$9)</f>
        <v>1.206661316247884E-2</v>
      </c>
      <c r="F133" s="62">
        <v>100000</v>
      </c>
      <c r="G133" s="190">
        <f t="shared" si="433"/>
        <v>100000</v>
      </c>
      <c r="H133" s="197">
        <f t="shared" ref="H133:H134" si="663">G133/(G$5+G$6+G$7+G$8+G$10+G$9)</f>
        <v>2.2841975785221472E-2</v>
      </c>
      <c r="I133" s="62">
        <v>0</v>
      </c>
      <c r="J133" s="62">
        <v>50000</v>
      </c>
      <c r="K133" s="62">
        <v>50000</v>
      </c>
      <c r="L133" s="62">
        <v>0</v>
      </c>
      <c r="M133" s="62">
        <v>0</v>
      </c>
      <c r="N133" s="62">
        <v>0</v>
      </c>
      <c r="O133" s="62">
        <v>0</v>
      </c>
      <c r="P133" s="62">
        <v>50000</v>
      </c>
      <c r="Q133" s="62">
        <v>50000</v>
      </c>
      <c r="R133" s="62">
        <v>0</v>
      </c>
      <c r="S133" s="62">
        <v>150000</v>
      </c>
      <c r="T133" s="62">
        <f>150000+50000</f>
        <v>200000</v>
      </c>
      <c r="U133" s="190">
        <f t="shared" si="423"/>
        <v>550000</v>
      </c>
      <c r="V133" s="197">
        <f t="shared" ref="V133:V134" si="664">U133/(U$5+U$6+U$7+U$8+U$10+U$9)</f>
        <v>9.9134828720340417E-3</v>
      </c>
      <c r="W133" s="62">
        <v>0</v>
      </c>
      <c r="X133" s="62">
        <v>400000</v>
      </c>
      <c r="Y133" s="62">
        <v>0</v>
      </c>
      <c r="Z133" s="62">
        <v>0</v>
      </c>
      <c r="AA133" s="62">
        <v>50000</v>
      </c>
      <c r="AB133" s="62">
        <v>0</v>
      </c>
      <c r="AC133" s="62">
        <v>0</v>
      </c>
      <c r="AD133" s="62">
        <v>0</v>
      </c>
      <c r="AE133" s="62">
        <v>50000</v>
      </c>
      <c r="AF133" s="62">
        <v>200000</v>
      </c>
      <c r="AG133" s="62">
        <v>0</v>
      </c>
      <c r="AH133" s="62">
        <v>150000</v>
      </c>
      <c r="AI133" s="190">
        <f t="shared" si="424"/>
        <v>850000</v>
      </c>
      <c r="AJ133" s="197">
        <f t="shared" ref="AJ133:AJ134" si="665">AI133/(AI$5+AI$6+AI$7+AI$8+AI$10+AI$9)</f>
        <v>1.1552255977551764E-2</v>
      </c>
      <c r="AK133" s="62">
        <v>50000</v>
      </c>
      <c r="AL133" s="62">
        <v>0</v>
      </c>
      <c r="AM133" s="62">
        <f>100000+100000+100000</f>
        <v>300000</v>
      </c>
      <c r="AN133" s="62">
        <v>300000</v>
      </c>
      <c r="AO133" s="62">
        <f>50000</f>
        <v>50000</v>
      </c>
      <c r="AP133" s="62">
        <v>0</v>
      </c>
      <c r="AQ133" s="62">
        <v>0</v>
      </c>
      <c r="AR133" s="62">
        <f>100000+100000</f>
        <v>200000</v>
      </c>
      <c r="AS133" s="62">
        <v>0</v>
      </c>
      <c r="AT133" s="62">
        <v>0</v>
      </c>
      <c r="AU133" s="62">
        <v>0</v>
      </c>
      <c r="AV133" s="62">
        <v>0</v>
      </c>
      <c r="AW133" s="190">
        <f t="shared" si="425"/>
        <v>900000</v>
      </c>
      <c r="AX133" s="197">
        <f t="shared" ref="AX133:AX134" si="666">AW133/(AW$5+AW$6+AW$7+AW$8+AW$10+AW$9)</f>
        <v>1.1797501858008231E-2</v>
      </c>
      <c r="AY133" s="62">
        <v>100000</v>
      </c>
      <c r="AZ133" s="62">
        <v>100000</v>
      </c>
      <c r="BA133" s="62">
        <v>0</v>
      </c>
      <c r="BB133" s="62">
        <f>100000+500000</f>
        <v>600000</v>
      </c>
      <c r="BC133" s="62">
        <v>0</v>
      </c>
      <c r="BD133" s="62">
        <v>0</v>
      </c>
      <c r="BE133" s="62">
        <v>0</v>
      </c>
      <c r="BF133" s="62">
        <v>0</v>
      </c>
      <c r="BG133" s="62">
        <v>50000</v>
      </c>
      <c r="BH133" s="62">
        <v>50000</v>
      </c>
      <c r="BI133" s="62">
        <f>200000+50000+50000+200000</f>
        <v>500000</v>
      </c>
      <c r="BJ133" s="62">
        <v>0</v>
      </c>
      <c r="BK133" s="190">
        <f t="shared" si="426"/>
        <v>1400000</v>
      </c>
      <c r="BL133" s="197">
        <f t="shared" ref="BL133:BL134" si="667">BK133/(BK$5+BK$6+BK$7+BK$8+BK$10+BK$9)</f>
        <v>2.004609972917433E-2</v>
      </c>
      <c r="BM133" s="62">
        <f>50000</f>
        <v>50000</v>
      </c>
      <c r="BN133" s="62">
        <v>0</v>
      </c>
      <c r="BO133" s="62">
        <f>50000</f>
        <v>50000</v>
      </c>
      <c r="BP133" s="62">
        <v>0</v>
      </c>
      <c r="BQ133" s="62">
        <v>0</v>
      </c>
      <c r="BR133" s="62">
        <v>0</v>
      </c>
      <c r="BS133" s="62">
        <v>0</v>
      </c>
      <c r="BT133" s="62">
        <v>0</v>
      </c>
      <c r="BU133" s="62">
        <v>0</v>
      </c>
      <c r="BV133" s="62">
        <v>0</v>
      </c>
      <c r="BW133" s="62">
        <v>0</v>
      </c>
      <c r="BX133" s="62">
        <v>0</v>
      </c>
      <c r="BY133" s="190">
        <f t="shared" si="427"/>
        <v>100000</v>
      </c>
      <c r="BZ133" s="197">
        <f t="shared" ref="BZ133:BZ134" si="668">BY133/(BY$5+BY$6+BY$7+BY$8+BY$10+BY$9)</f>
        <v>2.2913239705253251E-3</v>
      </c>
      <c r="CA133" s="62">
        <v>0</v>
      </c>
      <c r="CB133" s="62">
        <v>0</v>
      </c>
      <c r="CC133" s="62">
        <v>0</v>
      </c>
      <c r="CD133" s="62">
        <v>0</v>
      </c>
      <c r="CE133" s="62">
        <v>0</v>
      </c>
      <c r="CF133" s="62">
        <v>0</v>
      </c>
      <c r="CG133" s="62">
        <v>0</v>
      </c>
      <c r="CH133" s="62">
        <v>0</v>
      </c>
      <c r="CI133" s="62">
        <v>0</v>
      </c>
      <c r="CJ133" s="62">
        <v>0</v>
      </c>
      <c r="CK133" s="62">
        <v>0</v>
      </c>
      <c r="CL133" s="62">
        <v>0</v>
      </c>
      <c r="CM133" s="190">
        <f t="shared" si="428"/>
        <v>0</v>
      </c>
      <c r="CN133" s="62">
        <v>0</v>
      </c>
      <c r="CO133" s="62">
        <v>0</v>
      </c>
      <c r="CP133" s="62">
        <v>0</v>
      </c>
      <c r="CQ133" s="62">
        <v>0</v>
      </c>
      <c r="CR133" s="62">
        <v>0</v>
      </c>
      <c r="CS133" s="62">
        <v>0</v>
      </c>
      <c r="CT133" s="62">
        <v>0</v>
      </c>
      <c r="CU133" s="62">
        <v>0</v>
      </c>
      <c r="CV133" s="62">
        <v>0</v>
      </c>
      <c r="CW133" s="62">
        <v>0</v>
      </c>
      <c r="CX133" s="62">
        <v>0</v>
      </c>
      <c r="CY133" s="62">
        <v>0</v>
      </c>
      <c r="CZ133" s="190">
        <f t="shared" si="429"/>
        <v>0</v>
      </c>
      <c r="DA133" s="62">
        <v>0</v>
      </c>
      <c r="DB133" s="62">
        <v>0</v>
      </c>
      <c r="DC133" s="62">
        <v>0</v>
      </c>
      <c r="DD133" s="62">
        <v>0</v>
      </c>
      <c r="DE133" s="62">
        <v>0</v>
      </c>
      <c r="DF133" s="62">
        <v>0</v>
      </c>
      <c r="DG133" s="62">
        <v>0</v>
      </c>
      <c r="DH133" s="62">
        <v>0</v>
      </c>
      <c r="DI133" s="62">
        <v>0</v>
      </c>
      <c r="DJ133" s="62">
        <v>0</v>
      </c>
      <c r="DK133" s="62">
        <v>0</v>
      </c>
      <c r="DL133" s="62">
        <v>0</v>
      </c>
      <c r="DM133" s="190">
        <f t="shared" si="430"/>
        <v>0</v>
      </c>
      <c r="DN133" s="62">
        <v>0</v>
      </c>
      <c r="DO133" s="62">
        <v>0</v>
      </c>
      <c r="DP133" s="62">
        <v>0</v>
      </c>
      <c r="DQ133" s="62">
        <v>0</v>
      </c>
      <c r="DR133" s="62">
        <v>0</v>
      </c>
      <c r="DS133" s="62">
        <v>0</v>
      </c>
      <c r="DT133" s="62">
        <v>0</v>
      </c>
      <c r="DU133" s="62">
        <v>0</v>
      </c>
      <c r="DV133" s="62">
        <v>0</v>
      </c>
      <c r="DW133" s="62">
        <v>0</v>
      </c>
      <c r="DX133" s="62">
        <v>0</v>
      </c>
      <c r="DY133" s="62">
        <v>0</v>
      </c>
      <c r="DZ133" s="190">
        <f t="shared" si="431"/>
        <v>0</v>
      </c>
    </row>
    <row r="134" spans="1:130" ht="20.45" customHeight="1" outlineLevel="2">
      <c r="A134" s="525"/>
      <c r="B134" s="531"/>
      <c r="C134" s="30" t="s">
        <v>375</v>
      </c>
      <c r="D134" s="62">
        <f t="shared" si="661"/>
        <v>177667.00000000003</v>
      </c>
      <c r="E134" s="184">
        <f t="shared" si="662"/>
        <v>5.4970229762516106E-4</v>
      </c>
      <c r="F134" s="62">
        <v>0</v>
      </c>
      <c r="G134" s="190">
        <f t="shared" si="433"/>
        <v>0</v>
      </c>
      <c r="H134" s="197">
        <f t="shared" si="663"/>
        <v>0</v>
      </c>
      <c r="I134" s="62">
        <v>0</v>
      </c>
      <c r="J134" s="62">
        <v>0</v>
      </c>
      <c r="K134" s="62">
        <v>0</v>
      </c>
      <c r="L134" s="62">
        <v>0</v>
      </c>
      <c r="M134" s="62">
        <v>0</v>
      </c>
      <c r="N134" s="62">
        <v>0</v>
      </c>
      <c r="O134" s="62">
        <v>0</v>
      </c>
      <c r="P134" s="62">
        <v>0</v>
      </c>
      <c r="Q134" s="62">
        <v>0</v>
      </c>
      <c r="R134" s="62">
        <v>0</v>
      </c>
      <c r="S134" s="62">
        <v>0</v>
      </c>
      <c r="T134" s="62">
        <v>177667</v>
      </c>
      <c r="U134" s="190">
        <f t="shared" si="423"/>
        <v>177667</v>
      </c>
      <c r="V134" s="197">
        <f t="shared" si="664"/>
        <v>3.202361384410313E-3</v>
      </c>
      <c r="W134" s="62">
        <v>0</v>
      </c>
      <c r="X134" s="62">
        <v>0</v>
      </c>
      <c r="Y134" s="62">
        <v>0</v>
      </c>
      <c r="Z134" s="62">
        <v>0</v>
      </c>
      <c r="AA134" s="62">
        <v>0</v>
      </c>
      <c r="AB134" s="62">
        <v>0</v>
      </c>
      <c r="AC134" s="62">
        <v>0</v>
      </c>
      <c r="AD134" s="62">
        <v>0</v>
      </c>
      <c r="AE134" s="62">
        <v>0</v>
      </c>
      <c r="AF134" s="62">
        <v>0</v>
      </c>
      <c r="AG134" s="62">
        <v>0</v>
      </c>
      <c r="AH134" s="62">
        <v>0</v>
      </c>
      <c r="AI134" s="190">
        <f t="shared" si="424"/>
        <v>0</v>
      </c>
      <c r="AJ134" s="197">
        <f t="shared" si="665"/>
        <v>0</v>
      </c>
      <c r="AK134" s="62">
        <v>0</v>
      </c>
      <c r="AL134" s="62">
        <v>0</v>
      </c>
      <c r="AM134" s="62">
        <v>0</v>
      </c>
      <c r="AN134" s="62">
        <v>0</v>
      </c>
      <c r="AO134" s="62">
        <v>0</v>
      </c>
      <c r="AP134" s="62">
        <v>0</v>
      </c>
      <c r="AQ134" s="62">
        <v>0</v>
      </c>
      <c r="AR134" s="62">
        <v>0</v>
      </c>
      <c r="AS134" s="62">
        <v>0</v>
      </c>
      <c r="AT134" s="62">
        <v>0</v>
      </c>
      <c r="AU134" s="62">
        <v>0</v>
      </c>
      <c r="AV134" s="62">
        <v>0</v>
      </c>
      <c r="AW134" s="190">
        <f t="shared" si="425"/>
        <v>0</v>
      </c>
      <c r="AX134" s="197">
        <f t="shared" si="666"/>
        <v>0</v>
      </c>
      <c r="AY134" s="62">
        <v>0</v>
      </c>
      <c r="AZ134" s="62">
        <v>0</v>
      </c>
      <c r="BA134" s="62">
        <v>0</v>
      </c>
      <c r="BB134" s="62">
        <v>0</v>
      </c>
      <c r="BC134" s="62">
        <v>0</v>
      </c>
      <c r="BD134" s="62">
        <v>0</v>
      </c>
      <c r="BE134" s="62">
        <v>0</v>
      </c>
      <c r="BF134" s="62">
        <v>0</v>
      </c>
      <c r="BG134" s="62">
        <v>0</v>
      </c>
      <c r="BH134" s="62">
        <v>0</v>
      </c>
      <c r="BI134" s="62">
        <v>0</v>
      </c>
      <c r="BJ134" s="62">
        <v>0</v>
      </c>
      <c r="BK134" s="190">
        <f t="shared" si="426"/>
        <v>0</v>
      </c>
      <c r="BL134" s="197">
        <f t="shared" si="667"/>
        <v>0</v>
      </c>
      <c r="BM134" s="62">
        <v>0</v>
      </c>
      <c r="BN134" s="62">
        <v>0</v>
      </c>
      <c r="BO134" s="62">
        <v>0</v>
      </c>
      <c r="BP134" s="62">
        <v>0</v>
      </c>
      <c r="BQ134" s="62">
        <v>0</v>
      </c>
      <c r="BR134" s="62">
        <v>0</v>
      </c>
      <c r="BS134" s="62">
        <v>0</v>
      </c>
      <c r="BT134" s="62">
        <v>0</v>
      </c>
      <c r="BU134" s="62">
        <v>0</v>
      </c>
      <c r="BV134" s="62">
        <v>0</v>
      </c>
      <c r="BW134" s="62">
        <v>0</v>
      </c>
      <c r="BX134" s="62">
        <v>0</v>
      </c>
      <c r="BY134" s="190">
        <f t="shared" si="427"/>
        <v>0</v>
      </c>
      <c r="BZ134" s="197">
        <f t="shared" si="668"/>
        <v>0</v>
      </c>
      <c r="CA134" s="62">
        <v>0</v>
      </c>
      <c r="CB134" s="62">
        <v>0</v>
      </c>
      <c r="CC134" s="62">
        <v>0</v>
      </c>
      <c r="CD134" s="62">
        <v>0</v>
      </c>
      <c r="CE134" s="62">
        <v>0</v>
      </c>
      <c r="CF134" s="62">
        <v>0</v>
      </c>
      <c r="CG134" s="62">
        <v>0</v>
      </c>
      <c r="CH134" s="62">
        <v>0</v>
      </c>
      <c r="CI134" s="62">
        <v>0</v>
      </c>
      <c r="CJ134" s="62">
        <v>0</v>
      </c>
      <c r="CK134" s="62">
        <v>0</v>
      </c>
      <c r="CL134" s="62">
        <v>0</v>
      </c>
      <c r="CM134" s="190">
        <f t="shared" si="428"/>
        <v>0</v>
      </c>
      <c r="CN134" s="62">
        <v>0</v>
      </c>
      <c r="CO134" s="62">
        <v>0</v>
      </c>
      <c r="CP134" s="62">
        <v>0</v>
      </c>
      <c r="CQ134" s="62">
        <v>0</v>
      </c>
      <c r="CR134" s="62">
        <v>0</v>
      </c>
      <c r="CS134" s="62">
        <v>0</v>
      </c>
      <c r="CT134" s="62">
        <v>0</v>
      </c>
      <c r="CU134" s="62">
        <v>0</v>
      </c>
      <c r="CV134" s="62">
        <v>0</v>
      </c>
      <c r="CW134" s="62">
        <v>0</v>
      </c>
      <c r="CX134" s="62">
        <v>0</v>
      </c>
      <c r="CY134" s="62">
        <v>0</v>
      </c>
      <c r="CZ134" s="190">
        <f t="shared" si="429"/>
        <v>0</v>
      </c>
      <c r="DA134" s="62">
        <v>0</v>
      </c>
      <c r="DB134" s="62">
        <v>0</v>
      </c>
      <c r="DC134" s="62">
        <v>0</v>
      </c>
      <c r="DD134" s="62">
        <v>0</v>
      </c>
      <c r="DE134" s="62">
        <v>0</v>
      </c>
      <c r="DF134" s="62">
        <v>0</v>
      </c>
      <c r="DG134" s="62">
        <v>0</v>
      </c>
      <c r="DH134" s="62">
        <v>0</v>
      </c>
      <c r="DI134" s="62">
        <v>0</v>
      </c>
      <c r="DJ134" s="62">
        <v>0</v>
      </c>
      <c r="DK134" s="62">
        <v>0</v>
      </c>
      <c r="DL134" s="62">
        <v>0</v>
      </c>
      <c r="DM134" s="190">
        <f t="shared" si="430"/>
        <v>0</v>
      </c>
      <c r="DN134" s="62">
        <v>0</v>
      </c>
      <c r="DO134" s="62">
        <v>0</v>
      </c>
      <c r="DP134" s="62">
        <v>0</v>
      </c>
      <c r="DQ134" s="62">
        <v>0</v>
      </c>
      <c r="DR134" s="62">
        <v>0</v>
      </c>
      <c r="DS134" s="62">
        <v>0</v>
      </c>
      <c r="DT134" s="62">
        <v>0</v>
      </c>
      <c r="DU134" s="62">
        <v>0</v>
      </c>
      <c r="DV134" s="62">
        <v>0</v>
      </c>
      <c r="DW134" s="62">
        <v>0</v>
      </c>
      <c r="DX134" s="62">
        <v>0</v>
      </c>
      <c r="DY134" s="62">
        <v>0</v>
      </c>
      <c r="DZ134" s="190">
        <f t="shared" si="431"/>
        <v>0</v>
      </c>
    </row>
    <row r="135" spans="1:130" s="194" customFormat="1" ht="20.45" customHeight="1" outlineLevel="1">
      <c r="A135" s="526"/>
      <c r="B135" s="527" t="s">
        <v>2630</v>
      </c>
      <c r="C135" s="65" t="s">
        <v>307</v>
      </c>
      <c r="D135" s="66">
        <f t="shared" si="661"/>
        <v>2686164.0000000009</v>
      </c>
      <c r="E135" s="187">
        <f>SUM(E136:E137)</f>
        <v>8.3110004817889271E-3</v>
      </c>
      <c r="F135" s="62">
        <f>SUM(F136:F137)</f>
        <v>0</v>
      </c>
      <c r="G135" s="190">
        <f t="shared" si="433"/>
        <v>0</v>
      </c>
      <c r="H135" s="196">
        <f>SUM(H136:H137)</f>
        <v>0</v>
      </c>
      <c r="I135" s="62">
        <f t="shared" ref="I135:DX135" si="669">SUM(I136:I137)</f>
        <v>0</v>
      </c>
      <c r="J135" s="62">
        <f t="shared" si="669"/>
        <v>0</v>
      </c>
      <c r="K135" s="62">
        <f t="shared" si="669"/>
        <v>0</v>
      </c>
      <c r="L135" s="62">
        <f t="shared" si="669"/>
        <v>0</v>
      </c>
      <c r="M135" s="62">
        <f t="shared" si="669"/>
        <v>0</v>
      </c>
      <c r="N135" s="62">
        <f t="shared" si="669"/>
        <v>0</v>
      </c>
      <c r="O135" s="62">
        <f t="shared" si="669"/>
        <v>0</v>
      </c>
      <c r="P135" s="62">
        <f t="shared" si="669"/>
        <v>0</v>
      </c>
      <c r="Q135" s="62">
        <f t="shared" si="669"/>
        <v>0</v>
      </c>
      <c r="R135" s="62">
        <f t="shared" si="669"/>
        <v>0</v>
      </c>
      <c r="S135" s="62">
        <f t="shared" si="669"/>
        <v>0</v>
      </c>
      <c r="T135" s="62">
        <f t="shared" si="669"/>
        <v>0</v>
      </c>
      <c r="U135" s="190">
        <f t="shared" si="423"/>
        <v>0</v>
      </c>
      <c r="V135" s="196">
        <f>SUM(V136:V137)</f>
        <v>0</v>
      </c>
      <c r="W135" s="62">
        <f t="shared" si="669"/>
        <v>0</v>
      </c>
      <c r="X135" s="62">
        <f t="shared" si="669"/>
        <v>0</v>
      </c>
      <c r="Y135" s="62">
        <f t="shared" si="669"/>
        <v>420040</v>
      </c>
      <c r="Z135" s="62">
        <f t="shared" si="669"/>
        <v>31500</v>
      </c>
      <c r="AA135" s="62">
        <f t="shared" si="669"/>
        <v>814032</v>
      </c>
      <c r="AB135" s="62">
        <f t="shared" si="669"/>
        <v>0</v>
      </c>
      <c r="AC135" s="62">
        <f t="shared" ref="AC135:AF135" si="670">SUM(AC136:AC137)</f>
        <v>0</v>
      </c>
      <c r="AD135" s="62">
        <f t="shared" si="670"/>
        <v>0</v>
      </c>
      <c r="AE135" s="62">
        <f t="shared" si="670"/>
        <v>0</v>
      </c>
      <c r="AF135" s="62">
        <f t="shared" si="670"/>
        <v>22500</v>
      </c>
      <c r="AG135" s="62">
        <f t="shared" si="669"/>
        <v>0</v>
      </c>
      <c r="AH135" s="62">
        <f t="shared" si="669"/>
        <v>0</v>
      </c>
      <c r="AI135" s="190">
        <f t="shared" si="424"/>
        <v>1288072</v>
      </c>
      <c r="AJ135" s="196">
        <f>SUM(AJ136:AJ137)</f>
        <v>1.7506044072373005E-2</v>
      </c>
      <c r="AK135" s="62">
        <f t="shared" ref="AK135:AV135" si="671">SUM(AK136:AK137)</f>
        <v>28900</v>
      </c>
      <c r="AL135" s="62">
        <f t="shared" si="671"/>
        <v>0</v>
      </c>
      <c r="AM135" s="62">
        <f t="shared" si="671"/>
        <v>0</v>
      </c>
      <c r="AN135" s="62">
        <f t="shared" si="671"/>
        <v>0</v>
      </c>
      <c r="AO135" s="62">
        <f t="shared" si="671"/>
        <v>0</v>
      </c>
      <c r="AP135" s="62">
        <f t="shared" si="671"/>
        <v>0</v>
      </c>
      <c r="AQ135" s="62">
        <f t="shared" si="671"/>
        <v>0</v>
      </c>
      <c r="AR135" s="62">
        <f t="shared" si="671"/>
        <v>0</v>
      </c>
      <c r="AS135" s="62">
        <f t="shared" si="671"/>
        <v>0</v>
      </c>
      <c r="AT135" s="62">
        <f t="shared" si="671"/>
        <v>0</v>
      </c>
      <c r="AU135" s="62">
        <f t="shared" si="671"/>
        <v>1315592</v>
      </c>
      <c r="AV135" s="62">
        <f t="shared" si="671"/>
        <v>0</v>
      </c>
      <c r="AW135" s="190">
        <f t="shared" si="425"/>
        <v>1344492</v>
      </c>
      <c r="AX135" s="196">
        <f>SUM(AX136:AX137)</f>
        <v>1.7624052075641335E-2</v>
      </c>
      <c r="AY135" s="62">
        <f t="shared" ref="AY135:BJ135" si="672">SUM(AY136:AY137)</f>
        <v>0</v>
      </c>
      <c r="AZ135" s="62">
        <f t="shared" si="672"/>
        <v>0</v>
      </c>
      <c r="BA135" s="62">
        <f t="shared" si="672"/>
        <v>0</v>
      </c>
      <c r="BB135" s="62">
        <f t="shared" si="672"/>
        <v>0</v>
      </c>
      <c r="BC135" s="62">
        <f t="shared" si="672"/>
        <v>0</v>
      </c>
      <c r="BD135" s="62">
        <f t="shared" si="672"/>
        <v>0</v>
      </c>
      <c r="BE135" s="62">
        <f t="shared" si="672"/>
        <v>0</v>
      </c>
      <c r="BF135" s="62">
        <f t="shared" si="672"/>
        <v>0</v>
      </c>
      <c r="BG135" s="62">
        <f t="shared" si="672"/>
        <v>0</v>
      </c>
      <c r="BH135" s="62">
        <f t="shared" si="672"/>
        <v>21200</v>
      </c>
      <c r="BI135" s="62">
        <f t="shared" si="672"/>
        <v>32400</v>
      </c>
      <c r="BJ135" s="62">
        <f t="shared" si="672"/>
        <v>0</v>
      </c>
      <c r="BK135" s="190">
        <f t="shared" si="426"/>
        <v>53600</v>
      </c>
      <c r="BL135" s="196">
        <f>SUM(BL136:BL137)</f>
        <v>7.6747924677410284E-4</v>
      </c>
      <c r="BM135" s="62">
        <f t="shared" ref="BM135:BX135" si="673">SUM(BM136:BM137)</f>
        <v>0</v>
      </c>
      <c r="BN135" s="62">
        <f t="shared" si="673"/>
        <v>0</v>
      </c>
      <c r="BO135" s="62">
        <f t="shared" si="673"/>
        <v>0</v>
      </c>
      <c r="BP135" s="62">
        <f t="shared" si="673"/>
        <v>0</v>
      </c>
      <c r="BQ135" s="62">
        <f t="shared" si="673"/>
        <v>0</v>
      </c>
      <c r="BR135" s="62">
        <f t="shared" si="673"/>
        <v>0</v>
      </c>
      <c r="BS135" s="62">
        <f t="shared" si="673"/>
        <v>0</v>
      </c>
      <c r="BT135" s="62">
        <f t="shared" si="673"/>
        <v>0</v>
      </c>
      <c r="BU135" s="62">
        <f t="shared" si="673"/>
        <v>0</v>
      </c>
      <c r="BV135" s="62">
        <f t="shared" si="673"/>
        <v>0</v>
      </c>
      <c r="BW135" s="62">
        <f t="shared" si="673"/>
        <v>0</v>
      </c>
      <c r="BX135" s="62">
        <f t="shared" si="673"/>
        <v>0</v>
      </c>
      <c r="BY135" s="190">
        <f t="shared" si="427"/>
        <v>0</v>
      </c>
      <c r="BZ135" s="196">
        <f>SUM(BZ136:BZ137)</f>
        <v>0</v>
      </c>
      <c r="CA135" s="62">
        <f t="shared" ref="CA135:CL135" si="674">SUM(CA136:CA137)</f>
        <v>0</v>
      </c>
      <c r="CB135" s="62">
        <f t="shared" si="674"/>
        <v>0</v>
      </c>
      <c r="CC135" s="62">
        <f t="shared" si="674"/>
        <v>0</v>
      </c>
      <c r="CD135" s="62">
        <f t="shared" si="674"/>
        <v>0</v>
      </c>
      <c r="CE135" s="62">
        <f t="shared" si="674"/>
        <v>0</v>
      </c>
      <c r="CF135" s="62">
        <f t="shared" si="674"/>
        <v>0</v>
      </c>
      <c r="CG135" s="62">
        <f t="shared" si="674"/>
        <v>0</v>
      </c>
      <c r="CH135" s="62">
        <f t="shared" si="674"/>
        <v>0</v>
      </c>
      <c r="CI135" s="62">
        <f t="shared" si="674"/>
        <v>0</v>
      </c>
      <c r="CJ135" s="62">
        <f t="shared" si="674"/>
        <v>0</v>
      </c>
      <c r="CK135" s="62">
        <f t="shared" si="674"/>
        <v>0</v>
      </c>
      <c r="CL135" s="62">
        <f t="shared" si="674"/>
        <v>0</v>
      </c>
      <c r="CM135" s="190">
        <f t="shared" si="428"/>
        <v>0</v>
      </c>
      <c r="CN135" s="62">
        <f t="shared" ref="CN135:CY135" si="675">SUM(CN136:CN137)</f>
        <v>0</v>
      </c>
      <c r="CO135" s="62">
        <f t="shared" si="675"/>
        <v>0</v>
      </c>
      <c r="CP135" s="62">
        <f t="shared" si="675"/>
        <v>0</v>
      </c>
      <c r="CQ135" s="62">
        <f t="shared" si="675"/>
        <v>0</v>
      </c>
      <c r="CR135" s="62">
        <f t="shared" si="675"/>
        <v>0</v>
      </c>
      <c r="CS135" s="62">
        <f t="shared" si="675"/>
        <v>0</v>
      </c>
      <c r="CT135" s="62">
        <f t="shared" si="675"/>
        <v>0</v>
      </c>
      <c r="CU135" s="62">
        <f t="shared" si="675"/>
        <v>0</v>
      </c>
      <c r="CV135" s="62">
        <f t="shared" si="675"/>
        <v>0</v>
      </c>
      <c r="CW135" s="62">
        <f t="shared" si="675"/>
        <v>0</v>
      </c>
      <c r="CX135" s="62">
        <f t="shared" si="675"/>
        <v>0</v>
      </c>
      <c r="CY135" s="62">
        <f t="shared" si="675"/>
        <v>0</v>
      </c>
      <c r="CZ135" s="190">
        <f t="shared" si="429"/>
        <v>0</v>
      </c>
      <c r="DA135" s="62">
        <f t="shared" ref="DA135:DL135" si="676">SUM(DA136:DA137)</f>
        <v>0</v>
      </c>
      <c r="DB135" s="62">
        <f t="shared" si="676"/>
        <v>0</v>
      </c>
      <c r="DC135" s="62">
        <f t="shared" si="676"/>
        <v>0</v>
      </c>
      <c r="DD135" s="62">
        <f t="shared" si="676"/>
        <v>0</v>
      </c>
      <c r="DE135" s="62">
        <f t="shared" si="676"/>
        <v>0</v>
      </c>
      <c r="DF135" s="62">
        <f t="shared" si="676"/>
        <v>0</v>
      </c>
      <c r="DG135" s="62">
        <f t="shared" si="676"/>
        <v>0</v>
      </c>
      <c r="DH135" s="62">
        <f t="shared" si="676"/>
        <v>0</v>
      </c>
      <c r="DI135" s="62">
        <f t="shared" si="676"/>
        <v>0</v>
      </c>
      <c r="DJ135" s="62">
        <f t="shared" si="676"/>
        <v>0</v>
      </c>
      <c r="DK135" s="62">
        <f t="shared" si="676"/>
        <v>0</v>
      </c>
      <c r="DL135" s="62">
        <f t="shared" si="676"/>
        <v>0</v>
      </c>
      <c r="DM135" s="190">
        <f t="shared" si="430"/>
        <v>0</v>
      </c>
      <c r="DN135" s="62">
        <f t="shared" ref="DN135:DQ135" si="677">SUM(DN136:DN137)</f>
        <v>0</v>
      </c>
      <c r="DO135" s="62">
        <f t="shared" si="677"/>
        <v>0</v>
      </c>
      <c r="DP135" s="62">
        <f t="shared" si="677"/>
        <v>0</v>
      </c>
      <c r="DQ135" s="62">
        <f t="shared" si="677"/>
        <v>0</v>
      </c>
      <c r="DR135" s="62">
        <f t="shared" ref="DR135:DU135" si="678">SUM(DR136:DR137)</f>
        <v>0</v>
      </c>
      <c r="DS135" s="62">
        <f t="shared" si="678"/>
        <v>0</v>
      </c>
      <c r="DT135" s="62">
        <f t="shared" si="678"/>
        <v>0</v>
      </c>
      <c r="DU135" s="62">
        <f t="shared" si="678"/>
        <v>0</v>
      </c>
      <c r="DV135" s="62">
        <f t="shared" ref="DV135:DW135" si="679">SUM(DV136:DV137)</f>
        <v>0</v>
      </c>
      <c r="DW135" s="62">
        <f t="shared" si="679"/>
        <v>0</v>
      </c>
      <c r="DX135" s="62">
        <f t="shared" si="669"/>
        <v>0</v>
      </c>
      <c r="DY135" s="62">
        <f t="shared" ref="DY135" si="680">SUM(DY136:DY137)</f>
        <v>0</v>
      </c>
      <c r="DZ135" s="190">
        <f t="shared" si="431"/>
        <v>0</v>
      </c>
    </row>
    <row r="136" spans="1:130" ht="20.45" customHeight="1" outlineLevel="2">
      <c r="A136" s="526"/>
      <c r="B136" s="528"/>
      <c r="C136" s="30" t="s">
        <v>2631</v>
      </c>
      <c r="D136" s="62">
        <f t="shared" si="661"/>
        <v>2580964.0000000005</v>
      </c>
      <c r="E136" s="184">
        <f t="shared" ref="E136:E137" si="681">D136/(D$5+D$6+D$7+D$8+D$10+D$9)</f>
        <v>7.9855113267394973E-3</v>
      </c>
      <c r="F136" s="62">
        <v>0</v>
      </c>
      <c r="G136" s="190">
        <f t="shared" si="433"/>
        <v>0</v>
      </c>
      <c r="H136" s="197">
        <f t="shared" ref="H136:H137" si="682">G136/(G$5+G$6+G$7+G$8+G$10+G$9)</f>
        <v>0</v>
      </c>
      <c r="I136" s="62">
        <v>0</v>
      </c>
      <c r="J136" s="62">
        <v>0</v>
      </c>
      <c r="K136" s="62">
        <v>0</v>
      </c>
      <c r="L136" s="62">
        <v>0</v>
      </c>
      <c r="M136" s="62">
        <v>0</v>
      </c>
      <c r="N136" s="62">
        <v>0</v>
      </c>
      <c r="O136" s="62">
        <v>0</v>
      </c>
      <c r="P136" s="62">
        <v>0</v>
      </c>
      <c r="Q136" s="62">
        <v>0</v>
      </c>
      <c r="R136" s="62">
        <v>0</v>
      </c>
      <c r="S136" s="62">
        <v>0</v>
      </c>
      <c r="T136" s="62">
        <v>0</v>
      </c>
      <c r="U136" s="190">
        <f t="shared" si="423"/>
        <v>0</v>
      </c>
      <c r="V136" s="197">
        <f t="shared" ref="V136:V137" si="683">U136/(U$5+U$6+U$7+U$8+U$10+U$9)</f>
        <v>0</v>
      </c>
      <c r="W136" s="62">
        <v>0</v>
      </c>
      <c r="X136" s="62">
        <v>0</v>
      </c>
      <c r="Y136" s="62">
        <v>420040</v>
      </c>
      <c r="Z136" s="62">
        <v>31500</v>
      </c>
      <c r="AA136" s="62">
        <f>812032-82000</f>
        <v>730032</v>
      </c>
      <c r="AB136" s="62">
        <v>0</v>
      </c>
      <c r="AC136" s="62">
        <v>0</v>
      </c>
      <c r="AD136" s="62">
        <v>0</v>
      </c>
      <c r="AE136" s="62">
        <v>0</v>
      </c>
      <c r="AF136" s="62">
        <v>22500</v>
      </c>
      <c r="AG136" s="62">
        <v>0</v>
      </c>
      <c r="AH136" s="62">
        <v>0</v>
      </c>
      <c r="AI136" s="190">
        <f t="shared" si="424"/>
        <v>1204072</v>
      </c>
      <c r="AJ136" s="197">
        <f t="shared" ref="AJ136:AJ137" si="684">AI136/(AI$5+AI$6+AI$7+AI$8+AI$10+AI$9)</f>
        <v>1.6364409364003185E-2</v>
      </c>
      <c r="AK136" s="62">
        <f>3200+22500+3200</f>
        <v>28900</v>
      </c>
      <c r="AL136" s="62">
        <v>0</v>
      </c>
      <c r="AM136" s="62">
        <v>0</v>
      </c>
      <c r="AN136" s="62">
        <v>0</v>
      </c>
      <c r="AO136" s="62">
        <v>0</v>
      </c>
      <c r="AP136" s="62">
        <v>0</v>
      </c>
      <c r="AQ136" s="62">
        <v>0</v>
      </c>
      <c r="AR136" s="62">
        <v>0</v>
      </c>
      <c r="AS136" s="62">
        <v>0</v>
      </c>
      <c r="AT136" s="62">
        <v>0</v>
      </c>
      <c r="AU136" s="62">
        <f>751420+1447+228537+12682+34892+3200+3200+27000+526221-273007</f>
        <v>1315592</v>
      </c>
      <c r="AV136" s="62">
        <v>0</v>
      </c>
      <c r="AW136" s="190">
        <f t="shared" si="425"/>
        <v>1344492</v>
      </c>
      <c r="AX136" s="197">
        <f t="shared" ref="AX136:AX137" si="685">AW136/(AW$5+AW$6+AW$7+AW$8+AW$10+AW$9)</f>
        <v>1.7624052075641335E-2</v>
      </c>
      <c r="AY136" s="62">
        <v>0</v>
      </c>
      <c r="AZ136" s="62">
        <v>0</v>
      </c>
      <c r="BA136" s="62">
        <v>0</v>
      </c>
      <c r="BB136" s="62">
        <v>0</v>
      </c>
      <c r="BC136" s="62">
        <v>0</v>
      </c>
      <c r="BD136" s="62">
        <v>0</v>
      </c>
      <c r="BE136" s="62">
        <v>0</v>
      </c>
      <c r="BF136" s="62">
        <v>0</v>
      </c>
      <c r="BG136" s="62">
        <v>0</v>
      </c>
      <c r="BH136" s="62">
        <v>0</v>
      </c>
      <c r="BI136" s="62">
        <f>6400+26000</f>
        <v>32400</v>
      </c>
      <c r="BJ136" s="62">
        <v>0</v>
      </c>
      <c r="BK136" s="190">
        <f t="shared" si="426"/>
        <v>32400</v>
      </c>
      <c r="BL136" s="197">
        <f t="shared" ref="BL136:BL137" si="686">BK136/(BK$5+BK$6+BK$7+BK$8+BK$10+BK$9)</f>
        <v>4.6392402230374874E-4</v>
      </c>
      <c r="BM136" s="62">
        <v>0</v>
      </c>
      <c r="BN136" s="62">
        <v>0</v>
      </c>
      <c r="BO136" s="62">
        <v>0</v>
      </c>
      <c r="BP136" s="62">
        <v>0</v>
      </c>
      <c r="BQ136" s="62">
        <v>0</v>
      </c>
      <c r="BR136" s="62">
        <v>0</v>
      </c>
      <c r="BS136" s="62">
        <v>0</v>
      </c>
      <c r="BT136" s="62">
        <v>0</v>
      </c>
      <c r="BU136" s="62">
        <v>0</v>
      </c>
      <c r="BV136" s="62">
        <v>0</v>
      </c>
      <c r="BW136" s="62">
        <v>0</v>
      </c>
      <c r="BX136" s="62">
        <v>0</v>
      </c>
      <c r="BY136" s="190">
        <f t="shared" si="427"/>
        <v>0</v>
      </c>
      <c r="BZ136" s="197">
        <f t="shared" ref="BZ136:BZ137" si="687">BY136/(BY$5+BY$6+BY$7+BY$8+BY$10+BY$9)</f>
        <v>0</v>
      </c>
      <c r="CA136" s="62">
        <v>0</v>
      </c>
      <c r="CB136" s="62">
        <v>0</v>
      </c>
      <c r="CC136" s="62">
        <v>0</v>
      </c>
      <c r="CD136" s="62">
        <v>0</v>
      </c>
      <c r="CE136" s="62">
        <v>0</v>
      </c>
      <c r="CF136" s="62">
        <v>0</v>
      </c>
      <c r="CG136" s="62">
        <v>0</v>
      </c>
      <c r="CH136" s="62">
        <v>0</v>
      </c>
      <c r="CI136" s="62">
        <v>0</v>
      </c>
      <c r="CJ136" s="62">
        <v>0</v>
      </c>
      <c r="CK136" s="62">
        <v>0</v>
      </c>
      <c r="CL136" s="62">
        <v>0</v>
      </c>
      <c r="CM136" s="190">
        <f t="shared" si="428"/>
        <v>0</v>
      </c>
      <c r="CN136" s="62">
        <v>0</v>
      </c>
      <c r="CO136" s="62">
        <v>0</v>
      </c>
      <c r="CP136" s="62">
        <v>0</v>
      </c>
      <c r="CQ136" s="62">
        <v>0</v>
      </c>
      <c r="CR136" s="62">
        <v>0</v>
      </c>
      <c r="CS136" s="62">
        <v>0</v>
      </c>
      <c r="CT136" s="62">
        <v>0</v>
      </c>
      <c r="CU136" s="62">
        <v>0</v>
      </c>
      <c r="CV136" s="62">
        <v>0</v>
      </c>
      <c r="CW136" s="62">
        <v>0</v>
      </c>
      <c r="CX136" s="62">
        <v>0</v>
      </c>
      <c r="CY136" s="62">
        <v>0</v>
      </c>
      <c r="CZ136" s="190">
        <f t="shared" si="429"/>
        <v>0</v>
      </c>
      <c r="DA136" s="62">
        <v>0</v>
      </c>
      <c r="DB136" s="62">
        <v>0</v>
      </c>
      <c r="DC136" s="62">
        <v>0</v>
      </c>
      <c r="DD136" s="62">
        <v>0</v>
      </c>
      <c r="DE136" s="62">
        <v>0</v>
      </c>
      <c r="DF136" s="62">
        <v>0</v>
      </c>
      <c r="DG136" s="62">
        <v>0</v>
      </c>
      <c r="DH136" s="62">
        <v>0</v>
      </c>
      <c r="DI136" s="62">
        <v>0</v>
      </c>
      <c r="DJ136" s="62">
        <v>0</v>
      </c>
      <c r="DK136" s="62">
        <v>0</v>
      </c>
      <c r="DL136" s="62">
        <v>0</v>
      </c>
      <c r="DM136" s="190">
        <f t="shared" si="430"/>
        <v>0</v>
      </c>
      <c r="DN136" s="62">
        <v>0</v>
      </c>
      <c r="DO136" s="62">
        <v>0</v>
      </c>
      <c r="DP136" s="62">
        <v>0</v>
      </c>
      <c r="DQ136" s="62">
        <v>0</v>
      </c>
      <c r="DR136" s="62">
        <v>0</v>
      </c>
      <c r="DS136" s="62">
        <v>0</v>
      </c>
      <c r="DT136" s="62">
        <v>0</v>
      </c>
      <c r="DU136" s="62">
        <v>0</v>
      </c>
      <c r="DV136" s="62">
        <v>0</v>
      </c>
      <c r="DW136" s="62">
        <v>0</v>
      </c>
      <c r="DX136" s="62">
        <v>0</v>
      </c>
      <c r="DY136" s="62">
        <v>0</v>
      </c>
      <c r="DZ136" s="190">
        <f t="shared" si="431"/>
        <v>0</v>
      </c>
    </row>
    <row r="137" spans="1:130" ht="20.45" customHeight="1" outlineLevel="2">
      <c r="A137" s="526"/>
      <c r="B137" s="529"/>
      <c r="C137" s="30" t="s">
        <v>2632</v>
      </c>
      <c r="D137" s="62">
        <f t="shared" si="661"/>
        <v>105200</v>
      </c>
      <c r="E137" s="184">
        <f t="shared" si="681"/>
        <v>3.2548915504942917E-4</v>
      </c>
      <c r="F137" s="62">
        <v>0</v>
      </c>
      <c r="G137" s="190">
        <f t="shared" si="433"/>
        <v>0</v>
      </c>
      <c r="H137" s="197">
        <f t="shared" si="682"/>
        <v>0</v>
      </c>
      <c r="I137" s="62">
        <v>0</v>
      </c>
      <c r="J137" s="62">
        <v>0</v>
      </c>
      <c r="K137" s="62">
        <v>0</v>
      </c>
      <c r="L137" s="62">
        <v>0</v>
      </c>
      <c r="M137" s="62">
        <v>0</v>
      </c>
      <c r="N137" s="62">
        <v>0</v>
      </c>
      <c r="O137" s="62">
        <v>0</v>
      </c>
      <c r="P137" s="62">
        <v>0</v>
      </c>
      <c r="Q137" s="62">
        <v>0</v>
      </c>
      <c r="R137" s="62">
        <v>0</v>
      </c>
      <c r="S137" s="62">
        <v>0</v>
      </c>
      <c r="T137" s="62">
        <v>0</v>
      </c>
      <c r="U137" s="190">
        <f t="shared" si="423"/>
        <v>0</v>
      </c>
      <c r="V137" s="197">
        <f t="shared" si="683"/>
        <v>0</v>
      </c>
      <c r="W137" s="62">
        <v>0</v>
      </c>
      <c r="X137" s="62">
        <v>0</v>
      </c>
      <c r="Y137" s="62">
        <v>0</v>
      </c>
      <c r="Z137" s="62">
        <v>0</v>
      </c>
      <c r="AA137" s="62">
        <v>84000</v>
      </c>
      <c r="AB137" s="62">
        <v>0</v>
      </c>
      <c r="AC137" s="62">
        <v>0</v>
      </c>
      <c r="AD137" s="62">
        <v>0</v>
      </c>
      <c r="AE137" s="62">
        <v>0</v>
      </c>
      <c r="AF137" s="62">
        <v>0</v>
      </c>
      <c r="AG137" s="62">
        <v>0</v>
      </c>
      <c r="AH137" s="62">
        <v>0</v>
      </c>
      <c r="AI137" s="190">
        <f t="shared" si="424"/>
        <v>84000</v>
      </c>
      <c r="AJ137" s="197">
        <f t="shared" si="684"/>
        <v>1.1416347083698214E-3</v>
      </c>
      <c r="AK137" s="62">
        <v>0</v>
      </c>
      <c r="AL137" s="62">
        <v>0</v>
      </c>
      <c r="AM137" s="62">
        <v>0</v>
      </c>
      <c r="AN137" s="62">
        <v>0</v>
      </c>
      <c r="AO137" s="62">
        <v>0</v>
      </c>
      <c r="AP137" s="62">
        <v>0</v>
      </c>
      <c r="AQ137" s="62">
        <v>0</v>
      </c>
      <c r="AR137" s="62">
        <v>0</v>
      </c>
      <c r="AS137" s="62">
        <v>0</v>
      </c>
      <c r="AT137" s="62">
        <v>0</v>
      </c>
      <c r="AU137" s="62">
        <v>0</v>
      </c>
      <c r="AV137" s="62">
        <v>0</v>
      </c>
      <c r="AW137" s="190">
        <f t="shared" si="425"/>
        <v>0</v>
      </c>
      <c r="AX137" s="197">
        <f t="shared" si="685"/>
        <v>0</v>
      </c>
      <c r="AY137" s="62">
        <v>0</v>
      </c>
      <c r="AZ137" s="62">
        <v>0</v>
      </c>
      <c r="BA137" s="62">
        <v>0</v>
      </c>
      <c r="BB137" s="62">
        <v>0</v>
      </c>
      <c r="BC137" s="62">
        <v>0</v>
      </c>
      <c r="BD137" s="62">
        <v>0</v>
      </c>
      <c r="BE137" s="62">
        <v>0</v>
      </c>
      <c r="BF137" s="62">
        <v>0</v>
      </c>
      <c r="BG137" s="62">
        <v>0</v>
      </c>
      <c r="BH137" s="62">
        <f>51700-51700+21200</f>
        <v>21200</v>
      </c>
      <c r="BI137" s="62">
        <v>0</v>
      </c>
      <c r="BJ137" s="62">
        <v>0</v>
      </c>
      <c r="BK137" s="190">
        <f t="shared" si="426"/>
        <v>21200</v>
      </c>
      <c r="BL137" s="197">
        <f t="shared" si="686"/>
        <v>3.0355522447035415E-4</v>
      </c>
      <c r="BM137" s="62">
        <v>0</v>
      </c>
      <c r="BN137" s="62">
        <v>0</v>
      </c>
      <c r="BO137" s="62">
        <v>0</v>
      </c>
      <c r="BP137" s="62">
        <v>0</v>
      </c>
      <c r="BQ137" s="62">
        <v>0</v>
      </c>
      <c r="BR137" s="62">
        <v>0</v>
      </c>
      <c r="BS137" s="62">
        <v>0</v>
      </c>
      <c r="BT137" s="62">
        <v>0</v>
      </c>
      <c r="BU137" s="62">
        <v>0</v>
      </c>
      <c r="BV137" s="62">
        <v>0</v>
      </c>
      <c r="BW137" s="62">
        <v>0</v>
      </c>
      <c r="BX137" s="62">
        <v>0</v>
      </c>
      <c r="BY137" s="190">
        <f t="shared" si="427"/>
        <v>0</v>
      </c>
      <c r="BZ137" s="197">
        <f t="shared" si="687"/>
        <v>0</v>
      </c>
      <c r="CA137" s="62">
        <v>0</v>
      </c>
      <c r="CB137" s="62">
        <v>0</v>
      </c>
      <c r="CC137" s="62">
        <v>0</v>
      </c>
      <c r="CD137" s="62">
        <v>0</v>
      </c>
      <c r="CE137" s="62">
        <v>0</v>
      </c>
      <c r="CF137" s="62">
        <v>0</v>
      </c>
      <c r="CG137" s="62">
        <v>0</v>
      </c>
      <c r="CH137" s="62">
        <v>0</v>
      </c>
      <c r="CI137" s="62">
        <v>0</v>
      </c>
      <c r="CJ137" s="62">
        <v>0</v>
      </c>
      <c r="CK137" s="62">
        <v>0</v>
      </c>
      <c r="CL137" s="62">
        <v>0</v>
      </c>
      <c r="CM137" s="190">
        <f t="shared" si="428"/>
        <v>0</v>
      </c>
      <c r="CN137" s="62">
        <v>0</v>
      </c>
      <c r="CO137" s="62">
        <v>0</v>
      </c>
      <c r="CP137" s="62">
        <v>0</v>
      </c>
      <c r="CQ137" s="62">
        <v>0</v>
      </c>
      <c r="CR137" s="62">
        <v>0</v>
      </c>
      <c r="CS137" s="62">
        <v>0</v>
      </c>
      <c r="CT137" s="62">
        <v>0</v>
      </c>
      <c r="CU137" s="62">
        <v>0</v>
      </c>
      <c r="CV137" s="62">
        <v>0</v>
      </c>
      <c r="CW137" s="62">
        <v>0</v>
      </c>
      <c r="CX137" s="62">
        <v>0</v>
      </c>
      <c r="CY137" s="62">
        <v>0</v>
      </c>
      <c r="CZ137" s="190">
        <f t="shared" si="429"/>
        <v>0</v>
      </c>
      <c r="DA137" s="62">
        <v>0</v>
      </c>
      <c r="DB137" s="62">
        <v>0</v>
      </c>
      <c r="DC137" s="62">
        <v>0</v>
      </c>
      <c r="DD137" s="62">
        <v>0</v>
      </c>
      <c r="DE137" s="62">
        <v>0</v>
      </c>
      <c r="DF137" s="62">
        <v>0</v>
      </c>
      <c r="DG137" s="62">
        <v>0</v>
      </c>
      <c r="DH137" s="62">
        <v>0</v>
      </c>
      <c r="DI137" s="62">
        <v>0</v>
      </c>
      <c r="DJ137" s="62">
        <v>0</v>
      </c>
      <c r="DK137" s="62">
        <v>0</v>
      </c>
      <c r="DL137" s="62">
        <v>0</v>
      </c>
      <c r="DM137" s="190">
        <f t="shared" si="430"/>
        <v>0</v>
      </c>
      <c r="DN137" s="62">
        <v>0</v>
      </c>
      <c r="DO137" s="62">
        <v>0</v>
      </c>
      <c r="DP137" s="62">
        <v>0</v>
      </c>
      <c r="DQ137" s="62">
        <v>0</v>
      </c>
      <c r="DR137" s="62">
        <v>0</v>
      </c>
      <c r="DS137" s="62">
        <v>0</v>
      </c>
      <c r="DT137" s="62">
        <v>0</v>
      </c>
      <c r="DU137" s="62">
        <v>0</v>
      </c>
      <c r="DV137" s="62">
        <v>0</v>
      </c>
      <c r="DW137" s="62">
        <v>0</v>
      </c>
      <c r="DX137" s="62">
        <v>0</v>
      </c>
      <c r="DY137" s="62">
        <v>0</v>
      </c>
      <c r="DZ137" s="190">
        <f t="shared" si="431"/>
        <v>0</v>
      </c>
    </row>
    <row r="138" spans="1:130" s="194" customFormat="1" ht="20.45" customHeight="1" outlineLevel="1">
      <c r="A138" s="525"/>
      <c r="B138" s="527" t="s">
        <v>376</v>
      </c>
      <c r="C138" s="65" t="s">
        <v>307</v>
      </c>
      <c r="D138" s="66">
        <f t="shared" si="661"/>
        <v>10955638.000000002</v>
      </c>
      <c r="E138" s="187">
        <f>SUM(E139:E144)</f>
        <v>3.3896780947218798E-2</v>
      </c>
      <c r="F138" s="62">
        <f>SUM(F139:F144)</f>
        <v>35000</v>
      </c>
      <c r="G138" s="190">
        <f t="shared" si="433"/>
        <v>35000</v>
      </c>
      <c r="H138" s="196">
        <f t="shared" ref="H138:T138" si="688">SUM(H139:H144)</f>
        <v>7.9946915248275147E-3</v>
      </c>
      <c r="I138" s="62">
        <f t="shared" si="688"/>
        <v>0</v>
      </c>
      <c r="J138" s="62">
        <f t="shared" si="688"/>
        <v>0</v>
      </c>
      <c r="K138" s="62">
        <f t="shared" si="688"/>
        <v>0</v>
      </c>
      <c r="L138" s="62">
        <f t="shared" si="688"/>
        <v>155000</v>
      </c>
      <c r="M138" s="62">
        <f t="shared" si="688"/>
        <v>74000</v>
      </c>
      <c r="N138" s="62">
        <f t="shared" si="688"/>
        <v>0</v>
      </c>
      <c r="O138" s="62">
        <f t="shared" si="688"/>
        <v>0</v>
      </c>
      <c r="P138" s="62">
        <f t="shared" si="688"/>
        <v>10000</v>
      </c>
      <c r="Q138" s="62">
        <f t="shared" si="688"/>
        <v>5000</v>
      </c>
      <c r="R138" s="62">
        <f t="shared" si="688"/>
        <v>0</v>
      </c>
      <c r="S138" s="62">
        <f t="shared" si="688"/>
        <v>20250</v>
      </c>
      <c r="T138" s="62">
        <f t="shared" si="688"/>
        <v>30400</v>
      </c>
      <c r="U138" s="190">
        <f t="shared" si="423"/>
        <v>294650</v>
      </c>
      <c r="V138" s="196">
        <f t="shared" ref="V138" si="689">SUM(V139:V144)</f>
        <v>5.3109231422633282E-3</v>
      </c>
      <c r="W138" s="62">
        <f t="shared" ref="W138:AH138" si="690">SUM(W139:W144)</f>
        <v>35000</v>
      </c>
      <c r="X138" s="62">
        <f t="shared" si="690"/>
        <v>0</v>
      </c>
      <c r="Y138" s="62">
        <f t="shared" si="690"/>
        <v>0</v>
      </c>
      <c r="Z138" s="62">
        <f t="shared" si="690"/>
        <v>5000</v>
      </c>
      <c r="AA138" s="62">
        <f t="shared" si="690"/>
        <v>0</v>
      </c>
      <c r="AB138" s="62">
        <f t="shared" si="690"/>
        <v>0</v>
      </c>
      <c r="AC138" s="62">
        <f t="shared" si="690"/>
        <v>6500000</v>
      </c>
      <c r="AD138" s="62">
        <f t="shared" si="690"/>
        <v>0</v>
      </c>
      <c r="AE138" s="62">
        <f t="shared" si="690"/>
        <v>44000</v>
      </c>
      <c r="AF138" s="62">
        <f t="shared" si="690"/>
        <v>299970</v>
      </c>
      <c r="AG138" s="62">
        <f t="shared" si="690"/>
        <v>0</v>
      </c>
      <c r="AH138" s="62">
        <f t="shared" si="690"/>
        <v>44800</v>
      </c>
      <c r="AI138" s="190">
        <f t="shared" si="424"/>
        <v>6928770</v>
      </c>
      <c r="AJ138" s="196">
        <f t="shared" ref="AJ138" si="691">SUM(AJ139:AJ144)</f>
        <v>9.4168146646566281E-2</v>
      </c>
      <c r="AK138" s="62">
        <f t="shared" ref="AK138:AV138" si="692">SUM(AK139:AK144)</f>
        <v>15150</v>
      </c>
      <c r="AL138" s="62">
        <f t="shared" si="692"/>
        <v>20000</v>
      </c>
      <c r="AM138" s="62">
        <f t="shared" si="692"/>
        <v>20000</v>
      </c>
      <c r="AN138" s="62">
        <f t="shared" si="692"/>
        <v>20000</v>
      </c>
      <c r="AO138" s="62">
        <f t="shared" si="692"/>
        <v>29000</v>
      </c>
      <c r="AP138" s="62">
        <f t="shared" si="692"/>
        <v>253400</v>
      </c>
      <c r="AQ138" s="62">
        <f t="shared" si="692"/>
        <v>38000</v>
      </c>
      <c r="AR138" s="62">
        <f t="shared" si="692"/>
        <v>20000</v>
      </c>
      <c r="AS138" s="62">
        <f t="shared" si="692"/>
        <v>123160</v>
      </c>
      <c r="AT138" s="62">
        <f t="shared" si="692"/>
        <v>20000</v>
      </c>
      <c r="AU138" s="62">
        <f t="shared" si="692"/>
        <v>708710</v>
      </c>
      <c r="AV138" s="62">
        <f t="shared" si="692"/>
        <v>310000</v>
      </c>
      <c r="AW138" s="190">
        <f t="shared" si="425"/>
        <v>1577420</v>
      </c>
      <c r="AX138" s="196">
        <f t="shared" ref="AX138" si="693">SUM(AX139:AX144)</f>
        <v>2.0677350423177043E-2</v>
      </c>
      <c r="AY138" s="62">
        <f t="shared" ref="AY138:BJ138" si="694">SUM(AY139:AY144)</f>
        <v>20000</v>
      </c>
      <c r="AZ138" s="62">
        <f t="shared" si="694"/>
        <v>20400</v>
      </c>
      <c r="BA138" s="62">
        <f t="shared" si="694"/>
        <v>20000</v>
      </c>
      <c r="BB138" s="62">
        <f t="shared" si="694"/>
        <v>742300</v>
      </c>
      <c r="BC138" s="62">
        <f t="shared" si="694"/>
        <v>39999</v>
      </c>
      <c r="BD138" s="62">
        <f t="shared" si="694"/>
        <v>400000</v>
      </c>
      <c r="BE138" s="62">
        <f t="shared" si="694"/>
        <v>20000</v>
      </c>
      <c r="BF138" s="62">
        <f t="shared" si="694"/>
        <v>350000</v>
      </c>
      <c r="BG138" s="62">
        <f t="shared" si="694"/>
        <v>47000</v>
      </c>
      <c r="BH138" s="62">
        <f t="shared" si="694"/>
        <v>70000</v>
      </c>
      <c r="BI138" s="62">
        <f t="shared" si="694"/>
        <v>86387</v>
      </c>
      <c r="BJ138" s="62">
        <f t="shared" si="694"/>
        <v>62657</v>
      </c>
      <c r="BK138" s="190">
        <f t="shared" si="426"/>
        <v>1878743</v>
      </c>
      <c r="BL138" s="196">
        <f t="shared" ref="BL138" si="695">SUM(BL139:BL144)</f>
        <v>2.6901049673920117E-2</v>
      </c>
      <c r="BM138" s="62">
        <f t="shared" ref="BM138:BX138" si="696">SUM(BM139:BM144)</f>
        <v>20000</v>
      </c>
      <c r="BN138" s="62">
        <f t="shared" si="696"/>
        <v>20000</v>
      </c>
      <c r="BO138" s="62">
        <f t="shared" si="696"/>
        <v>20000</v>
      </c>
      <c r="BP138" s="62">
        <f t="shared" si="696"/>
        <v>152555</v>
      </c>
      <c r="BQ138" s="62">
        <f t="shared" si="696"/>
        <v>28500</v>
      </c>
      <c r="BR138" s="62">
        <f t="shared" si="696"/>
        <v>0</v>
      </c>
      <c r="BS138" s="62">
        <f t="shared" si="696"/>
        <v>0</v>
      </c>
      <c r="BT138" s="62">
        <f t="shared" si="696"/>
        <v>0</v>
      </c>
      <c r="BU138" s="62">
        <f t="shared" si="696"/>
        <v>0</v>
      </c>
      <c r="BV138" s="62">
        <f t="shared" si="696"/>
        <v>0</v>
      </c>
      <c r="BW138" s="62">
        <f t="shared" si="696"/>
        <v>0</v>
      </c>
      <c r="BX138" s="62">
        <f t="shared" si="696"/>
        <v>0</v>
      </c>
      <c r="BY138" s="190">
        <f t="shared" si="427"/>
        <v>241055</v>
      </c>
      <c r="BZ138" s="196">
        <f t="shared" ref="BZ138" si="697">SUM(BZ139:BZ144)</f>
        <v>5.5233509971498226E-3</v>
      </c>
      <c r="CA138" s="62">
        <f t="shared" ref="CA138:CL138" si="698">SUM(CA139:CA144)</f>
        <v>0</v>
      </c>
      <c r="CB138" s="62">
        <f t="shared" si="698"/>
        <v>0</v>
      </c>
      <c r="CC138" s="62">
        <f t="shared" si="698"/>
        <v>0</v>
      </c>
      <c r="CD138" s="62">
        <f t="shared" si="698"/>
        <v>0</v>
      </c>
      <c r="CE138" s="62">
        <f t="shared" si="698"/>
        <v>0</v>
      </c>
      <c r="CF138" s="62">
        <f t="shared" si="698"/>
        <v>0</v>
      </c>
      <c r="CG138" s="62">
        <f t="shared" si="698"/>
        <v>0</v>
      </c>
      <c r="CH138" s="62">
        <f t="shared" si="698"/>
        <v>0</v>
      </c>
      <c r="CI138" s="62">
        <f t="shared" si="698"/>
        <v>0</v>
      </c>
      <c r="CJ138" s="62">
        <f t="shared" si="698"/>
        <v>0</v>
      </c>
      <c r="CK138" s="62">
        <f t="shared" si="698"/>
        <v>0</v>
      </c>
      <c r="CL138" s="62">
        <f t="shared" si="698"/>
        <v>0</v>
      </c>
      <c r="CM138" s="190">
        <f t="shared" si="428"/>
        <v>0</v>
      </c>
      <c r="CN138" s="62">
        <f t="shared" ref="CN138:CY138" si="699">SUM(CN139:CN144)</f>
        <v>0</v>
      </c>
      <c r="CO138" s="62">
        <f t="shared" si="699"/>
        <v>0</v>
      </c>
      <c r="CP138" s="62">
        <f t="shared" si="699"/>
        <v>0</v>
      </c>
      <c r="CQ138" s="62">
        <f t="shared" si="699"/>
        <v>0</v>
      </c>
      <c r="CR138" s="62">
        <f t="shared" si="699"/>
        <v>0</v>
      </c>
      <c r="CS138" s="62">
        <f t="shared" si="699"/>
        <v>0</v>
      </c>
      <c r="CT138" s="62">
        <f t="shared" si="699"/>
        <v>0</v>
      </c>
      <c r="CU138" s="62">
        <f t="shared" si="699"/>
        <v>0</v>
      </c>
      <c r="CV138" s="62">
        <f t="shared" si="699"/>
        <v>0</v>
      </c>
      <c r="CW138" s="62">
        <f t="shared" si="699"/>
        <v>0</v>
      </c>
      <c r="CX138" s="62">
        <f t="shared" si="699"/>
        <v>0</v>
      </c>
      <c r="CY138" s="62">
        <f t="shared" si="699"/>
        <v>0</v>
      </c>
      <c r="CZ138" s="190">
        <f t="shared" si="429"/>
        <v>0</v>
      </c>
      <c r="DA138" s="62">
        <f t="shared" ref="DA138:DL138" si="700">SUM(DA139:DA144)</f>
        <v>0</v>
      </c>
      <c r="DB138" s="62">
        <f t="shared" si="700"/>
        <v>0</v>
      </c>
      <c r="DC138" s="62">
        <f t="shared" si="700"/>
        <v>0</v>
      </c>
      <c r="DD138" s="62">
        <f t="shared" si="700"/>
        <v>0</v>
      </c>
      <c r="DE138" s="62">
        <f t="shared" si="700"/>
        <v>0</v>
      </c>
      <c r="DF138" s="62">
        <f t="shared" si="700"/>
        <v>0</v>
      </c>
      <c r="DG138" s="62">
        <f t="shared" si="700"/>
        <v>0</v>
      </c>
      <c r="DH138" s="62">
        <f t="shared" si="700"/>
        <v>0</v>
      </c>
      <c r="DI138" s="62">
        <f t="shared" si="700"/>
        <v>0</v>
      </c>
      <c r="DJ138" s="62">
        <f t="shared" si="700"/>
        <v>0</v>
      </c>
      <c r="DK138" s="62">
        <f t="shared" si="700"/>
        <v>0</v>
      </c>
      <c r="DL138" s="62">
        <f t="shared" si="700"/>
        <v>0</v>
      </c>
      <c r="DM138" s="190">
        <f t="shared" si="430"/>
        <v>0</v>
      </c>
      <c r="DN138" s="62">
        <f t="shared" ref="DN138:DY138" si="701">SUM(DN139:DN144)</f>
        <v>0</v>
      </c>
      <c r="DO138" s="62">
        <f t="shared" si="701"/>
        <v>0</v>
      </c>
      <c r="DP138" s="62">
        <f t="shared" si="701"/>
        <v>0</v>
      </c>
      <c r="DQ138" s="62">
        <f t="shared" si="701"/>
        <v>0</v>
      </c>
      <c r="DR138" s="62">
        <f t="shared" si="701"/>
        <v>0</v>
      </c>
      <c r="DS138" s="62">
        <f t="shared" si="701"/>
        <v>0</v>
      </c>
      <c r="DT138" s="62">
        <f t="shared" si="701"/>
        <v>0</v>
      </c>
      <c r="DU138" s="62">
        <f t="shared" si="701"/>
        <v>0</v>
      </c>
      <c r="DV138" s="62">
        <f t="shared" si="701"/>
        <v>0</v>
      </c>
      <c r="DW138" s="62">
        <f t="shared" si="701"/>
        <v>0</v>
      </c>
      <c r="DX138" s="62">
        <f t="shared" si="701"/>
        <v>0</v>
      </c>
      <c r="DY138" s="62">
        <f t="shared" si="701"/>
        <v>0</v>
      </c>
      <c r="DZ138" s="190">
        <f t="shared" si="431"/>
        <v>0</v>
      </c>
    </row>
    <row r="139" spans="1:130" ht="20.45" customHeight="1" outlineLevel="2">
      <c r="A139" s="525"/>
      <c r="B139" s="528"/>
      <c r="C139" s="30" t="s">
        <v>377</v>
      </c>
      <c r="D139" s="62">
        <f t="shared" si="661"/>
        <v>34999.999999999993</v>
      </c>
      <c r="E139" s="184">
        <f t="shared" ref="E139:E144" si="702">D139/(D$5+D$6+D$7+D$8+D$10+D$9)</f>
        <v>1.0829011812481007E-4</v>
      </c>
      <c r="F139" s="62">
        <v>35000</v>
      </c>
      <c r="G139" s="190">
        <f t="shared" si="433"/>
        <v>35000</v>
      </c>
      <c r="H139" s="197">
        <f t="shared" ref="H139:H144" si="703">G139/(G$5+G$6+G$7+G$8+G$10+G$9)</f>
        <v>7.9946915248275147E-3</v>
      </c>
      <c r="I139" s="62">
        <v>0</v>
      </c>
      <c r="J139" s="62">
        <v>0</v>
      </c>
      <c r="K139" s="62">
        <v>0</v>
      </c>
      <c r="L139" s="62">
        <v>0</v>
      </c>
      <c r="M139" s="62">
        <v>0</v>
      </c>
      <c r="N139" s="62">
        <v>0</v>
      </c>
      <c r="O139" s="62">
        <v>0</v>
      </c>
      <c r="P139" s="62">
        <v>0</v>
      </c>
      <c r="Q139" s="62">
        <v>0</v>
      </c>
      <c r="R139" s="62">
        <v>0</v>
      </c>
      <c r="S139" s="62">
        <v>0</v>
      </c>
      <c r="T139" s="62">
        <v>0</v>
      </c>
      <c r="U139" s="190">
        <f t="shared" si="423"/>
        <v>0</v>
      </c>
      <c r="V139" s="197">
        <f t="shared" ref="V139:V144" si="704">U139/(U$5+U$6+U$7+U$8+U$10+U$9)</f>
        <v>0</v>
      </c>
      <c r="W139" s="62">
        <v>0</v>
      </c>
      <c r="X139" s="62">
        <v>0</v>
      </c>
      <c r="Y139" s="62">
        <v>0</v>
      </c>
      <c r="Z139" s="62">
        <v>0</v>
      </c>
      <c r="AA139" s="62">
        <v>0</v>
      </c>
      <c r="AB139" s="62">
        <v>0</v>
      </c>
      <c r="AC139" s="62">
        <v>0</v>
      </c>
      <c r="AD139" s="62">
        <v>0</v>
      </c>
      <c r="AE139" s="62">
        <v>0</v>
      </c>
      <c r="AF139" s="62">
        <v>0</v>
      </c>
      <c r="AG139" s="62">
        <v>0</v>
      </c>
      <c r="AH139" s="62">
        <v>0</v>
      </c>
      <c r="AI139" s="190">
        <f t="shared" si="424"/>
        <v>0</v>
      </c>
      <c r="AJ139" s="197">
        <f t="shared" ref="AJ139:AJ144" si="705">AI139/(AI$5+AI$6+AI$7+AI$8+AI$10+AI$9)</f>
        <v>0</v>
      </c>
      <c r="AK139" s="62">
        <v>0</v>
      </c>
      <c r="AL139" s="62">
        <v>0</v>
      </c>
      <c r="AM139" s="62">
        <v>0</v>
      </c>
      <c r="AN139" s="62">
        <v>0</v>
      </c>
      <c r="AO139" s="62">
        <v>0</v>
      </c>
      <c r="AP139" s="62">
        <v>0</v>
      </c>
      <c r="AQ139" s="62">
        <v>0</v>
      </c>
      <c r="AR139" s="62">
        <v>0</v>
      </c>
      <c r="AS139" s="62">
        <v>0</v>
      </c>
      <c r="AT139" s="62">
        <v>0</v>
      </c>
      <c r="AU139" s="62">
        <v>0</v>
      </c>
      <c r="AV139" s="62">
        <v>0</v>
      </c>
      <c r="AW139" s="190">
        <f t="shared" si="425"/>
        <v>0</v>
      </c>
      <c r="AX139" s="197">
        <f t="shared" ref="AX139:AX144" si="706">AW139/(AW$5+AW$6+AW$7+AW$8+AW$10+AW$9)</f>
        <v>0</v>
      </c>
      <c r="AY139" s="62">
        <v>0</v>
      </c>
      <c r="AZ139" s="62">
        <v>0</v>
      </c>
      <c r="BA139" s="62">
        <v>0</v>
      </c>
      <c r="BB139" s="62">
        <v>0</v>
      </c>
      <c r="BC139" s="62">
        <v>0</v>
      </c>
      <c r="BD139" s="62">
        <v>0</v>
      </c>
      <c r="BE139" s="62">
        <v>0</v>
      </c>
      <c r="BF139" s="62">
        <v>0</v>
      </c>
      <c r="BG139" s="62">
        <v>0</v>
      </c>
      <c r="BH139" s="62">
        <v>0</v>
      </c>
      <c r="BI139" s="62">
        <v>0</v>
      </c>
      <c r="BJ139" s="62">
        <v>0</v>
      </c>
      <c r="BK139" s="190">
        <f t="shared" si="426"/>
        <v>0</v>
      </c>
      <c r="BL139" s="197">
        <f t="shared" ref="BL139:BL144" si="707">BK139/(BK$5+BK$6+BK$7+BK$8+BK$10+BK$9)</f>
        <v>0</v>
      </c>
      <c r="BM139" s="62">
        <v>0</v>
      </c>
      <c r="BN139" s="62">
        <v>0</v>
      </c>
      <c r="BO139" s="62">
        <v>0</v>
      </c>
      <c r="BP139" s="62">
        <v>0</v>
      </c>
      <c r="BQ139" s="62">
        <v>0</v>
      </c>
      <c r="BR139" s="62">
        <v>0</v>
      </c>
      <c r="BS139" s="62">
        <v>0</v>
      </c>
      <c r="BT139" s="62">
        <v>0</v>
      </c>
      <c r="BU139" s="62">
        <v>0</v>
      </c>
      <c r="BV139" s="62">
        <v>0</v>
      </c>
      <c r="BW139" s="62">
        <v>0</v>
      </c>
      <c r="BX139" s="62">
        <v>0</v>
      </c>
      <c r="BY139" s="190">
        <f t="shared" si="427"/>
        <v>0</v>
      </c>
      <c r="BZ139" s="197">
        <f t="shared" ref="BZ139:BZ144" si="708">BY139/(BY$5+BY$6+BY$7+BY$8+BY$10+BY$9)</f>
        <v>0</v>
      </c>
      <c r="CA139" s="62">
        <v>0</v>
      </c>
      <c r="CB139" s="62">
        <v>0</v>
      </c>
      <c r="CC139" s="62">
        <v>0</v>
      </c>
      <c r="CD139" s="62">
        <v>0</v>
      </c>
      <c r="CE139" s="62">
        <v>0</v>
      </c>
      <c r="CF139" s="62">
        <v>0</v>
      </c>
      <c r="CG139" s="62">
        <v>0</v>
      </c>
      <c r="CH139" s="62">
        <v>0</v>
      </c>
      <c r="CI139" s="62">
        <v>0</v>
      </c>
      <c r="CJ139" s="62">
        <v>0</v>
      </c>
      <c r="CK139" s="62">
        <v>0</v>
      </c>
      <c r="CL139" s="62">
        <v>0</v>
      </c>
      <c r="CM139" s="190">
        <f t="shared" si="428"/>
        <v>0</v>
      </c>
      <c r="CN139" s="62">
        <v>0</v>
      </c>
      <c r="CO139" s="62">
        <v>0</v>
      </c>
      <c r="CP139" s="62">
        <v>0</v>
      </c>
      <c r="CQ139" s="62">
        <v>0</v>
      </c>
      <c r="CR139" s="62">
        <v>0</v>
      </c>
      <c r="CS139" s="62">
        <v>0</v>
      </c>
      <c r="CT139" s="62">
        <v>0</v>
      </c>
      <c r="CU139" s="62">
        <v>0</v>
      </c>
      <c r="CV139" s="62">
        <v>0</v>
      </c>
      <c r="CW139" s="62">
        <v>0</v>
      </c>
      <c r="CX139" s="62">
        <v>0</v>
      </c>
      <c r="CY139" s="62">
        <v>0</v>
      </c>
      <c r="CZ139" s="190">
        <f t="shared" si="429"/>
        <v>0</v>
      </c>
      <c r="DA139" s="62">
        <v>0</v>
      </c>
      <c r="DB139" s="62">
        <v>0</v>
      </c>
      <c r="DC139" s="62">
        <v>0</v>
      </c>
      <c r="DD139" s="62">
        <v>0</v>
      </c>
      <c r="DE139" s="62">
        <v>0</v>
      </c>
      <c r="DF139" s="62">
        <v>0</v>
      </c>
      <c r="DG139" s="62">
        <v>0</v>
      </c>
      <c r="DH139" s="62">
        <v>0</v>
      </c>
      <c r="DI139" s="62">
        <v>0</v>
      </c>
      <c r="DJ139" s="62">
        <v>0</v>
      </c>
      <c r="DK139" s="62">
        <v>0</v>
      </c>
      <c r="DL139" s="62">
        <v>0</v>
      </c>
      <c r="DM139" s="190">
        <f t="shared" si="430"/>
        <v>0</v>
      </c>
      <c r="DN139" s="62">
        <v>0</v>
      </c>
      <c r="DO139" s="62">
        <v>0</v>
      </c>
      <c r="DP139" s="62">
        <v>0</v>
      </c>
      <c r="DQ139" s="62">
        <v>0</v>
      </c>
      <c r="DR139" s="62">
        <v>0</v>
      </c>
      <c r="DS139" s="62">
        <v>0</v>
      </c>
      <c r="DT139" s="62">
        <v>0</v>
      </c>
      <c r="DU139" s="62">
        <v>0</v>
      </c>
      <c r="DV139" s="62">
        <v>0</v>
      </c>
      <c r="DW139" s="62">
        <v>0</v>
      </c>
      <c r="DX139" s="62">
        <v>0</v>
      </c>
      <c r="DY139" s="62">
        <v>0</v>
      </c>
      <c r="DZ139" s="190">
        <f t="shared" si="431"/>
        <v>0</v>
      </c>
    </row>
    <row r="140" spans="1:130" ht="20.45" customHeight="1" outlineLevel="2">
      <c r="A140" s="525"/>
      <c r="B140" s="528"/>
      <c r="C140" s="30" t="s">
        <v>378</v>
      </c>
      <c r="D140" s="62">
        <f t="shared" si="661"/>
        <v>82999.999999999985</v>
      </c>
      <c r="E140" s="184">
        <f t="shared" si="702"/>
        <v>2.5680228012454963E-4</v>
      </c>
      <c r="F140" s="62">
        <v>0</v>
      </c>
      <c r="G140" s="190">
        <f t="shared" si="433"/>
        <v>0</v>
      </c>
      <c r="H140" s="197">
        <f t="shared" si="703"/>
        <v>0</v>
      </c>
      <c r="I140" s="62">
        <v>0</v>
      </c>
      <c r="J140" s="62">
        <v>0</v>
      </c>
      <c r="K140" s="62">
        <v>0</v>
      </c>
      <c r="L140" s="62">
        <v>0</v>
      </c>
      <c r="M140" s="62">
        <v>53000</v>
      </c>
      <c r="N140" s="62">
        <v>0</v>
      </c>
      <c r="O140" s="62">
        <v>0</v>
      </c>
      <c r="P140" s="62">
        <v>0</v>
      </c>
      <c r="Q140" s="62">
        <v>0</v>
      </c>
      <c r="R140" s="62">
        <v>0</v>
      </c>
      <c r="S140" s="62">
        <v>0</v>
      </c>
      <c r="T140" s="62">
        <v>30000</v>
      </c>
      <c r="U140" s="190">
        <f t="shared" si="423"/>
        <v>83000</v>
      </c>
      <c r="V140" s="197">
        <f t="shared" si="704"/>
        <v>1.4960346879615007E-3</v>
      </c>
      <c r="W140" s="62">
        <v>0</v>
      </c>
      <c r="X140" s="62">
        <v>0</v>
      </c>
      <c r="Y140" s="62">
        <v>0</v>
      </c>
      <c r="Z140" s="62">
        <v>0</v>
      </c>
      <c r="AA140" s="62">
        <v>0</v>
      </c>
      <c r="AB140" s="62">
        <v>0</v>
      </c>
      <c r="AC140" s="62">
        <v>0</v>
      </c>
      <c r="AD140" s="62">
        <v>0</v>
      </c>
      <c r="AE140" s="62">
        <v>0</v>
      </c>
      <c r="AF140" s="62">
        <v>0</v>
      </c>
      <c r="AG140" s="62">
        <v>0</v>
      </c>
      <c r="AH140" s="62">
        <v>0</v>
      </c>
      <c r="AI140" s="190">
        <f t="shared" si="424"/>
        <v>0</v>
      </c>
      <c r="AJ140" s="197">
        <f t="shared" si="705"/>
        <v>0</v>
      </c>
      <c r="AK140" s="62">
        <v>0</v>
      </c>
      <c r="AL140" s="62">
        <v>0</v>
      </c>
      <c r="AM140" s="62">
        <v>0</v>
      </c>
      <c r="AN140" s="62">
        <v>0</v>
      </c>
      <c r="AO140" s="62">
        <v>0</v>
      </c>
      <c r="AP140" s="62">
        <v>0</v>
      </c>
      <c r="AQ140" s="62">
        <v>0</v>
      </c>
      <c r="AR140" s="62">
        <v>0</v>
      </c>
      <c r="AS140" s="62">
        <v>0</v>
      </c>
      <c r="AT140" s="62">
        <v>0</v>
      </c>
      <c r="AU140" s="62">
        <v>0</v>
      </c>
      <c r="AV140" s="62">
        <v>0</v>
      </c>
      <c r="AW140" s="190">
        <f t="shared" si="425"/>
        <v>0</v>
      </c>
      <c r="AX140" s="197">
        <f t="shared" si="706"/>
        <v>0</v>
      </c>
      <c r="AY140" s="62">
        <v>0</v>
      </c>
      <c r="AZ140" s="62">
        <v>0</v>
      </c>
      <c r="BA140" s="62">
        <v>0</v>
      </c>
      <c r="BB140" s="62">
        <v>0</v>
      </c>
      <c r="BC140" s="62">
        <v>0</v>
      </c>
      <c r="BD140" s="62">
        <v>0</v>
      </c>
      <c r="BE140" s="62">
        <v>0</v>
      </c>
      <c r="BF140" s="62">
        <v>0</v>
      </c>
      <c r="BG140" s="62">
        <v>0</v>
      </c>
      <c r="BH140" s="62">
        <v>0</v>
      </c>
      <c r="BI140" s="62">
        <v>0</v>
      </c>
      <c r="BJ140" s="62">
        <v>0</v>
      </c>
      <c r="BK140" s="190">
        <f t="shared" si="426"/>
        <v>0</v>
      </c>
      <c r="BL140" s="197">
        <f t="shared" si="707"/>
        <v>0</v>
      </c>
      <c r="BM140" s="62">
        <v>0</v>
      </c>
      <c r="BN140" s="62">
        <v>0</v>
      </c>
      <c r="BO140" s="62">
        <v>0</v>
      </c>
      <c r="BP140" s="62">
        <v>0</v>
      </c>
      <c r="BQ140" s="62">
        <v>0</v>
      </c>
      <c r="BR140" s="62">
        <v>0</v>
      </c>
      <c r="BS140" s="62">
        <v>0</v>
      </c>
      <c r="BT140" s="62">
        <v>0</v>
      </c>
      <c r="BU140" s="62">
        <v>0</v>
      </c>
      <c r="BV140" s="62">
        <v>0</v>
      </c>
      <c r="BW140" s="62">
        <v>0</v>
      </c>
      <c r="BX140" s="62">
        <v>0</v>
      </c>
      <c r="BY140" s="190">
        <f t="shared" si="427"/>
        <v>0</v>
      </c>
      <c r="BZ140" s="197">
        <f t="shared" si="708"/>
        <v>0</v>
      </c>
      <c r="CA140" s="62">
        <v>0</v>
      </c>
      <c r="CB140" s="62">
        <v>0</v>
      </c>
      <c r="CC140" s="62">
        <v>0</v>
      </c>
      <c r="CD140" s="62">
        <v>0</v>
      </c>
      <c r="CE140" s="62">
        <v>0</v>
      </c>
      <c r="CF140" s="62">
        <v>0</v>
      </c>
      <c r="CG140" s="62">
        <v>0</v>
      </c>
      <c r="CH140" s="62">
        <v>0</v>
      </c>
      <c r="CI140" s="62">
        <v>0</v>
      </c>
      <c r="CJ140" s="62">
        <v>0</v>
      </c>
      <c r="CK140" s="62">
        <v>0</v>
      </c>
      <c r="CL140" s="62">
        <v>0</v>
      </c>
      <c r="CM140" s="190">
        <f t="shared" si="428"/>
        <v>0</v>
      </c>
      <c r="CN140" s="62">
        <v>0</v>
      </c>
      <c r="CO140" s="62">
        <v>0</v>
      </c>
      <c r="CP140" s="62">
        <v>0</v>
      </c>
      <c r="CQ140" s="62">
        <v>0</v>
      </c>
      <c r="CR140" s="62">
        <v>0</v>
      </c>
      <c r="CS140" s="62">
        <v>0</v>
      </c>
      <c r="CT140" s="62">
        <v>0</v>
      </c>
      <c r="CU140" s="62">
        <v>0</v>
      </c>
      <c r="CV140" s="62">
        <v>0</v>
      </c>
      <c r="CW140" s="62">
        <v>0</v>
      </c>
      <c r="CX140" s="62">
        <v>0</v>
      </c>
      <c r="CY140" s="62">
        <v>0</v>
      </c>
      <c r="CZ140" s="190">
        <f t="shared" si="429"/>
        <v>0</v>
      </c>
      <c r="DA140" s="62">
        <v>0</v>
      </c>
      <c r="DB140" s="62">
        <v>0</v>
      </c>
      <c r="DC140" s="62">
        <v>0</v>
      </c>
      <c r="DD140" s="62">
        <v>0</v>
      </c>
      <c r="DE140" s="62">
        <v>0</v>
      </c>
      <c r="DF140" s="62">
        <v>0</v>
      </c>
      <c r="DG140" s="62">
        <v>0</v>
      </c>
      <c r="DH140" s="62">
        <v>0</v>
      </c>
      <c r="DI140" s="62">
        <v>0</v>
      </c>
      <c r="DJ140" s="62">
        <v>0</v>
      </c>
      <c r="DK140" s="62">
        <v>0</v>
      </c>
      <c r="DL140" s="62">
        <v>0</v>
      </c>
      <c r="DM140" s="190">
        <f t="shared" si="430"/>
        <v>0</v>
      </c>
      <c r="DN140" s="62">
        <v>0</v>
      </c>
      <c r="DO140" s="62">
        <v>0</v>
      </c>
      <c r="DP140" s="62">
        <v>0</v>
      </c>
      <c r="DQ140" s="62">
        <v>0</v>
      </c>
      <c r="DR140" s="62">
        <v>0</v>
      </c>
      <c r="DS140" s="62">
        <v>0</v>
      </c>
      <c r="DT140" s="62">
        <v>0</v>
      </c>
      <c r="DU140" s="62">
        <v>0</v>
      </c>
      <c r="DV140" s="62">
        <v>0</v>
      </c>
      <c r="DW140" s="62">
        <v>0</v>
      </c>
      <c r="DX140" s="62">
        <v>0</v>
      </c>
      <c r="DY140" s="62">
        <v>0</v>
      </c>
      <c r="DZ140" s="190">
        <f t="shared" si="431"/>
        <v>0</v>
      </c>
    </row>
    <row r="141" spans="1:130" ht="20.45" customHeight="1" outlineLevel="2">
      <c r="A141" s="525"/>
      <c r="B141" s="528"/>
      <c r="C141" s="30" t="s">
        <v>2633</v>
      </c>
      <c r="D141" s="62">
        <f t="shared" si="661"/>
        <v>1490000</v>
      </c>
      <c r="E141" s="184">
        <f t="shared" si="702"/>
        <v>4.6100650287419151E-3</v>
      </c>
      <c r="F141" s="62">
        <v>0</v>
      </c>
      <c r="G141" s="190">
        <f t="shared" si="433"/>
        <v>0</v>
      </c>
      <c r="H141" s="197">
        <f t="shared" si="703"/>
        <v>0</v>
      </c>
      <c r="I141" s="62">
        <v>0</v>
      </c>
      <c r="J141" s="62">
        <v>0</v>
      </c>
      <c r="K141" s="62">
        <v>0</v>
      </c>
      <c r="L141" s="62">
        <v>0</v>
      </c>
      <c r="M141" s="62">
        <v>21000</v>
      </c>
      <c r="N141" s="62">
        <v>0</v>
      </c>
      <c r="O141" s="62">
        <v>0</v>
      </c>
      <c r="P141" s="62">
        <v>0</v>
      </c>
      <c r="Q141" s="62">
        <v>0</v>
      </c>
      <c r="R141" s="62">
        <v>0</v>
      </c>
      <c r="S141" s="62">
        <v>0</v>
      </c>
      <c r="T141" s="62">
        <v>0</v>
      </c>
      <c r="U141" s="190">
        <f t="shared" si="423"/>
        <v>21000</v>
      </c>
      <c r="V141" s="197">
        <f t="shared" si="704"/>
        <v>3.7851480056857247E-4</v>
      </c>
      <c r="W141" s="62">
        <v>0</v>
      </c>
      <c r="X141" s="62">
        <v>0</v>
      </c>
      <c r="Y141" s="62">
        <v>0</v>
      </c>
      <c r="Z141" s="62">
        <v>0</v>
      </c>
      <c r="AA141" s="62">
        <v>0</v>
      </c>
      <c r="AB141" s="62">
        <v>0</v>
      </c>
      <c r="AC141" s="62">
        <v>0</v>
      </c>
      <c r="AD141" s="62">
        <v>0</v>
      </c>
      <c r="AE141" s="62">
        <v>44000</v>
      </c>
      <c r="AF141" s="62">
        <v>0</v>
      </c>
      <c r="AG141" s="62">
        <v>0</v>
      </c>
      <c r="AH141" s="62">
        <v>0</v>
      </c>
      <c r="AI141" s="190">
        <f t="shared" si="424"/>
        <v>44000</v>
      </c>
      <c r="AJ141" s="197">
        <f t="shared" si="705"/>
        <v>5.9799913295562079E-4</v>
      </c>
      <c r="AK141" s="62">
        <v>0</v>
      </c>
      <c r="AL141" s="62">
        <v>0</v>
      </c>
      <c r="AM141" s="62">
        <v>0</v>
      </c>
      <c r="AN141" s="62">
        <v>0</v>
      </c>
      <c r="AO141" s="62">
        <v>0</v>
      </c>
      <c r="AP141" s="62">
        <v>0</v>
      </c>
      <c r="AQ141" s="62">
        <v>0</v>
      </c>
      <c r="AR141" s="62">
        <v>0</v>
      </c>
      <c r="AS141" s="62">
        <v>0</v>
      </c>
      <c r="AT141" s="62">
        <v>0</v>
      </c>
      <c r="AU141" s="62">
        <f>650000</f>
        <v>650000</v>
      </c>
      <c r="AV141" s="62">
        <v>0</v>
      </c>
      <c r="AW141" s="190">
        <f t="shared" si="425"/>
        <v>650000</v>
      </c>
      <c r="AX141" s="197">
        <f t="shared" si="706"/>
        <v>8.5204180085614988E-3</v>
      </c>
      <c r="AY141" s="62">
        <v>0</v>
      </c>
      <c r="AZ141" s="62">
        <v>0</v>
      </c>
      <c r="BA141" s="62">
        <v>0</v>
      </c>
      <c r="BB141" s="62">
        <f>700000+5000</f>
        <v>705000</v>
      </c>
      <c r="BC141" s="62">
        <v>10000</v>
      </c>
      <c r="BD141" s="62">
        <v>50000</v>
      </c>
      <c r="BE141" s="62">
        <v>0</v>
      </c>
      <c r="BF141" s="62">
        <f>5000+5000</f>
        <v>10000</v>
      </c>
      <c r="BG141" s="62">
        <v>0</v>
      </c>
      <c r="BH141" s="62">
        <v>0</v>
      </c>
      <c r="BI141" s="62">
        <v>0</v>
      </c>
      <c r="BJ141" s="62">
        <v>0</v>
      </c>
      <c r="BK141" s="190">
        <f t="shared" si="426"/>
        <v>775000</v>
      </c>
      <c r="BL141" s="197">
        <f t="shared" si="707"/>
        <v>1.109694806436436E-2</v>
      </c>
      <c r="BM141" s="62">
        <v>0</v>
      </c>
      <c r="BN141" s="62">
        <v>0</v>
      </c>
      <c r="BO141" s="62">
        <v>0</v>
      </c>
      <c r="BP141" s="62">
        <v>0</v>
      </c>
      <c r="BQ141" s="62">
        <v>0</v>
      </c>
      <c r="BR141" s="62">
        <v>0</v>
      </c>
      <c r="BS141" s="62">
        <v>0</v>
      </c>
      <c r="BT141" s="62">
        <v>0</v>
      </c>
      <c r="BU141" s="62">
        <v>0</v>
      </c>
      <c r="BV141" s="62">
        <v>0</v>
      </c>
      <c r="BW141" s="62">
        <v>0</v>
      </c>
      <c r="BX141" s="62">
        <v>0</v>
      </c>
      <c r="BY141" s="190">
        <f t="shared" si="427"/>
        <v>0</v>
      </c>
      <c r="BZ141" s="197">
        <f t="shared" si="708"/>
        <v>0</v>
      </c>
      <c r="CA141" s="62">
        <v>0</v>
      </c>
      <c r="CB141" s="62">
        <v>0</v>
      </c>
      <c r="CC141" s="62">
        <v>0</v>
      </c>
      <c r="CD141" s="62">
        <v>0</v>
      </c>
      <c r="CE141" s="62">
        <v>0</v>
      </c>
      <c r="CF141" s="62">
        <v>0</v>
      </c>
      <c r="CG141" s="62">
        <v>0</v>
      </c>
      <c r="CH141" s="62">
        <v>0</v>
      </c>
      <c r="CI141" s="62">
        <v>0</v>
      </c>
      <c r="CJ141" s="62">
        <v>0</v>
      </c>
      <c r="CK141" s="62">
        <v>0</v>
      </c>
      <c r="CL141" s="62">
        <v>0</v>
      </c>
      <c r="CM141" s="190">
        <f t="shared" si="428"/>
        <v>0</v>
      </c>
      <c r="CN141" s="62">
        <v>0</v>
      </c>
      <c r="CO141" s="62">
        <v>0</v>
      </c>
      <c r="CP141" s="62">
        <v>0</v>
      </c>
      <c r="CQ141" s="62">
        <v>0</v>
      </c>
      <c r="CR141" s="62">
        <v>0</v>
      </c>
      <c r="CS141" s="62">
        <v>0</v>
      </c>
      <c r="CT141" s="62">
        <v>0</v>
      </c>
      <c r="CU141" s="62">
        <v>0</v>
      </c>
      <c r="CV141" s="62">
        <v>0</v>
      </c>
      <c r="CW141" s="62">
        <v>0</v>
      </c>
      <c r="CX141" s="62">
        <v>0</v>
      </c>
      <c r="CY141" s="62">
        <v>0</v>
      </c>
      <c r="CZ141" s="190">
        <f t="shared" si="429"/>
        <v>0</v>
      </c>
      <c r="DA141" s="62">
        <v>0</v>
      </c>
      <c r="DB141" s="62">
        <v>0</v>
      </c>
      <c r="DC141" s="62">
        <v>0</v>
      </c>
      <c r="DD141" s="62">
        <v>0</v>
      </c>
      <c r="DE141" s="62">
        <v>0</v>
      </c>
      <c r="DF141" s="62">
        <v>0</v>
      </c>
      <c r="DG141" s="62">
        <v>0</v>
      </c>
      <c r="DH141" s="62">
        <v>0</v>
      </c>
      <c r="DI141" s="62">
        <v>0</v>
      </c>
      <c r="DJ141" s="62">
        <v>0</v>
      </c>
      <c r="DK141" s="62">
        <v>0</v>
      </c>
      <c r="DL141" s="62">
        <v>0</v>
      </c>
      <c r="DM141" s="190">
        <f t="shared" si="430"/>
        <v>0</v>
      </c>
      <c r="DN141" s="62">
        <v>0</v>
      </c>
      <c r="DO141" s="62">
        <v>0</v>
      </c>
      <c r="DP141" s="62">
        <v>0</v>
      </c>
      <c r="DQ141" s="62">
        <v>0</v>
      </c>
      <c r="DR141" s="62">
        <v>0</v>
      </c>
      <c r="DS141" s="62">
        <v>0</v>
      </c>
      <c r="DT141" s="62">
        <v>0</v>
      </c>
      <c r="DU141" s="62">
        <v>0</v>
      </c>
      <c r="DV141" s="62">
        <v>0</v>
      </c>
      <c r="DW141" s="62">
        <v>0</v>
      </c>
      <c r="DX141" s="62">
        <v>0</v>
      </c>
      <c r="DY141" s="62">
        <v>0</v>
      </c>
      <c r="DZ141" s="190">
        <f t="shared" si="431"/>
        <v>0</v>
      </c>
    </row>
    <row r="142" spans="1:130" ht="20.45" customHeight="1" outlineLevel="2">
      <c r="A142" s="525"/>
      <c r="B142" s="528"/>
      <c r="C142" s="30" t="s">
        <v>3039</v>
      </c>
      <c r="D142" s="62">
        <f t="shared" si="661"/>
        <v>563999.99999999988</v>
      </c>
      <c r="E142" s="184">
        <f t="shared" si="702"/>
        <v>1.7450179034969393E-3</v>
      </c>
      <c r="F142" s="62">
        <v>0</v>
      </c>
      <c r="G142" s="190">
        <f t="shared" si="433"/>
        <v>0</v>
      </c>
      <c r="H142" s="197">
        <f t="shared" si="703"/>
        <v>0</v>
      </c>
      <c r="I142" s="62">
        <v>0</v>
      </c>
      <c r="J142" s="62">
        <v>0</v>
      </c>
      <c r="K142" s="62">
        <v>0</v>
      </c>
      <c r="L142" s="62">
        <v>150000</v>
      </c>
      <c r="M142" s="62">
        <v>0</v>
      </c>
      <c r="N142" s="62">
        <v>0</v>
      </c>
      <c r="O142" s="62">
        <v>0</v>
      </c>
      <c r="P142" s="62">
        <v>10000</v>
      </c>
      <c r="Q142" s="62">
        <v>5000</v>
      </c>
      <c r="R142" s="62">
        <v>0</v>
      </c>
      <c r="S142" s="62">
        <v>15000</v>
      </c>
      <c r="T142" s="62">
        <v>0</v>
      </c>
      <c r="U142" s="190">
        <f t="shared" si="423"/>
        <v>180000</v>
      </c>
      <c r="V142" s="197">
        <f t="shared" si="704"/>
        <v>3.2444125763020498E-3</v>
      </c>
      <c r="W142" s="62">
        <v>0</v>
      </c>
      <c r="X142" s="62">
        <v>0</v>
      </c>
      <c r="Y142" s="62">
        <v>0</v>
      </c>
      <c r="Z142" s="62">
        <v>0</v>
      </c>
      <c r="AA142" s="62">
        <v>0</v>
      </c>
      <c r="AB142" s="62">
        <v>0</v>
      </c>
      <c r="AC142" s="62">
        <v>0</v>
      </c>
      <c r="AD142" s="62">
        <v>0</v>
      </c>
      <c r="AE142" s="62">
        <v>0</v>
      </c>
      <c r="AF142" s="62">
        <v>0</v>
      </c>
      <c r="AG142" s="62">
        <v>0</v>
      </c>
      <c r="AH142" s="62">
        <v>0</v>
      </c>
      <c r="AI142" s="190">
        <f t="shared" si="424"/>
        <v>0</v>
      </c>
      <c r="AJ142" s="197">
        <f t="shared" si="705"/>
        <v>0</v>
      </c>
      <c r="AK142" s="62">
        <v>0</v>
      </c>
      <c r="AL142" s="62">
        <v>0</v>
      </c>
      <c r="AM142" s="62">
        <v>0</v>
      </c>
      <c r="AN142" s="62">
        <v>0</v>
      </c>
      <c r="AO142" s="62">
        <v>9000</v>
      </c>
      <c r="AP142" s="62">
        <v>180000</v>
      </c>
      <c r="AQ142" s="62">
        <v>0</v>
      </c>
      <c r="AR142" s="62">
        <v>0</v>
      </c>
      <c r="AS142" s="62">
        <v>-5000</v>
      </c>
      <c r="AT142" s="62">
        <v>0</v>
      </c>
      <c r="AU142" s="62">
        <v>0</v>
      </c>
      <c r="AV142" s="62">
        <v>180000</v>
      </c>
      <c r="AW142" s="190">
        <f t="shared" si="425"/>
        <v>364000</v>
      </c>
      <c r="AX142" s="197">
        <f t="shared" si="706"/>
        <v>4.7714340847944394E-3</v>
      </c>
      <c r="AY142" s="62">
        <v>0</v>
      </c>
      <c r="AZ142" s="62">
        <v>0</v>
      </c>
      <c r="BA142" s="62">
        <v>0</v>
      </c>
      <c r="BB142" s="62">
        <v>0</v>
      </c>
      <c r="BC142" s="62">
        <f>10000</f>
        <v>10000</v>
      </c>
      <c r="BD142" s="62">
        <f>10000</f>
        <v>10000</v>
      </c>
      <c r="BE142" s="62">
        <v>0</v>
      </c>
      <c r="BF142" s="62">
        <v>0</v>
      </c>
      <c r="BG142" s="62">
        <v>0</v>
      </c>
      <c r="BH142" s="62">
        <v>0</v>
      </c>
      <c r="BI142" s="62">
        <v>0</v>
      </c>
      <c r="BJ142" s="62">
        <v>0</v>
      </c>
      <c r="BK142" s="190">
        <f t="shared" si="426"/>
        <v>20000</v>
      </c>
      <c r="BL142" s="197">
        <f t="shared" si="707"/>
        <v>2.8637285327391898E-4</v>
      </c>
      <c r="BM142" s="62">
        <v>0</v>
      </c>
      <c r="BN142" s="62">
        <v>0</v>
      </c>
      <c r="BO142" s="62">
        <v>0</v>
      </c>
      <c r="BP142" s="62">
        <v>0</v>
      </c>
      <c r="BQ142" s="62">
        <v>0</v>
      </c>
      <c r="BR142" s="62">
        <v>0</v>
      </c>
      <c r="BS142" s="62">
        <v>0</v>
      </c>
      <c r="BT142" s="62">
        <v>0</v>
      </c>
      <c r="BU142" s="62">
        <v>0</v>
      </c>
      <c r="BV142" s="62">
        <v>0</v>
      </c>
      <c r="BW142" s="62">
        <v>0</v>
      </c>
      <c r="BX142" s="62">
        <v>0</v>
      </c>
      <c r="BY142" s="190">
        <f t="shared" si="427"/>
        <v>0</v>
      </c>
      <c r="BZ142" s="197">
        <f t="shared" si="708"/>
        <v>0</v>
      </c>
      <c r="CA142" s="62">
        <v>0</v>
      </c>
      <c r="CB142" s="62">
        <v>0</v>
      </c>
      <c r="CC142" s="62">
        <v>0</v>
      </c>
      <c r="CD142" s="62">
        <v>0</v>
      </c>
      <c r="CE142" s="62">
        <v>0</v>
      </c>
      <c r="CF142" s="62">
        <v>0</v>
      </c>
      <c r="CG142" s="62">
        <v>0</v>
      </c>
      <c r="CH142" s="62">
        <v>0</v>
      </c>
      <c r="CI142" s="62">
        <v>0</v>
      </c>
      <c r="CJ142" s="62">
        <v>0</v>
      </c>
      <c r="CK142" s="62">
        <v>0</v>
      </c>
      <c r="CL142" s="62">
        <v>0</v>
      </c>
      <c r="CM142" s="190">
        <f t="shared" si="428"/>
        <v>0</v>
      </c>
      <c r="CN142" s="62">
        <v>0</v>
      </c>
      <c r="CO142" s="62">
        <v>0</v>
      </c>
      <c r="CP142" s="62">
        <v>0</v>
      </c>
      <c r="CQ142" s="62">
        <v>0</v>
      </c>
      <c r="CR142" s="62">
        <v>0</v>
      </c>
      <c r="CS142" s="62">
        <v>0</v>
      </c>
      <c r="CT142" s="62">
        <v>0</v>
      </c>
      <c r="CU142" s="62">
        <v>0</v>
      </c>
      <c r="CV142" s="62">
        <v>0</v>
      </c>
      <c r="CW142" s="62">
        <v>0</v>
      </c>
      <c r="CX142" s="62">
        <v>0</v>
      </c>
      <c r="CY142" s="62">
        <v>0</v>
      </c>
      <c r="CZ142" s="190">
        <f t="shared" si="429"/>
        <v>0</v>
      </c>
      <c r="DA142" s="62">
        <v>0</v>
      </c>
      <c r="DB142" s="62">
        <v>0</v>
      </c>
      <c r="DC142" s="62">
        <v>0</v>
      </c>
      <c r="DD142" s="62">
        <v>0</v>
      </c>
      <c r="DE142" s="62">
        <v>0</v>
      </c>
      <c r="DF142" s="62">
        <v>0</v>
      </c>
      <c r="DG142" s="62">
        <v>0</v>
      </c>
      <c r="DH142" s="62">
        <v>0</v>
      </c>
      <c r="DI142" s="62">
        <v>0</v>
      </c>
      <c r="DJ142" s="62">
        <v>0</v>
      </c>
      <c r="DK142" s="62">
        <v>0</v>
      </c>
      <c r="DL142" s="62">
        <v>0</v>
      </c>
      <c r="DM142" s="190">
        <f t="shared" si="430"/>
        <v>0</v>
      </c>
      <c r="DN142" s="62">
        <v>0</v>
      </c>
      <c r="DO142" s="62">
        <v>0</v>
      </c>
      <c r="DP142" s="62">
        <v>0</v>
      </c>
      <c r="DQ142" s="62">
        <v>0</v>
      </c>
      <c r="DR142" s="62">
        <v>0</v>
      </c>
      <c r="DS142" s="62">
        <v>0</v>
      </c>
      <c r="DT142" s="62">
        <v>0</v>
      </c>
      <c r="DU142" s="62">
        <v>0</v>
      </c>
      <c r="DV142" s="62">
        <v>0</v>
      </c>
      <c r="DW142" s="62">
        <v>0</v>
      </c>
      <c r="DX142" s="62">
        <v>0</v>
      </c>
      <c r="DY142" s="62">
        <v>0</v>
      </c>
      <c r="DZ142" s="190">
        <f t="shared" si="431"/>
        <v>0</v>
      </c>
    </row>
    <row r="143" spans="1:130" ht="20.45" customHeight="1" outlineLevel="2">
      <c r="A143" s="526"/>
      <c r="B143" s="528"/>
      <c r="C143" s="30" t="s">
        <v>2634</v>
      </c>
      <c r="D143" s="62">
        <f t="shared" si="661"/>
        <v>580000</v>
      </c>
      <c r="E143" s="184">
        <f t="shared" si="702"/>
        <v>1.7945219574968529E-3</v>
      </c>
      <c r="F143" s="62">
        <v>0</v>
      </c>
      <c r="G143" s="190">
        <f t="shared" si="433"/>
        <v>0</v>
      </c>
      <c r="H143" s="197">
        <f t="shared" si="703"/>
        <v>0</v>
      </c>
      <c r="I143" s="62">
        <v>0</v>
      </c>
      <c r="J143" s="62">
        <v>0</v>
      </c>
      <c r="K143" s="62">
        <v>0</v>
      </c>
      <c r="L143" s="62">
        <v>0</v>
      </c>
      <c r="M143" s="62">
        <v>0</v>
      </c>
      <c r="N143" s="62">
        <v>0</v>
      </c>
      <c r="O143" s="62">
        <v>0</v>
      </c>
      <c r="P143" s="62">
        <v>0</v>
      </c>
      <c r="Q143" s="62">
        <v>0</v>
      </c>
      <c r="R143" s="62">
        <v>0</v>
      </c>
      <c r="S143" s="62">
        <v>0</v>
      </c>
      <c r="T143" s="62">
        <v>0</v>
      </c>
      <c r="U143" s="190">
        <f t="shared" ref="U143" si="709">SUM(I143:T143)</f>
        <v>0</v>
      </c>
      <c r="V143" s="197">
        <f t="shared" si="704"/>
        <v>0</v>
      </c>
      <c r="W143" s="62">
        <v>0</v>
      </c>
      <c r="X143" s="62">
        <v>0</v>
      </c>
      <c r="Y143" s="62">
        <v>0</v>
      </c>
      <c r="Z143" s="62">
        <v>0</v>
      </c>
      <c r="AA143" s="62">
        <v>0</v>
      </c>
      <c r="AB143" s="62">
        <v>0</v>
      </c>
      <c r="AC143" s="62">
        <v>0</v>
      </c>
      <c r="AD143" s="62">
        <v>0</v>
      </c>
      <c r="AE143" s="62">
        <v>0</v>
      </c>
      <c r="AF143" s="62">
        <v>0</v>
      </c>
      <c r="AG143" s="62">
        <v>0</v>
      </c>
      <c r="AH143" s="62">
        <v>20000</v>
      </c>
      <c r="AI143" s="190">
        <f t="shared" si="424"/>
        <v>20000</v>
      </c>
      <c r="AJ143" s="197">
        <f t="shared" si="705"/>
        <v>2.7181778770710033E-4</v>
      </c>
      <c r="AK143" s="62">
        <v>20000</v>
      </c>
      <c r="AL143" s="62">
        <v>20000</v>
      </c>
      <c r="AM143" s="62">
        <v>20000</v>
      </c>
      <c r="AN143" s="62">
        <v>20000</v>
      </c>
      <c r="AO143" s="62">
        <v>20000</v>
      </c>
      <c r="AP143" s="62">
        <v>20000</v>
      </c>
      <c r="AQ143" s="62">
        <v>20000</v>
      </c>
      <c r="AR143" s="62">
        <v>20000</v>
      </c>
      <c r="AS143" s="62">
        <v>20000</v>
      </c>
      <c r="AT143" s="62">
        <v>20000</v>
      </c>
      <c r="AU143" s="62">
        <v>20000</v>
      </c>
      <c r="AV143" s="62">
        <v>20000</v>
      </c>
      <c r="AW143" s="190">
        <f t="shared" ref="AW143" si="710">SUM(AK143:AV143)</f>
        <v>240000</v>
      </c>
      <c r="AX143" s="197">
        <f t="shared" si="706"/>
        <v>3.1460004954688612E-3</v>
      </c>
      <c r="AY143" s="62">
        <v>20000</v>
      </c>
      <c r="AZ143" s="62">
        <v>20000</v>
      </c>
      <c r="BA143" s="62">
        <v>20000</v>
      </c>
      <c r="BB143" s="62">
        <v>20000</v>
      </c>
      <c r="BC143" s="62">
        <v>20000</v>
      </c>
      <c r="BD143" s="62">
        <v>20000</v>
      </c>
      <c r="BE143" s="62">
        <v>20000</v>
      </c>
      <c r="BF143" s="62">
        <v>20000</v>
      </c>
      <c r="BG143" s="62">
        <v>20000</v>
      </c>
      <c r="BH143" s="62">
        <v>20000</v>
      </c>
      <c r="BI143" s="62">
        <v>20000</v>
      </c>
      <c r="BJ143" s="62">
        <v>20000</v>
      </c>
      <c r="BK143" s="190">
        <f t="shared" ref="BK143" si="711">SUM(AY143:BJ143)</f>
        <v>240000</v>
      </c>
      <c r="BL143" s="197">
        <f t="shared" si="707"/>
        <v>3.4364742392870278E-3</v>
      </c>
      <c r="BM143" s="62">
        <v>20000</v>
      </c>
      <c r="BN143" s="62">
        <v>20000</v>
      </c>
      <c r="BO143" s="62">
        <v>20000</v>
      </c>
      <c r="BP143" s="62">
        <v>20000</v>
      </c>
      <c r="BQ143" s="62">
        <v>0</v>
      </c>
      <c r="BR143" s="62">
        <v>0</v>
      </c>
      <c r="BS143" s="62">
        <v>0</v>
      </c>
      <c r="BT143" s="62">
        <v>0</v>
      </c>
      <c r="BU143" s="62">
        <v>0</v>
      </c>
      <c r="BV143" s="62">
        <v>0</v>
      </c>
      <c r="BW143" s="62">
        <v>0</v>
      </c>
      <c r="BX143" s="62">
        <v>0</v>
      </c>
      <c r="BY143" s="190">
        <f t="shared" ref="BY143" si="712">SUM(BM143:BX143)</f>
        <v>80000</v>
      </c>
      <c r="BZ143" s="197">
        <f t="shared" si="708"/>
        <v>1.8330591764202601E-3</v>
      </c>
      <c r="CA143" s="62">
        <v>0</v>
      </c>
      <c r="CB143" s="62">
        <v>0</v>
      </c>
      <c r="CC143" s="62">
        <v>0</v>
      </c>
      <c r="CD143" s="62">
        <v>0</v>
      </c>
      <c r="CE143" s="62">
        <v>0</v>
      </c>
      <c r="CF143" s="62">
        <v>0</v>
      </c>
      <c r="CG143" s="62">
        <v>0</v>
      </c>
      <c r="CH143" s="62">
        <v>0</v>
      </c>
      <c r="CI143" s="62">
        <v>0</v>
      </c>
      <c r="CJ143" s="62">
        <v>0</v>
      </c>
      <c r="CK143" s="62">
        <v>0</v>
      </c>
      <c r="CL143" s="62">
        <v>0</v>
      </c>
      <c r="CM143" s="190">
        <f t="shared" ref="CM143" si="713">SUM(CA143:CL143)</f>
        <v>0</v>
      </c>
      <c r="CN143" s="62">
        <v>0</v>
      </c>
      <c r="CO143" s="62">
        <v>0</v>
      </c>
      <c r="CP143" s="62">
        <v>0</v>
      </c>
      <c r="CQ143" s="62">
        <v>0</v>
      </c>
      <c r="CR143" s="62">
        <v>0</v>
      </c>
      <c r="CS143" s="62">
        <v>0</v>
      </c>
      <c r="CT143" s="62">
        <v>0</v>
      </c>
      <c r="CU143" s="62">
        <v>0</v>
      </c>
      <c r="CV143" s="62">
        <v>0</v>
      </c>
      <c r="CW143" s="62">
        <v>0</v>
      </c>
      <c r="CX143" s="62">
        <v>0</v>
      </c>
      <c r="CY143" s="62">
        <v>0</v>
      </c>
      <c r="CZ143" s="190">
        <f t="shared" ref="CZ143" si="714">SUM(CN143:CY143)</f>
        <v>0</v>
      </c>
      <c r="DA143" s="62">
        <v>0</v>
      </c>
      <c r="DB143" s="62">
        <v>0</v>
      </c>
      <c r="DC143" s="62">
        <v>0</v>
      </c>
      <c r="DD143" s="62">
        <v>0</v>
      </c>
      <c r="DE143" s="62">
        <v>0</v>
      </c>
      <c r="DF143" s="62">
        <v>0</v>
      </c>
      <c r="DG143" s="62">
        <v>0</v>
      </c>
      <c r="DH143" s="62">
        <v>0</v>
      </c>
      <c r="DI143" s="62">
        <v>0</v>
      </c>
      <c r="DJ143" s="62">
        <v>0</v>
      </c>
      <c r="DK143" s="62">
        <v>0</v>
      </c>
      <c r="DL143" s="62">
        <v>0</v>
      </c>
      <c r="DM143" s="190">
        <f t="shared" ref="DM143" si="715">SUM(DA143:DL143)</f>
        <v>0</v>
      </c>
      <c r="DN143" s="62">
        <v>0</v>
      </c>
      <c r="DO143" s="62">
        <v>0</v>
      </c>
      <c r="DP143" s="62">
        <v>0</v>
      </c>
      <c r="DQ143" s="62">
        <v>0</v>
      </c>
      <c r="DR143" s="62">
        <v>0</v>
      </c>
      <c r="DS143" s="62">
        <v>0</v>
      </c>
      <c r="DT143" s="62">
        <v>0</v>
      </c>
      <c r="DU143" s="62">
        <v>0</v>
      </c>
      <c r="DV143" s="62">
        <v>0</v>
      </c>
      <c r="DW143" s="62">
        <v>0</v>
      </c>
      <c r="DX143" s="62">
        <v>0</v>
      </c>
      <c r="DY143" s="62">
        <v>0</v>
      </c>
      <c r="DZ143" s="190">
        <f t="shared" ref="DZ143" si="716">SUM(DN143:DY143)</f>
        <v>0</v>
      </c>
    </row>
    <row r="144" spans="1:130" ht="20.45" customHeight="1" outlineLevel="2">
      <c r="A144" s="525"/>
      <c r="B144" s="531"/>
      <c r="C144" s="30" t="s">
        <v>380</v>
      </c>
      <c r="D144" s="62">
        <f t="shared" si="661"/>
        <v>8203637.9999999972</v>
      </c>
      <c r="E144" s="184">
        <f t="shared" si="702"/>
        <v>2.538208365923373E-2</v>
      </c>
      <c r="F144" s="62">
        <v>0</v>
      </c>
      <c r="G144" s="190">
        <f t="shared" si="433"/>
        <v>0</v>
      </c>
      <c r="H144" s="197">
        <f t="shared" si="703"/>
        <v>0</v>
      </c>
      <c r="I144" s="62">
        <v>0</v>
      </c>
      <c r="J144" s="62">
        <v>0</v>
      </c>
      <c r="K144" s="62">
        <v>0</v>
      </c>
      <c r="L144" s="62">
        <v>5000</v>
      </c>
      <c r="M144" s="62">
        <v>0</v>
      </c>
      <c r="N144" s="62">
        <v>0</v>
      </c>
      <c r="O144" s="62">
        <v>0</v>
      </c>
      <c r="P144" s="62">
        <v>0</v>
      </c>
      <c r="Q144" s="62">
        <v>0</v>
      </c>
      <c r="R144" s="62">
        <v>0</v>
      </c>
      <c r="S144" s="62">
        <v>5250</v>
      </c>
      <c r="T144" s="62">
        <v>400</v>
      </c>
      <c r="U144" s="190">
        <f t="shared" si="423"/>
        <v>10650</v>
      </c>
      <c r="V144" s="197">
        <f t="shared" si="704"/>
        <v>1.9196107743120461E-4</v>
      </c>
      <c r="W144" s="62">
        <v>35000</v>
      </c>
      <c r="X144" s="62">
        <v>0</v>
      </c>
      <c r="Y144" s="62">
        <v>0</v>
      </c>
      <c r="Z144" s="62">
        <v>5000</v>
      </c>
      <c r="AA144" s="62">
        <v>0</v>
      </c>
      <c r="AB144" s="62">
        <v>0</v>
      </c>
      <c r="AC144" s="62">
        <v>6500000</v>
      </c>
      <c r="AD144" s="62">
        <v>0</v>
      </c>
      <c r="AE144" s="62">
        <v>0</v>
      </c>
      <c r="AF144" s="62">
        <v>299970</v>
      </c>
      <c r="AG144" s="62">
        <v>0</v>
      </c>
      <c r="AH144" s="62">
        <f>15100+9700</f>
        <v>24800</v>
      </c>
      <c r="AI144" s="190">
        <f t="shared" si="424"/>
        <v>6864770</v>
      </c>
      <c r="AJ144" s="197">
        <f t="shared" si="705"/>
        <v>9.3298329725903559E-2</v>
      </c>
      <c r="AK144" s="62">
        <f>-4850</f>
        <v>-4850</v>
      </c>
      <c r="AL144" s="62">
        <v>0</v>
      </c>
      <c r="AM144" s="62">
        <v>0</v>
      </c>
      <c r="AN144" s="62">
        <v>0</v>
      </c>
      <c r="AO144" s="62">
        <v>0</v>
      </c>
      <c r="AP144" s="62">
        <f>50000+3400</f>
        <v>53400</v>
      </c>
      <c r="AQ144" s="62">
        <f>18000</f>
        <v>18000</v>
      </c>
      <c r="AR144" s="62">
        <v>0</v>
      </c>
      <c r="AS144" s="62">
        <f>108160</f>
        <v>108160</v>
      </c>
      <c r="AT144" s="62">
        <v>0</v>
      </c>
      <c r="AU144" s="62">
        <f>10000+28710</f>
        <v>38710</v>
      </c>
      <c r="AV144" s="62">
        <f>100000+2000+8000</f>
        <v>110000</v>
      </c>
      <c r="AW144" s="190">
        <f t="shared" si="425"/>
        <v>323420</v>
      </c>
      <c r="AX144" s="197">
        <f t="shared" si="706"/>
        <v>4.2394978343522462E-3</v>
      </c>
      <c r="AY144" s="62">
        <v>0</v>
      </c>
      <c r="AZ144" s="62">
        <v>400</v>
      </c>
      <c r="BA144" s="62">
        <v>0</v>
      </c>
      <c r="BB144" s="62">
        <f>12000+5300</f>
        <v>17300</v>
      </c>
      <c r="BC144" s="62">
        <f>-1</f>
        <v>-1</v>
      </c>
      <c r="BD144" s="62">
        <v>320000</v>
      </c>
      <c r="BE144" s="62">
        <v>0</v>
      </c>
      <c r="BF144" s="62">
        <v>320000</v>
      </c>
      <c r="BG144" s="62">
        <f>-160000+150000+20000+17000</f>
        <v>27000</v>
      </c>
      <c r="BH144" s="62">
        <f>50000</f>
        <v>50000</v>
      </c>
      <c r="BI144" s="62">
        <f>3000+39900+4000+3000+16487</f>
        <v>66387</v>
      </c>
      <c r="BJ144" s="62">
        <f>42657</f>
        <v>42657</v>
      </c>
      <c r="BK144" s="190">
        <f t="shared" si="426"/>
        <v>843743</v>
      </c>
      <c r="BL144" s="197">
        <f t="shared" si="707"/>
        <v>1.2081254516994811E-2</v>
      </c>
      <c r="BM144" s="62">
        <v>0</v>
      </c>
      <c r="BN144" s="62">
        <v>0</v>
      </c>
      <c r="BO144" s="62">
        <v>0</v>
      </c>
      <c r="BP144" s="62">
        <f>8000+24555+100000</f>
        <v>132555</v>
      </c>
      <c r="BQ144" s="62">
        <f>28500</f>
        <v>28500</v>
      </c>
      <c r="BR144" s="62">
        <v>0</v>
      </c>
      <c r="BS144" s="62">
        <v>0</v>
      </c>
      <c r="BT144" s="62">
        <v>0</v>
      </c>
      <c r="BU144" s="62">
        <v>0</v>
      </c>
      <c r="BV144" s="62">
        <v>0</v>
      </c>
      <c r="BW144" s="62">
        <v>0</v>
      </c>
      <c r="BX144" s="62">
        <v>0</v>
      </c>
      <c r="BY144" s="190">
        <f t="shared" si="427"/>
        <v>161055</v>
      </c>
      <c r="BZ144" s="197">
        <f t="shared" si="708"/>
        <v>3.6902918207295621E-3</v>
      </c>
      <c r="CA144" s="62">
        <v>0</v>
      </c>
      <c r="CB144" s="62">
        <v>0</v>
      </c>
      <c r="CC144" s="62">
        <v>0</v>
      </c>
      <c r="CD144" s="62">
        <v>0</v>
      </c>
      <c r="CE144" s="62">
        <v>0</v>
      </c>
      <c r="CF144" s="62">
        <v>0</v>
      </c>
      <c r="CG144" s="62">
        <v>0</v>
      </c>
      <c r="CH144" s="62">
        <v>0</v>
      </c>
      <c r="CI144" s="62">
        <v>0</v>
      </c>
      <c r="CJ144" s="62">
        <v>0</v>
      </c>
      <c r="CK144" s="62">
        <v>0</v>
      </c>
      <c r="CL144" s="62">
        <v>0</v>
      </c>
      <c r="CM144" s="190">
        <f t="shared" si="428"/>
        <v>0</v>
      </c>
      <c r="CN144" s="62">
        <v>0</v>
      </c>
      <c r="CO144" s="62">
        <v>0</v>
      </c>
      <c r="CP144" s="62">
        <v>0</v>
      </c>
      <c r="CQ144" s="62">
        <v>0</v>
      </c>
      <c r="CR144" s="62">
        <v>0</v>
      </c>
      <c r="CS144" s="62">
        <v>0</v>
      </c>
      <c r="CT144" s="62">
        <v>0</v>
      </c>
      <c r="CU144" s="62">
        <v>0</v>
      </c>
      <c r="CV144" s="62">
        <v>0</v>
      </c>
      <c r="CW144" s="62">
        <v>0</v>
      </c>
      <c r="CX144" s="62">
        <v>0</v>
      </c>
      <c r="CY144" s="62">
        <v>0</v>
      </c>
      <c r="CZ144" s="190">
        <f t="shared" si="429"/>
        <v>0</v>
      </c>
      <c r="DA144" s="62">
        <v>0</v>
      </c>
      <c r="DB144" s="62">
        <v>0</v>
      </c>
      <c r="DC144" s="62">
        <v>0</v>
      </c>
      <c r="DD144" s="62">
        <v>0</v>
      </c>
      <c r="DE144" s="62">
        <v>0</v>
      </c>
      <c r="DF144" s="62">
        <v>0</v>
      </c>
      <c r="DG144" s="62">
        <v>0</v>
      </c>
      <c r="DH144" s="62">
        <v>0</v>
      </c>
      <c r="DI144" s="62">
        <v>0</v>
      </c>
      <c r="DJ144" s="62">
        <v>0</v>
      </c>
      <c r="DK144" s="62">
        <v>0</v>
      </c>
      <c r="DL144" s="62">
        <v>0</v>
      </c>
      <c r="DM144" s="190">
        <f t="shared" si="430"/>
        <v>0</v>
      </c>
      <c r="DN144" s="62">
        <v>0</v>
      </c>
      <c r="DO144" s="62">
        <v>0</v>
      </c>
      <c r="DP144" s="62">
        <v>0</v>
      </c>
      <c r="DQ144" s="62">
        <v>0</v>
      </c>
      <c r="DR144" s="62">
        <v>0</v>
      </c>
      <c r="DS144" s="62">
        <v>0</v>
      </c>
      <c r="DT144" s="62">
        <v>0</v>
      </c>
      <c r="DU144" s="62">
        <v>0</v>
      </c>
      <c r="DV144" s="62">
        <v>0</v>
      </c>
      <c r="DW144" s="62">
        <v>0</v>
      </c>
      <c r="DX144" s="62">
        <v>0</v>
      </c>
      <c r="DY144" s="62">
        <v>0</v>
      </c>
      <c r="DZ144" s="190">
        <f t="shared" si="431"/>
        <v>0</v>
      </c>
    </row>
    <row r="145" spans="1:130" s="194" customFormat="1" ht="20.45" customHeight="1">
      <c r="A145" s="556" t="s">
        <v>381</v>
      </c>
      <c r="B145" s="67"/>
      <c r="C145" s="328" t="s">
        <v>2635</v>
      </c>
      <c r="D145" s="68">
        <f t="shared" si="661"/>
        <v>75180610</v>
      </c>
      <c r="E145" s="188">
        <f>SUM(E146)</f>
        <v>0.23260906107415083</v>
      </c>
      <c r="F145" s="62">
        <f t="shared" ref="F145:DY150" si="717">SUM(F146)</f>
        <v>916411</v>
      </c>
      <c r="G145" s="193">
        <f t="shared" si="433"/>
        <v>916411</v>
      </c>
      <c r="H145" s="196">
        <f>SUM(H146)</f>
        <v>0.20932637871310592</v>
      </c>
      <c r="I145" s="192">
        <f t="shared" si="717"/>
        <v>1225415</v>
      </c>
      <c r="J145" s="192">
        <f t="shared" si="717"/>
        <v>0</v>
      </c>
      <c r="K145" s="192">
        <f t="shared" si="717"/>
        <v>1000000</v>
      </c>
      <c r="L145" s="192">
        <f t="shared" si="717"/>
        <v>2000000</v>
      </c>
      <c r="M145" s="192">
        <f t="shared" si="717"/>
        <v>1000000</v>
      </c>
      <c r="N145" s="192">
        <f t="shared" si="717"/>
        <v>0</v>
      </c>
      <c r="O145" s="192">
        <f t="shared" si="717"/>
        <v>1000000</v>
      </c>
      <c r="P145" s="192">
        <f t="shared" si="717"/>
        <v>1000000</v>
      </c>
      <c r="Q145" s="192">
        <f t="shared" si="717"/>
        <v>1000000</v>
      </c>
      <c r="R145" s="192">
        <f t="shared" si="717"/>
        <v>1000000</v>
      </c>
      <c r="S145" s="192">
        <f t="shared" si="717"/>
        <v>1000000</v>
      </c>
      <c r="T145" s="192">
        <f t="shared" si="717"/>
        <v>1000000</v>
      </c>
      <c r="U145" s="193">
        <f t="shared" si="423"/>
        <v>11225415</v>
      </c>
      <c r="V145" s="196">
        <f>SUM(V146)</f>
        <v>0.20233265333449821</v>
      </c>
      <c r="W145" s="192">
        <f t="shared" si="717"/>
        <v>1000000</v>
      </c>
      <c r="X145" s="192">
        <f t="shared" si="717"/>
        <v>1577720</v>
      </c>
      <c r="Y145" s="192">
        <f t="shared" si="717"/>
        <v>2744958</v>
      </c>
      <c r="Z145" s="192">
        <f t="shared" si="717"/>
        <v>1337600</v>
      </c>
      <c r="AA145" s="192">
        <f t="shared" si="717"/>
        <v>1700410</v>
      </c>
      <c r="AB145" s="192">
        <f t="shared" si="717"/>
        <v>1300000</v>
      </c>
      <c r="AC145" s="192">
        <f t="shared" si="717"/>
        <v>1632700</v>
      </c>
      <c r="AD145" s="192">
        <f t="shared" si="717"/>
        <v>1300000</v>
      </c>
      <c r="AE145" s="192">
        <f t="shared" si="717"/>
        <v>1300000</v>
      </c>
      <c r="AF145" s="192">
        <f t="shared" si="717"/>
        <v>1352500</v>
      </c>
      <c r="AG145" s="192">
        <f t="shared" si="717"/>
        <v>1300000</v>
      </c>
      <c r="AH145" s="192">
        <f t="shared" si="717"/>
        <v>1300000</v>
      </c>
      <c r="AI145" s="193">
        <f t="shared" si="424"/>
        <v>17845888</v>
      </c>
      <c r="AJ145" s="196">
        <f>SUM(AJ146)</f>
        <v>0.24254148979143447</v>
      </c>
      <c r="AK145" s="192">
        <f t="shared" si="717"/>
        <v>1800000</v>
      </c>
      <c r="AL145" s="192">
        <f t="shared" si="717"/>
        <v>2713340</v>
      </c>
      <c r="AM145" s="192">
        <f t="shared" si="717"/>
        <v>1660000</v>
      </c>
      <c r="AN145" s="192">
        <f t="shared" si="717"/>
        <v>1300000</v>
      </c>
      <c r="AO145" s="192">
        <f t="shared" si="717"/>
        <v>1300000</v>
      </c>
      <c r="AP145" s="192">
        <f t="shared" si="717"/>
        <v>1300000</v>
      </c>
      <c r="AQ145" s="192">
        <f t="shared" si="717"/>
        <v>1300000</v>
      </c>
      <c r="AR145" s="192">
        <f t="shared" si="717"/>
        <v>1300000</v>
      </c>
      <c r="AS145" s="192">
        <f t="shared" si="717"/>
        <v>1300000</v>
      </c>
      <c r="AT145" s="192">
        <f t="shared" si="717"/>
        <v>1300000</v>
      </c>
      <c r="AU145" s="192">
        <f t="shared" si="717"/>
        <v>1300000</v>
      </c>
      <c r="AV145" s="192">
        <f t="shared" si="717"/>
        <v>2019556</v>
      </c>
      <c r="AW145" s="193">
        <f t="shared" si="425"/>
        <v>18592896</v>
      </c>
      <c r="AX145" s="196">
        <f>SUM(AX146)</f>
        <v>0.24372191678417088</v>
      </c>
      <c r="AY145" s="192">
        <f t="shared" si="717"/>
        <v>1300000</v>
      </c>
      <c r="AZ145" s="192">
        <f t="shared" si="717"/>
        <v>1300000</v>
      </c>
      <c r="BA145" s="192">
        <f t="shared" si="717"/>
        <v>4300000</v>
      </c>
      <c r="BB145" s="192">
        <f t="shared" si="717"/>
        <v>3300000</v>
      </c>
      <c r="BC145" s="192">
        <f t="shared" si="717"/>
        <v>1300000</v>
      </c>
      <c r="BD145" s="192">
        <f t="shared" si="717"/>
        <v>0</v>
      </c>
      <c r="BE145" s="192">
        <f t="shared" si="717"/>
        <v>0</v>
      </c>
      <c r="BF145" s="192">
        <f t="shared" si="717"/>
        <v>0</v>
      </c>
      <c r="BG145" s="192">
        <f t="shared" si="717"/>
        <v>1500000</v>
      </c>
      <c r="BH145" s="192">
        <f t="shared" si="717"/>
        <v>2500000</v>
      </c>
      <c r="BI145" s="192">
        <f t="shared" si="717"/>
        <v>1500000</v>
      </c>
      <c r="BJ145" s="192">
        <f t="shared" si="717"/>
        <v>1500000</v>
      </c>
      <c r="BK145" s="193">
        <f t="shared" si="426"/>
        <v>18500000</v>
      </c>
      <c r="BL145" s="196">
        <f>SUM(BL146)</f>
        <v>0.26489488927837507</v>
      </c>
      <c r="BM145" s="192">
        <f t="shared" si="717"/>
        <v>1500000</v>
      </c>
      <c r="BN145" s="192">
        <f t="shared" si="717"/>
        <v>1500000</v>
      </c>
      <c r="BO145" s="192">
        <f t="shared" si="717"/>
        <v>1500000</v>
      </c>
      <c r="BP145" s="192">
        <f t="shared" si="717"/>
        <v>1800000</v>
      </c>
      <c r="BQ145" s="192">
        <f t="shared" si="717"/>
        <v>1800000</v>
      </c>
      <c r="BR145" s="192">
        <f t="shared" si="717"/>
        <v>0</v>
      </c>
      <c r="BS145" s="192">
        <f t="shared" si="717"/>
        <v>0</v>
      </c>
      <c r="BT145" s="192">
        <f t="shared" si="717"/>
        <v>0</v>
      </c>
      <c r="BU145" s="192">
        <f t="shared" si="717"/>
        <v>0</v>
      </c>
      <c r="BV145" s="192">
        <f t="shared" si="717"/>
        <v>0</v>
      </c>
      <c r="BW145" s="192">
        <f t="shared" si="717"/>
        <v>0</v>
      </c>
      <c r="BX145" s="192">
        <f t="shared" si="717"/>
        <v>0</v>
      </c>
      <c r="BY145" s="193">
        <f t="shared" si="427"/>
        <v>8100000</v>
      </c>
      <c r="BZ145" s="196">
        <f>SUM(BZ146)</f>
        <v>0.18559724161255131</v>
      </c>
      <c r="CA145" s="192">
        <f t="shared" si="717"/>
        <v>0</v>
      </c>
      <c r="CB145" s="192">
        <f t="shared" si="717"/>
        <v>0</v>
      </c>
      <c r="CC145" s="192">
        <f t="shared" si="717"/>
        <v>0</v>
      </c>
      <c r="CD145" s="192">
        <f t="shared" si="717"/>
        <v>0</v>
      </c>
      <c r="CE145" s="192">
        <f t="shared" si="717"/>
        <v>0</v>
      </c>
      <c r="CF145" s="192">
        <f t="shared" si="717"/>
        <v>0</v>
      </c>
      <c r="CG145" s="192">
        <f t="shared" si="717"/>
        <v>0</v>
      </c>
      <c r="CH145" s="192">
        <f t="shared" si="717"/>
        <v>0</v>
      </c>
      <c r="CI145" s="192">
        <f t="shared" si="717"/>
        <v>0</v>
      </c>
      <c r="CJ145" s="192">
        <f t="shared" si="717"/>
        <v>0</v>
      </c>
      <c r="CK145" s="192">
        <f t="shared" si="717"/>
        <v>0</v>
      </c>
      <c r="CL145" s="192">
        <f t="shared" si="717"/>
        <v>0</v>
      </c>
      <c r="CM145" s="193">
        <f t="shared" si="428"/>
        <v>0</v>
      </c>
      <c r="CN145" s="192">
        <f t="shared" si="717"/>
        <v>0</v>
      </c>
      <c r="CO145" s="192">
        <f t="shared" si="717"/>
        <v>0</v>
      </c>
      <c r="CP145" s="192">
        <f t="shared" si="717"/>
        <v>0</v>
      </c>
      <c r="CQ145" s="192">
        <f t="shared" si="717"/>
        <v>0</v>
      </c>
      <c r="CR145" s="192">
        <f t="shared" si="717"/>
        <v>0</v>
      </c>
      <c r="CS145" s="192">
        <f t="shared" si="717"/>
        <v>0</v>
      </c>
      <c r="CT145" s="192">
        <f t="shared" si="717"/>
        <v>0</v>
      </c>
      <c r="CU145" s="192">
        <f t="shared" si="717"/>
        <v>0</v>
      </c>
      <c r="CV145" s="192">
        <f t="shared" si="717"/>
        <v>0</v>
      </c>
      <c r="CW145" s="192">
        <f t="shared" si="717"/>
        <v>0</v>
      </c>
      <c r="CX145" s="192">
        <f t="shared" si="717"/>
        <v>0</v>
      </c>
      <c r="CY145" s="192">
        <f t="shared" si="717"/>
        <v>0</v>
      </c>
      <c r="CZ145" s="193">
        <f t="shared" si="429"/>
        <v>0</v>
      </c>
      <c r="DA145" s="192">
        <f t="shared" si="717"/>
        <v>0</v>
      </c>
      <c r="DB145" s="192">
        <f t="shared" si="717"/>
        <v>0</v>
      </c>
      <c r="DC145" s="192">
        <f t="shared" si="717"/>
        <v>0</v>
      </c>
      <c r="DD145" s="192">
        <f t="shared" si="717"/>
        <v>0</v>
      </c>
      <c r="DE145" s="192">
        <f t="shared" si="717"/>
        <v>0</v>
      </c>
      <c r="DF145" s="192">
        <f t="shared" si="717"/>
        <v>0</v>
      </c>
      <c r="DG145" s="192">
        <f t="shared" si="717"/>
        <v>0</v>
      </c>
      <c r="DH145" s="192">
        <f t="shared" si="717"/>
        <v>0</v>
      </c>
      <c r="DI145" s="192">
        <f t="shared" si="717"/>
        <v>0</v>
      </c>
      <c r="DJ145" s="192">
        <f t="shared" si="717"/>
        <v>0</v>
      </c>
      <c r="DK145" s="192">
        <f t="shared" si="717"/>
        <v>0</v>
      </c>
      <c r="DL145" s="192">
        <f t="shared" si="717"/>
        <v>0</v>
      </c>
      <c r="DM145" s="193">
        <f t="shared" si="430"/>
        <v>0</v>
      </c>
      <c r="DN145" s="192">
        <f t="shared" si="717"/>
        <v>0</v>
      </c>
      <c r="DO145" s="192">
        <f t="shared" si="717"/>
        <v>0</v>
      </c>
      <c r="DP145" s="192">
        <f t="shared" si="717"/>
        <v>0</v>
      </c>
      <c r="DQ145" s="192">
        <f t="shared" si="717"/>
        <v>0</v>
      </c>
      <c r="DR145" s="192">
        <f t="shared" si="717"/>
        <v>0</v>
      </c>
      <c r="DS145" s="192">
        <f t="shared" si="717"/>
        <v>0</v>
      </c>
      <c r="DT145" s="192">
        <f t="shared" si="717"/>
        <v>0</v>
      </c>
      <c r="DU145" s="192">
        <f t="shared" si="717"/>
        <v>0</v>
      </c>
      <c r="DV145" s="192">
        <f t="shared" si="717"/>
        <v>0</v>
      </c>
      <c r="DW145" s="192">
        <f t="shared" si="717"/>
        <v>0</v>
      </c>
      <c r="DX145" s="192">
        <f t="shared" si="717"/>
        <v>0</v>
      </c>
      <c r="DY145" s="192">
        <f t="shared" si="717"/>
        <v>0</v>
      </c>
      <c r="DZ145" s="193">
        <f t="shared" si="431"/>
        <v>0</v>
      </c>
    </row>
    <row r="146" spans="1:130" ht="20.45" customHeight="1" outlineLevel="2">
      <c r="A146" s="557"/>
      <c r="B146" s="538" t="s">
        <v>2879</v>
      </c>
      <c r="C146" s="539"/>
      <c r="D146" s="62">
        <f t="shared" si="661"/>
        <v>75180610</v>
      </c>
      <c r="E146" s="184">
        <f t="shared" ref="E146" si="718">D146/(D$5+D$6+D$7+D$8+D$10+D$9)</f>
        <v>0.23260906107415083</v>
      </c>
      <c r="F146" s="62">
        <v>916411</v>
      </c>
      <c r="G146" s="190">
        <f t="shared" si="433"/>
        <v>916411</v>
      </c>
      <c r="H146" s="197">
        <f>G146/(G$5+G$6+G$7+G$8+G$10+G$9)</f>
        <v>0.20932637871310592</v>
      </c>
      <c r="I146" s="62">
        <v>1225415</v>
      </c>
      <c r="J146" s="62">
        <v>0</v>
      </c>
      <c r="K146" s="62">
        <v>1000000</v>
      </c>
      <c r="L146" s="62">
        <v>2000000</v>
      </c>
      <c r="M146" s="62">
        <v>1000000</v>
      </c>
      <c r="N146" s="62">
        <v>0</v>
      </c>
      <c r="O146" s="62">
        <v>1000000</v>
      </c>
      <c r="P146" s="62">
        <v>1000000</v>
      </c>
      <c r="Q146" s="62">
        <v>1000000</v>
      </c>
      <c r="R146" s="62">
        <v>1000000</v>
      </c>
      <c r="S146" s="62">
        <v>1000000</v>
      </c>
      <c r="T146" s="62">
        <v>1000000</v>
      </c>
      <c r="U146" s="190">
        <f t="shared" si="423"/>
        <v>11225415</v>
      </c>
      <c r="V146" s="197">
        <f>U146/(U$5+U$6+U$7+U$8+U$10+U$9)</f>
        <v>0.20233265333449821</v>
      </c>
      <c r="W146" s="62">
        <v>1000000</v>
      </c>
      <c r="X146" s="62">
        <v>1577720</v>
      </c>
      <c r="Y146" s="62">
        <f>1300000+1444958</f>
        <v>2744958</v>
      </c>
      <c r="Z146" s="62">
        <f>1300000+37600</f>
        <v>1337600</v>
      </c>
      <c r="AA146" s="62">
        <f>IF(AA5=0,0,1300000)+400410</f>
        <v>1700410</v>
      </c>
      <c r="AB146" s="62">
        <f>IF(AB5=0,0,1300000)</f>
        <v>1300000</v>
      </c>
      <c r="AC146" s="62">
        <f>IF(AC5=0,0,1300000)+32700+300000</f>
        <v>1632700</v>
      </c>
      <c r="AD146" s="62">
        <f>IF(AD5=0,0,1300000)</f>
        <v>1300000</v>
      </c>
      <c r="AE146" s="62">
        <f>IF(AE5=0,0,1300000)</f>
        <v>1300000</v>
      </c>
      <c r="AF146" s="62">
        <f>IF(AF5=0,0,1300000)+52500</f>
        <v>1352500</v>
      </c>
      <c r="AG146" s="62">
        <f>IF(AG5=0,0,1300000)</f>
        <v>1300000</v>
      </c>
      <c r="AH146" s="62">
        <f>IF(AH5=0,0,1300000)</f>
        <v>1300000</v>
      </c>
      <c r="AI146" s="190">
        <f t="shared" si="424"/>
        <v>17845888</v>
      </c>
      <c r="AJ146" s="197">
        <f>AI146/(AI$5+AI$6+AI$7+AI$8+AI$10+AI$9)</f>
        <v>0.24254148979143447</v>
      </c>
      <c r="AK146" s="62">
        <f>IF(AK5=0,0,1300000)+500000</f>
        <v>1800000</v>
      </c>
      <c r="AL146" s="62">
        <f>IF(AL5=0,0,1300000)+1413340</f>
        <v>2713340</v>
      </c>
      <c r="AM146" s="62">
        <f>IF(AM5=0,0,1300000)+360000</f>
        <v>1660000</v>
      </c>
      <c r="AN146" s="62">
        <f t="shared" ref="AN146:AU146" si="719">IF(AN5=0,0,1300000)</f>
        <v>1300000</v>
      </c>
      <c r="AO146" s="62">
        <f t="shared" si="719"/>
        <v>1300000</v>
      </c>
      <c r="AP146" s="62">
        <f t="shared" si="719"/>
        <v>1300000</v>
      </c>
      <c r="AQ146" s="62">
        <f t="shared" si="719"/>
        <v>1300000</v>
      </c>
      <c r="AR146" s="62">
        <f t="shared" si="719"/>
        <v>1300000</v>
      </c>
      <c r="AS146" s="62">
        <f t="shared" si="719"/>
        <v>1300000</v>
      </c>
      <c r="AT146" s="62">
        <f t="shared" si="719"/>
        <v>1300000</v>
      </c>
      <c r="AU146" s="62">
        <f t="shared" si="719"/>
        <v>1300000</v>
      </c>
      <c r="AV146" s="62">
        <f>IF(AV5=0,0,1300000)+219556+500000</f>
        <v>2019556</v>
      </c>
      <c r="AW146" s="190">
        <f t="shared" si="425"/>
        <v>18592896</v>
      </c>
      <c r="AX146" s="197">
        <f>AW146/(AW$5+AW$6+AW$7+AW$8+AW$10+AW$9)</f>
        <v>0.24372191678417088</v>
      </c>
      <c r="AY146" s="62">
        <f t="shared" ref="AY146:BC146" si="720">IF(AY5=0,0,1300000)</f>
        <v>1300000</v>
      </c>
      <c r="AZ146" s="62">
        <f t="shared" si="720"/>
        <v>1300000</v>
      </c>
      <c r="BA146" s="62">
        <f>IF(BA5=0,0,1300000)+3000000</f>
        <v>4300000</v>
      </c>
      <c r="BB146" s="62">
        <f>IF(BB5=0,0,1300000)+2000000</f>
        <v>3300000</v>
      </c>
      <c r="BC146" s="62">
        <f t="shared" si="720"/>
        <v>1300000</v>
      </c>
      <c r="BD146" s="62">
        <v>0</v>
      </c>
      <c r="BE146" s="62">
        <v>0</v>
      </c>
      <c r="BF146" s="62">
        <v>0</v>
      </c>
      <c r="BG146" s="62">
        <f>IF(BG5=0,0,1500000)</f>
        <v>1500000</v>
      </c>
      <c r="BH146" s="62">
        <f>IF(BH5=0,0,1500000)+1000000</f>
        <v>2500000</v>
      </c>
      <c r="BI146" s="62">
        <f t="shared" ref="BI146:BJ146" si="721">IF(BI5=0,0,1500000)</f>
        <v>1500000</v>
      </c>
      <c r="BJ146" s="62">
        <f t="shared" si="721"/>
        <v>1500000</v>
      </c>
      <c r="BK146" s="190">
        <f t="shared" si="426"/>
        <v>18500000</v>
      </c>
      <c r="BL146" s="197">
        <f>BK146/(BK$5+BK$6+BK$7+BK$8+BK$10+BK$9)</f>
        <v>0.26489488927837507</v>
      </c>
      <c r="BM146" s="62">
        <f t="shared" ref="BM146:BO146" si="722">IF(BM5=0,0,1500000)</f>
        <v>1500000</v>
      </c>
      <c r="BN146" s="62">
        <f t="shared" si="722"/>
        <v>1500000</v>
      </c>
      <c r="BO146" s="62">
        <f t="shared" si="722"/>
        <v>1500000</v>
      </c>
      <c r="BP146" s="62">
        <f>IF(BP5=0,0,1800000)</f>
        <v>1800000</v>
      </c>
      <c r="BQ146" s="62">
        <f t="shared" ref="BQ146:BX146" si="723">IF(BQ5=0,0,1800000)</f>
        <v>1800000</v>
      </c>
      <c r="BR146" s="62">
        <f t="shared" si="723"/>
        <v>0</v>
      </c>
      <c r="BS146" s="62">
        <f t="shared" si="723"/>
        <v>0</v>
      </c>
      <c r="BT146" s="62">
        <f t="shared" si="723"/>
        <v>0</v>
      </c>
      <c r="BU146" s="62">
        <f t="shared" si="723"/>
        <v>0</v>
      </c>
      <c r="BV146" s="62">
        <f t="shared" si="723"/>
        <v>0</v>
      </c>
      <c r="BW146" s="62">
        <f t="shared" si="723"/>
        <v>0</v>
      </c>
      <c r="BX146" s="62">
        <f t="shared" si="723"/>
        <v>0</v>
      </c>
      <c r="BY146" s="190">
        <f t="shared" si="427"/>
        <v>8100000</v>
      </c>
      <c r="BZ146" s="197">
        <f>BY146/(BY$5+BY$6+BY$7+BY$8+BY$10+BY$9)</f>
        <v>0.18559724161255131</v>
      </c>
      <c r="CA146" s="62">
        <f t="shared" ref="CA146:DY146" si="724">IF(CA5=0,0,1800000)</f>
        <v>0</v>
      </c>
      <c r="CB146" s="62">
        <f t="shared" si="724"/>
        <v>0</v>
      </c>
      <c r="CC146" s="62">
        <f t="shared" si="724"/>
        <v>0</v>
      </c>
      <c r="CD146" s="62">
        <f t="shared" si="724"/>
        <v>0</v>
      </c>
      <c r="CE146" s="62">
        <f t="shared" si="724"/>
        <v>0</v>
      </c>
      <c r="CF146" s="62">
        <f t="shared" si="724"/>
        <v>0</v>
      </c>
      <c r="CG146" s="62">
        <f t="shared" si="724"/>
        <v>0</v>
      </c>
      <c r="CH146" s="62">
        <f t="shared" si="724"/>
        <v>0</v>
      </c>
      <c r="CI146" s="62">
        <f t="shared" si="724"/>
        <v>0</v>
      </c>
      <c r="CJ146" s="62">
        <f t="shared" si="724"/>
        <v>0</v>
      </c>
      <c r="CK146" s="62">
        <f t="shared" si="724"/>
        <v>0</v>
      </c>
      <c r="CL146" s="62">
        <f t="shared" si="724"/>
        <v>0</v>
      </c>
      <c r="CM146" s="190">
        <f t="shared" si="428"/>
        <v>0</v>
      </c>
      <c r="CN146" s="62">
        <f t="shared" si="724"/>
        <v>0</v>
      </c>
      <c r="CO146" s="62">
        <f t="shared" si="724"/>
        <v>0</v>
      </c>
      <c r="CP146" s="62">
        <f t="shared" si="724"/>
        <v>0</v>
      </c>
      <c r="CQ146" s="62">
        <f t="shared" si="724"/>
        <v>0</v>
      </c>
      <c r="CR146" s="62">
        <f t="shared" si="724"/>
        <v>0</v>
      </c>
      <c r="CS146" s="62">
        <f t="shared" si="724"/>
        <v>0</v>
      </c>
      <c r="CT146" s="62">
        <f t="shared" si="724"/>
        <v>0</v>
      </c>
      <c r="CU146" s="62">
        <f t="shared" si="724"/>
        <v>0</v>
      </c>
      <c r="CV146" s="62">
        <f t="shared" si="724"/>
        <v>0</v>
      </c>
      <c r="CW146" s="62">
        <f t="shared" si="724"/>
        <v>0</v>
      </c>
      <c r="CX146" s="62">
        <f t="shared" si="724"/>
        <v>0</v>
      </c>
      <c r="CY146" s="62">
        <f t="shared" si="724"/>
        <v>0</v>
      </c>
      <c r="CZ146" s="190">
        <f t="shared" si="429"/>
        <v>0</v>
      </c>
      <c r="DA146" s="62">
        <f t="shared" si="724"/>
        <v>0</v>
      </c>
      <c r="DB146" s="62">
        <f t="shared" si="724"/>
        <v>0</v>
      </c>
      <c r="DC146" s="62">
        <f t="shared" si="724"/>
        <v>0</v>
      </c>
      <c r="DD146" s="62">
        <f t="shared" si="724"/>
        <v>0</v>
      </c>
      <c r="DE146" s="62">
        <f t="shared" si="724"/>
        <v>0</v>
      </c>
      <c r="DF146" s="62">
        <f t="shared" si="724"/>
        <v>0</v>
      </c>
      <c r="DG146" s="62">
        <f t="shared" si="724"/>
        <v>0</v>
      </c>
      <c r="DH146" s="62">
        <f t="shared" si="724"/>
        <v>0</v>
      </c>
      <c r="DI146" s="62">
        <f t="shared" si="724"/>
        <v>0</v>
      </c>
      <c r="DJ146" s="62">
        <f t="shared" si="724"/>
        <v>0</v>
      </c>
      <c r="DK146" s="62">
        <f t="shared" si="724"/>
        <v>0</v>
      </c>
      <c r="DL146" s="62">
        <f t="shared" si="724"/>
        <v>0</v>
      </c>
      <c r="DM146" s="190">
        <f t="shared" si="430"/>
        <v>0</v>
      </c>
      <c r="DN146" s="62">
        <f t="shared" si="724"/>
        <v>0</v>
      </c>
      <c r="DO146" s="62">
        <f t="shared" si="724"/>
        <v>0</v>
      </c>
      <c r="DP146" s="62">
        <f t="shared" si="724"/>
        <v>0</v>
      </c>
      <c r="DQ146" s="62">
        <f t="shared" si="724"/>
        <v>0</v>
      </c>
      <c r="DR146" s="62">
        <f t="shared" si="724"/>
        <v>0</v>
      </c>
      <c r="DS146" s="62">
        <f t="shared" si="724"/>
        <v>0</v>
      </c>
      <c r="DT146" s="62">
        <f t="shared" si="724"/>
        <v>0</v>
      </c>
      <c r="DU146" s="62">
        <f t="shared" si="724"/>
        <v>0</v>
      </c>
      <c r="DV146" s="62">
        <f t="shared" si="724"/>
        <v>0</v>
      </c>
      <c r="DW146" s="62">
        <f t="shared" si="724"/>
        <v>0</v>
      </c>
      <c r="DX146" s="62">
        <f t="shared" si="724"/>
        <v>0</v>
      </c>
      <c r="DY146" s="62">
        <f t="shared" si="724"/>
        <v>0</v>
      </c>
      <c r="DZ146" s="190">
        <f t="shared" si="431"/>
        <v>0</v>
      </c>
    </row>
    <row r="147" spans="1:130" s="194" customFormat="1" ht="20.45" customHeight="1">
      <c r="A147" s="540" t="s">
        <v>2788</v>
      </c>
      <c r="B147" s="332"/>
      <c r="C147" s="346" t="s">
        <v>2789</v>
      </c>
      <c r="D147" s="333">
        <f t="shared" si="661"/>
        <v>32005053.000000004</v>
      </c>
      <c r="E147" s="334">
        <f>SUM(E148:E149)</f>
        <v>9.9023741998880227E-2</v>
      </c>
      <c r="F147" s="62">
        <f>SUM(F148:F149)</f>
        <v>0</v>
      </c>
      <c r="G147" s="193">
        <f t="shared" ref="G147:G149" si="725">SUM(F147)</f>
        <v>0</v>
      </c>
      <c r="H147" s="196">
        <f>SUM(H148:H149)</f>
        <v>0</v>
      </c>
      <c r="I147" s="192">
        <f t="shared" ref="I147:T147" si="726">SUM(I148:I149)</f>
        <v>0</v>
      </c>
      <c r="J147" s="192">
        <f t="shared" si="726"/>
        <v>0</v>
      </c>
      <c r="K147" s="192">
        <f t="shared" si="726"/>
        <v>0</v>
      </c>
      <c r="L147" s="192">
        <f t="shared" si="726"/>
        <v>0</v>
      </c>
      <c r="M147" s="192">
        <f t="shared" si="726"/>
        <v>0</v>
      </c>
      <c r="N147" s="192">
        <f t="shared" si="726"/>
        <v>0</v>
      </c>
      <c r="O147" s="192">
        <f t="shared" si="726"/>
        <v>0</v>
      </c>
      <c r="P147" s="192">
        <f t="shared" si="726"/>
        <v>0</v>
      </c>
      <c r="Q147" s="192">
        <f t="shared" si="726"/>
        <v>0</v>
      </c>
      <c r="R147" s="192">
        <f t="shared" si="726"/>
        <v>0</v>
      </c>
      <c r="S147" s="192">
        <f t="shared" si="726"/>
        <v>0</v>
      </c>
      <c r="T147" s="192">
        <f t="shared" si="726"/>
        <v>0</v>
      </c>
      <c r="U147" s="193">
        <f t="shared" ref="U147:U149" si="727">SUM(I147:T147)</f>
        <v>0</v>
      </c>
      <c r="V147" s="196">
        <f>SUM(V148:V149)</f>
        <v>0</v>
      </c>
      <c r="W147" s="192">
        <f t="shared" ref="W147" si="728">SUM(W148:W149)</f>
        <v>0</v>
      </c>
      <c r="X147" s="192">
        <f t="shared" ref="X147" si="729">SUM(X148:X149)</f>
        <v>0</v>
      </c>
      <c r="Y147" s="192">
        <f t="shared" ref="Y147" si="730">SUM(Y148:Y149)</f>
        <v>0</v>
      </c>
      <c r="Z147" s="192">
        <f t="shared" ref="Z147" si="731">SUM(Z148:Z149)</f>
        <v>0</v>
      </c>
      <c r="AA147" s="192">
        <f t="shared" ref="AA147" si="732">SUM(AA148:AA149)</f>
        <v>0</v>
      </c>
      <c r="AB147" s="192">
        <f t="shared" ref="AB147" si="733">SUM(AB148:AB149)</f>
        <v>0</v>
      </c>
      <c r="AC147" s="192">
        <f t="shared" ref="AC147" si="734">SUM(AC148:AC149)</f>
        <v>0</v>
      </c>
      <c r="AD147" s="192">
        <f t="shared" ref="AD147" si="735">SUM(AD148:AD149)</f>
        <v>0</v>
      </c>
      <c r="AE147" s="192">
        <f t="shared" ref="AE147" si="736">SUM(AE148:AE149)</f>
        <v>0</v>
      </c>
      <c r="AF147" s="192">
        <f>SUM(AF148:AF149)</f>
        <v>0</v>
      </c>
      <c r="AG147" s="192">
        <f t="shared" ref="AG147" si="737">SUM(AG148:AG149)</f>
        <v>0</v>
      </c>
      <c r="AH147" s="192">
        <f t="shared" ref="AH147" si="738">SUM(AH148:AH149)</f>
        <v>0</v>
      </c>
      <c r="AI147" s="193">
        <f t="shared" ref="AI147:AI149" si="739">SUM(W147:AH147)</f>
        <v>0</v>
      </c>
      <c r="AJ147" s="196">
        <f>SUM(AJ148:AJ149)</f>
        <v>0</v>
      </c>
      <c r="AK147" s="192">
        <f t="shared" ref="AK147" si="740">SUM(AK148:AK149)</f>
        <v>0</v>
      </c>
      <c r="AL147" s="192">
        <f t="shared" ref="AL147" si="741">SUM(AL148:AL149)</f>
        <v>0</v>
      </c>
      <c r="AM147" s="192">
        <f t="shared" ref="AM147" si="742">SUM(AM148:AM149)</f>
        <v>0</v>
      </c>
      <c r="AN147" s="192">
        <f t="shared" ref="AN147" si="743">SUM(AN148:AN149)</f>
        <v>0</v>
      </c>
      <c r="AO147" s="192">
        <f t="shared" ref="AO147" si="744">SUM(AO148:AO149)</f>
        <v>0</v>
      </c>
      <c r="AP147" s="192">
        <f t="shared" ref="AP147" si="745">SUM(AP148:AP149)</f>
        <v>0</v>
      </c>
      <c r="AQ147" s="192">
        <f t="shared" ref="AQ147" si="746">SUM(AQ148:AQ149)</f>
        <v>0</v>
      </c>
      <c r="AR147" s="192">
        <f t="shared" ref="AR147" si="747">SUM(AR148:AR149)</f>
        <v>0</v>
      </c>
      <c r="AS147" s="192">
        <f t="shared" ref="AS147" si="748">SUM(AS148:AS149)</f>
        <v>0</v>
      </c>
      <c r="AT147" s="192">
        <f>SUM(AT148:AT149)</f>
        <v>5000000</v>
      </c>
      <c r="AU147" s="192">
        <f t="shared" ref="AU147" si="749">SUM(AU148:AU149)</f>
        <v>0</v>
      </c>
      <c r="AV147" s="192">
        <f t="shared" ref="AV147" si="750">SUM(AV148:AV149)</f>
        <v>0</v>
      </c>
      <c r="AW147" s="193">
        <f t="shared" ref="AW147:AW149" si="751">SUM(AK147:AV147)</f>
        <v>5000000</v>
      </c>
      <c r="AX147" s="196">
        <f>SUM(AX148:AX149)</f>
        <v>6.5541676988934608E-2</v>
      </c>
      <c r="AY147" s="192">
        <f t="shared" ref="AY147" si="752">SUM(AY148:AY149)</f>
        <v>5000000</v>
      </c>
      <c r="AZ147" s="192">
        <f t="shared" ref="AZ147" si="753">SUM(AZ148:AZ149)</f>
        <v>0</v>
      </c>
      <c r="BA147" s="192">
        <f t="shared" ref="BA147" si="754">SUM(BA148:BA149)</f>
        <v>0</v>
      </c>
      <c r="BB147" s="192">
        <f t="shared" ref="BB147" si="755">SUM(BB148:BB149)</f>
        <v>0</v>
      </c>
      <c r="BC147" s="192">
        <f t="shared" ref="BC147" si="756">SUM(BC148:BC149)</f>
        <v>0</v>
      </c>
      <c r="BD147" s="192">
        <f t="shared" ref="BD147" si="757">SUM(BD148:BD149)</f>
        <v>0</v>
      </c>
      <c r="BE147" s="192">
        <f t="shared" ref="BE147" si="758">SUM(BE148:BE149)</f>
        <v>0</v>
      </c>
      <c r="BF147" s="192">
        <f t="shared" ref="BF147" si="759">SUM(BF148:BF149)</f>
        <v>0</v>
      </c>
      <c r="BG147" s="192">
        <f t="shared" ref="BG147" si="760">SUM(BG148:BG149)</f>
        <v>3000000</v>
      </c>
      <c r="BH147" s="192">
        <f>SUM(BH148:BH149)</f>
        <v>-994947</v>
      </c>
      <c r="BI147" s="192">
        <f t="shared" ref="BI147" si="761">SUM(BI148:BI149)</f>
        <v>0</v>
      </c>
      <c r="BJ147" s="192">
        <f t="shared" ref="BJ147" si="762">SUM(BJ148:BJ149)</f>
        <v>6000000</v>
      </c>
      <c r="BK147" s="193">
        <f t="shared" ref="BK147:BK150" si="763">SUM(AY147:BJ147)</f>
        <v>13005053</v>
      </c>
      <c r="BL147" s="196">
        <f>SUM(BL148:BL149)</f>
        <v>0.18621470672942703</v>
      </c>
      <c r="BM147" s="192">
        <f t="shared" ref="BM147" si="764">SUM(BM148:BM149)</f>
        <v>1000000</v>
      </c>
      <c r="BN147" s="192">
        <f t="shared" ref="BN147" si="765">SUM(BN148:BN149)</f>
        <v>3000000</v>
      </c>
      <c r="BO147" s="192">
        <f t="shared" ref="BO147" si="766">SUM(BO148:BO149)</f>
        <v>0</v>
      </c>
      <c r="BP147" s="192">
        <f t="shared" ref="BP147" si="767">SUM(BP148:BP149)</f>
        <v>5000000</v>
      </c>
      <c r="BQ147" s="192">
        <f t="shared" ref="BQ147" si="768">SUM(BQ148:BQ149)</f>
        <v>5000000</v>
      </c>
      <c r="BR147" s="192">
        <f t="shared" ref="BR147" si="769">SUM(BR148:BR149)</f>
        <v>0</v>
      </c>
      <c r="BS147" s="192">
        <f t="shared" ref="BS147" si="770">SUM(BS148:BS149)</f>
        <v>0</v>
      </c>
      <c r="BT147" s="192">
        <f t="shared" ref="BT147" si="771">SUM(BT148:BT149)</f>
        <v>0</v>
      </c>
      <c r="BU147" s="192">
        <f t="shared" ref="BU147" si="772">SUM(BU148:BU149)</f>
        <v>0</v>
      </c>
      <c r="BV147" s="192">
        <f>SUM(BV148:BV149)</f>
        <v>0</v>
      </c>
      <c r="BW147" s="192">
        <f t="shared" ref="BW147" si="773">SUM(BW148:BW149)</f>
        <v>0</v>
      </c>
      <c r="BX147" s="192">
        <f t="shared" ref="BX147" si="774">SUM(BX148:BX149)</f>
        <v>0</v>
      </c>
      <c r="BY147" s="193">
        <f t="shared" ref="BY147:BY149" si="775">SUM(BM147:BX147)</f>
        <v>14000000</v>
      </c>
      <c r="BZ147" s="196">
        <f>SUM(BZ148:BZ149)</f>
        <v>0.32078535587354551</v>
      </c>
      <c r="CA147" s="192">
        <f t="shared" ref="CA147" si="776">SUM(CA148:CA149)</f>
        <v>0</v>
      </c>
      <c r="CB147" s="192">
        <f t="shared" ref="CB147" si="777">SUM(CB148:CB149)</f>
        <v>0</v>
      </c>
      <c r="CC147" s="192">
        <f t="shared" ref="CC147" si="778">SUM(CC148:CC149)</f>
        <v>0</v>
      </c>
      <c r="CD147" s="192">
        <f t="shared" ref="CD147" si="779">SUM(CD148:CD149)</f>
        <v>0</v>
      </c>
      <c r="CE147" s="192">
        <f t="shared" ref="CE147" si="780">SUM(CE148:CE149)</f>
        <v>0</v>
      </c>
      <c r="CF147" s="192">
        <f t="shared" ref="CF147" si="781">SUM(CF148:CF149)</f>
        <v>0</v>
      </c>
      <c r="CG147" s="192">
        <f t="shared" ref="CG147" si="782">SUM(CG148:CG149)</f>
        <v>0</v>
      </c>
      <c r="CH147" s="192">
        <f t="shared" ref="CH147" si="783">SUM(CH148:CH149)</f>
        <v>0</v>
      </c>
      <c r="CI147" s="192">
        <f t="shared" ref="CI147:CJ147" si="784">SUM(CI148:CI149)</f>
        <v>0</v>
      </c>
      <c r="CJ147" s="192">
        <f t="shared" si="784"/>
        <v>0</v>
      </c>
      <c r="CK147" s="192">
        <f t="shared" ref="CK147" si="785">SUM(CK148:CK149)</f>
        <v>0</v>
      </c>
      <c r="CL147" s="192">
        <f t="shared" ref="CL147" si="786">SUM(CL148:CL149)</f>
        <v>0</v>
      </c>
      <c r="CM147" s="193">
        <f t="shared" si="428"/>
        <v>0</v>
      </c>
      <c r="CN147" s="192">
        <f t="shared" ref="CN147" si="787">SUM(CN148:CN149)</f>
        <v>0</v>
      </c>
      <c r="CO147" s="192">
        <f t="shared" ref="CO147" si="788">SUM(CO148:CO149)</f>
        <v>0</v>
      </c>
      <c r="CP147" s="192">
        <f t="shared" ref="CP147" si="789">SUM(CP148:CP149)</f>
        <v>0</v>
      </c>
      <c r="CQ147" s="192">
        <f t="shared" ref="CQ147" si="790">SUM(CQ148:CQ149)</f>
        <v>0</v>
      </c>
      <c r="CR147" s="192">
        <f t="shared" ref="CR147" si="791">SUM(CR148:CR149)</f>
        <v>0</v>
      </c>
      <c r="CS147" s="192">
        <f t="shared" ref="CS147" si="792">SUM(CS148:CS149)</f>
        <v>0</v>
      </c>
      <c r="CT147" s="192">
        <f t="shared" ref="CT147" si="793">SUM(CT148:CT149)</f>
        <v>0</v>
      </c>
      <c r="CU147" s="192">
        <f t="shared" ref="CU147" si="794">SUM(CU148:CU149)</f>
        <v>0</v>
      </c>
      <c r="CV147" s="192">
        <f t="shared" ref="CV147:CW147" si="795">SUM(CV148:CV149)</f>
        <v>0</v>
      </c>
      <c r="CW147" s="192">
        <f t="shared" si="795"/>
        <v>0</v>
      </c>
      <c r="CX147" s="192">
        <f t="shared" ref="CX147" si="796">SUM(CX148:CX149)</f>
        <v>0</v>
      </c>
      <c r="CY147" s="192">
        <f t="shared" ref="CY147" si="797">SUM(CY148:CY149)</f>
        <v>0</v>
      </c>
      <c r="CZ147" s="193">
        <f t="shared" si="429"/>
        <v>0</v>
      </c>
      <c r="DA147" s="192">
        <f t="shared" ref="DA147" si="798">SUM(DA148:DA149)</f>
        <v>0</v>
      </c>
      <c r="DB147" s="192">
        <f t="shared" ref="DB147" si="799">SUM(DB148:DB149)</f>
        <v>0</v>
      </c>
      <c r="DC147" s="192">
        <f t="shared" ref="DC147" si="800">SUM(DC148:DC149)</f>
        <v>0</v>
      </c>
      <c r="DD147" s="192">
        <f t="shared" ref="DD147" si="801">SUM(DD148:DD149)</f>
        <v>0</v>
      </c>
      <c r="DE147" s="192">
        <f t="shared" ref="DE147" si="802">SUM(DE148:DE149)</f>
        <v>0</v>
      </c>
      <c r="DF147" s="192">
        <f t="shared" ref="DF147" si="803">SUM(DF148:DF149)</f>
        <v>0</v>
      </c>
      <c r="DG147" s="192">
        <f t="shared" ref="DG147" si="804">SUM(DG148:DG149)</f>
        <v>0</v>
      </c>
      <c r="DH147" s="192">
        <f t="shared" ref="DH147" si="805">SUM(DH148:DH149)</f>
        <v>0</v>
      </c>
      <c r="DI147" s="192">
        <f t="shared" ref="DI147:DJ147" si="806">SUM(DI148:DI149)</f>
        <v>0</v>
      </c>
      <c r="DJ147" s="192">
        <f t="shared" si="806"/>
        <v>0</v>
      </c>
      <c r="DK147" s="192">
        <f t="shared" ref="DK147" si="807">SUM(DK148:DK149)</f>
        <v>0</v>
      </c>
      <c r="DL147" s="192">
        <f t="shared" ref="DL147" si="808">SUM(DL148:DL149)</f>
        <v>0</v>
      </c>
      <c r="DM147" s="193">
        <f t="shared" si="430"/>
        <v>0</v>
      </c>
      <c r="DN147" s="192">
        <f t="shared" ref="DN147" si="809">SUM(DN148:DN149)</f>
        <v>0</v>
      </c>
      <c r="DO147" s="192">
        <f t="shared" ref="DO147" si="810">SUM(DO148:DO149)</f>
        <v>0</v>
      </c>
      <c r="DP147" s="192">
        <f t="shared" ref="DP147" si="811">SUM(DP148:DP149)</f>
        <v>0</v>
      </c>
      <c r="DQ147" s="192">
        <f t="shared" ref="DQ147" si="812">SUM(DQ148:DQ149)</f>
        <v>0</v>
      </c>
      <c r="DR147" s="192">
        <f t="shared" ref="DR147" si="813">SUM(DR148:DR149)</f>
        <v>0</v>
      </c>
      <c r="DS147" s="192">
        <f t="shared" ref="DS147" si="814">SUM(DS148:DS149)</f>
        <v>0</v>
      </c>
      <c r="DT147" s="192">
        <f t="shared" ref="DT147" si="815">SUM(DT148:DT149)</f>
        <v>0</v>
      </c>
      <c r="DU147" s="192">
        <f t="shared" ref="DU147" si="816">SUM(DU148:DU149)</f>
        <v>0</v>
      </c>
      <c r="DV147" s="192">
        <f t="shared" ref="DV147:DW147" si="817">SUM(DV148:DV149)</f>
        <v>0</v>
      </c>
      <c r="DW147" s="192">
        <f t="shared" si="817"/>
        <v>0</v>
      </c>
      <c r="DX147" s="192">
        <f t="shared" ref="DX147" si="818">SUM(DX148:DX149)</f>
        <v>0</v>
      </c>
      <c r="DY147" s="192">
        <f t="shared" ref="DY147" si="819">SUM(DY148:DY149)</f>
        <v>0</v>
      </c>
      <c r="DZ147" s="193">
        <f t="shared" si="431"/>
        <v>0</v>
      </c>
    </row>
    <row r="148" spans="1:130" ht="20.45" customHeight="1" outlineLevel="2">
      <c r="A148" s="541"/>
      <c r="B148" s="538" t="s">
        <v>3224</v>
      </c>
      <c r="C148" s="539"/>
      <c r="D148" s="62">
        <f t="shared" si="661"/>
        <v>33000000.000000004</v>
      </c>
      <c r="E148" s="184">
        <f t="shared" ref="E148:E149" si="820">D148/(D$5+D$6+D$7+D$8+D$10+D$9)</f>
        <v>0.10210211137482096</v>
      </c>
      <c r="F148" s="62">
        <v>0</v>
      </c>
      <c r="G148" s="190">
        <f t="shared" ref="G148" si="821">SUM(F148)</f>
        <v>0</v>
      </c>
      <c r="H148" s="197">
        <f t="shared" ref="H148:H149" si="822">G148/(G$5+G$6+G$7+G$8+G$10+G$9)</f>
        <v>0</v>
      </c>
      <c r="I148" s="62">
        <v>0</v>
      </c>
      <c r="J148" s="62">
        <v>0</v>
      </c>
      <c r="K148" s="62">
        <v>0</v>
      </c>
      <c r="L148" s="62">
        <v>0</v>
      </c>
      <c r="M148" s="62">
        <v>0</v>
      </c>
      <c r="N148" s="62">
        <v>0</v>
      </c>
      <c r="O148" s="62">
        <v>0</v>
      </c>
      <c r="P148" s="62">
        <v>0</v>
      </c>
      <c r="Q148" s="62">
        <v>0</v>
      </c>
      <c r="R148" s="62">
        <v>0</v>
      </c>
      <c r="S148" s="62">
        <v>0</v>
      </c>
      <c r="T148" s="62">
        <v>0</v>
      </c>
      <c r="U148" s="190">
        <f t="shared" ref="U148" si="823">SUM(I148:T148)</f>
        <v>0</v>
      </c>
      <c r="V148" s="197">
        <f t="shared" ref="V148:V149" si="824">U148/(U$5+U$6+U$7+U$8+U$10+U$9)</f>
        <v>0</v>
      </c>
      <c r="W148" s="62">
        <v>0</v>
      </c>
      <c r="X148" s="62">
        <v>0</v>
      </c>
      <c r="Y148" s="62">
        <v>0</v>
      </c>
      <c r="Z148" s="62">
        <v>0</v>
      </c>
      <c r="AA148" s="62">
        <v>0</v>
      </c>
      <c r="AB148" s="62">
        <v>0</v>
      </c>
      <c r="AC148" s="62">
        <v>0</v>
      </c>
      <c r="AD148" s="62">
        <v>0</v>
      </c>
      <c r="AE148" s="62">
        <v>0</v>
      </c>
      <c r="AF148" s="62">
        <v>0</v>
      </c>
      <c r="AG148" s="62">
        <v>0</v>
      </c>
      <c r="AH148" s="62">
        <v>0</v>
      </c>
      <c r="AI148" s="190">
        <f t="shared" ref="AI148" si="825">SUM(W148:AH148)</f>
        <v>0</v>
      </c>
      <c r="AJ148" s="197">
        <f t="shared" ref="AJ148:AJ149" si="826">AI148/(AI$5+AI$6+AI$7+AI$8+AI$10+AI$9)</f>
        <v>0</v>
      </c>
      <c r="AK148" s="62">
        <v>0</v>
      </c>
      <c r="AL148" s="62">
        <v>0</v>
      </c>
      <c r="AM148" s="62">
        <v>0</v>
      </c>
      <c r="AN148" s="62">
        <v>0</v>
      </c>
      <c r="AO148" s="62">
        <v>0</v>
      </c>
      <c r="AP148" s="62">
        <v>0</v>
      </c>
      <c r="AQ148" s="62">
        <v>0</v>
      </c>
      <c r="AR148" s="62">
        <v>0</v>
      </c>
      <c r="AS148" s="62">
        <v>0</v>
      </c>
      <c r="AT148" s="62">
        <v>0</v>
      </c>
      <c r="AU148" s="62">
        <v>0</v>
      </c>
      <c r="AV148" s="62">
        <v>0</v>
      </c>
      <c r="AW148" s="190">
        <f t="shared" ref="AW148" si="827">SUM(AK148:AV148)</f>
        <v>0</v>
      </c>
      <c r="AX148" s="197">
        <f t="shared" ref="AX148:AX149" si="828">AW148/(AW$5+AW$6+AW$7+AW$8+AW$10+AW$9)</f>
        <v>0</v>
      </c>
      <c r="AY148" s="62">
        <v>0</v>
      </c>
      <c r="AZ148" s="62">
        <v>0</v>
      </c>
      <c r="BA148" s="62">
        <v>0</v>
      </c>
      <c r="BB148" s="62">
        <v>0</v>
      </c>
      <c r="BC148" s="62">
        <v>0</v>
      </c>
      <c r="BD148" s="62">
        <v>0</v>
      </c>
      <c r="BE148" s="62">
        <v>0</v>
      </c>
      <c r="BF148" s="62">
        <v>0</v>
      </c>
      <c r="BG148" s="62">
        <v>3000000</v>
      </c>
      <c r="BH148" s="62">
        <v>10000000</v>
      </c>
      <c r="BI148" s="62">
        <v>0</v>
      </c>
      <c r="BJ148" s="62">
        <f>5000000+1000000</f>
        <v>6000000</v>
      </c>
      <c r="BK148" s="190">
        <f t="shared" ref="BK148" si="829">SUM(AY148:BJ148)</f>
        <v>19000000</v>
      </c>
      <c r="BL148" s="197">
        <f t="shared" ref="BL148:BL149" si="830">BK148/(BK$5+BK$6+BK$7+BK$8+BK$10+BK$9)</f>
        <v>0.27205421061022306</v>
      </c>
      <c r="BM148" s="62">
        <v>1000000</v>
      </c>
      <c r="BN148" s="62">
        <v>3000000</v>
      </c>
      <c r="BO148" s="62">
        <v>0</v>
      </c>
      <c r="BP148" s="62">
        <v>5000000</v>
      </c>
      <c r="BQ148" s="62">
        <f>3000000+2000000</f>
        <v>5000000</v>
      </c>
      <c r="BR148" s="62">
        <v>0</v>
      </c>
      <c r="BS148" s="62">
        <v>0</v>
      </c>
      <c r="BT148" s="62">
        <v>0</v>
      </c>
      <c r="BU148" s="62">
        <v>0</v>
      </c>
      <c r="BV148" s="62">
        <v>0</v>
      </c>
      <c r="BW148" s="62">
        <v>0</v>
      </c>
      <c r="BX148" s="62">
        <v>0</v>
      </c>
      <c r="BY148" s="190">
        <f t="shared" ref="BY148" si="831">SUM(BM148:BX148)</f>
        <v>14000000</v>
      </c>
      <c r="BZ148" s="197">
        <f t="shared" ref="BZ148:BZ149" si="832">BY148/(BY$5+BY$6+BY$7+BY$8+BY$10+BY$9)</f>
        <v>0.32078535587354551</v>
      </c>
      <c r="CA148" s="62">
        <v>0</v>
      </c>
      <c r="CB148" s="62">
        <v>0</v>
      </c>
      <c r="CC148" s="62">
        <v>0</v>
      </c>
      <c r="CD148" s="62">
        <v>0</v>
      </c>
      <c r="CE148" s="62">
        <v>0</v>
      </c>
      <c r="CF148" s="62">
        <v>0</v>
      </c>
      <c r="CG148" s="62">
        <v>0</v>
      </c>
      <c r="CH148" s="62">
        <v>0</v>
      </c>
      <c r="CI148" s="62">
        <v>0</v>
      </c>
      <c r="CJ148" s="62">
        <v>0</v>
      </c>
      <c r="CK148" s="62">
        <v>0</v>
      </c>
      <c r="CL148" s="62">
        <v>0</v>
      </c>
      <c r="CM148" s="190">
        <f t="shared" ref="CM148" si="833">SUM(CA148:CL148)</f>
        <v>0</v>
      </c>
      <c r="CN148" s="62">
        <v>0</v>
      </c>
      <c r="CO148" s="62">
        <v>0</v>
      </c>
      <c r="CP148" s="62">
        <v>0</v>
      </c>
      <c r="CQ148" s="62">
        <v>0</v>
      </c>
      <c r="CR148" s="62">
        <v>0</v>
      </c>
      <c r="CS148" s="62">
        <v>0</v>
      </c>
      <c r="CT148" s="62">
        <v>0</v>
      </c>
      <c r="CU148" s="62">
        <v>0</v>
      </c>
      <c r="CV148" s="62">
        <v>0</v>
      </c>
      <c r="CW148" s="62">
        <v>0</v>
      </c>
      <c r="CX148" s="62">
        <v>0</v>
      </c>
      <c r="CY148" s="62">
        <v>0</v>
      </c>
      <c r="CZ148" s="190">
        <f t="shared" ref="CZ148" si="834">SUM(CN148:CY148)</f>
        <v>0</v>
      </c>
      <c r="DA148" s="62">
        <v>0</v>
      </c>
      <c r="DB148" s="62">
        <v>0</v>
      </c>
      <c r="DC148" s="62">
        <v>0</v>
      </c>
      <c r="DD148" s="62">
        <v>0</v>
      </c>
      <c r="DE148" s="62">
        <v>0</v>
      </c>
      <c r="DF148" s="62">
        <v>0</v>
      </c>
      <c r="DG148" s="62">
        <v>0</v>
      </c>
      <c r="DH148" s="62">
        <v>0</v>
      </c>
      <c r="DI148" s="62">
        <v>0</v>
      </c>
      <c r="DJ148" s="62">
        <v>0</v>
      </c>
      <c r="DK148" s="62">
        <v>0</v>
      </c>
      <c r="DL148" s="62">
        <v>0</v>
      </c>
      <c r="DM148" s="190">
        <f t="shared" ref="DM148" si="835">SUM(DA148:DL148)</f>
        <v>0</v>
      </c>
      <c r="DN148" s="62">
        <v>0</v>
      </c>
      <c r="DO148" s="62">
        <v>0</v>
      </c>
      <c r="DP148" s="62">
        <v>0</v>
      </c>
      <c r="DQ148" s="62">
        <v>0</v>
      </c>
      <c r="DR148" s="62">
        <v>0</v>
      </c>
      <c r="DS148" s="62">
        <v>0</v>
      </c>
      <c r="DT148" s="62">
        <v>0</v>
      </c>
      <c r="DU148" s="62">
        <v>0</v>
      </c>
      <c r="DV148" s="62">
        <v>0</v>
      </c>
      <c r="DW148" s="62">
        <v>0</v>
      </c>
      <c r="DX148" s="62">
        <v>0</v>
      </c>
      <c r="DY148" s="62">
        <v>0</v>
      </c>
      <c r="DZ148" s="190">
        <f t="shared" ref="DZ148" si="836">SUM(DN148:DY148)</f>
        <v>0</v>
      </c>
    </row>
    <row r="149" spans="1:130" ht="20.45" customHeight="1" outlineLevel="2">
      <c r="A149" s="542"/>
      <c r="B149" s="538" t="s">
        <v>2790</v>
      </c>
      <c r="C149" s="539"/>
      <c r="D149" s="62">
        <f t="shared" si="661"/>
        <v>-994947.00000000023</v>
      </c>
      <c r="E149" s="184">
        <f t="shared" si="820"/>
        <v>-3.0783693759407274E-3</v>
      </c>
      <c r="F149" s="62">
        <v>0</v>
      </c>
      <c r="G149" s="190">
        <f t="shared" si="725"/>
        <v>0</v>
      </c>
      <c r="H149" s="197">
        <f t="shared" si="822"/>
        <v>0</v>
      </c>
      <c r="I149" s="62">
        <v>0</v>
      </c>
      <c r="J149" s="62">
        <v>0</v>
      </c>
      <c r="K149" s="62">
        <v>0</v>
      </c>
      <c r="L149" s="62">
        <v>0</v>
      </c>
      <c r="M149" s="62">
        <v>0</v>
      </c>
      <c r="N149" s="62">
        <v>0</v>
      </c>
      <c r="O149" s="62">
        <v>0</v>
      </c>
      <c r="P149" s="62">
        <v>0</v>
      </c>
      <c r="Q149" s="62">
        <v>0</v>
      </c>
      <c r="R149" s="62">
        <v>0</v>
      </c>
      <c r="S149" s="62">
        <v>0</v>
      </c>
      <c r="T149" s="62">
        <v>0</v>
      </c>
      <c r="U149" s="190">
        <f t="shared" si="727"/>
        <v>0</v>
      </c>
      <c r="V149" s="197">
        <f t="shared" si="824"/>
        <v>0</v>
      </c>
      <c r="W149" s="62">
        <v>0</v>
      </c>
      <c r="X149" s="62">
        <v>0</v>
      </c>
      <c r="Y149" s="62">
        <v>0</v>
      </c>
      <c r="Z149" s="62">
        <v>0</v>
      </c>
      <c r="AA149" s="62">
        <v>0</v>
      </c>
      <c r="AB149" s="62">
        <v>0</v>
      </c>
      <c r="AC149" s="62">
        <v>0</v>
      </c>
      <c r="AD149" s="62">
        <v>0</v>
      </c>
      <c r="AE149" s="62">
        <v>0</v>
      </c>
      <c r="AF149" s="62">
        <v>0</v>
      </c>
      <c r="AG149" s="62">
        <v>0</v>
      </c>
      <c r="AH149" s="62">
        <v>0</v>
      </c>
      <c r="AI149" s="190">
        <f t="shared" si="739"/>
        <v>0</v>
      </c>
      <c r="AJ149" s="197">
        <f t="shared" si="826"/>
        <v>0</v>
      </c>
      <c r="AK149" s="62">
        <v>0</v>
      </c>
      <c r="AL149" s="62">
        <v>0</v>
      </c>
      <c r="AM149" s="62">
        <v>0</v>
      </c>
      <c r="AN149" s="62">
        <v>0</v>
      </c>
      <c r="AO149" s="62">
        <v>0</v>
      </c>
      <c r="AP149" s="62">
        <v>0</v>
      </c>
      <c r="AQ149" s="62">
        <v>0</v>
      </c>
      <c r="AR149" s="62">
        <v>0</v>
      </c>
      <c r="AS149" s="62">
        <v>0</v>
      </c>
      <c r="AT149" s="62">
        <v>5000000</v>
      </c>
      <c r="AU149" s="62">
        <v>0</v>
      </c>
      <c r="AV149" s="62">
        <v>0</v>
      </c>
      <c r="AW149" s="190">
        <f t="shared" si="751"/>
        <v>5000000</v>
      </c>
      <c r="AX149" s="197">
        <f t="shared" si="828"/>
        <v>6.5541676988934608E-2</v>
      </c>
      <c r="AY149" s="62">
        <v>5000000</v>
      </c>
      <c r="AZ149" s="62">
        <v>0</v>
      </c>
      <c r="BA149" s="62">
        <v>0</v>
      </c>
      <c r="BB149" s="62">
        <v>0</v>
      </c>
      <c r="BC149" s="62">
        <v>0</v>
      </c>
      <c r="BD149" s="62">
        <v>0</v>
      </c>
      <c r="BE149" s="62">
        <v>0</v>
      </c>
      <c r="BF149" s="62">
        <v>0</v>
      </c>
      <c r="BG149" s="62">
        <v>0</v>
      </c>
      <c r="BH149" s="62">
        <v>-10994947</v>
      </c>
      <c r="BI149" s="62">
        <v>0</v>
      </c>
      <c r="BJ149" s="62">
        <v>0</v>
      </c>
      <c r="BK149" s="190">
        <f t="shared" si="763"/>
        <v>-5994947</v>
      </c>
      <c r="BL149" s="197">
        <f t="shared" si="830"/>
        <v>-8.5839503880796045E-2</v>
      </c>
      <c r="BM149" s="62">
        <v>0</v>
      </c>
      <c r="BN149" s="62">
        <v>0</v>
      </c>
      <c r="BO149" s="62">
        <v>0</v>
      </c>
      <c r="BP149" s="62">
        <v>0</v>
      </c>
      <c r="BQ149" s="62">
        <v>0</v>
      </c>
      <c r="BR149" s="62">
        <v>0</v>
      </c>
      <c r="BS149" s="62">
        <v>0</v>
      </c>
      <c r="BT149" s="62">
        <v>0</v>
      </c>
      <c r="BU149" s="62">
        <v>0</v>
      </c>
      <c r="BV149" s="62">
        <v>0</v>
      </c>
      <c r="BW149" s="62">
        <v>0</v>
      </c>
      <c r="BX149" s="62">
        <v>0</v>
      </c>
      <c r="BY149" s="190">
        <f t="shared" si="775"/>
        <v>0</v>
      </c>
      <c r="BZ149" s="197">
        <f t="shared" si="832"/>
        <v>0</v>
      </c>
      <c r="CA149" s="62">
        <v>0</v>
      </c>
      <c r="CB149" s="62">
        <v>0</v>
      </c>
      <c r="CC149" s="62">
        <v>0</v>
      </c>
      <c r="CD149" s="62">
        <v>0</v>
      </c>
      <c r="CE149" s="62">
        <v>0</v>
      </c>
      <c r="CF149" s="62">
        <v>0</v>
      </c>
      <c r="CG149" s="62">
        <v>0</v>
      </c>
      <c r="CH149" s="62">
        <v>0</v>
      </c>
      <c r="CI149" s="62">
        <v>0</v>
      </c>
      <c r="CJ149" s="62">
        <v>0</v>
      </c>
      <c r="CK149" s="62">
        <v>0</v>
      </c>
      <c r="CL149" s="62">
        <v>0</v>
      </c>
      <c r="CM149" s="190">
        <f t="shared" ref="CM149" si="837">SUM(CA149:CL149)</f>
        <v>0</v>
      </c>
      <c r="CN149" s="62">
        <v>0</v>
      </c>
      <c r="CO149" s="62">
        <v>0</v>
      </c>
      <c r="CP149" s="62">
        <v>0</v>
      </c>
      <c r="CQ149" s="62">
        <v>0</v>
      </c>
      <c r="CR149" s="62">
        <v>0</v>
      </c>
      <c r="CS149" s="62">
        <v>0</v>
      </c>
      <c r="CT149" s="62">
        <v>0</v>
      </c>
      <c r="CU149" s="62">
        <v>0</v>
      </c>
      <c r="CV149" s="62">
        <v>0</v>
      </c>
      <c r="CW149" s="62">
        <v>0</v>
      </c>
      <c r="CX149" s="62">
        <v>0</v>
      </c>
      <c r="CY149" s="62">
        <v>0</v>
      </c>
      <c r="CZ149" s="190">
        <f t="shared" ref="CZ149" si="838">SUM(CN149:CY149)</f>
        <v>0</v>
      </c>
      <c r="DA149" s="62">
        <v>0</v>
      </c>
      <c r="DB149" s="62">
        <v>0</v>
      </c>
      <c r="DC149" s="62">
        <v>0</v>
      </c>
      <c r="DD149" s="62">
        <v>0</v>
      </c>
      <c r="DE149" s="62">
        <v>0</v>
      </c>
      <c r="DF149" s="62">
        <v>0</v>
      </c>
      <c r="DG149" s="62">
        <v>0</v>
      </c>
      <c r="DH149" s="62">
        <v>0</v>
      </c>
      <c r="DI149" s="62">
        <v>0</v>
      </c>
      <c r="DJ149" s="62">
        <v>0</v>
      </c>
      <c r="DK149" s="62">
        <v>0</v>
      </c>
      <c r="DL149" s="62">
        <v>0</v>
      </c>
      <c r="DM149" s="190">
        <f t="shared" ref="DM149" si="839">SUM(DA149:DL149)</f>
        <v>0</v>
      </c>
      <c r="DN149" s="62">
        <v>0</v>
      </c>
      <c r="DO149" s="62">
        <v>0</v>
      </c>
      <c r="DP149" s="62">
        <v>0</v>
      </c>
      <c r="DQ149" s="62">
        <v>0</v>
      </c>
      <c r="DR149" s="62">
        <v>0</v>
      </c>
      <c r="DS149" s="62">
        <v>0</v>
      </c>
      <c r="DT149" s="62">
        <v>0</v>
      </c>
      <c r="DU149" s="62">
        <v>0</v>
      </c>
      <c r="DV149" s="62">
        <v>0</v>
      </c>
      <c r="DW149" s="62">
        <v>0</v>
      </c>
      <c r="DX149" s="62">
        <v>0</v>
      </c>
      <c r="DY149" s="62">
        <v>0</v>
      </c>
      <c r="DZ149" s="190">
        <f t="shared" ref="DZ149" si="840">SUM(DN149:DY149)</f>
        <v>0</v>
      </c>
    </row>
    <row r="150" spans="1:130" s="194" customFormat="1" ht="20.45" customHeight="1">
      <c r="A150" s="536" t="s">
        <v>2791</v>
      </c>
      <c r="B150" s="335"/>
      <c r="C150" s="347" t="s">
        <v>2792</v>
      </c>
      <c r="D150" s="336">
        <f t="shared" si="661"/>
        <v>575200.00000000023</v>
      </c>
      <c r="E150" s="337">
        <f>SUM(E151)</f>
        <v>1.7796707412968797E-3</v>
      </c>
      <c r="F150" s="62">
        <f t="shared" si="717"/>
        <v>0</v>
      </c>
      <c r="G150" s="193">
        <f t="shared" ref="G150:G151" si="841">SUM(F150)</f>
        <v>0</v>
      </c>
      <c r="H150" s="196">
        <f>SUM(H151)</f>
        <v>0</v>
      </c>
      <c r="I150" s="192">
        <f t="shared" si="717"/>
        <v>0</v>
      </c>
      <c r="J150" s="192">
        <f t="shared" si="717"/>
        <v>0</v>
      </c>
      <c r="K150" s="192">
        <f t="shared" si="717"/>
        <v>0</v>
      </c>
      <c r="L150" s="192">
        <f t="shared" si="717"/>
        <v>0</v>
      </c>
      <c r="M150" s="192">
        <f t="shared" si="717"/>
        <v>0</v>
      </c>
      <c r="N150" s="192">
        <f t="shared" si="717"/>
        <v>0</v>
      </c>
      <c r="O150" s="192">
        <f t="shared" si="717"/>
        <v>0</v>
      </c>
      <c r="P150" s="192">
        <f t="shared" si="717"/>
        <v>0</v>
      </c>
      <c r="Q150" s="192">
        <f t="shared" si="717"/>
        <v>0</v>
      </c>
      <c r="R150" s="192">
        <f t="shared" si="717"/>
        <v>0</v>
      </c>
      <c r="S150" s="192">
        <f t="shared" si="717"/>
        <v>0</v>
      </c>
      <c r="T150" s="192">
        <f t="shared" si="717"/>
        <v>0</v>
      </c>
      <c r="U150" s="193">
        <f t="shared" ref="U150:U151" si="842">SUM(I150:T150)</f>
        <v>0</v>
      </c>
      <c r="V150" s="196">
        <f>SUM(V151)</f>
        <v>0</v>
      </c>
      <c r="W150" s="192">
        <f t="shared" si="717"/>
        <v>0</v>
      </c>
      <c r="X150" s="192">
        <f t="shared" si="717"/>
        <v>0</v>
      </c>
      <c r="Y150" s="192">
        <f t="shared" si="717"/>
        <v>0</v>
      </c>
      <c r="Z150" s="192">
        <f t="shared" si="717"/>
        <v>0</v>
      </c>
      <c r="AA150" s="192">
        <f t="shared" si="717"/>
        <v>0</v>
      </c>
      <c r="AB150" s="192">
        <f t="shared" si="717"/>
        <v>0</v>
      </c>
      <c r="AC150" s="192">
        <f t="shared" si="717"/>
        <v>0</v>
      </c>
      <c r="AD150" s="192">
        <f t="shared" si="717"/>
        <v>0</v>
      </c>
      <c r="AE150" s="192">
        <f t="shared" si="717"/>
        <v>0</v>
      </c>
      <c r="AF150" s="192">
        <f t="shared" si="717"/>
        <v>0</v>
      </c>
      <c r="AG150" s="192">
        <f t="shared" si="717"/>
        <v>0</v>
      </c>
      <c r="AH150" s="192">
        <f t="shared" si="717"/>
        <v>0</v>
      </c>
      <c r="AI150" s="193">
        <f t="shared" ref="AI150:AI151" si="843">SUM(W150:AH150)</f>
        <v>0</v>
      </c>
      <c r="AJ150" s="196">
        <f>SUM(AJ151)</f>
        <v>0</v>
      </c>
      <c r="AK150" s="192">
        <f t="shared" si="717"/>
        <v>0</v>
      </c>
      <c r="AL150" s="192">
        <f t="shared" si="717"/>
        <v>0</v>
      </c>
      <c r="AM150" s="192">
        <f t="shared" si="717"/>
        <v>0</v>
      </c>
      <c r="AN150" s="192">
        <f t="shared" si="717"/>
        <v>0</v>
      </c>
      <c r="AO150" s="192">
        <f t="shared" si="717"/>
        <v>0</v>
      </c>
      <c r="AP150" s="192">
        <f t="shared" si="717"/>
        <v>0</v>
      </c>
      <c r="AQ150" s="192">
        <f t="shared" si="717"/>
        <v>0</v>
      </c>
      <c r="AR150" s="192">
        <f t="shared" si="717"/>
        <v>0</v>
      </c>
      <c r="AS150" s="192">
        <f t="shared" si="717"/>
        <v>0</v>
      </c>
      <c r="AT150" s="192">
        <f t="shared" si="717"/>
        <v>760000</v>
      </c>
      <c r="AU150" s="192">
        <f t="shared" si="717"/>
        <v>475000</v>
      </c>
      <c r="AV150" s="192">
        <f t="shared" si="717"/>
        <v>765200</v>
      </c>
      <c r="AW150" s="193">
        <f t="shared" ref="AW150:AW151" si="844">SUM(AK150:AV150)</f>
        <v>2000200</v>
      </c>
      <c r="AX150" s="196">
        <f>SUM(AX151)</f>
        <v>2.6219292462653403E-2</v>
      </c>
      <c r="AY150" s="192">
        <f t="shared" ref="AY150:DY150" si="845">SUM(AY151)</f>
        <v>0</v>
      </c>
      <c r="AZ150" s="192">
        <f t="shared" si="845"/>
        <v>0</v>
      </c>
      <c r="BA150" s="192">
        <f t="shared" si="845"/>
        <v>0</v>
      </c>
      <c r="BB150" s="192">
        <f t="shared" si="845"/>
        <v>0</v>
      </c>
      <c r="BC150" s="192">
        <f t="shared" si="845"/>
        <v>-1425000</v>
      </c>
      <c r="BD150" s="192">
        <f t="shared" si="845"/>
        <v>0</v>
      </c>
      <c r="BE150" s="192">
        <f t="shared" si="845"/>
        <v>0</v>
      </c>
      <c r="BF150" s="192">
        <f t="shared" si="845"/>
        <v>0</v>
      </c>
      <c r="BG150" s="192">
        <f t="shared" si="845"/>
        <v>0</v>
      </c>
      <c r="BH150" s="192">
        <f t="shared" si="845"/>
        <v>0</v>
      </c>
      <c r="BI150" s="192">
        <f t="shared" si="845"/>
        <v>0</v>
      </c>
      <c r="BJ150" s="192">
        <f t="shared" si="845"/>
        <v>0</v>
      </c>
      <c r="BK150" s="193">
        <f t="shared" si="763"/>
        <v>-1425000</v>
      </c>
      <c r="BL150" s="196">
        <f>SUM(BL151)</f>
        <v>-2.0404065795766729E-2</v>
      </c>
      <c r="BM150" s="192">
        <f t="shared" si="845"/>
        <v>0</v>
      </c>
      <c r="BN150" s="192">
        <f t="shared" si="845"/>
        <v>0</v>
      </c>
      <c r="BO150" s="192">
        <f t="shared" si="845"/>
        <v>0</v>
      </c>
      <c r="BP150" s="192">
        <f t="shared" si="845"/>
        <v>0</v>
      </c>
      <c r="BQ150" s="192">
        <f t="shared" si="845"/>
        <v>0</v>
      </c>
      <c r="BR150" s="192">
        <f t="shared" si="845"/>
        <v>0</v>
      </c>
      <c r="BS150" s="192">
        <f t="shared" si="845"/>
        <v>0</v>
      </c>
      <c r="BT150" s="192">
        <f t="shared" si="845"/>
        <v>0</v>
      </c>
      <c r="BU150" s="192">
        <f t="shared" si="845"/>
        <v>0</v>
      </c>
      <c r="BV150" s="192">
        <f t="shared" si="845"/>
        <v>0</v>
      </c>
      <c r="BW150" s="192">
        <f t="shared" si="845"/>
        <v>0</v>
      </c>
      <c r="BX150" s="192">
        <f t="shared" si="845"/>
        <v>0</v>
      </c>
      <c r="BY150" s="193">
        <f t="shared" ref="BY150:BY155" si="846">SUM(BM150:BX150)</f>
        <v>0</v>
      </c>
      <c r="BZ150" s="196">
        <f>SUM(BZ151)</f>
        <v>0</v>
      </c>
      <c r="CA150" s="192">
        <f t="shared" si="845"/>
        <v>0</v>
      </c>
      <c r="CB150" s="192">
        <f t="shared" si="845"/>
        <v>0</v>
      </c>
      <c r="CC150" s="192">
        <f t="shared" si="845"/>
        <v>0</v>
      </c>
      <c r="CD150" s="192">
        <f t="shared" si="845"/>
        <v>0</v>
      </c>
      <c r="CE150" s="192">
        <f t="shared" si="845"/>
        <v>0</v>
      </c>
      <c r="CF150" s="192">
        <f t="shared" si="845"/>
        <v>0</v>
      </c>
      <c r="CG150" s="192">
        <f t="shared" si="845"/>
        <v>0</v>
      </c>
      <c r="CH150" s="192">
        <f t="shared" si="845"/>
        <v>0</v>
      </c>
      <c r="CI150" s="192">
        <f t="shared" si="845"/>
        <v>0</v>
      </c>
      <c r="CJ150" s="192">
        <f t="shared" si="845"/>
        <v>0</v>
      </c>
      <c r="CK150" s="192">
        <f t="shared" si="845"/>
        <v>0</v>
      </c>
      <c r="CL150" s="192">
        <f t="shared" si="845"/>
        <v>0</v>
      </c>
      <c r="CM150" s="193">
        <f t="shared" ref="CM150:CM155" si="847">SUM(CA150:CL150)</f>
        <v>0</v>
      </c>
      <c r="CN150" s="192">
        <f t="shared" si="845"/>
        <v>0</v>
      </c>
      <c r="CO150" s="192">
        <f t="shared" si="845"/>
        <v>0</v>
      </c>
      <c r="CP150" s="192">
        <f t="shared" si="845"/>
        <v>0</v>
      </c>
      <c r="CQ150" s="192">
        <f t="shared" si="845"/>
        <v>0</v>
      </c>
      <c r="CR150" s="192">
        <f t="shared" si="845"/>
        <v>0</v>
      </c>
      <c r="CS150" s="192">
        <f t="shared" si="845"/>
        <v>0</v>
      </c>
      <c r="CT150" s="192">
        <f t="shared" si="845"/>
        <v>0</v>
      </c>
      <c r="CU150" s="192">
        <f t="shared" si="845"/>
        <v>0</v>
      </c>
      <c r="CV150" s="192">
        <f t="shared" si="845"/>
        <v>0</v>
      </c>
      <c r="CW150" s="192">
        <f t="shared" si="845"/>
        <v>0</v>
      </c>
      <c r="CX150" s="192">
        <f t="shared" si="845"/>
        <v>0</v>
      </c>
      <c r="CY150" s="192">
        <f t="shared" si="845"/>
        <v>0</v>
      </c>
      <c r="CZ150" s="193">
        <f t="shared" ref="CZ150:CZ155" si="848">SUM(CN150:CY150)</f>
        <v>0</v>
      </c>
      <c r="DA150" s="192">
        <f t="shared" si="845"/>
        <v>0</v>
      </c>
      <c r="DB150" s="192">
        <f t="shared" si="845"/>
        <v>0</v>
      </c>
      <c r="DC150" s="192">
        <f t="shared" si="845"/>
        <v>0</v>
      </c>
      <c r="DD150" s="192">
        <f t="shared" si="845"/>
        <v>0</v>
      </c>
      <c r="DE150" s="192">
        <f t="shared" si="845"/>
        <v>0</v>
      </c>
      <c r="DF150" s="192">
        <f t="shared" si="845"/>
        <v>0</v>
      </c>
      <c r="DG150" s="192">
        <f t="shared" si="845"/>
        <v>0</v>
      </c>
      <c r="DH150" s="192">
        <f t="shared" si="845"/>
        <v>0</v>
      </c>
      <c r="DI150" s="192">
        <f t="shared" si="845"/>
        <v>0</v>
      </c>
      <c r="DJ150" s="192">
        <f t="shared" si="845"/>
        <v>0</v>
      </c>
      <c r="DK150" s="192">
        <f t="shared" si="845"/>
        <v>0</v>
      </c>
      <c r="DL150" s="192">
        <f t="shared" si="845"/>
        <v>0</v>
      </c>
      <c r="DM150" s="193">
        <f t="shared" ref="DM150:DM155" si="849">SUM(DA150:DL150)</f>
        <v>0</v>
      </c>
      <c r="DN150" s="192">
        <f t="shared" si="845"/>
        <v>0</v>
      </c>
      <c r="DO150" s="192">
        <f t="shared" si="845"/>
        <v>0</v>
      </c>
      <c r="DP150" s="192">
        <f t="shared" si="845"/>
        <v>0</v>
      </c>
      <c r="DQ150" s="192">
        <f t="shared" si="845"/>
        <v>0</v>
      </c>
      <c r="DR150" s="192">
        <f t="shared" si="845"/>
        <v>0</v>
      </c>
      <c r="DS150" s="192">
        <f t="shared" si="845"/>
        <v>0</v>
      </c>
      <c r="DT150" s="192">
        <f t="shared" si="845"/>
        <v>0</v>
      </c>
      <c r="DU150" s="192">
        <f t="shared" si="845"/>
        <v>0</v>
      </c>
      <c r="DV150" s="192">
        <f t="shared" si="845"/>
        <v>0</v>
      </c>
      <c r="DW150" s="192">
        <f t="shared" si="845"/>
        <v>0</v>
      </c>
      <c r="DX150" s="192">
        <f t="shared" si="845"/>
        <v>0</v>
      </c>
      <c r="DY150" s="192">
        <f t="shared" si="845"/>
        <v>0</v>
      </c>
      <c r="DZ150" s="193">
        <f t="shared" ref="DZ150:DZ155" si="850">SUM(DN150:DY150)</f>
        <v>0</v>
      </c>
    </row>
    <row r="151" spans="1:130" ht="20.45" customHeight="1" outlineLevel="2">
      <c r="A151" s="537"/>
      <c r="B151" s="538" t="s">
        <v>2793</v>
      </c>
      <c r="C151" s="539"/>
      <c r="D151" s="62">
        <f t="shared" si="661"/>
        <v>575200.00000000023</v>
      </c>
      <c r="E151" s="184">
        <f t="shared" ref="E151:E155" si="851">D151/(D$5+D$6+D$7+D$8+D$10+D$9)</f>
        <v>1.7796707412968797E-3</v>
      </c>
      <c r="F151" s="62">
        <v>0</v>
      </c>
      <c r="G151" s="190">
        <f t="shared" si="841"/>
        <v>0</v>
      </c>
      <c r="H151" s="197">
        <f>G151/(G$5+G$6+G$7+G$8+G$10+G$9)</f>
        <v>0</v>
      </c>
      <c r="I151" s="62">
        <v>0</v>
      </c>
      <c r="J151" s="62">
        <v>0</v>
      </c>
      <c r="K151" s="62">
        <v>0</v>
      </c>
      <c r="L151" s="62">
        <v>0</v>
      </c>
      <c r="M151" s="62">
        <v>0</v>
      </c>
      <c r="N151" s="62">
        <v>0</v>
      </c>
      <c r="O151" s="62">
        <v>0</v>
      </c>
      <c r="P151" s="62">
        <v>0</v>
      </c>
      <c r="Q151" s="62">
        <v>0</v>
      </c>
      <c r="R151" s="62">
        <v>0</v>
      </c>
      <c r="S151" s="62">
        <v>0</v>
      </c>
      <c r="T151" s="62">
        <v>0</v>
      </c>
      <c r="U151" s="190">
        <f t="shared" si="842"/>
        <v>0</v>
      </c>
      <c r="V151" s="197">
        <f>U151/(U$5+U$6+U$7+U$8+U$10+U$9)</f>
        <v>0</v>
      </c>
      <c r="W151" s="62">
        <v>0</v>
      </c>
      <c r="X151" s="62">
        <v>0</v>
      </c>
      <c r="Y151" s="62">
        <v>0</v>
      </c>
      <c r="Z151" s="62">
        <v>0</v>
      </c>
      <c r="AA151" s="62">
        <v>0</v>
      </c>
      <c r="AB151" s="62">
        <v>0</v>
      </c>
      <c r="AC151" s="62">
        <v>0</v>
      </c>
      <c r="AD151" s="62">
        <v>0</v>
      </c>
      <c r="AE151" s="62">
        <v>0</v>
      </c>
      <c r="AF151" s="62">
        <v>0</v>
      </c>
      <c r="AG151" s="62">
        <v>0</v>
      </c>
      <c r="AH151" s="62">
        <v>0</v>
      </c>
      <c r="AI151" s="190">
        <f t="shared" si="843"/>
        <v>0</v>
      </c>
      <c r="AJ151" s="197">
        <f>AI151/(AI$5+AI$6+AI$7+AI$8+AI$10+AI$9)</f>
        <v>0</v>
      </c>
      <c r="AK151" s="62">
        <v>0</v>
      </c>
      <c r="AL151" s="62">
        <v>0</v>
      </c>
      <c r="AM151" s="62">
        <v>0</v>
      </c>
      <c r="AN151" s="62">
        <v>0</v>
      </c>
      <c r="AO151" s="62">
        <v>0</v>
      </c>
      <c r="AP151" s="62">
        <v>0</v>
      </c>
      <c r="AQ151" s="62">
        <v>0</v>
      </c>
      <c r="AR151" s="62">
        <v>0</v>
      </c>
      <c r="AS151" s="62">
        <v>0</v>
      </c>
      <c r="AT151" s="62">
        <v>760000</v>
      </c>
      <c r="AU151" s="62">
        <f>475000</f>
        <v>475000</v>
      </c>
      <c r="AV151" s="62">
        <f>285000+475000+123500-118300</f>
        <v>765200</v>
      </c>
      <c r="AW151" s="190">
        <f t="shared" si="844"/>
        <v>2000200</v>
      </c>
      <c r="AX151" s="197">
        <f>AW151/(AW$5+AW$6+AW$7+AW$8+AW$10+AW$9)</f>
        <v>2.6219292462653403E-2</v>
      </c>
      <c r="AY151" s="62">
        <v>0</v>
      </c>
      <c r="AZ151" s="62">
        <v>0</v>
      </c>
      <c r="BA151" s="62">
        <v>0</v>
      </c>
      <c r="BB151" s="62">
        <v>0</v>
      </c>
      <c r="BC151" s="62">
        <v>-1425000</v>
      </c>
      <c r="BD151" s="62">
        <v>0</v>
      </c>
      <c r="BE151" s="62">
        <v>0</v>
      </c>
      <c r="BF151" s="62">
        <v>0</v>
      </c>
      <c r="BG151" s="62">
        <v>0</v>
      </c>
      <c r="BH151" s="62">
        <v>0</v>
      </c>
      <c r="BI151" s="62">
        <v>0</v>
      </c>
      <c r="BJ151" s="62">
        <v>0</v>
      </c>
      <c r="BK151" s="190">
        <f t="shared" ref="BK151:BK155" si="852">SUM(AY151:BJ151)</f>
        <v>-1425000</v>
      </c>
      <c r="BL151" s="197">
        <f>BK151/(BK$5+BK$6+BK$7+BK$8+BK$10+BK$9)</f>
        <v>-2.0404065795766729E-2</v>
      </c>
      <c r="BM151" s="62">
        <v>0</v>
      </c>
      <c r="BN151" s="62">
        <v>0</v>
      </c>
      <c r="BO151" s="62">
        <v>0</v>
      </c>
      <c r="BP151" s="62">
        <v>0</v>
      </c>
      <c r="BQ151" s="62">
        <v>0</v>
      </c>
      <c r="BR151" s="62">
        <v>0</v>
      </c>
      <c r="BS151" s="62">
        <v>0</v>
      </c>
      <c r="BT151" s="62">
        <v>0</v>
      </c>
      <c r="BU151" s="62">
        <v>0</v>
      </c>
      <c r="BV151" s="62">
        <v>0</v>
      </c>
      <c r="BW151" s="62">
        <v>0</v>
      </c>
      <c r="BX151" s="62">
        <v>0</v>
      </c>
      <c r="BY151" s="190">
        <f t="shared" si="846"/>
        <v>0</v>
      </c>
      <c r="BZ151" s="197">
        <f>BY151/(BY$5+BY$6+BY$7+BY$8+BY$10+BY$9)</f>
        <v>0</v>
      </c>
      <c r="CA151" s="62">
        <v>0</v>
      </c>
      <c r="CB151" s="62">
        <v>0</v>
      </c>
      <c r="CC151" s="62">
        <v>0</v>
      </c>
      <c r="CD151" s="62">
        <v>0</v>
      </c>
      <c r="CE151" s="62">
        <v>0</v>
      </c>
      <c r="CF151" s="62">
        <v>0</v>
      </c>
      <c r="CG151" s="62">
        <v>0</v>
      </c>
      <c r="CH151" s="62">
        <v>0</v>
      </c>
      <c r="CI151" s="62">
        <v>0</v>
      </c>
      <c r="CJ151" s="62">
        <v>0</v>
      </c>
      <c r="CK151" s="62">
        <v>0</v>
      </c>
      <c r="CL151" s="62">
        <v>0</v>
      </c>
      <c r="CM151" s="190">
        <f t="shared" si="847"/>
        <v>0</v>
      </c>
      <c r="CN151" s="62">
        <v>0</v>
      </c>
      <c r="CO151" s="62">
        <v>0</v>
      </c>
      <c r="CP151" s="62">
        <v>0</v>
      </c>
      <c r="CQ151" s="62">
        <v>0</v>
      </c>
      <c r="CR151" s="62">
        <v>0</v>
      </c>
      <c r="CS151" s="62">
        <v>0</v>
      </c>
      <c r="CT151" s="62">
        <v>0</v>
      </c>
      <c r="CU151" s="62">
        <v>0</v>
      </c>
      <c r="CV151" s="62">
        <v>0</v>
      </c>
      <c r="CW151" s="62">
        <v>0</v>
      </c>
      <c r="CX151" s="62">
        <v>0</v>
      </c>
      <c r="CY151" s="62">
        <v>0</v>
      </c>
      <c r="CZ151" s="190">
        <f t="shared" si="848"/>
        <v>0</v>
      </c>
      <c r="DA151" s="62">
        <v>0</v>
      </c>
      <c r="DB151" s="62">
        <v>0</v>
      </c>
      <c r="DC151" s="62">
        <v>0</v>
      </c>
      <c r="DD151" s="62">
        <v>0</v>
      </c>
      <c r="DE151" s="62">
        <v>0</v>
      </c>
      <c r="DF151" s="62">
        <v>0</v>
      </c>
      <c r="DG151" s="62">
        <v>0</v>
      </c>
      <c r="DH151" s="62">
        <v>0</v>
      </c>
      <c r="DI151" s="62">
        <v>0</v>
      </c>
      <c r="DJ151" s="62">
        <v>0</v>
      </c>
      <c r="DK151" s="62">
        <v>0</v>
      </c>
      <c r="DL151" s="62">
        <v>0</v>
      </c>
      <c r="DM151" s="190">
        <f t="shared" si="849"/>
        <v>0</v>
      </c>
      <c r="DN151" s="62">
        <v>0</v>
      </c>
      <c r="DO151" s="62">
        <v>0</v>
      </c>
      <c r="DP151" s="62">
        <v>0</v>
      </c>
      <c r="DQ151" s="62">
        <v>0</v>
      </c>
      <c r="DR151" s="62">
        <v>0</v>
      </c>
      <c r="DS151" s="62">
        <v>0</v>
      </c>
      <c r="DT151" s="62">
        <v>0</v>
      </c>
      <c r="DU151" s="62">
        <v>0</v>
      </c>
      <c r="DV151" s="62">
        <v>0</v>
      </c>
      <c r="DW151" s="62">
        <v>0</v>
      </c>
      <c r="DX151" s="62">
        <v>0</v>
      </c>
      <c r="DY151" s="62">
        <v>0</v>
      </c>
      <c r="DZ151" s="190">
        <f t="shared" si="850"/>
        <v>0</v>
      </c>
    </row>
    <row r="152" spans="1:130" s="194" customFormat="1" ht="20.45" customHeight="1">
      <c r="A152" s="522" t="str">
        <f ca="1">"월급통장 잔고 ("&amp;YEAR(TODAY())&amp;"-"&amp;IF(MONTH(TODAY())&lt;10,"0"&amp;MONTH(TODAY()),MONTH(TODAY()))&amp;"-"&amp;IF(DAY(TODAY())&lt;10,"0"&amp;DAY(TODAY())&amp;")",DAY(TODAY())&amp;")")</f>
        <v>월급통장 잔고 (2026-06-05)</v>
      </c>
      <c r="B152" s="523"/>
      <c r="C152" s="524"/>
      <c r="D152" s="341">
        <f>SUM(F152:FJ152)-G152-U152-AI152-AW152-BK152-BY152-CM152-CZ152-DM152-DZ152-H152-V152-AJ152-AX152-BL152-BZ152</f>
        <v>3057881</v>
      </c>
      <c r="E152" s="330">
        <f t="shared" si="851"/>
        <v>9.4610941343317833E-3</v>
      </c>
      <c r="F152" s="192">
        <f>F4-F25-F145-F147-F15-F150-F13-F16</f>
        <v>0</v>
      </c>
      <c r="G152" s="193">
        <f t="shared" si="433"/>
        <v>0</v>
      </c>
      <c r="H152" s="196">
        <f t="shared" ref="H152:H155" si="853">G152/(G$5+G$6+G$7+G$8+G$10+G$9)</f>
        <v>0</v>
      </c>
      <c r="I152" s="192">
        <f t="shared" ref="I152:T152" si="854">I4-I25-I145-I147-I15-I150-I13-I16</f>
        <v>0</v>
      </c>
      <c r="J152" s="192">
        <f t="shared" si="854"/>
        <v>1927559</v>
      </c>
      <c r="K152" s="192">
        <f t="shared" si="854"/>
        <v>904888</v>
      </c>
      <c r="L152" s="192">
        <f t="shared" si="854"/>
        <v>-764673</v>
      </c>
      <c r="M152" s="192">
        <f t="shared" si="854"/>
        <v>526158</v>
      </c>
      <c r="N152" s="192">
        <f t="shared" si="854"/>
        <v>1291721</v>
      </c>
      <c r="O152" s="192">
        <f t="shared" si="854"/>
        <v>-1907510</v>
      </c>
      <c r="P152" s="192">
        <f t="shared" si="854"/>
        <v>199431</v>
      </c>
      <c r="Q152" s="192">
        <f t="shared" si="854"/>
        <v>-435207</v>
      </c>
      <c r="R152" s="192">
        <f t="shared" si="854"/>
        <v>567082</v>
      </c>
      <c r="S152" s="192">
        <f t="shared" si="854"/>
        <v>-451500</v>
      </c>
      <c r="T152" s="192">
        <f t="shared" si="854"/>
        <v>-1826980</v>
      </c>
      <c r="U152" s="193">
        <f t="shared" si="423"/>
        <v>30969</v>
      </c>
      <c r="V152" s="196">
        <f t="shared" ref="V152:V155" si="855">U152/(U$5+U$6+U$7+U$8+U$10+U$9)</f>
        <v>5.582011837527677E-4</v>
      </c>
      <c r="W152" s="192">
        <f t="shared" ref="W152:AH152" si="856">W4-W25-W145-W147-W15-W150-W13-W16</f>
        <v>558918</v>
      </c>
      <c r="X152" s="192">
        <f t="shared" si="856"/>
        <v>510667</v>
      </c>
      <c r="Y152" s="192">
        <f t="shared" si="856"/>
        <v>575791</v>
      </c>
      <c r="Z152" s="192">
        <f t="shared" si="856"/>
        <v>1992146</v>
      </c>
      <c r="AA152" s="192">
        <f t="shared" si="856"/>
        <v>1197328</v>
      </c>
      <c r="AB152" s="192">
        <f t="shared" si="856"/>
        <v>-81438</v>
      </c>
      <c r="AC152" s="192">
        <f t="shared" si="856"/>
        <v>2087220</v>
      </c>
      <c r="AD152" s="192">
        <f t="shared" si="856"/>
        <v>-171101</v>
      </c>
      <c r="AE152" s="192">
        <f t="shared" si="856"/>
        <v>20190</v>
      </c>
      <c r="AF152" s="192">
        <f t="shared" si="856"/>
        <v>1941635</v>
      </c>
      <c r="AG152" s="192">
        <f t="shared" si="856"/>
        <v>434339</v>
      </c>
      <c r="AH152" s="192">
        <f t="shared" si="856"/>
        <v>-4563950</v>
      </c>
      <c r="AI152" s="193">
        <f t="shared" si="424"/>
        <v>4501745</v>
      </c>
      <c r="AJ152" s="196">
        <f t="shared" ref="AJ152:AJ155" si="857">AI152/(AI$5+AI$6+AI$7+AI$8+AI$10+AI$9)</f>
        <v>6.1182718336075026E-2</v>
      </c>
      <c r="AK152" s="192">
        <f t="shared" ref="AK152:AV152" si="858">AK4-AK25-AK145-AK147-AK15-AK150-AK13-AK16</f>
        <v>99456</v>
      </c>
      <c r="AL152" s="192">
        <f t="shared" si="858"/>
        <v>1108185</v>
      </c>
      <c r="AM152" s="192">
        <f t="shared" si="858"/>
        <v>1434710</v>
      </c>
      <c r="AN152" s="192">
        <f t="shared" si="858"/>
        <v>52497</v>
      </c>
      <c r="AO152" s="192">
        <f t="shared" si="858"/>
        <v>1516866</v>
      </c>
      <c r="AP152" s="192">
        <f t="shared" si="858"/>
        <v>-964236</v>
      </c>
      <c r="AQ152" s="192">
        <f t="shared" si="858"/>
        <v>457809</v>
      </c>
      <c r="AR152" s="192">
        <f t="shared" si="858"/>
        <v>-947994</v>
      </c>
      <c r="AS152" s="192">
        <f t="shared" si="858"/>
        <v>1214699</v>
      </c>
      <c r="AT152" s="192">
        <f t="shared" si="858"/>
        <v>-4761329</v>
      </c>
      <c r="AU152" s="192">
        <f t="shared" si="858"/>
        <v>-258467</v>
      </c>
      <c r="AV152" s="192">
        <f t="shared" si="858"/>
        <v>-231768</v>
      </c>
      <c r="AW152" s="193">
        <f t="shared" si="425"/>
        <v>-1279572</v>
      </c>
      <c r="AX152" s="196">
        <f t="shared" ref="AX152:AX155" si="859">AW152/(AW$5+AW$6+AW$7+AW$8+AW$10+AW$9)</f>
        <v>-1.6773058941617007E-2</v>
      </c>
      <c r="AY152" s="192">
        <f t="shared" ref="AY152:BG152" si="860">AY4-AY25-AY145-AY147-AY15-AY150-AY13-AY16</f>
        <v>-3108041</v>
      </c>
      <c r="AZ152" s="192">
        <f t="shared" si="860"/>
        <v>6214274</v>
      </c>
      <c r="BA152" s="192">
        <f t="shared" si="860"/>
        <v>-1406269</v>
      </c>
      <c r="BB152" s="192">
        <f t="shared" si="860"/>
        <v>-93386</v>
      </c>
      <c r="BC152" s="192">
        <f t="shared" si="860"/>
        <v>1815971</v>
      </c>
      <c r="BD152" s="192">
        <f t="shared" si="860"/>
        <v>-2388978</v>
      </c>
      <c r="BE152" s="192">
        <f t="shared" si="860"/>
        <v>-1029138</v>
      </c>
      <c r="BF152" s="192">
        <f t="shared" si="860"/>
        <v>576465</v>
      </c>
      <c r="BG152" s="192">
        <f t="shared" si="860"/>
        <v>-1060840</v>
      </c>
      <c r="BH152" s="192">
        <f>BH4-BH25-BH145-BH147-BH15-BH150-BH13-BH16</f>
        <v>2319327</v>
      </c>
      <c r="BI152" s="192">
        <f t="shared" ref="BI152:BJ152" si="861">BI4-BI25-BI145-BI147-BI15-BI150-BI13-BI16</f>
        <v>1732832</v>
      </c>
      <c r="BJ152" s="192">
        <f t="shared" si="861"/>
        <v>-6591266</v>
      </c>
      <c r="BK152" s="193">
        <f t="shared" si="852"/>
        <v>-3019049</v>
      </c>
      <c r="BL152" s="196">
        <f t="shared" ref="BL152:BL155" si="862">BK152/(BK$5+BK$6+BK$7+BK$8+BK$10+BK$9)</f>
        <v>-4.3228683815188594E-2</v>
      </c>
      <c r="BM152" s="192">
        <f t="shared" ref="BM152:DY152" si="863">BM4-BM25-BM145-BM147-BM15-BM150-BM13-BM16</f>
        <v>10778</v>
      </c>
      <c r="BN152" s="192">
        <f t="shared" si="863"/>
        <v>1859189</v>
      </c>
      <c r="BO152" s="192">
        <f t="shared" si="863"/>
        <v>1830688</v>
      </c>
      <c r="BP152" s="192">
        <f t="shared" si="863"/>
        <v>475217</v>
      </c>
      <c r="BQ152" s="192">
        <f t="shared" si="863"/>
        <v>-1352084</v>
      </c>
      <c r="BR152" s="192">
        <f t="shared" si="863"/>
        <v>0</v>
      </c>
      <c r="BS152" s="192">
        <f t="shared" si="863"/>
        <v>0</v>
      </c>
      <c r="BT152" s="192">
        <f t="shared" si="863"/>
        <v>0</v>
      </c>
      <c r="BU152" s="192">
        <f t="shared" si="863"/>
        <v>0</v>
      </c>
      <c r="BV152" s="192">
        <f t="shared" si="863"/>
        <v>0</v>
      </c>
      <c r="BW152" s="192">
        <f t="shared" si="863"/>
        <v>0</v>
      </c>
      <c r="BX152" s="192">
        <f t="shared" si="863"/>
        <v>0</v>
      </c>
      <c r="BY152" s="193">
        <f t="shared" si="846"/>
        <v>2823788</v>
      </c>
      <c r="BZ152" s="196">
        <f t="shared" ref="BZ152:BZ155" si="864">BY152/(BY$5+BY$6+BY$7+BY$8+BY$10+BY$9)</f>
        <v>6.470213132081766E-2</v>
      </c>
      <c r="CA152" s="192">
        <f t="shared" si="863"/>
        <v>0</v>
      </c>
      <c r="CB152" s="192">
        <f t="shared" si="863"/>
        <v>0</v>
      </c>
      <c r="CC152" s="192">
        <f t="shared" si="863"/>
        <v>0</v>
      </c>
      <c r="CD152" s="192">
        <f t="shared" si="863"/>
        <v>0</v>
      </c>
      <c r="CE152" s="192">
        <f t="shared" si="863"/>
        <v>0</v>
      </c>
      <c r="CF152" s="192">
        <f t="shared" si="863"/>
        <v>0</v>
      </c>
      <c r="CG152" s="192">
        <f t="shared" si="863"/>
        <v>0</v>
      </c>
      <c r="CH152" s="192">
        <f t="shared" si="863"/>
        <v>0</v>
      </c>
      <c r="CI152" s="192">
        <f t="shared" si="863"/>
        <v>0</v>
      </c>
      <c r="CJ152" s="192">
        <f t="shared" si="863"/>
        <v>0</v>
      </c>
      <c r="CK152" s="192">
        <f t="shared" si="863"/>
        <v>0</v>
      </c>
      <c r="CL152" s="192">
        <f t="shared" si="863"/>
        <v>0</v>
      </c>
      <c r="CM152" s="193">
        <f t="shared" si="847"/>
        <v>0</v>
      </c>
      <c r="CN152" s="192">
        <f t="shared" si="863"/>
        <v>0</v>
      </c>
      <c r="CO152" s="192">
        <f t="shared" si="863"/>
        <v>0</v>
      </c>
      <c r="CP152" s="192">
        <f t="shared" si="863"/>
        <v>0</v>
      </c>
      <c r="CQ152" s="192">
        <f t="shared" si="863"/>
        <v>0</v>
      </c>
      <c r="CR152" s="192">
        <f t="shared" si="863"/>
        <v>0</v>
      </c>
      <c r="CS152" s="192">
        <f t="shared" si="863"/>
        <v>0</v>
      </c>
      <c r="CT152" s="192">
        <f t="shared" si="863"/>
        <v>0</v>
      </c>
      <c r="CU152" s="192">
        <f t="shared" si="863"/>
        <v>0</v>
      </c>
      <c r="CV152" s="192">
        <f t="shared" si="863"/>
        <v>0</v>
      </c>
      <c r="CW152" s="192">
        <f t="shared" si="863"/>
        <v>0</v>
      </c>
      <c r="CX152" s="192">
        <f t="shared" si="863"/>
        <v>0</v>
      </c>
      <c r="CY152" s="192">
        <f t="shared" si="863"/>
        <v>0</v>
      </c>
      <c r="CZ152" s="193">
        <f t="shared" si="848"/>
        <v>0</v>
      </c>
      <c r="DA152" s="192">
        <f t="shared" si="863"/>
        <v>0</v>
      </c>
      <c r="DB152" s="192">
        <f t="shared" si="863"/>
        <v>0</v>
      </c>
      <c r="DC152" s="192">
        <f t="shared" si="863"/>
        <v>0</v>
      </c>
      <c r="DD152" s="192">
        <f t="shared" si="863"/>
        <v>0</v>
      </c>
      <c r="DE152" s="192">
        <f t="shared" si="863"/>
        <v>0</v>
      </c>
      <c r="DF152" s="192">
        <f t="shared" si="863"/>
        <v>0</v>
      </c>
      <c r="DG152" s="192">
        <f t="shared" si="863"/>
        <v>0</v>
      </c>
      <c r="DH152" s="192">
        <f t="shared" si="863"/>
        <v>0</v>
      </c>
      <c r="DI152" s="192">
        <f t="shared" si="863"/>
        <v>0</v>
      </c>
      <c r="DJ152" s="192">
        <f t="shared" si="863"/>
        <v>0</v>
      </c>
      <c r="DK152" s="192">
        <f t="shared" si="863"/>
        <v>0</v>
      </c>
      <c r="DL152" s="192">
        <f t="shared" si="863"/>
        <v>0</v>
      </c>
      <c r="DM152" s="193">
        <f t="shared" si="849"/>
        <v>0</v>
      </c>
      <c r="DN152" s="192">
        <f t="shared" si="863"/>
        <v>0</v>
      </c>
      <c r="DO152" s="192">
        <f t="shared" si="863"/>
        <v>0</v>
      </c>
      <c r="DP152" s="192">
        <f t="shared" si="863"/>
        <v>0</v>
      </c>
      <c r="DQ152" s="192">
        <f t="shared" si="863"/>
        <v>0</v>
      </c>
      <c r="DR152" s="192">
        <f t="shared" si="863"/>
        <v>0</v>
      </c>
      <c r="DS152" s="192">
        <f t="shared" si="863"/>
        <v>0</v>
      </c>
      <c r="DT152" s="192">
        <f t="shared" si="863"/>
        <v>0</v>
      </c>
      <c r="DU152" s="192">
        <f t="shared" si="863"/>
        <v>0</v>
      </c>
      <c r="DV152" s="192">
        <f t="shared" si="863"/>
        <v>0</v>
      </c>
      <c r="DW152" s="192">
        <f t="shared" si="863"/>
        <v>0</v>
      </c>
      <c r="DX152" s="192">
        <f t="shared" si="863"/>
        <v>0</v>
      </c>
      <c r="DY152" s="192">
        <f t="shared" si="863"/>
        <v>0</v>
      </c>
      <c r="DZ152" s="193">
        <f t="shared" si="850"/>
        <v>0</v>
      </c>
    </row>
    <row r="153" spans="1:130" ht="20.45" customHeight="1">
      <c r="A153" s="533" t="str">
        <f ca="1">"서울페이 잔고 ("&amp;YEAR(TODAY())&amp;"-"&amp;IF(MONTH(TODAY())&lt;10,"0"&amp;MONTH(TODAY()),MONTH(TODAY()))&amp;"-"&amp;IF(DAY(TODAY())&lt;10,"0"&amp;DAY(TODAY())&amp;")",DAY(TODAY())&amp;")")</f>
        <v>서울페이 잔고 (2026-06-05)</v>
      </c>
      <c r="B153" s="534"/>
      <c r="C153" s="535"/>
      <c r="D153" s="341">
        <f t="shared" ref="D153:D154" si="865">SUM(F153:FJ153)-G153-U153-AI153-AW153-BK153-BY153-CM153-CZ153-DM153-DZ153-H153-V153-AJ153-AX153-BL153-BZ153</f>
        <v>17615.000000000113</v>
      </c>
      <c r="E153" s="330">
        <f t="shared" si="851"/>
        <v>5.4500869450529771E-5</v>
      </c>
      <c r="F153" s="192">
        <f>F151+F13</f>
        <v>0</v>
      </c>
      <c r="G153" s="193">
        <f t="shared" si="433"/>
        <v>0</v>
      </c>
      <c r="H153" s="196">
        <f t="shared" si="853"/>
        <v>0</v>
      </c>
      <c r="I153" s="192">
        <f t="shared" ref="I153:T153" si="866">I151+I13</f>
        <v>0</v>
      </c>
      <c r="J153" s="192">
        <f t="shared" si="866"/>
        <v>0</v>
      </c>
      <c r="K153" s="192">
        <f t="shared" si="866"/>
        <v>0</v>
      </c>
      <c r="L153" s="192">
        <f t="shared" si="866"/>
        <v>0</v>
      </c>
      <c r="M153" s="192">
        <f t="shared" si="866"/>
        <v>0</v>
      </c>
      <c r="N153" s="192">
        <f t="shared" si="866"/>
        <v>0</v>
      </c>
      <c r="O153" s="192">
        <f t="shared" si="866"/>
        <v>0</v>
      </c>
      <c r="P153" s="192">
        <f t="shared" si="866"/>
        <v>0</v>
      </c>
      <c r="Q153" s="192">
        <f t="shared" si="866"/>
        <v>0</v>
      </c>
      <c r="R153" s="192">
        <f t="shared" si="866"/>
        <v>0</v>
      </c>
      <c r="S153" s="192">
        <f t="shared" si="866"/>
        <v>0</v>
      </c>
      <c r="T153" s="192">
        <f t="shared" si="866"/>
        <v>0</v>
      </c>
      <c r="U153" s="193">
        <f t="shared" si="423"/>
        <v>0</v>
      </c>
      <c r="V153" s="196">
        <f t="shared" si="855"/>
        <v>0</v>
      </c>
      <c r="W153" s="192">
        <f t="shared" ref="W153:AH153" si="867">W151+W13</f>
        <v>0</v>
      </c>
      <c r="X153" s="192">
        <f t="shared" si="867"/>
        <v>0</v>
      </c>
      <c r="Y153" s="192">
        <f t="shared" si="867"/>
        <v>0</v>
      </c>
      <c r="Z153" s="192">
        <f t="shared" si="867"/>
        <v>0</v>
      </c>
      <c r="AA153" s="192">
        <f t="shared" si="867"/>
        <v>0</v>
      </c>
      <c r="AB153" s="192">
        <f t="shared" si="867"/>
        <v>0</v>
      </c>
      <c r="AC153" s="192">
        <f t="shared" si="867"/>
        <v>0</v>
      </c>
      <c r="AD153" s="192">
        <f t="shared" si="867"/>
        <v>0</v>
      </c>
      <c r="AE153" s="192">
        <f t="shared" si="867"/>
        <v>0</v>
      </c>
      <c r="AF153" s="192">
        <f t="shared" si="867"/>
        <v>0</v>
      </c>
      <c r="AG153" s="192">
        <f t="shared" si="867"/>
        <v>0</v>
      </c>
      <c r="AH153" s="192">
        <f t="shared" si="867"/>
        <v>0</v>
      </c>
      <c r="AI153" s="193">
        <f t="shared" si="424"/>
        <v>0</v>
      </c>
      <c r="AJ153" s="196">
        <f t="shared" si="857"/>
        <v>0</v>
      </c>
      <c r="AK153" s="192">
        <f t="shared" ref="AK153:AV153" si="868">AK151+AK13</f>
        <v>0</v>
      </c>
      <c r="AL153" s="192">
        <f t="shared" si="868"/>
        <v>0</v>
      </c>
      <c r="AM153" s="192">
        <f t="shared" si="868"/>
        <v>0</v>
      </c>
      <c r="AN153" s="192">
        <f t="shared" si="868"/>
        <v>0</v>
      </c>
      <c r="AO153" s="192">
        <f t="shared" si="868"/>
        <v>0</v>
      </c>
      <c r="AP153" s="192">
        <f t="shared" si="868"/>
        <v>0</v>
      </c>
      <c r="AQ153" s="192">
        <f t="shared" si="868"/>
        <v>0</v>
      </c>
      <c r="AR153" s="192">
        <f t="shared" si="868"/>
        <v>0</v>
      </c>
      <c r="AS153" s="192">
        <f t="shared" si="868"/>
        <v>0</v>
      </c>
      <c r="AT153" s="192">
        <f t="shared" si="868"/>
        <v>800000</v>
      </c>
      <c r="AU153" s="192">
        <f t="shared" si="868"/>
        <v>500000</v>
      </c>
      <c r="AV153" s="192">
        <f t="shared" si="868"/>
        <v>811700</v>
      </c>
      <c r="AW153" s="193">
        <f t="shared" si="425"/>
        <v>2111700</v>
      </c>
      <c r="AX153" s="196">
        <f t="shared" si="859"/>
        <v>2.7680871859506646E-2</v>
      </c>
      <c r="AY153" s="192">
        <f>AY151+AY13-300000+5915</f>
        <v>-294085</v>
      </c>
      <c r="AZ153" s="192">
        <f>-1800000+1500000</f>
        <v>-300000</v>
      </c>
      <c r="BA153" s="192">
        <f t="shared" ref="BA153:BJ153" si="869">BA151+BA13</f>
        <v>0</v>
      </c>
      <c r="BB153" s="192">
        <f t="shared" si="869"/>
        <v>0</v>
      </c>
      <c r="BC153" s="192">
        <f t="shared" si="869"/>
        <v>-1500000</v>
      </c>
      <c r="BD153" s="192">
        <f t="shared" si="869"/>
        <v>0</v>
      </c>
      <c r="BE153" s="192">
        <f t="shared" si="869"/>
        <v>0</v>
      </c>
      <c r="BF153" s="192">
        <f t="shared" si="869"/>
        <v>0</v>
      </c>
      <c r="BG153" s="192">
        <f t="shared" si="869"/>
        <v>0</v>
      </c>
      <c r="BH153" s="192">
        <f t="shared" si="869"/>
        <v>0</v>
      </c>
      <c r="BI153" s="192">
        <f t="shared" si="869"/>
        <v>0</v>
      </c>
      <c r="BJ153" s="192">
        <f t="shared" si="869"/>
        <v>0</v>
      </c>
      <c r="BK153" s="193">
        <f t="shared" si="852"/>
        <v>-2094085</v>
      </c>
      <c r="BL153" s="196">
        <f t="shared" si="862"/>
        <v>-2.9984454822405731E-2</v>
      </c>
      <c r="BM153" s="192">
        <f t="shared" ref="BM153:BX153" si="870">BM151+BM13</f>
        <v>0</v>
      </c>
      <c r="BN153" s="192">
        <f t="shared" si="870"/>
        <v>0</v>
      </c>
      <c r="BO153" s="192">
        <f t="shared" si="870"/>
        <v>0</v>
      </c>
      <c r="BP153" s="192">
        <f t="shared" si="870"/>
        <v>0</v>
      </c>
      <c r="BQ153" s="192">
        <f t="shared" si="870"/>
        <v>0</v>
      </c>
      <c r="BR153" s="192">
        <f t="shared" si="870"/>
        <v>0</v>
      </c>
      <c r="BS153" s="192">
        <f t="shared" si="870"/>
        <v>0</v>
      </c>
      <c r="BT153" s="192">
        <f t="shared" si="870"/>
        <v>0</v>
      </c>
      <c r="BU153" s="192">
        <f t="shared" si="870"/>
        <v>0</v>
      </c>
      <c r="BV153" s="192">
        <f t="shared" si="870"/>
        <v>0</v>
      </c>
      <c r="BW153" s="192">
        <f t="shared" si="870"/>
        <v>0</v>
      </c>
      <c r="BX153" s="192">
        <f t="shared" si="870"/>
        <v>0</v>
      </c>
      <c r="BY153" s="193">
        <f t="shared" si="846"/>
        <v>0</v>
      </c>
      <c r="BZ153" s="196">
        <f t="shared" si="864"/>
        <v>0</v>
      </c>
      <c r="CA153" s="192">
        <f t="shared" ref="CA153:CL153" si="871">CA151+CA13</f>
        <v>0</v>
      </c>
      <c r="CB153" s="192">
        <f t="shared" si="871"/>
        <v>0</v>
      </c>
      <c r="CC153" s="192">
        <f t="shared" si="871"/>
        <v>0</v>
      </c>
      <c r="CD153" s="192">
        <f t="shared" si="871"/>
        <v>0</v>
      </c>
      <c r="CE153" s="192">
        <f t="shared" si="871"/>
        <v>0</v>
      </c>
      <c r="CF153" s="192">
        <f t="shared" si="871"/>
        <v>0</v>
      </c>
      <c r="CG153" s="192">
        <f t="shared" si="871"/>
        <v>0</v>
      </c>
      <c r="CH153" s="192">
        <f t="shared" si="871"/>
        <v>0</v>
      </c>
      <c r="CI153" s="192">
        <f t="shared" si="871"/>
        <v>0</v>
      </c>
      <c r="CJ153" s="192">
        <f t="shared" si="871"/>
        <v>0</v>
      </c>
      <c r="CK153" s="192">
        <f t="shared" si="871"/>
        <v>0</v>
      </c>
      <c r="CL153" s="192">
        <f t="shared" si="871"/>
        <v>0</v>
      </c>
      <c r="CM153" s="193">
        <f t="shared" si="847"/>
        <v>0</v>
      </c>
      <c r="CN153" s="192">
        <f t="shared" ref="CN153:CY153" si="872">CN151+CN13</f>
        <v>0</v>
      </c>
      <c r="CO153" s="192">
        <f t="shared" si="872"/>
        <v>0</v>
      </c>
      <c r="CP153" s="192">
        <f t="shared" si="872"/>
        <v>0</v>
      </c>
      <c r="CQ153" s="192">
        <f t="shared" si="872"/>
        <v>0</v>
      </c>
      <c r="CR153" s="192">
        <f t="shared" si="872"/>
        <v>0</v>
      </c>
      <c r="CS153" s="192">
        <f t="shared" si="872"/>
        <v>0</v>
      </c>
      <c r="CT153" s="192">
        <f t="shared" si="872"/>
        <v>0</v>
      </c>
      <c r="CU153" s="192">
        <f t="shared" si="872"/>
        <v>0</v>
      </c>
      <c r="CV153" s="192">
        <f t="shared" si="872"/>
        <v>0</v>
      </c>
      <c r="CW153" s="192">
        <f t="shared" si="872"/>
        <v>0</v>
      </c>
      <c r="CX153" s="192">
        <f t="shared" si="872"/>
        <v>0</v>
      </c>
      <c r="CY153" s="192">
        <f t="shared" si="872"/>
        <v>0</v>
      </c>
      <c r="CZ153" s="193">
        <f t="shared" si="848"/>
        <v>0</v>
      </c>
      <c r="DA153" s="192">
        <f t="shared" ref="DA153:DL153" si="873">DA151+DA13</f>
        <v>0</v>
      </c>
      <c r="DB153" s="192">
        <f t="shared" si="873"/>
        <v>0</v>
      </c>
      <c r="DC153" s="192">
        <f t="shared" si="873"/>
        <v>0</v>
      </c>
      <c r="DD153" s="192">
        <f t="shared" si="873"/>
        <v>0</v>
      </c>
      <c r="DE153" s="192">
        <f t="shared" si="873"/>
        <v>0</v>
      </c>
      <c r="DF153" s="192">
        <f t="shared" si="873"/>
        <v>0</v>
      </c>
      <c r="DG153" s="192">
        <f t="shared" si="873"/>
        <v>0</v>
      </c>
      <c r="DH153" s="192">
        <f t="shared" si="873"/>
        <v>0</v>
      </c>
      <c r="DI153" s="192">
        <f t="shared" si="873"/>
        <v>0</v>
      </c>
      <c r="DJ153" s="192">
        <f t="shared" si="873"/>
        <v>0</v>
      </c>
      <c r="DK153" s="192">
        <f t="shared" si="873"/>
        <v>0</v>
      </c>
      <c r="DL153" s="192">
        <f t="shared" si="873"/>
        <v>0</v>
      </c>
      <c r="DM153" s="193">
        <f t="shared" si="849"/>
        <v>0</v>
      </c>
      <c r="DN153" s="192">
        <f t="shared" ref="DN153:DY153" si="874">DN151+DN13</f>
        <v>0</v>
      </c>
      <c r="DO153" s="192">
        <f t="shared" si="874"/>
        <v>0</v>
      </c>
      <c r="DP153" s="192">
        <f t="shared" si="874"/>
        <v>0</v>
      </c>
      <c r="DQ153" s="192">
        <f t="shared" si="874"/>
        <v>0</v>
      </c>
      <c r="DR153" s="192">
        <f t="shared" si="874"/>
        <v>0</v>
      </c>
      <c r="DS153" s="192">
        <f t="shared" si="874"/>
        <v>0</v>
      </c>
      <c r="DT153" s="192">
        <f t="shared" si="874"/>
        <v>0</v>
      </c>
      <c r="DU153" s="192">
        <f t="shared" si="874"/>
        <v>0</v>
      </c>
      <c r="DV153" s="192">
        <f t="shared" si="874"/>
        <v>0</v>
      </c>
      <c r="DW153" s="192">
        <f t="shared" si="874"/>
        <v>0</v>
      </c>
      <c r="DX153" s="192">
        <f t="shared" si="874"/>
        <v>0</v>
      </c>
      <c r="DY153" s="192">
        <f t="shared" si="874"/>
        <v>0</v>
      </c>
      <c r="DZ153" s="193">
        <f t="shared" si="850"/>
        <v>0</v>
      </c>
    </row>
    <row r="154" spans="1:130" ht="20.45" customHeight="1">
      <c r="A154" s="533" t="str">
        <f ca="1">"업비트 ("&amp;YEAR(TODAY())&amp;"-"&amp;IF(MONTH(TODAY())&lt;10,"0"&amp;MONTH(TODAY()),MONTH(TODAY()))&amp;"-"&amp;IF(DAY(TODAY())&lt;10,"0"&amp;DAY(TODAY())&amp;")",DAY(TODAY())&amp;")")</f>
        <v>업비트 (2026-06-05)</v>
      </c>
      <c r="B154" s="534"/>
      <c r="C154" s="535"/>
      <c r="D154" s="341">
        <f t="shared" si="865"/>
        <v>7.8614913190389046E-10</v>
      </c>
      <c r="E154" s="330">
        <f t="shared" si="851"/>
        <v>2.4323480673596916E-18</v>
      </c>
      <c r="F154" s="192">
        <f>F149+F15</f>
        <v>0</v>
      </c>
      <c r="G154" s="193">
        <f t="shared" si="433"/>
        <v>0</v>
      </c>
      <c r="H154" s="196">
        <f t="shared" si="853"/>
        <v>0</v>
      </c>
      <c r="I154" s="192">
        <f t="shared" ref="I154:T154" si="875">I149+I15</f>
        <v>0</v>
      </c>
      <c r="J154" s="192">
        <f t="shared" si="875"/>
        <v>0</v>
      </c>
      <c r="K154" s="192">
        <f t="shared" si="875"/>
        <v>0</v>
      </c>
      <c r="L154" s="192">
        <f t="shared" si="875"/>
        <v>0</v>
      </c>
      <c r="M154" s="192">
        <f t="shared" si="875"/>
        <v>0</v>
      </c>
      <c r="N154" s="192">
        <f t="shared" si="875"/>
        <v>0</v>
      </c>
      <c r="O154" s="192">
        <f t="shared" si="875"/>
        <v>0</v>
      </c>
      <c r="P154" s="192">
        <f t="shared" si="875"/>
        <v>0</v>
      </c>
      <c r="Q154" s="192">
        <f t="shared" si="875"/>
        <v>0</v>
      </c>
      <c r="R154" s="192">
        <f t="shared" si="875"/>
        <v>0</v>
      </c>
      <c r="S154" s="192">
        <f t="shared" si="875"/>
        <v>0</v>
      </c>
      <c r="T154" s="192">
        <f t="shared" si="875"/>
        <v>0</v>
      </c>
      <c r="U154" s="193">
        <f t="shared" si="423"/>
        <v>0</v>
      </c>
      <c r="V154" s="196">
        <f t="shared" si="855"/>
        <v>0</v>
      </c>
      <c r="W154" s="192">
        <f t="shared" ref="W154:AH154" si="876">W149+W15</f>
        <v>0</v>
      </c>
      <c r="X154" s="192">
        <f t="shared" si="876"/>
        <v>0</v>
      </c>
      <c r="Y154" s="192">
        <f t="shared" si="876"/>
        <v>0</v>
      </c>
      <c r="Z154" s="192">
        <f t="shared" si="876"/>
        <v>0</v>
      </c>
      <c r="AA154" s="192">
        <f t="shared" si="876"/>
        <v>0</v>
      </c>
      <c r="AB154" s="192">
        <f t="shared" si="876"/>
        <v>0</v>
      </c>
      <c r="AC154" s="192">
        <f t="shared" si="876"/>
        <v>0</v>
      </c>
      <c r="AD154" s="192">
        <f t="shared" si="876"/>
        <v>0</v>
      </c>
      <c r="AE154" s="192">
        <f t="shared" si="876"/>
        <v>0</v>
      </c>
      <c r="AF154" s="192">
        <f t="shared" si="876"/>
        <v>0</v>
      </c>
      <c r="AG154" s="192">
        <f t="shared" si="876"/>
        <v>0</v>
      </c>
      <c r="AH154" s="192">
        <f t="shared" si="876"/>
        <v>0</v>
      </c>
      <c r="AI154" s="193">
        <f t="shared" si="424"/>
        <v>0</v>
      </c>
      <c r="AJ154" s="196">
        <f t="shared" si="857"/>
        <v>0</v>
      </c>
      <c r="AK154" s="192">
        <f t="shared" ref="AK154:AV154" si="877">AK149+AK15</f>
        <v>0</v>
      </c>
      <c r="AL154" s="192">
        <f t="shared" si="877"/>
        <v>0</v>
      </c>
      <c r="AM154" s="192">
        <f t="shared" si="877"/>
        <v>0</v>
      </c>
      <c r="AN154" s="192">
        <f t="shared" si="877"/>
        <v>0</v>
      </c>
      <c r="AO154" s="192">
        <f t="shared" si="877"/>
        <v>0</v>
      </c>
      <c r="AP154" s="192">
        <f t="shared" si="877"/>
        <v>0</v>
      </c>
      <c r="AQ154" s="192">
        <f t="shared" si="877"/>
        <v>0</v>
      </c>
      <c r="AR154" s="192">
        <f t="shared" si="877"/>
        <v>0</v>
      </c>
      <c r="AS154" s="192">
        <f t="shared" si="877"/>
        <v>0</v>
      </c>
      <c r="AT154" s="192">
        <f t="shared" si="877"/>
        <v>6872616</v>
      </c>
      <c r="AU154" s="192">
        <f t="shared" si="877"/>
        <v>-632801</v>
      </c>
      <c r="AV154" s="192">
        <f t="shared" si="877"/>
        <v>1222534</v>
      </c>
      <c r="AW154" s="193">
        <f t="shared" si="425"/>
        <v>7462349</v>
      </c>
      <c r="AX154" s="196">
        <f t="shared" si="859"/>
        <v>9.7818973547339844E-2</v>
      </c>
      <c r="AY154" s="192">
        <f t="shared" ref="AY154:BJ154" si="878">AY149+AY15</f>
        <v>2342110</v>
      </c>
      <c r="AZ154" s="192">
        <f t="shared" si="878"/>
        <v>-318328</v>
      </c>
      <c r="BA154" s="192">
        <f t="shared" si="878"/>
        <v>-403241</v>
      </c>
      <c r="BB154" s="192">
        <f t="shared" si="878"/>
        <v>970960</v>
      </c>
      <c r="BC154" s="192">
        <f t="shared" si="878"/>
        <v>-1189208</v>
      </c>
      <c r="BD154" s="192">
        <f t="shared" si="878"/>
        <v>2725893</v>
      </c>
      <c r="BE154" s="192">
        <f t="shared" si="878"/>
        <v>407153</v>
      </c>
      <c r="BF154" s="192">
        <f t="shared" si="878"/>
        <v>-99448</v>
      </c>
      <c r="BG154" s="192">
        <f>BG149+BG15</f>
        <v>-902487</v>
      </c>
      <c r="BH154" s="192">
        <f t="shared" si="878"/>
        <v>-10995753</v>
      </c>
      <c r="BI154" s="192">
        <f t="shared" si="878"/>
        <v>0</v>
      </c>
      <c r="BJ154" s="192">
        <f t="shared" si="878"/>
        <v>0</v>
      </c>
      <c r="BK154" s="193">
        <f t="shared" si="852"/>
        <v>-7462349</v>
      </c>
      <c r="BL154" s="196">
        <f t="shared" si="862"/>
        <v>-0.10685070876278881</v>
      </c>
      <c r="BM154" s="192">
        <f t="shared" ref="BM154:BX154" si="879">BM149+BM15</f>
        <v>0</v>
      </c>
      <c r="BN154" s="192">
        <f t="shared" si="879"/>
        <v>0</v>
      </c>
      <c r="BO154" s="192">
        <f t="shared" si="879"/>
        <v>0</v>
      </c>
      <c r="BP154" s="192">
        <f t="shared" si="879"/>
        <v>0</v>
      </c>
      <c r="BQ154" s="192">
        <f t="shared" si="879"/>
        <v>0</v>
      </c>
      <c r="BR154" s="192">
        <f t="shared" si="879"/>
        <v>0</v>
      </c>
      <c r="BS154" s="192">
        <f t="shared" si="879"/>
        <v>0</v>
      </c>
      <c r="BT154" s="192">
        <f t="shared" si="879"/>
        <v>0</v>
      </c>
      <c r="BU154" s="192">
        <f t="shared" si="879"/>
        <v>0</v>
      </c>
      <c r="BV154" s="192">
        <f t="shared" si="879"/>
        <v>0</v>
      </c>
      <c r="BW154" s="192">
        <f t="shared" si="879"/>
        <v>0</v>
      </c>
      <c r="BX154" s="192">
        <f t="shared" si="879"/>
        <v>0</v>
      </c>
      <c r="BY154" s="193">
        <f t="shared" si="846"/>
        <v>0</v>
      </c>
      <c r="BZ154" s="196">
        <f t="shared" si="864"/>
        <v>0</v>
      </c>
      <c r="CA154" s="192">
        <f t="shared" ref="CA154:CL154" si="880">CA149+CA15</f>
        <v>0</v>
      </c>
      <c r="CB154" s="192">
        <f t="shared" si="880"/>
        <v>0</v>
      </c>
      <c r="CC154" s="192">
        <f t="shared" si="880"/>
        <v>0</v>
      </c>
      <c r="CD154" s="192">
        <f t="shared" si="880"/>
        <v>0</v>
      </c>
      <c r="CE154" s="192">
        <f t="shared" si="880"/>
        <v>0</v>
      </c>
      <c r="CF154" s="192">
        <f t="shared" si="880"/>
        <v>0</v>
      </c>
      <c r="CG154" s="192">
        <f t="shared" si="880"/>
        <v>0</v>
      </c>
      <c r="CH154" s="192">
        <f t="shared" si="880"/>
        <v>0</v>
      </c>
      <c r="CI154" s="192">
        <f t="shared" si="880"/>
        <v>0</v>
      </c>
      <c r="CJ154" s="192">
        <f t="shared" si="880"/>
        <v>0</v>
      </c>
      <c r="CK154" s="192">
        <f t="shared" si="880"/>
        <v>0</v>
      </c>
      <c r="CL154" s="192">
        <f t="shared" si="880"/>
        <v>0</v>
      </c>
      <c r="CM154" s="193">
        <f t="shared" si="847"/>
        <v>0</v>
      </c>
      <c r="CN154" s="192">
        <f t="shared" ref="CN154:CY154" si="881">CN149+CN15</f>
        <v>0</v>
      </c>
      <c r="CO154" s="192">
        <f t="shared" si="881"/>
        <v>0</v>
      </c>
      <c r="CP154" s="192">
        <f t="shared" si="881"/>
        <v>0</v>
      </c>
      <c r="CQ154" s="192">
        <f t="shared" si="881"/>
        <v>0</v>
      </c>
      <c r="CR154" s="192">
        <f t="shared" si="881"/>
        <v>0</v>
      </c>
      <c r="CS154" s="192">
        <f t="shared" si="881"/>
        <v>0</v>
      </c>
      <c r="CT154" s="192">
        <f t="shared" si="881"/>
        <v>0</v>
      </c>
      <c r="CU154" s="192">
        <f t="shared" si="881"/>
        <v>0</v>
      </c>
      <c r="CV154" s="192">
        <f t="shared" si="881"/>
        <v>0</v>
      </c>
      <c r="CW154" s="192">
        <f t="shared" si="881"/>
        <v>0</v>
      </c>
      <c r="CX154" s="192">
        <f t="shared" si="881"/>
        <v>0</v>
      </c>
      <c r="CY154" s="192">
        <f t="shared" si="881"/>
        <v>0</v>
      </c>
      <c r="CZ154" s="193">
        <f t="shared" si="848"/>
        <v>0</v>
      </c>
      <c r="DA154" s="192">
        <f t="shared" ref="DA154:DL154" si="882">DA149+DA15</f>
        <v>0</v>
      </c>
      <c r="DB154" s="192">
        <f t="shared" si="882"/>
        <v>0</v>
      </c>
      <c r="DC154" s="192">
        <f t="shared" si="882"/>
        <v>0</v>
      </c>
      <c r="DD154" s="192">
        <f t="shared" si="882"/>
        <v>0</v>
      </c>
      <c r="DE154" s="192">
        <f t="shared" si="882"/>
        <v>0</v>
      </c>
      <c r="DF154" s="192">
        <f t="shared" si="882"/>
        <v>0</v>
      </c>
      <c r="DG154" s="192">
        <f t="shared" si="882"/>
        <v>0</v>
      </c>
      <c r="DH154" s="192">
        <f t="shared" si="882"/>
        <v>0</v>
      </c>
      <c r="DI154" s="192">
        <f t="shared" si="882"/>
        <v>0</v>
      </c>
      <c r="DJ154" s="192">
        <f t="shared" si="882"/>
        <v>0</v>
      </c>
      <c r="DK154" s="192">
        <f t="shared" si="882"/>
        <v>0</v>
      </c>
      <c r="DL154" s="192">
        <f t="shared" si="882"/>
        <v>0</v>
      </c>
      <c r="DM154" s="193">
        <f t="shared" si="849"/>
        <v>0</v>
      </c>
      <c r="DN154" s="192">
        <f t="shared" ref="DN154:DY154" si="883">DN149+DN15</f>
        <v>0</v>
      </c>
      <c r="DO154" s="192">
        <f t="shared" si="883"/>
        <v>0</v>
      </c>
      <c r="DP154" s="192">
        <f t="shared" si="883"/>
        <v>0</v>
      </c>
      <c r="DQ154" s="192">
        <f t="shared" si="883"/>
        <v>0</v>
      </c>
      <c r="DR154" s="192">
        <f t="shared" si="883"/>
        <v>0</v>
      </c>
      <c r="DS154" s="192">
        <f t="shared" si="883"/>
        <v>0</v>
      </c>
      <c r="DT154" s="192">
        <f t="shared" si="883"/>
        <v>0</v>
      </c>
      <c r="DU154" s="192">
        <f t="shared" si="883"/>
        <v>0</v>
      </c>
      <c r="DV154" s="192">
        <f t="shared" si="883"/>
        <v>0</v>
      </c>
      <c r="DW154" s="192">
        <f t="shared" si="883"/>
        <v>0</v>
      </c>
      <c r="DX154" s="192">
        <f t="shared" si="883"/>
        <v>0</v>
      </c>
      <c r="DY154" s="192">
        <f t="shared" si="883"/>
        <v>0</v>
      </c>
      <c r="DZ154" s="193">
        <f t="shared" si="850"/>
        <v>0</v>
      </c>
    </row>
    <row r="155" spans="1:130" ht="20.45" customHeight="1">
      <c r="A155" s="522" t="str">
        <f ca="1">"KB증권 ("&amp;YEAR(TODAY())&amp;"-"&amp;IF(MONTH(TODAY())&lt;10,"0"&amp;MONTH(TODAY()),MONTH(TODAY()))&amp;"-"&amp;IF(DAY(TODAY())&lt;10,"0"&amp;DAY(TODAY())&amp;")",DAY(TODAY())&amp;")"&amp;" (투자금 50,000,000)")</f>
        <v>KB증권 (2026-06-05)</v>
      </c>
      <c r="B155" s="523"/>
      <c r="C155" s="524"/>
      <c r="D155" s="341">
        <f>27000000+SUM(F155:FJ155)-G155-U155-AI155-AW155-BK155-BY155-CM155-CZ155-DM155-DZ155-H155-V155-AJ155-AX155-BL155-BZ155</f>
        <v>71030421</v>
      </c>
      <c r="E155" s="330">
        <f t="shared" si="851"/>
        <v>0.21976836230128546</v>
      </c>
      <c r="F155" s="192">
        <f>F148+F16</f>
        <v>0</v>
      </c>
      <c r="G155" s="193">
        <f t="shared" ref="G155" si="884">SUM(F155)</f>
        <v>0</v>
      </c>
      <c r="H155" s="196">
        <f t="shared" si="853"/>
        <v>0</v>
      </c>
      <c r="I155" s="192">
        <f t="shared" ref="I155:T155" si="885">I148+I16</f>
        <v>0</v>
      </c>
      <c r="J155" s="192">
        <f t="shared" si="885"/>
        <v>0</v>
      </c>
      <c r="K155" s="192">
        <f t="shared" si="885"/>
        <v>0</v>
      </c>
      <c r="L155" s="192">
        <f t="shared" si="885"/>
        <v>0</v>
      </c>
      <c r="M155" s="192">
        <f t="shared" si="885"/>
        <v>0</v>
      </c>
      <c r="N155" s="192">
        <f t="shared" si="885"/>
        <v>0</v>
      </c>
      <c r="O155" s="192">
        <f t="shared" si="885"/>
        <v>0</v>
      </c>
      <c r="P155" s="192">
        <f t="shared" si="885"/>
        <v>0</v>
      </c>
      <c r="Q155" s="192">
        <f t="shared" si="885"/>
        <v>0</v>
      </c>
      <c r="R155" s="192">
        <f t="shared" si="885"/>
        <v>0</v>
      </c>
      <c r="S155" s="192">
        <f t="shared" si="885"/>
        <v>0</v>
      </c>
      <c r="T155" s="192">
        <f t="shared" si="885"/>
        <v>0</v>
      </c>
      <c r="U155" s="193">
        <f t="shared" ref="U155" si="886">SUM(I155:T155)</f>
        <v>0</v>
      </c>
      <c r="V155" s="196">
        <f t="shared" si="855"/>
        <v>0</v>
      </c>
      <c r="W155" s="192">
        <f t="shared" ref="W155:CI155" si="887">W148+W16</f>
        <v>0</v>
      </c>
      <c r="X155" s="192">
        <f t="shared" si="887"/>
        <v>0</v>
      </c>
      <c r="Y155" s="192">
        <f t="shared" si="887"/>
        <v>0</v>
      </c>
      <c r="Z155" s="192">
        <f t="shared" si="887"/>
        <v>0</v>
      </c>
      <c r="AA155" s="192">
        <f t="shared" si="887"/>
        <v>0</v>
      </c>
      <c r="AB155" s="192">
        <f t="shared" si="887"/>
        <v>0</v>
      </c>
      <c r="AC155" s="192">
        <f t="shared" si="887"/>
        <v>0</v>
      </c>
      <c r="AD155" s="192">
        <f t="shared" si="887"/>
        <v>0</v>
      </c>
      <c r="AE155" s="192">
        <f t="shared" si="887"/>
        <v>0</v>
      </c>
      <c r="AF155" s="192">
        <f t="shared" si="887"/>
        <v>0</v>
      </c>
      <c r="AG155" s="192">
        <f t="shared" si="887"/>
        <v>0</v>
      </c>
      <c r="AH155" s="192">
        <f t="shared" si="887"/>
        <v>0</v>
      </c>
      <c r="AI155" s="193">
        <f t="shared" ref="AI155" si="888">SUM(W155:AH155)</f>
        <v>0</v>
      </c>
      <c r="AJ155" s="196">
        <f t="shared" si="857"/>
        <v>0</v>
      </c>
      <c r="AK155" s="192">
        <f t="shared" si="887"/>
        <v>0</v>
      </c>
      <c r="AL155" s="192">
        <f t="shared" si="887"/>
        <v>0</v>
      </c>
      <c r="AM155" s="192">
        <f t="shared" si="887"/>
        <v>0</v>
      </c>
      <c r="AN155" s="192">
        <f t="shared" si="887"/>
        <v>0</v>
      </c>
      <c r="AO155" s="192">
        <f t="shared" si="887"/>
        <v>0</v>
      </c>
      <c r="AP155" s="192">
        <f t="shared" si="887"/>
        <v>0</v>
      </c>
      <c r="AQ155" s="192">
        <f t="shared" si="887"/>
        <v>0</v>
      </c>
      <c r="AR155" s="192">
        <f t="shared" si="887"/>
        <v>0</v>
      </c>
      <c r="AS155" s="192">
        <f t="shared" si="887"/>
        <v>0</v>
      </c>
      <c r="AT155" s="192">
        <f t="shared" si="887"/>
        <v>0</v>
      </c>
      <c r="AU155" s="192">
        <f t="shared" si="887"/>
        <v>-3811876</v>
      </c>
      <c r="AV155" s="192">
        <f t="shared" si="887"/>
        <v>-3808335</v>
      </c>
      <c r="AW155" s="193">
        <f t="shared" ref="AW155" si="889">SUM(AK155:AV155)</f>
        <v>-7620211</v>
      </c>
      <c r="AX155" s="196">
        <f t="shared" si="859"/>
        <v>-9.9888281589905287E-2</v>
      </c>
      <c r="AY155" s="192">
        <f t="shared" si="887"/>
        <v>-483069</v>
      </c>
      <c r="AZ155" s="192">
        <f t="shared" si="887"/>
        <v>-982694</v>
      </c>
      <c r="BA155" s="192">
        <f t="shared" si="887"/>
        <v>-627431</v>
      </c>
      <c r="BB155" s="192">
        <f t="shared" si="887"/>
        <v>1274529</v>
      </c>
      <c r="BC155" s="192">
        <f t="shared" si="887"/>
        <v>932103</v>
      </c>
      <c r="BD155" s="192">
        <f t="shared" si="887"/>
        <v>1104555</v>
      </c>
      <c r="BE155" s="192">
        <f t="shared" si="887"/>
        <v>-1486377</v>
      </c>
      <c r="BF155" s="192">
        <f t="shared" si="887"/>
        <v>872353</v>
      </c>
      <c r="BG155" s="192">
        <f t="shared" si="887"/>
        <v>4307289</v>
      </c>
      <c r="BH155" s="192">
        <f t="shared" si="887"/>
        <v>5013114</v>
      </c>
      <c r="BI155" s="192">
        <f t="shared" si="887"/>
        <v>1539900</v>
      </c>
      <c r="BJ155" s="192">
        <f t="shared" si="887"/>
        <v>11755396</v>
      </c>
      <c r="BK155" s="193">
        <f t="shared" si="852"/>
        <v>23219668</v>
      </c>
      <c r="BL155" s="196">
        <f t="shared" si="862"/>
        <v>0.33247412886165562</v>
      </c>
      <c r="BM155" s="192">
        <f t="shared" si="887"/>
        <v>-2630398</v>
      </c>
      <c r="BN155" s="192">
        <f>BN148+BN16</f>
        <v>2108683</v>
      </c>
      <c r="BO155" s="192">
        <f t="shared" si="887"/>
        <v>4568809</v>
      </c>
      <c r="BP155" s="192">
        <f t="shared" si="887"/>
        <v>13696918</v>
      </c>
      <c r="BQ155" s="192">
        <f t="shared" si="887"/>
        <v>10686951.999999996</v>
      </c>
      <c r="BR155" s="192">
        <f t="shared" si="887"/>
        <v>0</v>
      </c>
      <c r="BS155" s="192">
        <f t="shared" si="887"/>
        <v>0</v>
      </c>
      <c r="BT155" s="192">
        <f t="shared" si="887"/>
        <v>0</v>
      </c>
      <c r="BU155" s="192">
        <f t="shared" si="887"/>
        <v>0</v>
      </c>
      <c r="BV155" s="192">
        <f t="shared" si="887"/>
        <v>0</v>
      </c>
      <c r="BW155" s="192">
        <f t="shared" si="887"/>
        <v>0</v>
      </c>
      <c r="BX155" s="192">
        <f t="shared" si="887"/>
        <v>0</v>
      </c>
      <c r="BY155" s="193">
        <f t="shared" si="846"/>
        <v>28430963.999999996</v>
      </c>
      <c r="BZ155" s="196">
        <f t="shared" si="864"/>
        <v>0.65144549318342571</v>
      </c>
      <c r="CA155" s="192">
        <f t="shared" si="887"/>
        <v>0</v>
      </c>
      <c r="CB155" s="192">
        <f t="shared" si="887"/>
        <v>0</v>
      </c>
      <c r="CC155" s="192">
        <f t="shared" si="887"/>
        <v>0</v>
      </c>
      <c r="CD155" s="192">
        <f t="shared" si="887"/>
        <v>0</v>
      </c>
      <c r="CE155" s="192">
        <f t="shared" si="887"/>
        <v>0</v>
      </c>
      <c r="CF155" s="192">
        <f t="shared" si="887"/>
        <v>0</v>
      </c>
      <c r="CG155" s="192">
        <f t="shared" si="887"/>
        <v>0</v>
      </c>
      <c r="CH155" s="192">
        <f t="shared" si="887"/>
        <v>0</v>
      </c>
      <c r="CI155" s="192">
        <f t="shared" si="887"/>
        <v>0</v>
      </c>
      <c r="CJ155" s="192">
        <f t="shared" ref="CJ155:DY155" si="890">CJ148+CJ16</f>
        <v>0</v>
      </c>
      <c r="CK155" s="192">
        <f t="shared" si="890"/>
        <v>0</v>
      </c>
      <c r="CL155" s="192">
        <f t="shared" si="890"/>
        <v>0</v>
      </c>
      <c r="CM155" s="193">
        <f t="shared" si="847"/>
        <v>0</v>
      </c>
      <c r="CN155" s="192">
        <f t="shared" si="890"/>
        <v>0</v>
      </c>
      <c r="CO155" s="192">
        <f t="shared" si="890"/>
        <v>0</v>
      </c>
      <c r="CP155" s="192">
        <f t="shared" si="890"/>
        <v>0</v>
      </c>
      <c r="CQ155" s="192">
        <f t="shared" si="890"/>
        <v>0</v>
      </c>
      <c r="CR155" s="192">
        <f t="shared" si="890"/>
        <v>0</v>
      </c>
      <c r="CS155" s="192">
        <f t="shared" si="890"/>
        <v>0</v>
      </c>
      <c r="CT155" s="192">
        <f t="shared" si="890"/>
        <v>0</v>
      </c>
      <c r="CU155" s="192">
        <f t="shared" si="890"/>
        <v>0</v>
      </c>
      <c r="CV155" s="192">
        <f t="shared" si="890"/>
        <v>0</v>
      </c>
      <c r="CW155" s="192">
        <f t="shared" si="890"/>
        <v>0</v>
      </c>
      <c r="CX155" s="192">
        <f t="shared" si="890"/>
        <v>0</v>
      </c>
      <c r="CY155" s="192">
        <f t="shared" si="890"/>
        <v>0</v>
      </c>
      <c r="CZ155" s="193">
        <f t="shared" si="848"/>
        <v>0</v>
      </c>
      <c r="DA155" s="192">
        <f t="shared" si="890"/>
        <v>0</v>
      </c>
      <c r="DB155" s="192">
        <f t="shared" si="890"/>
        <v>0</v>
      </c>
      <c r="DC155" s="192">
        <f t="shared" si="890"/>
        <v>0</v>
      </c>
      <c r="DD155" s="192">
        <f t="shared" si="890"/>
        <v>0</v>
      </c>
      <c r="DE155" s="192">
        <f t="shared" si="890"/>
        <v>0</v>
      </c>
      <c r="DF155" s="192">
        <f t="shared" si="890"/>
        <v>0</v>
      </c>
      <c r="DG155" s="192">
        <f t="shared" si="890"/>
        <v>0</v>
      </c>
      <c r="DH155" s="192">
        <f t="shared" si="890"/>
        <v>0</v>
      </c>
      <c r="DI155" s="192">
        <f t="shared" si="890"/>
        <v>0</v>
      </c>
      <c r="DJ155" s="192">
        <f t="shared" si="890"/>
        <v>0</v>
      </c>
      <c r="DK155" s="192">
        <f t="shared" si="890"/>
        <v>0</v>
      </c>
      <c r="DL155" s="192">
        <f t="shared" si="890"/>
        <v>0</v>
      </c>
      <c r="DM155" s="193">
        <f t="shared" si="849"/>
        <v>0</v>
      </c>
      <c r="DN155" s="192">
        <f t="shared" si="890"/>
        <v>0</v>
      </c>
      <c r="DO155" s="192">
        <f t="shared" si="890"/>
        <v>0</v>
      </c>
      <c r="DP155" s="192">
        <f t="shared" si="890"/>
        <v>0</v>
      </c>
      <c r="DQ155" s="192">
        <f t="shared" si="890"/>
        <v>0</v>
      </c>
      <c r="DR155" s="192">
        <f t="shared" si="890"/>
        <v>0</v>
      </c>
      <c r="DS155" s="192">
        <f t="shared" si="890"/>
        <v>0</v>
      </c>
      <c r="DT155" s="192">
        <f t="shared" si="890"/>
        <v>0</v>
      </c>
      <c r="DU155" s="192">
        <f t="shared" si="890"/>
        <v>0</v>
      </c>
      <c r="DV155" s="192">
        <f t="shared" si="890"/>
        <v>0</v>
      </c>
      <c r="DW155" s="192">
        <f t="shared" si="890"/>
        <v>0</v>
      </c>
      <c r="DX155" s="192">
        <f t="shared" si="890"/>
        <v>0</v>
      </c>
      <c r="DY155" s="192">
        <f t="shared" si="890"/>
        <v>0</v>
      </c>
      <c r="DZ155" s="193">
        <f t="shared" si="850"/>
        <v>0</v>
      </c>
    </row>
    <row r="156" spans="1:130" ht="20.45" customHeight="1">
      <c r="A156" s="522" t="str">
        <f ca="1">"성과급통장 ("&amp;YEAR(TODAY())&amp;"-"&amp;IF(MONTH(TODAY())&lt;10,"0"&amp;MONTH(TODAY()),MONTH(TODAY()))&amp;"-"&amp;IF(DAY(TODAY())&lt;10,"0"&amp;DAY(TODAY())&amp;")",DAY(TODAY())&amp;")")</f>
        <v>성과급통장 (2026-06-05)</v>
      </c>
      <c r="B156" s="523"/>
      <c r="C156" s="524"/>
      <c r="D156" s="341">
        <f>1196848+1782000-2000000</f>
        <v>978848</v>
      </c>
    </row>
    <row r="157" spans="1:130" ht="20.45" customHeight="1">
      <c r="A157" s="552" t="str">
        <f ca="1">"주택청약종합저축 ("&amp;YEAR(TODAY())&amp;"-"&amp;IF(MONTH(TODAY())&lt;10,"0"&amp;MONTH(TODAY()),MONTH(TODAY()))&amp;"-"&amp;IF(DAY(TODAY())&lt;10,"0"&amp;DAY(TODAY())&amp;")",DAY(TODAY())&amp;")")</f>
        <v>주택청약종합저축 (2026-06-05)</v>
      </c>
      <c r="B157" s="553"/>
      <c r="C157" s="554"/>
      <c r="D157" s="342">
        <v>3000000</v>
      </c>
    </row>
    <row r="158" spans="1:130" ht="20.45" customHeight="1">
      <c r="A158" s="552" t="str">
        <f ca="1">"우체국정기예금 ("&amp;YEAR(TODAY())&amp;"-"&amp;IF(MONTH(TODAY())&lt;10,"0"&amp;MONTH(TODAY()),MONTH(TODAY()))&amp;"-"&amp;IF(DAY(TODAY())&lt;10,"0"&amp;DAY(TODAY())&amp;")",DAY(TODAY())&amp;")")</f>
        <v>우체국정기예금 (2026-06-05)</v>
      </c>
      <c r="B158" s="553"/>
      <c r="C158" s="554"/>
      <c r="D158" s="342">
        <v>172632730</v>
      </c>
      <c r="G158" s="493"/>
      <c r="V158" s="114"/>
    </row>
    <row r="159" spans="1:130" ht="20.45" customHeight="1">
      <c r="A159" s="549" t="str">
        <f ca="1">"국민연금 ("&amp;YEAR(TODAY())&amp;"-"&amp;IF(MONTH(TODAY())&lt;10,"0"&amp;MONTH(TODAY()),MONTH(TODAY()))&amp;"-"&amp;IF(DAY(TODAY())&lt;10,"0"&amp;DAY(TODAY())&amp;")",DAY(TODAY())&amp;")")</f>
        <v>국민연금 (2026-06-05)</v>
      </c>
      <c r="B159" s="550"/>
      <c r="C159" s="551"/>
      <c r="D159" s="343">
        <f>62079420+302570*10</f>
        <v>65105120</v>
      </c>
    </row>
    <row r="160" spans="1:130" ht="20.45" customHeight="1">
      <c r="A160" s="549" t="str">
        <f ca="1">"현대푸본생명연금 ("&amp;YEAR(TODAY())&amp;"-"&amp;IF(MONTH(TODAY())&lt;10,"0"&amp;MONTH(TODAY()),MONTH(TODAY()))&amp;"-"&amp;IF(DAY(TODAY())&lt;10,"0"&amp;DAY(TODAY())&amp;")",DAY(TODAY())&amp;")")</f>
        <v>현대푸본생명연금 (2026-06-05)</v>
      </c>
      <c r="B160" s="550"/>
      <c r="C160" s="551"/>
      <c r="D160" s="343">
        <f>8700000+160000*5</f>
        <v>9500000</v>
      </c>
    </row>
  </sheetData>
  <autoFilter ref="A3:DZ3" xr:uid="{00000000-0009-0000-0000-000003000000}"/>
  <mergeCells count="61">
    <mergeCell ref="A160:C160"/>
    <mergeCell ref="A158:C158"/>
    <mergeCell ref="B26:B28"/>
    <mergeCell ref="A145:A146"/>
    <mergeCell ref="B146:C146"/>
    <mergeCell ref="A152:C152"/>
    <mergeCell ref="B108:B112"/>
    <mergeCell ref="B113:B114"/>
    <mergeCell ref="B123:B128"/>
    <mergeCell ref="B129:B131"/>
    <mergeCell ref="B132:B134"/>
    <mergeCell ref="B138:B144"/>
    <mergeCell ref="B135:B137"/>
    <mergeCell ref="B148:C148"/>
    <mergeCell ref="A157:C157"/>
    <mergeCell ref="A154:C154"/>
    <mergeCell ref="B6:C6"/>
    <mergeCell ref="B9:C9"/>
    <mergeCell ref="B7:C7"/>
    <mergeCell ref="A4:A24"/>
    <mergeCell ref="A159:C159"/>
    <mergeCell ref="B5:C5"/>
    <mergeCell ref="B22:C22"/>
    <mergeCell ref="B8:C8"/>
    <mergeCell ref="B23:C23"/>
    <mergeCell ref="B17:C17"/>
    <mergeCell ref="B15:C15"/>
    <mergeCell ref="B13:C13"/>
    <mergeCell ref="B14:C14"/>
    <mergeCell ref="B11:C11"/>
    <mergeCell ref="B16:C16"/>
    <mergeCell ref="B18:C18"/>
    <mergeCell ref="B19:C19"/>
    <mergeCell ref="B10:C10"/>
    <mergeCell ref="B12:C12"/>
    <mergeCell ref="B20:C20"/>
    <mergeCell ref="B21:C21"/>
    <mergeCell ref="A147:A149"/>
    <mergeCell ref="B149:C149"/>
    <mergeCell ref="B24:C24"/>
    <mergeCell ref="B63:B74"/>
    <mergeCell ref="B115:B122"/>
    <mergeCell ref="B80:B86"/>
    <mergeCell ref="B87:B88"/>
    <mergeCell ref="B89:B91"/>
    <mergeCell ref="A156:C156"/>
    <mergeCell ref="A25:A144"/>
    <mergeCell ref="B29:B31"/>
    <mergeCell ref="B32:B40"/>
    <mergeCell ref="B41:B47"/>
    <mergeCell ref="B92:B94"/>
    <mergeCell ref="B48:B49"/>
    <mergeCell ref="B50:B56"/>
    <mergeCell ref="B57:B62"/>
    <mergeCell ref="B95:B96"/>
    <mergeCell ref="B75:B79"/>
    <mergeCell ref="B97:B107"/>
    <mergeCell ref="A155:C155"/>
    <mergeCell ref="A153:C153"/>
    <mergeCell ref="A150:A151"/>
    <mergeCell ref="B151:C151"/>
  </mergeCells>
  <phoneticPr fontId="5" type="noConversion"/>
  <pageMargins left="0.7" right="0.7" top="0.75" bottom="0.75" header="0.3" footer="0.3"/>
  <pageSetup scale="45"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ignoredErrors>
    <ignoredError sqref="G24 W4:AI4 AY145:BK145 W45:AA46 W78:AB78 W85:AE85 W79:AA79 W39:AA39 W38:AB38 W37:AA37 CA20:DZ22 AY20:BK21 G20:G22 W65:AA67 W51:AA51 AC51 W58:Y58 W86:AA86 W91:AA91 AC91 W94:AA94 AF94 W108:AI108 W76:AA77 W88:AA88 AE88 W130:AA130 AI130 W109:AA109 AC109:AI109 CA107:DZ109 E108:U108 AY108:BK109 G112 U112 W44:AB44 W43:AA43 W5:AB5 AI5 W36:AB36 W47:AB47 AD31:AG31 W10:AI10 G12 CA12:DZ12 U12 W144:AB144 AD144:AE144 E26:T26 CA24:DZ28 G31 U31 W21:AI21 AD22:AE22 U17 U24:U26 E23:U23 W22:AB22 U20:U22 E29:U29 W42:AB42 E87:U87 CA85:DZ103 F114:G114 AE114:AF114 AE67 W20:AB20 AD20:AI20 W53:AB53 W59:AB59 AD59 F27:G28 J27:U27 AI27 E145:U145 CA123:DZ124 F124:G124 F128:G128 T128:U128 W103:AB103 W102:AC102 W90:AC90 AE90:AG90 W40:AC40 AE40:AF40 AF91:AG91 W12:AC12 AE12:AF12 W131:AC131 AE131:AI131 AC65 AE65 W134:AI135 W133:AD133 AG133 CA74:DZ81 E75:U75 W141:AD141 W107:AD107 AF107 AG144 AG22:AI22 W54:AF54 AH12:AI12 AI126 E41:U41 CA36:DZ51 AI90:AI91 CA128:DZ142 E129:U129 W97:AI101 W96:AG96 AI144 AY4:BK4 AI86 AI47 AI67 AY32:BK32 AI58 AI133 AY129:BK129 AI79 AL133 AK134:AV135 AC46:AI46 AI42:AI45 AT47:AV47 W48:AI50 W41:AI41 AI36:AI39 AL131:AQ131 W132:AI132 AM86:AN86 W87:AI87 AK8:AW8 W32:AI32 AD53:AI53 W129:AI129 AG85:AI85 AK4:AW4 AK108:AV109 AK20:AV21 AK145:AV145 E123:U123 AW128:AW132 AK24:AW26 AW84 AW134:AW145 AD124:AI124 AW20:AW23 W89:AI89 AH88:AI88 AE102:AI102 AL101:AV101 AK72:AV72 AL71 AC66:AI66 AI65 AM65:AN65 W75:AI75 AI74 AL144 AP91 W95:AI95 AI94 AL85:AT85 AK137:AV140 AL136:AT136 AP43:AR43 AK12 AD78:AI78 AI77 AI107 AP107 AG59:AI59 AN59 AK22 AM22 AM10:AW10 AN144:AO144 AC112:AI112 AO112:AS112 AC76:AI76 AN76:AQ76 AP133:AQ133 AW107:AW114 E113:U113 AY113:BK113 CA112:DZ114 AN71:AQ71 AK97:AV100 AI96 AO96:AV96 AH114:AI114 AQ114:AR114 AW126 AG128:AI128 AO128:AQ128 AP77 AO22:AS22 W142:AI142 AQ142:AR142 AT74 AP86 W60:AI64 AP61:AV61 U52 E115:U115 F122:G122 AH54:AI54 AP54:AU54 AP65:AQ65 W92:AI93 AP93:AV93 AM12:AN12 AP12:AQ12 AR144 AH40:AI40 AR40:AU40 AK90:AO90 AQ90:AS90 E57:U57 CA53:DZ72 U74 AE51:AI51 AQ51 G74 AT107:AU107 AR91 AR118:AW119 AK70:AP70 AR53:AW53 AS77:AU77 AT122:AW122 AS131:AU131 AS128:AV128 AW36:AW37 AS133:AW133 AS71:AT71 AS51:AV51 AS124:AW124 AS76 AS12:AT12 AS65:AT65 AT43 AT142:AU142 AT144 AT114 AU112:AV112 AU103:AV103 CA144:DZ145 G149 U149 AI149 AV90:AV91 AD103:AI103 AW86:AW104 G152 U152 AI152 AW39:AW52 F116:G119 F151:G151 AV71 AV114 AF141:AI141 AP141:AT141 AV85:AW85 AV12:AW12 AV141 AK7:AU7 AW7 AI31 AY8:BK8 BD5 AW15 AW151:AW152 E150:U150 AW147 AW79 AW67 BK67 AR70:AW70 AZ70 AY89:BK89 BK88 AW60:AW64 AW58 AY46:BK48 AW149 BK149 CA150:DZ150 BY149 CM149 AY92:BK93 AU38:AW38 AZ33:BK33 AY41:BK41 AZ40:BC40 AY132:BK132 BK130 AK28:AW28 AW27 BE27 BB12 BK151 BM153:BX154 F153:F154 AS78:AW78 AY134:BK135 BA133 BB107 BA153:BJ153 AY10 BA10:BB10 AY43:AZ43 AY42 AY45 AY36 AY39 AY50:BK50 AY49 BA49:BK49 AY103:BK103 AY102 BA102:BK102 AY95:BK95 AY94 BI94 AP59:AW59 BB59:BK59 AY154:BF154 W153:AH154 AK153:AV154 CA153:CL154 CN153:CY154 DA153:DL154 DN153:DY154 AY144 BA144 AW76:AW77 BA77 AY87:BK87 AY86 BK86 AW17 AK10 U10 CA10:DZ10 G10 BB76 AY37:AZ37 BK58 AO66:AW66 AV65:AW65 BC65:BG65 BB70:BK70 AW56 BB56 AZ90:AZ91 BD90:BG90 AW71:AW74 BD74:BE74 BC133:BF133 AK68:AW69 BC69:BK69 AY142:BB142 AY141:BA141 AY97:BK101 AY96:BA96 BC96:BG96 BE144 W80:AI81 BD80:BK80 BF107:BI107 BF10:BK10 BD56:BE56 W55:AI57 AW54 BD54:BI54 BD12:BE12 AW29:AW33 AI33 CA31:DZ33 E32:U32 W33:AB33 BE142:BK142 BK79 BB72:BC72 BE72:BK72 AY51:BC51 BE51 BE77 BE91:BF91 AY112:BC112 BE112 G7:G8 CA7:DZ8 U7:U8 W7:AI8 F25:G25 I25:T25 I28:U28 F36:G40 I36:U40 F33:G33 I33:U33 E48:U48 F42:G47 I42:U47 E50:U50 F49:G49 I49:U49 F53:G56 I53:U56 F51:G51 I51:U51 E63:U63 F58:G62 I58:U62 F64:G73 I64:U73 E80:U80 F76:G79 I76:U79 F85:G86 I85:U86 F81:G81 I81:U81 E89:U89 F88:G88 I88:U88 E92:U92 F90:G91 I90:U91 E95:U95 F93:G94 I93:U94 E97:U97 F96:G96 I96:U96 F107:G107 I107:U107 F98:G103 I98:U103 F109:G109 I109:U109 I114:U114 I122:U122 I116:U119 I124:U124 I128:R128 E132:U132 F130:G131 I130:U131 E135:U135 F133:G134 I133:U134 E138:U138 F136:G137 I136:U137 F144:G144 I144:U144 F139:G142 I139:U142 I146:U146 I151:U151 I153:T154 W17:AI17 W23:AI26 W27:AC27 W128:AC128 W113:AI113 AI147 W28:AI29 W68:AI73 W114:AB114 W122:AI123 W115:AI119 W124:AB124 W145:AI146 W150:AI151 AK60:AV60 AK46:AV46 AK48:AV50 AK41:AV41 AK132:AV132 AK87:AV87 AK32:AV32 AK53:AP53 AK129:AV129 AK124:AQ124 AK89:AV89 AK102:AV102 AK66:AM66 AK75:AW75 AK92:AV92 AK95:AV95 AK78:AQ78 AK107 AK59 AK112:AL112 AK76:AL76 AK96:AM96 AK114:AM114 AK128:AM128 AK62:AV64 AK61:AN61 AK54:AN54 AK93:AN93 AK40:AO40 AK51:AO51 AK103:AS103 AK141:AN142 AK56:AU56 AK31:AU31 AK57:AW57 AK80:AW81 AK55:AW55 AK123:AW123 AK113:AV113 AK150:AW150 AK122 AK118:AO118 AK119:AP119 AK115:AW117 AK146:AW146 AK151:AT151 AY24:BK26 AY53:BE53 AY124:BF124 AY85:BG85 AY68:BG68 AY60:BK64 AY38:BK38 AY28:BK28 AY78:BK78 AY59 AY77 AY71:AZ72 AY66:BE66 AY65:AZ65 AY56:AZ56 AY74:BA74 AY69:BA69 AY54:BB54 AY75:BK75 AY81:BK81 AY57:BK57 AY80:BB80 AY55:BK55 AY123:BK123 AY150:BK150 AY146:BC146 BF40:BI40 BF5 BK146:BK147 BK42:BK45 BK36:BK37 AY114:BD114 BF114:BG114 BG112:BH112 BG53:BK53 BG66:BK66 BE141 BG141:BK141 BI74 BG51:BI51 BK144 BG56:BK56 F146:G146 BB71:BE71 BI71 BI77 BK27 BG12:BH12 BK5 BH154:BJ154 AY128:BF128 BH128:BK128 BH124:BK124 AY131:BF131 BH131:BK131 U147 G147 AY22:BF22 BH22:BK22 BJ133:BK133 BK90:BK91 BJ68:BK68 BJ65:BK65 BK114 AY138:BK140 AY137:BG137 BI137:BK137 BG130 BH146 BI96 BI85:BK85 AY136:BH136 BJ136:BK136 AY31:BH31 BK31 BK112 BJ12:BK12 AY7:BH7 BJ7:BK7 BK74 BK107 BK94 BK39:BK40 BK76:BK77 BK96 BK51 BK54 BK71 BY7:BY8 BY31:BY33 BY10 BM150:BY150 BY144:BY147 BY53:BY72 BY112:BY114 BY128:BY142 BY36:BY51 BY74:BY81 BY123:BY124 BY85:BY103 BY24:BY28 BY12 BY107:BY109 BY20:BY22 W137:AI140 W136:Y136 AG136:AI136 AA136:AE136 AA58 BY4:BY5 U4:U5 CA4:DZ5 G4:G5 AW5"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792"/>
  <sheetViews>
    <sheetView topLeftCell="A3715" zoomScale="85" zoomScaleNormal="85" zoomScaleSheetLayoutView="100" workbookViewId="0">
      <selection activeCell="G3735" sqref="G3735"/>
    </sheetView>
  </sheetViews>
  <sheetFormatPr defaultColWidth="8.75" defaultRowHeight="12"/>
  <cols>
    <col min="1" max="1" width="4.25" style="255" customWidth="1"/>
    <col min="2" max="2" width="9.75" style="26" customWidth="1"/>
    <col min="3" max="3" width="20.5" style="255" customWidth="1"/>
    <col min="4" max="5" width="11.875" style="253" customWidth="1"/>
    <col min="6" max="6" width="10.625" style="266" customWidth="1"/>
    <col min="7" max="7" width="68.75" style="255" customWidth="1"/>
    <col min="8" max="8" width="8.75" style="255"/>
    <col min="9" max="9" width="53.75" style="255" customWidth="1"/>
    <col min="10" max="10" width="33.125" style="255" customWidth="1"/>
    <col min="11" max="11" width="15" style="255" customWidth="1"/>
    <col min="12" max="16384" width="8.75" style="255"/>
  </cols>
  <sheetData>
    <row r="1" spans="1:8">
      <c r="A1" s="261" t="s">
        <v>8</v>
      </c>
      <c r="B1" s="261" t="s">
        <v>8</v>
      </c>
      <c r="C1" s="261" t="s">
        <v>8</v>
      </c>
      <c r="D1" s="496" t="s">
        <v>8</v>
      </c>
      <c r="E1" s="496" t="s">
        <v>8</v>
      </c>
      <c r="F1" s="261" t="s">
        <v>8</v>
      </c>
      <c r="G1" s="261" t="s">
        <v>8</v>
      </c>
      <c r="H1" s="261" t="s">
        <v>8</v>
      </c>
    </row>
    <row r="2" spans="1:8">
      <c r="A2" s="261" t="s">
        <v>8</v>
      </c>
      <c r="B2" s="256" t="s">
        <v>2116</v>
      </c>
      <c r="C2" s="262" t="s">
        <v>1268</v>
      </c>
      <c r="D2" s="497">
        <v>4718775</v>
      </c>
      <c r="E2" s="497"/>
      <c r="F2" s="263"/>
      <c r="G2" s="262"/>
    </row>
    <row r="3" spans="1:8">
      <c r="A3" s="261" t="s">
        <v>8</v>
      </c>
      <c r="B3" s="256" t="s">
        <v>8</v>
      </c>
      <c r="C3" s="262" t="s">
        <v>1269</v>
      </c>
      <c r="D3" s="497"/>
      <c r="E3" s="497">
        <v>405000</v>
      </c>
      <c r="F3" s="263"/>
      <c r="G3" s="262" t="s">
        <v>2117</v>
      </c>
    </row>
    <row r="4" spans="1:8">
      <c r="A4" s="261" t="s">
        <v>8</v>
      </c>
      <c r="B4" s="256" t="s">
        <v>8</v>
      </c>
      <c r="C4" s="262" t="s">
        <v>1270</v>
      </c>
      <c r="D4" s="497"/>
      <c r="E4" s="497">
        <v>592000</v>
      </c>
      <c r="F4" s="263"/>
      <c r="G4" s="262" t="s">
        <v>2118</v>
      </c>
    </row>
    <row r="5" spans="1:8">
      <c r="A5" s="261" t="s">
        <v>8</v>
      </c>
      <c r="B5" s="256" t="s">
        <v>8</v>
      </c>
      <c r="C5" s="262" t="s">
        <v>1271</v>
      </c>
      <c r="D5" s="497"/>
      <c r="E5" s="497">
        <v>195360</v>
      </c>
      <c r="F5" s="263"/>
      <c r="G5" s="264" t="s">
        <v>2119</v>
      </c>
    </row>
    <row r="6" spans="1:8">
      <c r="A6" s="261" t="s">
        <v>8</v>
      </c>
      <c r="B6" s="256" t="s">
        <v>8</v>
      </c>
      <c r="C6" s="262" t="s">
        <v>1272</v>
      </c>
      <c r="D6" s="497"/>
      <c r="E6" s="497">
        <v>9060</v>
      </c>
      <c r="F6" s="263"/>
      <c r="G6" s="262"/>
    </row>
    <row r="7" spans="1:8">
      <c r="A7" s="261" t="s">
        <v>8</v>
      </c>
      <c r="B7" s="256" t="s">
        <v>8</v>
      </c>
      <c r="C7" s="262" t="s">
        <v>1273</v>
      </c>
      <c r="D7" s="497"/>
      <c r="E7" s="497">
        <v>20980</v>
      </c>
      <c r="F7" s="263"/>
      <c r="G7" s="262"/>
    </row>
    <row r="8" spans="1:8">
      <c r="A8" s="261" t="s">
        <v>8</v>
      </c>
      <c r="B8" s="256" t="s">
        <v>8</v>
      </c>
      <c r="C8" s="262" t="s">
        <v>1274</v>
      </c>
      <c r="D8" s="497"/>
      <c r="E8" s="497">
        <v>18550</v>
      </c>
      <c r="F8" s="263"/>
      <c r="G8" s="262"/>
    </row>
    <row r="9" spans="1:8">
      <c r="A9" s="261" t="s">
        <v>8</v>
      </c>
      <c r="B9" s="256" t="s">
        <v>8</v>
      </c>
      <c r="C9" s="262" t="s">
        <v>1275</v>
      </c>
      <c r="D9" s="497"/>
      <c r="E9" s="497">
        <v>26450</v>
      </c>
      <c r="F9" s="263"/>
      <c r="G9" s="262"/>
    </row>
    <row r="10" spans="1:8">
      <c r="A10" s="261" t="s">
        <v>8</v>
      </c>
      <c r="B10" s="256" t="s">
        <v>8</v>
      </c>
      <c r="C10" s="262" t="s">
        <v>1276</v>
      </c>
      <c r="D10" s="497"/>
      <c r="E10" s="497">
        <v>186560</v>
      </c>
      <c r="F10" s="263"/>
      <c r="G10" s="262"/>
    </row>
    <row r="11" spans="1:8">
      <c r="A11" s="261" t="s">
        <v>8</v>
      </c>
      <c r="B11" s="256" t="s">
        <v>8</v>
      </c>
      <c r="C11" s="262" t="s">
        <v>1277</v>
      </c>
      <c r="D11" s="497"/>
      <c r="E11" s="497">
        <f>10400+6410</f>
        <v>16810</v>
      </c>
      <c r="F11" s="263"/>
      <c r="G11" s="262"/>
    </row>
    <row r="12" spans="1:8">
      <c r="A12" s="261" t="s">
        <v>8</v>
      </c>
      <c r="B12" s="256" t="s">
        <v>8</v>
      </c>
      <c r="C12" s="262" t="s">
        <v>1278</v>
      </c>
      <c r="D12" s="497"/>
      <c r="E12" s="497">
        <v>100000</v>
      </c>
      <c r="F12" s="263"/>
      <c r="G12" s="262"/>
    </row>
    <row r="13" spans="1:8">
      <c r="A13" s="261" t="s">
        <v>8</v>
      </c>
      <c r="B13" s="256" t="s">
        <v>8</v>
      </c>
      <c r="C13" s="262" t="s">
        <v>1279</v>
      </c>
      <c r="D13" s="497"/>
      <c r="E13" s="497">
        <v>100000</v>
      </c>
      <c r="F13" s="263"/>
      <c r="G13" s="262"/>
    </row>
    <row r="14" spans="1:8">
      <c r="A14" s="261" t="s">
        <v>8</v>
      </c>
      <c r="B14" s="256" t="s">
        <v>8</v>
      </c>
      <c r="C14" s="262" t="s">
        <v>1280</v>
      </c>
      <c r="D14" s="497"/>
      <c r="E14" s="497">
        <f>50000*5</f>
        <v>250000</v>
      </c>
      <c r="F14" s="263"/>
      <c r="G14" s="265"/>
    </row>
    <row r="15" spans="1:8">
      <c r="A15" s="261" t="s">
        <v>8</v>
      </c>
      <c r="B15" s="256" t="s">
        <v>8</v>
      </c>
      <c r="C15" s="262" t="s">
        <v>1281</v>
      </c>
      <c r="D15" s="497"/>
      <c r="E15" s="497">
        <v>17000</v>
      </c>
      <c r="F15" s="263"/>
      <c r="G15" s="265"/>
    </row>
    <row r="16" spans="1:8">
      <c r="A16" s="261" t="s">
        <v>8</v>
      </c>
      <c r="B16" s="256" t="s">
        <v>8</v>
      </c>
      <c r="C16" s="262" t="s">
        <v>1282</v>
      </c>
      <c r="D16" s="497"/>
      <c r="E16" s="497">
        <v>12900</v>
      </c>
      <c r="F16" s="263"/>
      <c r="G16" s="265"/>
    </row>
    <row r="17" spans="1:7">
      <c r="A17" s="261" t="s">
        <v>8</v>
      </c>
      <c r="B17" s="256" t="s">
        <v>8</v>
      </c>
      <c r="C17" s="262" t="s">
        <v>1283</v>
      </c>
      <c r="D17" s="497"/>
      <c r="E17" s="497">
        <v>52860</v>
      </c>
      <c r="F17" s="263"/>
      <c r="G17" s="265"/>
    </row>
    <row r="18" spans="1:7">
      <c r="A18" s="261" t="s">
        <v>8</v>
      </c>
      <c r="B18" s="256" t="s">
        <v>8</v>
      </c>
      <c r="C18" s="262" t="s">
        <v>1284</v>
      </c>
      <c r="D18" s="497"/>
      <c r="E18" s="497">
        <f>13572+31542+43174+22480+14537+36530+24259+3300+39640</f>
        <v>229034</v>
      </c>
      <c r="F18" s="263"/>
      <c r="G18" s="265"/>
    </row>
    <row r="19" spans="1:7">
      <c r="A19" s="261" t="s">
        <v>8</v>
      </c>
      <c r="B19" s="256" t="s">
        <v>8</v>
      </c>
      <c r="C19" s="262" t="s">
        <v>1285</v>
      </c>
      <c r="D19" s="497"/>
      <c r="E19" s="497">
        <f>14040+41770+6250</f>
        <v>62060</v>
      </c>
      <c r="F19" s="263"/>
      <c r="G19" s="265"/>
    </row>
    <row r="20" spans="1:7">
      <c r="A20" s="261" t="s">
        <v>8</v>
      </c>
      <c r="B20" s="256" t="s">
        <v>8</v>
      </c>
      <c r="C20" s="262" t="s">
        <v>1286</v>
      </c>
      <c r="D20" s="497"/>
      <c r="E20" s="497">
        <v>16000</v>
      </c>
      <c r="F20" s="263"/>
      <c r="G20" s="265"/>
    </row>
    <row r="21" spans="1:7">
      <c r="A21" s="261" t="s">
        <v>8</v>
      </c>
      <c r="B21" s="256" t="s">
        <v>8</v>
      </c>
      <c r="C21" s="262" t="s">
        <v>1287</v>
      </c>
      <c r="D21" s="497"/>
      <c r="E21" s="497">
        <v>15000</v>
      </c>
      <c r="F21" s="263"/>
      <c r="G21" s="265"/>
    </row>
    <row r="22" spans="1:7">
      <c r="A22" s="261" t="s">
        <v>8</v>
      </c>
      <c r="B22" s="256" t="s">
        <v>8</v>
      </c>
      <c r="C22" s="262" t="s">
        <v>1288</v>
      </c>
      <c r="D22" s="497"/>
      <c r="E22" s="497">
        <v>500</v>
      </c>
      <c r="F22" s="263"/>
      <c r="G22" s="265"/>
    </row>
    <row r="23" spans="1:7">
      <c r="A23" s="261" t="s">
        <v>8</v>
      </c>
      <c r="B23" s="256" t="s">
        <v>8</v>
      </c>
      <c r="C23" s="262" t="s">
        <v>1289</v>
      </c>
      <c r="D23" s="497"/>
      <c r="E23" s="497">
        <v>14600</v>
      </c>
      <c r="F23" s="263"/>
      <c r="G23" s="265"/>
    </row>
    <row r="24" spans="1:7">
      <c r="A24" s="261" t="s">
        <v>8</v>
      </c>
      <c r="B24" s="256" t="s">
        <v>8</v>
      </c>
      <c r="C24" s="262" t="s">
        <v>1290</v>
      </c>
      <c r="D24" s="497"/>
      <c r="E24" s="497">
        <v>50000</v>
      </c>
      <c r="F24" s="263"/>
      <c r="G24" s="265"/>
    </row>
    <row r="25" spans="1:7">
      <c r="A25" s="261" t="s">
        <v>8</v>
      </c>
      <c r="B25" s="256" t="s">
        <v>8</v>
      </c>
      <c r="C25" s="262" t="s">
        <v>1291</v>
      </c>
      <c r="D25" s="497">
        <v>1000000</v>
      </c>
      <c r="E25" s="497">
        <v>2500000</v>
      </c>
      <c r="F25" s="263"/>
      <c r="G25" s="265" t="s">
        <v>2120</v>
      </c>
    </row>
    <row r="26" spans="1:7">
      <c r="A26" s="261" t="s">
        <v>8</v>
      </c>
      <c r="B26" s="256" t="s">
        <v>8</v>
      </c>
      <c r="C26" s="262" t="s">
        <v>382</v>
      </c>
      <c r="D26" s="497"/>
      <c r="E26" s="497">
        <v>50000</v>
      </c>
      <c r="F26" s="263"/>
      <c r="G26" s="265"/>
    </row>
    <row r="27" spans="1:7">
      <c r="A27" s="261" t="s">
        <v>8</v>
      </c>
      <c r="B27" s="256" t="s">
        <v>8</v>
      </c>
      <c r="C27" s="262" t="s">
        <v>1292</v>
      </c>
      <c r="D27" s="497"/>
      <c r="E27" s="497">
        <v>10900</v>
      </c>
      <c r="F27" s="263"/>
      <c r="G27" s="265"/>
    </row>
    <row r="28" spans="1:7">
      <c r="A28" s="261" t="s">
        <v>8</v>
      </c>
      <c r="B28" s="256" t="s">
        <v>8</v>
      </c>
      <c r="C28" s="262" t="s">
        <v>1293</v>
      </c>
      <c r="D28" s="497"/>
      <c r="E28" s="497">
        <v>5850</v>
      </c>
      <c r="F28" s="263"/>
      <c r="G28" s="265"/>
    </row>
    <row r="29" spans="1:7">
      <c r="A29" s="261" t="s">
        <v>8</v>
      </c>
      <c r="B29" s="256" t="s">
        <v>8</v>
      </c>
      <c r="C29" s="262" t="s">
        <v>1294</v>
      </c>
      <c r="D29" s="497"/>
      <c r="E29" s="497">
        <v>107000</v>
      </c>
      <c r="F29" s="263"/>
      <c r="G29" s="265"/>
    </row>
    <row r="30" spans="1:7">
      <c r="A30" s="261" t="s">
        <v>8</v>
      </c>
      <c r="B30" s="256" t="s">
        <v>8</v>
      </c>
      <c r="C30" s="262" t="s">
        <v>1295</v>
      </c>
      <c r="D30" s="497"/>
      <c r="E30" s="497">
        <v>16000</v>
      </c>
      <c r="F30" s="263"/>
      <c r="G30" s="265"/>
    </row>
    <row r="31" spans="1:7">
      <c r="A31" s="261" t="s">
        <v>8</v>
      </c>
      <c r="B31" s="256" t="s">
        <v>8</v>
      </c>
      <c r="C31" s="262" t="s">
        <v>1296</v>
      </c>
      <c r="D31" s="497"/>
      <c r="E31" s="497">
        <v>38000</v>
      </c>
      <c r="F31" s="263"/>
      <c r="G31" s="265"/>
    </row>
    <row r="32" spans="1:7">
      <c r="A32" s="261" t="s">
        <v>8</v>
      </c>
      <c r="B32" s="256" t="s">
        <v>8</v>
      </c>
      <c r="C32" s="262" t="s">
        <v>1297</v>
      </c>
      <c r="D32" s="497"/>
      <c r="E32" s="497">
        <v>14100</v>
      </c>
      <c r="F32" s="263"/>
      <c r="G32" s="265"/>
    </row>
    <row r="33" spans="1:7">
      <c r="A33" s="261" t="s">
        <v>8</v>
      </c>
      <c r="B33" s="256" t="s">
        <v>8</v>
      </c>
      <c r="C33" s="262" t="s">
        <v>1298</v>
      </c>
      <c r="D33" s="497"/>
      <c r="E33" s="497">
        <v>19900</v>
      </c>
      <c r="F33" s="263"/>
      <c r="G33" s="265"/>
    </row>
    <row r="34" spans="1:7">
      <c r="A34" s="261" t="s">
        <v>8</v>
      </c>
      <c r="B34" s="256" t="s">
        <v>8</v>
      </c>
      <c r="C34" s="262" t="s">
        <v>1299</v>
      </c>
      <c r="D34" s="497"/>
      <c r="E34" s="497">
        <v>4200</v>
      </c>
      <c r="F34" s="263"/>
      <c r="G34" s="265"/>
    </row>
    <row r="35" spans="1:7">
      <c r="A35" s="261" t="s">
        <v>8</v>
      </c>
      <c r="B35" s="256" t="s">
        <v>8</v>
      </c>
      <c r="C35" s="262" t="s">
        <v>1300</v>
      </c>
      <c r="D35" s="497">
        <f>SUM(D2:D34)-SUM(E2:E34)</f>
        <v>562101</v>
      </c>
      <c r="E35" s="497"/>
      <c r="F35" s="263"/>
      <c r="G35" s="262"/>
    </row>
    <row r="36" spans="1:7">
      <c r="A36" s="261" t="s">
        <v>8</v>
      </c>
      <c r="B36" s="256" t="s">
        <v>8</v>
      </c>
    </row>
    <row r="37" spans="1:7">
      <c r="A37" s="261" t="s">
        <v>8</v>
      </c>
      <c r="B37" s="256" t="s">
        <v>8</v>
      </c>
    </row>
    <row r="38" spans="1:7">
      <c r="A38" s="261" t="s">
        <v>8</v>
      </c>
      <c r="B38" s="256" t="s">
        <v>8</v>
      </c>
    </row>
    <row r="39" spans="1:7">
      <c r="A39" s="261" t="s">
        <v>8</v>
      </c>
      <c r="B39" s="256" t="s">
        <v>8</v>
      </c>
    </row>
    <row r="40" spans="1:7">
      <c r="A40" s="261" t="s">
        <v>8</v>
      </c>
      <c r="B40" s="256" t="s">
        <v>2121</v>
      </c>
      <c r="C40" s="262" t="s">
        <v>1268</v>
      </c>
      <c r="D40" s="498">
        <v>4465505</v>
      </c>
      <c r="E40" s="497"/>
      <c r="F40" s="263"/>
      <c r="G40" s="262"/>
    </row>
    <row r="41" spans="1:7">
      <c r="A41" s="261" t="s">
        <v>8</v>
      </c>
      <c r="C41" s="262" t="s">
        <v>1269</v>
      </c>
      <c r="D41" s="497"/>
      <c r="E41" s="498">
        <v>412500</v>
      </c>
      <c r="F41" s="263"/>
      <c r="G41" s="262" t="s">
        <v>2122</v>
      </c>
    </row>
    <row r="42" spans="1:7">
      <c r="A42" s="261" t="s">
        <v>8</v>
      </c>
      <c r="C42" s="262" t="s">
        <v>1270</v>
      </c>
      <c r="D42" s="497"/>
      <c r="E42" s="498">
        <v>548000</v>
      </c>
      <c r="F42" s="263"/>
      <c r="G42" s="262"/>
    </row>
    <row r="43" spans="1:7">
      <c r="A43" s="261" t="s">
        <v>8</v>
      </c>
      <c r="C43" s="262" t="s">
        <v>1271</v>
      </c>
      <c r="D43" s="497"/>
      <c r="E43" s="498">
        <v>347060</v>
      </c>
      <c r="F43" s="263"/>
      <c r="G43" s="264"/>
    </row>
    <row r="44" spans="1:7">
      <c r="A44" s="261" t="s">
        <v>8</v>
      </c>
      <c r="C44" s="262" t="s">
        <v>1272</v>
      </c>
      <c r="D44" s="497"/>
      <c r="E44" s="498">
        <v>9060</v>
      </c>
      <c r="F44" s="263"/>
      <c r="G44" s="262"/>
    </row>
    <row r="45" spans="1:7">
      <c r="A45" s="261" t="s">
        <v>8</v>
      </c>
      <c r="C45" s="262" t="s">
        <v>1273</v>
      </c>
      <c r="D45" s="497"/>
      <c r="E45" s="498">
        <v>20980</v>
      </c>
      <c r="F45" s="263"/>
      <c r="G45" s="262"/>
    </row>
    <row r="46" spans="1:7">
      <c r="A46" s="261" t="s">
        <v>8</v>
      </c>
      <c r="C46" s="262" t="s">
        <v>1274</v>
      </c>
      <c r="D46" s="497"/>
      <c r="E46" s="498">
        <v>18550</v>
      </c>
      <c r="F46" s="263"/>
      <c r="G46" s="262"/>
    </row>
    <row r="47" spans="1:7">
      <c r="A47" s="261" t="s">
        <v>8</v>
      </c>
      <c r="C47" s="262" t="s">
        <v>1275</v>
      </c>
      <c r="D47" s="497"/>
      <c r="E47" s="498">
        <v>26450</v>
      </c>
      <c r="F47" s="263"/>
      <c r="G47" s="262"/>
    </row>
    <row r="48" spans="1:7">
      <c r="A48" s="261" t="s">
        <v>8</v>
      </c>
      <c r="C48" s="262" t="s">
        <v>1276</v>
      </c>
      <c r="D48" s="497"/>
      <c r="E48" s="498">
        <v>180010</v>
      </c>
      <c r="F48" s="263"/>
      <c r="G48" s="262"/>
    </row>
    <row r="49" spans="1:7">
      <c r="A49" s="261" t="s">
        <v>8</v>
      </c>
      <c r="C49" s="262" t="s">
        <v>1277</v>
      </c>
      <c r="D49" s="497"/>
      <c r="E49" s="497">
        <v>0</v>
      </c>
      <c r="F49" s="263"/>
      <c r="G49" s="262" t="s">
        <v>2123</v>
      </c>
    </row>
    <row r="50" spans="1:7">
      <c r="A50" s="261" t="s">
        <v>8</v>
      </c>
      <c r="C50" s="262" t="s">
        <v>1278</v>
      </c>
      <c r="D50" s="497"/>
      <c r="E50" s="498">
        <v>100000</v>
      </c>
      <c r="F50" s="263"/>
      <c r="G50" s="262"/>
    </row>
    <row r="51" spans="1:7">
      <c r="A51" s="261" t="s">
        <v>8</v>
      </c>
      <c r="C51" s="262" t="s">
        <v>1279</v>
      </c>
      <c r="D51" s="497"/>
      <c r="E51" s="497">
        <v>100000</v>
      </c>
      <c r="F51" s="263"/>
      <c r="G51" s="262"/>
    </row>
    <row r="52" spans="1:7">
      <c r="A52" s="261" t="s">
        <v>8</v>
      </c>
      <c r="C52" s="262" t="s">
        <v>1280</v>
      </c>
      <c r="D52" s="497"/>
      <c r="E52" s="498">
        <f>50000*4</f>
        <v>200000</v>
      </c>
      <c r="F52" s="263"/>
      <c r="G52" s="265"/>
    </row>
    <row r="53" spans="1:7">
      <c r="A53" s="261" t="s">
        <v>8</v>
      </c>
      <c r="C53" s="262" t="s">
        <v>1284</v>
      </c>
      <c r="D53" s="497"/>
      <c r="E53" s="498">
        <f>38190+51660+30500+43730</f>
        <v>164080</v>
      </c>
      <c r="F53" s="263"/>
      <c r="G53" s="265"/>
    </row>
    <row r="54" spans="1:7">
      <c r="A54" s="261" t="s">
        <v>8</v>
      </c>
      <c r="C54" s="262" t="s">
        <v>1301</v>
      </c>
      <c r="D54" s="497"/>
      <c r="E54" s="498">
        <v>2000</v>
      </c>
      <c r="F54" s="263"/>
      <c r="G54" s="265"/>
    </row>
    <row r="55" spans="1:7">
      <c r="A55" s="261" t="s">
        <v>8</v>
      </c>
      <c r="C55" s="262" t="s">
        <v>1302</v>
      </c>
      <c r="D55" s="497"/>
      <c r="E55" s="498">
        <f>22900+22000</f>
        <v>44900</v>
      </c>
      <c r="F55" s="263"/>
      <c r="G55" s="265"/>
    </row>
    <row r="56" spans="1:7">
      <c r="A56" s="261" t="s">
        <v>8</v>
      </c>
      <c r="C56" s="262" t="s">
        <v>1299</v>
      </c>
      <c r="D56" s="497"/>
      <c r="E56" s="498">
        <v>7000</v>
      </c>
      <c r="F56" s="263"/>
      <c r="G56" s="265"/>
    </row>
    <row r="57" spans="1:7">
      <c r="A57" s="261" t="s">
        <v>8</v>
      </c>
      <c r="C57" s="262" t="s">
        <v>1303</v>
      </c>
      <c r="D57" s="497"/>
      <c r="E57" s="498">
        <v>30000</v>
      </c>
      <c r="F57" s="263"/>
      <c r="G57" s="265"/>
    </row>
    <row r="58" spans="1:7">
      <c r="A58" s="261" t="s">
        <v>8</v>
      </c>
      <c r="C58" s="262" t="s">
        <v>1304</v>
      </c>
      <c r="D58" s="498">
        <v>1200</v>
      </c>
      <c r="E58" s="498">
        <v>1585750</v>
      </c>
      <c r="F58" s="263"/>
      <c r="G58" s="265" t="s">
        <v>2124</v>
      </c>
    </row>
    <row r="59" spans="1:7">
      <c r="A59" s="261" t="s">
        <v>8</v>
      </c>
      <c r="C59" s="262" t="s">
        <v>1305</v>
      </c>
      <c r="D59" s="497"/>
      <c r="E59" s="498">
        <v>157360</v>
      </c>
      <c r="F59" s="263"/>
      <c r="G59" s="265"/>
    </row>
    <row r="60" spans="1:7">
      <c r="A60" s="261" t="s">
        <v>8</v>
      </c>
      <c r="C60" s="262" t="s">
        <v>383</v>
      </c>
      <c r="D60" s="497"/>
      <c r="E60" s="498">
        <v>50000</v>
      </c>
      <c r="F60" s="263"/>
      <c r="G60" s="265"/>
    </row>
    <row r="61" spans="1:7">
      <c r="A61" s="261" t="s">
        <v>8</v>
      </c>
      <c r="C61" s="262" t="s">
        <v>1306</v>
      </c>
      <c r="D61" s="497"/>
      <c r="E61" s="498">
        <v>1000</v>
      </c>
      <c r="F61" s="263"/>
      <c r="G61" s="265"/>
    </row>
    <row r="62" spans="1:7">
      <c r="A62" s="261" t="s">
        <v>8</v>
      </c>
      <c r="C62" s="262" t="s">
        <v>382</v>
      </c>
      <c r="D62" s="497"/>
      <c r="E62" s="498">
        <v>50000</v>
      </c>
      <c r="F62" s="263"/>
      <c r="G62" s="265"/>
    </row>
    <row r="63" spans="1:7">
      <c r="A63" s="261" t="s">
        <v>8</v>
      </c>
      <c r="C63" s="262" t="s">
        <v>1307</v>
      </c>
      <c r="D63" s="497"/>
      <c r="E63" s="498">
        <v>15500</v>
      </c>
      <c r="F63" s="263"/>
      <c r="G63" s="265"/>
    </row>
    <row r="64" spans="1:7">
      <c r="A64" s="261" t="s">
        <v>8</v>
      </c>
      <c r="C64" s="262" t="s">
        <v>1308</v>
      </c>
      <c r="D64" s="497"/>
      <c r="E64" s="498">
        <v>8200</v>
      </c>
      <c r="F64" s="263"/>
      <c r="G64" s="265"/>
    </row>
    <row r="65" spans="1:7">
      <c r="A65" s="261" t="s">
        <v>8</v>
      </c>
      <c r="C65" s="262" t="s">
        <v>1309</v>
      </c>
      <c r="D65" s="497"/>
      <c r="E65" s="498">
        <v>7900</v>
      </c>
      <c r="F65" s="263"/>
      <c r="G65" s="265"/>
    </row>
    <row r="66" spans="1:7">
      <c r="A66" s="261" t="s">
        <v>8</v>
      </c>
      <c r="C66" s="262" t="s">
        <v>384</v>
      </c>
      <c r="D66" s="497"/>
      <c r="E66" s="498">
        <f>4570+5300</f>
        <v>9870</v>
      </c>
      <c r="F66" s="263"/>
      <c r="G66" s="265"/>
    </row>
    <row r="67" spans="1:7">
      <c r="A67" s="261" t="s">
        <v>8</v>
      </c>
      <c r="C67" s="262" t="s">
        <v>1310</v>
      </c>
      <c r="D67" s="497"/>
      <c r="E67" s="498">
        <v>5000</v>
      </c>
      <c r="F67" s="263"/>
      <c r="G67" s="265"/>
    </row>
    <row r="68" spans="1:7">
      <c r="A68" s="261" t="s">
        <v>8</v>
      </c>
      <c r="C68" s="262" t="s">
        <v>1297</v>
      </c>
      <c r="D68" s="497"/>
      <c r="E68" s="498">
        <v>12800</v>
      </c>
      <c r="F68" s="263"/>
      <c r="G68" s="265"/>
    </row>
    <row r="69" spans="1:7">
      <c r="A69" s="261" t="s">
        <v>8</v>
      </c>
      <c r="C69" s="262" t="s">
        <v>1311</v>
      </c>
      <c r="D69" s="497"/>
      <c r="E69" s="498">
        <v>2000</v>
      </c>
      <c r="F69" s="263"/>
      <c r="G69" s="265"/>
    </row>
    <row r="70" spans="1:7">
      <c r="A70" s="261" t="s">
        <v>8</v>
      </c>
      <c r="C70" s="262" t="s">
        <v>1292</v>
      </c>
      <c r="D70" s="497"/>
      <c r="E70" s="498">
        <v>10700</v>
      </c>
      <c r="F70" s="263"/>
      <c r="G70" s="265"/>
    </row>
    <row r="71" spans="1:7">
      <c r="A71" s="261" t="s">
        <v>8</v>
      </c>
      <c r="C71" s="262" t="s">
        <v>1312</v>
      </c>
      <c r="D71" s="497"/>
      <c r="E71" s="498">
        <v>300000</v>
      </c>
      <c r="F71" s="263"/>
      <c r="G71" s="265"/>
    </row>
    <row r="72" spans="1:7">
      <c r="A72" s="261" t="s">
        <v>8</v>
      </c>
      <c r="C72" s="262" t="s">
        <v>1313</v>
      </c>
      <c r="D72" s="497"/>
      <c r="E72" s="498">
        <v>50000</v>
      </c>
      <c r="F72" s="263"/>
      <c r="G72" s="265"/>
    </row>
    <row r="73" spans="1:7">
      <c r="A73" s="261" t="s">
        <v>8</v>
      </c>
      <c r="C73" s="262" t="s">
        <v>1314</v>
      </c>
      <c r="D73" s="497"/>
      <c r="E73" s="498">
        <v>15000</v>
      </c>
      <c r="F73" s="263"/>
      <c r="G73" s="265"/>
    </row>
    <row r="74" spans="1:7">
      <c r="A74" s="261" t="s">
        <v>8</v>
      </c>
      <c r="C74" s="262" t="s">
        <v>1285</v>
      </c>
      <c r="D74" s="497"/>
      <c r="E74" s="498">
        <v>21940</v>
      </c>
      <c r="F74" s="263"/>
      <c r="G74" s="265"/>
    </row>
    <row r="75" spans="1:7">
      <c r="A75" s="261" t="s">
        <v>8</v>
      </c>
      <c r="C75" s="262" t="s">
        <v>1315</v>
      </c>
      <c r="D75" s="497"/>
      <c r="E75" s="498">
        <v>55000</v>
      </c>
      <c r="F75" s="263"/>
      <c r="G75" s="265"/>
    </row>
    <row r="76" spans="1:7">
      <c r="A76" s="261" t="s">
        <v>8</v>
      </c>
      <c r="C76" s="262" t="s">
        <v>1316</v>
      </c>
      <c r="D76" s="497"/>
      <c r="E76" s="498">
        <v>15900</v>
      </c>
      <c r="F76" s="263"/>
      <c r="G76" s="265"/>
    </row>
    <row r="77" spans="1:7">
      <c r="A77" s="261" t="s">
        <v>8</v>
      </c>
      <c r="C77" s="262" t="s">
        <v>1317</v>
      </c>
      <c r="D77" s="497"/>
      <c r="E77" s="498">
        <v>200000</v>
      </c>
      <c r="F77" s="263"/>
      <c r="G77" s="265"/>
    </row>
    <row r="78" spans="1:7">
      <c r="A78" s="261" t="s">
        <v>8</v>
      </c>
      <c r="C78" s="262" t="s">
        <v>1300</v>
      </c>
      <c r="D78" s="497">
        <f>SUM(D40:D77)-SUM(E40:E77)</f>
        <v>-317805</v>
      </c>
      <c r="E78" s="497">
        <f>SUM(E40:E77)-SUM(F40:F77)</f>
        <v>4784510</v>
      </c>
      <c r="F78" s="263"/>
      <c r="G78" s="262"/>
    </row>
    <row r="79" spans="1:7">
      <c r="A79" s="261" t="s">
        <v>8</v>
      </c>
    </row>
    <row r="80" spans="1:7">
      <c r="A80" s="261" t="s">
        <v>8</v>
      </c>
    </row>
    <row r="81" spans="1:7">
      <c r="A81" s="261" t="s">
        <v>8</v>
      </c>
      <c r="B81" s="256" t="s">
        <v>2125</v>
      </c>
      <c r="C81" s="262" t="s">
        <v>1268</v>
      </c>
      <c r="D81" s="498">
        <v>4470155</v>
      </c>
      <c r="E81" s="497"/>
      <c r="F81" s="263"/>
      <c r="G81" s="262"/>
    </row>
    <row r="82" spans="1:7">
      <c r="A82" s="261" t="s">
        <v>8</v>
      </c>
      <c r="C82" s="262" t="s">
        <v>1269</v>
      </c>
      <c r="D82" s="497"/>
      <c r="E82" s="498">
        <v>438000</v>
      </c>
      <c r="F82" s="263"/>
      <c r="G82" s="262" t="s">
        <v>2126</v>
      </c>
    </row>
    <row r="83" spans="1:7">
      <c r="A83" s="261" t="s">
        <v>8</v>
      </c>
      <c r="C83" s="262" t="s">
        <v>1270</v>
      </c>
      <c r="D83" s="497"/>
      <c r="E83" s="498">
        <v>563000</v>
      </c>
      <c r="F83" s="263"/>
      <c r="G83" s="262"/>
    </row>
    <row r="84" spans="1:7">
      <c r="A84" s="261" t="s">
        <v>8</v>
      </c>
      <c r="C84" s="262" t="s">
        <v>1271</v>
      </c>
      <c r="D84" s="497"/>
      <c r="E84" s="498">
        <v>191560</v>
      </c>
      <c r="F84" s="263"/>
      <c r="G84" s="264"/>
    </row>
    <row r="85" spans="1:7">
      <c r="A85" s="261" t="s">
        <v>8</v>
      </c>
      <c r="C85" s="262" t="s">
        <v>1272</v>
      </c>
      <c r="D85" s="497"/>
      <c r="E85" s="498">
        <v>9060</v>
      </c>
      <c r="F85" s="263"/>
      <c r="G85" s="262"/>
    </row>
    <row r="86" spans="1:7">
      <c r="A86" s="261" t="s">
        <v>8</v>
      </c>
      <c r="C86" s="262" t="s">
        <v>1273</v>
      </c>
      <c r="D86" s="497"/>
      <c r="E86" s="498">
        <v>20980</v>
      </c>
      <c r="F86" s="263"/>
      <c r="G86" s="262"/>
    </row>
    <row r="87" spans="1:7">
      <c r="A87" s="261" t="s">
        <v>8</v>
      </c>
      <c r="C87" s="262" t="s">
        <v>1274</v>
      </c>
      <c r="D87" s="497"/>
      <c r="E87" s="498">
        <v>18550</v>
      </c>
      <c r="F87" s="263"/>
      <c r="G87" s="262"/>
    </row>
    <row r="88" spans="1:7">
      <c r="A88" s="261" t="s">
        <v>8</v>
      </c>
      <c r="C88" s="262" t="s">
        <v>1275</v>
      </c>
      <c r="D88" s="497"/>
      <c r="E88" s="498">
        <v>26450</v>
      </c>
      <c r="F88" s="263"/>
      <c r="G88" s="262"/>
    </row>
    <row r="89" spans="1:7">
      <c r="A89" s="261" t="s">
        <v>8</v>
      </c>
      <c r="C89" s="262" t="s">
        <v>1276</v>
      </c>
      <c r="D89" s="497"/>
      <c r="E89" s="498">
        <v>181980</v>
      </c>
      <c r="F89" s="263"/>
      <c r="G89" s="262"/>
    </row>
    <row r="90" spans="1:7">
      <c r="A90" s="261" t="s">
        <v>8</v>
      </c>
      <c r="C90" s="262" t="s">
        <v>1277</v>
      </c>
      <c r="D90" s="497"/>
      <c r="E90" s="498">
        <v>7720</v>
      </c>
      <c r="F90" s="263"/>
      <c r="G90" s="262"/>
    </row>
    <row r="91" spans="1:7">
      <c r="A91" s="261" t="s">
        <v>8</v>
      </c>
      <c r="C91" s="262" t="s">
        <v>1278</v>
      </c>
      <c r="D91" s="497"/>
      <c r="E91" s="498">
        <v>100000</v>
      </c>
      <c r="F91" s="263"/>
      <c r="G91" s="262"/>
    </row>
    <row r="92" spans="1:7">
      <c r="A92" s="261" t="s">
        <v>8</v>
      </c>
      <c r="C92" s="262" t="s">
        <v>1279</v>
      </c>
      <c r="D92" s="497"/>
      <c r="E92" s="497">
        <v>100000</v>
      </c>
      <c r="F92" s="263"/>
      <c r="G92" s="262"/>
    </row>
    <row r="93" spans="1:7">
      <c r="A93" s="261" t="s">
        <v>8</v>
      </c>
      <c r="C93" s="262" t="s">
        <v>385</v>
      </c>
      <c r="D93" s="497"/>
      <c r="E93" s="498">
        <v>9900</v>
      </c>
      <c r="F93" s="263"/>
      <c r="G93" s="265"/>
    </row>
    <row r="94" spans="1:7">
      <c r="A94" s="261" t="s">
        <v>8</v>
      </c>
      <c r="C94" s="262" t="s">
        <v>1318</v>
      </c>
      <c r="D94" s="497"/>
      <c r="E94" s="498">
        <v>4000</v>
      </c>
      <c r="F94" s="263"/>
      <c r="G94" s="265"/>
    </row>
    <row r="95" spans="1:7">
      <c r="A95" s="261" t="s">
        <v>8</v>
      </c>
      <c r="C95" s="262" t="s">
        <v>1319</v>
      </c>
      <c r="D95" s="497"/>
      <c r="E95" s="498">
        <v>50000</v>
      </c>
      <c r="F95" s="263"/>
      <c r="G95" s="265"/>
    </row>
    <row r="96" spans="1:7">
      <c r="A96" s="261" t="s">
        <v>8</v>
      </c>
      <c r="C96" s="262" t="s">
        <v>1320</v>
      </c>
      <c r="D96" s="497"/>
      <c r="E96" s="498">
        <v>2200</v>
      </c>
      <c r="F96" s="263"/>
      <c r="G96" s="265"/>
    </row>
    <row r="97" spans="1:7">
      <c r="A97" s="261" t="s">
        <v>8</v>
      </c>
      <c r="C97" s="262" t="s">
        <v>1284</v>
      </c>
      <c r="D97" s="497"/>
      <c r="E97" s="498">
        <f>34920+37210+38855+9940+40120</f>
        <v>161045</v>
      </c>
      <c r="F97" s="263"/>
      <c r="G97" s="265"/>
    </row>
    <row r="98" spans="1:7">
      <c r="A98" s="261" t="s">
        <v>8</v>
      </c>
      <c r="C98" s="262" t="s">
        <v>1321</v>
      </c>
      <c r="D98" s="497"/>
      <c r="E98" s="498">
        <v>6000</v>
      </c>
      <c r="F98" s="263"/>
      <c r="G98" s="265"/>
    </row>
    <row r="99" spans="1:7">
      <c r="A99" s="261" t="s">
        <v>8</v>
      </c>
      <c r="C99" s="262" t="s">
        <v>1322</v>
      </c>
      <c r="D99" s="497"/>
      <c r="E99" s="498">
        <v>14900</v>
      </c>
      <c r="F99" s="263"/>
      <c r="G99" s="265"/>
    </row>
    <row r="100" spans="1:7">
      <c r="A100" s="261" t="s">
        <v>8</v>
      </c>
      <c r="C100" s="262" t="s">
        <v>1323</v>
      </c>
      <c r="D100" s="497"/>
      <c r="E100" s="498">
        <v>1250</v>
      </c>
      <c r="F100" s="263"/>
      <c r="G100" s="265"/>
    </row>
    <row r="101" spans="1:7">
      <c r="A101" s="261" t="s">
        <v>8</v>
      </c>
      <c r="C101" s="262" t="s">
        <v>1324</v>
      </c>
      <c r="D101" s="497"/>
      <c r="E101" s="498">
        <v>857190</v>
      </c>
      <c r="F101" s="263"/>
      <c r="G101" s="265"/>
    </row>
    <row r="102" spans="1:7">
      <c r="A102" s="261" t="s">
        <v>8</v>
      </c>
      <c r="C102" s="262" t="s">
        <v>1280</v>
      </c>
      <c r="D102" s="497"/>
      <c r="E102" s="498">
        <f>50000*5</f>
        <v>250000</v>
      </c>
      <c r="F102" s="263"/>
      <c r="G102" s="265"/>
    </row>
    <row r="103" spans="1:7">
      <c r="A103" s="261" t="s">
        <v>8</v>
      </c>
      <c r="C103" s="262" t="s">
        <v>1299</v>
      </c>
      <c r="D103" s="497"/>
      <c r="E103" s="498">
        <v>10000</v>
      </c>
      <c r="F103" s="263"/>
      <c r="G103" s="265"/>
    </row>
    <row r="104" spans="1:7">
      <c r="A104" s="261" t="s">
        <v>8</v>
      </c>
      <c r="C104" s="262" t="s">
        <v>1302</v>
      </c>
      <c r="D104" s="497"/>
      <c r="E104" s="498">
        <f>23900+28900+21500</f>
        <v>74300</v>
      </c>
      <c r="F104" s="263"/>
      <c r="G104" s="265"/>
    </row>
    <row r="105" spans="1:7">
      <c r="A105" s="261" t="s">
        <v>8</v>
      </c>
      <c r="C105" s="262" t="s">
        <v>1325</v>
      </c>
      <c r="D105" s="497"/>
      <c r="E105" s="498">
        <f>15900+17000</f>
        <v>32900</v>
      </c>
      <c r="F105" s="263"/>
      <c r="G105" s="265"/>
    </row>
    <row r="106" spans="1:7">
      <c r="A106" s="261" t="s">
        <v>8</v>
      </c>
      <c r="C106" s="262" t="s">
        <v>1326</v>
      </c>
      <c r="D106" s="497"/>
      <c r="E106" s="498">
        <f>26800+14500</f>
        <v>41300</v>
      </c>
      <c r="F106" s="263"/>
      <c r="G106" s="265"/>
    </row>
    <row r="107" spans="1:7">
      <c r="A107" s="261" t="s">
        <v>8</v>
      </c>
      <c r="C107" s="262" t="s">
        <v>1327</v>
      </c>
      <c r="D107" s="497"/>
      <c r="E107" s="498">
        <v>6000</v>
      </c>
      <c r="F107" s="263"/>
      <c r="G107" s="265"/>
    </row>
    <row r="108" spans="1:7">
      <c r="A108" s="261" t="s">
        <v>8</v>
      </c>
      <c r="C108" s="262" t="s">
        <v>1285</v>
      </c>
      <c r="D108" s="497"/>
      <c r="E108" s="498">
        <f>13380+20680</f>
        <v>34060</v>
      </c>
      <c r="F108" s="263"/>
      <c r="G108" s="265"/>
    </row>
    <row r="109" spans="1:7">
      <c r="A109" s="261" t="s">
        <v>8</v>
      </c>
      <c r="C109" s="262" t="s">
        <v>1309</v>
      </c>
      <c r="D109" s="497"/>
      <c r="E109" s="498">
        <v>5100</v>
      </c>
      <c r="F109" s="263"/>
      <c r="G109" s="265"/>
    </row>
    <row r="110" spans="1:7">
      <c r="A110" s="261" t="s">
        <v>8</v>
      </c>
      <c r="C110" s="262" t="s">
        <v>385</v>
      </c>
      <c r="D110" s="497"/>
      <c r="E110" s="498">
        <v>7400</v>
      </c>
      <c r="F110" s="263"/>
      <c r="G110" s="265"/>
    </row>
    <row r="111" spans="1:7">
      <c r="A111" s="261" t="s">
        <v>8</v>
      </c>
      <c r="C111" s="262" t="s">
        <v>1316</v>
      </c>
      <c r="D111" s="497"/>
      <c r="E111" s="498">
        <v>17900</v>
      </c>
      <c r="F111" s="263"/>
      <c r="G111" s="265"/>
    </row>
    <row r="112" spans="1:7">
      <c r="A112" s="261" t="s">
        <v>8</v>
      </c>
      <c r="C112" s="262" t="s">
        <v>1328</v>
      </c>
      <c r="D112" s="497"/>
      <c r="E112" s="498">
        <v>4000</v>
      </c>
      <c r="F112" s="263"/>
      <c r="G112" s="265"/>
    </row>
    <row r="113" spans="1:7">
      <c r="A113" s="261" t="s">
        <v>8</v>
      </c>
      <c r="C113" s="262" t="s">
        <v>1315</v>
      </c>
      <c r="D113" s="497"/>
      <c r="E113" s="498">
        <v>30000</v>
      </c>
      <c r="F113" s="263"/>
      <c r="G113" s="265"/>
    </row>
    <row r="114" spans="1:7">
      <c r="A114" s="261" t="s">
        <v>8</v>
      </c>
      <c r="C114" s="262" t="s">
        <v>1329</v>
      </c>
      <c r="D114" s="497"/>
      <c r="E114" s="498">
        <v>19000</v>
      </c>
      <c r="F114" s="263"/>
      <c r="G114" s="265"/>
    </row>
    <row r="115" spans="1:7">
      <c r="A115" s="261" t="s">
        <v>8</v>
      </c>
      <c r="C115" s="262" t="s">
        <v>1330</v>
      </c>
      <c r="D115" s="497"/>
      <c r="E115" s="498">
        <v>34000</v>
      </c>
      <c r="F115" s="263"/>
      <c r="G115" s="265"/>
    </row>
    <row r="116" spans="1:7">
      <c r="A116" s="261" t="s">
        <v>8</v>
      </c>
      <c r="C116" s="262" t="s">
        <v>1331</v>
      </c>
      <c r="D116" s="497"/>
      <c r="E116" s="498">
        <v>14600</v>
      </c>
      <c r="F116" s="263"/>
      <c r="G116" s="265"/>
    </row>
    <row r="117" spans="1:7">
      <c r="A117" s="261" t="s">
        <v>8</v>
      </c>
      <c r="C117" s="262" t="s">
        <v>1332</v>
      </c>
      <c r="D117" s="497"/>
      <c r="E117" s="498">
        <v>41360</v>
      </c>
      <c r="F117" s="263"/>
      <c r="G117" s="265"/>
    </row>
    <row r="118" spans="1:7">
      <c r="A118" s="261" t="s">
        <v>8</v>
      </c>
      <c r="C118" s="262" t="s">
        <v>1314</v>
      </c>
      <c r="D118" s="497"/>
      <c r="E118" s="498">
        <v>6000</v>
      </c>
      <c r="F118" s="263"/>
      <c r="G118" s="265"/>
    </row>
    <row r="119" spans="1:7">
      <c r="A119" s="261" t="s">
        <v>8</v>
      </c>
      <c r="C119" s="262" t="s">
        <v>1333</v>
      </c>
      <c r="D119" s="497"/>
      <c r="E119" s="498">
        <v>25000</v>
      </c>
      <c r="F119" s="263"/>
      <c r="G119" s="265"/>
    </row>
    <row r="120" spans="1:7">
      <c r="A120" s="261" t="s">
        <v>8</v>
      </c>
      <c r="C120" s="262" t="s">
        <v>1287</v>
      </c>
      <c r="D120" s="497"/>
      <c r="E120" s="498">
        <v>15000</v>
      </c>
      <c r="F120" s="263"/>
      <c r="G120" s="265"/>
    </row>
    <row r="121" spans="1:7">
      <c r="A121" s="261" t="s">
        <v>8</v>
      </c>
      <c r="C121" s="262" t="s">
        <v>1334</v>
      </c>
      <c r="D121" s="497"/>
      <c r="E121" s="498">
        <v>7500</v>
      </c>
      <c r="F121" s="263"/>
      <c r="G121" s="265"/>
    </row>
    <row r="122" spans="1:7">
      <c r="A122" s="261" t="s">
        <v>8</v>
      </c>
      <c r="C122" s="262" t="s">
        <v>1335</v>
      </c>
      <c r="D122" s="497"/>
      <c r="E122" s="498">
        <v>317805</v>
      </c>
      <c r="F122" s="263"/>
      <c r="G122" s="265"/>
    </row>
    <row r="123" spans="1:7">
      <c r="A123" s="261" t="s">
        <v>8</v>
      </c>
      <c r="C123" s="262" t="s">
        <v>1300</v>
      </c>
      <c r="D123" s="498">
        <f>SUM(D81:D122)-SUM(E81:E122)</f>
        <v>713145</v>
      </c>
      <c r="E123" s="497">
        <f>SUM(E81:E122)-SUM(F81:F122)</f>
        <v>3757010</v>
      </c>
      <c r="F123" s="263"/>
      <c r="G123" s="262"/>
    </row>
    <row r="124" spans="1:7">
      <c r="A124" s="261" t="s">
        <v>8</v>
      </c>
    </row>
    <row r="125" spans="1:7">
      <c r="A125" s="261" t="s">
        <v>8</v>
      </c>
    </row>
    <row r="126" spans="1:7">
      <c r="A126" s="261" t="s">
        <v>8</v>
      </c>
      <c r="B126" s="256" t="s">
        <v>2127</v>
      </c>
      <c r="C126" s="262" t="s">
        <v>1268</v>
      </c>
      <c r="D126" s="498">
        <v>4638505</v>
      </c>
      <c r="E126" s="497"/>
      <c r="F126" s="263"/>
      <c r="G126" s="262"/>
    </row>
    <row r="127" spans="1:7">
      <c r="A127" s="261" t="s">
        <v>8</v>
      </c>
      <c r="C127" s="262" t="s">
        <v>1269</v>
      </c>
      <c r="D127" s="497"/>
      <c r="E127" s="498">
        <v>385500</v>
      </c>
      <c r="F127" s="263"/>
      <c r="G127" s="262" t="s">
        <v>2128</v>
      </c>
    </row>
    <row r="128" spans="1:7">
      <c r="A128" s="261" t="s">
        <v>8</v>
      </c>
      <c r="C128" s="262" t="s">
        <v>1270</v>
      </c>
      <c r="D128" s="497"/>
      <c r="E128" s="498">
        <v>568000</v>
      </c>
      <c r="F128" s="263"/>
      <c r="G128" s="262"/>
    </row>
    <row r="129" spans="1:7">
      <c r="A129" s="261" t="s">
        <v>8</v>
      </c>
      <c r="C129" s="262" t="s">
        <v>1271</v>
      </c>
      <c r="D129" s="497"/>
      <c r="E129" s="498">
        <v>249760</v>
      </c>
      <c r="F129" s="263"/>
      <c r="G129" s="264"/>
    </row>
    <row r="130" spans="1:7">
      <c r="A130" s="261" t="s">
        <v>8</v>
      </c>
      <c r="C130" s="262" t="s">
        <v>1272</v>
      </c>
      <c r="D130" s="497"/>
      <c r="E130" s="498">
        <v>9060</v>
      </c>
      <c r="F130" s="263"/>
      <c r="G130" s="262"/>
    </row>
    <row r="131" spans="1:7">
      <c r="A131" s="261" t="s">
        <v>8</v>
      </c>
      <c r="C131" s="262" t="s">
        <v>1273</v>
      </c>
      <c r="D131" s="497"/>
      <c r="E131" s="498">
        <v>20980</v>
      </c>
      <c r="F131" s="263"/>
      <c r="G131" s="262"/>
    </row>
    <row r="132" spans="1:7">
      <c r="A132" s="261" t="s">
        <v>8</v>
      </c>
      <c r="C132" s="262" t="s">
        <v>1274</v>
      </c>
      <c r="D132" s="497"/>
      <c r="E132" s="498">
        <v>18550</v>
      </c>
      <c r="F132" s="263"/>
      <c r="G132" s="262"/>
    </row>
    <row r="133" spans="1:7">
      <c r="A133" s="261" t="s">
        <v>8</v>
      </c>
      <c r="C133" s="262" t="s">
        <v>1275</v>
      </c>
      <c r="D133" s="497"/>
      <c r="E133" s="498">
        <v>26450</v>
      </c>
      <c r="F133" s="263"/>
      <c r="G133" s="262"/>
    </row>
    <row r="134" spans="1:7">
      <c r="A134" s="261" t="s">
        <v>8</v>
      </c>
      <c r="C134" s="262" t="s">
        <v>1276</v>
      </c>
      <c r="D134" s="497"/>
      <c r="E134" s="498">
        <v>203780</v>
      </c>
      <c r="F134" s="263"/>
      <c r="G134" s="262"/>
    </row>
    <row r="135" spans="1:7">
      <c r="A135" s="261" t="s">
        <v>8</v>
      </c>
      <c r="C135" s="262" t="s">
        <v>1277</v>
      </c>
      <c r="D135" s="497"/>
      <c r="E135" s="498">
        <v>7730</v>
      </c>
      <c r="F135" s="263"/>
      <c r="G135" s="262"/>
    </row>
    <row r="136" spans="1:7">
      <c r="A136" s="261" t="s">
        <v>8</v>
      </c>
      <c r="C136" s="262" t="s">
        <v>1278</v>
      </c>
      <c r="D136" s="497"/>
      <c r="E136" s="498">
        <v>100000</v>
      </c>
      <c r="F136" s="263"/>
      <c r="G136" s="262"/>
    </row>
    <row r="137" spans="1:7">
      <c r="A137" s="261" t="s">
        <v>8</v>
      </c>
      <c r="C137" s="262" t="s">
        <v>1279</v>
      </c>
      <c r="D137" s="497"/>
      <c r="E137" s="497">
        <v>100000</v>
      </c>
      <c r="F137" s="263"/>
      <c r="G137" s="262"/>
    </row>
    <row r="138" spans="1:7">
      <c r="A138" s="261" t="s">
        <v>8</v>
      </c>
      <c r="C138" s="262" t="s">
        <v>1336</v>
      </c>
      <c r="D138" s="497"/>
      <c r="E138" s="498">
        <f>17000+18000</f>
        <v>35000</v>
      </c>
      <c r="F138" s="263"/>
      <c r="G138" s="265"/>
    </row>
    <row r="139" spans="1:7">
      <c r="A139" s="261" t="s">
        <v>8</v>
      </c>
      <c r="C139" s="262" t="s">
        <v>1337</v>
      </c>
      <c r="D139" s="497"/>
      <c r="E139" s="498">
        <v>2300</v>
      </c>
      <c r="F139" s="263"/>
      <c r="G139" s="265"/>
    </row>
    <row r="140" spans="1:7">
      <c r="A140" s="261" t="s">
        <v>8</v>
      </c>
      <c r="C140" s="262" t="s">
        <v>1338</v>
      </c>
      <c r="D140" s="497"/>
      <c r="E140" s="498">
        <f>2900+2400</f>
        <v>5300</v>
      </c>
      <c r="F140" s="263"/>
      <c r="G140" s="265"/>
    </row>
    <row r="141" spans="1:7">
      <c r="A141" s="261" t="s">
        <v>8</v>
      </c>
      <c r="C141" s="262" t="s">
        <v>1339</v>
      </c>
      <c r="D141" s="497"/>
      <c r="E141" s="498">
        <f>2550+2500+2500</f>
        <v>7550</v>
      </c>
      <c r="F141" s="263"/>
      <c r="G141" s="265"/>
    </row>
    <row r="142" spans="1:7">
      <c r="A142" s="261" t="s">
        <v>8</v>
      </c>
      <c r="C142" s="262" t="s">
        <v>1323</v>
      </c>
      <c r="D142" s="497"/>
      <c r="E142" s="498">
        <f>2800+2150</f>
        <v>4950</v>
      </c>
      <c r="F142" s="263"/>
      <c r="G142" s="265"/>
    </row>
    <row r="143" spans="1:7">
      <c r="A143" s="261" t="s">
        <v>8</v>
      </c>
      <c r="C143" s="262" t="s">
        <v>1340</v>
      </c>
      <c r="D143" s="497"/>
      <c r="E143" s="498">
        <v>10000</v>
      </c>
      <c r="F143" s="263"/>
      <c r="G143" s="265"/>
    </row>
    <row r="144" spans="1:7">
      <c r="A144" s="261" t="s">
        <v>8</v>
      </c>
      <c r="C144" s="262" t="s">
        <v>1280</v>
      </c>
      <c r="D144" s="497"/>
      <c r="E144" s="498">
        <f>50000*4</f>
        <v>200000</v>
      </c>
      <c r="F144" s="263"/>
      <c r="G144" s="265"/>
    </row>
    <row r="145" spans="1:7">
      <c r="A145" s="261" t="s">
        <v>8</v>
      </c>
      <c r="C145" s="262" t="s">
        <v>1287</v>
      </c>
      <c r="D145" s="497"/>
      <c r="E145" s="498">
        <v>15000</v>
      </c>
      <c r="F145" s="263"/>
      <c r="G145" s="265"/>
    </row>
    <row r="146" spans="1:7">
      <c r="A146" s="261" t="s">
        <v>8</v>
      </c>
      <c r="C146" s="262" t="s">
        <v>1284</v>
      </c>
      <c r="D146" s="497"/>
      <c r="E146" s="498">
        <f>49240+13550+22890</f>
        <v>85680</v>
      </c>
      <c r="F146" s="263"/>
      <c r="G146" s="265"/>
    </row>
    <row r="147" spans="1:7">
      <c r="A147" s="261" t="s">
        <v>8</v>
      </c>
      <c r="C147" s="262" t="s">
        <v>1341</v>
      </c>
      <c r="D147" s="497"/>
      <c r="E147" s="498">
        <v>4100</v>
      </c>
      <c r="F147" s="263"/>
      <c r="G147" s="265"/>
    </row>
    <row r="148" spans="1:7">
      <c r="A148" s="261" t="s">
        <v>8</v>
      </c>
      <c r="C148" s="262" t="s">
        <v>1295</v>
      </c>
      <c r="D148" s="497"/>
      <c r="E148" s="498">
        <v>50000</v>
      </c>
      <c r="F148" s="263"/>
      <c r="G148" s="265"/>
    </row>
    <row r="149" spans="1:7">
      <c r="A149" s="261" t="s">
        <v>8</v>
      </c>
      <c r="C149" s="262" t="s">
        <v>1342</v>
      </c>
      <c r="D149" s="497"/>
      <c r="E149" s="498">
        <v>14900</v>
      </c>
      <c r="F149" s="263"/>
      <c r="G149" s="265"/>
    </row>
    <row r="150" spans="1:7">
      <c r="A150" s="261" t="s">
        <v>8</v>
      </c>
      <c r="C150" s="262" t="s">
        <v>1283</v>
      </c>
      <c r="D150" s="497"/>
      <c r="E150" s="498">
        <v>105210</v>
      </c>
      <c r="F150" s="263"/>
      <c r="G150" s="265"/>
    </row>
    <row r="151" spans="1:7">
      <c r="A151" s="261" t="s">
        <v>8</v>
      </c>
      <c r="C151" s="262" t="s">
        <v>1298</v>
      </c>
      <c r="D151" s="497"/>
      <c r="E151" s="498">
        <v>16000</v>
      </c>
      <c r="F151" s="263"/>
      <c r="G151" s="265"/>
    </row>
    <row r="152" spans="1:7">
      <c r="A152" s="261" t="s">
        <v>8</v>
      </c>
      <c r="C152" s="262" t="s">
        <v>1343</v>
      </c>
      <c r="D152" s="497"/>
      <c r="E152" s="498">
        <v>110000</v>
      </c>
      <c r="F152" s="263"/>
      <c r="G152" s="265"/>
    </row>
    <row r="153" spans="1:7">
      <c r="A153" s="261" t="s">
        <v>8</v>
      </c>
      <c r="C153" s="262" t="s">
        <v>1299</v>
      </c>
      <c r="D153" s="497"/>
      <c r="E153" s="498">
        <v>6000</v>
      </c>
      <c r="F153" s="263"/>
      <c r="G153" s="265"/>
    </row>
    <row r="154" spans="1:7">
      <c r="A154" s="261" t="s">
        <v>8</v>
      </c>
      <c r="C154" s="262" t="s">
        <v>1344</v>
      </c>
      <c r="D154" s="498">
        <v>32500</v>
      </c>
      <c r="E154" s="497"/>
      <c r="F154" s="263"/>
      <c r="G154" s="265"/>
    </row>
    <row r="155" spans="1:7">
      <c r="A155" s="261" t="s">
        <v>8</v>
      </c>
      <c r="C155" s="262" t="s">
        <v>1334</v>
      </c>
      <c r="D155" s="497"/>
      <c r="E155" s="498">
        <v>9000</v>
      </c>
      <c r="F155" s="263"/>
      <c r="G155" s="265"/>
    </row>
    <row r="156" spans="1:7">
      <c r="A156" s="261" t="s">
        <v>8</v>
      </c>
      <c r="C156" s="262" t="s">
        <v>1345</v>
      </c>
      <c r="D156" s="497"/>
      <c r="E156" s="498">
        <v>35600</v>
      </c>
      <c r="F156" s="263"/>
      <c r="G156" s="265"/>
    </row>
    <row r="157" spans="1:7">
      <c r="A157" s="261" t="s">
        <v>8</v>
      </c>
      <c r="C157" s="262" t="s">
        <v>1302</v>
      </c>
      <c r="D157" s="497"/>
      <c r="E157" s="498">
        <v>19000</v>
      </c>
      <c r="F157" s="263"/>
      <c r="G157" s="265"/>
    </row>
    <row r="158" spans="1:7">
      <c r="A158" s="261" t="s">
        <v>8</v>
      </c>
      <c r="C158" s="262" t="s">
        <v>1325</v>
      </c>
      <c r="D158" s="497"/>
      <c r="E158" s="498">
        <v>8400</v>
      </c>
      <c r="F158" s="263"/>
      <c r="G158" s="265"/>
    </row>
    <row r="159" spans="1:7">
      <c r="A159" s="261" t="s">
        <v>8</v>
      </c>
      <c r="C159" s="262" t="s">
        <v>1331</v>
      </c>
      <c r="D159" s="497"/>
      <c r="E159" s="498">
        <v>5000</v>
      </c>
      <c r="F159" s="263"/>
      <c r="G159" s="265"/>
    </row>
    <row r="160" spans="1:7">
      <c r="A160" s="261" t="s">
        <v>8</v>
      </c>
      <c r="C160" s="262" t="s">
        <v>1332</v>
      </c>
      <c r="D160" s="497"/>
      <c r="E160" s="498">
        <v>42880</v>
      </c>
      <c r="F160" s="263"/>
      <c r="G160" s="265"/>
    </row>
    <row r="161" spans="1:7">
      <c r="A161" s="261" t="s">
        <v>8</v>
      </c>
      <c r="C161" s="262" t="s">
        <v>1346</v>
      </c>
      <c r="D161" s="497"/>
      <c r="E161" s="498">
        <v>40000</v>
      </c>
      <c r="F161" s="263"/>
      <c r="G161" s="265"/>
    </row>
    <row r="162" spans="1:7">
      <c r="A162" s="261" t="s">
        <v>8</v>
      </c>
      <c r="C162" s="262" t="s">
        <v>1347</v>
      </c>
      <c r="D162" s="498">
        <v>50000</v>
      </c>
      <c r="E162" s="497"/>
      <c r="F162" s="263"/>
      <c r="G162" s="265"/>
    </row>
    <row r="163" spans="1:7">
      <c r="A163" s="261" t="s">
        <v>8</v>
      </c>
      <c r="C163" s="262" t="s">
        <v>1300</v>
      </c>
      <c r="D163" s="498">
        <f>SUM(D126:D162)-SUM(E126:E162)</f>
        <v>2199325</v>
      </c>
      <c r="E163" s="497">
        <f>SUM(E126:E162)-SUM(F126:F162)</f>
        <v>2521680</v>
      </c>
      <c r="F163" s="263"/>
      <c r="G163" s="262"/>
    </row>
    <row r="164" spans="1:7">
      <c r="A164" s="261" t="s">
        <v>8</v>
      </c>
    </row>
    <row r="165" spans="1:7">
      <c r="A165" s="261" t="s">
        <v>8</v>
      </c>
    </row>
    <row r="166" spans="1:7">
      <c r="A166" s="261" t="s">
        <v>8</v>
      </c>
      <c r="B166" s="256" t="s">
        <v>2129</v>
      </c>
      <c r="C166" s="262" t="s">
        <v>1268</v>
      </c>
      <c r="D166" s="498">
        <v>4443005</v>
      </c>
      <c r="E166" s="497"/>
      <c r="F166" s="263"/>
      <c r="G166" s="262"/>
    </row>
    <row r="167" spans="1:7">
      <c r="A167" s="261" t="s">
        <v>8</v>
      </c>
      <c r="C167" s="262" t="s">
        <v>1269</v>
      </c>
      <c r="D167" s="497"/>
      <c r="E167" s="498">
        <v>390000</v>
      </c>
      <c r="F167" s="263"/>
      <c r="G167" s="262" t="s">
        <v>2130</v>
      </c>
    </row>
    <row r="168" spans="1:7">
      <c r="A168" s="261" t="s">
        <v>8</v>
      </c>
      <c r="C168" s="262" t="s">
        <v>1270</v>
      </c>
      <c r="D168" s="497"/>
      <c r="E168" s="498">
        <v>548000</v>
      </c>
      <c r="F168" s="263"/>
      <c r="G168" s="262"/>
    </row>
    <row r="169" spans="1:7">
      <c r="A169" s="261" t="s">
        <v>8</v>
      </c>
      <c r="C169" s="262" t="s">
        <v>1271</v>
      </c>
      <c r="D169" s="497"/>
      <c r="E169" s="498">
        <v>199980</v>
      </c>
      <c r="F169" s="263"/>
      <c r="G169" s="264"/>
    </row>
    <row r="170" spans="1:7">
      <c r="A170" s="261" t="s">
        <v>8</v>
      </c>
      <c r="C170" s="262" t="s">
        <v>1272</v>
      </c>
      <c r="D170" s="497"/>
      <c r="E170" s="498">
        <v>9060</v>
      </c>
      <c r="F170" s="263"/>
      <c r="G170" s="262"/>
    </row>
    <row r="171" spans="1:7">
      <c r="A171" s="261" t="s">
        <v>8</v>
      </c>
      <c r="C171" s="262" t="s">
        <v>1273</v>
      </c>
      <c r="D171" s="497"/>
      <c r="E171" s="498">
        <v>20980</v>
      </c>
      <c r="F171" s="263"/>
      <c r="G171" s="262"/>
    </row>
    <row r="172" spans="1:7">
      <c r="A172" s="261" t="s">
        <v>8</v>
      </c>
      <c r="C172" s="262" t="s">
        <v>1274</v>
      </c>
      <c r="D172" s="497"/>
      <c r="E172" s="498">
        <v>18550</v>
      </c>
      <c r="F172" s="263"/>
      <c r="G172" s="262"/>
    </row>
    <row r="173" spans="1:7">
      <c r="A173" s="261" t="s">
        <v>8</v>
      </c>
      <c r="C173" s="262" t="s">
        <v>1275</v>
      </c>
      <c r="D173" s="497"/>
      <c r="E173" s="498">
        <v>26450</v>
      </c>
      <c r="F173" s="263"/>
      <c r="G173" s="262"/>
    </row>
    <row r="174" spans="1:7">
      <c r="A174" s="261" t="s">
        <v>8</v>
      </c>
      <c r="C174" s="262" t="s">
        <v>1276</v>
      </c>
      <c r="D174" s="497"/>
      <c r="E174" s="498">
        <v>202800</v>
      </c>
      <c r="F174" s="263"/>
      <c r="G174" s="262"/>
    </row>
    <row r="175" spans="1:7">
      <c r="A175" s="261" t="s">
        <v>8</v>
      </c>
      <c r="C175" s="262" t="s">
        <v>1277</v>
      </c>
      <c r="D175" s="497"/>
      <c r="E175" s="498">
        <v>13060</v>
      </c>
      <c r="F175" s="263"/>
      <c r="G175" s="262"/>
    </row>
    <row r="176" spans="1:7">
      <c r="A176" s="261" t="s">
        <v>8</v>
      </c>
      <c r="C176" s="262" t="s">
        <v>1278</v>
      </c>
      <c r="D176" s="497"/>
      <c r="E176" s="498">
        <v>100000</v>
      </c>
      <c r="F176" s="263"/>
      <c r="G176" s="262"/>
    </row>
    <row r="177" spans="1:7">
      <c r="A177" s="261" t="s">
        <v>8</v>
      </c>
      <c r="C177" s="262" t="s">
        <v>1279</v>
      </c>
      <c r="D177" s="497"/>
      <c r="E177" s="497">
        <v>100000</v>
      </c>
      <c r="F177" s="263"/>
      <c r="G177" s="262"/>
    </row>
    <row r="178" spans="1:7">
      <c r="A178" s="261" t="s">
        <v>8</v>
      </c>
      <c r="C178" s="262" t="s">
        <v>1284</v>
      </c>
      <c r="D178" s="497"/>
      <c r="E178" s="498">
        <f>20860+17580+38820</f>
        <v>77260</v>
      </c>
      <c r="F178" s="263"/>
      <c r="G178" s="265"/>
    </row>
    <row r="179" spans="1:7">
      <c r="A179" s="261" t="s">
        <v>8</v>
      </c>
      <c r="C179" s="262" t="s">
        <v>1302</v>
      </c>
      <c r="D179" s="497"/>
      <c r="E179" s="498">
        <f>23000+17500+13300+21000+23800</f>
        <v>98600</v>
      </c>
      <c r="F179" s="263"/>
      <c r="G179" s="265"/>
    </row>
    <row r="180" spans="1:7">
      <c r="A180" s="261" t="s">
        <v>8</v>
      </c>
      <c r="C180" s="262" t="s">
        <v>1348</v>
      </c>
      <c r="D180" s="497"/>
      <c r="E180" s="498">
        <v>15000</v>
      </c>
      <c r="F180" s="263"/>
      <c r="G180" s="265"/>
    </row>
    <row r="181" spans="1:7">
      <c r="A181" s="261" t="s">
        <v>8</v>
      </c>
      <c r="C181" s="262" t="s">
        <v>382</v>
      </c>
      <c r="D181" s="497"/>
      <c r="E181" s="498">
        <v>50000</v>
      </c>
      <c r="F181" s="263"/>
      <c r="G181" s="265"/>
    </row>
    <row r="182" spans="1:7">
      <c r="A182" s="261" t="s">
        <v>8</v>
      </c>
      <c r="C182" s="262" t="s">
        <v>1349</v>
      </c>
      <c r="D182" s="497"/>
      <c r="E182" s="498">
        <v>100000</v>
      </c>
      <c r="F182" s="263"/>
      <c r="G182" s="265"/>
    </row>
    <row r="183" spans="1:7">
      <c r="A183" s="261" t="s">
        <v>8</v>
      </c>
      <c r="C183" s="262" t="s">
        <v>1350</v>
      </c>
      <c r="D183" s="497"/>
      <c r="E183" s="498">
        <v>200000</v>
      </c>
      <c r="F183" s="263"/>
      <c r="G183" s="265"/>
    </row>
    <row r="184" spans="1:7">
      <c r="A184" s="261" t="s">
        <v>8</v>
      </c>
      <c r="C184" s="262" t="s">
        <v>1351</v>
      </c>
      <c r="D184" s="497"/>
      <c r="E184" s="498">
        <v>80000</v>
      </c>
      <c r="F184" s="263"/>
      <c r="G184" s="265"/>
    </row>
    <row r="185" spans="1:7">
      <c r="A185" s="261" t="s">
        <v>8</v>
      </c>
      <c r="C185" s="262" t="s">
        <v>1352</v>
      </c>
      <c r="D185" s="497"/>
      <c r="E185" s="498">
        <v>1250</v>
      </c>
      <c r="F185" s="263"/>
      <c r="G185" s="265"/>
    </row>
    <row r="186" spans="1:7">
      <c r="A186" s="261" t="s">
        <v>8</v>
      </c>
      <c r="C186" s="262" t="s">
        <v>1316</v>
      </c>
      <c r="D186" s="497"/>
      <c r="E186" s="498">
        <f>24000+26000+19500</f>
        <v>69500</v>
      </c>
      <c r="F186" s="263"/>
      <c r="G186" s="265"/>
    </row>
    <row r="187" spans="1:7">
      <c r="A187" s="261" t="s">
        <v>8</v>
      </c>
      <c r="C187" s="262" t="s">
        <v>1353</v>
      </c>
      <c r="D187" s="497"/>
      <c r="E187" s="498">
        <v>12500</v>
      </c>
      <c r="F187" s="263"/>
      <c r="G187" s="265"/>
    </row>
    <row r="188" spans="1:7">
      <c r="A188" s="261" t="s">
        <v>8</v>
      </c>
      <c r="C188" s="262" t="s">
        <v>1354</v>
      </c>
      <c r="D188" s="497"/>
      <c r="E188" s="498">
        <v>2900</v>
      </c>
      <c r="F188" s="263"/>
      <c r="G188" s="265"/>
    </row>
    <row r="189" spans="1:7">
      <c r="A189" s="261" t="s">
        <v>8</v>
      </c>
      <c r="C189" s="262" t="s">
        <v>1355</v>
      </c>
      <c r="D189" s="497"/>
      <c r="E189" s="498">
        <v>11000</v>
      </c>
      <c r="F189" s="263"/>
      <c r="G189" s="265"/>
    </row>
    <row r="190" spans="1:7">
      <c r="A190" s="261" t="s">
        <v>8</v>
      </c>
      <c r="C190" s="262" t="s">
        <v>1285</v>
      </c>
      <c r="D190" s="497"/>
      <c r="E190" s="498">
        <f>22520+11880</f>
        <v>34400</v>
      </c>
      <c r="F190" s="263"/>
      <c r="G190" s="265"/>
    </row>
    <row r="191" spans="1:7">
      <c r="A191" s="261" t="s">
        <v>8</v>
      </c>
      <c r="C191" s="262" t="s">
        <v>1325</v>
      </c>
      <c r="D191" s="497"/>
      <c r="E191" s="498">
        <v>13500</v>
      </c>
      <c r="F191" s="263"/>
      <c r="G191" s="265"/>
    </row>
    <row r="192" spans="1:7">
      <c r="A192" s="261" t="s">
        <v>8</v>
      </c>
      <c r="C192" s="262" t="s">
        <v>1280</v>
      </c>
      <c r="D192" s="497"/>
      <c r="E192" s="498">
        <f>50000*3</f>
        <v>150000</v>
      </c>
      <c r="F192" s="263"/>
      <c r="G192" s="265"/>
    </row>
    <row r="193" spans="1:7">
      <c r="A193" s="261" t="s">
        <v>8</v>
      </c>
      <c r="C193" s="262" t="s">
        <v>1334</v>
      </c>
      <c r="D193" s="497"/>
      <c r="E193" s="498">
        <f>2500+3500</f>
        <v>6000</v>
      </c>
      <c r="F193" s="263"/>
      <c r="G193" s="265"/>
    </row>
    <row r="194" spans="1:7">
      <c r="A194" s="261" t="s">
        <v>8</v>
      </c>
      <c r="C194" s="262" t="s">
        <v>1339</v>
      </c>
      <c r="D194" s="497"/>
      <c r="E194" s="498">
        <v>25200</v>
      </c>
      <c r="F194" s="263"/>
      <c r="G194" s="265"/>
    </row>
    <row r="195" spans="1:7">
      <c r="A195" s="261" t="s">
        <v>8</v>
      </c>
      <c r="C195" s="262" t="s">
        <v>1356</v>
      </c>
      <c r="D195" s="497"/>
      <c r="E195" s="498">
        <v>396000</v>
      </c>
      <c r="F195" s="263"/>
      <c r="G195" s="265"/>
    </row>
    <row r="196" spans="1:7">
      <c r="A196" s="261" t="s">
        <v>8</v>
      </c>
      <c r="C196" s="262" t="s">
        <v>1357</v>
      </c>
      <c r="D196" s="497"/>
      <c r="E196" s="498">
        <v>129870</v>
      </c>
      <c r="F196" s="263"/>
      <c r="G196" s="265"/>
    </row>
    <row r="197" spans="1:7">
      <c r="A197" s="261" t="s">
        <v>8</v>
      </c>
      <c r="C197" s="262" t="s">
        <v>1358</v>
      </c>
      <c r="D197" s="497"/>
      <c r="E197" s="498">
        <v>5400</v>
      </c>
      <c r="F197" s="263"/>
      <c r="G197" s="265"/>
    </row>
    <row r="198" spans="1:7">
      <c r="A198" s="261" t="s">
        <v>8</v>
      </c>
      <c r="C198" s="262" t="s">
        <v>1359</v>
      </c>
      <c r="D198" s="497"/>
      <c r="E198" s="498">
        <v>100000</v>
      </c>
      <c r="F198" s="263"/>
      <c r="G198" s="265"/>
    </row>
    <row r="199" spans="1:7">
      <c r="A199" s="261" t="s">
        <v>8</v>
      </c>
      <c r="C199" s="262" t="s">
        <v>1305</v>
      </c>
      <c r="D199" s="497"/>
      <c r="E199" s="498">
        <v>50690</v>
      </c>
      <c r="F199" s="263"/>
      <c r="G199" s="265"/>
    </row>
    <row r="200" spans="1:7">
      <c r="A200" s="261" t="s">
        <v>8</v>
      </c>
      <c r="C200" s="262" t="s">
        <v>385</v>
      </c>
      <c r="D200" s="497"/>
      <c r="E200" s="498">
        <v>12100</v>
      </c>
      <c r="F200" s="263"/>
      <c r="G200" s="265"/>
    </row>
    <row r="201" spans="1:7">
      <c r="A201" s="261" t="s">
        <v>8</v>
      </c>
      <c r="C201" s="262" t="s">
        <v>1332</v>
      </c>
      <c r="D201" s="497"/>
      <c r="E201" s="498">
        <v>42630</v>
      </c>
      <c r="F201" s="263"/>
      <c r="G201" s="265"/>
    </row>
    <row r="202" spans="1:7">
      <c r="A202" s="261" t="s">
        <v>8</v>
      </c>
      <c r="C202" s="262" t="s">
        <v>1360</v>
      </c>
      <c r="D202" s="497"/>
      <c r="E202" s="498">
        <v>5000</v>
      </c>
      <c r="F202" s="263"/>
      <c r="G202" s="265"/>
    </row>
    <row r="203" spans="1:7">
      <c r="A203" s="261" t="s">
        <v>8</v>
      </c>
      <c r="C203" s="262" t="s">
        <v>1361</v>
      </c>
      <c r="D203" s="497"/>
      <c r="E203" s="498">
        <v>90000</v>
      </c>
      <c r="F203" s="263"/>
      <c r="G203" s="265"/>
    </row>
    <row r="204" spans="1:7">
      <c r="A204" s="261" t="s">
        <v>8</v>
      </c>
      <c r="C204" s="262" t="s">
        <v>1300</v>
      </c>
      <c r="D204" s="498">
        <f>SUM(D166:D203)-SUM(E166:E203)</f>
        <v>1035325</v>
      </c>
      <c r="E204" s="497">
        <f>SUM(E166:E203)-SUM(F166:F203)</f>
        <v>3407680</v>
      </c>
      <c r="F204" s="263"/>
      <c r="G204" s="262"/>
    </row>
    <row r="205" spans="1:7">
      <c r="A205" s="261" t="s">
        <v>8</v>
      </c>
    </row>
    <row r="206" spans="1:7">
      <c r="A206" s="261" t="s">
        <v>8</v>
      </c>
    </row>
    <row r="207" spans="1:7">
      <c r="A207" s="261" t="s">
        <v>8</v>
      </c>
      <c r="B207" s="256" t="s">
        <v>2131</v>
      </c>
      <c r="C207" s="262" t="s">
        <v>1268</v>
      </c>
      <c r="D207" s="497">
        <v>4434005</v>
      </c>
      <c r="E207" s="497"/>
      <c r="F207" s="263"/>
      <c r="G207" s="262"/>
    </row>
    <row r="208" spans="1:7">
      <c r="A208" s="261" t="s">
        <v>8</v>
      </c>
      <c r="C208" s="262" t="s">
        <v>1269</v>
      </c>
      <c r="D208" s="497"/>
      <c r="E208" s="498">
        <v>381000</v>
      </c>
      <c r="F208" s="263"/>
      <c r="G208" s="262" t="s">
        <v>2132</v>
      </c>
    </row>
    <row r="209" spans="1:7">
      <c r="A209" s="261" t="s">
        <v>8</v>
      </c>
      <c r="C209" s="262" t="s">
        <v>1270</v>
      </c>
      <c r="D209" s="497"/>
      <c r="E209" s="498">
        <v>548000</v>
      </c>
      <c r="F209" s="263"/>
      <c r="G209" s="262"/>
    </row>
    <row r="210" spans="1:7">
      <c r="A210" s="261" t="s">
        <v>8</v>
      </c>
      <c r="C210" s="262" t="s">
        <v>1271</v>
      </c>
      <c r="D210" s="497"/>
      <c r="E210" s="498">
        <v>202480</v>
      </c>
      <c r="F210" s="263"/>
      <c r="G210" s="264"/>
    </row>
    <row r="211" spans="1:7">
      <c r="A211" s="261" t="s">
        <v>8</v>
      </c>
      <c r="C211" s="262" t="s">
        <v>1272</v>
      </c>
      <c r="D211" s="497"/>
      <c r="E211" s="498">
        <v>9060</v>
      </c>
      <c r="F211" s="263"/>
      <c r="G211" s="262"/>
    </row>
    <row r="212" spans="1:7">
      <c r="A212" s="261" t="s">
        <v>8</v>
      </c>
      <c r="C212" s="262" t="s">
        <v>1273</v>
      </c>
      <c r="D212" s="497"/>
      <c r="E212" s="498">
        <v>20980</v>
      </c>
      <c r="F212" s="263"/>
      <c r="G212" s="262"/>
    </row>
    <row r="213" spans="1:7">
      <c r="A213" s="261" t="s">
        <v>8</v>
      </c>
      <c r="C213" s="262" t="s">
        <v>1274</v>
      </c>
      <c r="D213" s="497"/>
      <c r="E213" s="498">
        <v>18550</v>
      </c>
      <c r="F213" s="263"/>
      <c r="G213" s="262"/>
    </row>
    <row r="214" spans="1:7">
      <c r="A214" s="261" t="s">
        <v>8</v>
      </c>
      <c r="C214" s="262" t="s">
        <v>1275</v>
      </c>
      <c r="D214" s="497"/>
      <c r="E214" s="498">
        <v>26450</v>
      </c>
      <c r="F214" s="263"/>
      <c r="G214" s="262"/>
    </row>
    <row r="215" spans="1:7">
      <c r="A215" s="261" t="s">
        <v>8</v>
      </c>
      <c r="C215" s="262" t="s">
        <v>1276</v>
      </c>
      <c r="D215" s="497"/>
      <c r="E215" s="498">
        <v>241300</v>
      </c>
      <c r="F215" s="263"/>
      <c r="G215" s="262"/>
    </row>
    <row r="216" spans="1:7">
      <c r="A216" s="261" t="s">
        <v>8</v>
      </c>
      <c r="C216" s="262" t="s">
        <v>1277</v>
      </c>
      <c r="D216" s="497"/>
      <c r="E216" s="497"/>
      <c r="F216" s="263"/>
      <c r="G216" s="262"/>
    </row>
    <row r="217" spans="1:7">
      <c r="A217" s="261" t="s">
        <v>8</v>
      </c>
      <c r="C217" s="262" t="s">
        <v>1278</v>
      </c>
      <c r="D217" s="497"/>
      <c r="E217" s="498">
        <v>100000</v>
      </c>
      <c r="F217" s="263"/>
      <c r="G217" s="262"/>
    </row>
    <row r="218" spans="1:7">
      <c r="A218" s="261" t="s">
        <v>8</v>
      </c>
      <c r="C218" s="262" t="s">
        <v>1279</v>
      </c>
      <c r="D218" s="497"/>
      <c r="E218" s="498">
        <v>100000</v>
      </c>
      <c r="F218" s="263"/>
      <c r="G218" s="262"/>
    </row>
    <row r="219" spans="1:7">
      <c r="A219" s="261" t="s">
        <v>8</v>
      </c>
      <c r="C219" s="262" t="s">
        <v>1284</v>
      </c>
      <c r="D219" s="497"/>
      <c r="E219" s="498">
        <f>39520+54680+13820+15870+21250+49650+22550+24360+5254+25580</f>
        <v>272534</v>
      </c>
      <c r="F219" s="263"/>
      <c r="G219" s="265"/>
    </row>
    <row r="220" spans="1:7">
      <c r="A220" s="261" t="s">
        <v>8</v>
      </c>
      <c r="C220" s="262" t="s">
        <v>384</v>
      </c>
      <c r="D220" s="497"/>
      <c r="E220" s="498">
        <v>2950</v>
      </c>
      <c r="F220" s="263"/>
      <c r="G220" s="265"/>
    </row>
    <row r="221" spans="1:7">
      <c r="A221" s="261" t="s">
        <v>8</v>
      </c>
      <c r="C221" s="262" t="s">
        <v>1317</v>
      </c>
      <c r="D221" s="497"/>
      <c r="E221" s="498">
        <v>200000</v>
      </c>
      <c r="F221" s="263"/>
      <c r="G221" s="265"/>
    </row>
    <row r="222" spans="1:7">
      <c r="A222" s="261" t="s">
        <v>8</v>
      </c>
      <c r="C222" s="262" t="s">
        <v>1280</v>
      </c>
      <c r="D222" s="497"/>
      <c r="E222" s="498">
        <f>50000*5</f>
        <v>250000</v>
      </c>
      <c r="F222" s="263"/>
      <c r="G222" s="265"/>
    </row>
    <row r="223" spans="1:7">
      <c r="A223" s="261" t="s">
        <v>8</v>
      </c>
      <c r="C223" s="262" t="s">
        <v>1302</v>
      </c>
      <c r="D223" s="497"/>
      <c r="E223" s="498">
        <f>22000+12500+22500+19000+20900+19500+22900+75400</f>
        <v>214700</v>
      </c>
      <c r="F223" s="263"/>
      <c r="G223" s="265"/>
    </row>
    <row r="224" spans="1:7">
      <c r="A224" s="261" t="s">
        <v>8</v>
      </c>
      <c r="C224" s="262" t="s">
        <v>1362</v>
      </c>
      <c r="D224" s="497"/>
      <c r="E224" s="498">
        <v>7000</v>
      </c>
      <c r="F224" s="263"/>
      <c r="G224" s="265"/>
    </row>
    <row r="225" spans="1:7">
      <c r="A225" s="261" t="s">
        <v>8</v>
      </c>
      <c r="C225" s="262" t="s">
        <v>386</v>
      </c>
      <c r="D225" s="497"/>
      <c r="E225" s="498">
        <f>103200+117400</f>
        <v>220600</v>
      </c>
      <c r="F225" s="263"/>
      <c r="G225" s="265"/>
    </row>
    <row r="226" spans="1:7">
      <c r="A226" s="261" t="s">
        <v>8</v>
      </c>
      <c r="C226" s="262" t="s">
        <v>1363</v>
      </c>
      <c r="D226" s="497"/>
      <c r="E226" s="498">
        <v>4000</v>
      </c>
      <c r="F226" s="263"/>
      <c r="G226" s="265"/>
    </row>
    <row r="227" spans="1:7">
      <c r="A227" s="261" t="s">
        <v>8</v>
      </c>
      <c r="C227" s="262" t="s">
        <v>1338</v>
      </c>
      <c r="D227" s="497"/>
      <c r="E227" s="498">
        <f>2200+2500</f>
        <v>4700</v>
      </c>
      <c r="F227" s="263"/>
      <c r="G227" s="265"/>
    </row>
    <row r="228" spans="1:7">
      <c r="A228" s="261" t="s">
        <v>8</v>
      </c>
      <c r="C228" s="262" t="s">
        <v>1341</v>
      </c>
      <c r="D228" s="497"/>
      <c r="E228" s="498">
        <f>3900+2500</f>
        <v>6400</v>
      </c>
      <c r="F228" s="263"/>
      <c r="G228" s="265"/>
    </row>
    <row r="229" spans="1:7">
      <c r="A229" s="261" t="s">
        <v>8</v>
      </c>
      <c r="C229" s="262" t="s">
        <v>1289</v>
      </c>
      <c r="D229" s="497"/>
      <c r="E229" s="498">
        <v>12200</v>
      </c>
      <c r="F229" s="263"/>
      <c r="G229" s="265"/>
    </row>
    <row r="230" spans="1:7">
      <c r="A230" s="261" t="s">
        <v>8</v>
      </c>
      <c r="C230" s="262" t="s">
        <v>1325</v>
      </c>
      <c r="D230" s="497"/>
      <c r="E230" s="498">
        <f>42800+73000</f>
        <v>115800</v>
      </c>
      <c r="F230" s="263"/>
      <c r="G230" s="265"/>
    </row>
    <row r="231" spans="1:7">
      <c r="A231" s="261" t="s">
        <v>8</v>
      </c>
      <c r="C231" s="262" t="s">
        <v>1351</v>
      </c>
      <c r="D231" s="497"/>
      <c r="E231" s="498">
        <v>30000</v>
      </c>
      <c r="F231" s="263"/>
      <c r="G231" s="265"/>
    </row>
    <row r="232" spans="1:7">
      <c r="A232" s="261" t="s">
        <v>8</v>
      </c>
      <c r="C232" s="262" t="s">
        <v>1364</v>
      </c>
      <c r="D232" s="497"/>
      <c r="E232" s="498">
        <v>100000</v>
      </c>
      <c r="F232" s="263"/>
      <c r="G232" s="265"/>
    </row>
    <row r="233" spans="1:7">
      <c r="A233" s="261" t="s">
        <v>8</v>
      </c>
      <c r="C233" s="262" t="s">
        <v>1359</v>
      </c>
      <c r="D233" s="497"/>
      <c r="E233" s="498">
        <v>100000</v>
      </c>
      <c r="F233" s="263"/>
      <c r="G233" s="265"/>
    </row>
    <row r="234" spans="1:7">
      <c r="A234" s="261" t="s">
        <v>8</v>
      </c>
      <c r="C234" s="262" t="s">
        <v>1365</v>
      </c>
      <c r="D234" s="497"/>
      <c r="E234" s="498">
        <v>2500</v>
      </c>
      <c r="F234" s="263"/>
      <c r="G234" s="265"/>
    </row>
    <row r="235" spans="1:7">
      <c r="A235" s="261" t="s">
        <v>8</v>
      </c>
      <c r="C235" s="262" t="s">
        <v>1315</v>
      </c>
      <c r="D235" s="497"/>
      <c r="E235" s="498">
        <v>60000</v>
      </c>
      <c r="F235" s="263"/>
      <c r="G235" s="265"/>
    </row>
    <row r="236" spans="1:7">
      <c r="A236" s="261" t="s">
        <v>8</v>
      </c>
      <c r="C236" s="262" t="s">
        <v>1366</v>
      </c>
      <c r="D236" s="497"/>
      <c r="E236" s="498">
        <f>41400+40300</f>
        <v>81700</v>
      </c>
      <c r="F236" s="263"/>
      <c r="G236" s="265"/>
    </row>
    <row r="237" spans="1:7">
      <c r="A237" s="261" t="s">
        <v>8</v>
      </c>
      <c r="C237" s="262" t="s">
        <v>1367</v>
      </c>
      <c r="D237" s="497"/>
      <c r="E237" s="498">
        <v>10700</v>
      </c>
      <c r="F237" s="263"/>
      <c r="G237" s="265"/>
    </row>
    <row r="238" spans="1:7">
      <c r="A238" s="261" t="s">
        <v>8</v>
      </c>
      <c r="C238" s="262" t="s">
        <v>1368</v>
      </c>
      <c r="D238" s="497"/>
      <c r="E238" s="498">
        <v>35000</v>
      </c>
      <c r="F238" s="263"/>
      <c r="G238" s="265"/>
    </row>
    <row r="239" spans="1:7">
      <c r="A239" s="261" t="s">
        <v>8</v>
      </c>
      <c r="C239" s="262" t="s">
        <v>1333</v>
      </c>
      <c r="D239" s="497"/>
      <c r="E239" s="498">
        <v>25000</v>
      </c>
      <c r="F239" s="263"/>
      <c r="G239" s="265"/>
    </row>
    <row r="240" spans="1:7">
      <c r="A240" s="261" t="s">
        <v>8</v>
      </c>
      <c r="C240" s="262" t="s">
        <v>1354</v>
      </c>
      <c r="D240" s="497"/>
      <c r="E240" s="498">
        <v>24000</v>
      </c>
      <c r="F240" s="263"/>
      <c r="G240" s="265"/>
    </row>
    <row r="241" spans="1:7">
      <c r="A241" s="261" t="s">
        <v>8</v>
      </c>
      <c r="C241" s="262" t="s">
        <v>1369</v>
      </c>
      <c r="D241" s="497"/>
      <c r="E241" s="498">
        <v>9500</v>
      </c>
      <c r="F241" s="263"/>
      <c r="G241" s="265"/>
    </row>
    <row r="242" spans="1:7">
      <c r="A242" s="261" t="s">
        <v>8</v>
      </c>
      <c r="C242" s="262" t="s">
        <v>1370</v>
      </c>
      <c r="D242" s="497"/>
      <c r="E242" s="498">
        <v>4000</v>
      </c>
      <c r="F242" s="263"/>
      <c r="G242" s="265"/>
    </row>
    <row r="243" spans="1:7">
      <c r="A243" s="261" t="s">
        <v>8</v>
      </c>
      <c r="C243" s="262" t="s">
        <v>1295</v>
      </c>
      <c r="D243" s="497"/>
      <c r="E243" s="498">
        <v>23000</v>
      </c>
      <c r="F243" s="263"/>
      <c r="G243" s="265"/>
    </row>
    <row r="244" spans="1:7">
      <c r="A244" s="261" t="s">
        <v>8</v>
      </c>
      <c r="C244" s="262" t="s">
        <v>1332</v>
      </c>
      <c r="D244" s="497"/>
      <c r="E244" s="498">
        <v>42630</v>
      </c>
      <c r="F244" s="263"/>
      <c r="G244" s="265"/>
    </row>
    <row r="245" spans="1:7">
      <c r="A245" s="261" t="s">
        <v>8</v>
      </c>
      <c r="C245" s="262" t="s">
        <v>1323</v>
      </c>
      <c r="D245" s="497"/>
      <c r="E245" s="498">
        <v>1000</v>
      </c>
      <c r="F245" s="263"/>
      <c r="G245" s="265"/>
    </row>
    <row r="246" spans="1:7">
      <c r="A246" s="261" t="s">
        <v>8</v>
      </c>
      <c r="C246" s="262" t="s">
        <v>1371</v>
      </c>
      <c r="D246" s="497"/>
      <c r="E246" s="498">
        <v>14060</v>
      </c>
      <c r="F246" s="263"/>
      <c r="G246" s="265"/>
    </row>
    <row r="247" spans="1:7">
      <c r="A247" s="261" t="s">
        <v>8</v>
      </c>
      <c r="C247" s="262" t="s">
        <v>1372</v>
      </c>
      <c r="D247" s="497"/>
      <c r="E247" s="498">
        <v>10500</v>
      </c>
      <c r="F247" s="263"/>
      <c r="G247" s="265"/>
    </row>
    <row r="248" spans="1:7">
      <c r="A248" s="261" t="s">
        <v>8</v>
      </c>
      <c r="C248" s="262" t="s">
        <v>1339</v>
      </c>
      <c r="D248" s="497"/>
      <c r="E248" s="498">
        <v>29200</v>
      </c>
      <c r="F248" s="263"/>
      <c r="G248" s="265"/>
    </row>
    <row r="249" spans="1:7">
      <c r="A249" s="261" t="s">
        <v>8</v>
      </c>
      <c r="C249" s="262" t="s">
        <v>1373</v>
      </c>
      <c r="D249" s="498">
        <v>43900</v>
      </c>
      <c r="E249" s="497"/>
      <c r="F249" s="263"/>
      <c r="G249" s="265"/>
    </row>
    <row r="250" spans="1:7">
      <c r="A250" s="261" t="s">
        <v>8</v>
      </c>
      <c r="C250" s="262" t="s">
        <v>1300</v>
      </c>
      <c r="D250" s="497">
        <f>SUM(D207:D249)-SUM(E207:E249)</f>
        <v>916411</v>
      </c>
      <c r="E250" s="497">
        <f>SUM(E207:E249)-SUM(F207:F249)</f>
        <v>3561494</v>
      </c>
      <c r="F250" s="263"/>
      <c r="G250" s="262"/>
    </row>
    <row r="251" spans="1:7">
      <c r="A251" s="261" t="s">
        <v>8</v>
      </c>
    </row>
    <row r="252" spans="1:7">
      <c r="A252" s="261" t="s">
        <v>8</v>
      </c>
    </row>
    <row r="253" spans="1:7">
      <c r="A253" s="261" t="s">
        <v>8</v>
      </c>
      <c r="B253" s="256" t="s">
        <v>2133</v>
      </c>
      <c r="C253" s="262" t="s">
        <v>1268</v>
      </c>
      <c r="D253" s="498">
        <v>4420945</v>
      </c>
      <c r="E253" s="497"/>
      <c r="F253" s="263"/>
      <c r="G253" s="262"/>
    </row>
    <row r="254" spans="1:7">
      <c r="A254" s="261" t="s">
        <v>8</v>
      </c>
      <c r="C254" s="262" t="s">
        <v>1269</v>
      </c>
      <c r="D254" s="497"/>
      <c r="E254" s="498">
        <v>368700</v>
      </c>
      <c r="F254" s="263"/>
      <c r="G254" s="262" t="s">
        <v>2134</v>
      </c>
    </row>
    <row r="255" spans="1:7">
      <c r="A255" s="261" t="s">
        <v>8</v>
      </c>
      <c r="C255" s="262" t="s">
        <v>1270</v>
      </c>
      <c r="D255" s="497"/>
      <c r="E255" s="498">
        <v>563000</v>
      </c>
      <c r="F255" s="263"/>
      <c r="G255" s="262"/>
    </row>
    <row r="256" spans="1:7">
      <c r="A256" s="261" t="s">
        <v>8</v>
      </c>
      <c r="C256" s="262" t="s">
        <v>1271</v>
      </c>
      <c r="D256" s="497"/>
      <c r="E256" s="498">
        <v>184650</v>
      </c>
      <c r="F256" s="263"/>
      <c r="G256" s="264"/>
    </row>
    <row r="257" spans="1:7">
      <c r="A257" s="261" t="s">
        <v>8</v>
      </c>
      <c r="C257" s="262" t="s">
        <v>1272</v>
      </c>
      <c r="D257" s="497"/>
      <c r="E257" s="498">
        <v>9060</v>
      </c>
      <c r="F257" s="263"/>
      <c r="G257" s="262"/>
    </row>
    <row r="258" spans="1:7">
      <c r="A258" s="261" t="s">
        <v>8</v>
      </c>
      <c r="C258" s="262" t="s">
        <v>1273</v>
      </c>
      <c r="D258" s="497"/>
      <c r="E258" s="498">
        <v>20980</v>
      </c>
      <c r="F258" s="263"/>
      <c r="G258" s="262"/>
    </row>
    <row r="259" spans="1:7">
      <c r="A259" s="261" t="s">
        <v>8</v>
      </c>
      <c r="C259" s="262" t="s">
        <v>1274</v>
      </c>
      <c r="D259" s="497"/>
      <c r="E259" s="498">
        <v>18550</v>
      </c>
      <c r="F259" s="263"/>
      <c r="G259" s="262"/>
    </row>
    <row r="260" spans="1:7">
      <c r="A260" s="261" t="s">
        <v>8</v>
      </c>
      <c r="C260" s="262" t="s">
        <v>1275</v>
      </c>
      <c r="D260" s="497"/>
      <c r="E260" s="498">
        <v>26450</v>
      </c>
      <c r="F260" s="263"/>
      <c r="G260" s="262"/>
    </row>
    <row r="261" spans="1:7">
      <c r="A261" s="261" t="s">
        <v>8</v>
      </c>
      <c r="C261" s="262" t="s">
        <v>1276</v>
      </c>
      <c r="D261" s="497"/>
      <c r="E261" s="498">
        <v>242950</v>
      </c>
      <c r="F261" s="263"/>
      <c r="G261" s="262"/>
    </row>
    <row r="262" spans="1:7">
      <c r="A262" s="261" t="s">
        <v>8</v>
      </c>
      <c r="C262" s="262" t="s">
        <v>1277</v>
      </c>
      <c r="D262" s="497"/>
      <c r="E262" s="498">
        <v>73910</v>
      </c>
      <c r="F262" s="263"/>
      <c r="G262" s="262"/>
    </row>
    <row r="263" spans="1:7">
      <c r="A263" s="261" t="s">
        <v>8</v>
      </c>
      <c r="C263" s="262" t="s">
        <v>1278</v>
      </c>
      <c r="D263" s="497"/>
      <c r="E263" s="498">
        <v>100000</v>
      </c>
      <c r="F263" s="263"/>
      <c r="G263" s="262"/>
    </row>
    <row r="264" spans="1:7">
      <c r="A264" s="261" t="s">
        <v>8</v>
      </c>
      <c r="C264" s="262" t="s">
        <v>1279</v>
      </c>
      <c r="D264" s="497"/>
      <c r="E264" s="497">
        <v>100000</v>
      </c>
      <c r="F264" s="263"/>
      <c r="G264" s="262"/>
    </row>
    <row r="265" spans="1:7">
      <c r="A265" s="261" t="s">
        <v>8</v>
      </c>
      <c r="C265" s="262" t="s">
        <v>1374</v>
      </c>
      <c r="D265" s="497"/>
      <c r="E265" s="498">
        <v>300000</v>
      </c>
      <c r="F265" s="263"/>
      <c r="G265" s="265"/>
    </row>
    <row r="266" spans="1:7">
      <c r="A266" s="261" t="s">
        <v>8</v>
      </c>
      <c r="C266" s="262" t="s">
        <v>1375</v>
      </c>
      <c r="D266" s="497"/>
      <c r="E266" s="498">
        <v>30000</v>
      </c>
      <c r="F266" s="263"/>
      <c r="G266" s="265"/>
    </row>
    <row r="267" spans="1:7">
      <c r="A267" s="261" t="s">
        <v>8</v>
      </c>
      <c r="C267" s="262" t="s">
        <v>1302</v>
      </c>
      <c r="D267" s="497"/>
      <c r="E267" s="498">
        <f>33000+22500+20900+6500+15700</f>
        <v>98600</v>
      </c>
      <c r="F267" s="263"/>
      <c r="G267" s="265"/>
    </row>
    <row r="268" spans="1:7">
      <c r="A268" s="261" t="s">
        <v>8</v>
      </c>
      <c r="C268" s="262" t="s">
        <v>382</v>
      </c>
      <c r="D268" s="497"/>
      <c r="E268" s="498">
        <v>50000</v>
      </c>
      <c r="F268" s="263"/>
      <c r="G268" s="265"/>
    </row>
    <row r="269" spans="1:7">
      <c r="A269" s="261" t="s">
        <v>8</v>
      </c>
      <c r="C269" s="262" t="s">
        <v>1376</v>
      </c>
      <c r="D269" s="497"/>
      <c r="E269" s="498">
        <v>50000</v>
      </c>
      <c r="F269" s="263"/>
      <c r="G269" s="265"/>
    </row>
    <row r="270" spans="1:7">
      <c r="A270" s="261" t="s">
        <v>8</v>
      </c>
      <c r="C270" s="262" t="s">
        <v>1377</v>
      </c>
      <c r="D270" s="497"/>
      <c r="E270" s="498">
        <v>38000</v>
      </c>
      <c r="F270" s="263"/>
      <c r="G270" s="265"/>
    </row>
    <row r="271" spans="1:7">
      <c r="A271" s="261" t="s">
        <v>8</v>
      </c>
      <c r="C271" s="262" t="s">
        <v>1297</v>
      </c>
      <c r="D271" s="497"/>
      <c r="E271" s="498">
        <v>32000</v>
      </c>
      <c r="F271" s="263"/>
      <c r="G271" s="265"/>
    </row>
    <row r="272" spans="1:7">
      <c r="A272" s="261" t="s">
        <v>8</v>
      </c>
      <c r="C272" s="262" t="s">
        <v>1378</v>
      </c>
      <c r="D272" s="497"/>
      <c r="E272" s="498">
        <v>258700</v>
      </c>
      <c r="F272" s="263"/>
      <c r="G272" s="265"/>
    </row>
    <row r="273" spans="1:7">
      <c r="A273" s="261" t="s">
        <v>8</v>
      </c>
      <c r="C273" s="262" t="s">
        <v>1323</v>
      </c>
      <c r="D273" s="497"/>
      <c r="E273" s="498">
        <v>3000</v>
      </c>
      <c r="F273" s="263"/>
      <c r="G273" s="265"/>
    </row>
    <row r="274" spans="1:7">
      <c r="A274" s="261" t="s">
        <v>8</v>
      </c>
      <c r="C274" s="262" t="s">
        <v>1280</v>
      </c>
      <c r="D274" s="497"/>
      <c r="E274" s="498">
        <f>50000+4000+50000+50000+50000</f>
        <v>204000</v>
      </c>
      <c r="F274" s="263"/>
      <c r="G274" s="265"/>
    </row>
    <row r="275" spans="1:7">
      <c r="A275" s="261" t="s">
        <v>8</v>
      </c>
      <c r="C275" s="262" t="s">
        <v>1379</v>
      </c>
      <c r="D275" s="497"/>
      <c r="E275" s="498">
        <v>200000</v>
      </c>
      <c r="F275" s="263"/>
      <c r="G275" s="265"/>
    </row>
    <row r="276" spans="1:7">
      <c r="A276" s="261" t="s">
        <v>8</v>
      </c>
      <c r="C276" s="262" t="s">
        <v>1380</v>
      </c>
      <c r="D276" s="497"/>
      <c r="E276" s="498">
        <v>200000</v>
      </c>
      <c r="F276" s="263"/>
      <c r="G276" s="265"/>
    </row>
    <row r="277" spans="1:7">
      <c r="A277" s="261" t="s">
        <v>8</v>
      </c>
      <c r="C277" s="262" t="s">
        <v>1381</v>
      </c>
      <c r="D277" s="497"/>
      <c r="E277" s="498">
        <v>100000</v>
      </c>
      <c r="F277" s="263"/>
      <c r="G277" s="265"/>
    </row>
    <row r="278" spans="1:7">
      <c r="A278" s="261" t="s">
        <v>8</v>
      </c>
      <c r="C278" s="262" t="s">
        <v>1382</v>
      </c>
      <c r="D278" s="497"/>
      <c r="E278" s="498">
        <v>50000</v>
      </c>
      <c r="F278" s="263"/>
      <c r="G278" s="265"/>
    </row>
    <row r="279" spans="1:7">
      <c r="A279" s="261" t="s">
        <v>8</v>
      </c>
      <c r="C279" s="262" t="s">
        <v>1383</v>
      </c>
      <c r="D279" s="497"/>
      <c r="E279" s="498">
        <v>40000</v>
      </c>
      <c r="F279" s="263"/>
      <c r="G279" s="265"/>
    </row>
    <row r="280" spans="1:7">
      <c r="A280" s="261" t="s">
        <v>8</v>
      </c>
      <c r="C280" s="262" t="s">
        <v>1284</v>
      </c>
      <c r="D280" s="497"/>
      <c r="E280" s="498">
        <f>32810+33780+4600+8560+40510+32160</f>
        <v>152420</v>
      </c>
      <c r="F280" s="263"/>
      <c r="G280" s="265"/>
    </row>
    <row r="281" spans="1:7">
      <c r="A281" s="261" t="s">
        <v>8</v>
      </c>
      <c r="C281" s="262" t="s">
        <v>1384</v>
      </c>
      <c r="D281" s="497"/>
      <c r="E281" s="498">
        <v>35000</v>
      </c>
      <c r="F281" s="263"/>
      <c r="G281" s="265"/>
    </row>
    <row r="282" spans="1:7">
      <c r="A282" s="261" t="s">
        <v>8</v>
      </c>
      <c r="C282" s="262" t="s">
        <v>385</v>
      </c>
      <c r="D282" s="497"/>
      <c r="E282" s="498">
        <v>5400</v>
      </c>
      <c r="F282" s="263"/>
      <c r="G282" s="265"/>
    </row>
    <row r="283" spans="1:7">
      <c r="A283" s="261" t="s">
        <v>8</v>
      </c>
      <c r="C283" s="262" t="s">
        <v>1370</v>
      </c>
      <c r="D283" s="497"/>
      <c r="E283" s="498">
        <v>4000</v>
      </c>
      <c r="F283" s="263"/>
      <c r="G283" s="265"/>
    </row>
    <row r="284" spans="1:7">
      <c r="A284" s="261" t="s">
        <v>8</v>
      </c>
      <c r="C284" s="262" t="s">
        <v>1385</v>
      </c>
      <c r="D284" s="497"/>
      <c r="E284" s="498">
        <v>21000</v>
      </c>
      <c r="F284" s="263"/>
      <c r="G284" s="265"/>
    </row>
    <row r="285" spans="1:7">
      <c r="A285" s="261" t="s">
        <v>8</v>
      </c>
      <c r="C285" s="262" t="s">
        <v>1294</v>
      </c>
      <c r="D285" s="497"/>
      <c r="E285" s="498">
        <v>60000</v>
      </c>
      <c r="F285" s="263"/>
      <c r="G285" s="265"/>
    </row>
    <row r="286" spans="1:7">
      <c r="A286" s="261" t="s">
        <v>8</v>
      </c>
      <c r="C286" s="262" t="s">
        <v>1386</v>
      </c>
      <c r="D286" s="497"/>
      <c r="E286" s="498">
        <v>200</v>
      </c>
      <c r="F286" s="263"/>
      <c r="G286" s="265"/>
    </row>
    <row r="287" spans="1:7">
      <c r="A287" s="261" t="s">
        <v>8</v>
      </c>
      <c r="C287" s="262" t="s">
        <v>1387</v>
      </c>
      <c r="D287" s="497"/>
      <c r="E287" s="498">
        <v>28300</v>
      </c>
      <c r="F287" s="263"/>
      <c r="G287" s="265"/>
    </row>
    <row r="288" spans="1:7">
      <c r="A288" s="261" t="s">
        <v>8</v>
      </c>
      <c r="C288" s="262" t="s">
        <v>1332</v>
      </c>
      <c r="D288" s="497"/>
      <c r="E288" s="498">
        <v>42630</v>
      </c>
      <c r="F288" s="263"/>
      <c r="G288" s="265"/>
    </row>
    <row r="289" spans="1:7">
      <c r="A289" s="261" t="s">
        <v>8</v>
      </c>
      <c r="C289" s="262" t="s">
        <v>1295</v>
      </c>
      <c r="D289" s="497"/>
      <c r="E289" s="498">
        <v>4000</v>
      </c>
      <c r="F289" s="263"/>
      <c r="G289" s="265"/>
    </row>
    <row r="290" spans="1:7">
      <c r="A290" s="261" t="s">
        <v>8</v>
      </c>
      <c r="C290" s="262" t="s">
        <v>1339</v>
      </c>
      <c r="D290" s="497"/>
      <c r="E290" s="498">
        <v>2900</v>
      </c>
      <c r="F290" s="263"/>
      <c r="G290" s="265"/>
    </row>
    <row r="291" spans="1:7">
      <c r="A291" s="261" t="s">
        <v>8</v>
      </c>
      <c r="C291" s="262" t="s">
        <v>1316</v>
      </c>
      <c r="D291" s="497"/>
      <c r="E291" s="498">
        <v>15000</v>
      </c>
      <c r="F291" s="263"/>
      <c r="G291" s="265"/>
    </row>
    <row r="292" spans="1:7">
      <c r="A292" s="261" t="s">
        <v>8</v>
      </c>
      <c r="C292" s="262" t="s">
        <v>1388</v>
      </c>
      <c r="D292" s="497"/>
      <c r="E292" s="498">
        <v>35800</v>
      </c>
      <c r="F292" s="263"/>
      <c r="G292" s="265"/>
    </row>
    <row r="293" spans="1:7">
      <c r="A293" s="261" t="s">
        <v>8</v>
      </c>
      <c r="C293" s="262" t="s">
        <v>1389</v>
      </c>
      <c r="D293" s="498">
        <v>573670</v>
      </c>
      <c r="E293" s="497"/>
      <c r="F293" s="263"/>
      <c r="G293" s="265"/>
    </row>
    <row r="294" spans="1:7">
      <c r="A294" s="261" t="s">
        <v>8</v>
      </c>
      <c r="C294" s="262" t="s">
        <v>1300</v>
      </c>
      <c r="D294" s="498">
        <f>SUM(D253:D293)-SUM(E253:E293)</f>
        <v>1225415</v>
      </c>
      <c r="E294" s="497">
        <f>SUM(E253:E293)-SUM(F253:F293)</f>
        <v>3769200</v>
      </c>
      <c r="F294" s="263"/>
      <c r="G294" s="262"/>
    </row>
    <row r="295" spans="1:7">
      <c r="A295" s="261" t="s">
        <v>8</v>
      </c>
    </row>
    <row r="296" spans="1:7">
      <c r="A296" s="261" t="s">
        <v>8</v>
      </c>
    </row>
    <row r="297" spans="1:7">
      <c r="A297" s="261" t="s">
        <v>8</v>
      </c>
      <c r="B297" s="256" t="s">
        <v>2135</v>
      </c>
      <c r="C297" s="262" t="s">
        <v>1268</v>
      </c>
      <c r="D297" s="498">
        <f>5198345-573670</f>
        <v>4624675</v>
      </c>
      <c r="E297" s="497"/>
      <c r="F297" s="263"/>
      <c r="G297" s="262"/>
    </row>
    <row r="298" spans="1:7">
      <c r="A298" s="261" t="s">
        <v>8</v>
      </c>
      <c r="C298" s="262" t="s">
        <v>1269</v>
      </c>
      <c r="D298" s="497"/>
      <c r="E298" s="498">
        <v>393000</v>
      </c>
      <c r="F298" s="263"/>
      <c r="G298" s="262" t="s">
        <v>2136</v>
      </c>
    </row>
    <row r="299" spans="1:7">
      <c r="A299" s="261" t="s">
        <v>8</v>
      </c>
      <c r="C299" s="262" t="s">
        <v>1270</v>
      </c>
      <c r="D299" s="497"/>
      <c r="E299" s="498">
        <v>568000</v>
      </c>
      <c r="F299" s="263"/>
      <c r="G299" s="262"/>
    </row>
    <row r="300" spans="1:7">
      <c r="A300" s="261" t="s">
        <v>8</v>
      </c>
      <c r="C300" s="262" t="s">
        <v>1271</v>
      </c>
      <c r="D300" s="497"/>
      <c r="E300" s="498">
        <v>206650</v>
      </c>
      <c r="F300" s="263"/>
      <c r="G300" s="264"/>
    </row>
    <row r="301" spans="1:7">
      <c r="A301" s="261" t="s">
        <v>8</v>
      </c>
      <c r="C301" s="262" t="s">
        <v>1272</v>
      </c>
      <c r="D301" s="497"/>
      <c r="E301" s="498">
        <v>9060</v>
      </c>
      <c r="F301" s="263"/>
      <c r="G301" s="262"/>
    </row>
    <row r="302" spans="1:7">
      <c r="A302" s="261" t="s">
        <v>8</v>
      </c>
      <c r="C302" s="262" t="s">
        <v>1273</v>
      </c>
      <c r="D302" s="497"/>
      <c r="E302" s="498">
        <v>20980</v>
      </c>
      <c r="F302" s="263"/>
      <c r="G302" s="262"/>
    </row>
    <row r="303" spans="1:7">
      <c r="A303" s="261" t="s">
        <v>8</v>
      </c>
      <c r="C303" s="262" t="s">
        <v>1274</v>
      </c>
      <c r="D303" s="497"/>
      <c r="E303" s="498">
        <v>18550</v>
      </c>
      <c r="F303" s="263"/>
      <c r="G303" s="262"/>
    </row>
    <row r="304" spans="1:7">
      <c r="A304" s="261" t="s">
        <v>8</v>
      </c>
      <c r="C304" s="262" t="s">
        <v>1275</v>
      </c>
      <c r="D304" s="497"/>
      <c r="E304" s="498">
        <v>26450</v>
      </c>
      <c r="F304" s="263"/>
      <c r="G304" s="262"/>
    </row>
    <row r="305" spans="1:7">
      <c r="A305" s="261" t="s">
        <v>8</v>
      </c>
      <c r="C305" s="262" t="s">
        <v>1276</v>
      </c>
      <c r="D305" s="497"/>
      <c r="E305" s="498">
        <v>293290</v>
      </c>
      <c r="F305" s="263"/>
      <c r="G305" s="262"/>
    </row>
    <row r="306" spans="1:7">
      <c r="A306" s="261" t="s">
        <v>8</v>
      </c>
      <c r="C306" s="262" t="s">
        <v>1277</v>
      </c>
      <c r="D306" s="497"/>
      <c r="E306" s="498">
        <v>47220</v>
      </c>
      <c r="F306" s="263"/>
      <c r="G306" s="262"/>
    </row>
    <row r="307" spans="1:7">
      <c r="A307" s="261" t="s">
        <v>8</v>
      </c>
      <c r="C307" s="262" t="s">
        <v>1278</v>
      </c>
      <c r="D307" s="497"/>
      <c r="E307" s="498">
        <v>100000</v>
      </c>
      <c r="F307" s="263"/>
      <c r="G307" s="262"/>
    </row>
    <row r="308" spans="1:7">
      <c r="A308" s="261" t="s">
        <v>8</v>
      </c>
      <c r="C308" s="262" t="s">
        <v>1279</v>
      </c>
      <c r="D308" s="497"/>
      <c r="E308" s="499">
        <v>100000</v>
      </c>
      <c r="F308" s="263"/>
      <c r="G308" s="262"/>
    </row>
    <row r="309" spans="1:7">
      <c r="A309" s="261" t="s">
        <v>8</v>
      </c>
      <c r="C309" s="262" t="s">
        <v>1332</v>
      </c>
      <c r="D309" s="497"/>
      <c r="E309" s="498">
        <v>42630</v>
      </c>
      <c r="F309" s="263"/>
      <c r="G309" s="265"/>
    </row>
    <row r="310" spans="1:7">
      <c r="A310" s="261" t="s">
        <v>8</v>
      </c>
      <c r="C310" s="262" t="s">
        <v>1316</v>
      </c>
      <c r="D310" s="497"/>
      <c r="E310" s="498">
        <f>20400+16500+17000+30000</f>
        <v>83900</v>
      </c>
      <c r="F310" s="263"/>
      <c r="G310" s="265"/>
    </row>
    <row r="311" spans="1:7">
      <c r="A311" s="261" t="s">
        <v>8</v>
      </c>
      <c r="C311" s="262" t="s">
        <v>1371</v>
      </c>
      <c r="D311" s="497"/>
      <c r="E311" s="498">
        <v>4990</v>
      </c>
      <c r="F311" s="263"/>
      <c r="G311" s="265"/>
    </row>
    <row r="312" spans="1:7">
      <c r="A312" s="261" t="s">
        <v>8</v>
      </c>
      <c r="C312" s="262" t="s">
        <v>1390</v>
      </c>
      <c r="D312" s="497"/>
      <c r="E312" s="498">
        <f>64830+17820+75620+27890-17550+104070</f>
        <v>272680</v>
      </c>
      <c r="F312" s="263"/>
      <c r="G312" s="265"/>
    </row>
    <row r="313" spans="1:7">
      <c r="A313" s="261" t="s">
        <v>8</v>
      </c>
      <c r="C313" s="262" t="s">
        <v>1323</v>
      </c>
      <c r="D313" s="497"/>
      <c r="E313" s="498">
        <v>2400</v>
      </c>
      <c r="F313" s="263"/>
      <c r="G313" s="265"/>
    </row>
    <row r="314" spans="1:7">
      <c r="A314" s="261" t="s">
        <v>8</v>
      </c>
      <c r="C314" s="262" t="s">
        <v>1280</v>
      </c>
      <c r="D314" s="497"/>
      <c r="E314" s="498">
        <f>4000*1+50000*4</f>
        <v>204000</v>
      </c>
      <c r="F314" s="263"/>
      <c r="G314" s="265"/>
    </row>
    <row r="315" spans="1:7">
      <c r="A315" s="261" t="s">
        <v>8</v>
      </c>
      <c r="C315" s="262" t="s">
        <v>1297</v>
      </c>
      <c r="D315" s="497"/>
      <c r="E315" s="498">
        <v>16500</v>
      </c>
      <c r="F315" s="263"/>
      <c r="G315" s="265"/>
    </row>
    <row r="316" spans="1:7">
      <c r="A316" s="261" t="s">
        <v>8</v>
      </c>
      <c r="C316" s="262" t="s">
        <v>1391</v>
      </c>
      <c r="D316" s="497"/>
      <c r="E316" s="498">
        <v>10500</v>
      </c>
      <c r="F316" s="263"/>
      <c r="G316" s="265"/>
    </row>
    <row r="317" spans="1:7">
      <c r="A317" s="261" t="s">
        <v>8</v>
      </c>
      <c r="C317" s="262" t="s">
        <v>1284</v>
      </c>
      <c r="D317" s="497"/>
      <c r="E317" s="498">
        <f>21532+19620+31200+6580</f>
        <v>78932</v>
      </c>
      <c r="F317" s="263"/>
      <c r="G317" s="265"/>
    </row>
    <row r="318" spans="1:7">
      <c r="A318" s="261" t="s">
        <v>8</v>
      </c>
      <c r="C318" s="262" t="s">
        <v>1392</v>
      </c>
      <c r="D318" s="497"/>
      <c r="E318" s="498">
        <v>45000</v>
      </c>
      <c r="F318" s="263"/>
      <c r="G318" s="265"/>
    </row>
    <row r="319" spans="1:7">
      <c r="A319" s="261" t="s">
        <v>8</v>
      </c>
      <c r="C319" s="262" t="s">
        <v>1315</v>
      </c>
      <c r="D319" s="497"/>
      <c r="E319" s="498">
        <v>35000</v>
      </c>
      <c r="F319" s="263"/>
      <c r="G319" s="265"/>
    </row>
    <row r="320" spans="1:7">
      <c r="A320" s="261" t="s">
        <v>8</v>
      </c>
      <c r="C320" s="262" t="s">
        <v>1393</v>
      </c>
      <c r="D320" s="497"/>
      <c r="E320" s="498">
        <v>30000</v>
      </c>
      <c r="F320" s="263"/>
      <c r="G320" s="265"/>
    </row>
    <row r="321" spans="1:7">
      <c r="A321" s="261" t="s">
        <v>8</v>
      </c>
      <c r="C321" s="262" t="s">
        <v>1285</v>
      </c>
      <c r="D321" s="497"/>
      <c r="E321" s="498">
        <v>12450</v>
      </c>
      <c r="F321" s="263"/>
      <c r="G321" s="265"/>
    </row>
    <row r="322" spans="1:7">
      <c r="A322" s="261" t="s">
        <v>8</v>
      </c>
      <c r="C322" s="262" t="s">
        <v>1394</v>
      </c>
      <c r="D322" s="497"/>
      <c r="E322" s="498">
        <v>50000</v>
      </c>
      <c r="F322" s="263"/>
      <c r="G322" s="265"/>
    </row>
    <row r="323" spans="1:7">
      <c r="A323" s="261" t="s">
        <v>8</v>
      </c>
      <c r="C323" s="262" t="s">
        <v>1370</v>
      </c>
      <c r="D323" s="497"/>
      <c r="E323" s="498">
        <v>4000</v>
      </c>
      <c r="F323" s="263"/>
      <c r="G323" s="265"/>
    </row>
    <row r="324" spans="1:7">
      <c r="A324" s="261" t="s">
        <v>8</v>
      </c>
      <c r="C324" s="262" t="s">
        <v>1327</v>
      </c>
      <c r="D324" s="497"/>
      <c r="E324" s="498">
        <v>7500</v>
      </c>
      <c r="F324" s="263"/>
      <c r="G324" s="265"/>
    </row>
    <row r="325" spans="1:7">
      <c r="A325" s="261" t="s">
        <v>8</v>
      </c>
      <c r="C325" s="262" t="s">
        <v>1395</v>
      </c>
      <c r="D325" s="497"/>
      <c r="E325" s="498">
        <v>14000</v>
      </c>
      <c r="F325" s="263"/>
      <c r="G325" s="265"/>
    </row>
    <row r="326" spans="1:7">
      <c r="A326" s="261" t="s">
        <v>8</v>
      </c>
      <c r="C326" s="262" t="s">
        <v>1396</v>
      </c>
      <c r="D326" s="498">
        <v>566</v>
      </c>
      <c r="E326" s="497"/>
      <c r="F326" s="263"/>
      <c r="G326" s="265"/>
    </row>
    <row r="327" spans="1:7">
      <c r="A327" s="261" t="s">
        <v>8</v>
      </c>
      <c r="C327" s="262" t="s">
        <v>1300</v>
      </c>
      <c r="D327" s="497">
        <f>SUM(D297:D326)-SUM(E297:E326)</f>
        <v>1927559</v>
      </c>
      <c r="E327" s="497">
        <f>SUM(E297:E326)-SUM(F297:F326)</f>
        <v>2697682</v>
      </c>
      <c r="F327" s="263"/>
      <c r="G327" s="262"/>
    </row>
    <row r="328" spans="1:7">
      <c r="A328" s="261" t="s">
        <v>8</v>
      </c>
    </row>
    <row r="329" spans="1:7">
      <c r="A329" s="261" t="s">
        <v>8</v>
      </c>
    </row>
    <row r="330" spans="1:7">
      <c r="A330" s="261" t="s">
        <v>8</v>
      </c>
      <c r="B330" s="256" t="s">
        <v>2137</v>
      </c>
      <c r="C330" s="262" t="s">
        <v>1268</v>
      </c>
      <c r="D330" s="498">
        <v>4426795</v>
      </c>
      <c r="E330" s="497"/>
      <c r="F330" s="263"/>
      <c r="G330" s="262"/>
    </row>
    <row r="331" spans="1:7">
      <c r="A331" s="261" t="s">
        <v>8</v>
      </c>
      <c r="C331" s="262" t="s">
        <v>1269</v>
      </c>
      <c r="D331" s="497"/>
      <c r="E331" s="498">
        <v>379500</v>
      </c>
      <c r="F331" s="263"/>
      <c r="G331" s="262" t="s">
        <v>2138</v>
      </c>
    </row>
    <row r="332" spans="1:7">
      <c r="A332" s="261" t="s">
        <v>8</v>
      </c>
      <c r="C332" s="262" t="s">
        <v>1270</v>
      </c>
      <c r="D332" s="497"/>
      <c r="E332" s="498">
        <v>548000</v>
      </c>
      <c r="F332" s="263"/>
      <c r="G332" s="262"/>
    </row>
    <row r="333" spans="1:7">
      <c r="A333" s="261" t="s">
        <v>8</v>
      </c>
      <c r="C333" s="262" t="s">
        <v>1271</v>
      </c>
      <c r="D333" s="497"/>
      <c r="E333" s="498">
        <v>172260</v>
      </c>
      <c r="F333" s="263"/>
      <c r="G333" s="264"/>
    </row>
    <row r="334" spans="1:7">
      <c r="A334" s="261" t="s">
        <v>8</v>
      </c>
      <c r="C334" s="262" t="s">
        <v>1272</v>
      </c>
      <c r="D334" s="497"/>
      <c r="E334" s="498">
        <v>7180</v>
      </c>
      <c r="F334" s="263"/>
      <c r="G334" s="262"/>
    </row>
    <row r="335" spans="1:7">
      <c r="A335" s="261" t="s">
        <v>8</v>
      </c>
      <c r="C335" s="262" t="s">
        <v>1273</v>
      </c>
      <c r="D335" s="497"/>
      <c r="E335" s="498">
        <v>20980</v>
      </c>
      <c r="F335" s="263"/>
      <c r="G335" s="262"/>
    </row>
    <row r="336" spans="1:7">
      <c r="A336" s="261" t="s">
        <v>8</v>
      </c>
      <c r="C336" s="262" t="s">
        <v>1274</v>
      </c>
      <c r="D336" s="497"/>
      <c r="E336" s="498">
        <v>18550</v>
      </c>
      <c r="F336" s="263"/>
      <c r="G336" s="262"/>
    </row>
    <row r="337" spans="1:7">
      <c r="A337" s="261" t="s">
        <v>8</v>
      </c>
      <c r="C337" s="262" t="s">
        <v>1275</v>
      </c>
      <c r="D337" s="497"/>
      <c r="E337" s="498">
        <v>26450</v>
      </c>
      <c r="F337" s="263"/>
      <c r="G337" s="262"/>
    </row>
    <row r="338" spans="1:7">
      <c r="A338" s="261" t="s">
        <v>8</v>
      </c>
      <c r="C338" s="262" t="s">
        <v>1276</v>
      </c>
      <c r="D338" s="497"/>
      <c r="E338" s="498">
        <v>283090</v>
      </c>
      <c r="F338" s="263"/>
      <c r="G338" s="262"/>
    </row>
    <row r="339" spans="1:7">
      <c r="A339" s="261" t="s">
        <v>8</v>
      </c>
      <c r="C339" s="262" t="s">
        <v>1277</v>
      </c>
      <c r="D339" s="497"/>
      <c r="E339" s="498">
        <v>47430</v>
      </c>
      <c r="F339" s="263"/>
      <c r="G339" s="262"/>
    </row>
    <row r="340" spans="1:7">
      <c r="A340" s="261" t="s">
        <v>8</v>
      </c>
      <c r="C340" s="262" t="s">
        <v>1278</v>
      </c>
      <c r="D340" s="497"/>
      <c r="E340" s="498">
        <v>100000</v>
      </c>
      <c r="F340" s="263"/>
      <c r="G340" s="262"/>
    </row>
    <row r="341" spans="1:7">
      <c r="A341" s="261" t="s">
        <v>8</v>
      </c>
      <c r="C341" s="262" t="s">
        <v>1279</v>
      </c>
      <c r="D341" s="497"/>
      <c r="E341" s="499">
        <v>100000</v>
      </c>
      <c r="F341" s="263"/>
      <c r="G341" s="262"/>
    </row>
    <row r="342" spans="1:7">
      <c r="A342" s="261" t="s">
        <v>8</v>
      </c>
      <c r="C342" s="262" t="s">
        <v>1332</v>
      </c>
      <c r="D342" s="497"/>
      <c r="E342" s="498">
        <v>42630</v>
      </c>
      <c r="F342" s="263"/>
      <c r="G342" s="265"/>
    </row>
    <row r="343" spans="1:7">
      <c r="A343" s="261" t="s">
        <v>8</v>
      </c>
      <c r="C343" s="262" t="s">
        <v>1280</v>
      </c>
      <c r="D343" s="497"/>
      <c r="E343" s="498">
        <f>4000+50000*3</f>
        <v>154000</v>
      </c>
      <c r="F343" s="263"/>
      <c r="G343" s="265"/>
    </row>
    <row r="344" spans="1:7">
      <c r="A344" s="261" t="s">
        <v>8</v>
      </c>
      <c r="C344" s="262" t="s">
        <v>1397</v>
      </c>
      <c r="D344" s="497"/>
      <c r="E344" s="498">
        <v>18600</v>
      </c>
      <c r="F344" s="263"/>
      <c r="G344" s="265"/>
    </row>
    <row r="345" spans="1:7">
      <c r="A345" s="261" t="s">
        <v>8</v>
      </c>
      <c r="C345" s="262" t="s">
        <v>1398</v>
      </c>
      <c r="D345" s="497"/>
      <c r="E345" s="498">
        <v>34400</v>
      </c>
      <c r="F345" s="263"/>
      <c r="G345" s="265"/>
    </row>
    <row r="346" spans="1:7">
      <c r="A346" s="261" t="s">
        <v>8</v>
      </c>
      <c r="C346" s="262" t="s">
        <v>1327</v>
      </c>
      <c r="D346" s="497"/>
      <c r="E346" s="498">
        <v>7500</v>
      </c>
      <c r="F346" s="263"/>
      <c r="G346" s="265"/>
    </row>
    <row r="347" spans="1:7">
      <c r="A347" s="261" t="s">
        <v>8</v>
      </c>
      <c r="C347" s="262" t="s">
        <v>1326</v>
      </c>
      <c r="D347" s="497"/>
      <c r="E347" s="498">
        <v>13600</v>
      </c>
      <c r="F347" s="263"/>
      <c r="G347" s="265"/>
    </row>
    <row r="348" spans="1:7">
      <c r="A348" s="261" t="s">
        <v>8</v>
      </c>
      <c r="C348" s="262" t="s">
        <v>1399</v>
      </c>
      <c r="D348" s="497"/>
      <c r="E348" s="498">
        <v>8900</v>
      </c>
      <c r="F348" s="263"/>
      <c r="G348" s="265"/>
    </row>
    <row r="349" spans="1:7">
      <c r="A349" s="261" t="s">
        <v>8</v>
      </c>
      <c r="C349" s="262" t="s">
        <v>1400</v>
      </c>
      <c r="D349" s="497"/>
      <c r="E349" s="498">
        <v>5000</v>
      </c>
      <c r="F349" s="263"/>
      <c r="G349" s="265"/>
    </row>
    <row r="350" spans="1:7">
      <c r="A350" s="261" t="s">
        <v>8</v>
      </c>
      <c r="C350" s="262" t="s">
        <v>1401</v>
      </c>
      <c r="D350" s="497"/>
      <c r="E350" s="498">
        <v>21000</v>
      </c>
      <c r="F350" s="263"/>
      <c r="G350" s="265"/>
    </row>
    <row r="351" spans="1:7">
      <c r="A351" s="261" t="s">
        <v>8</v>
      </c>
      <c r="C351" s="262" t="s">
        <v>1315</v>
      </c>
      <c r="D351" s="497"/>
      <c r="E351" s="498">
        <f>20000+15000</f>
        <v>35000</v>
      </c>
      <c r="F351" s="263"/>
      <c r="G351" s="265"/>
    </row>
    <row r="352" spans="1:7">
      <c r="A352" s="261" t="s">
        <v>8</v>
      </c>
      <c r="C352" s="262" t="s">
        <v>1316</v>
      </c>
      <c r="D352" s="497"/>
      <c r="E352" s="498">
        <v>19000</v>
      </c>
      <c r="F352" s="263"/>
      <c r="G352" s="265"/>
    </row>
    <row r="353" spans="1:7">
      <c r="A353" s="261" t="s">
        <v>8</v>
      </c>
      <c r="C353" s="262" t="s">
        <v>1402</v>
      </c>
      <c r="D353" s="497"/>
      <c r="E353" s="498">
        <v>25000</v>
      </c>
      <c r="F353" s="263"/>
      <c r="G353" s="265"/>
    </row>
    <row r="354" spans="1:7">
      <c r="A354" s="261" t="s">
        <v>8</v>
      </c>
      <c r="C354" s="262" t="s">
        <v>1403</v>
      </c>
      <c r="D354" s="497"/>
      <c r="E354" s="498">
        <v>2300</v>
      </c>
      <c r="F354" s="263"/>
      <c r="G354" s="265"/>
    </row>
    <row r="355" spans="1:7">
      <c r="A355" s="261" t="s">
        <v>8</v>
      </c>
      <c r="C355" s="262" t="s">
        <v>1404</v>
      </c>
      <c r="D355" s="497"/>
      <c r="E355" s="498">
        <v>4500</v>
      </c>
      <c r="F355" s="263"/>
      <c r="G355" s="265"/>
    </row>
    <row r="356" spans="1:7">
      <c r="A356" s="261" t="s">
        <v>8</v>
      </c>
      <c r="C356" s="262" t="s">
        <v>1405</v>
      </c>
      <c r="D356" s="497"/>
      <c r="E356" s="498">
        <v>17000</v>
      </c>
      <c r="F356" s="263"/>
      <c r="G356" s="265"/>
    </row>
    <row r="357" spans="1:7">
      <c r="A357" s="261" t="s">
        <v>8</v>
      </c>
      <c r="C357" s="262" t="s">
        <v>1339</v>
      </c>
      <c r="D357" s="497"/>
      <c r="E357" s="498">
        <v>3200</v>
      </c>
      <c r="F357" s="263"/>
      <c r="G357" s="265"/>
    </row>
    <row r="358" spans="1:7">
      <c r="A358" s="261" t="s">
        <v>8</v>
      </c>
      <c r="C358" s="262" t="s">
        <v>1331</v>
      </c>
      <c r="D358" s="497"/>
      <c r="E358" s="498">
        <v>6900</v>
      </c>
      <c r="F358" s="263"/>
      <c r="G358" s="265"/>
    </row>
    <row r="359" spans="1:7">
      <c r="A359" s="261" t="s">
        <v>8</v>
      </c>
      <c r="C359" s="262" t="s">
        <v>1297</v>
      </c>
      <c r="D359" s="497"/>
      <c r="E359" s="498">
        <v>2000</v>
      </c>
      <c r="F359" s="263"/>
      <c r="G359" s="265"/>
    </row>
    <row r="360" spans="1:7">
      <c r="A360" s="261" t="s">
        <v>8</v>
      </c>
      <c r="C360" s="262" t="s">
        <v>1284</v>
      </c>
      <c r="D360" s="497"/>
      <c r="E360" s="498">
        <f>31240+28547+15680+40770</f>
        <v>116237</v>
      </c>
      <c r="F360" s="263"/>
      <c r="G360" s="265"/>
    </row>
    <row r="361" spans="1:7">
      <c r="A361" s="261" t="s">
        <v>8</v>
      </c>
      <c r="C361" s="262" t="s">
        <v>1406</v>
      </c>
      <c r="D361" s="497"/>
      <c r="E361" s="498">
        <v>2100</v>
      </c>
      <c r="F361" s="263"/>
      <c r="G361" s="265"/>
    </row>
    <row r="362" spans="1:7">
      <c r="A362" s="261" t="s">
        <v>8</v>
      </c>
      <c r="C362" s="262" t="s">
        <v>1407</v>
      </c>
      <c r="D362" s="497"/>
      <c r="E362" s="498">
        <v>73000</v>
      </c>
      <c r="F362" s="263"/>
      <c r="G362" s="265"/>
    </row>
    <row r="363" spans="1:7">
      <c r="A363" s="261" t="s">
        <v>8</v>
      </c>
      <c r="C363" s="262" t="s">
        <v>1367</v>
      </c>
      <c r="D363" s="497"/>
      <c r="E363" s="498">
        <v>7500</v>
      </c>
      <c r="F363" s="263"/>
      <c r="G363" s="265"/>
    </row>
    <row r="364" spans="1:7">
      <c r="A364" s="261" t="s">
        <v>8</v>
      </c>
      <c r="C364" s="262" t="s">
        <v>1408</v>
      </c>
      <c r="D364" s="497"/>
      <c r="E364" s="498">
        <v>1200</v>
      </c>
      <c r="F364" s="263"/>
      <c r="G364" s="265"/>
    </row>
    <row r="365" spans="1:7">
      <c r="A365" s="261" t="s">
        <v>8</v>
      </c>
      <c r="C365" s="262" t="s">
        <v>1409</v>
      </c>
      <c r="D365" s="497"/>
      <c r="E365" s="498">
        <v>59000</v>
      </c>
      <c r="F365" s="263"/>
      <c r="G365" s="265"/>
    </row>
    <row r="366" spans="1:7">
      <c r="A366" s="261" t="s">
        <v>8</v>
      </c>
      <c r="C366" s="262" t="s">
        <v>1410</v>
      </c>
      <c r="D366" s="497"/>
      <c r="E366" s="498">
        <v>13900</v>
      </c>
      <c r="F366" s="263"/>
      <c r="G366" s="265"/>
    </row>
    <row r="367" spans="1:7">
      <c r="A367" s="261" t="s">
        <v>8</v>
      </c>
      <c r="C367" s="262" t="s">
        <v>1290</v>
      </c>
      <c r="D367" s="497"/>
      <c r="E367" s="498">
        <v>50000</v>
      </c>
      <c r="F367" s="263"/>
      <c r="G367" s="265"/>
    </row>
    <row r="368" spans="1:7">
      <c r="A368" s="261" t="s">
        <v>8</v>
      </c>
      <c r="C368" s="262" t="s">
        <v>1411</v>
      </c>
      <c r="D368" s="497"/>
      <c r="E368" s="498">
        <v>50000</v>
      </c>
      <c r="F368" s="263"/>
      <c r="G368" s="265"/>
    </row>
    <row r="369" spans="1:7">
      <c r="A369" s="261" t="s">
        <v>8</v>
      </c>
      <c r="C369" s="262" t="s">
        <v>1412</v>
      </c>
      <c r="D369" s="497"/>
      <c r="E369" s="498">
        <v>7000</v>
      </c>
      <c r="F369" s="263"/>
      <c r="G369" s="265"/>
    </row>
    <row r="370" spans="1:7">
      <c r="A370" s="261" t="s">
        <v>8</v>
      </c>
      <c r="C370" s="262" t="s">
        <v>1302</v>
      </c>
      <c r="D370" s="497"/>
      <c r="E370" s="498">
        <v>18000</v>
      </c>
      <c r="F370" s="263"/>
      <c r="G370" s="265"/>
    </row>
    <row r="371" spans="1:7">
      <c r="A371" s="261" t="s">
        <v>8</v>
      </c>
      <c r="C371" s="262" t="s">
        <v>1413</v>
      </c>
      <c r="D371" s="497"/>
      <c r="E371" s="498">
        <v>1000000</v>
      </c>
      <c r="F371" s="263"/>
      <c r="G371" s="265"/>
    </row>
    <row r="372" spans="1:7">
      <c r="A372" s="261" t="s">
        <v>8</v>
      </c>
      <c r="C372" s="262" t="s">
        <v>1300</v>
      </c>
      <c r="D372" s="497">
        <f>SUM(D330:D371)-SUM(E330:E371)</f>
        <v>904888</v>
      </c>
      <c r="E372" s="497">
        <f>SUM(E330:E371)-SUM(F330:F371)</f>
        <v>3521907</v>
      </c>
      <c r="F372" s="263"/>
      <c r="G372" s="262"/>
    </row>
    <row r="373" spans="1:7">
      <c r="A373" s="261" t="s">
        <v>8</v>
      </c>
    </row>
    <row r="374" spans="1:7">
      <c r="A374" s="261" t="s">
        <v>8</v>
      </c>
    </row>
    <row r="375" spans="1:7">
      <c r="A375" s="261" t="s">
        <v>8</v>
      </c>
      <c r="B375" s="256" t="s">
        <v>2139</v>
      </c>
      <c r="C375" s="262" t="s">
        <v>1268</v>
      </c>
      <c r="D375" s="498">
        <v>5163647</v>
      </c>
      <c r="E375" s="497"/>
      <c r="F375" s="263"/>
      <c r="G375" s="262"/>
    </row>
    <row r="376" spans="1:7">
      <c r="A376" s="261" t="s">
        <v>8</v>
      </c>
      <c r="C376" s="262" t="s">
        <v>1269</v>
      </c>
      <c r="D376" s="497"/>
      <c r="E376" s="498">
        <v>411000</v>
      </c>
      <c r="F376" s="263"/>
      <c r="G376" s="262" t="s">
        <v>2140</v>
      </c>
    </row>
    <row r="377" spans="1:7">
      <c r="A377" s="261" t="s">
        <v>8</v>
      </c>
      <c r="C377" s="262" t="s">
        <v>1270</v>
      </c>
      <c r="D377" s="497"/>
      <c r="E377" s="498">
        <v>646000</v>
      </c>
      <c r="F377" s="263"/>
      <c r="G377" s="262"/>
    </row>
    <row r="378" spans="1:7">
      <c r="A378" s="261" t="s">
        <v>8</v>
      </c>
      <c r="C378" s="262" t="s">
        <v>1271</v>
      </c>
      <c r="D378" s="497"/>
      <c r="E378" s="498">
        <v>171460</v>
      </c>
      <c r="F378" s="263"/>
      <c r="G378" s="264"/>
    </row>
    <row r="379" spans="1:7">
      <c r="A379" s="261" t="s">
        <v>8</v>
      </c>
      <c r="C379" s="262" t="s">
        <v>1272</v>
      </c>
      <c r="D379" s="497"/>
      <c r="E379" s="498">
        <v>7180</v>
      </c>
      <c r="F379" s="263"/>
      <c r="G379" s="262"/>
    </row>
    <row r="380" spans="1:7">
      <c r="A380" s="261" t="s">
        <v>8</v>
      </c>
      <c r="C380" s="262" t="s">
        <v>1273</v>
      </c>
      <c r="D380" s="497"/>
      <c r="E380" s="498">
        <v>20980</v>
      </c>
      <c r="F380" s="263"/>
      <c r="G380" s="262"/>
    </row>
    <row r="381" spans="1:7">
      <c r="A381" s="261" t="s">
        <v>8</v>
      </c>
      <c r="C381" s="262" t="s">
        <v>1274</v>
      </c>
      <c r="D381" s="497"/>
      <c r="E381" s="498">
        <v>18550</v>
      </c>
      <c r="F381" s="263"/>
      <c r="G381" s="262"/>
    </row>
    <row r="382" spans="1:7">
      <c r="A382" s="261" t="s">
        <v>8</v>
      </c>
      <c r="C382" s="262" t="s">
        <v>1275</v>
      </c>
      <c r="D382" s="497"/>
      <c r="E382" s="498">
        <v>26450</v>
      </c>
      <c r="F382" s="263"/>
      <c r="G382" s="262"/>
    </row>
    <row r="383" spans="1:7">
      <c r="A383" s="261" t="s">
        <v>8</v>
      </c>
      <c r="C383" s="262" t="s">
        <v>1276</v>
      </c>
      <c r="D383" s="497"/>
      <c r="E383" s="498">
        <v>292180</v>
      </c>
      <c r="F383" s="263"/>
      <c r="G383" s="262"/>
    </row>
    <row r="384" spans="1:7">
      <c r="A384" s="261" t="s">
        <v>8</v>
      </c>
      <c r="C384" s="262" t="s">
        <v>1277</v>
      </c>
      <c r="D384" s="497"/>
      <c r="E384" s="498">
        <v>28710</v>
      </c>
      <c r="F384" s="263"/>
      <c r="G384" s="262"/>
    </row>
    <row r="385" spans="1:7">
      <c r="A385" s="261" t="s">
        <v>8</v>
      </c>
      <c r="C385" s="262" t="s">
        <v>1278</v>
      </c>
      <c r="D385" s="497"/>
      <c r="E385" s="498">
        <v>100000</v>
      </c>
      <c r="F385" s="263"/>
      <c r="G385" s="262"/>
    </row>
    <row r="386" spans="1:7">
      <c r="A386" s="261" t="s">
        <v>8</v>
      </c>
      <c r="C386" s="262" t="s">
        <v>1279</v>
      </c>
      <c r="D386" s="497"/>
      <c r="E386" s="499">
        <v>100000</v>
      </c>
      <c r="F386" s="263"/>
      <c r="G386" s="262"/>
    </row>
    <row r="387" spans="1:7">
      <c r="A387" s="261" t="s">
        <v>8</v>
      </c>
      <c r="C387" s="262" t="s">
        <v>1332</v>
      </c>
      <c r="D387" s="497"/>
      <c r="E387" s="498">
        <v>42630</v>
      </c>
      <c r="F387" s="263"/>
      <c r="G387" s="265"/>
    </row>
    <row r="388" spans="1:7">
      <c r="A388" s="261" t="s">
        <v>8</v>
      </c>
      <c r="C388" s="262" t="s">
        <v>1280</v>
      </c>
      <c r="D388" s="497"/>
      <c r="E388" s="498">
        <f>5000+50000*6</f>
        <v>305000</v>
      </c>
      <c r="F388" s="263"/>
      <c r="G388" s="265"/>
    </row>
    <row r="389" spans="1:7">
      <c r="A389" s="261" t="s">
        <v>8</v>
      </c>
      <c r="C389" s="262" t="s">
        <v>1302</v>
      </c>
      <c r="D389" s="497"/>
      <c r="E389" s="498">
        <v>30800</v>
      </c>
      <c r="F389" s="263"/>
      <c r="G389" s="265"/>
    </row>
    <row r="390" spans="1:7">
      <c r="A390" s="261" t="s">
        <v>8</v>
      </c>
      <c r="C390" s="262" t="s">
        <v>1284</v>
      </c>
      <c r="D390" s="497"/>
      <c r="E390" s="498">
        <f>45020+21490+8330+11110+5600</f>
        <v>91550</v>
      </c>
      <c r="F390" s="263"/>
      <c r="G390" s="265"/>
    </row>
    <row r="391" spans="1:7">
      <c r="A391" s="261" t="s">
        <v>8</v>
      </c>
      <c r="C391" s="262" t="s">
        <v>385</v>
      </c>
      <c r="D391" s="497"/>
      <c r="E391" s="498">
        <v>20500</v>
      </c>
      <c r="F391" s="263"/>
      <c r="G391" s="265"/>
    </row>
    <row r="392" spans="1:7">
      <c r="A392" s="261" t="s">
        <v>8</v>
      </c>
      <c r="C392" s="262" t="s">
        <v>1315</v>
      </c>
      <c r="D392" s="497"/>
      <c r="E392" s="498">
        <v>60000</v>
      </c>
      <c r="F392" s="263"/>
      <c r="G392" s="265"/>
    </row>
    <row r="393" spans="1:7">
      <c r="A393" s="261" t="s">
        <v>8</v>
      </c>
      <c r="C393" s="262" t="s">
        <v>1339</v>
      </c>
      <c r="D393" s="497"/>
      <c r="E393" s="498">
        <v>33300</v>
      </c>
      <c r="F393" s="263"/>
      <c r="G393" s="265"/>
    </row>
    <row r="394" spans="1:7">
      <c r="A394" s="261" t="s">
        <v>8</v>
      </c>
      <c r="C394" s="262" t="s">
        <v>1414</v>
      </c>
      <c r="D394" s="497"/>
      <c r="E394" s="498">
        <v>51000</v>
      </c>
      <c r="F394" s="263"/>
      <c r="G394" s="265"/>
    </row>
    <row r="395" spans="1:7">
      <c r="A395" s="261" t="s">
        <v>8</v>
      </c>
      <c r="C395" s="262" t="s">
        <v>1415</v>
      </c>
      <c r="D395" s="497"/>
      <c r="E395" s="498">
        <v>81430</v>
      </c>
      <c r="F395" s="263"/>
      <c r="G395" s="265"/>
    </row>
    <row r="396" spans="1:7">
      <c r="A396" s="261" t="s">
        <v>8</v>
      </c>
      <c r="C396" s="262" t="s">
        <v>1416</v>
      </c>
      <c r="D396" s="497"/>
      <c r="E396" s="498">
        <v>39000</v>
      </c>
      <c r="F396" s="263"/>
      <c r="G396" s="265"/>
    </row>
    <row r="397" spans="1:7">
      <c r="A397" s="261" t="s">
        <v>8</v>
      </c>
      <c r="C397" s="262" t="s">
        <v>1417</v>
      </c>
      <c r="D397" s="497"/>
      <c r="E397" s="498">
        <v>5000</v>
      </c>
      <c r="F397" s="263"/>
      <c r="G397" s="265"/>
    </row>
    <row r="398" spans="1:7">
      <c r="A398" s="261" t="s">
        <v>8</v>
      </c>
      <c r="C398" s="262" t="s">
        <v>1418</v>
      </c>
      <c r="D398" s="497"/>
      <c r="E398" s="498">
        <v>47300</v>
      </c>
      <c r="F398" s="263"/>
      <c r="G398" s="265"/>
    </row>
    <row r="399" spans="1:7">
      <c r="A399" s="261" t="s">
        <v>8</v>
      </c>
      <c r="C399" s="262" t="s">
        <v>1419</v>
      </c>
      <c r="D399" s="497"/>
      <c r="E399" s="498">
        <v>8500</v>
      </c>
      <c r="F399" s="263"/>
      <c r="G399" s="265"/>
    </row>
    <row r="400" spans="1:7">
      <c r="A400" s="261" t="s">
        <v>8</v>
      </c>
      <c r="C400" s="262" t="s">
        <v>1302</v>
      </c>
      <c r="D400" s="497"/>
      <c r="E400" s="498">
        <v>44500</v>
      </c>
      <c r="F400" s="263"/>
      <c r="G400" s="265"/>
    </row>
    <row r="401" spans="1:7">
      <c r="A401" s="261" t="s">
        <v>8</v>
      </c>
      <c r="C401" s="262" t="s">
        <v>1420</v>
      </c>
      <c r="D401" s="497"/>
      <c r="E401" s="498">
        <v>1000</v>
      </c>
      <c r="F401" s="263"/>
      <c r="G401" s="265"/>
    </row>
    <row r="402" spans="1:7">
      <c r="A402" s="261" t="s">
        <v>8</v>
      </c>
      <c r="C402" s="262" t="s">
        <v>1341</v>
      </c>
      <c r="D402" s="497"/>
      <c r="E402" s="498">
        <v>3200</v>
      </c>
      <c r="F402" s="263"/>
      <c r="G402" s="265"/>
    </row>
    <row r="403" spans="1:7">
      <c r="A403" s="261" t="s">
        <v>8</v>
      </c>
      <c r="C403" s="262" t="s">
        <v>1338</v>
      </c>
      <c r="D403" s="497"/>
      <c r="E403" s="498">
        <v>2300</v>
      </c>
      <c r="F403" s="263"/>
      <c r="G403" s="265"/>
    </row>
    <row r="404" spans="1:7">
      <c r="A404" s="261" t="s">
        <v>8</v>
      </c>
      <c r="C404" s="262" t="s">
        <v>1421</v>
      </c>
      <c r="D404" s="497"/>
      <c r="E404" s="498">
        <v>69000</v>
      </c>
      <c r="F404" s="263"/>
      <c r="G404" s="265"/>
    </row>
    <row r="405" spans="1:7">
      <c r="A405" s="261" t="s">
        <v>8</v>
      </c>
      <c r="C405" s="262" t="s">
        <v>1422</v>
      </c>
      <c r="D405" s="497"/>
      <c r="E405" s="498">
        <v>48000</v>
      </c>
      <c r="F405" s="263"/>
      <c r="G405" s="265"/>
    </row>
    <row r="406" spans="1:7">
      <c r="A406" s="261" t="s">
        <v>8</v>
      </c>
      <c r="C406" s="262" t="s">
        <v>1423</v>
      </c>
      <c r="D406" s="497"/>
      <c r="E406" s="498">
        <v>8500</v>
      </c>
      <c r="F406" s="263"/>
      <c r="G406" s="265"/>
    </row>
    <row r="407" spans="1:7">
      <c r="A407" s="261" t="s">
        <v>8</v>
      </c>
      <c r="C407" s="262" t="s">
        <v>1424</v>
      </c>
      <c r="D407" s="497"/>
      <c r="E407" s="498">
        <v>300000</v>
      </c>
      <c r="F407" s="263"/>
      <c r="G407" s="265"/>
    </row>
    <row r="408" spans="1:7">
      <c r="A408" s="261" t="s">
        <v>8</v>
      </c>
      <c r="C408" s="262" t="s">
        <v>1425</v>
      </c>
      <c r="D408" s="497"/>
      <c r="E408" s="498">
        <v>300000</v>
      </c>
      <c r="F408" s="263"/>
      <c r="G408" s="265"/>
    </row>
    <row r="409" spans="1:7">
      <c r="A409" s="261" t="s">
        <v>8</v>
      </c>
      <c r="C409" s="262" t="s">
        <v>1426</v>
      </c>
      <c r="D409" s="497"/>
      <c r="E409" s="498">
        <v>15000</v>
      </c>
      <c r="F409" s="263"/>
      <c r="G409" s="265"/>
    </row>
    <row r="410" spans="1:7">
      <c r="A410" s="261" t="s">
        <v>8</v>
      </c>
      <c r="C410" s="262" t="s">
        <v>1427</v>
      </c>
      <c r="D410" s="497"/>
      <c r="E410" s="498">
        <v>1000000</v>
      </c>
      <c r="F410" s="263"/>
      <c r="G410" s="265"/>
    </row>
    <row r="411" spans="1:7">
      <c r="A411" s="261" t="s">
        <v>8</v>
      </c>
      <c r="C411" s="262" t="s">
        <v>1428</v>
      </c>
      <c r="D411" s="497"/>
      <c r="E411" s="498">
        <v>109000</v>
      </c>
      <c r="F411" s="263"/>
      <c r="G411" s="265"/>
    </row>
    <row r="412" spans="1:7">
      <c r="A412" s="261" t="s">
        <v>8</v>
      </c>
      <c r="C412" s="262" t="s">
        <v>1429</v>
      </c>
      <c r="D412" s="497"/>
      <c r="E412" s="498">
        <v>74700</v>
      </c>
      <c r="F412" s="263"/>
      <c r="G412" s="265"/>
    </row>
    <row r="413" spans="1:7">
      <c r="A413" s="261" t="s">
        <v>8</v>
      </c>
      <c r="C413" s="262" t="s">
        <v>1430</v>
      </c>
      <c r="D413" s="497"/>
      <c r="E413" s="498">
        <v>54000</v>
      </c>
      <c r="F413" s="263"/>
      <c r="G413" s="265"/>
    </row>
    <row r="414" spans="1:7">
      <c r="A414" s="261" t="s">
        <v>8</v>
      </c>
      <c r="C414" s="262" t="s">
        <v>1431</v>
      </c>
      <c r="D414" s="497"/>
      <c r="E414" s="498">
        <v>17900</v>
      </c>
      <c r="F414" s="263"/>
      <c r="G414" s="265"/>
    </row>
    <row r="415" spans="1:7">
      <c r="A415" s="261" t="s">
        <v>8</v>
      </c>
      <c r="C415" s="262" t="s">
        <v>1432</v>
      </c>
      <c r="D415" s="497"/>
      <c r="E415" s="498">
        <v>150000</v>
      </c>
      <c r="F415" s="263"/>
      <c r="G415" s="265"/>
    </row>
    <row r="416" spans="1:7">
      <c r="A416" s="261" t="s">
        <v>8</v>
      </c>
      <c r="C416" s="262" t="s">
        <v>1289</v>
      </c>
      <c r="D416" s="497"/>
      <c r="E416" s="498">
        <v>10600</v>
      </c>
      <c r="F416" s="263"/>
      <c r="G416" s="265"/>
    </row>
    <row r="417" spans="1:7">
      <c r="A417" s="261" t="s">
        <v>8</v>
      </c>
      <c r="C417" s="262" t="s">
        <v>1433</v>
      </c>
      <c r="D417" s="497"/>
      <c r="E417" s="498">
        <v>3000</v>
      </c>
      <c r="F417" s="263"/>
      <c r="G417" s="265"/>
    </row>
    <row r="418" spans="1:7">
      <c r="A418" s="261" t="s">
        <v>8</v>
      </c>
      <c r="C418" s="262" t="s">
        <v>1287</v>
      </c>
      <c r="D418" s="497"/>
      <c r="E418" s="498">
        <v>24000</v>
      </c>
      <c r="F418" s="263"/>
      <c r="G418" s="265"/>
    </row>
    <row r="419" spans="1:7">
      <c r="A419" s="261" t="s">
        <v>8</v>
      </c>
      <c r="C419" s="262" t="s">
        <v>1434</v>
      </c>
      <c r="D419" s="497"/>
      <c r="E419" s="498">
        <v>8200</v>
      </c>
      <c r="F419" s="263"/>
      <c r="G419" s="265"/>
    </row>
    <row r="420" spans="1:7">
      <c r="A420" s="261" t="s">
        <v>8</v>
      </c>
      <c r="C420" s="262" t="s">
        <v>1326</v>
      </c>
      <c r="D420" s="497"/>
      <c r="E420" s="498">
        <v>22000</v>
      </c>
      <c r="F420" s="263"/>
      <c r="G420" s="265"/>
    </row>
    <row r="421" spans="1:7">
      <c r="A421" s="261" t="s">
        <v>8</v>
      </c>
      <c r="C421" s="262" t="s">
        <v>1435</v>
      </c>
      <c r="D421" s="497"/>
      <c r="E421" s="498">
        <v>24900</v>
      </c>
      <c r="F421" s="263"/>
      <c r="G421" s="265"/>
    </row>
    <row r="422" spans="1:7">
      <c r="A422" s="261" t="s">
        <v>8</v>
      </c>
      <c r="C422" s="262" t="s">
        <v>1413</v>
      </c>
      <c r="D422" s="497"/>
      <c r="E422" s="498">
        <v>1000000</v>
      </c>
      <c r="F422" s="263"/>
      <c r="G422" s="265"/>
    </row>
    <row r="423" spans="1:7">
      <c r="A423" s="261" t="s">
        <v>8</v>
      </c>
      <c r="C423" s="262" t="s">
        <v>1300</v>
      </c>
      <c r="D423" s="497">
        <f>SUM(D375:D422)-SUM(E375:E422)</f>
        <v>-764673</v>
      </c>
      <c r="E423" s="497">
        <f>SUM(E375:E422)-SUM(F375:F422)</f>
        <v>5928320</v>
      </c>
      <c r="F423" s="263"/>
      <c r="G423" s="262"/>
    </row>
    <row r="424" spans="1:7">
      <c r="A424" s="261" t="s">
        <v>8</v>
      </c>
    </row>
    <row r="425" spans="1:7">
      <c r="A425" s="261" t="s">
        <v>8</v>
      </c>
    </row>
    <row r="426" spans="1:7">
      <c r="A426" s="261" t="s">
        <v>8</v>
      </c>
      <c r="B426" s="256" t="s">
        <v>2141</v>
      </c>
      <c r="C426" s="262" t="s">
        <v>1268</v>
      </c>
      <c r="D426" s="498">
        <v>4607930</v>
      </c>
      <c r="E426" s="497"/>
      <c r="F426" s="263"/>
      <c r="G426" s="262"/>
    </row>
    <row r="427" spans="1:7">
      <c r="A427" s="261" t="s">
        <v>8</v>
      </c>
      <c r="C427" s="262" t="s">
        <v>1269</v>
      </c>
      <c r="D427" s="497"/>
      <c r="E427" s="498">
        <f>384000-27600</f>
        <v>356400</v>
      </c>
      <c r="F427" s="263"/>
      <c r="G427" s="262" t="s">
        <v>2142</v>
      </c>
    </row>
    <row r="428" spans="1:7">
      <c r="A428" s="261" t="s">
        <v>8</v>
      </c>
      <c r="C428" s="262" t="s">
        <v>1270</v>
      </c>
      <c r="D428" s="497"/>
      <c r="E428" s="498">
        <v>592000</v>
      </c>
      <c r="F428" s="263"/>
      <c r="G428" s="262"/>
    </row>
    <row r="429" spans="1:7">
      <c r="A429" s="261" t="s">
        <v>8</v>
      </c>
      <c r="C429" s="262" t="s">
        <v>1271</v>
      </c>
      <c r="D429" s="497"/>
      <c r="E429" s="498">
        <v>170560</v>
      </c>
      <c r="F429" s="263"/>
      <c r="G429" s="264"/>
    </row>
    <row r="430" spans="1:7">
      <c r="A430" s="261" t="s">
        <v>8</v>
      </c>
      <c r="C430" s="262" t="s">
        <v>1272</v>
      </c>
      <c r="D430" s="497"/>
      <c r="E430" s="498">
        <v>7180</v>
      </c>
      <c r="F430" s="263"/>
      <c r="G430" s="262"/>
    </row>
    <row r="431" spans="1:7">
      <c r="A431" s="261" t="s">
        <v>8</v>
      </c>
      <c r="C431" s="262" t="s">
        <v>1273</v>
      </c>
      <c r="D431" s="497"/>
      <c r="E431" s="498">
        <v>20980</v>
      </c>
      <c r="F431" s="263"/>
      <c r="G431" s="262"/>
    </row>
    <row r="432" spans="1:7">
      <c r="A432" s="261" t="s">
        <v>8</v>
      </c>
      <c r="C432" s="262" t="s">
        <v>1274</v>
      </c>
      <c r="D432" s="497"/>
      <c r="E432" s="498">
        <v>18550</v>
      </c>
      <c r="F432" s="263"/>
      <c r="G432" s="262"/>
    </row>
    <row r="433" spans="1:7">
      <c r="A433" s="261" t="s">
        <v>8</v>
      </c>
      <c r="C433" s="262" t="s">
        <v>1275</v>
      </c>
      <c r="D433" s="497"/>
      <c r="E433" s="498">
        <v>26450</v>
      </c>
      <c r="F433" s="263"/>
      <c r="G433" s="262"/>
    </row>
    <row r="434" spans="1:7">
      <c r="A434" s="261" t="s">
        <v>8</v>
      </c>
      <c r="C434" s="262" t="s">
        <v>1276</v>
      </c>
      <c r="D434" s="497"/>
      <c r="E434" s="498">
        <v>290130</v>
      </c>
      <c r="F434" s="263"/>
      <c r="G434" s="262"/>
    </row>
    <row r="435" spans="1:7">
      <c r="A435" s="261" t="s">
        <v>8</v>
      </c>
      <c r="C435" s="262" t="s">
        <v>1277</v>
      </c>
      <c r="D435" s="497"/>
      <c r="E435" s="498">
        <v>17740</v>
      </c>
      <c r="F435" s="263"/>
      <c r="G435" s="262"/>
    </row>
    <row r="436" spans="1:7">
      <c r="A436" s="261" t="s">
        <v>8</v>
      </c>
      <c r="C436" s="262" t="s">
        <v>1278</v>
      </c>
      <c r="D436" s="497"/>
      <c r="E436" s="498">
        <v>100000</v>
      </c>
      <c r="F436" s="263"/>
      <c r="G436" s="262"/>
    </row>
    <row r="437" spans="1:7">
      <c r="A437" s="261" t="s">
        <v>8</v>
      </c>
      <c r="C437" s="262" t="s">
        <v>1279</v>
      </c>
      <c r="D437" s="497"/>
      <c r="E437" s="499">
        <v>100000</v>
      </c>
      <c r="F437" s="263"/>
      <c r="G437" s="262"/>
    </row>
    <row r="438" spans="1:7">
      <c r="A438" s="261" t="s">
        <v>8</v>
      </c>
      <c r="C438" s="262" t="s">
        <v>1332</v>
      </c>
      <c r="D438" s="497"/>
      <c r="E438" s="498">
        <v>42630</v>
      </c>
      <c r="F438" s="263"/>
      <c r="G438" s="265"/>
    </row>
    <row r="439" spans="1:7">
      <c r="A439" s="261" t="s">
        <v>8</v>
      </c>
      <c r="C439" s="262" t="s">
        <v>1280</v>
      </c>
      <c r="D439" s="497"/>
      <c r="E439" s="498">
        <f>5000+50000*6</f>
        <v>305000</v>
      </c>
      <c r="F439" s="263"/>
      <c r="G439" s="265"/>
    </row>
    <row r="440" spans="1:7">
      <c r="A440" s="261" t="s">
        <v>8</v>
      </c>
      <c r="C440" s="262" t="s">
        <v>1436</v>
      </c>
      <c r="D440" s="497"/>
      <c r="E440" s="498">
        <v>72100</v>
      </c>
      <c r="F440" s="263"/>
      <c r="G440" s="265"/>
    </row>
    <row r="441" spans="1:7">
      <c r="A441" s="261" t="s">
        <v>8</v>
      </c>
      <c r="C441" s="262" t="s">
        <v>1437</v>
      </c>
      <c r="D441" s="497"/>
      <c r="E441" s="498">
        <v>10000</v>
      </c>
      <c r="F441" s="263"/>
      <c r="G441" s="265"/>
    </row>
    <row r="442" spans="1:7">
      <c r="A442" s="261" t="s">
        <v>8</v>
      </c>
      <c r="C442" s="262" t="s">
        <v>1438</v>
      </c>
      <c r="D442" s="497"/>
      <c r="E442" s="498">
        <v>38000</v>
      </c>
      <c r="F442" s="263"/>
      <c r="G442" s="265"/>
    </row>
    <row r="443" spans="1:7">
      <c r="A443" s="261" t="s">
        <v>8</v>
      </c>
      <c r="C443" s="262" t="s">
        <v>1284</v>
      </c>
      <c r="D443" s="497"/>
      <c r="E443" s="498">
        <f>24400+15030+26880</f>
        <v>66310</v>
      </c>
      <c r="F443" s="263"/>
      <c r="G443" s="265"/>
    </row>
    <row r="444" spans="1:7">
      <c r="A444" s="261" t="s">
        <v>8</v>
      </c>
      <c r="C444" s="262" t="s">
        <v>1439</v>
      </c>
      <c r="D444" s="497"/>
      <c r="E444" s="498">
        <f>19500+20500</f>
        <v>40000</v>
      </c>
      <c r="F444" s="263"/>
      <c r="G444" s="265"/>
    </row>
    <row r="445" spans="1:7">
      <c r="A445" s="261" t="s">
        <v>8</v>
      </c>
      <c r="C445" s="262" t="s">
        <v>1440</v>
      </c>
      <c r="D445" s="497"/>
      <c r="E445" s="498">
        <v>4000</v>
      </c>
      <c r="F445" s="263"/>
      <c r="G445" s="265"/>
    </row>
    <row r="446" spans="1:7">
      <c r="A446" s="261" t="s">
        <v>8</v>
      </c>
      <c r="C446" s="262" t="s">
        <v>1327</v>
      </c>
      <c r="D446" s="497"/>
      <c r="E446" s="498">
        <v>7500</v>
      </c>
      <c r="F446" s="263"/>
      <c r="G446" s="265"/>
    </row>
    <row r="447" spans="1:7">
      <c r="A447" s="261" t="s">
        <v>8</v>
      </c>
      <c r="C447" s="262" t="s">
        <v>1315</v>
      </c>
      <c r="D447" s="497"/>
      <c r="E447" s="498">
        <v>30000</v>
      </c>
      <c r="F447" s="263"/>
      <c r="G447" s="265"/>
    </row>
    <row r="448" spans="1:7">
      <c r="A448" s="261" t="s">
        <v>8</v>
      </c>
      <c r="C448" s="262" t="s">
        <v>1441</v>
      </c>
      <c r="D448" s="497"/>
      <c r="E448" s="498">
        <v>13800</v>
      </c>
      <c r="F448" s="263"/>
      <c r="G448" s="265"/>
    </row>
    <row r="449" spans="1:7">
      <c r="A449" s="261" t="s">
        <v>8</v>
      </c>
      <c r="C449" s="262" t="s">
        <v>1442</v>
      </c>
      <c r="D449" s="497"/>
      <c r="E449" s="498">
        <v>184670</v>
      </c>
      <c r="F449" s="263"/>
      <c r="G449" s="265"/>
    </row>
    <row r="450" spans="1:7">
      <c r="A450" s="261" t="s">
        <v>8</v>
      </c>
      <c r="C450" s="262" t="s">
        <v>1443</v>
      </c>
      <c r="D450" s="497"/>
      <c r="E450" s="498">
        <v>27800</v>
      </c>
      <c r="F450" s="263"/>
      <c r="G450" s="265"/>
    </row>
    <row r="451" spans="1:7">
      <c r="A451" s="261" t="s">
        <v>8</v>
      </c>
      <c r="C451" s="262" t="s">
        <v>1444</v>
      </c>
      <c r="D451" s="497"/>
      <c r="E451" s="498">
        <v>21000</v>
      </c>
      <c r="F451" s="263"/>
      <c r="G451" s="265"/>
    </row>
    <row r="452" spans="1:7">
      <c r="A452" s="261" t="s">
        <v>8</v>
      </c>
      <c r="C452" s="262" t="s">
        <v>1285</v>
      </c>
      <c r="D452" s="497"/>
      <c r="E452" s="498">
        <v>28960</v>
      </c>
      <c r="F452" s="263"/>
      <c r="G452" s="265"/>
    </row>
    <row r="453" spans="1:7">
      <c r="A453" s="261" t="s">
        <v>8</v>
      </c>
      <c r="C453" s="262" t="s">
        <v>1445</v>
      </c>
      <c r="D453" s="497"/>
      <c r="E453" s="498">
        <v>15000</v>
      </c>
      <c r="F453" s="263"/>
      <c r="G453" s="265"/>
    </row>
    <row r="454" spans="1:7">
      <c r="A454" s="261" t="s">
        <v>8</v>
      </c>
      <c r="C454" s="262" t="s">
        <v>1446</v>
      </c>
      <c r="D454" s="497"/>
      <c r="E454" s="498">
        <v>13300</v>
      </c>
      <c r="F454" s="263"/>
      <c r="G454" s="265"/>
    </row>
    <row r="455" spans="1:7">
      <c r="A455" s="261" t="s">
        <v>8</v>
      </c>
      <c r="C455" s="262" t="s">
        <v>1302</v>
      </c>
      <c r="D455" s="497"/>
      <c r="E455" s="498">
        <f>23000*2</f>
        <v>46000</v>
      </c>
      <c r="F455" s="263"/>
      <c r="G455" s="265"/>
    </row>
    <row r="456" spans="1:7">
      <c r="A456" s="261" t="s">
        <v>8</v>
      </c>
      <c r="C456" s="262" t="s">
        <v>1447</v>
      </c>
      <c r="D456" s="497"/>
      <c r="E456" s="498">
        <v>54000</v>
      </c>
      <c r="F456" s="263"/>
      <c r="G456" s="265"/>
    </row>
    <row r="457" spans="1:7">
      <c r="A457" s="261" t="s">
        <v>8</v>
      </c>
      <c r="C457" s="262" t="s">
        <v>1448</v>
      </c>
      <c r="D457" s="497"/>
      <c r="E457" s="498">
        <v>40000</v>
      </c>
      <c r="F457" s="263"/>
      <c r="G457" s="265"/>
    </row>
    <row r="458" spans="1:7">
      <c r="A458" s="261" t="s">
        <v>8</v>
      </c>
      <c r="C458" s="262" t="s">
        <v>1449</v>
      </c>
      <c r="D458" s="497"/>
      <c r="E458" s="498">
        <v>53000</v>
      </c>
      <c r="F458" s="263"/>
      <c r="G458" s="265"/>
    </row>
    <row r="459" spans="1:7">
      <c r="A459" s="261" t="s">
        <v>8</v>
      </c>
      <c r="C459" s="262" t="s">
        <v>1367</v>
      </c>
      <c r="D459" s="497"/>
      <c r="E459" s="498">
        <v>4000</v>
      </c>
      <c r="F459" s="263"/>
      <c r="G459" s="265"/>
    </row>
    <row r="460" spans="1:7">
      <c r="A460" s="261" t="s">
        <v>8</v>
      </c>
      <c r="C460" s="262" t="s">
        <v>1339</v>
      </c>
      <c r="D460" s="497"/>
      <c r="E460" s="498">
        <v>6300</v>
      </c>
      <c r="F460" s="263"/>
      <c r="G460" s="265"/>
    </row>
    <row r="461" spans="1:7">
      <c r="A461" s="261" t="s">
        <v>8</v>
      </c>
      <c r="C461" s="262" t="s">
        <v>1328</v>
      </c>
      <c r="D461" s="497"/>
      <c r="E461" s="498">
        <v>31000</v>
      </c>
      <c r="F461" s="263"/>
      <c r="G461" s="265"/>
    </row>
    <row r="462" spans="1:7">
      <c r="A462" s="261" t="s">
        <v>8</v>
      </c>
      <c r="C462" s="262" t="s">
        <v>1450</v>
      </c>
      <c r="D462" s="497"/>
      <c r="E462" s="498">
        <v>19000</v>
      </c>
      <c r="F462" s="263"/>
      <c r="G462" s="265"/>
    </row>
    <row r="463" spans="1:7">
      <c r="A463" s="261" t="s">
        <v>8</v>
      </c>
      <c r="C463" s="262" t="s">
        <v>1451</v>
      </c>
      <c r="D463" s="497"/>
      <c r="E463" s="498">
        <v>10000</v>
      </c>
      <c r="F463" s="263"/>
      <c r="G463" s="265"/>
    </row>
    <row r="464" spans="1:7">
      <c r="A464" s="261" t="s">
        <v>8</v>
      </c>
      <c r="C464" s="262" t="s">
        <v>1372</v>
      </c>
      <c r="D464" s="497"/>
      <c r="E464" s="498">
        <v>2000</v>
      </c>
      <c r="F464" s="263"/>
      <c r="G464" s="265"/>
    </row>
    <row r="465" spans="1:7">
      <c r="A465" s="261" t="s">
        <v>8</v>
      </c>
      <c r="C465" s="262" t="s">
        <v>1396</v>
      </c>
      <c r="D465" s="498">
        <v>1058</v>
      </c>
      <c r="E465" s="497"/>
      <c r="F465" s="263"/>
      <c r="G465" s="265"/>
    </row>
    <row r="466" spans="1:7">
      <c r="A466" s="261" t="s">
        <v>8</v>
      </c>
      <c r="C466" s="262" t="s">
        <v>1357</v>
      </c>
      <c r="D466" s="497"/>
      <c r="E466" s="498">
        <v>129870</v>
      </c>
      <c r="F466" s="263"/>
      <c r="G466" s="265"/>
    </row>
    <row r="467" spans="1:7">
      <c r="A467" s="261" t="s">
        <v>8</v>
      </c>
      <c r="C467" s="262" t="s">
        <v>1452</v>
      </c>
      <c r="D467" s="497"/>
      <c r="E467" s="498">
        <v>40000</v>
      </c>
      <c r="F467" s="263"/>
      <c r="G467" s="265"/>
    </row>
    <row r="468" spans="1:7">
      <c r="A468" s="261" t="s">
        <v>8</v>
      </c>
      <c r="C468" s="262" t="s">
        <v>1453</v>
      </c>
      <c r="D468" s="497"/>
      <c r="E468" s="498">
        <v>27600</v>
      </c>
      <c r="F468" s="263"/>
      <c r="G468" s="265"/>
    </row>
    <row r="469" spans="1:7">
      <c r="A469" s="261" t="s">
        <v>8</v>
      </c>
      <c r="C469" s="262" t="s">
        <v>1413</v>
      </c>
      <c r="D469" s="497"/>
      <c r="E469" s="498">
        <v>1000000</v>
      </c>
      <c r="F469" s="263"/>
      <c r="G469" s="265"/>
    </row>
    <row r="470" spans="1:7">
      <c r="A470" s="261" t="s">
        <v>8</v>
      </c>
      <c r="C470" s="262" t="s">
        <v>1300</v>
      </c>
      <c r="D470" s="497">
        <f>SUM(D426:D469)-SUM(E426:E469)</f>
        <v>526158</v>
      </c>
      <c r="E470" s="497">
        <f>SUM(E426:E469)-SUM(F426:F469)</f>
        <v>4082830</v>
      </c>
      <c r="F470" s="263"/>
      <c r="G470" s="262"/>
    </row>
    <row r="471" spans="1:7">
      <c r="A471" s="261" t="s">
        <v>8</v>
      </c>
    </row>
    <row r="472" spans="1:7">
      <c r="A472" s="261" t="s">
        <v>8</v>
      </c>
    </row>
    <row r="473" spans="1:7">
      <c r="A473" s="261" t="s">
        <v>8</v>
      </c>
      <c r="B473" s="256" t="s">
        <v>2143</v>
      </c>
      <c r="C473" s="262" t="s">
        <v>1268</v>
      </c>
      <c r="D473" s="498">
        <v>4619080</v>
      </c>
      <c r="E473" s="497"/>
      <c r="F473" s="263"/>
      <c r="G473" s="262"/>
    </row>
    <row r="474" spans="1:7">
      <c r="A474" s="261" t="s">
        <v>8</v>
      </c>
      <c r="C474" s="262" t="s">
        <v>1269</v>
      </c>
      <c r="D474" s="497"/>
      <c r="E474" s="498">
        <f>369000</f>
        <v>369000</v>
      </c>
      <c r="F474" s="263"/>
      <c r="G474" s="262" t="s">
        <v>2144</v>
      </c>
    </row>
    <row r="475" spans="1:7">
      <c r="A475" s="261" t="s">
        <v>8</v>
      </c>
      <c r="C475" s="262" t="s">
        <v>1270</v>
      </c>
      <c r="D475" s="497"/>
      <c r="E475" s="498">
        <v>572000</v>
      </c>
      <c r="F475" s="263"/>
      <c r="G475" s="262"/>
    </row>
    <row r="476" spans="1:7">
      <c r="A476" s="261" t="s">
        <v>8</v>
      </c>
      <c r="C476" s="262" t="s">
        <v>1271</v>
      </c>
      <c r="D476" s="497"/>
      <c r="E476" s="498">
        <v>184080</v>
      </c>
      <c r="F476" s="263"/>
      <c r="G476" s="264"/>
    </row>
    <row r="477" spans="1:7">
      <c r="A477" s="261" t="s">
        <v>8</v>
      </c>
      <c r="C477" s="262" t="s">
        <v>1272</v>
      </c>
      <c r="D477" s="497"/>
      <c r="E477" s="498">
        <v>7180</v>
      </c>
      <c r="F477" s="263"/>
      <c r="G477" s="262"/>
    </row>
    <row r="478" spans="1:7">
      <c r="A478" s="261" t="s">
        <v>8</v>
      </c>
      <c r="C478" s="262" t="s">
        <v>1273</v>
      </c>
      <c r="D478" s="497"/>
      <c r="E478" s="498">
        <v>20980</v>
      </c>
      <c r="F478" s="263"/>
      <c r="G478" s="262"/>
    </row>
    <row r="479" spans="1:7">
      <c r="A479" s="261" t="s">
        <v>8</v>
      </c>
      <c r="C479" s="262" t="s">
        <v>1274</v>
      </c>
      <c r="D479" s="497"/>
      <c r="E479" s="498">
        <v>18550</v>
      </c>
      <c r="F479" s="263"/>
      <c r="G479" s="262"/>
    </row>
    <row r="480" spans="1:7">
      <c r="A480" s="261" t="s">
        <v>8</v>
      </c>
      <c r="C480" s="262" t="s">
        <v>1275</v>
      </c>
      <c r="D480" s="497"/>
      <c r="E480" s="498">
        <v>26450</v>
      </c>
      <c r="F480" s="263"/>
      <c r="G480" s="262"/>
    </row>
    <row r="481" spans="1:7">
      <c r="A481" s="261" t="s">
        <v>8</v>
      </c>
      <c r="C481" s="262" t="s">
        <v>1276</v>
      </c>
      <c r="D481" s="497"/>
      <c r="E481" s="498">
        <v>227110</v>
      </c>
      <c r="F481" s="263"/>
      <c r="G481" s="262"/>
    </row>
    <row r="482" spans="1:7">
      <c r="A482" s="261" t="s">
        <v>8</v>
      </c>
      <c r="C482" s="262" t="s">
        <v>1277</v>
      </c>
      <c r="D482" s="497"/>
      <c r="E482" s="498">
        <v>15950</v>
      </c>
      <c r="F482" s="263"/>
      <c r="G482" s="262"/>
    </row>
    <row r="483" spans="1:7">
      <c r="A483" s="261" t="s">
        <v>8</v>
      </c>
      <c r="C483" s="262" t="s">
        <v>1278</v>
      </c>
      <c r="D483" s="497"/>
      <c r="E483" s="498">
        <v>100000</v>
      </c>
      <c r="F483" s="263"/>
      <c r="G483" s="262"/>
    </row>
    <row r="484" spans="1:7">
      <c r="A484" s="261" t="s">
        <v>8</v>
      </c>
      <c r="C484" s="262" t="s">
        <v>1279</v>
      </c>
      <c r="D484" s="497"/>
      <c r="E484" s="499">
        <v>100000</v>
      </c>
      <c r="F484" s="263"/>
      <c r="G484" s="262"/>
    </row>
    <row r="485" spans="1:7">
      <c r="A485" s="261" t="s">
        <v>8</v>
      </c>
      <c r="C485" s="262" t="s">
        <v>1332</v>
      </c>
      <c r="D485" s="497"/>
      <c r="E485" s="498">
        <v>42630</v>
      </c>
      <c r="F485" s="263"/>
      <c r="G485" s="265"/>
    </row>
    <row r="486" spans="1:7">
      <c r="A486" s="261" t="s">
        <v>8</v>
      </c>
      <c r="C486" s="262" t="s">
        <v>1280</v>
      </c>
      <c r="D486" s="497"/>
      <c r="E486" s="498">
        <f>5000*0+50000*4</f>
        <v>200000</v>
      </c>
      <c r="F486" s="263"/>
      <c r="G486" s="265"/>
    </row>
    <row r="487" spans="1:7">
      <c r="A487" s="261" t="s">
        <v>8</v>
      </c>
      <c r="C487" s="262" t="s">
        <v>382</v>
      </c>
      <c r="D487" s="497"/>
      <c r="E487" s="498">
        <f>5000*0+50000*2</f>
        <v>100000</v>
      </c>
      <c r="F487" s="263"/>
      <c r="G487" s="265"/>
    </row>
    <row r="488" spans="1:7">
      <c r="A488" s="261" t="s">
        <v>8</v>
      </c>
      <c r="C488" s="262" t="s">
        <v>1284</v>
      </c>
      <c r="D488" s="497"/>
      <c r="E488" s="498">
        <f>25000+34590</f>
        <v>59590</v>
      </c>
      <c r="F488" s="263"/>
      <c r="G488" s="265"/>
    </row>
    <row r="489" spans="1:7">
      <c r="A489" s="261" t="s">
        <v>8</v>
      </c>
      <c r="C489" s="262" t="s">
        <v>1315</v>
      </c>
      <c r="D489" s="497"/>
      <c r="E489" s="498">
        <v>30000</v>
      </c>
      <c r="F489" s="263"/>
      <c r="G489" s="265"/>
    </row>
    <row r="490" spans="1:7">
      <c r="A490" s="261" t="s">
        <v>8</v>
      </c>
      <c r="C490" s="262" t="s">
        <v>1285</v>
      </c>
      <c r="D490" s="497"/>
      <c r="E490" s="497"/>
      <c r="F490" s="263"/>
      <c r="G490" s="265"/>
    </row>
    <row r="491" spans="1:7">
      <c r="A491" s="261" t="s">
        <v>8</v>
      </c>
      <c r="C491" s="262" t="s">
        <v>1302</v>
      </c>
      <c r="D491" s="497"/>
      <c r="E491" s="498">
        <f>18600+25000</f>
        <v>43600</v>
      </c>
      <c r="F491" s="263"/>
      <c r="G491" s="265"/>
    </row>
    <row r="492" spans="1:7">
      <c r="A492" s="261" t="s">
        <v>8</v>
      </c>
      <c r="C492" s="262" t="s">
        <v>1454</v>
      </c>
      <c r="D492" s="497"/>
      <c r="E492" s="498">
        <v>200000</v>
      </c>
      <c r="F492" s="263"/>
      <c r="G492" s="265"/>
    </row>
    <row r="493" spans="1:7">
      <c r="A493" s="261" t="s">
        <v>8</v>
      </c>
      <c r="C493" s="262" t="s">
        <v>1455</v>
      </c>
      <c r="D493" s="497"/>
      <c r="E493" s="498">
        <v>21300</v>
      </c>
      <c r="F493" s="263"/>
      <c r="G493" s="265"/>
    </row>
    <row r="494" spans="1:7">
      <c r="A494" s="261" t="s">
        <v>8</v>
      </c>
      <c r="C494" s="262" t="s">
        <v>1450</v>
      </c>
      <c r="D494" s="497"/>
      <c r="E494" s="498">
        <v>19000</v>
      </c>
      <c r="F494" s="263"/>
      <c r="G494" s="265"/>
    </row>
    <row r="495" spans="1:7">
      <c r="A495" s="261" t="s">
        <v>8</v>
      </c>
      <c r="C495" s="262" t="s">
        <v>1456</v>
      </c>
      <c r="D495" s="497"/>
      <c r="E495" s="498">
        <v>35000</v>
      </c>
      <c r="F495" s="263"/>
      <c r="G495" s="265"/>
    </row>
    <row r="496" spans="1:7">
      <c r="A496" s="261" t="s">
        <v>8</v>
      </c>
      <c r="C496" s="262" t="s">
        <v>1457</v>
      </c>
      <c r="D496" s="497"/>
      <c r="E496" s="498">
        <v>180000</v>
      </c>
      <c r="F496" s="263"/>
      <c r="G496" s="265"/>
    </row>
    <row r="497" spans="1:7">
      <c r="A497" s="261" t="s">
        <v>8</v>
      </c>
      <c r="C497" s="262" t="s">
        <v>1391</v>
      </c>
      <c r="D497" s="497"/>
      <c r="E497" s="498">
        <v>15500</v>
      </c>
      <c r="F497" s="263"/>
      <c r="G497" s="265"/>
    </row>
    <row r="498" spans="1:7">
      <c r="A498" s="261" t="s">
        <v>8</v>
      </c>
      <c r="C498" s="262" t="s">
        <v>1308</v>
      </c>
      <c r="D498" s="497"/>
      <c r="E498" s="498">
        <v>8900</v>
      </c>
      <c r="F498" s="263"/>
      <c r="G498" s="265"/>
    </row>
    <row r="499" spans="1:7">
      <c r="A499" s="261" t="s">
        <v>8</v>
      </c>
      <c r="C499" s="262" t="s">
        <v>1458</v>
      </c>
      <c r="D499" s="497"/>
      <c r="E499" s="498">
        <v>44000</v>
      </c>
      <c r="F499" s="263"/>
      <c r="G499" s="265"/>
    </row>
    <row r="500" spans="1:7">
      <c r="A500" s="261" t="s">
        <v>8</v>
      </c>
      <c r="C500" s="262" t="s">
        <v>1459</v>
      </c>
      <c r="D500" s="497"/>
      <c r="E500" s="498">
        <v>4300</v>
      </c>
      <c r="F500" s="263"/>
      <c r="G500" s="265"/>
    </row>
    <row r="501" spans="1:7">
      <c r="A501" s="261" t="s">
        <v>8</v>
      </c>
      <c r="C501" s="262" t="s">
        <v>1460</v>
      </c>
      <c r="D501" s="497"/>
      <c r="E501" s="498">
        <v>50000</v>
      </c>
      <c r="F501" s="263"/>
      <c r="G501" s="265"/>
    </row>
    <row r="502" spans="1:7">
      <c r="A502" s="261" t="s">
        <v>8</v>
      </c>
      <c r="C502" s="262" t="s">
        <v>1340</v>
      </c>
      <c r="D502" s="497"/>
      <c r="E502" s="498">
        <v>8500</v>
      </c>
      <c r="F502" s="263"/>
      <c r="G502" s="265"/>
    </row>
    <row r="503" spans="1:7">
      <c r="A503" s="261" t="s">
        <v>8</v>
      </c>
      <c r="C503" s="262" t="s">
        <v>1461</v>
      </c>
      <c r="D503" s="497"/>
      <c r="E503" s="498">
        <v>1700</v>
      </c>
      <c r="F503" s="263"/>
      <c r="G503" s="265"/>
    </row>
    <row r="504" spans="1:7">
      <c r="A504" s="261" t="s">
        <v>8</v>
      </c>
      <c r="C504" s="262" t="s">
        <v>1298</v>
      </c>
      <c r="D504" s="497"/>
      <c r="E504" s="498">
        <v>18000</v>
      </c>
      <c r="F504" s="263"/>
      <c r="G504" s="265"/>
    </row>
    <row r="505" spans="1:7">
      <c r="A505" s="261" t="s">
        <v>8</v>
      </c>
      <c r="C505" s="262" t="s">
        <v>1462</v>
      </c>
      <c r="D505" s="497"/>
      <c r="E505" s="498">
        <v>13450</v>
      </c>
      <c r="F505" s="263"/>
      <c r="G505" s="265"/>
    </row>
    <row r="506" spans="1:7">
      <c r="A506" s="261" t="s">
        <v>8</v>
      </c>
      <c r="C506" s="262" t="s">
        <v>1463</v>
      </c>
      <c r="D506" s="497"/>
      <c r="E506" s="498">
        <v>7600</v>
      </c>
      <c r="F506" s="263"/>
      <c r="G506" s="265"/>
    </row>
    <row r="507" spans="1:7">
      <c r="A507" s="261" t="s">
        <v>8</v>
      </c>
      <c r="C507" s="262" t="s">
        <v>1339</v>
      </c>
      <c r="D507" s="497"/>
      <c r="E507" s="498">
        <v>1000</v>
      </c>
      <c r="F507" s="263"/>
      <c r="G507" s="265"/>
    </row>
    <row r="508" spans="1:7">
      <c r="A508" s="261" t="s">
        <v>8</v>
      </c>
      <c r="C508" s="262" t="s">
        <v>1464</v>
      </c>
      <c r="D508" s="497"/>
      <c r="E508" s="498">
        <v>300000</v>
      </c>
      <c r="F508" s="263"/>
      <c r="G508" s="265"/>
    </row>
    <row r="509" spans="1:7">
      <c r="A509" s="261" t="s">
        <v>8</v>
      </c>
      <c r="C509" s="262" t="s">
        <v>384</v>
      </c>
      <c r="D509" s="497"/>
      <c r="E509" s="498">
        <v>5200</v>
      </c>
      <c r="F509" s="263"/>
      <c r="G509" s="265"/>
    </row>
    <row r="510" spans="1:7">
      <c r="A510" s="261" t="s">
        <v>8</v>
      </c>
      <c r="C510" s="262" t="s">
        <v>1465</v>
      </c>
      <c r="D510" s="497"/>
      <c r="E510" s="498">
        <v>4300</v>
      </c>
      <c r="F510" s="263"/>
      <c r="G510" s="265"/>
    </row>
    <row r="511" spans="1:7">
      <c r="A511" s="261" t="s">
        <v>8</v>
      </c>
      <c r="C511" s="262" t="s">
        <v>1466</v>
      </c>
      <c r="D511" s="497"/>
      <c r="E511" s="498">
        <v>21000</v>
      </c>
      <c r="F511" s="263"/>
      <c r="G511" s="265"/>
    </row>
    <row r="512" spans="1:7">
      <c r="A512" s="261" t="s">
        <v>8</v>
      </c>
      <c r="C512" s="262" t="s">
        <v>1316</v>
      </c>
      <c r="D512" s="497"/>
      <c r="E512" s="498">
        <v>19000</v>
      </c>
      <c r="F512" s="263"/>
      <c r="G512" s="265"/>
    </row>
    <row r="513" spans="1:7">
      <c r="A513" s="261" t="s">
        <v>8</v>
      </c>
      <c r="C513" s="262" t="s">
        <v>1295</v>
      </c>
      <c r="D513" s="497"/>
      <c r="E513" s="498">
        <v>90000</v>
      </c>
      <c r="F513" s="263"/>
      <c r="G513" s="265"/>
    </row>
    <row r="514" spans="1:7">
      <c r="A514" s="261" t="s">
        <v>8</v>
      </c>
      <c r="C514" s="262" t="s">
        <v>1467</v>
      </c>
      <c r="D514" s="497"/>
      <c r="E514" s="498">
        <v>20689</v>
      </c>
      <c r="F514" s="263"/>
      <c r="G514" s="265"/>
    </row>
    <row r="515" spans="1:7">
      <c r="A515" s="261" t="s">
        <v>8</v>
      </c>
      <c r="C515" s="262" t="s">
        <v>1468</v>
      </c>
      <c r="D515" s="497"/>
      <c r="E515" s="498">
        <v>38500</v>
      </c>
      <c r="F515" s="263"/>
      <c r="G515" s="265"/>
    </row>
    <row r="516" spans="1:7">
      <c r="A516" s="261" t="s">
        <v>8</v>
      </c>
      <c r="C516" s="262" t="s">
        <v>1469</v>
      </c>
      <c r="D516" s="497"/>
      <c r="E516" s="498">
        <v>42000</v>
      </c>
      <c r="F516" s="263"/>
      <c r="G516" s="265"/>
    </row>
    <row r="517" spans="1:7">
      <c r="A517" s="261" t="s">
        <v>8</v>
      </c>
      <c r="C517" s="262" t="s">
        <v>1470</v>
      </c>
      <c r="D517" s="497"/>
      <c r="E517" s="498">
        <v>14300</v>
      </c>
      <c r="F517" s="263"/>
      <c r="G517" s="265"/>
    </row>
    <row r="518" spans="1:7">
      <c r="A518" s="261" t="s">
        <v>8</v>
      </c>
      <c r="C518" s="262" t="s">
        <v>1325</v>
      </c>
      <c r="D518" s="497"/>
      <c r="E518" s="498">
        <v>18500</v>
      </c>
      <c r="F518" s="263"/>
      <c r="G518" s="265"/>
    </row>
    <row r="519" spans="1:7">
      <c r="A519" s="261" t="s">
        <v>8</v>
      </c>
      <c r="C519" s="262" t="s">
        <v>1471</v>
      </c>
      <c r="D519" s="497"/>
      <c r="E519" s="498">
        <v>8500</v>
      </c>
      <c r="F519" s="263"/>
      <c r="G519" s="265"/>
    </row>
    <row r="520" spans="1:7">
      <c r="A520" s="261" t="s">
        <v>8</v>
      </c>
      <c r="C520" s="262" t="s">
        <v>1300</v>
      </c>
      <c r="D520" s="497">
        <f>SUM(D473:D519)-SUM(E473:E519)</f>
        <v>1291721</v>
      </c>
      <c r="E520" s="497">
        <f>SUM(E473:E519)-SUM(F473:F519)</f>
        <v>3327359</v>
      </c>
      <c r="F520" s="263"/>
      <c r="G520" s="262"/>
    </row>
    <row r="521" spans="1:7">
      <c r="A521" s="261" t="s">
        <v>8</v>
      </c>
    </row>
    <row r="522" spans="1:7">
      <c r="A522" s="261" t="s">
        <v>8</v>
      </c>
    </row>
    <row r="523" spans="1:7">
      <c r="A523" s="261" t="s">
        <v>8</v>
      </c>
      <c r="B523" s="256" t="s">
        <v>2145</v>
      </c>
      <c r="C523" s="262" t="s">
        <v>1268</v>
      </c>
      <c r="D523" s="498">
        <v>4829700</v>
      </c>
      <c r="E523" s="497"/>
      <c r="F523" s="263"/>
      <c r="G523" s="262"/>
    </row>
    <row r="524" spans="1:7">
      <c r="A524" s="261" t="s">
        <v>8</v>
      </c>
      <c r="C524" s="262" t="s">
        <v>1269</v>
      </c>
      <c r="D524" s="497"/>
      <c r="E524" s="498">
        <v>363500</v>
      </c>
      <c r="F524" s="263"/>
      <c r="G524" s="262" t="s">
        <v>2146</v>
      </c>
    </row>
    <row r="525" spans="1:7">
      <c r="A525" s="261" t="s">
        <v>8</v>
      </c>
      <c r="C525" s="262" t="s">
        <v>1270</v>
      </c>
      <c r="D525" s="497"/>
      <c r="E525" s="498">
        <v>605000</v>
      </c>
      <c r="F525" s="263"/>
      <c r="G525" s="262"/>
    </row>
    <row r="526" spans="1:7">
      <c r="A526" s="261" t="s">
        <v>8</v>
      </c>
      <c r="C526" s="262" t="s">
        <v>1271</v>
      </c>
      <c r="D526" s="497"/>
      <c r="E526" s="498">
        <v>205660</v>
      </c>
      <c r="F526" s="263"/>
      <c r="G526" s="264"/>
    </row>
    <row r="527" spans="1:7">
      <c r="A527" s="261" t="s">
        <v>8</v>
      </c>
      <c r="C527" s="262" t="s">
        <v>1272</v>
      </c>
      <c r="D527" s="497"/>
      <c r="E527" s="498">
        <v>7180</v>
      </c>
      <c r="F527" s="263"/>
      <c r="G527" s="262"/>
    </row>
    <row r="528" spans="1:7">
      <c r="A528" s="261" t="s">
        <v>8</v>
      </c>
      <c r="C528" s="262" t="s">
        <v>1273</v>
      </c>
      <c r="D528" s="497"/>
      <c r="E528" s="498">
        <v>20980</v>
      </c>
      <c r="F528" s="263"/>
      <c r="G528" s="262"/>
    </row>
    <row r="529" spans="1:7">
      <c r="A529" s="261" t="s">
        <v>8</v>
      </c>
      <c r="C529" s="262" t="s">
        <v>1274</v>
      </c>
      <c r="D529" s="497"/>
      <c r="E529" s="498">
        <v>18550</v>
      </c>
      <c r="F529" s="263"/>
      <c r="G529" s="262"/>
    </row>
    <row r="530" spans="1:7">
      <c r="A530" s="261" t="s">
        <v>8</v>
      </c>
      <c r="C530" s="262" t="s">
        <v>1275</v>
      </c>
      <c r="D530" s="497"/>
      <c r="E530" s="498">
        <v>26450</v>
      </c>
      <c r="F530" s="263"/>
      <c r="G530" s="262"/>
    </row>
    <row r="531" spans="1:7">
      <c r="A531" s="261" t="s">
        <v>8</v>
      </c>
      <c r="C531" s="262" t="s">
        <v>1276</v>
      </c>
      <c r="D531" s="497"/>
      <c r="E531" s="498">
        <f>248450+221200</f>
        <v>469650</v>
      </c>
      <c r="F531" s="263"/>
      <c r="G531" s="262"/>
    </row>
    <row r="532" spans="1:7">
      <c r="A532" s="261" t="s">
        <v>8</v>
      </c>
      <c r="C532" s="262" t="s">
        <v>1277</v>
      </c>
      <c r="D532" s="497"/>
      <c r="E532" s="498">
        <f>9880+10120</f>
        <v>20000</v>
      </c>
      <c r="F532" s="263"/>
      <c r="G532" s="262"/>
    </row>
    <row r="533" spans="1:7">
      <c r="A533" s="261" t="s">
        <v>8</v>
      </c>
      <c r="C533" s="262" t="s">
        <v>1278</v>
      </c>
      <c r="D533" s="497"/>
      <c r="E533" s="498">
        <v>100000</v>
      </c>
      <c r="F533" s="263"/>
      <c r="G533" s="262"/>
    </row>
    <row r="534" spans="1:7">
      <c r="A534" s="261" t="s">
        <v>8</v>
      </c>
      <c r="C534" s="262" t="s">
        <v>1279</v>
      </c>
      <c r="D534" s="497"/>
      <c r="E534" s="499">
        <v>100000</v>
      </c>
      <c r="F534" s="263"/>
      <c r="G534" s="262"/>
    </row>
    <row r="535" spans="1:7">
      <c r="A535" s="261" t="s">
        <v>8</v>
      </c>
      <c r="C535" s="262" t="s">
        <v>1332</v>
      </c>
      <c r="D535" s="497"/>
      <c r="E535" s="498">
        <v>42630</v>
      </c>
      <c r="F535" s="263"/>
      <c r="G535" s="265"/>
    </row>
    <row r="536" spans="1:7">
      <c r="A536" s="261" t="s">
        <v>8</v>
      </c>
      <c r="C536" s="262" t="s">
        <v>1280</v>
      </c>
      <c r="D536" s="497"/>
      <c r="E536" s="498">
        <f>5000*1+50000*5</f>
        <v>255000</v>
      </c>
      <c r="F536" s="263"/>
      <c r="G536" s="265"/>
    </row>
    <row r="537" spans="1:7">
      <c r="A537" s="261" t="s">
        <v>8</v>
      </c>
      <c r="C537" s="262" t="s">
        <v>382</v>
      </c>
      <c r="D537" s="497"/>
      <c r="E537" s="497">
        <f>5000*0+50000*0</f>
        <v>0</v>
      </c>
      <c r="F537" s="263"/>
      <c r="G537" s="265"/>
    </row>
    <row r="538" spans="1:7">
      <c r="A538" s="261" t="s">
        <v>8</v>
      </c>
      <c r="C538" s="262" t="s">
        <v>1284</v>
      </c>
      <c r="D538" s="497"/>
      <c r="E538" s="498">
        <f>27680+9960+14280</f>
        <v>51920</v>
      </c>
      <c r="F538" s="263"/>
      <c r="G538" s="265"/>
    </row>
    <row r="539" spans="1:7">
      <c r="A539" s="261" t="s">
        <v>8</v>
      </c>
      <c r="C539" s="262" t="s">
        <v>1315</v>
      </c>
      <c r="D539" s="497"/>
      <c r="E539" s="498">
        <v>45000</v>
      </c>
      <c r="F539" s="263"/>
      <c r="G539" s="265"/>
    </row>
    <row r="540" spans="1:7">
      <c r="A540" s="261" t="s">
        <v>8</v>
      </c>
      <c r="C540" s="262" t="s">
        <v>1285</v>
      </c>
      <c r="D540" s="497"/>
      <c r="E540" s="497">
        <v>0</v>
      </c>
      <c r="F540" s="263"/>
      <c r="G540" s="265"/>
    </row>
    <row r="541" spans="1:7">
      <c r="A541" s="261" t="s">
        <v>8</v>
      </c>
      <c r="C541" s="262" t="s">
        <v>1302</v>
      </c>
      <c r="D541" s="497"/>
      <c r="E541" s="497">
        <v>0</v>
      </c>
      <c r="F541" s="263"/>
      <c r="G541" s="265"/>
    </row>
    <row r="542" spans="1:7">
      <c r="A542" s="261" t="s">
        <v>8</v>
      </c>
      <c r="C542" s="262" t="s">
        <v>1472</v>
      </c>
      <c r="D542" s="497"/>
      <c r="E542" s="498">
        <v>221400</v>
      </c>
      <c r="F542" s="263"/>
      <c r="G542" s="265"/>
    </row>
    <row r="543" spans="1:7">
      <c r="A543" s="261" t="s">
        <v>8</v>
      </c>
      <c r="C543" s="262" t="s">
        <v>1441</v>
      </c>
      <c r="D543" s="497"/>
      <c r="E543" s="498">
        <v>14100</v>
      </c>
      <c r="F543" s="263"/>
      <c r="G543" s="265"/>
    </row>
    <row r="544" spans="1:7">
      <c r="A544" s="261" t="s">
        <v>8</v>
      </c>
      <c r="C544" s="262" t="s">
        <v>1473</v>
      </c>
      <c r="D544" s="497"/>
      <c r="E544" s="498">
        <v>7544</v>
      </c>
      <c r="F544" s="263"/>
      <c r="G544" s="265"/>
    </row>
    <row r="545" spans="1:7">
      <c r="A545" s="261" t="s">
        <v>8</v>
      </c>
      <c r="C545" s="262" t="s">
        <v>1305</v>
      </c>
      <c r="D545" s="497"/>
      <c r="E545" s="498">
        <v>209480</v>
      </c>
      <c r="F545" s="263"/>
      <c r="G545" s="265"/>
    </row>
    <row r="546" spans="1:7">
      <c r="A546" s="261" t="s">
        <v>8</v>
      </c>
      <c r="C546" s="262" t="s">
        <v>1474</v>
      </c>
      <c r="D546" s="498">
        <v>850</v>
      </c>
      <c r="E546" s="498">
        <v>1415390</v>
      </c>
      <c r="F546" s="263"/>
      <c r="G546" s="265" t="s">
        <v>2147</v>
      </c>
    </row>
    <row r="547" spans="1:7">
      <c r="A547" s="261" t="s">
        <v>8</v>
      </c>
      <c r="C547" s="262" t="s">
        <v>1324</v>
      </c>
      <c r="D547" s="497"/>
      <c r="E547" s="498">
        <v>787050</v>
      </c>
      <c r="F547" s="263"/>
      <c r="G547" s="265"/>
    </row>
    <row r="548" spans="1:7">
      <c r="A548" s="261" t="s">
        <v>8</v>
      </c>
      <c r="C548" s="262" t="s">
        <v>1475</v>
      </c>
      <c r="D548" s="497"/>
      <c r="E548" s="498">
        <v>32000</v>
      </c>
      <c r="F548" s="263"/>
      <c r="G548" s="265"/>
    </row>
    <row r="549" spans="1:7">
      <c r="A549" s="261" t="s">
        <v>8</v>
      </c>
      <c r="C549" s="262" t="s">
        <v>1367</v>
      </c>
      <c r="D549" s="497"/>
      <c r="E549" s="498">
        <v>4000</v>
      </c>
      <c r="F549" s="263"/>
      <c r="G549" s="265"/>
    </row>
    <row r="550" spans="1:7">
      <c r="A550" s="261" t="s">
        <v>8</v>
      </c>
      <c r="C550" s="262" t="s">
        <v>1471</v>
      </c>
      <c r="D550" s="497"/>
      <c r="E550" s="498">
        <v>8500</v>
      </c>
      <c r="F550" s="263"/>
      <c r="G550" s="265"/>
    </row>
    <row r="551" spans="1:7">
      <c r="A551" s="261" t="s">
        <v>8</v>
      </c>
      <c r="C551" s="262" t="s">
        <v>1331</v>
      </c>
      <c r="D551" s="497"/>
      <c r="E551" s="498">
        <f>6200+8500</f>
        <v>14700</v>
      </c>
      <c r="F551" s="263"/>
      <c r="G551" s="265"/>
    </row>
    <row r="552" spans="1:7">
      <c r="A552" s="261" t="s">
        <v>8</v>
      </c>
      <c r="C552" s="262" t="s">
        <v>1316</v>
      </c>
      <c r="D552" s="497"/>
      <c r="E552" s="498">
        <f>19000+20000</f>
        <v>39000</v>
      </c>
      <c r="F552" s="263"/>
      <c r="G552" s="265"/>
    </row>
    <row r="553" spans="1:7">
      <c r="A553" s="261" t="s">
        <v>8</v>
      </c>
      <c r="C553" s="262" t="s">
        <v>1476</v>
      </c>
      <c r="D553" s="497"/>
      <c r="E553" s="498">
        <f>31401+22925+26698+14675+53803</f>
        <v>149502</v>
      </c>
      <c r="F553" s="263"/>
      <c r="G553" s="265"/>
    </row>
    <row r="554" spans="1:7">
      <c r="A554" s="261" t="s">
        <v>8</v>
      </c>
      <c r="C554" s="262" t="s">
        <v>1371</v>
      </c>
      <c r="D554" s="497"/>
      <c r="E554" s="498">
        <v>29800</v>
      </c>
      <c r="F554" s="263"/>
      <c r="G554" s="265"/>
    </row>
    <row r="555" spans="1:7">
      <c r="A555" s="261" t="s">
        <v>8</v>
      </c>
      <c r="C555" s="262" t="s">
        <v>1413</v>
      </c>
      <c r="D555" s="497"/>
      <c r="E555" s="498">
        <v>1000000</v>
      </c>
      <c r="F555" s="263"/>
      <c r="G555" s="265"/>
    </row>
    <row r="556" spans="1:7">
      <c r="A556" s="261" t="s">
        <v>8</v>
      </c>
      <c r="C556" s="262" t="s">
        <v>1283</v>
      </c>
      <c r="D556" s="497"/>
      <c r="E556" s="498">
        <v>106430</v>
      </c>
      <c r="F556" s="263"/>
      <c r="G556" s="265"/>
    </row>
    <row r="557" spans="1:7">
      <c r="A557" s="261" t="s">
        <v>8</v>
      </c>
      <c r="C557" s="262" t="s">
        <v>1477</v>
      </c>
      <c r="D557" s="497"/>
      <c r="E557" s="498">
        <v>18500</v>
      </c>
      <c r="F557" s="263"/>
      <c r="G557" s="265"/>
    </row>
    <row r="558" spans="1:7">
      <c r="A558" s="261" t="s">
        <v>8</v>
      </c>
      <c r="C558" s="262" t="s">
        <v>1478</v>
      </c>
      <c r="D558" s="497"/>
      <c r="E558" s="498">
        <v>33500</v>
      </c>
      <c r="F558" s="263"/>
      <c r="G558" s="265"/>
    </row>
    <row r="559" spans="1:7">
      <c r="A559" s="261" t="s">
        <v>8</v>
      </c>
      <c r="C559" s="262" t="s">
        <v>1479</v>
      </c>
      <c r="D559" s="497"/>
      <c r="E559" s="498">
        <v>224994</v>
      </c>
      <c r="F559" s="263"/>
      <c r="G559" s="265"/>
    </row>
    <row r="560" spans="1:7">
      <c r="A560" s="261" t="s">
        <v>8</v>
      </c>
      <c r="C560" s="262" t="s">
        <v>1480</v>
      </c>
      <c r="D560" s="497"/>
      <c r="E560" s="498">
        <v>21600</v>
      </c>
      <c r="F560" s="263"/>
      <c r="G560" s="265"/>
    </row>
    <row r="561" spans="1:7">
      <c r="A561" s="261" t="s">
        <v>8</v>
      </c>
      <c r="C561" s="262" t="s">
        <v>1481</v>
      </c>
      <c r="D561" s="497"/>
      <c r="E561" s="498">
        <v>63300</v>
      </c>
      <c r="F561" s="263"/>
      <c r="G561" s="265"/>
    </row>
    <row r="562" spans="1:7">
      <c r="A562" s="261" t="s">
        <v>8</v>
      </c>
      <c r="C562" s="262" t="s">
        <v>1293</v>
      </c>
      <c r="D562" s="497"/>
      <c r="E562" s="498">
        <v>5750</v>
      </c>
      <c r="F562" s="263"/>
      <c r="G562" s="265"/>
    </row>
    <row r="563" spans="1:7">
      <c r="A563" s="261" t="s">
        <v>8</v>
      </c>
      <c r="C563" s="262" t="s">
        <v>1300</v>
      </c>
      <c r="D563" s="497">
        <f>SUM(D523:D562)-SUM(E523:E562)</f>
        <v>-1907510</v>
      </c>
      <c r="E563" s="497">
        <f>SUM(E523:E562)-SUM(F523:F562)</f>
        <v>6738060</v>
      </c>
      <c r="F563" s="263"/>
      <c r="G563" s="262"/>
    </row>
    <row r="564" spans="1:7">
      <c r="A564" s="261" t="s">
        <v>8</v>
      </c>
    </row>
    <row r="565" spans="1:7">
      <c r="A565" s="261" t="s">
        <v>8</v>
      </c>
    </row>
    <row r="566" spans="1:7">
      <c r="A566" s="261" t="s">
        <v>8</v>
      </c>
      <c r="B566" s="256" t="s">
        <v>2148</v>
      </c>
      <c r="C566" s="262" t="s">
        <v>1268</v>
      </c>
      <c r="D566" s="498">
        <v>4554430</v>
      </c>
      <c r="E566" s="497"/>
      <c r="F566" s="263"/>
      <c r="G566" s="262"/>
    </row>
    <row r="567" spans="1:7">
      <c r="A567" s="261" t="s">
        <v>8</v>
      </c>
      <c r="C567" s="262" t="s">
        <v>1269</v>
      </c>
      <c r="D567" s="497"/>
      <c r="E567" s="498">
        <v>312500</v>
      </c>
      <c r="F567" s="263"/>
      <c r="G567" s="262" t="s">
        <v>2149</v>
      </c>
    </row>
    <row r="568" spans="1:7">
      <c r="A568" s="261" t="s">
        <v>8</v>
      </c>
      <c r="C568" s="262" t="s">
        <v>1270</v>
      </c>
      <c r="D568" s="497"/>
      <c r="E568" s="498">
        <v>572000</v>
      </c>
      <c r="F568" s="263"/>
      <c r="G568" s="262"/>
    </row>
    <row r="569" spans="1:7">
      <c r="A569" s="261" t="s">
        <v>8</v>
      </c>
      <c r="C569" s="262" t="s">
        <v>1271</v>
      </c>
      <c r="D569" s="497"/>
      <c r="E569" s="498">
        <v>207260</v>
      </c>
      <c r="F569" s="263"/>
      <c r="G569" s="264"/>
    </row>
    <row r="570" spans="1:7">
      <c r="A570" s="261" t="s">
        <v>8</v>
      </c>
      <c r="C570" s="262" t="s">
        <v>1272</v>
      </c>
      <c r="D570" s="497"/>
      <c r="E570" s="498">
        <v>7180</v>
      </c>
      <c r="F570" s="263"/>
      <c r="G570" s="262"/>
    </row>
    <row r="571" spans="1:7">
      <c r="A571" s="261" t="s">
        <v>8</v>
      </c>
      <c r="C571" s="262" t="s">
        <v>1273</v>
      </c>
      <c r="D571" s="497"/>
      <c r="E571" s="498">
        <v>20980</v>
      </c>
      <c r="F571" s="263"/>
      <c r="G571" s="262"/>
    </row>
    <row r="572" spans="1:7">
      <c r="A572" s="261" t="s">
        <v>8</v>
      </c>
      <c r="C572" s="262" t="s">
        <v>1274</v>
      </c>
      <c r="D572" s="497"/>
      <c r="E572" s="498">
        <v>18550</v>
      </c>
      <c r="F572" s="263"/>
      <c r="G572" s="262"/>
    </row>
    <row r="573" spans="1:7">
      <c r="A573" s="261" t="s">
        <v>8</v>
      </c>
      <c r="C573" s="262" t="s">
        <v>1275</v>
      </c>
      <c r="D573" s="497"/>
      <c r="E573" s="498">
        <v>26450</v>
      </c>
      <c r="F573" s="263"/>
      <c r="G573" s="262"/>
    </row>
    <row r="574" spans="1:7">
      <c r="A574" s="261" t="s">
        <v>8</v>
      </c>
      <c r="C574" s="262" t="s">
        <v>1276</v>
      </c>
      <c r="D574" s="497"/>
      <c r="E574" s="497">
        <v>0</v>
      </c>
      <c r="F574" s="263"/>
      <c r="G574" s="262"/>
    </row>
    <row r="575" spans="1:7">
      <c r="A575" s="261" t="s">
        <v>8</v>
      </c>
      <c r="C575" s="262" t="s">
        <v>1277</v>
      </c>
      <c r="D575" s="497"/>
      <c r="E575" s="497">
        <v>0</v>
      </c>
      <c r="F575" s="263"/>
      <c r="G575" s="262"/>
    </row>
    <row r="576" spans="1:7">
      <c r="A576" s="261" t="s">
        <v>8</v>
      </c>
      <c r="C576" s="262" t="s">
        <v>1278</v>
      </c>
      <c r="D576" s="497"/>
      <c r="E576" s="498">
        <v>100000</v>
      </c>
      <c r="F576" s="263"/>
      <c r="G576" s="262"/>
    </row>
    <row r="577" spans="1:7">
      <c r="A577" s="261" t="s">
        <v>8</v>
      </c>
      <c r="C577" s="262" t="s">
        <v>1279</v>
      </c>
      <c r="D577" s="497"/>
      <c r="E577" s="499">
        <v>100000</v>
      </c>
      <c r="F577" s="263"/>
      <c r="G577" s="262"/>
    </row>
    <row r="578" spans="1:7">
      <c r="A578" s="261" t="s">
        <v>8</v>
      </c>
      <c r="C578" s="262" t="s">
        <v>1332</v>
      </c>
      <c r="D578" s="497"/>
      <c r="E578" s="498">
        <v>42630</v>
      </c>
      <c r="F578" s="263"/>
      <c r="G578" s="265"/>
    </row>
    <row r="579" spans="1:7">
      <c r="A579" s="261" t="s">
        <v>8</v>
      </c>
      <c r="C579" s="262" t="s">
        <v>1280</v>
      </c>
      <c r="D579" s="497"/>
      <c r="E579" s="498">
        <f>5000*0+50000*3</f>
        <v>150000</v>
      </c>
      <c r="F579" s="263"/>
      <c r="G579" s="265"/>
    </row>
    <row r="580" spans="1:7">
      <c r="A580" s="261" t="s">
        <v>8</v>
      </c>
      <c r="C580" s="262" t="s">
        <v>382</v>
      </c>
      <c r="D580" s="497"/>
      <c r="E580" s="498">
        <f>5000*0+50000*1</f>
        <v>50000</v>
      </c>
      <c r="F580" s="263"/>
      <c r="G580" s="265"/>
    </row>
    <row r="581" spans="1:7">
      <c r="A581" s="261" t="s">
        <v>8</v>
      </c>
      <c r="C581" s="262" t="s">
        <v>1284</v>
      </c>
      <c r="D581" s="497"/>
      <c r="E581" s="498">
        <f>26766+10250</f>
        <v>37016</v>
      </c>
      <c r="F581" s="263"/>
      <c r="G581" s="265"/>
    </row>
    <row r="582" spans="1:7">
      <c r="A582" s="261" t="s">
        <v>8</v>
      </c>
      <c r="C582" s="262" t="s">
        <v>1315</v>
      </c>
      <c r="D582" s="497"/>
      <c r="E582" s="498">
        <v>60000</v>
      </c>
      <c r="F582" s="263"/>
      <c r="G582" s="265"/>
    </row>
    <row r="583" spans="1:7">
      <c r="A583" s="261" t="s">
        <v>8</v>
      </c>
      <c r="C583" s="262" t="s">
        <v>1482</v>
      </c>
      <c r="D583" s="497"/>
      <c r="E583" s="498">
        <v>1700</v>
      </c>
      <c r="F583" s="263"/>
      <c r="G583" s="265"/>
    </row>
    <row r="584" spans="1:7">
      <c r="A584" s="261" t="s">
        <v>8</v>
      </c>
      <c r="C584" s="262" t="s">
        <v>1302</v>
      </c>
      <c r="D584" s="497"/>
      <c r="E584" s="498">
        <v>25000</v>
      </c>
      <c r="F584" s="263"/>
      <c r="G584" s="265"/>
    </row>
    <row r="585" spans="1:7">
      <c r="A585" s="261" t="s">
        <v>8</v>
      </c>
      <c r="C585" s="262" t="s">
        <v>1483</v>
      </c>
      <c r="D585" s="497"/>
      <c r="E585" s="498">
        <v>50000</v>
      </c>
      <c r="F585" s="263"/>
      <c r="G585" s="265"/>
    </row>
    <row r="586" spans="1:7">
      <c r="A586" s="261" t="s">
        <v>8</v>
      </c>
      <c r="C586" s="262" t="s">
        <v>387</v>
      </c>
      <c r="D586" s="497"/>
      <c r="E586" s="498">
        <v>20000</v>
      </c>
      <c r="F586" s="263"/>
      <c r="G586" s="265"/>
    </row>
    <row r="587" spans="1:7">
      <c r="A587" s="261" t="s">
        <v>8</v>
      </c>
      <c r="C587" s="262" t="s">
        <v>1295</v>
      </c>
      <c r="D587" s="497"/>
      <c r="E587" s="498">
        <v>53000</v>
      </c>
      <c r="F587" s="263"/>
      <c r="G587" s="265"/>
    </row>
    <row r="588" spans="1:7">
      <c r="A588" s="261" t="s">
        <v>8</v>
      </c>
      <c r="C588" s="262" t="s">
        <v>1484</v>
      </c>
      <c r="D588" s="497"/>
      <c r="E588" s="498">
        <v>105000</v>
      </c>
      <c r="F588" s="263"/>
      <c r="G588" s="265"/>
    </row>
    <row r="589" spans="1:7">
      <c r="A589" s="261" t="s">
        <v>8</v>
      </c>
      <c r="C589" s="262" t="s">
        <v>1485</v>
      </c>
      <c r="D589" s="497"/>
      <c r="E589" s="498">
        <v>33000</v>
      </c>
      <c r="F589" s="263"/>
      <c r="G589" s="265"/>
    </row>
    <row r="590" spans="1:7">
      <c r="A590" s="261" t="s">
        <v>8</v>
      </c>
      <c r="C590" s="262" t="s">
        <v>1486</v>
      </c>
      <c r="D590" s="497"/>
      <c r="E590" s="498">
        <v>18500</v>
      </c>
      <c r="F590" s="263"/>
      <c r="G590" s="265"/>
    </row>
    <row r="591" spans="1:7">
      <c r="A591" s="261" t="s">
        <v>8</v>
      </c>
      <c r="C591" s="262" t="s">
        <v>1487</v>
      </c>
      <c r="D591" s="497"/>
      <c r="E591" s="498">
        <v>24000</v>
      </c>
      <c r="F591" s="263"/>
      <c r="G591" s="265"/>
    </row>
    <row r="592" spans="1:7">
      <c r="A592" s="261" t="s">
        <v>8</v>
      </c>
      <c r="C592" s="262" t="s">
        <v>1297</v>
      </c>
      <c r="D592" s="497"/>
      <c r="E592" s="498">
        <v>15600</v>
      </c>
      <c r="F592" s="263"/>
      <c r="G592" s="265"/>
    </row>
    <row r="593" spans="1:7">
      <c r="A593" s="261" t="s">
        <v>8</v>
      </c>
      <c r="C593" s="262" t="s">
        <v>1316</v>
      </c>
      <c r="D593" s="497"/>
      <c r="E593" s="498">
        <v>26000</v>
      </c>
      <c r="F593" s="263"/>
      <c r="G593" s="265"/>
    </row>
    <row r="594" spans="1:7">
      <c r="A594" s="261" t="s">
        <v>8</v>
      </c>
      <c r="C594" s="262" t="s">
        <v>1488</v>
      </c>
      <c r="D594" s="497"/>
      <c r="E594" s="498">
        <v>87000</v>
      </c>
      <c r="F594" s="263"/>
      <c r="G594" s="265"/>
    </row>
    <row r="595" spans="1:7">
      <c r="A595" s="261" t="s">
        <v>8</v>
      </c>
      <c r="C595" s="262" t="s">
        <v>1396</v>
      </c>
      <c r="D595" s="498">
        <v>977</v>
      </c>
      <c r="E595" s="497"/>
      <c r="F595" s="263"/>
      <c r="G595" s="265"/>
    </row>
    <row r="596" spans="1:7">
      <c r="A596" s="261" t="s">
        <v>8</v>
      </c>
      <c r="C596" s="262" t="s">
        <v>1489</v>
      </c>
      <c r="D596" s="498">
        <v>300000</v>
      </c>
      <c r="E596" s="497"/>
      <c r="F596" s="263"/>
      <c r="G596" s="265"/>
    </row>
    <row r="597" spans="1:7">
      <c r="A597" s="261" t="s">
        <v>8</v>
      </c>
      <c r="C597" s="262" t="s">
        <v>1283</v>
      </c>
      <c r="D597" s="497"/>
      <c r="E597" s="498">
        <v>88310</v>
      </c>
      <c r="F597" s="263"/>
      <c r="G597" s="265"/>
    </row>
    <row r="598" spans="1:7">
      <c r="A598" s="261" t="s">
        <v>8</v>
      </c>
      <c r="C598" s="262" t="s">
        <v>1490</v>
      </c>
      <c r="D598" s="497"/>
      <c r="E598" s="498">
        <v>270500</v>
      </c>
      <c r="F598" s="263"/>
      <c r="G598" s="265"/>
    </row>
    <row r="599" spans="1:7">
      <c r="A599" s="261" t="s">
        <v>8</v>
      </c>
      <c r="C599" s="262" t="s">
        <v>383</v>
      </c>
      <c r="D599" s="497"/>
      <c r="E599" s="498">
        <v>147000</v>
      </c>
      <c r="F599" s="263"/>
      <c r="G599" s="265"/>
    </row>
    <row r="600" spans="1:7">
      <c r="A600" s="261" t="s">
        <v>8</v>
      </c>
      <c r="C600" s="262" t="s">
        <v>1491</v>
      </c>
      <c r="D600" s="497"/>
      <c r="E600" s="498">
        <v>600000</v>
      </c>
      <c r="F600" s="263"/>
      <c r="G600" s="265"/>
    </row>
    <row r="601" spans="1:7">
      <c r="A601" s="261" t="s">
        <v>8</v>
      </c>
      <c r="C601" s="262" t="s">
        <v>1492</v>
      </c>
      <c r="D601" s="497"/>
      <c r="E601" s="498">
        <v>5500</v>
      </c>
      <c r="F601" s="263"/>
      <c r="G601" s="265"/>
    </row>
    <row r="602" spans="1:7">
      <c r="A602" s="261" t="s">
        <v>8</v>
      </c>
      <c r="C602" s="262" t="s">
        <v>1480</v>
      </c>
      <c r="D602" s="497"/>
      <c r="E602" s="498">
        <v>22300</v>
      </c>
      <c r="F602" s="263"/>
      <c r="G602" s="265"/>
    </row>
    <row r="603" spans="1:7">
      <c r="A603" s="261" t="s">
        <v>8</v>
      </c>
      <c r="C603" s="262" t="s">
        <v>1323</v>
      </c>
      <c r="D603" s="497"/>
      <c r="E603" s="498">
        <v>5000</v>
      </c>
      <c r="F603" s="263"/>
      <c r="G603" s="265"/>
    </row>
    <row r="604" spans="1:7">
      <c r="A604" s="261" t="s">
        <v>8</v>
      </c>
      <c r="C604" s="262" t="s">
        <v>1493</v>
      </c>
      <c r="D604" s="497"/>
      <c r="E604" s="498">
        <v>24000</v>
      </c>
      <c r="F604" s="263"/>
      <c r="G604" s="265"/>
    </row>
    <row r="605" spans="1:7">
      <c r="A605" s="261" t="s">
        <v>8</v>
      </c>
      <c r="C605" s="262" t="s">
        <v>1494</v>
      </c>
      <c r="D605" s="497"/>
      <c r="E605" s="498">
        <v>4500</v>
      </c>
      <c r="F605" s="263"/>
      <c r="G605" s="265"/>
    </row>
    <row r="606" spans="1:7">
      <c r="A606" s="261" t="s">
        <v>8</v>
      </c>
      <c r="C606" s="262" t="s">
        <v>1413</v>
      </c>
      <c r="D606" s="497"/>
      <c r="E606" s="498">
        <v>1000000</v>
      </c>
      <c r="F606" s="263"/>
      <c r="G606" s="265"/>
    </row>
    <row r="607" spans="1:7">
      <c r="A607" s="261" t="s">
        <v>8</v>
      </c>
      <c r="C607" s="262" t="s">
        <v>384</v>
      </c>
      <c r="D607" s="497"/>
      <c r="E607" s="498">
        <v>3500</v>
      </c>
      <c r="F607" s="263"/>
      <c r="G607" s="265"/>
    </row>
    <row r="608" spans="1:7">
      <c r="A608" s="261" t="s">
        <v>8</v>
      </c>
      <c r="C608" s="262" t="s">
        <v>1317</v>
      </c>
      <c r="D608" s="497"/>
      <c r="E608" s="498">
        <v>200000</v>
      </c>
      <c r="F608" s="263"/>
      <c r="G608" s="265"/>
    </row>
    <row r="609" spans="1:7">
      <c r="A609" s="261" t="s">
        <v>8</v>
      </c>
      <c r="C609" s="262" t="s">
        <v>1495</v>
      </c>
      <c r="D609" s="497"/>
      <c r="E609" s="498">
        <v>72000</v>
      </c>
      <c r="F609" s="263"/>
      <c r="G609" s="265"/>
    </row>
    <row r="610" spans="1:7">
      <c r="A610" s="261" t="s">
        <v>8</v>
      </c>
      <c r="C610" s="262" t="s">
        <v>1496</v>
      </c>
      <c r="D610" s="497"/>
      <c r="E610" s="498">
        <v>10000</v>
      </c>
      <c r="F610" s="263"/>
      <c r="G610" s="265"/>
    </row>
    <row r="611" spans="1:7">
      <c r="A611" s="261" t="s">
        <v>8</v>
      </c>
      <c r="C611" s="262" t="s">
        <v>1497</v>
      </c>
      <c r="D611" s="497"/>
      <c r="E611" s="498">
        <v>40000</v>
      </c>
      <c r="F611" s="263"/>
      <c r="G611" s="265"/>
    </row>
    <row r="612" spans="1:7">
      <c r="A612" s="261" t="s">
        <v>8</v>
      </c>
      <c r="C612" s="262" t="s">
        <v>1300</v>
      </c>
      <c r="D612" s="497">
        <f>SUM(D566:D611)-SUM(E566:E611)</f>
        <v>199431</v>
      </c>
      <c r="E612" s="497">
        <f>SUM(E566:E611)-SUM(F566:F611)</f>
        <v>4655976</v>
      </c>
      <c r="F612" s="263"/>
      <c r="G612" s="262"/>
    </row>
    <row r="613" spans="1:7">
      <c r="A613" s="261" t="s">
        <v>8</v>
      </c>
    </row>
    <row r="614" spans="1:7">
      <c r="A614" s="261" t="s">
        <v>8</v>
      </c>
    </row>
    <row r="615" spans="1:7">
      <c r="A615" s="261" t="s">
        <v>8</v>
      </c>
      <c r="B615" s="256" t="s">
        <v>2150</v>
      </c>
      <c r="C615" s="262" t="s">
        <v>1268</v>
      </c>
      <c r="D615" s="498">
        <v>4617660</v>
      </c>
      <c r="E615" s="497"/>
      <c r="F615" s="263"/>
      <c r="G615" s="262"/>
    </row>
    <row r="616" spans="1:7">
      <c r="A616" s="261" t="s">
        <v>8</v>
      </c>
      <c r="C616" s="262" t="s">
        <v>1269</v>
      </c>
      <c r="D616" s="497"/>
      <c r="E616" s="498">
        <v>412500</v>
      </c>
      <c r="F616" s="263"/>
      <c r="G616" s="262" t="s">
        <v>2122</v>
      </c>
    </row>
    <row r="617" spans="1:7">
      <c r="A617" s="261" t="s">
        <v>8</v>
      </c>
      <c r="C617" s="262" t="s">
        <v>1270</v>
      </c>
      <c r="D617" s="497"/>
      <c r="E617" s="498">
        <v>654000</v>
      </c>
      <c r="F617" s="263"/>
      <c r="G617" s="262"/>
    </row>
    <row r="618" spans="1:7">
      <c r="A618" s="261" t="s">
        <v>8</v>
      </c>
      <c r="C618" s="262" t="s">
        <v>1271</v>
      </c>
      <c r="D618" s="497"/>
      <c r="E618" s="498">
        <v>247660</v>
      </c>
      <c r="F618" s="263"/>
      <c r="G618" s="264"/>
    </row>
    <row r="619" spans="1:7">
      <c r="A619" s="261" t="s">
        <v>8</v>
      </c>
      <c r="C619" s="262" t="s">
        <v>1272</v>
      </c>
      <c r="D619" s="497"/>
      <c r="E619" s="498">
        <v>7180</v>
      </c>
      <c r="F619" s="263"/>
      <c r="G619" s="262"/>
    </row>
    <row r="620" spans="1:7">
      <c r="A620" s="261" t="s">
        <v>8</v>
      </c>
      <c r="C620" s="262" t="s">
        <v>1273</v>
      </c>
      <c r="D620" s="497"/>
      <c r="E620" s="498">
        <v>20980</v>
      </c>
      <c r="F620" s="263"/>
      <c r="G620" s="262"/>
    </row>
    <row r="621" spans="1:7">
      <c r="A621" s="261" t="s">
        <v>8</v>
      </c>
      <c r="C621" s="262" t="s">
        <v>1274</v>
      </c>
      <c r="D621" s="497"/>
      <c r="E621" s="498">
        <v>18550</v>
      </c>
      <c r="F621" s="263"/>
      <c r="G621" s="262"/>
    </row>
    <row r="622" spans="1:7">
      <c r="A622" s="261" t="s">
        <v>8</v>
      </c>
      <c r="C622" s="262" t="s">
        <v>1275</v>
      </c>
      <c r="D622" s="497"/>
      <c r="E622" s="498">
        <v>26450</v>
      </c>
      <c r="F622" s="263"/>
      <c r="G622" s="262"/>
    </row>
    <row r="623" spans="1:7">
      <c r="A623" s="261" t="s">
        <v>8</v>
      </c>
      <c r="C623" s="262" t="s">
        <v>1276</v>
      </c>
      <c r="D623" s="497"/>
      <c r="E623" s="498">
        <v>258070</v>
      </c>
      <c r="F623" s="263"/>
      <c r="G623" s="262"/>
    </row>
    <row r="624" spans="1:7">
      <c r="A624" s="261" t="s">
        <v>8</v>
      </c>
      <c r="C624" s="262" t="s">
        <v>1277</v>
      </c>
      <c r="D624" s="497"/>
      <c r="E624" s="498">
        <v>10650</v>
      </c>
      <c r="F624" s="263"/>
      <c r="G624" s="262"/>
    </row>
    <row r="625" spans="1:7">
      <c r="A625" s="261" t="s">
        <v>8</v>
      </c>
      <c r="C625" s="262" t="s">
        <v>1278</v>
      </c>
      <c r="D625" s="497"/>
      <c r="E625" s="498">
        <v>100000</v>
      </c>
      <c r="F625" s="263"/>
      <c r="G625" s="262"/>
    </row>
    <row r="626" spans="1:7">
      <c r="A626" s="261" t="s">
        <v>8</v>
      </c>
      <c r="C626" s="262" t="s">
        <v>1279</v>
      </c>
      <c r="D626" s="497"/>
      <c r="E626" s="499">
        <v>100000</v>
      </c>
      <c r="F626" s="263"/>
      <c r="G626" s="262"/>
    </row>
    <row r="627" spans="1:7">
      <c r="A627" s="261" t="s">
        <v>8</v>
      </c>
      <c r="C627" s="262" t="s">
        <v>1332</v>
      </c>
      <c r="D627" s="497"/>
      <c r="E627" s="498">
        <v>42630</v>
      </c>
      <c r="F627" s="263"/>
      <c r="G627" s="265"/>
    </row>
    <row r="628" spans="1:7">
      <c r="A628" s="261" t="s">
        <v>8</v>
      </c>
      <c r="C628" s="262" t="s">
        <v>1484</v>
      </c>
      <c r="D628" s="497"/>
      <c r="E628" s="498">
        <v>0</v>
      </c>
      <c r="F628" s="263"/>
      <c r="G628" s="265"/>
    </row>
    <row r="629" spans="1:7">
      <c r="A629" s="261" t="s">
        <v>8</v>
      </c>
      <c r="C629" s="262" t="s">
        <v>1280</v>
      </c>
      <c r="D629" s="497"/>
      <c r="E629" s="498">
        <f>5000*1+50000*4</f>
        <v>205000</v>
      </c>
      <c r="F629" s="263"/>
      <c r="G629" s="265"/>
    </row>
    <row r="630" spans="1:7">
      <c r="A630" s="261" t="s">
        <v>8</v>
      </c>
      <c r="C630" s="262" t="s">
        <v>382</v>
      </c>
      <c r="D630" s="497"/>
      <c r="E630" s="498">
        <f>5000*0+50000*0</f>
        <v>0</v>
      </c>
      <c r="F630" s="263"/>
      <c r="G630" s="265"/>
    </row>
    <row r="631" spans="1:7">
      <c r="A631" s="261" t="s">
        <v>8</v>
      </c>
      <c r="C631" s="262" t="s">
        <v>1413</v>
      </c>
      <c r="D631" s="497"/>
      <c r="E631" s="498">
        <v>1000000</v>
      </c>
      <c r="F631" s="263"/>
      <c r="G631" s="265"/>
    </row>
    <row r="632" spans="1:7">
      <c r="A632" s="261" t="s">
        <v>8</v>
      </c>
      <c r="C632" s="262" t="s">
        <v>1284</v>
      </c>
      <c r="D632" s="497"/>
      <c r="E632" s="498">
        <f>4650+58730</f>
        <v>63380</v>
      </c>
      <c r="F632" s="263"/>
      <c r="G632" s="265"/>
    </row>
    <row r="633" spans="1:7">
      <c r="A633" s="261" t="s">
        <v>8</v>
      </c>
      <c r="C633" s="262" t="s">
        <v>1315</v>
      </c>
      <c r="D633" s="497"/>
      <c r="E633" s="498">
        <v>30000</v>
      </c>
      <c r="F633" s="263"/>
      <c r="G633" s="265"/>
    </row>
    <row r="634" spans="1:7">
      <c r="A634" s="261" t="s">
        <v>8</v>
      </c>
      <c r="C634" s="262" t="s">
        <v>1474</v>
      </c>
      <c r="D634" s="498">
        <v>1200</v>
      </c>
      <c r="E634" s="498">
        <v>1415390</v>
      </c>
      <c r="F634" s="263"/>
      <c r="G634" s="265" t="s">
        <v>2151</v>
      </c>
    </row>
    <row r="635" spans="1:7">
      <c r="A635" s="261" t="s">
        <v>8</v>
      </c>
      <c r="C635" s="262" t="s">
        <v>1490</v>
      </c>
      <c r="D635" s="498">
        <v>270500</v>
      </c>
      <c r="E635" s="497"/>
      <c r="F635" s="263"/>
      <c r="G635" s="265"/>
    </row>
    <row r="636" spans="1:7">
      <c r="A636" s="261" t="s">
        <v>8</v>
      </c>
      <c r="C636" s="262" t="s">
        <v>1331</v>
      </c>
      <c r="D636" s="497"/>
      <c r="E636" s="498">
        <v>9500</v>
      </c>
      <c r="F636" s="263"/>
      <c r="G636" s="265"/>
    </row>
    <row r="637" spans="1:7">
      <c r="A637" s="261" t="s">
        <v>8</v>
      </c>
      <c r="C637" s="262" t="s">
        <v>1498</v>
      </c>
      <c r="D637" s="497"/>
      <c r="E637" s="498">
        <v>15000</v>
      </c>
      <c r="F637" s="263"/>
      <c r="G637" s="265"/>
    </row>
    <row r="638" spans="1:7">
      <c r="A638" s="261" t="s">
        <v>8</v>
      </c>
      <c r="C638" s="262" t="s">
        <v>384</v>
      </c>
      <c r="D638" s="497"/>
      <c r="E638" s="498">
        <v>2300</v>
      </c>
      <c r="F638" s="263"/>
      <c r="G638" s="265"/>
    </row>
    <row r="639" spans="1:7">
      <c r="A639" s="261" t="s">
        <v>8</v>
      </c>
      <c r="C639" s="262" t="s">
        <v>1499</v>
      </c>
      <c r="D639" s="497"/>
      <c r="E639" s="498">
        <v>8700</v>
      </c>
      <c r="F639" s="263"/>
      <c r="G639" s="265"/>
    </row>
    <row r="640" spans="1:7">
      <c r="A640" s="261" t="s">
        <v>8</v>
      </c>
      <c r="C640" s="262" t="s">
        <v>1500</v>
      </c>
      <c r="D640" s="497"/>
      <c r="E640" s="498">
        <v>10000</v>
      </c>
      <c r="F640" s="263"/>
      <c r="G640" s="265"/>
    </row>
    <row r="641" spans="1:7">
      <c r="A641" s="261" t="s">
        <v>8</v>
      </c>
      <c r="C641" s="262" t="s">
        <v>1501</v>
      </c>
      <c r="D641" s="497"/>
      <c r="E641" s="498">
        <v>21500</v>
      </c>
      <c r="F641" s="263"/>
      <c r="G641" s="265"/>
    </row>
    <row r="642" spans="1:7">
      <c r="A642" s="261" t="s">
        <v>8</v>
      </c>
      <c r="C642" s="262" t="s">
        <v>1502</v>
      </c>
      <c r="D642" s="497"/>
      <c r="E642" s="498">
        <v>13000</v>
      </c>
      <c r="F642" s="263"/>
      <c r="G642" s="265"/>
    </row>
    <row r="643" spans="1:7">
      <c r="A643" s="261" t="s">
        <v>8</v>
      </c>
      <c r="C643" s="262" t="s">
        <v>1503</v>
      </c>
      <c r="D643" s="497"/>
      <c r="E643" s="498">
        <v>50000</v>
      </c>
      <c r="F643" s="263"/>
      <c r="G643" s="265"/>
    </row>
    <row r="644" spans="1:7">
      <c r="A644" s="261" t="s">
        <v>8</v>
      </c>
      <c r="C644" s="262" t="s">
        <v>1496</v>
      </c>
      <c r="D644" s="497"/>
      <c r="E644" s="498">
        <v>5000</v>
      </c>
      <c r="F644" s="263"/>
      <c r="G644" s="265"/>
    </row>
    <row r="645" spans="1:7">
      <c r="A645" s="261" t="s">
        <v>8</v>
      </c>
      <c r="C645" s="262" t="s">
        <v>1436</v>
      </c>
      <c r="D645" s="497"/>
      <c r="E645" s="498">
        <v>53300</v>
      </c>
      <c r="F645" s="263"/>
      <c r="G645" s="265"/>
    </row>
    <row r="646" spans="1:7">
      <c r="A646" s="261" t="s">
        <v>8</v>
      </c>
      <c r="C646" s="262" t="s">
        <v>1504</v>
      </c>
      <c r="D646" s="497"/>
      <c r="E646" s="498">
        <v>10000</v>
      </c>
      <c r="F646" s="263"/>
      <c r="G646" s="265"/>
    </row>
    <row r="647" spans="1:7">
      <c r="A647" s="261" t="s">
        <v>8</v>
      </c>
      <c r="C647" s="262" t="s">
        <v>1302</v>
      </c>
      <c r="D647" s="497"/>
      <c r="E647" s="498">
        <v>19900</v>
      </c>
      <c r="F647" s="263"/>
      <c r="G647" s="265"/>
    </row>
    <row r="648" spans="1:7">
      <c r="A648" s="261" t="s">
        <v>8</v>
      </c>
      <c r="C648" s="262" t="s">
        <v>1505</v>
      </c>
      <c r="D648" s="497"/>
      <c r="E648" s="498">
        <v>36700</v>
      </c>
      <c r="F648" s="263"/>
      <c r="G648" s="265"/>
    </row>
    <row r="649" spans="1:7">
      <c r="A649" s="261" t="s">
        <v>8</v>
      </c>
      <c r="C649" s="262" t="s">
        <v>1506</v>
      </c>
      <c r="D649" s="497"/>
      <c r="E649" s="498">
        <v>27000</v>
      </c>
      <c r="F649" s="263"/>
      <c r="G649" s="265"/>
    </row>
    <row r="650" spans="1:7">
      <c r="A650" s="261" t="s">
        <v>8</v>
      </c>
      <c r="C650" s="262" t="s">
        <v>1507</v>
      </c>
      <c r="D650" s="497"/>
      <c r="E650" s="498">
        <v>22000</v>
      </c>
      <c r="F650" s="263"/>
      <c r="G650" s="265"/>
    </row>
    <row r="651" spans="1:7">
      <c r="A651" s="261" t="s">
        <v>8</v>
      </c>
      <c r="C651" s="262" t="s">
        <v>1326</v>
      </c>
      <c r="D651" s="497"/>
      <c r="E651" s="498">
        <v>33200</v>
      </c>
      <c r="F651" s="263"/>
      <c r="G651" s="265"/>
    </row>
    <row r="652" spans="1:7">
      <c r="A652" s="261" t="s">
        <v>8</v>
      </c>
      <c r="C652" s="262" t="s">
        <v>1508</v>
      </c>
      <c r="D652" s="497"/>
      <c r="E652" s="498">
        <v>1000</v>
      </c>
      <c r="F652" s="263"/>
      <c r="G652" s="265"/>
    </row>
    <row r="653" spans="1:7">
      <c r="A653" s="261" t="s">
        <v>8</v>
      </c>
      <c r="C653" s="262" t="s">
        <v>1471</v>
      </c>
      <c r="D653" s="497"/>
      <c r="E653" s="498">
        <v>9500</v>
      </c>
      <c r="F653" s="263"/>
      <c r="G653" s="265"/>
    </row>
    <row r="654" spans="1:7">
      <c r="A654" s="261" t="s">
        <v>8</v>
      </c>
      <c r="C654" s="262" t="s">
        <v>1325</v>
      </c>
      <c r="D654" s="497"/>
      <c r="E654" s="498">
        <v>20500</v>
      </c>
      <c r="F654" s="263"/>
      <c r="G654" s="265"/>
    </row>
    <row r="655" spans="1:7">
      <c r="A655" s="261" t="s">
        <v>8</v>
      </c>
      <c r="C655" s="262" t="s">
        <v>1509</v>
      </c>
      <c r="D655" s="497"/>
      <c r="E655" s="498">
        <v>87000</v>
      </c>
      <c r="F655" s="263"/>
      <c r="G655" s="265"/>
    </row>
    <row r="656" spans="1:7">
      <c r="A656" s="261" t="s">
        <v>8</v>
      </c>
      <c r="C656" s="262" t="s">
        <v>1453</v>
      </c>
      <c r="D656" s="497"/>
      <c r="E656" s="498">
        <v>27600</v>
      </c>
      <c r="F656" s="263"/>
      <c r="G656" s="265"/>
    </row>
    <row r="657" spans="1:7">
      <c r="A657" s="261" t="s">
        <v>8</v>
      </c>
      <c r="C657" s="262" t="s">
        <v>1309</v>
      </c>
      <c r="D657" s="497"/>
      <c r="E657" s="498">
        <v>2400</v>
      </c>
      <c r="F657" s="263"/>
      <c r="G657" s="265"/>
    </row>
    <row r="658" spans="1:7">
      <c r="A658" s="261" t="s">
        <v>8</v>
      </c>
      <c r="C658" s="262" t="s">
        <v>1510</v>
      </c>
      <c r="D658" s="497"/>
      <c r="E658" s="498">
        <v>26927</v>
      </c>
      <c r="F658" s="263"/>
      <c r="G658" s="265"/>
    </row>
    <row r="659" spans="1:7">
      <c r="A659" s="261" t="s">
        <v>8</v>
      </c>
      <c r="C659" s="262" t="s">
        <v>1511</v>
      </c>
      <c r="D659" s="497"/>
      <c r="E659" s="498">
        <v>38000</v>
      </c>
      <c r="F659" s="263"/>
      <c r="G659" s="265"/>
    </row>
    <row r="660" spans="1:7">
      <c r="A660" s="261" t="s">
        <v>8</v>
      </c>
      <c r="C660" s="262" t="s">
        <v>1512</v>
      </c>
      <c r="D660" s="497"/>
      <c r="E660" s="498">
        <v>8000</v>
      </c>
      <c r="F660" s="263"/>
      <c r="G660" s="265"/>
    </row>
    <row r="661" spans="1:7">
      <c r="A661" s="261" t="s">
        <v>8</v>
      </c>
      <c r="C661" s="262" t="s">
        <v>1513</v>
      </c>
      <c r="D661" s="497"/>
      <c r="E661" s="498">
        <v>3000</v>
      </c>
      <c r="F661" s="263"/>
      <c r="G661" s="265"/>
    </row>
    <row r="662" spans="1:7">
      <c r="A662" s="261" t="s">
        <v>8</v>
      </c>
      <c r="C662" s="262" t="s">
        <v>1351</v>
      </c>
      <c r="D662" s="497"/>
      <c r="E662" s="498">
        <v>50000</v>
      </c>
      <c r="F662" s="263"/>
      <c r="G662" s="265"/>
    </row>
    <row r="663" spans="1:7">
      <c r="A663" s="261" t="s">
        <v>8</v>
      </c>
      <c r="C663" s="262" t="s">
        <v>385</v>
      </c>
      <c r="D663" s="497"/>
      <c r="E663" s="498">
        <v>10600</v>
      </c>
      <c r="F663" s="263"/>
      <c r="G663" s="265"/>
    </row>
    <row r="664" spans="1:7">
      <c r="A664" s="261" t="s">
        <v>8</v>
      </c>
      <c r="C664" s="262" t="s">
        <v>1441</v>
      </c>
      <c r="D664" s="497"/>
      <c r="E664" s="498">
        <v>27500</v>
      </c>
      <c r="F664" s="263"/>
      <c r="G664" s="265"/>
    </row>
    <row r="665" spans="1:7">
      <c r="A665" s="261" t="s">
        <v>8</v>
      </c>
      <c r="C665" s="262" t="s">
        <v>1339</v>
      </c>
      <c r="D665" s="497"/>
      <c r="E665" s="498">
        <v>3500</v>
      </c>
      <c r="F665" s="263"/>
      <c r="G665" s="265"/>
    </row>
    <row r="666" spans="1:7">
      <c r="A666" s="261" t="s">
        <v>8</v>
      </c>
      <c r="C666" s="262" t="s">
        <v>1514</v>
      </c>
      <c r="D666" s="497"/>
      <c r="E666" s="498">
        <v>22000</v>
      </c>
      <c r="F666" s="263"/>
      <c r="G666" s="265"/>
    </row>
    <row r="667" spans="1:7">
      <c r="A667" s="261" t="s">
        <v>8</v>
      </c>
      <c r="C667" s="262" t="s">
        <v>1433</v>
      </c>
      <c r="D667" s="497"/>
      <c r="E667" s="498">
        <v>5500</v>
      </c>
      <c r="F667" s="263"/>
      <c r="G667" s="265"/>
    </row>
    <row r="668" spans="1:7">
      <c r="A668" s="261" t="s">
        <v>8</v>
      </c>
      <c r="C668" s="262" t="s">
        <v>1515</v>
      </c>
      <c r="D668" s="497"/>
      <c r="E668" s="498">
        <v>32000</v>
      </c>
      <c r="F668" s="263"/>
      <c r="G668" s="265"/>
    </row>
    <row r="669" spans="1:7">
      <c r="A669" s="261" t="s">
        <v>8</v>
      </c>
      <c r="C669" s="262" t="s">
        <v>1300</v>
      </c>
      <c r="D669" s="497">
        <f>SUM(D615:D668)-SUM(E615:E668)</f>
        <v>-435207</v>
      </c>
      <c r="E669" s="497">
        <f>SUM(E615:E668)-SUM(F615:F668)</f>
        <v>5324567</v>
      </c>
      <c r="F669" s="263"/>
      <c r="G669" s="262"/>
    </row>
    <row r="670" spans="1:7">
      <c r="A670" s="261" t="s">
        <v>8</v>
      </c>
    </row>
    <row r="671" spans="1:7">
      <c r="A671" s="261" t="s">
        <v>8</v>
      </c>
    </row>
    <row r="672" spans="1:7">
      <c r="A672" s="261" t="s">
        <v>8</v>
      </c>
      <c r="B672" s="256" t="s">
        <v>2152</v>
      </c>
      <c r="C672" s="262" t="s">
        <v>1268</v>
      </c>
      <c r="D672" s="498">
        <v>4598510</v>
      </c>
      <c r="E672" s="497"/>
      <c r="F672" s="263"/>
      <c r="G672" s="262"/>
    </row>
    <row r="673" spans="1:7">
      <c r="A673" s="261" t="s">
        <v>8</v>
      </c>
      <c r="C673" s="262" t="s">
        <v>1269</v>
      </c>
      <c r="D673" s="497"/>
      <c r="E673" s="498">
        <v>367000</v>
      </c>
      <c r="F673" s="263"/>
      <c r="G673" s="262" t="s">
        <v>2153</v>
      </c>
    </row>
    <row r="674" spans="1:7">
      <c r="A674" s="261" t="s">
        <v>8</v>
      </c>
      <c r="C674" s="262" t="s">
        <v>1270</v>
      </c>
      <c r="D674" s="497"/>
      <c r="E674" s="498">
        <f>572000</f>
        <v>572000</v>
      </c>
      <c r="F674" s="263"/>
      <c r="G674" s="262"/>
    </row>
    <row r="675" spans="1:7">
      <c r="A675" s="261" t="s">
        <v>8</v>
      </c>
      <c r="C675" s="262" t="s">
        <v>1271</v>
      </c>
      <c r="D675" s="497"/>
      <c r="E675" s="498">
        <v>219860</v>
      </c>
      <c r="F675" s="263"/>
      <c r="G675" s="264"/>
    </row>
    <row r="676" spans="1:7">
      <c r="A676" s="261" t="s">
        <v>8</v>
      </c>
      <c r="C676" s="262" t="s">
        <v>1272</v>
      </c>
      <c r="D676" s="497"/>
      <c r="E676" s="498">
        <v>7180</v>
      </c>
      <c r="F676" s="263"/>
      <c r="G676" s="262"/>
    </row>
    <row r="677" spans="1:7">
      <c r="A677" s="261" t="s">
        <v>8</v>
      </c>
      <c r="C677" s="262" t="s">
        <v>1273</v>
      </c>
      <c r="D677" s="497"/>
      <c r="E677" s="498">
        <v>20980</v>
      </c>
      <c r="F677" s="263"/>
      <c r="G677" s="262"/>
    </row>
    <row r="678" spans="1:7">
      <c r="A678" s="261" t="s">
        <v>8</v>
      </c>
      <c r="C678" s="262" t="s">
        <v>1274</v>
      </c>
      <c r="D678" s="497"/>
      <c r="E678" s="498">
        <v>18550</v>
      </c>
      <c r="F678" s="263"/>
      <c r="G678" s="262"/>
    </row>
    <row r="679" spans="1:7">
      <c r="A679" s="261" t="s">
        <v>8</v>
      </c>
      <c r="C679" s="262" t="s">
        <v>1275</v>
      </c>
      <c r="D679" s="497"/>
      <c r="E679" s="498">
        <v>26450</v>
      </c>
      <c r="F679" s="263"/>
      <c r="G679" s="262"/>
    </row>
    <row r="680" spans="1:7">
      <c r="A680" s="261" t="s">
        <v>8</v>
      </c>
      <c r="C680" s="262" t="s">
        <v>1516</v>
      </c>
      <c r="D680" s="497"/>
      <c r="E680" s="498">
        <v>18816</v>
      </c>
      <c r="F680" s="263"/>
      <c r="G680" s="262"/>
    </row>
    <row r="681" spans="1:7">
      <c r="A681" s="261" t="s">
        <v>8</v>
      </c>
      <c r="C681" s="262" t="s">
        <v>1517</v>
      </c>
      <c r="D681" s="497"/>
      <c r="E681" s="498">
        <v>23230</v>
      </c>
      <c r="F681" s="263"/>
      <c r="G681" s="262"/>
    </row>
    <row r="682" spans="1:7">
      <c r="A682" s="261" t="s">
        <v>8</v>
      </c>
      <c r="C682" s="262" t="s">
        <v>1276</v>
      </c>
      <c r="D682" s="497"/>
      <c r="E682" s="498">
        <v>343600</v>
      </c>
      <c r="F682" s="263"/>
      <c r="G682" s="262"/>
    </row>
    <row r="683" spans="1:7">
      <c r="A683" s="261" t="s">
        <v>8</v>
      </c>
      <c r="C683" s="262" t="s">
        <v>1277</v>
      </c>
      <c r="D683" s="497"/>
      <c r="E683" s="498">
        <v>0</v>
      </c>
      <c r="F683" s="263"/>
      <c r="G683" s="262"/>
    </row>
    <row r="684" spans="1:7">
      <c r="A684" s="261" t="s">
        <v>8</v>
      </c>
      <c r="C684" s="262" t="s">
        <v>1278</v>
      </c>
      <c r="D684" s="497"/>
      <c r="E684" s="498">
        <v>100000</v>
      </c>
      <c r="F684" s="263"/>
      <c r="G684" s="262"/>
    </row>
    <row r="685" spans="1:7">
      <c r="A685" s="261" t="s">
        <v>8</v>
      </c>
      <c r="C685" s="262" t="s">
        <v>1279</v>
      </c>
      <c r="D685" s="497"/>
      <c r="E685" s="499">
        <v>100000</v>
      </c>
      <c r="F685" s="263"/>
      <c r="G685" s="262"/>
    </row>
    <row r="686" spans="1:7">
      <c r="A686" s="261" t="s">
        <v>8</v>
      </c>
      <c r="C686" s="262" t="s">
        <v>1332</v>
      </c>
      <c r="D686" s="497"/>
      <c r="E686" s="498">
        <v>42630</v>
      </c>
      <c r="F686" s="263"/>
      <c r="G686" s="265"/>
    </row>
    <row r="687" spans="1:7">
      <c r="A687" s="261" t="s">
        <v>8</v>
      </c>
      <c r="C687" s="262" t="s">
        <v>1484</v>
      </c>
      <c r="D687" s="497"/>
      <c r="E687" s="498">
        <v>105000</v>
      </c>
      <c r="F687" s="263"/>
      <c r="G687" s="265"/>
    </row>
    <row r="688" spans="1:7">
      <c r="A688" s="261" t="s">
        <v>8</v>
      </c>
      <c r="C688" s="262" t="s">
        <v>1280</v>
      </c>
      <c r="D688" s="497"/>
      <c r="E688" s="498">
        <f>5000*0+50000*3</f>
        <v>150000</v>
      </c>
      <c r="F688" s="263"/>
      <c r="G688" s="265"/>
    </row>
    <row r="689" spans="1:7">
      <c r="A689" s="261" t="s">
        <v>8</v>
      </c>
      <c r="C689" s="262" t="s">
        <v>382</v>
      </c>
      <c r="D689" s="497"/>
      <c r="E689" s="498">
        <f>5000*0+50000*1</f>
        <v>50000</v>
      </c>
      <c r="F689" s="263"/>
      <c r="G689" s="265"/>
    </row>
    <row r="690" spans="1:7">
      <c r="A690" s="261" t="s">
        <v>8</v>
      </c>
      <c r="C690" s="262" t="s">
        <v>1413</v>
      </c>
      <c r="D690" s="497"/>
      <c r="E690" s="498">
        <v>1000000</v>
      </c>
      <c r="F690" s="263"/>
      <c r="G690" s="265"/>
    </row>
    <row r="691" spans="1:7">
      <c r="A691" s="261" t="s">
        <v>8</v>
      </c>
      <c r="C691" s="262" t="s">
        <v>1284</v>
      </c>
      <c r="D691" s="497"/>
      <c r="E691" s="498">
        <f>9380+4100</f>
        <v>13480</v>
      </c>
      <c r="F691" s="263"/>
      <c r="G691" s="265"/>
    </row>
    <row r="692" spans="1:7">
      <c r="A692" s="261" t="s">
        <v>8</v>
      </c>
      <c r="C692" s="262" t="s">
        <v>1315</v>
      </c>
      <c r="D692" s="497"/>
      <c r="E692" s="498">
        <v>30000</v>
      </c>
      <c r="F692" s="263"/>
      <c r="G692" s="265"/>
    </row>
    <row r="693" spans="1:7">
      <c r="A693" s="261" t="s">
        <v>8</v>
      </c>
      <c r="C693" s="262" t="s">
        <v>1309</v>
      </c>
      <c r="D693" s="497"/>
      <c r="E693" s="498">
        <v>9400</v>
      </c>
      <c r="F693" s="263"/>
      <c r="G693" s="265"/>
    </row>
    <row r="694" spans="1:7">
      <c r="A694" s="261" t="s">
        <v>8</v>
      </c>
      <c r="C694" s="262" t="s">
        <v>1518</v>
      </c>
      <c r="D694" s="497"/>
      <c r="E694" s="498">
        <v>100000</v>
      </c>
      <c r="F694" s="263"/>
      <c r="G694" s="265"/>
    </row>
    <row r="695" spans="1:7">
      <c r="A695" s="261" t="s">
        <v>8</v>
      </c>
      <c r="C695" s="262" t="s">
        <v>1367</v>
      </c>
      <c r="D695" s="497"/>
      <c r="E695" s="498">
        <v>4000</v>
      </c>
      <c r="F695" s="263"/>
      <c r="G695" s="265"/>
    </row>
    <row r="696" spans="1:7">
      <c r="A696" s="261" t="s">
        <v>8</v>
      </c>
      <c r="C696" s="262" t="s">
        <v>1465</v>
      </c>
      <c r="D696" s="497"/>
      <c r="E696" s="498">
        <v>3200</v>
      </c>
      <c r="F696" s="263"/>
      <c r="G696" s="265"/>
    </row>
    <row r="697" spans="1:7">
      <c r="A697" s="261" t="s">
        <v>8</v>
      </c>
      <c r="C697" s="262" t="s">
        <v>1323</v>
      </c>
      <c r="D697" s="497"/>
      <c r="E697" s="498">
        <v>2850</v>
      </c>
      <c r="F697" s="263"/>
      <c r="G697" s="265"/>
    </row>
    <row r="698" spans="1:7">
      <c r="A698" s="261" t="s">
        <v>8</v>
      </c>
      <c r="C698" s="262" t="s">
        <v>1289</v>
      </c>
      <c r="D698" s="497"/>
      <c r="E698" s="498">
        <v>5000</v>
      </c>
      <c r="F698" s="263"/>
      <c r="G698" s="265"/>
    </row>
    <row r="699" spans="1:7">
      <c r="A699" s="261" t="s">
        <v>8</v>
      </c>
      <c r="C699" s="262" t="s">
        <v>1283</v>
      </c>
      <c r="D699" s="497"/>
      <c r="E699" s="498">
        <v>87610</v>
      </c>
      <c r="F699" s="263"/>
      <c r="G699" s="265"/>
    </row>
    <row r="700" spans="1:7">
      <c r="A700" s="261" t="s">
        <v>8</v>
      </c>
      <c r="C700" s="262" t="s">
        <v>1519</v>
      </c>
      <c r="D700" s="497"/>
      <c r="E700" s="498">
        <v>5000</v>
      </c>
      <c r="F700" s="263"/>
      <c r="G700" s="265"/>
    </row>
    <row r="701" spans="1:7">
      <c r="A701" s="261" t="s">
        <v>8</v>
      </c>
      <c r="C701" s="262" t="s">
        <v>1325</v>
      </c>
      <c r="D701" s="497"/>
      <c r="E701" s="498">
        <v>17500</v>
      </c>
      <c r="F701" s="263"/>
      <c r="G701" s="265"/>
    </row>
    <row r="702" spans="1:7">
      <c r="A702" s="261" t="s">
        <v>8</v>
      </c>
      <c r="C702" s="262" t="s">
        <v>1302</v>
      </c>
      <c r="D702" s="497"/>
      <c r="E702" s="498">
        <v>32500</v>
      </c>
      <c r="F702" s="263"/>
      <c r="G702" s="265"/>
    </row>
    <row r="703" spans="1:7">
      <c r="A703" s="261" t="s">
        <v>8</v>
      </c>
      <c r="C703" s="262" t="s">
        <v>1450</v>
      </c>
      <c r="D703" s="497"/>
      <c r="E703" s="498">
        <v>19000</v>
      </c>
      <c r="F703" s="263"/>
      <c r="G703" s="265"/>
    </row>
    <row r="704" spans="1:7">
      <c r="A704" s="261" t="s">
        <v>8</v>
      </c>
      <c r="C704" s="262" t="s">
        <v>388</v>
      </c>
      <c r="D704" s="497"/>
      <c r="E704" s="498">
        <f>174602</f>
        <v>174602</v>
      </c>
      <c r="F704" s="263"/>
      <c r="G704" s="265"/>
    </row>
    <row r="705" spans="1:7">
      <c r="A705" s="261" t="s">
        <v>8</v>
      </c>
      <c r="C705" s="262" t="s">
        <v>1520</v>
      </c>
      <c r="D705" s="497"/>
      <c r="E705" s="498">
        <v>220000</v>
      </c>
      <c r="F705" s="263"/>
      <c r="G705" s="265"/>
    </row>
    <row r="706" spans="1:7">
      <c r="A706" s="261" t="s">
        <v>8</v>
      </c>
      <c r="C706" s="262" t="s">
        <v>1521</v>
      </c>
      <c r="D706" s="497"/>
      <c r="E706" s="498">
        <v>28000</v>
      </c>
      <c r="F706" s="263"/>
      <c r="G706" s="265"/>
    </row>
    <row r="707" spans="1:7">
      <c r="A707" s="261" t="s">
        <v>8</v>
      </c>
      <c r="C707" s="262" t="s">
        <v>1522</v>
      </c>
      <c r="D707" s="497"/>
      <c r="E707" s="498">
        <v>35500</v>
      </c>
      <c r="F707" s="263"/>
      <c r="G707" s="265"/>
    </row>
    <row r="708" spans="1:7">
      <c r="A708" s="261" t="s">
        <v>8</v>
      </c>
      <c r="C708" s="262" t="s">
        <v>1316</v>
      </c>
      <c r="D708" s="497"/>
      <c r="E708" s="498">
        <v>48000</v>
      </c>
      <c r="F708" s="263"/>
      <c r="G708" s="265"/>
    </row>
    <row r="709" spans="1:7">
      <c r="A709" s="261" t="s">
        <v>8</v>
      </c>
      <c r="C709" s="262" t="s">
        <v>1371</v>
      </c>
      <c r="D709" s="497"/>
      <c r="E709" s="498">
        <v>4990</v>
      </c>
      <c r="F709" s="263"/>
      <c r="G709" s="265"/>
    </row>
    <row r="710" spans="1:7">
      <c r="A710" s="261" t="s">
        <v>8</v>
      </c>
      <c r="C710" s="262" t="s">
        <v>1523</v>
      </c>
      <c r="D710" s="497"/>
      <c r="E710" s="498">
        <v>25500</v>
      </c>
      <c r="F710" s="263"/>
      <c r="G710" s="265"/>
    </row>
    <row r="711" spans="1:7">
      <c r="A711" s="261" t="s">
        <v>8</v>
      </c>
      <c r="C711" s="262" t="s">
        <v>1300</v>
      </c>
      <c r="D711" s="497">
        <f>SUM(D672:D710)-SUM(E672:E710)</f>
        <v>567082</v>
      </c>
      <c r="E711" s="497">
        <f>SUM(E672:E710)-SUM(F672:F710)</f>
        <v>4031428</v>
      </c>
      <c r="F711" s="263"/>
      <c r="G711" s="262"/>
    </row>
    <row r="712" spans="1:7">
      <c r="A712" s="261" t="s">
        <v>8</v>
      </c>
    </row>
    <row r="713" spans="1:7">
      <c r="A713" s="261" t="s">
        <v>8</v>
      </c>
    </row>
    <row r="714" spans="1:7">
      <c r="A714" s="261" t="s">
        <v>8</v>
      </c>
      <c r="B714" s="256" t="s">
        <v>2154</v>
      </c>
      <c r="C714" s="262" t="s">
        <v>1268</v>
      </c>
      <c r="D714" s="498">
        <v>4663510</v>
      </c>
      <c r="E714" s="497"/>
      <c r="F714" s="263"/>
      <c r="G714" s="262"/>
    </row>
    <row r="715" spans="1:7">
      <c r="A715" s="261" t="s">
        <v>8</v>
      </c>
      <c r="C715" s="262" t="s">
        <v>1269</v>
      </c>
      <c r="D715" s="497"/>
      <c r="E715" s="498">
        <v>432000</v>
      </c>
      <c r="F715" s="263"/>
      <c r="G715" s="262" t="s">
        <v>2155</v>
      </c>
    </row>
    <row r="716" spans="1:7">
      <c r="A716" s="261" t="s">
        <v>8</v>
      </c>
      <c r="C716" s="262" t="s">
        <v>1270</v>
      </c>
      <c r="D716" s="497"/>
      <c r="E716" s="498">
        <f>577600</f>
        <v>577600</v>
      </c>
      <c r="F716" s="263"/>
      <c r="G716" s="262"/>
    </row>
    <row r="717" spans="1:7">
      <c r="A717" s="261" t="s">
        <v>8</v>
      </c>
      <c r="C717" s="262" t="s">
        <v>1271</v>
      </c>
      <c r="D717" s="497"/>
      <c r="E717" s="498">
        <v>164160</v>
      </c>
      <c r="F717" s="263"/>
      <c r="G717" s="264"/>
    </row>
    <row r="718" spans="1:7">
      <c r="A718" s="261" t="s">
        <v>8</v>
      </c>
      <c r="C718" s="262" t="s">
        <v>1272</v>
      </c>
      <c r="D718" s="497"/>
      <c r="E718" s="498">
        <v>7180</v>
      </c>
      <c r="F718" s="263"/>
      <c r="G718" s="262"/>
    </row>
    <row r="719" spans="1:7">
      <c r="A719" s="261" t="s">
        <v>8</v>
      </c>
      <c r="C719" s="262" t="s">
        <v>1273</v>
      </c>
      <c r="D719" s="497"/>
      <c r="E719" s="498">
        <v>20980</v>
      </c>
      <c r="F719" s="263"/>
      <c r="G719" s="262"/>
    </row>
    <row r="720" spans="1:7">
      <c r="A720" s="261" t="s">
        <v>8</v>
      </c>
      <c r="C720" s="262" t="s">
        <v>1274</v>
      </c>
      <c r="D720" s="497"/>
      <c r="E720" s="498">
        <v>18550</v>
      </c>
      <c r="F720" s="263"/>
      <c r="G720" s="262"/>
    </row>
    <row r="721" spans="1:7">
      <c r="A721" s="261" t="s">
        <v>8</v>
      </c>
      <c r="C721" s="262" t="s">
        <v>1275</v>
      </c>
      <c r="D721" s="497"/>
      <c r="E721" s="498">
        <v>26450</v>
      </c>
      <c r="F721" s="263"/>
      <c r="G721" s="262"/>
    </row>
    <row r="722" spans="1:7">
      <c r="A722" s="261" t="s">
        <v>8</v>
      </c>
      <c r="C722" s="262" t="s">
        <v>1516</v>
      </c>
      <c r="D722" s="497"/>
      <c r="E722" s="498">
        <v>0</v>
      </c>
      <c r="F722" s="263"/>
      <c r="G722" s="262"/>
    </row>
    <row r="723" spans="1:7">
      <c r="A723" s="261" t="s">
        <v>8</v>
      </c>
      <c r="C723" s="262" t="s">
        <v>1517</v>
      </c>
      <c r="D723" s="497"/>
      <c r="E723" s="498">
        <v>23230</v>
      </c>
      <c r="F723" s="263"/>
      <c r="G723" s="262"/>
    </row>
    <row r="724" spans="1:7">
      <c r="A724" s="261" t="s">
        <v>8</v>
      </c>
      <c r="C724" s="262" t="s">
        <v>1276</v>
      </c>
      <c r="D724" s="497"/>
      <c r="E724" s="498">
        <v>206570</v>
      </c>
      <c r="F724" s="263"/>
      <c r="G724" s="262"/>
    </row>
    <row r="725" spans="1:7">
      <c r="A725" s="261" t="s">
        <v>8</v>
      </c>
      <c r="C725" s="262" t="s">
        <v>1277</v>
      </c>
      <c r="D725" s="497"/>
      <c r="E725" s="498">
        <v>24290</v>
      </c>
      <c r="F725" s="263"/>
      <c r="G725" s="262"/>
    </row>
    <row r="726" spans="1:7">
      <c r="A726" s="261" t="s">
        <v>8</v>
      </c>
      <c r="C726" s="262" t="s">
        <v>1278</v>
      </c>
      <c r="D726" s="497"/>
      <c r="E726" s="498">
        <v>100000</v>
      </c>
      <c r="F726" s="263"/>
      <c r="G726" s="262"/>
    </row>
    <row r="727" spans="1:7">
      <c r="A727" s="261" t="s">
        <v>8</v>
      </c>
      <c r="C727" s="262" t="s">
        <v>1279</v>
      </c>
      <c r="D727" s="497"/>
      <c r="E727" s="499">
        <v>100000</v>
      </c>
      <c r="F727" s="263"/>
      <c r="G727" s="262"/>
    </row>
    <row r="728" spans="1:7">
      <c r="A728" s="261" t="s">
        <v>8</v>
      </c>
      <c r="C728" s="262" t="s">
        <v>1332</v>
      </c>
      <c r="D728" s="497"/>
      <c r="E728" s="498">
        <v>42630</v>
      </c>
      <c r="F728" s="263"/>
      <c r="G728" s="265"/>
    </row>
    <row r="729" spans="1:7">
      <c r="A729" s="261" t="s">
        <v>8</v>
      </c>
      <c r="C729" s="262" t="s">
        <v>1484</v>
      </c>
      <c r="D729" s="497"/>
      <c r="E729" s="498">
        <v>105000</v>
      </c>
      <c r="F729" s="263"/>
      <c r="G729" s="265"/>
    </row>
    <row r="730" spans="1:7">
      <c r="A730" s="261" t="s">
        <v>8</v>
      </c>
      <c r="C730" s="262" t="s">
        <v>1280</v>
      </c>
      <c r="D730" s="497"/>
      <c r="E730" s="498">
        <f>5000*0+50000*2</f>
        <v>100000</v>
      </c>
      <c r="F730" s="263"/>
      <c r="G730" s="265"/>
    </row>
    <row r="731" spans="1:7">
      <c r="A731" s="261" t="s">
        <v>8</v>
      </c>
      <c r="C731" s="262" t="s">
        <v>382</v>
      </c>
      <c r="D731" s="497"/>
      <c r="E731" s="498">
        <f>5000*0+50000*0</f>
        <v>0</v>
      </c>
      <c r="F731" s="263"/>
      <c r="G731" s="265"/>
    </row>
    <row r="732" spans="1:7">
      <c r="A732" s="261" t="s">
        <v>8</v>
      </c>
      <c r="C732" s="262" t="s">
        <v>1413</v>
      </c>
      <c r="D732" s="497"/>
      <c r="E732" s="498">
        <v>1000000</v>
      </c>
      <c r="F732" s="263"/>
      <c r="G732" s="265"/>
    </row>
    <row r="733" spans="1:7">
      <c r="A733" s="261" t="s">
        <v>8</v>
      </c>
      <c r="C733" s="262" t="s">
        <v>1284</v>
      </c>
      <c r="D733" s="497"/>
      <c r="E733" s="498">
        <f>0</f>
        <v>0</v>
      </c>
      <c r="F733" s="263"/>
      <c r="G733" s="265"/>
    </row>
    <row r="734" spans="1:7">
      <c r="A734" s="261" t="s">
        <v>8</v>
      </c>
      <c r="C734" s="262" t="s">
        <v>1315</v>
      </c>
      <c r="D734" s="497"/>
      <c r="E734" s="498">
        <v>30000</v>
      </c>
      <c r="F734" s="263"/>
      <c r="G734" s="265"/>
    </row>
    <row r="735" spans="1:7">
      <c r="A735" s="261" t="s">
        <v>8</v>
      </c>
      <c r="C735" s="262" t="s">
        <v>1309</v>
      </c>
      <c r="D735" s="497"/>
      <c r="E735" s="498">
        <v>0</v>
      </c>
      <c r="F735" s="263"/>
      <c r="G735" s="265"/>
    </row>
    <row r="736" spans="1:7">
      <c r="A736" s="261" t="s">
        <v>8</v>
      </c>
      <c r="C736" s="262" t="s">
        <v>1518</v>
      </c>
      <c r="D736" s="497"/>
      <c r="E736" s="498">
        <v>0</v>
      </c>
      <c r="F736" s="263"/>
      <c r="G736" s="265"/>
    </row>
    <row r="737" spans="1:7">
      <c r="A737" s="261" t="s">
        <v>8</v>
      </c>
      <c r="C737" s="262" t="s">
        <v>1524</v>
      </c>
      <c r="D737" s="497"/>
      <c r="E737" s="498">
        <v>11600</v>
      </c>
      <c r="F737" s="263"/>
      <c r="G737" s="265"/>
    </row>
    <row r="738" spans="1:7">
      <c r="A738" s="261" t="s">
        <v>8</v>
      </c>
      <c r="C738" s="262" t="s">
        <v>1525</v>
      </c>
      <c r="D738" s="497"/>
      <c r="E738" s="498">
        <v>55000</v>
      </c>
      <c r="F738" s="263"/>
      <c r="G738" s="265"/>
    </row>
    <row r="739" spans="1:7">
      <c r="A739" s="261" t="s">
        <v>8</v>
      </c>
      <c r="C739" s="262" t="s">
        <v>1526</v>
      </c>
      <c r="D739" s="497"/>
      <c r="E739" s="498">
        <v>100000</v>
      </c>
      <c r="F739" s="263"/>
      <c r="G739" s="265"/>
    </row>
    <row r="740" spans="1:7">
      <c r="A740" s="261" t="s">
        <v>8</v>
      </c>
      <c r="C740" s="262" t="s">
        <v>1289</v>
      </c>
      <c r="D740" s="497"/>
      <c r="E740" s="498">
        <v>0</v>
      </c>
      <c r="F740" s="263"/>
      <c r="G740" s="265"/>
    </row>
    <row r="741" spans="1:7">
      <c r="A741" s="261" t="s">
        <v>8</v>
      </c>
      <c r="C741" s="262" t="s">
        <v>1283</v>
      </c>
      <c r="D741" s="497"/>
      <c r="E741" s="498">
        <v>116090</v>
      </c>
      <c r="F741" s="263"/>
      <c r="G741" s="265"/>
    </row>
    <row r="742" spans="1:7">
      <c r="A742" s="261" t="s">
        <v>8</v>
      </c>
      <c r="C742" s="262" t="s">
        <v>1339</v>
      </c>
      <c r="D742" s="497"/>
      <c r="E742" s="498">
        <v>3600</v>
      </c>
      <c r="F742" s="263"/>
      <c r="G742" s="265"/>
    </row>
    <row r="743" spans="1:7">
      <c r="A743" s="261" t="s">
        <v>8</v>
      </c>
      <c r="C743" s="262" t="s">
        <v>1323</v>
      </c>
      <c r="D743" s="497"/>
      <c r="E743" s="498">
        <v>3400</v>
      </c>
      <c r="F743" s="263"/>
      <c r="G743" s="265"/>
    </row>
    <row r="744" spans="1:7">
      <c r="A744" s="261" t="s">
        <v>8</v>
      </c>
      <c r="C744" s="262" t="s">
        <v>1302</v>
      </c>
      <c r="D744" s="497"/>
      <c r="E744" s="498">
        <v>69400</v>
      </c>
      <c r="F744" s="263"/>
      <c r="G744" s="265"/>
    </row>
    <row r="745" spans="1:7">
      <c r="A745" s="261" t="s">
        <v>8</v>
      </c>
      <c r="C745" s="262" t="s">
        <v>1450</v>
      </c>
      <c r="D745" s="497"/>
      <c r="E745" s="498">
        <v>0</v>
      </c>
      <c r="F745" s="263"/>
      <c r="G745" s="265"/>
    </row>
    <row r="746" spans="1:7">
      <c r="A746" s="261" t="s">
        <v>8</v>
      </c>
      <c r="C746" s="262" t="s">
        <v>388</v>
      </c>
      <c r="D746" s="497"/>
      <c r="E746" s="498">
        <v>357508</v>
      </c>
      <c r="F746" s="263"/>
      <c r="G746" s="265"/>
    </row>
    <row r="747" spans="1:7">
      <c r="A747" s="261" t="s">
        <v>8</v>
      </c>
      <c r="C747" s="262" t="s">
        <v>1365</v>
      </c>
      <c r="D747" s="497"/>
      <c r="E747" s="498">
        <v>17500</v>
      </c>
      <c r="F747" s="263"/>
      <c r="G747" s="265"/>
    </row>
    <row r="748" spans="1:7">
      <c r="A748" s="261" t="s">
        <v>8</v>
      </c>
      <c r="C748" s="262" t="s">
        <v>1527</v>
      </c>
      <c r="D748" s="497"/>
      <c r="E748" s="498">
        <v>32900</v>
      </c>
      <c r="F748" s="263"/>
      <c r="G748" s="265"/>
    </row>
    <row r="749" spans="1:7">
      <c r="A749" s="261" t="s">
        <v>8</v>
      </c>
      <c r="C749" s="262" t="s">
        <v>1297</v>
      </c>
      <c r="D749" s="497"/>
      <c r="E749" s="498">
        <v>20000</v>
      </c>
      <c r="F749" s="263"/>
      <c r="G749" s="265"/>
    </row>
    <row r="750" spans="1:7">
      <c r="A750" s="261" t="s">
        <v>8</v>
      </c>
      <c r="C750" s="262" t="s">
        <v>1316</v>
      </c>
      <c r="D750" s="497"/>
      <c r="E750" s="498">
        <v>18000</v>
      </c>
      <c r="F750" s="263"/>
      <c r="G750" s="265"/>
    </row>
    <row r="751" spans="1:7">
      <c r="A751" s="261" t="s">
        <v>8</v>
      </c>
      <c r="C751" s="262" t="s">
        <v>1371</v>
      </c>
      <c r="D751" s="497"/>
      <c r="E751" s="498">
        <v>0</v>
      </c>
      <c r="F751" s="263"/>
      <c r="G751" s="265"/>
    </row>
    <row r="752" spans="1:7">
      <c r="A752" s="261" t="s">
        <v>8</v>
      </c>
      <c r="C752" s="262" t="s">
        <v>389</v>
      </c>
      <c r="D752" s="497"/>
      <c r="E752" s="498">
        <v>50000</v>
      </c>
      <c r="F752" s="263"/>
      <c r="G752" s="265"/>
    </row>
    <row r="753" spans="1:7">
      <c r="A753" s="261" t="s">
        <v>8</v>
      </c>
      <c r="C753" s="262" t="s">
        <v>1528</v>
      </c>
      <c r="D753" s="497"/>
      <c r="E753" s="498">
        <v>50000</v>
      </c>
      <c r="F753" s="263"/>
      <c r="G753" s="265"/>
    </row>
    <row r="754" spans="1:7">
      <c r="A754" s="261" t="s">
        <v>8</v>
      </c>
      <c r="C754" s="262" t="s">
        <v>386</v>
      </c>
      <c r="D754" s="497"/>
      <c r="E754" s="498">
        <f>116900</f>
        <v>116900</v>
      </c>
      <c r="F754" s="263"/>
      <c r="G754" s="265"/>
    </row>
    <row r="755" spans="1:7">
      <c r="A755" s="261" t="s">
        <v>8</v>
      </c>
      <c r="C755" s="262" t="s">
        <v>1352</v>
      </c>
      <c r="D755" s="497"/>
      <c r="E755" s="498">
        <v>1250</v>
      </c>
      <c r="F755" s="263"/>
      <c r="G755" s="265"/>
    </row>
    <row r="756" spans="1:7">
      <c r="A756" s="261" t="s">
        <v>8</v>
      </c>
      <c r="C756" s="262" t="s">
        <v>1529</v>
      </c>
      <c r="D756" s="497"/>
      <c r="E756" s="498">
        <v>26500</v>
      </c>
      <c r="F756" s="263"/>
      <c r="G756" s="265"/>
    </row>
    <row r="757" spans="1:7">
      <c r="A757" s="261" t="s">
        <v>8</v>
      </c>
      <c r="C757" s="262" t="s">
        <v>1519</v>
      </c>
      <c r="D757" s="497"/>
      <c r="E757" s="498">
        <v>4000</v>
      </c>
      <c r="F757" s="263"/>
      <c r="G757" s="265"/>
    </row>
    <row r="758" spans="1:7">
      <c r="A758" s="261" t="s">
        <v>8</v>
      </c>
      <c r="C758" s="262" t="s">
        <v>1530</v>
      </c>
      <c r="D758" s="497"/>
      <c r="E758" s="498">
        <v>23300</v>
      </c>
      <c r="F758" s="263"/>
      <c r="G758" s="265"/>
    </row>
    <row r="759" spans="1:7">
      <c r="A759" s="261" t="s">
        <v>8</v>
      </c>
      <c r="C759" s="262" t="s">
        <v>385</v>
      </c>
      <c r="D759" s="497"/>
      <c r="E759" s="498">
        <v>11600</v>
      </c>
      <c r="F759" s="263"/>
      <c r="G759" s="265"/>
    </row>
    <row r="760" spans="1:7">
      <c r="A760" s="261" t="s">
        <v>8</v>
      </c>
      <c r="C760" s="262" t="s">
        <v>1531</v>
      </c>
      <c r="D760" s="497"/>
      <c r="E760" s="498">
        <v>20000</v>
      </c>
      <c r="F760" s="263"/>
      <c r="G760" s="265"/>
    </row>
    <row r="761" spans="1:7">
      <c r="A761" s="261" t="s">
        <v>8</v>
      </c>
      <c r="C761" s="262" t="s">
        <v>1468</v>
      </c>
      <c r="D761" s="497"/>
      <c r="E761" s="498">
        <v>35000</v>
      </c>
      <c r="F761" s="263"/>
      <c r="G761" s="265"/>
    </row>
    <row r="762" spans="1:7">
      <c r="A762" s="261" t="s">
        <v>8</v>
      </c>
      <c r="C762" s="262" t="s">
        <v>1532</v>
      </c>
      <c r="D762" s="497"/>
      <c r="E762" s="498">
        <v>3000</v>
      </c>
      <c r="F762" s="263"/>
      <c r="G762" s="265"/>
    </row>
    <row r="763" spans="1:7">
      <c r="A763" s="261" t="s">
        <v>8</v>
      </c>
      <c r="C763" s="262" t="s">
        <v>1533</v>
      </c>
      <c r="D763" s="497"/>
      <c r="E763" s="498">
        <v>526170</v>
      </c>
      <c r="F763" s="263"/>
      <c r="G763" s="265"/>
    </row>
    <row r="764" spans="1:7">
      <c r="A764" s="261" t="s">
        <v>8</v>
      </c>
      <c r="C764" s="262" t="s">
        <v>1534</v>
      </c>
      <c r="D764" s="497"/>
      <c r="E764" s="498">
        <v>22800</v>
      </c>
      <c r="F764" s="263"/>
      <c r="G764" s="265"/>
    </row>
    <row r="765" spans="1:7">
      <c r="A765" s="261" t="s">
        <v>8</v>
      </c>
      <c r="C765" s="262" t="s">
        <v>1535</v>
      </c>
      <c r="D765" s="497"/>
      <c r="E765" s="498">
        <v>100000</v>
      </c>
      <c r="F765" s="263"/>
      <c r="G765" s="265"/>
    </row>
    <row r="766" spans="1:7">
      <c r="A766" s="261" t="s">
        <v>8</v>
      </c>
      <c r="C766" s="262" t="s">
        <v>1341</v>
      </c>
      <c r="D766" s="497"/>
      <c r="E766" s="498">
        <v>3200</v>
      </c>
      <c r="F766" s="263"/>
      <c r="G766" s="265"/>
    </row>
    <row r="767" spans="1:7">
      <c r="A767" s="261" t="s">
        <v>8</v>
      </c>
      <c r="C767" s="262" t="s">
        <v>1338</v>
      </c>
      <c r="D767" s="497"/>
      <c r="E767" s="498">
        <v>2600</v>
      </c>
      <c r="F767" s="263"/>
      <c r="G767" s="265"/>
    </row>
    <row r="768" spans="1:7">
      <c r="A768" s="261" t="s">
        <v>8</v>
      </c>
      <c r="C768" s="262" t="s">
        <v>1363</v>
      </c>
      <c r="D768" s="497"/>
      <c r="E768" s="498">
        <v>6000</v>
      </c>
      <c r="F768" s="263"/>
      <c r="G768" s="265"/>
    </row>
    <row r="769" spans="1:7">
      <c r="A769" s="261" t="s">
        <v>8</v>
      </c>
      <c r="C769" s="262" t="s">
        <v>1536</v>
      </c>
      <c r="D769" s="497"/>
      <c r="E769" s="498">
        <v>22900</v>
      </c>
      <c r="F769" s="263"/>
      <c r="G769" s="265"/>
    </row>
    <row r="770" spans="1:7">
      <c r="A770" s="261" t="s">
        <v>8</v>
      </c>
      <c r="C770" s="262" t="s">
        <v>1537</v>
      </c>
      <c r="D770" s="497"/>
      <c r="E770" s="498">
        <v>17000</v>
      </c>
      <c r="F770" s="263"/>
      <c r="G770" s="265"/>
    </row>
    <row r="771" spans="1:7">
      <c r="A771" s="261" t="s">
        <v>8</v>
      </c>
      <c r="C771" s="262" t="s">
        <v>1538</v>
      </c>
      <c r="D771" s="497"/>
      <c r="E771" s="498">
        <v>54040</v>
      </c>
      <c r="F771" s="263"/>
      <c r="G771" s="265"/>
    </row>
    <row r="772" spans="1:7">
      <c r="A772" s="261" t="s">
        <v>8</v>
      </c>
      <c r="C772" s="262" t="s">
        <v>1351</v>
      </c>
      <c r="D772" s="497"/>
      <c r="E772" s="498">
        <v>50000</v>
      </c>
      <c r="F772" s="263"/>
      <c r="G772" s="265"/>
    </row>
    <row r="773" spans="1:7">
      <c r="A773" s="261" t="s">
        <v>8</v>
      </c>
      <c r="C773" s="262" t="s">
        <v>1539</v>
      </c>
      <c r="D773" s="497"/>
      <c r="E773" s="498">
        <v>34000</v>
      </c>
      <c r="F773" s="263"/>
      <c r="G773" s="265"/>
    </row>
    <row r="774" spans="1:7">
      <c r="A774" s="261" t="s">
        <v>8</v>
      </c>
      <c r="C774" s="262" t="s">
        <v>1519</v>
      </c>
      <c r="D774" s="497"/>
      <c r="E774" s="498">
        <v>3000</v>
      </c>
      <c r="F774" s="263"/>
      <c r="G774" s="265"/>
    </row>
    <row r="775" spans="1:7">
      <c r="A775" s="261" t="s">
        <v>8</v>
      </c>
      <c r="C775" s="262" t="s">
        <v>1540</v>
      </c>
      <c r="D775" s="497"/>
      <c r="E775" s="498">
        <v>16000</v>
      </c>
      <c r="F775" s="263"/>
      <c r="G775" s="265"/>
    </row>
    <row r="776" spans="1:7">
      <c r="A776" s="261" t="s">
        <v>8</v>
      </c>
      <c r="C776" s="262" t="s">
        <v>1541</v>
      </c>
      <c r="D776" s="497"/>
      <c r="E776" s="498">
        <v>1100</v>
      </c>
      <c r="F776" s="263"/>
      <c r="G776" s="265"/>
    </row>
    <row r="777" spans="1:7">
      <c r="A777" s="261" t="s">
        <v>8</v>
      </c>
      <c r="C777" s="262" t="s">
        <v>1542</v>
      </c>
      <c r="D777" s="497"/>
      <c r="E777" s="498">
        <v>15000</v>
      </c>
      <c r="F777" s="263"/>
      <c r="G777" s="265"/>
    </row>
    <row r="778" spans="1:7">
      <c r="A778" s="261" t="s">
        <v>8</v>
      </c>
      <c r="C778" s="262" t="s">
        <v>1430</v>
      </c>
      <c r="D778" s="497"/>
      <c r="E778" s="498">
        <v>44000</v>
      </c>
      <c r="F778" s="263"/>
      <c r="G778" s="265"/>
    </row>
    <row r="779" spans="1:7">
      <c r="A779" s="261" t="s">
        <v>8</v>
      </c>
      <c r="C779" s="262" t="s">
        <v>1396</v>
      </c>
      <c r="D779" s="498">
        <v>688</v>
      </c>
      <c r="E779" s="497"/>
      <c r="F779" s="263"/>
      <c r="G779" s="265"/>
    </row>
    <row r="780" spans="1:7">
      <c r="A780" s="261" t="s">
        <v>8</v>
      </c>
      <c r="C780" s="262" t="s">
        <v>1543</v>
      </c>
      <c r="D780" s="497"/>
      <c r="E780" s="498">
        <v>14900</v>
      </c>
      <c r="F780" s="263"/>
      <c r="G780" s="265"/>
    </row>
    <row r="781" spans="1:7">
      <c r="A781" s="261" t="s">
        <v>8</v>
      </c>
      <c r="C781" s="262" t="s">
        <v>1544</v>
      </c>
      <c r="D781" s="497"/>
      <c r="E781" s="498">
        <v>4000</v>
      </c>
      <c r="F781" s="263"/>
      <c r="G781" s="265"/>
    </row>
    <row r="782" spans="1:7">
      <c r="A782" s="261" t="s">
        <v>8</v>
      </c>
      <c r="C782" s="262" t="s">
        <v>386</v>
      </c>
      <c r="D782" s="497"/>
      <c r="E782" s="498">
        <v>53800</v>
      </c>
      <c r="F782" s="263"/>
      <c r="G782" s="265"/>
    </row>
    <row r="783" spans="1:7">
      <c r="A783" s="261" t="s">
        <v>8</v>
      </c>
      <c r="C783" s="262" t="s">
        <v>1300</v>
      </c>
      <c r="D783" s="497">
        <f>SUM(D714:D782)-SUM(E714:E782)</f>
        <v>-451500</v>
      </c>
      <c r="E783" s="497">
        <f>SUM(E714:E782)-SUM(F714:F782)</f>
        <v>5115698</v>
      </c>
      <c r="F783" s="263"/>
      <c r="G783" s="262"/>
    </row>
    <row r="784" spans="1:7">
      <c r="A784" s="261" t="s">
        <v>8</v>
      </c>
    </row>
    <row r="785" spans="1:7">
      <c r="A785" s="261" t="s">
        <v>8</v>
      </c>
    </row>
    <row r="786" spans="1:7">
      <c r="A786" s="261" t="s">
        <v>8</v>
      </c>
      <c r="B786" s="256" t="s">
        <v>2156</v>
      </c>
      <c r="C786" s="262" t="s">
        <v>1268</v>
      </c>
      <c r="D786" s="498">
        <v>4879445</v>
      </c>
      <c r="E786" s="497"/>
      <c r="F786" s="263"/>
      <c r="G786" s="262"/>
    </row>
    <row r="787" spans="1:7">
      <c r="A787" s="261" t="s">
        <v>8</v>
      </c>
      <c r="C787" s="262" t="s">
        <v>1269</v>
      </c>
      <c r="D787" s="497"/>
      <c r="E787" s="498">
        <v>377000</v>
      </c>
      <c r="F787" s="263"/>
      <c r="G787" s="262" t="s">
        <v>2157</v>
      </c>
    </row>
    <row r="788" spans="1:7">
      <c r="A788" s="261" t="s">
        <v>8</v>
      </c>
      <c r="C788" s="262" t="s">
        <v>1270</v>
      </c>
      <c r="D788" s="497"/>
      <c r="E788" s="498">
        <f>613000</f>
        <v>613000</v>
      </c>
      <c r="F788" s="263"/>
      <c r="G788" s="262"/>
    </row>
    <row r="789" spans="1:7">
      <c r="A789" s="261" t="s">
        <v>8</v>
      </c>
      <c r="C789" s="262" t="s">
        <v>1271</v>
      </c>
      <c r="D789" s="497"/>
      <c r="E789" s="498">
        <v>237110</v>
      </c>
      <c r="F789" s="263"/>
      <c r="G789" s="264"/>
    </row>
    <row r="790" spans="1:7">
      <c r="A790" s="261" t="s">
        <v>8</v>
      </c>
      <c r="C790" s="262" t="s">
        <v>1272</v>
      </c>
      <c r="D790" s="497"/>
      <c r="E790" s="498">
        <v>7180</v>
      </c>
      <c r="F790" s="263"/>
      <c r="G790" s="262"/>
    </row>
    <row r="791" spans="1:7">
      <c r="A791" s="261" t="s">
        <v>8</v>
      </c>
      <c r="C791" s="262" t="s">
        <v>1273</v>
      </c>
      <c r="D791" s="497"/>
      <c r="E791" s="498">
        <v>20980</v>
      </c>
      <c r="F791" s="263"/>
      <c r="G791" s="262"/>
    </row>
    <row r="792" spans="1:7">
      <c r="A792" s="261" t="s">
        <v>8</v>
      </c>
      <c r="C792" s="262" t="s">
        <v>1274</v>
      </c>
      <c r="D792" s="497"/>
      <c r="E792" s="498">
        <v>18550</v>
      </c>
      <c r="F792" s="263"/>
      <c r="G792" s="262"/>
    </row>
    <row r="793" spans="1:7">
      <c r="A793" s="261" t="s">
        <v>8</v>
      </c>
      <c r="C793" s="262" t="s">
        <v>1275</v>
      </c>
      <c r="D793" s="497"/>
      <c r="E793" s="498">
        <v>26450</v>
      </c>
      <c r="F793" s="263"/>
      <c r="G793" s="262"/>
    </row>
    <row r="794" spans="1:7">
      <c r="A794" s="261" t="s">
        <v>8</v>
      </c>
      <c r="C794" s="262" t="s">
        <v>1516</v>
      </c>
      <c r="D794" s="497"/>
      <c r="E794" s="498">
        <v>18816</v>
      </c>
      <c r="F794" s="263"/>
      <c r="G794" s="262"/>
    </row>
    <row r="795" spans="1:7">
      <c r="A795" s="261" t="s">
        <v>8</v>
      </c>
      <c r="C795" s="262" t="s">
        <v>1517</v>
      </c>
      <c r="D795" s="497"/>
      <c r="E795" s="498">
        <v>23230</v>
      </c>
      <c r="F795" s="263"/>
      <c r="G795" s="262"/>
    </row>
    <row r="796" spans="1:7">
      <c r="A796" s="261" t="s">
        <v>8</v>
      </c>
      <c r="C796" s="262" t="s">
        <v>1276</v>
      </c>
      <c r="D796" s="497"/>
      <c r="E796" s="498">
        <v>246000</v>
      </c>
      <c r="F796" s="263"/>
      <c r="G796" s="262"/>
    </row>
    <row r="797" spans="1:7">
      <c r="A797" s="261" t="s">
        <v>8</v>
      </c>
      <c r="C797" s="262" t="s">
        <v>1277</v>
      </c>
      <c r="D797" s="497"/>
      <c r="E797" s="498">
        <v>82100</v>
      </c>
      <c r="F797" s="263"/>
      <c r="G797" s="262"/>
    </row>
    <row r="798" spans="1:7">
      <c r="A798" s="261" t="s">
        <v>8</v>
      </c>
      <c r="C798" s="262" t="s">
        <v>1278</v>
      </c>
      <c r="D798" s="497"/>
      <c r="E798" s="498">
        <v>100000</v>
      </c>
      <c r="F798" s="263"/>
      <c r="G798" s="262"/>
    </row>
    <row r="799" spans="1:7">
      <c r="A799" s="261" t="s">
        <v>8</v>
      </c>
      <c r="C799" s="262" t="s">
        <v>1484</v>
      </c>
      <c r="D799" s="497"/>
      <c r="E799" s="498">
        <v>105000</v>
      </c>
      <c r="F799" s="263"/>
      <c r="G799" s="265"/>
    </row>
    <row r="800" spans="1:7">
      <c r="A800" s="261" t="s">
        <v>8</v>
      </c>
      <c r="C800" s="262" t="s">
        <v>1280</v>
      </c>
      <c r="D800" s="497"/>
      <c r="E800" s="498">
        <f>5000*1+50000*3</f>
        <v>155000</v>
      </c>
      <c r="F800" s="263"/>
      <c r="G800" s="265"/>
    </row>
    <row r="801" spans="1:7">
      <c r="A801" s="261" t="s">
        <v>8</v>
      </c>
      <c r="C801" s="262" t="s">
        <v>382</v>
      </c>
      <c r="D801" s="497"/>
      <c r="E801" s="497">
        <f>5000*0+50000*0</f>
        <v>0</v>
      </c>
      <c r="F801" s="263"/>
      <c r="G801" s="265"/>
    </row>
    <row r="802" spans="1:7">
      <c r="A802" s="261" t="s">
        <v>8</v>
      </c>
      <c r="C802" s="262" t="s">
        <v>1413</v>
      </c>
      <c r="D802" s="497"/>
      <c r="E802" s="498">
        <v>1000000</v>
      </c>
      <c r="F802" s="263"/>
      <c r="G802" s="265"/>
    </row>
    <row r="803" spans="1:7">
      <c r="A803" s="261" t="s">
        <v>8</v>
      </c>
      <c r="C803" s="262" t="s">
        <v>1284</v>
      </c>
      <c r="D803" s="497"/>
      <c r="E803" s="498">
        <f>56620+19373</f>
        <v>75993</v>
      </c>
      <c r="F803" s="263"/>
      <c r="G803" s="265"/>
    </row>
    <row r="804" spans="1:7">
      <c r="A804" s="261" t="s">
        <v>8</v>
      </c>
      <c r="C804" s="262" t="s">
        <v>1296</v>
      </c>
      <c r="D804" s="497"/>
      <c r="E804" s="498">
        <v>82000</v>
      </c>
      <c r="F804" s="263"/>
      <c r="G804" s="265"/>
    </row>
    <row r="805" spans="1:7">
      <c r="A805" s="261" t="s">
        <v>8</v>
      </c>
      <c r="C805" s="262" t="s">
        <v>1545</v>
      </c>
      <c r="D805" s="497"/>
      <c r="E805" s="498">
        <v>23760</v>
      </c>
      <c r="F805" s="263"/>
      <c r="G805" s="265"/>
    </row>
    <row r="806" spans="1:7">
      <c r="A806" s="261" t="s">
        <v>8</v>
      </c>
      <c r="C806" s="262" t="s">
        <v>1546</v>
      </c>
      <c r="D806" s="497"/>
      <c r="E806" s="498">
        <v>79000</v>
      </c>
      <c r="F806" s="263"/>
      <c r="G806" s="265"/>
    </row>
    <row r="807" spans="1:7">
      <c r="A807" s="261" t="s">
        <v>8</v>
      </c>
      <c r="C807" s="262" t="s">
        <v>1526</v>
      </c>
      <c r="D807" s="497"/>
      <c r="E807" s="498">
        <v>1250000</v>
      </c>
      <c r="F807" s="263"/>
      <c r="G807" s="265"/>
    </row>
    <row r="808" spans="1:7">
      <c r="A808" s="261" t="s">
        <v>8</v>
      </c>
      <c r="C808" s="262" t="s">
        <v>1547</v>
      </c>
      <c r="D808" s="497"/>
      <c r="E808" s="498">
        <v>30000</v>
      </c>
      <c r="F808" s="263"/>
      <c r="G808" s="265"/>
    </row>
    <row r="809" spans="1:7">
      <c r="A809" s="261" t="s">
        <v>8</v>
      </c>
      <c r="C809" s="262" t="s">
        <v>1339</v>
      </c>
      <c r="D809" s="497"/>
      <c r="E809" s="498">
        <v>1700</v>
      </c>
      <c r="F809" s="263"/>
      <c r="G809" s="265"/>
    </row>
    <row r="810" spans="1:7">
      <c r="A810" s="261" t="s">
        <v>8</v>
      </c>
      <c r="C810" s="262" t="s">
        <v>1323</v>
      </c>
      <c r="D810" s="497"/>
      <c r="E810" s="498">
        <v>3250</v>
      </c>
      <c r="F810" s="263"/>
      <c r="G810" s="265"/>
    </row>
    <row r="811" spans="1:7">
      <c r="A811" s="261" t="s">
        <v>8</v>
      </c>
      <c r="C811" s="262" t="s">
        <v>1302</v>
      </c>
      <c r="D811" s="497"/>
      <c r="E811" s="498">
        <f>28900+32900</f>
        <v>61800</v>
      </c>
      <c r="F811" s="263"/>
      <c r="G811" s="265"/>
    </row>
    <row r="812" spans="1:7">
      <c r="A812" s="261" t="s">
        <v>8</v>
      </c>
      <c r="C812" s="262" t="s">
        <v>1548</v>
      </c>
      <c r="D812" s="497"/>
      <c r="E812" s="498">
        <v>1700</v>
      </c>
      <c r="F812" s="263"/>
      <c r="G812" s="265"/>
    </row>
    <row r="813" spans="1:7">
      <c r="A813" s="261" t="s">
        <v>8</v>
      </c>
      <c r="C813" s="262" t="s">
        <v>1549</v>
      </c>
      <c r="D813" s="497"/>
      <c r="E813" s="498">
        <v>69000</v>
      </c>
      <c r="F813" s="263"/>
      <c r="G813" s="265"/>
    </row>
    <row r="814" spans="1:7">
      <c r="A814" s="261" t="s">
        <v>8</v>
      </c>
      <c r="C814" s="262" t="s">
        <v>1550</v>
      </c>
      <c r="D814" s="497"/>
      <c r="E814" s="498">
        <v>177667</v>
      </c>
      <c r="F814" s="263"/>
      <c r="G814" s="265"/>
    </row>
    <row r="815" spans="1:7">
      <c r="A815" s="261" t="s">
        <v>8</v>
      </c>
      <c r="C815" s="262" t="s">
        <v>1551</v>
      </c>
      <c r="D815" s="497"/>
      <c r="E815" s="498">
        <v>35000</v>
      </c>
      <c r="F815" s="263"/>
      <c r="G815" s="265"/>
    </row>
    <row r="816" spans="1:7">
      <c r="A816" s="261" t="s">
        <v>8</v>
      </c>
      <c r="C816" s="262" t="s">
        <v>1371</v>
      </c>
      <c r="D816" s="497"/>
      <c r="E816" s="498">
        <f>20900+4990+48000+47320+11900+9040</f>
        <v>142150</v>
      </c>
      <c r="F816" s="263"/>
      <c r="G816" s="265"/>
    </row>
    <row r="817" spans="1:7">
      <c r="A817" s="261" t="s">
        <v>8</v>
      </c>
      <c r="C817" s="262" t="s">
        <v>386</v>
      </c>
      <c r="D817" s="497"/>
      <c r="E817" s="498">
        <v>12400</v>
      </c>
      <c r="F817" s="263"/>
      <c r="G817" s="265"/>
    </row>
    <row r="818" spans="1:7">
      <c r="A818" s="261" t="s">
        <v>8</v>
      </c>
      <c r="C818" s="262" t="s">
        <v>1552</v>
      </c>
      <c r="D818" s="497"/>
      <c r="E818" s="498">
        <v>300000</v>
      </c>
      <c r="F818" s="263"/>
      <c r="G818" s="265"/>
    </row>
    <row r="819" spans="1:7">
      <c r="A819" s="261" t="s">
        <v>8</v>
      </c>
      <c r="C819" s="262" t="s">
        <v>1553</v>
      </c>
      <c r="D819" s="497"/>
      <c r="E819" s="498">
        <v>124000</v>
      </c>
      <c r="F819" s="263"/>
      <c r="G819" s="265"/>
    </row>
    <row r="820" spans="1:7">
      <c r="A820" s="261" t="s">
        <v>8</v>
      </c>
      <c r="C820" s="262" t="s">
        <v>1554</v>
      </c>
      <c r="D820" s="497"/>
      <c r="E820" s="498">
        <v>700</v>
      </c>
      <c r="F820" s="263"/>
      <c r="G820" s="265"/>
    </row>
    <row r="821" spans="1:7">
      <c r="A821" s="261" t="s">
        <v>8</v>
      </c>
      <c r="C821" s="262" t="s">
        <v>1372</v>
      </c>
      <c r="D821" s="497"/>
      <c r="E821" s="498">
        <v>2000</v>
      </c>
      <c r="F821" s="263"/>
      <c r="G821" s="265"/>
    </row>
    <row r="822" spans="1:7">
      <c r="A822" s="261" t="s">
        <v>8</v>
      </c>
      <c r="C822" s="262" t="s">
        <v>1555</v>
      </c>
      <c r="D822" s="497"/>
      <c r="E822" s="498">
        <v>2000</v>
      </c>
      <c r="F822" s="263"/>
      <c r="G822" s="265"/>
    </row>
    <row r="823" spans="1:7">
      <c r="A823" s="261" t="s">
        <v>8</v>
      </c>
      <c r="C823" s="262" t="s">
        <v>1556</v>
      </c>
      <c r="D823" s="497"/>
      <c r="E823" s="498">
        <v>22100</v>
      </c>
      <c r="F823" s="263"/>
      <c r="G823" s="265"/>
    </row>
    <row r="824" spans="1:7">
      <c r="A824" s="261" t="s">
        <v>8</v>
      </c>
      <c r="C824" s="262" t="s">
        <v>1557</v>
      </c>
      <c r="D824" s="497"/>
      <c r="E824" s="498">
        <v>52400</v>
      </c>
      <c r="F824" s="263"/>
      <c r="G824" s="265"/>
    </row>
    <row r="825" spans="1:7">
      <c r="A825" s="261" t="s">
        <v>8</v>
      </c>
      <c r="C825" s="262" t="s">
        <v>1341</v>
      </c>
      <c r="D825" s="497"/>
      <c r="E825" s="498">
        <v>2600</v>
      </c>
      <c r="F825" s="263"/>
      <c r="G825" s="265"/>
    </row>
    <row r="826" spans="1:7">
      <c r="A826" s="261" t="s">
        <v>8</v>
      </c>
      <c r="C826" s="262" t="s">
        <v>1338</v>
      </c>
      <c r="D826" s="497"/>
      <c r="E826" s="498">
        <v>4600</v>
      </c>
      <c r="F826" s="263"/>
      <c r="G826" s="265"/>
    </row>
    <row r="827" spans="1:7">
      <c r="A827" s="261" t="s">
        <v>8</v>
      </c>
      <c r="C827" s="262" t="s">
        <v>1337</v>
      </c>
      <c r="D827" s="497"/>
      <c r="E827" s="498">
        <v>5000</v>
      </c>
      <c r="F827" s="263"/>
      <c r="G827" s="265"/>
    </row>
    <row r="828" spans="1:7">
      <c r="A828" s="261" t="s">
        <v>8</v>
      </c>
      <c r="C828" s="262" t="s">
        <v>1317</v>
      </c>
      <c r="D828" s="497"/>
      <c r="E828" s="498">
        <v>200000</v>
      </c>
      <c r="F828" s="263"/>
      <c r="G828" s="265"/>
    </row>
    <row r="829" spans="1:7">
      <c r="A829" s="261" t="s">
        <v>8</v>
      </c>
      <c r="C829" s="262" t="s">
        <v>1326</v>
      </c>
      <c r="D829" s="497"/>
      <c r="E829" s="498">
        <v>29300</v>
      </c>
      <c r="F829" s="263"/>
      <c r="G829" s="265"/>
    </row>
    <row r="830" spans="1:7">
      <c r="A830" s="261" t="s">
        <v>8</v>
      </c>
      <c r="C830" s="262" t="s">
        <v>1558</v>
      </c>
      <c r="D830" s="497"/>
      <c r="E830" s="498">
        <v>50000</v>
      </c>
      <c r="F830" s="263"/>
      <c r="G830" s="265"/>
    </row>
    <row r="831" spans="1:7">
      <c r="A831" s="261" t="s">
        <v>8</v>
      </c>
      <c r="C831" s="262" t="s">
        <v>1502</v>
      </c>
      <c r="D831" s="497"/>
      <c r="E831" s="498">
        <v>13000</v>
      </c>
      <c r="F831" s="263"/>
      <c r="G831" s="265"/>
    </row>
    <row r="832" spans="1:7">
      <c r="A832" s="261" t="s">
        <v>8</v>
      </c>
      <c r="C832" s="262" t="s">
        <v>1559</v>
      </c>
      <c r="D832" s="497"/>
      <c r="E832" s="498">
        <v>32000</v>
      </c>
      <c r="F832" s="263"/>
      <c r="G832" s="265"/>
    </row>
    <row r="833" spans="1:7">
      <c r="A833" s="261" t="s">
        <v>8</v>
      </c>
      <c r="C833" s="262" t="s">
        <v>1560</v>
      </c>
      <c r="D833" s="497"/>
      <c r="E833" s="498">
        <v>150000</v>
      </c>
      <c r="F833" s="263"/>
      <c r="G833" s="265"/>
    </row>
    <row r="834" spans="1:7">
      <c r="A834" s="261" t="s">
        <v>8</v>
      </c>
      <c r="C834" s="262" t="s">
        <v>1561</v>
      </c>
      <c r="D834" s="497"/>
      <c r="E834" s="498">
        <v>1500</v>
      </c>
      <c r="F834" s="263"/>
      <c r="G834" s="265"/>
    </row>
    <row r="835" spans="1:7">
      <c r="A835" s="261" t="s">
        <v>8</v>
      </c>
      <c r="C835" s="262" t="s">
        <v>1562</v>
      </c>
      <c r="D835" s="497"/>
      <c r="E835" s="498">
        <v>400</v>
      </c>
      <c r="F835" s="263"/>
      <c r="G835" s="265"/>
    </row>
    <row r="836" spans="1:7">
      <c r="A836" s="261" t="s">
        <v>8</v>
      </c>
      <c r="C836" s="262" t="s">
        <v>1563</v>
      </c>
      <c r="D836" s="497"/>
      <c r="E836" s="498">
        <v>83000</v>
      </c>
      <c r="F836" s="263"/>
      <c r="G836" s="265"/>
    </row>
    <row r="837" spans="1:7">
      <c r="A837" s="261" t="s">
        <v>8</v>
      </c>
      <c r="C837" s="262" t="s">
        <v>1564</v>
      </c>
      <c r="D837" s="497"/>
      <c r="E837" s="498">
        <v>8000</v>
      </c>
      <c r="F837" s="263"/>
      <c r="G837" s="265"/>
    </row>
    <row r="838" spans="1:7">
      <c r="A838" s="261" t="s">
        <v>8</v>
      </c>
      <c r="C838" s="262" t="s">
        <v>1565</v>
      </c>
      <c r="D838" s="497"/>
      <c r="E838" s="498">
        <v>16000</v>
      </c>
      <c r="F838" s="263"/>
      <c r="G838" s="265"/>
    </row>
    <row r="839" spans="1:7">
      <c r="A839" s="261" t="s">
        <v>8</v>
      </c>
      <c r="C839" s="262" t="s">
        <v>1566</v>
      </c>
      <c r="D839" s="498">
        <v>3905260</v>
      </c>
      <c r="E839" s="498">
        <f>3834409-250000</f>
        <v>3584409</v>
      </c>
      <c r="F839" s="263"/>
      <c r="G839" s="265"/>
    </row>
    <row r="840" spans="1:7">
      <c r="A840" s="261" t="s">
        <v>8</v>
      </c>
      <c r="C840" s="262" t="s">
        <v>1567</v>
      </c>
      <c r="D840" s="497"/>
      <c r="E840" s="498">
        <v>113840</v>
      </c>
      <c r="F840" s="263"/>
      <c r="G840" s="265"/>
    </row>
    <row r="841" spans="1:7">
      <c r="A841" s="261" t="s">
        <v>8</v>
      </c>
      <c r="C841" s="262" t="s">
        <v>1568</v>
      </c>
      <c r="D841" s="497"/>
      <c r="E841" s="498">
        <v>739000</v>
      </c>
      <c r="F841" s="263"/>
      <c r="G841" s="265"/>
    </row>
    <row r="842" spans="1:7">
      <c r="A842" s="261" t="s">
        <v>8</v>
      </c>
      <c r="C842" s="262" t="s">
        <v>1300</v>
      </c>
      <c r="D842" s="497">
        <f>SUM(D786:D841)-SUM(E786:E841)</f>
        <v>-1826980</v>
      </c>
      <c r="E842" s="497">
        <f>SUM(E786:E841)-SUM(F786:F841)</f>
        <v>10611685</v>
      </c>
      <c r="F842" s="263"/>
      <c r="G842" s="262"/>
    </row>
    <row r="843" spans="1:7">
      <c r="A843" s="261" t="s">
        <v>8</v>
      </c>
    </row>
    <row r="844" spans="1:7">
      <c r="A844" s="261" t="s">
        <v>8</v>
      </c>
    </row>
    <row r="845" spans="1:7">
      <c r="A845" s="261" t="s">
        <v>8</v>
      </c>
      <c r="B845" s="256" t="s">
        <v>2158</v>
      </c>
      <c r="C845" s="262" t="s">
        <v>1268</v>
      </c>
      <c r="D845" s="497">
        <v>5559784</v>
      </c>
      <c r="E845" s="497"/>
      <c r="F845" s="263"/>
      <c r="G845" s="262"/>
    </row>
    <row r="846" spans="1:7">
      <c r="A846" s="261" t="s">
        <v>8</v>
      </c>
      <c r="C846" s="262" t="s">
        <v>1269</v>
      </c>
      <c r="D846" s="497"/>
      <c r="E846" s="498">
        <v>359500</v>
      </c>
      <c r="F846" s="263"/>
      <c r="G846" s="262" t="s">
        <v>2159</v>
      </c>
    </row>
    <row r="847" spans="1:7">
      <c r="A847" s="261" t="s">
        <v>8</v>
      </c>
      <c r="C847" s="262" t="s">
        <v>1270</v>
      </c>
      <c r="D847" s="497"/>
      <c r="E847" s="498">
        <v>721000</v>
      </c>
      <c r="F847" s="263"/>
      <c r="G847" s="262"/>
    </row>
    <row r="848" spans="1:7">
      <c r="A848" s="261" t="s">
        <v>8</v>
      </c>
      <c r="C848" s="262" t="s">
        <v>1271</v>
      </c>
      <c r="D848" s="497"/>
      <c r="E848" s="498">
        <v>162060</v>
      </c>
      <c r="F848" s="263"/>
      <c r="G848" s="264"/>
    </row>
    <row r="849" spans="1:7">
      <c r="A849" s="261" t="s">
        <v>8</v>
      </c>
      <c r="C849" s="262" t="s">
        <v>1272</v>
      </c>
      <c r="D849" s="497"/>
      <c r="E849" s="498">
        <v>7180</v>
      </c>
      <c r="F849" s="263"/>
      <c r="G849" s="262"/>
    </row>
    <row r="850" spans="1:7">
      <c r="A850" s="261" t="s">
        <v>8</v>
      </c>
      <c r="C850" s="262" t="s">
        <v>1273</v>
      </c>
      <c r="D850" s="497"/>
      <c r="E850" s="498">
        <v>20980</v>
      </c>
      <c r="F850" s="263"/>
      <c r="G850" s="262"/>
    </row>
    <row r="851" spans="1:7">
      <c r="A851" s="261" t="s">
        <v>8</v>
      </c>
      <c r="C851" s="262" t="s">
        <v>1274</v>
      </c>
      <c r="D851" s="497"/>
      <c r="E851" s="498">
        <v>18550</v>
      </c>
      <c r="F851" s="263"/>
      <c r="G851" s="262"/>
    </row>
    <row r="852" spans="1:7">
      <c r="A852" s="261" t="s">
        <v>8</v>
      </c>
      <c r="C852" s="262" t="s">
        <v>1275</v>
      </c>
      <c r="D852" s="497"/>
      <c r="E852" s="498">
        <v>26450</v>
      </c>
      <c r="F852" s="263"/>
      <c r="G852" s="262"/>
    </row>
    <row r="853" spans="1:7">
      <c r="A853" s="261" t="s">
        <v>8</v>
      </c>
      <c r="C853" s="262" t="s">
        <v>1516</v>
      </c>
      <c r="D853" s="497"/>
      <c r="E853" s="498">
        <v>18816</v>
      </c>
      <c r="F853" s="263"/>
      <c r="G853" s="262"/>
    </row>
    <row r="854" spans="1:7">
      <c r="A854" s="261" t="s">
        <v>8</v>
      </c>
      <c r="C854" s="262" t="s">
        <v>1517</v>
      </c>
      <c r="D854" s="497"/>
      <c r="E854" s="498">
        <v>23230</v>
      </c>
      <c r="F854" s="263"/>
      <c r="G854" s="262"/>
    </row>
    <row r="855" spans="1:7">
      <c r="A855" s="261" t="s">
        <v>8</v>
      </c>
      <c r="C855" s="262" t="s">
        <v>1276</v>
      </c>
      <c r="D855" s="497"/>
      <c r="E855" s="498">
        <v>410540</v>
      </c>
      <c r="F855" s="263"/>
      <c r="G855" s="262"/>
    </row>
    <row r="856" spans="1:7">
      <c r="A856" s="261" t="s">
        <v>8</v>
      </c>
      <c r="C856" s="262" t="s">
        <v>1278</v>
      </c>
      <c r="D856" s="497"/>
      <c r="E856" s="498">
        <v>200000</v>
      </c>
      <c r="F856" s="263"/>
      <c r="G856" s="262"/>
    </row>
    <row r="857" spans="1:7">
      <c r="A857" s="261" t="s">
        <v>8</v>
      </c>
      <c r="C857" s="262" t="s">
        <v>1332</v>
      </c>
      <c r="D857" s="497"/>
      <c r="E857" s="499">
        <f>42630*2</f>
        <v>85260</v>
      </c>
      <c r="F857" s="263"/>
      <c r="G857" s="265" t="s">
        <v>390</v>
      </c>
    </row>
    <row r="858" spans="1:7">
      <c r="A858" s="261" t="s">
        <v>8</v>
      </c>
      <c r="C858" s="262" t="s">
        <v>1484</v>
      </c>
      <c r="D858" s="497"/>
      <c r="E858" s="498">
        <v>104000</v>
      </c>
      <c r="F858" s="263"/>
      <c r="G858" s="265"/>
    </row>
    <row r="859" spans="1:7">
      <c r="A859" s="261" t="s">
        <v>8</v>
      </c>
      <c r="C859" s="262" t="s">
        <v>1280</v>
      </c>
      <c r="D859" s="497"/>
      <c r="E859" s="498">
        <f>5000*0+50000*1</f>
        <v>50000</v>
      </c>
      <c r="F859" s="263"/>
      <c r="G859" s="265"/>
    </row>
    <row r="860" spans="1:7">
      <c r="A860" s="261" t="s">
        <v>8</v>
      </c>
      <c r="C860" s="262" t="s">
        <v>1549</v>
      </c>
      <c r="D860" s="497"/>
      <c r="E860" s="498">
        <v>122000</v>
      </c>
      <c r="F860" s="263"/>
      <c r="G860" s="265"/>
    </row>
    <row r="861" spans="1:7">
      <c r="A861" s="261" t="s">
        <v>8</v>
      </c>
      <c r="C861" s="262" t="s">
        <v>382</v>
      </c>
      <c r="D861" s="497"/>
      <c r="E861" s="498">
        <f>5000*0+50000*1</f>
        <v>50000</v>
      </c>
      <c r="F861" s="263"/>
      <c r="G861" s="265"/>
    </row>
    <row r="862" spans="1:7">
      <c r="A862" s="261" t="s">
        <v>8</v>
      </c>
      <c r="C862" s="262" t="s">
        <v>1413</v>
      </c>
      <c r="D862" s="497"/>
      <c r="E862" s="498">
        <v>1000000</v>
      </c>
      <c r="F862" s="263"/>
      <c r="G862" s="265"/>
    </row>
    <row r="863" spans="1:7">
      <c r="A863" s="261" t="s">
        <v>8</v>
      </c>
      <c r="C863" s="262" t="s">
        <v>1569</v>
      </c>
      <c r="D863" s="497"/>
      <c r="E863" s="498">
        <v>83120</v>
      </c>
      <c r="F863" s="263"/>
      <c r="G863" s="265"/>
    </row>
    <row r="864" spans="1:7">
      <c r="A864" s="261" t="s">
        <v>8</v>
      </c>
      <c r="C864" s="262" t="s">
        <v>1284</v>
      </c>
      <c r="D864" s="497"/>
      <c r="E864" s="498">
        <f>9980</f>
        <v>9980</v>
      </c>
      <c r="F864" s="263"/>
      <c r="G864" s="265"/>
    </row>
    <row r="865" spans="1:7">
      <c r="A865" s="261" t="s">
        <v>8</v>
      </c>
      <c r="C865" s="262" t="s">
        <v>1296</v>
      </c>
      <c r="D865" s="497"/>
      <c r="E865" s="498">
        <v>34000</v>
      </c>
      <c r="F865" s="263"/>
      <c r="G865" s="265"/>
    </row>
    <row r="866" spans="1:7">
      <c r="A866" s="261" t="s">
        <v>8</v>
      </c>
      <c r="C866" s="262" t="s">
        <v>1491</v>
      </c>
      <c r="D866" s="497"/>
      <c r="E866" s="498">
        <v>400000</v>
      </c>
      <c r="F866" s="263"/>
      <c r="G866" s="265"/>
    </row>
    <row r="867" spans="1:7">
      <c r="A867" s="261" t="s">
        <v>8</v>
      </c>
      <c r="C867" s="262" t="s">
        <v>1570</v>
      </c>
      <c r="D867" s="497"/>
      <c r="E867" s="498">
        <v>117640</v>
      </c>
      <c r="F867" s="263"/>
      <c r="G867" s="265"/>
    </row>
    <row r="868" spans="1:7">
      <c r="A868" s="261" t="s">
        <v>8</v>
      </c>
      <c r="C868" s="262" t="s">
        <v>1571</v>
      </c>
      <c r="D868" s="497"/>
      <c r="E868" s="498">
        <v>7500</v>
      </c>
      <c r="F868" s="263"/>
      <c r="G868" s="265"/>
    </row>
    <row r="869" spans="1:7">
      <c r="A869" s="261" t="s">
        <v>8</v>
      </c>
      <c r="C869" s="262" t="s">
        <v>1564</v>
      </c>
      <c r="D869" s="497"/>
      <c r="E869" s="498">
        <v>24650</v>
      </c>
      <c r="F869" s="263"/>
      <c r="G869" s="265"/>
    </row>
    <row r="870" spans="1:7">
      <c r="A870" s="261" t="s">
        <v>8</v>
      </c>
      <c r="C870" s="262" t="s">
        <v>1572</v>
      </c>
      <c r="D870" s="497"/>
      <c r="E870" s="498">
        <v>51400</v>
      </c>
      <c r="F870" s="263"/>
      <c r="G870" s="265"/>
    </row>
    <row r="871" spans="1:7">
      <c r="A871" s="261" t="s">
        <v>8</v>
      </c>
      <c r="C871" s="262" t="s">
        <v>1573</v>
      </c>
      <c r="D871" s="497"/>
      <c r="E871" s="498">
        <v>93500</v>
      </c>
      <c r="F871" s="263"/>
      <c r="G871" s="265"/>
    </row>
    <row r="872" spans="1:7">
      <c r="A872" s="261" t="s">
        <v>8</v>
      </c>
      <c r="C872" s="262" t="s">
        <v>1574</v>
      </c>
      <c r="D872" s="497"/>
      <c r="E872" s="498">
        <v>27000</v>
      </c>
      <c r="F872" s="263"/>
      <c r="G872" s="265"/>
    </row>
    <row r="873" spans="1:7">
      <c r="A873" s="261" t="s">
        <v>8</v>
      </c>
      <c r="C873" s="262" t="s">
        <v>1310</v>
      </c>
      <c r="D873" s="497"/>
      <c r="E873" s="498">
        <v>7100</v>
      </c>
      <c r="F873" s="263"/>
      <c r="G873" s="265"/>
    </row>
    <row r="874" spans="1:7">
      <c r="A874" s="261" t="s">
        <v>8</v>
      </c>
      <c r="C874" s="262" t="s">
        <v>1575</v>
      </c>
      <c r="D874" s="497"/>
      <c r="E874" s="498">
        <v>27500</v>
      </c>
      <c r="F874" s="263"/>
      <c r="G874" s="265"/>
    </row>
    <row r="875" spans="1:7">
      <c r="A875" s="261" t="s">
        <v>8</v>
      </c>
      <c r="C875" s="262" t="s">
        <v>1576</v>
      </c>
      <c r="D875" s="497"/>
      <c r="E875" s="498">
        <v>152800</v>
      </c>
      <c r="F875" s="263"/>
      <c r="G875" s="265"/>
    </row>
    <row r="876" spans="1:7">
      <c r="A876" s="261" t="s">
        <v>8</v>
      </c>
      <c r="C876" s="262" t="s">
        <v>1577</v>
      </c>
      <c r="D876" s="497"/>
      <c r="E876" s="498">
        <v>21400</v>
      </c>
      <c r="F876" s="263"/>
      <c r="G876" s="265"/>
    </row>
    <row r="877" spans="1:7">
      <c r="A877" s="261" t="s">
        <v>8</v>
      </c>
      <c r="C877" s="262" t="s">
        <v>1578</v>
      </c>
      <c r="D877" s="497"/>
      <c r="E877" s="498">
        <v>63000</v>
      </c>
      <c r="F877" s="263"/>
      <c r="G877" s="265"/>
    </row>
    <row r="878" spans="1:7">
      <c r="A878" s="261" t="s">
        <v>8</v>
      </c>
      <c r="C878" s="262" t="s">
        <v>1579</v>
      </c>
      <c r="D878" s="497"/>
      <c r="E878" s="498">
        <v>5000</v>
      </c>
      <c r="F878" s="263"/>
      <c r="G878" s="265"/>
    </row>
    <row r="879" spans="1:7">
      <c r="A879" s="261" t="s">
        <v>8</v>
      </c>
      <c r="C879" s="262" t="s">
        <v>1541</v>
      </c>
      <c r="D879" s="497"/>
      <c r="E879" s="498">
        <v>41200</v>
      </c>
      <c r="F879" s="263"/>
      <c r="G879" s="265"/>
    </row>
    <row r="880" spans="1:7">
      <c r="A880" s="261" t="s">
        <v>8</v>
      </c>
      <c r="C880" s="262" t="s">
        <v>1580</v>
      </c>
      <c r="D880" s="497"/>
      <c r="E880" s="498">
        <v>30000</v>
      </c>
      <c r="F880" s="263"/>
      <c r="G880" s="265"/>
    </row>
    <row r="881" spans="1:7">
      <c r="A881" s="261" t="s">
        <v>8</v>
      </c>
      <c r="C881" s="262" t="s">
        <v>1581</v>
      </c>
      <c r="D881" s="497"/>
      <c r="E881" s="498">
        <v>9600</v>
      </c>
      <c r="F881" s="263"/>
      <c r="G881" s="265"/>
    </row>
    <row r="882" spans="1:7">
      <c r="A882" s="261" t="s">
        <v>8</v>
      </c>
      <c r="C882" s="262" t="s">
        <v>1582</v>
      </c>
      <c r="D882" s="497"/>
      <c r="E882" s="498">
        <v>40510</v>
      </c>
      <c r="F882" s="263"/>
      <c r="G882" s="265"/>
    </row>
    <row r="883" spans="1:7">
      <c r="A883" s="261" t="s">
        <v>8</v>
      </c>
      <c r="C883" s="262" t="s">
        <v>1583</v>
      </c>
      <c r="D883" s="497"/>
      <c r="E883" s="498">
        <v>10600</v>
      </c>
      <c r="F883" s="263"/>
      <c r="G883" s="265"/>
    </row>
    <row r="884" spans="1:7">
      <c r="A884" s="261" t="s">
        <v>8</v>
      </c>
      <c r="C884" s="262" t="s">
        <v>1584</v>
      </c>
      <c r="D884" s="497"/>
      <c r="E884" s="498">
        <v>52000</v>
      </c>
      <c r="F884" s="263"/>
      <c r="G884" s="265"/>
    </row>
    <row r="885" spans="1:7">
      <c r="A885" s="261" t="s">
        <v>8</v>
      </c>
      <c r="C885" s="262" t="s">
        <v>1585</v>
      </c>
      <c r="D885" s="497"/>
      <c r="E885" s="498">
        <f>25500+21000</f>
        <v>46500</v>
      </c>
      <c r="F885" s="263"/>
      <c r="G885" s="265"/>
    </row>
    <row r="886" spans="1:7">
      <c r="A886" s="261" t="s">
        <v>8</v>
      </c>
      <c r="C886" s="262" t="s">
        <v>1586</v>
      </c>
      <c r="D886" s="497"/>
      <c r="E886" s="498">
        <v>56800</v>
      </c>
      <c r="F886" s="263"/>
      <c r="G886" s="265"/>
    </row>
    <row r="887" spans="1:7">
      <c r="A887" s="261" t="s">
        <v>8</v>
      </c>
      <c r="C887" s="262" t="s">
        <v>1587</v>
      </c>
      <c r="D887" s="497"/>
      <c r="E887" s="498">
        <v>100300</v>
      </c>
      <c r="F887" s="263"/>
      <c r="G887" s="265"/>
    </row>
    <row r="888" spans="1:7">
      <c r="A888" s="261" t="s">
        <v>8</v>
      </c>
      <c r="C888" s="262" t="s">
        <v>1588</v>
      </c>
      <c r="D888" s="497"/>
      <c r="E888" s="498">
        <v>20000</v>
      </c>
      <c r="F888" s="263"/>
      <c r="G888" s="265"/>
    </row>
    <row r="889" spans="1:7">
      <c r="A889" s="261" t="s">
        <v>8</v>
      </c>
      <c r="C889" s="262" t="s">
        <v>1589</v>
      </c>
      <c r="D889" s="497"/>
      <c r="E889" s="498">
        <v>17200</v>
      </c>
      <c r="F889" s="263"/>
      <c r="G889" s="265"/>
    </row>
    <row r="890" spans="1:7">
      <c r="A890" s="261" t="s">
        <v>8</v>
      </c>
      <c r="C890" s="262" t="s">
        <v>1590</v>
      </c>
      <c r="D890" s="497"/>
      <c r="E890" s="498">
        <v>57000</v>
      </c>
      <c r="F890" s="263"/>
      <c r="G890" s="265"/>
    </row>
    <row r="891" spans="1:7">
      <c r="A891" s="261" t="s">
        <v>8</v>
      </c>
      <c r="C891" s="262" t="s">
        <v>1591</v>
      </c>
      <c r="D891" s="497"/>
      <c r="E891" s="498">
        <v>14000</v>
      </c>
      <c r="F891" s="263"/>
      <c r="G891" s="265"/>
    </row>
    <row r="892" spans="1:7">
      <c r="A892" s="261" t="s">
        <v>8</v>
      </c>
      <c r="C892" s="262" t="s">
        <v>1300</v>
      </c>
      <c r="D892" s="497">
        <f>SUM(D845:D891)-SUM(E845:E891)</f>
        <v>558918</v>
      </c>
      <c r="E892" s="497">
        <f>SUM(E845:E891)-SUM(F845:F891)</f>
        <v>5000866</v>
      </c>
      <c r="F892" s="263"/>
      <c r="G892" s="262"/>
    </row>
    <row r="893" spans="1:7">
      <c r="A893" s="261" t="s">
        <v>8</v>
      </c>
    </row>
    <row r="894" spans="1:7">
      <c r="A894" s="261" t="s">
        <v>8</v>
      </c>
    </row>
    <row r="895" spans="1:7">
      <c r="A895" s="261" t="s">
        <v>8</v>
      </c>
      <c r="B895" s="256" t="s">
        <v>2160</v>
      </c>
      <c r="C895" s="262" t="s">
        <v>1268</v>
      </c>
      <c r="D895" s="497">
        <v>4731477</v>
      </c>
      <c r="E895" s="497"/>
      <c r="F895" s="263"/>
      <c r="G895" s="262"/>
    </row>
    <row r="896" spans="1:7">
      <c r="A896" s="261" t="s">
        <v>8</v>
      </c>
      <c r="C896" s="262" t="s">
        <v>1269</v>
      </c>
      <c r="D896" s="497"/>
      <c r="E896" s="498">
        <f>450000-86500</f>
        <v>363500</v>
      </c>
      <c r="F896" s="263"/>
      <c r="G896" s="262" t="s">
        <v>2161</v>
      </c>
    </row>
    <row r="897" spans="1:7">
      <c r="A897" s="261" t="s">
        <v>8</v>
      </c>
      <c r="C897" s="262" t="s">
        <v>1270</v>
      </c>
      <c r="D897" s="497"/>
      <c r="E897" s="498">
        <v>706000</v>
      </c>
      <c r="F897" s="263"/>
      <c r="G897" s="262"/>
    </row>
    <row r="898" spans="1:7">
      <c r="A898" s="261" t="s">
        <v>8</v>
      </c>
      <c r="C898" s="262" t="s">
        <v>1271</v>
      </c>
      <c r="D898" s="497"/>
      <c r="E898" s="498">
        <v>174210</v>
      </c>
      <c r="F898" s="263"/>
      <c r="G898" s="264"/>
    </row>
    <row r="899" spans="1:7">
      <c r="A899" s="261" t="s">
        <v>8</v>
      </c>
      <c r="C899" s="262" t="s">
        <v>1272</v>
      </c>
      <c r="D899" s="497"/>
      <c r="E899" s="498">
        <v>7180</v>
      </c>
      <c r="F899" s="263"/>
      <c r="G899" s="262"/>
    </row>
    <row r="900" spans="1:7">
      <c r="A900" s="261" t="s">
        <v>8</v>
      </c>
      <c r="C900" s="262" t="s">
        <v>1273</v>
      </c>
      <c r="D900" s="497"/>
      <c r="E900" s="498">
        <v>20980</v>
      </c>
      <c r="F900" s="263"/>
      <c r="G900" s="262"/>
    </row>
    <row r="901" spans="1:7">
      <c r="A901" s="261" t="s">
        <v>8</v>
      </c>
      <c r="C901" s="262" t="s">
        <v>1274</v>
      </c>
      <c r="D901" s="497"/>
      <c r="E901" s="498">
        <v>18550</v>
      </c>
      <c r="F901" s="263"/>
      <c r="G901" s="262"/>
    </row>
    <row r="902" spans="1:7">
      <c r="A902" s="261" t="s">
        <v>8</v>
      </c>
      <c r="C902" s="262" t="s">
        <v>1275</v>
      </c>
      <c r="D902" s="497"/>
      <c r="E902" s="498">
        <v>26450</v>
      </c>
      <c r="F902" s="263"/>
      <c r="G902" s="262"/>
    </row>
    <row r="903" spans="1:7">
      <c r="A903" s="261" t="s">
        <v>8</v>
      </c>
      <c r="C903" s="262" t="s">
        <v>1516</v>
      </c>
      <c r="D903" s="497"/>
      <c r="E903" s="498">
        <v>18816</v>
      </c>
      <c r="F903" s="263"/>
      <c r="G903" s="262"/>
    </row>
    <row r="904" spans="1:7">
      <c r="A904" s="261" t="s">
        <v>8</v>
      </c>
      <c r="C904" s="262" t="s">
        <v>1517</v>
      </c>
      <c r="D904" s="497"/>
      <c r="E904" s="498">
        <v>23230</v>
      </c>
      <c r="F904" s="263"/>
      <c r="G904" s="262"/>
    </row>
    <row r="905" spans="1:7">
      <c r="A905" s="261" t="s">
        <v>8</v>
      </c>
      <c r="C905" s="262" t="s">
        <v>1276</v>
      </c>
      <c r="D905" s="497"/>
      <c r="E905" s="498">
        <v>248330</v>
      </c>
      <c r="F905" s="263"/>
      <c r="G905" s="262"/>
    </row>
    <row r="906" spans="1:7">
      <c r="A906" s="261" t="s">
        <v>8</v>
      </c>
      <c r="C906" s="262" t="s">
        <v>1277</v>
      </c>
      <c r="D906" s="497"/>
      <c r="E906" s="498">
        <v>109590</v>
      </c>
      <c r="F906" s="263"/>
      <c r="G906" s="262"/>
    </row>
    <row r="907" spans="1:7">
      <c r="A907" s="261" t="s">
        <v>8</v>
      </c>
      <c r="C907" s="262" t="s">
        <v>1278</v>
      </c>
      <c r="D907" s="497"/>
      <c r="E907" s="498">
        <v>200000</v>
      </c>
      <c r="F907" s="263"/>
      <c r="G907" s="262"/>
    </row>
    <row r="908" spans="1:7">
      <c r="A908" s="261" t="s">
        <v>8</v>
      </c>
      <c r="C908" s="262" t="s">
        <v>1332</v>
      </c>
      <c r="D908" s="497"/>
      <c r="E908" s="498">
        <v>42630</v>
      </c>
      <c r="F908" s="263"/>
      <c r="G908" s="265"/>
    </row>
    <row r="909" spans="1:7">
      <c r="A909" s="261" t="s">
        <v>8</v>
      </c>
      <c r="C909" s="262" t="s">
        <v>1484</v>
      </c>
      <c r="D909" s="497"/>
      <c r="E909" s="498">
        <v>103000</v>
      </c>
      <c r="F909" s="263"/>
      <c r="G909" s="265"/>
    </row>
    <row r="910" spans="1:7">
      <c r="A910" s="261" t="s">
        <v>8</v>
      </c>
      <c r="C910" s="262" t="s">
        <v>1413</v>
      </c>
      <c r="D910" s="497"/>
      <c r="E910" s="498">
        <v>1000000</v>
      </c>
      <c r="F910" s="263"/>
      <c r="G910" s="265"/>
    </row>
    <row r="911" spans="1:7">
      <c r="A911" s="261" t="s">
        <v>8</v>
      </c>
      <c r="C911" s="262" t="s">
        <v>1592</v>
      </c>
      <c r="D911" s="497"/>
      <c r="E911" s="498">
        <v>577720</v>
      </c>
      <c r="F911" s="263"/>
      <c r="G911" s="265"/>
    </row>
    <row r="912" spans="1:7">
      <c r="A912" s="261" t="s">
        <v>8</v>
      </c>
      <c r="C912" s="262" t="s">
        <v>1593</v>
      </c>
      <c r="D912" s="497"/>
      <c r="E912" s="498">
        <v>40000</v>
      </c>
      <c r="F912" s="263"/>
      <c r="G912" s="265"/>
    </row>
    <row r="913" spans="1:7">
      <c r="A913" s="261" t="s">
        <v>8</v>
      </c>
      <c r="C913" s="262" t="s">
        <v>1569</v>
      </c>
      <c r="D913" s="497"/>
      <c r="E913" s="498">
        <v>44860</v>
      </c>
      <c r="F913" s="263"/>
      <c r="G913" s="265"/>
    </row>
    <row r="914" spans="1:7">
      <c r="A914" s="261" t="s">
        <v>8</v>
      </c>
      <c r="C914" s="262" t="s">
        <v>1594</v>
      </c>
      <c r="D914" s="497"/>
      <c r="E914" s="498">
        <v>54500</v>
      </c>
      <c r="F914" s="263"/>
      <c r="G914" s="265"/>
    </row>
    <row r="915" spans="1:7">
      <c r="A915" s="261" t="s">
        <v>8</v>
      </c>
      <c r="C915" s="262" t="s">
        <v>1595</v>
      </c>
      <c r="D915" s="497"/>
      <c r="E915" s="498">
        <v>4500</v>
      </c>
      <c r="F915" s="263"/>
      <c r="G915" s="265"/>
    </row>
    <row r="916" spans="1:7">
      <c r="A916" s="261" t="s">
        <v>8</v>
      </c>
      <c r="C916" s="262" t="s">
        <v>1596</v>
      </c>
      <c r="D916" s="497"/>
      <c r="E916" s="498">
        <v>2700</v>
      </c>
      <c r="F916" s="263"/>
      <c r="G916" s="265"/>
    </row>
    <row r="917" spans="1:7">
      <c r="A917" s="261" t="s">
        <v>8</v>
      </c>
      <c r="C917" s="262" t="s">
        <v>1597</v>
      </c>
      <c r="D917" s="497"/>
      <c r="E917" s="498">
        <v>2000</v>
      </c>
      <c r="F917" s="263"/>
      <c r="G917" s="265"/>
    </row>
    <row r="918" spans="1:7">
      <c r="A918" s="261" t="s">
        <v>8</v>
      </c>
      <c r="C918" s="262" t="s">
        <v>1598</v>
      </c>
      <c r="D918" s="497"/>
      <c r="E918" s="498">
        <v>28000</v>
      </c>
      <c r="F918" s="263"/>
      <c r="G918" s="265"/>
    </row>
    <row r="919" spans="1:7">
      <c r="A919" s="261" t="s">
        <v>8</v>
      </c>
      <c r="C919" s="262" t="s">
        <v>1541</v>
      </c>
      <c r="D919" s="497"/>
      <c r="E919" s="498">
        <v>4600</v>
      </c>
      <c r="F919" s="263"/>
      <c r="G919" s="265"/>
    </row>
    <row r="920" spans="1:7">
      <c r="A920" s="261" t="s">
        <v>8</v>
      </c>
      <c r="C920" s="262" t="s">
        <v>1599</v>
      </c>
      <c r="D920" s="497"/>
      <c r="E920" s="498">
        <v>100000</v>
      </c>
      <c r="F920" s="263"/>
      <c r="G920" s="265"/>
    </row>
    <row r="921" spans="1:7">
      <c r="A921" s="261" t="s">
        <v>8</v>
      </c>
      <c r="C921" s="262" t="s">
        <v>1600</v>
      </c>
      <c r="D921" s="497"/>
      <c r="E921" s="498">
        <v>100000</v>
      </c>
      <c r="F921" s="263"/>
      <c r="G921" s="265"/>
    </row>
    <row r="922" spans="1:7">
      <c r="A922" s="261" t="s">
        <v>8</v>
      </c>
      <c r="C922" s="262" t="s">
        <v>1601</v>
      </c>
      <c r="D922" s="497"/>
      <c r="E922" s="498">
        <v>50000</v>
      </c>
      <c r="F922" s="263"/>
      <c r="G922" s="265"/>
    </row>
    <row r="923" spans="1:7">
      <c r="A923" s="261" t="s">
        <v>8</v>
      </c>
      <c r="C923" s="262" t="s">
        <v>1602</v>
      </c>
      <c r="D923" s="498">
        <v>536</v>
      </c>
      <c r="E923" s="497"/>
      <c r="F923" s="263"/>
      <c r="G923" s="265"/>
    </row>
    <row r="924" spans="1:7">
      <c r="A924" s="261" t="s">
        <v>8</v>
      </c>
      <c r="C924" s="262" t="s">
        <v>1603</v>
      </c>
      <c r="D924" s="497"/>
      <c r="E924" s="498">
        <v>150000</v>
      </c>
      <c r="F924" s="263"/>
      <c r="G924" s="265"/>
    </row>
    <row r="925" spans="1:7">
      <c r="A925" s="261" t="s">
        <v>8</v>
      </c>
      <c r="C925" s="262" t="s">
        <v>1300</v>
      </c>
      <c r="D925" s="497">
        <f>SUM(D895:D924)-SUM(E895:E924)</f>
        <v>510667</v>
      </c>
      <c r="E925" s="497">
        <f>SUM(E895:E924)-SUM(F895:F924)</f>
        <v>4221346</v>
      </c>
      <c r="F925" s="263"/>
      <c r="G925" s="262"/>
    </row>
    <row r="926" spans="1:7">
      <c r="A926" s="261" t="s">
        <v>8</v>
      </c>
    </row>
    <row r="927" spans="1:7">
      <c r="A927" s="261" t="s">
        <v>8</v>
      </c>
    </row>
    <row r="928" spans="1:7" ht="17.45" customHeight="1">
      <c r="A928" s="261" t="s">
        <v>8</v>
      </c>
      <c r="B928" s="256" t="s">
        <v>2162</v>
      </c>
      <c r="C928" s="262" t="s">
        <v>1268</v>
      </c>
      <c r="D928" s="497">
        <v>5620894</v>
      </c>
      <c r="E928" s="497"/>
      <c r="F928" s="263"/>
      <c r="G928" s="262"/>
    </row>
    <row r="929" spans="1:7" ht="17.45" customHeight="1">
      <c r="A929" s="261" t="s">
        <v>8</v>
      </c>
      <c r="B929" s="257"/>
      <c r="C929" s="262" t="s">
        <v>1269</v>
      </c>
      <c r="D929" s="497"/>
      <c r="E929" s="499">
        <f>450000-110500</f>
        <v>339500</v>
      </c>
      <c r="F929" s="263"/>
      <c r="G929" s="267" t="s">
        <v>2163</v>
      </c>
    </row>
    <row r="930" spans="1:7" ht="17.45" customHeight="1">
      <c r="A930" s="261" t="s">
        <v>8</v>
      </c>
      <c r="C930" s="262" t="s">
        <v>1270</v>
      </c>
      <c r="D930" s="497"/>
      <c r="E930" s="499">
        <v>701000</v>
      </c>
      <c r="F930" s="263"/>
      <c r="G930" s="262"/>
    </row>
    <row r="931" spans="1:7" ht="17.45" customHeight="1">
      <c r="A931" s="261" t="s">
        <v>8</v>
      </c>
      <c r="C931" s="262" t="s">
        <v>1271</v>
      </c>
      <c r="D931" s="497"/>
      <c r="E931" s="499">
        <v>184710</v>
      </c>
      <c r="F931" s="263"/>
      <c r="G931" s="264"/>
    </row>
    <row r="932" spans="1:7" ht="17.45" customHeight="1">
      <c r="A932" s="261" t="s">
        <v>8</v>
      </c>
      <c r="C932" s="262" t="s">
        <v>1272</v>
      </c>
      <c r="D932" s="497"/>
      <c r="E932" s="499">
        <v>6960</v>
      </c>
      <c r="F932" s="263"/>
      <c r="G932" s="262"/>
    </row>
    <row r="933" spans="1:7" ht="17.45" customHeight="1">
      <c r="A933" s="261" t="s">
        <v>8</v>
      </c>
      <c r="C933" s="262" t="s">
        <v>1273</v>
      </c>
      <c r="D933" s="497"/>
      <c r="E933" s="499">
        <v>20980</v>
      </c>
      <c r="F933" s="263"/>
      <c r="G933" s="262"/>
    </row>
    <row r="934" spans="1:7" ht="17.45" customHeight="1">
      <c r="A934" s="261" t="s">
        <v>8</v>
      </c>
      <c r="C934" s="262" t="s">
        <v>1274</v>
      </c>
      <c r="D934" s="497"/>
      <c r="E934" s="499">
        <v>18550</v>
      </c>
      <c r="F934" s="263"/>
      <c r="G934" s="262"/>
    </row>
    <row r="935" spans="1:7" ht="17.45" customHeight="1">
      <c r="A935" s="261" t="s">
        <v>8</v>
      </c>
      <c r="C935" s="262" t="s">
        <v>1275</v>
      </c>
      <c r="D935" s="497"/>
      <c r="E935" s="499">
        <v>26450</v>
      </c>
      <c r="F935" s="263"/>
      <c r="G935" s="262"/>
    </row>
    <row r="936" spans="1:7" ht="17.45" customHeight="1">
      <c r="A936" s="261" t="s">
        <v>8</v>
      </c>
      <c r="C936" s="262" t="s">
        <v>1516</v>
      </c>
      <c r="D936" s="497"/>
      <c r="E936" s="499">
        <v>18816</v>
      </c>
      <c r="F936" s="263"/>
      <c r="G936" s="262"/>
    </row>
    <row r="937" spans="1:7" ht="17.45" customHeight="1">
      <c r="A937" s="261" t="s">
        <v>8</v>
      </c>
      <c r="C937" s="262" t="s">
        <v>1517</v>
      </c>
      <c r="D937" s="497"/>
      <c r="E937" s="499">
        <v>23230</v>
      </c>
      <c r="F937" s="263"/>
      <c r="G937" s="262"/>
    </row>
    <row r="938" spans="1:7" ht="17.45" customHeight="1">
      <c r="A938" s="261" t="s">
        <v>8</v>
      </c>
      <c r="C938" s="262" t="s">
        <v>1276</v>
      </c>
      <c r="D938" s="497"/>
      <c r="E938" s="499">
        <v>299520</v>
      </c>
      <c r="F938" s="263"/>
      <c r="G938" s="262"/>
    </row>
    <row r="939" spans="1:7" ht="17.45" customHeight="1">
      <c r="A939" s="261" t="s">
        <v>8</v>
      </c>
      <c r="C939" s="262" t="s">
        <v>1277</v>
      </c>
      <c r="D939" s="497"/>
      <c r="E939" s="499">
        <v>26710</v>
      </c>
      <c r="F939" s="263"/>
      <c r="G939" s="262"/>
    </row>
    <row r="940" spans="1:7" ht="17.45" customHeight="1">
      <c r="A940" s="261" t="s">
        <v>8</v>
      </c>
      <c r="C940" s="262" t="s">
        <v>1278</v>
      </c>
      <c r="D940" s="497"/>
      <c r="E940" s="499">
        <v>200000</v>
      </c>
      <c r="F940" s="263"/>
      <c r="G940" s="262"/>
    </row>
    <row r="941" spans="1:7" ht="17.45" customHeight="1">
      <c r="A941" s="261" t="s">
        <v>8</v>
      </c>
      <c r="C941" s="262" t="s">
        <v>1332</v>
      </c>
      <c r="D941" s="497"/>
      <c r="E941" s="499">
        <v>42630</v>
      </c>
      <c r="F941" s="263"/>
      <c r="G941" s="265"/>
    </row>
    <row r="942" spans="1:7" ht="17.45" customHeight="1">
      <c r="A942" s="261" t="s">
        <v>8</v>
      </c>
      <c r="C942" s="262" t="s">
        <v>1484</v>
      </c>
      <c r="D942" s="497"/>
      <c r="E942" s="499">
        <v>103000</v>
      </c>
      <c r="F942" s="263"/>
      <c r="G942" s="265"/>
    </row>
    <row r="943" spans="1:7" ht="17.45" customHeight="1">
      <c r="A943" s="261" t="s">
        <v>8</v>
      </c>
      <c r="C943" s="262" t="s">
        <v>1280</v>
      </c>
      <c r="D943" s="497"/>
      <c r="E943" s="499">
        <f>5000*0+50000*2</f>
        <v>100000</v>
      </c>
      <c r="F943" s="263"/>
      <c r="G943" s="265"/>
    </row>
    <row r="944" spans="1:7" ht="17.45" customHeight="1">
      <c r="A944" s="261" t="s">
        <v>8</v>
      </c>
      <c r="C944" s="262" t="s">
        <v>391</v>
      </c>
      <c r="D944" s="497"/>
      <c r="E944" s="497">
        <f>5000*0+50000*0</f>
        <v>0</v>
      </c>
      <c r="F944" s="263"/>
      <c r="G944" s="265"/>
    </row>
    <row r="945" spans="1:7" ht="17.45" customHeight="1">
      <c r="A945" s="261" t="s">
        <v>8</v>
      </c>
      <c r="C945" s="262" t="s">
        <v>1413</v>
      </c>
      <c r="D945" s="497"/>
      <c r="E945" s="499">
        <v>1300000</v>
      </c>
      <c r="F945" s="263"/>
      <c r="G945" s="265"/>
    </row>
    <row r="946" spans="1:7" ht="17.45" customHeight="1">
      <c r="A946" s="261" t="s">
        <v>8</v>
      </c>
      <c r="C946" s="262" t="s">
        <v>1604</v>
      </c>
      <c r="D946" s="497"/>
      <c r="E946" s="499">
        <v>800000</v>
      </c>
      <c r="F946" s="263"/>
      <c r="G946" s="265"/>
    </row>
    <row r="947" spans="1:7" ht="17.45" customHeight="1">
      <c r="A947" s="261" t="s">
        <v>8</v>
      </c>
      <c r="C947" s="262" t="s">
        <v>1605</v>
      </c>
      <c r="D947" s="497"/>
      <c r="E947" s="499">
        <f>110000+65000</f>
        <v>175000</v>
      </c>
      <c r="F947" s="263"/>
      <c r="G947" s="265"/>
    </row>
    <row r="948" spans="1:7" ht="17.45" customHeight="1">
      <c r="A948" s="261" t="s">
        <v>8</v>
      </c>
      <c r="C948" s="262" t="s">
        <v>1606</v>
      </c>
      <c r="D948" s="497"/>
      <c r="E948" s="499">
        <v>8500</v>
      </c>
      <c r="F948" s="263"/>
      <c r="G948" s="265"/>
    </row>
    <row r="949" spans="1:7" ht="17.45" customHeight="1">
      <c r="A949" s="261" t="s">
        <v>8</v>
      </c>
      <c r="C949" s="262" t="s">
        <v>1607</v>
      </c>
      <c r="D949" s="497"/>
      <c r="E949" s="499">
        <v>128770</v>
      </c>
      <c r="F949" s="263"/>
      <c r="G949" s="265"/>
    </row>
    <row r="950" spans="1:7" ht="17.45" customHeight="1">
      <c r="A950" s="261" t="s">
        <v>8</v>
      </c>
      <c r="C950" s="262" t="s">
        <v>1608</v>
      </c>
      <c r="D950" s="497"/>
      <c r="E950" s="499">
        <v>12800</v>
      </c>
      <c r="F950" s="263"/>
      <c r="G950" s="265"/>
    </row>
    <row r="951" spans="1:7" ht="17.45" customHeight="1">
      <c r="A951" s="261" t="s">
        <v>8</v>
      </c>
      <c r="C951" s="262" t="s">
        <v>1609</v>
      </c>
      <c r="D951" s="497"/>
      <c r="E951" s="499">
        <v>12000</v>
      </c>
      <c r="F951" s="263"/>
      <c r="G951" s="265"/>
    </row>
    <row r="952" spans="1:7" ht="17.45" customHeight="1">
      <c r="A952" s="261" t="s">
        <v>8</v>
      </c>
      <c r="C952" s="262" t="s">
        <v>1610</v>
      </c>
      <c r="D952" s="497"/>
      <c r="E952" s="499">
        <v>1800</v>
      </c>
      <c r="F952" s="263"/>
      <c r="G952" s="265"/>
    </row>
    <row r="953" spans="1:7" ht="17.45" customHeight="1">
      <c r="A953" s="261" t="s">
        <v>8</v>
      </c>
      <c r="C953" s="262" t="s">
        <v>1611</v>
      </c>
      <c r="D953" s="497"/>
      <c r="E953" s="499">
        <v>17000</v>
      </c>
      <c r="F953" s="263"/>
      <c r="G953" s="265"/>
    </row>
    <row r="954" spans="1:7" ht="17.45" customHeight="1">
      <c r="A954" s="261" t="s">
        <v>8</v>
      </c>
      <c r="C954" s="262" t="s">
        <v>1612</v>
      </c>
      <c r="D954" s="497"/>
      <c r="E954" s="499">
        <v>12300</v>
      </c>
      <c r="F954" s="263"/>
      <c r="G954" s="265"/>
    </row>
    <row r="955" spans="1:7" ht="17.45" customHeight="1">
      <c r="A955" s="261" t="s">
        <v>8</v>
      </c>
      <c r="C955" s="262" t="s">
        <v>1613</v>
      </c>
      <c r="D955" s="497"/>
      <c r="E955" s="499">
        <f>5700+5900</f>
        <v>11600</v>
      </c>
      <c r="F955" s="263"/>
      <c r="G955" s="265"/>
    </row>
    <row r="956" spans="1:7" ht="17.45" customHeight="1">
      <c r="A956" s="261" t="s">
        <v>8</v>
      </c>
      <c r="C956" s="262" t="s">
        <v>1614</v>
      </c>
      <c r="D956" s="497"/>
      <c r="E956" s="499">
        <v>32500</v>
      </c>
      <c r="F956" s="263"/>
      <c r="G956" s="265"/>
    </row>
    <row r="957" spans="1:7" ht="17.45" customHeight="1">
      <c r="A957" s="261" t="s">
        <v>8</v>
      </c>
      <c r="C957" s="262" t="s">
        <v>1618</v>
      </c>
      <c r="D957" s="497"/>
      <c r="E957" s="499">
        <v>26540</v>
      </c>
      <c r="F957" s="263"/>
      <c r="G957" s="265"/>
    </row>
    <row r="958" spans="1:7" ht="17.45" customHeight="1">
      <c r="A958" s="261" t="s">
        <v>8</v>
      </c>
      <c r="C958" s="262" t="s">
        <v>1584</v>
      </c>
      <c r="D958" s="497"/>
      <c r="E958" s="499">
        <v>24000</v>
      </c>
      <c r="F958" s="263"/>
      <c r="G958" s="265"/>
    </row>
    <row r="959" spans="1:7" ht="17.45" customHeight="1">
      <c r="A959" s="261" t="s">
        <v>8</v>
      </c>
      <c r="C959" s="262" t="s">
        <v>1619</v>
      </c>
      <c r="D959" s="497"/>
      <c r="E959" s="499">
        <v>147000</v>
      </c>
      <c r="F959" s="263"/>
      <c r="G959" s="265"/>
    </row>
    <row r="960" spans="1:7" ht="17.45" customHeight="1">
      <c r="A960" s="261" t="s">
        <v>8</v>
      </c>
      <c r="C960" s="262" t="s">
        <v>1621</v>
      </c>
      <c r="D960" s="497"/>
      <c r="E960" s="499">
        <v>450</v>
      </c>
      <c r="F960" s="263"/>
      <c r="G960" s="265"/>
    </row>
    <row r="961" spans="1:7" ht="17.45" customHeight="1">
      <c r="A961" s="261" t="s">
        <v>8</v>
      </c>
      <c r="C961" s="262" t="s">
        <v>1622</v>
      </c>
      <c r="D961" s="497"/>
      <c r="E961" s="499">
        <v>19800</v>
      </c>
      <c r="F961" s="263"/>
      <c r="G961" s="265"/>
    </row>
    <row r="962" spans="1:7" ht="17.45" customHeight="1">
      <c r="A962" s="261" t="s">
        <v>8</v>
      </c>
      <c r="C962" s="262" t="s">
        <v>1623</v>
      </c>
      <c r="D962" s="497"/>
      <c r="E962" s="499">
        <v>172487</v>
      </c>
      <c r="F962" s="263"/>
      <c r="G962" s="265"/>
    </row>
    <row r="963" spans="1:7" ht="17.45" customHeight="1">
      <c r="A963" s="261" t="s">
        <v>8</v>
      </c>
      <c r="C963" s="262" t="s">
        <v>1624</v>
      </c>
      <c r="D963" s="497"/>
      <c r="E963" s="499">
        <v>24800</v>
      </c>
      <c r="F963" s="263"/>
      <c r="G963" s="265"/>
    </row>
    <row r="964" spans="1:7" ht="17.45" customHeight="1">
      <c r="A964" s="261" t="s">
        <v>8</v>
      </c>
      <c r="C964" s="262" t="s">
        <v>1625</v>
      </c>
      <c r="D964" s="497"/>
      <c r="E964" s="499">
        <v>1700</v>
      </c>
      <c r="F964" s="263"/>
      <c r="G964" s="265"/>
    </row>
    <row r="965" spans="1:7" ht="17.45" customHeight="1">
      <c r="A965" s="261" t="s">
        <v>8</v>
      </c>
      <c r="C965" s="262" t="s">
        <v>1626</v>
      </c>
      <c r="D965" s="497"/>
      <c r="E965" s="499">
        <v>4000</v>
      </c>
      <c r="F965" s="263"/>
      <c r="G965" s="265"/>
    </row>
    <row r="966" spans="1:7" ht="17.45" customHeight="1">
      <c r="A966" s="261" t="s">
        <v>8</v>
      </c>
      <c r="C966" s="262" t="s">
        <v>1300</v>
      </c>
      <c r="D966" s="497">
        <f>SUM(D928:D965)-SUM(E928:E965)</f>
        <v>575791</v>
      </c>
      <c r="E966" s="497">
        <f>SUM(E928:E965)-SUM(F928:F965)</f>
        <v>5045103</v>
      </c>
      <c r="F966" s="263"/>
      <c r="G966" s="262"/>
    </row>
    <row r="967" spans="1:7">
      <c r="A967" s="261" t="s">
        <v>8</v>
      </c>
    </row>
    <row r="968" spans="1:7">
      <c r="A968" s="261" t="s">
        <v>8</v>
      </c>
    </row>
    <row r="969" spans="1:7" ht="17.45" customHeight="1">
      <c r="A969" s="261" t="s">
        <v>8</v>
      </c>
      <c r="B969" s="256" t="s">
        <v>2164</v>
      </c>
      <c r="C969" s="262" t="s">
        <v>1268</v>
      </c>
      <c r="D969" s="497">
        <v>6389412</v>
      </c>
      <c r="E969" s="497"/>
      <c r="F969" s="263"/>
      <c r="G969" s="262"/>
    </row>
    <row r="970" spans="1:7" ht="17.45" customHeight="1">
      <c r="A970" s="261" t="s">
        <v>8</v>
      </c>
      <c r="B970" s="257"/>
      <c r="C970" s="262" t="s">
        <v>1269</v>
      </c>
      <c r="D970" s="497"/>
      <c r="E970" s="499">
        <v>443000</v>
      </c>
      <c r="F970" s="263"/>
      <c r="G970" s="267" t="s">
        <v>2165</v>
      </c>
    </row>
    <row r="971" spans="1:7" ht="17.45" customHeight="1">
      <c r="A971" s="261" t="s">
        <v>8</v>
      </c>
      <c r="C971" s="262" t="s">
        <v>1270</v>
      </c>
      <c r="D971" s="497"/>
      <c r="E971" s="499">
        <v>812000</v>
      </c>
      <c r="F971" s="263"/>
      <c r="G971" s="262"/>
    </row>
    <row r="972" spans="1:7" ht="17.45" customHeight="1">
      <c r="A972" s="261" t="s">
        <v>8</v>
      </c>
      <c r="C972" s="262" t="s">
        <v>1271</v>
      </c>
      <c r="D972" s="497"/>
      <c r="E972" s="499">
        <f>157260+6600</f>
        <v>163860</v>
      </c>
      <c r="F972" s="263"/>
      <c r="G972" s="264"/>
    </row>
    <row r="973" spans="1:7" ht="17.45" customHeight="1">
      <c r="A973" s="261" t="s">
        <v>8</v>
      </c>
      <c r="C973" s="262" t="s">
        <v>1272</v>
      </c>
      <c r="D973" s="497"/>
      <c r="E973" s="499">
        <v>6960</v>
      </c>
      <c r="F973" s="263"/>
      <c r="G973" s="262"/>
    </row>
    <row r="974" spans="1:7" ht="17.45" customHeight="1">
      <c r="A974" s="261" t="s">
        <v>8</v>
      </c>
      <c r="C974" s="262" t="s">
        <v>1273</v>
      </c>
      <c r="D974" s="497"/>
      <c r="E974" s="499">
        <v>20980</v>
      </c>
      <c r="F974" s="263"/>
      <c r="G974" s="262"/>
    </row>
    <row r="975" spans="1:7" ht="17.45" customHeight="1">
      <c r="A975" s="261" t="s">
        <v>8</v>
      </c>
      <c r="C975" s="262" t="s">
        <v>1274</v>
      </c>
      <c r="D975" s="497"/>
      <c r="E975" s="499">
        <v>18550</v>
      </c>
      <c r="F975" s="263"/>
      <c r="G975" s="262"/>
    </row>
    <row r="976" spans="1:7" ht="17.45" customHeight="1">
      <c r="A976" s="261" t="s">
        <v>8</v>
      </c>
      <c r="C976" s="262" t="s">
        <v>1275</v>
      </c>
      <c r="D976" s="497"/>
      <c r="E976" s="499">
        <v>26450</v>
      </c>
      <c r="F976" s="263"/>
      <c r="G976" s="262"/>
    </row>
    <row r="977" spans="1:7" ht="17.45" customHeight="1">
      <c r="A977" s="261" t="s">
        <v>8</v>
      </c>
      <c r="C977" s="262" t="s">
        <v>1516</v>
      </c>
      <c r="D977" s="497"/>
      <c r="E977" s="499">
        <v>18816</v>
      </c>
      <c r="F977" s="263"/>
      <c r="G977" s="262"/>
    </row>
    <row r="978" spans="1:7" ht="17.45" customHeight="1">
      <c r="A978" s="261" t="s">
        <v>8</v>
      </c>
      <c r="C978" s="262" t="s">
        <v>1517</v>
      </c>
      <c r="D978" s="497"/>
      <c r="E978" s="499">
        <v>23230</v>
      </c>
      <c r="F978" s="263"/>
      <c r="G978" s="262"/>
    </row>
    <row r="979" spans="1:7" ht="17.45" customHeight="1">
      <c r="A979" s="261" t="s">
        <v>8</v>
      </c>
      <c r="C979" s="262" t="s">
        <v>1276</v>
      </c>
      <c r="D979" s="497"/>
      <c r="E979" s="499">
        <v>364350</v>
      </c>
      <c r="F979" s="263"/>
      <c r="G979" s="262"/>
    </row>
    <row r="980" spans="1:7" ht="17.45" customHeight="1">
      <c r="A980" s="261" t="s">
        <v>8</v>
      </c>
      <c r="C980" s="262" t="s">
        <v>1277</v>
      </c>
      <c r="D980" s="497"/>
      <c r="E980" s="499">
        <v>21500</v>
      </c>
      <c r="F980" s="263"/>
      <c r="G980" s="262"/>
    </row>
    <row r="981" spans="1:7" ht="17.45" customHeight="1">
      <c r="A981" s="261" t="s">
        <v>8</v>
      </c>
      <c r="C981" s="262" t="s">
        <v>1278</v>
      </c>
      <c r="D981" s="497"/>
      <c r="E981" s="499">
        <v>200000</v>
      </c>
      <c r="F981" s="263"/>
      <c r="G981" s="262"/>
    </row>
    <row r="982" spans="1:7" ht="17.45" customHeight="1">
      <c r="A982" s="261" t="s">
        <v>8</v>
      </c>
      <c r="C982" s="262" t="s">
        <v>1629</v>
      </c>
      <c r="D982" s="497"/>
      <c r="E982" s="499">
        <v>300000</v>
      </c>
      <c r="F982" s="263"/>
      <c r="G982" s="262"/>
    </row>
    <row r="983" spans="1:7" ht="17.45" customHeight="1">
      <c r="A983" s="261" t="s">
        <v>8</v>
      </c>
      <c r="C983" s="262" t="s">
        <v>1332</v>
      </c>
      <c r="D983" s="497"/>
      <c r="E983" s="499">
        <v>42630</v>
      </c>
      <c r="F983" s="263"/>
      <c r="G983" s="265"/>
    </row>
    <row r="984" spans="1:7" ht="17.45" customHeight="1">
      <c r="A984" s="261" t="s">
        <v>8</v>
      </c>
      <c r="C984" s="262" t="s">
        <v>1484</v>
      </c>
      <c r="D984" s="497"/>
      <c r="E984" s="499">
        <v>103000</v>
      </c>
      <c r="F984" s="263"/>
      <c r="G984" s="265"/>
    </row>
    <row r="985" spans="1:7" ht="17.45" customHeight="1">
      <c r="A985" s="261" t="s">
        <v>8</v>
      </c>
      <c r="C985" s="262" t="s">
        <v>1280</v>
      </c>
      <c r="D985" s="497"/>
      <c r="E985" s="499">
        <v>50000</v>
      </c>
      <c r="F985" s="263"/>
      <c r="G985" s="265"/>
    </row>
    <row r="986" spans="1:7" ht="17.45" customHeight="1">
      <c r="A986" s="261" t="s">
        <v>8</v>
      </c>
      <c r="C986" s="262" t="s">
        <v>391</v>
      </c>
      <c r="D986" s="497"/>
      <c r="E986" s="499">
        <f>5000*0+50000*2</f>
        <v>100000</v>
      </c>
      <c r="F986" s="263"/>
      <c r="G986" s="265"/>
    </row>
    <row r="987" spans="1:7" ht="17.45" customHeight="1">
      <c r="A987" s="261" t="s">
        <v>8</v>
      </c>
      <c r="C987" s="262" t="s">
        <v>1413</v>
      </c>
      <c r="D987" s="497"/>
      <c r="E987" s="499">
        <v>1300000</v>
      </c>
      <c r="F987" s="263"/>
      <c r="G987" s="265"/>
    </row>
    <row r="988" spans="1:7" ht="17.45" customHeight="1">
      <c r="A988" s="261" t="s">
        <v>8</v>
      </c>
      <c r="C988" s="262" t="s">
        <v>1628</v>
      </c>
      <c r="D988" s="497"/>
      <c r="E988" s="499">
        <v>15000</v>
      </c>
      <c r="F988" s="263"/>
      <c r="G988" s="265"/>
    </row>
    <row r="989" spans="1:7" ht="17.45" customHeight="1">
      <c r="A989" s="261" t="s">
        <v>8</v>
      </c>
      <c r="C989" s="262" t="s">
        <v>1605</v>
      </c>
      <c r="D989" s="497"/>
      <c r="E989" s="499">
        <v>70000</v>
      </c>
      <c r="F989" s="263"/>
      <c r="G989" s="265"/>
    </row>
    <row r="990" spans="1:7" ht="17.45" customHeight="1">
      <c r="A990" s="261" t="s">
        <v>8</v>
      </c>
      <c r="C990" s="262" t="s">
        <v>1618</v>
      </c>
      <c r="D990" s="497"/>
      <c r="E990" s="499">
        <f>49080+15410</f>
        <v>64490</v>
      </c>
      <c r="F990" s="263"/>
      <c r="G990" s="265"/>
    </row>
    <row r="991" spans="1:7" ht="17.45" customHeight="1">
      <c r="A991" s="261" t="s">
        <v>8</v>
      </c>
      <c r="C991" s="262" t="s">
        <v>1607</v>
      </c>
      <c r="D991" s="497"/>
      <c r="E991" s="499">
        <v>48000</v>
      </c>
      <c r="F991" s="263"/>
      <c r="G991" s="265"/>
    </row>
    <row r="992" spans="1:7" ht="17.45" customHeight="1">
      <c r="A992" s="261" t="s">
        <v>8</v>
      </c>
      <c r="C992" s="262" t="s">
        <v>1637</v>
      </c>
      <c r="D992" s="497"/>
      <c r="E992" s="499">
        <v>6100</v>
      </c>
      <c r="F992" s="263"/>
      <c r="G992" s="265"/>
    </row>
    <row r="993" spans="1:7" ht="17.45" customHeight="1">
      <c r="A993" s="261" t="s">
        <v>8</v>
      </c>
      <c r="C993" s="262" t="s">
        <v>1638</v>
      </c>
      <c r="D993" s="497"/>
      <c r="E993" s="499">
        <v>5000</v>
      </c>
      <c r="F993" s="263"/>
      <c r="G993" s="265"/>
    </row>
    <row r="994" spans="1:7" ht="17.45" customHeight="1">
      <c r="A994" s="261" t="s">
        <v>8</v>
      </c>
      <c r="C994" s="262" t="s">
        <v>1610</v>
      </c>
      <c r="D994" s="497"/>
      <c r="E994" s="497"/>
      <c r="F994" s="263"/>
      <c r="G994" s="265"/>
    </row>
    <row r="995" spans="1:7" ht="17.45" customHeight="1">
      <c r="A995" s="261" t="s">
        <v>8</v>
      </c>
      <c r="C995" s="262" t="s">
        <v>1633</v>
      </c>
      <c r="D995" s="497"/>
      <c r="E995" s="499">
        <v>23350</v>
      </c>
      <c r="F995" s="263"/>
      <c r="G995" s="265"/>
    </row>
    <row r="996" spans="1:7" ht="17.45" customHeight="1">
      <c r="A996" s="261" t="s">
        <v>8</v>
      </c>
      <c r="C996" s="262" t="s">
        <v>1632</v>
      </c>
      <c r="D996" s="497"/>
      <c r="E996" s="499">
        <v>28700</v>
      </c>
      <c r="F996" s="263"/>
      <c r="G996" s="265"/>
    </row>
    <row r="997" spans="1:7" ht="17.45" customHeight="1">
      <c r="A997" s="261" t="s">
        <v>8</v>
      </c>
      <c r="C997" s="262" t="s">
        <v>1613</v>
      </c>
      <c r="D997" s="497"/>
      <c r="E997" s="499">
        <f>1800+6600+6600+8800+9100+4900</f>
        <v>37800</v>
      </c>
      <c r="F997" s="263"/>
      <c r="G997" s="265"/>
    </row>
    <row r="998" spans="1:7" ht="17.45" customHeight="1">
      <c r="A998" s="261" t="s">
        <v>8</v>
      </c>
      <c r="C998" s="262" t="s">
        <v>1627</v>
      </c>
      <c r="D998" s="497"/>
      <c r="E998" s="499">
        <v>31500</v>
      </c>
      <c r="F998" s="263"/>
      <c r="G998" s="265"/>
    </row>
    <row r="999" spans="1:7" ht="17.45" customHeight="1">
      <c r="A999" s="261" t="s">
        <v>8</v>
      </c>
      <c r="C999" s="262" t="s">
        <v>1585</v>
      </c>
      <c r="D999" s="497"/>
      <c r="E999" s="499">
        <f>30900+21000</f>
        <v>51900</v>
      </c>
      <c r="F999" s="263"/>
      <c r="G999" s="265"/>
    </row>
    <row r="1000" spans="1:7" ht="17.45" customHeight="1">
      <c r="A1000" s="261" t="s">
        <v>8</v>
      </c>
      <c r="C1000" s="262" t="s">
        <v>1584</v>
      </c>
      <c r="D1000" s="497"/>
      <c r="E1000" s="499">
        <v>24000</v>
      </c>
      <c r="F1000" s="263"/>
      <c r="G1000" s="265"/>
    </row>
    <row r="1001" spans="1:7" ht="17.45" customHeight="1">
      <c r="A1001" s="261" t="s">
        <v>8</v>
      </c>
      <c r="C1001" s="262" t="s">
        <v>1619</v>
      </c>
      <c r="D1001" s="499">
        <v>147000</v>
      </c>
      <c r="E1001" s="497"/>
      <c r="F1001" s="263"/>
      <c r="G1001" s="265"/>
    </row>
    <row r="1002" spans="1:7" ht="17.45" customHeight="1">
      <c r="A1002" s="261" t="s">
        <v>8</v>
      </c>
      <c r="C1002" s="262" t="s">
        <v>1631</v>
      </c>
      <c r="D1002" s="499">
        <v>37600</v>
      </c>
      <c r="E1002" s="499">
        <v>37600</v>
      </c>
      <c r="F1002" s="263"/>
      <c r="G1002" s="265"/>
    </row>
    <row r="1003" spans="1:7" ht="17.45" customHeight="1">
      <c r="A1003" s="261" t="s">
        <v>8</v>
      </c>
      <c r="C1003" s="262" t="s">
        <v>1612</v>
      </c>
      <c r="D1003" s="497"/>
      <c r="E1003" s="499">
        <v>800</v>
      </c>
      <c r="F1003" s="263"/>
      <c r="G1003" s="265"/>
    </row>
    <row r="1004" spans="1:7" ht="17.45" customHeight="1">
      <c r="A1004" s="261" t="s">
        <v>8</v>
      </c>
      <c r="C1004" s="262" t="s">
        <v>1606</v>
      </c>
      <c r="D1004" s="497"/>
      <c r="E1004" s="499">
        <v>11800</v>
      </c>
      <c r="F1004" s="263"/>
      <c r="G1004" s="265"/>
    </row>
    <row r="1005" spans="1:7" ht="17.45" customHeight="1">
      <c r="A1005" s="261" t="s">
        <v>8</v>
      </c>
      <c r="C1005" s="262" t="s">
        <v>1594</v>
      </c>
      <c r="D1005" s="497"/>
      <c r="E1005" s="499">
        <v>30600</v>
      </c>
      <c r="F1005" s="263"/>
      <c r="G1005" s="265"/>
    </row>
    <row r="1006" spans="1:7" ht="17.45" customHeight="1">
      <c r="A1006" s="261" t="s">
        <v>8</v>
      </c>
      <c r="C1006" s="262" t="s">
        <v>1642</v>
      </c>
      <c r="D1006" s="497"/>
      <c r="E1006" s="499">
        <v>125000</v>
      </c>
      <c r="F1006" s="263"/>
      <c r="G1006" s="265"/>
    </row>
    <row r="1007" spans="1:7" ht="17.45" customHeight="1">
      <c r="A1007" s="261" t="s">
        <v>8</v>
      </c>
      <c r="C1007" s="262" t="s">
        <v>1639</v>
      </c>
      <c r="D1007" s="499">
        <v>45100</v>
      </c>
      <c r="E1007" s="497"/>
      <c r="F1007" s="263"/>
      <c r="G1007" s="265"/>
    </row>
    <row r="1008" spans="1:7" ht="17.45" customHeight="1">
      <c r="A1008" s="261" t="s">
        <v>8</v>
      </c>
      <c r="C1008" s="262" t="s">
        <v>1300</v>
      </c>
      <c r="D1008" s="497">
        <f>SUM(D969:D1007)-SUM(E969:E1007)</f>
        <v>1992146</v>
      </c>
      <c r="E1008" s="497">
        <f>SUM(E969:E1007)-SUM(F969:F1007)</f>
        <v>4626966</v>
      </c>
      <c r="F1008" s="263"/>
      <c r="G1008" s="262"/>
    </row>
    <row r="1009" spans="1:7">
      <c r="A1009" s="261" t="s">
        <v>8</v>
      </c>
    </row>
    <row r="1010" spans="1:7" ht="17.45" customHeight="1">
      <c r="A1010" s="261" t="s">
        <v>8</v>
      </c>
      <c r="B1010" s="256" t="s">
        <v>2166</v>
      </c>
      <c r="C1010" s="262" t="s">
        <v>1268</v>
      </c>
      <c r="D1010" s="497">
        <v>5766661</v>
      </c>
      <c r="E1010" s="497"/>
      <c r="F1010" s="263"/>
      <c r="G1010" s="262"/>
    </row>
    <row r="1011" spans="1:7" ht="17.45" customHeight="1">
      <c r="A1011" s="261" t="s">
        <v>8</v>
      </c>
      <c r="B1011" s="257"/>
      <c r="C1011" s="262" t="s">
        <v>1269</v>
      </c>
      <c r="D1011" s="497"/>
      <c r="E1011" s="499">
        <v>360500</v>
      </c>
      <c r="F1011" s="263"/>
      <c r="G1011" s="267" t="s">
        <v>2167</v>
      </c>
    </row>
    <row r="1012" spans="1:7" ht="17.45" customHeight="1">
      <c r="A1012" s="261" t="s">
        <v>8</v>
      </c>
      <c r="C1012" s="262" t="s">
        <v>1270</v>
      </c>
      <c r="D1012" s="497"/>
      <c r="E1012" s="499">
        <v>782000</v>
      </c>
      <c r="F1012" s="263"/>
      <c r="G1012" s="262"/>
    </row>
    <row r="1013" spans="1:7" ht="17.45" customHeight="1">
      <c r="A1013" s="261" t="s">
        <v>8</v>
      </c>
      <c r="C1013" s="262" t="s">
        <v>1271</v>
      </c>
      <c r="D1013" s="497"/>
      <c r="E1013" s="499">
        <v>220520</v>
      </c>
      <c r="F1013" s="263"/>
      <c r="G1013" s="264"/>
    </row>
    <row r="1014" spans="1:7" ht="17.45" customHeight="1">
      <c r="A1014" s="261" t="s">
        <v>8</v>
      </c>
      <c r="C1014" s="262" t="s">
        <v>1272</v>
      </c>
      <c r="D1014" s="497"/>
      <c r="E1014" s="499">
        <v>6960</v>
      </c>
      <c r="F1014" s="263"/>
      <c r="G1014" s="262"/>
    </row>
    <row r="1015" spans="1:7" ht="17.45" customHeight="1">
      <c r="A1015" s="261" t="s">
        <v>8</v>
      </c>
      <c r="C1015" s="262" t="s">
        <v>1273</v>
      </c>
      <c r="D1015" s="497"/>
      <c r="E1015" s="499">
        <v>29920</v>
      </c>
      <c r="F1015" s="263"/>
      <c r="G1015" s="262"/>
    </row>
    <row r="1016" spans="1:7" ht="17.45" customHeight="1">
      <c r="A1016" s="261" t="s">
        <v>8</v>
      </c>
      <c r="C1016" s="262" t="s">
        <v>1274</v>
      </c>
      <c r="D1016" s="497"/>
      <c r="E1016" s="499">
        <v>18550</v>
      </c>
      <c r="F1016" s="263"/>
      <c r="G1016" s="262"/>
    </row>
    <row r="1017" spans="1:7" ht="17.45" customHeight="1">
      <c r="A1017" s="261" t="s">
        <v>8</v>
      </c>
      <c r="C1017" s="262" t="s">
        <v>1275</v>
      </c>
      <c r="D1017" s="497"/>
      <c r="E1017" s="499">
        <v>26450</v>
      </c>
      <c r="F1017" s="263"/>
      <c r="G1017" s="262"/>
    </row>
    <row r="1018" spans="1:7" ht="17.45" customHeight="1">
      <c r="A1018" s="261" t="s">
        <v>8</v>
      </c>
      <c r="C1018" s="262" t="s">
        <v>2168</v>
      </c>
      <c r="D1018" s="497"/>
      <c r="E1018" s="499">
        <v>18816</v>
      </c>
      <c r="F1018" s="263"/>
      <c r="G1018" s="262"/>
    </row>
    <row r="1019" spans="1:7" ht="17.45" customHeight="1">
      <c r="A1019" s="261" t="s">
        <v>8</v>
      </c>
      <c r="C1019" s="262" t="s">
        <v>1517</v>
      </c>
      <c r="D1019" s="497"/>
      <c r="E1019" s="499">
        <v>23230</v>
      </c>
      <c r="F1019" s="263"/>
      <c r="G1019" s="262"/>
    </row>
    <row r="1020" spans="1:7" ht="17.45" customHeight="1">
      <c r="A1020" s="261" t="s">
        <v>8</v>
      </c>
      <c r="C1020" s="262" t="s">
        <v>1276</v>
      </c>
      <c r="D1020" s="497"/>
      <c r="E1020" s="499">
        <v>297670</v>
      </c>
      <c r="F1020" s="263"/>
      <c r="G1020" s="262"/>
    </row>
    <row r="1021" spans="1:7" ht="17.45" customHeight="1">
      <c r="A1021" s="261" t="s">
        <v>8</v>
      </c>
      <c r="C1021" s="262" t="s">
        <v>1277</v>
      </c>
      <c r="D1021" s="497"/>
      <c r="E1021" s="499">
        <v>18350</v>
      </c>
      <c r="F1021" s="263"/>
      <c r="G1021" s="262"/>
    </row>
    <row r="1022" spans="1:7" ht="17.45" customHeight="1">
      <c r="A1022" s="261" t="s">
        <v>8</v>
      </c>
      <c r="C1022" s="262" t="s">
        <v>1278</v>
      </c>
      <c r="D1022" s="497"/>
      <c r="E1022" s="499">
        <v>200000</v>
      </c>
      <c r="F1022" s="263"/>
      <c r="G1022" s="262"/>
    </row>
    <row r="1023" spans="1:7" ht="17.45" customHeight="1">
      <c r="A1023" s="261" t="s">
        <v>8</v>
      </c>
      <c r="C1023" s="262" t="s">
        <v>1332</v>
      </c>
      <c r="D1023" s="497"/>
      <c r="E1023" s="499">
        <v>42630</v>
      </c>
      <c r="F1023" s="263"/>
      <c r="G1023" s="265"/>
    </row>
    <row r="1024" spans="1:7" ht="17.45" customHeight="1">
      <c r="A1024" s="261" t="s">
        <v>8</v>
      </c>
      <c r="C1024" s="262" t="s">
        <v>1484</v>
      </c>
      <c r="D1024" s="497"/>
      <c r="E1024" s="499">
        <v>103000</v>
      </c>
      <c r="F1024" s="263"/>
      <c r="G1024" s="265"/>
    </row>
    <row r="1025" spans="1:7" ht="17.45" customHeight="1">
      <c r="A1025" s="261" t="s">
        <v>8</v>
      </c>
      <c r="C1025" s="262" t="s">
        <v>1413</v>
      </c>
      <c r="D1025" s="497"/>
      <c r="E1025" s="499">
        <f>1300000+400410</f>
        <v>1700410</v>
      </c>
      <c r="F1025" s="263"/>
      <c r="G1025" s="267" t="s">
        <v>2169</v>
      </c>
    </row>
    <row r="1026" spans="1:7" ht="17.45" customHeight="1">
      <c r="A1026" s="261" t="s">
        <v>8</v>
      </c>
      <c r="C1026" s="262" t="s">
        <v>1280</v>
      </c>
      <c r="D1026" s="497"/>
      <c r="E1026" s="499">
        <f>50000*2</f>
        <v>100000</v>
      </c>
      <c r="F1026" s="263"/>
      <c r="G1026" s="265"/>
    </row>
    <row r="1027" spans="1:7" ht="17.45" customHeight="1">
      <c r="A1027" s="261" t="s">
        <v>8</v>
      </c>
      <c r="C1027" s="262" t="s">
        <v>391</v>
      </c>
      <c r="D1027" s="497"/>
      <c r="E1027" s="499">
        <f>50000*2</f>
        <v>100000</v>
      </c>
      <c r="F1027" s="263"/>
      <c r="G1027" s="265"/>
    </row>
    <row r="1028" spans="1:7" ht="17.45" customHeight="1">
      <c r="A1028" s="261" t="s">
        <v>8</v>
      </c>
      <c r="C1028" s="262" t="s">
        <v>1643</v>
      </c>
      <c r="D1028" s="497"/>
      <c r="E1028" s="499">
        <v>29000</v>
      </c>
      <c r="F1028" s="263"/>
      <c r="G1028" s="265"/>
    </row>
    <row r="1029" spans="1:7" ht="17.45" customHeight="1">
      <c r="A1029" s="261" t="s">
        <v>8</v>
      </c>
      <c r="C1029" s="262" t="s">
        <v>1644</v>
      </c>
      <c r="D1029" s="497"/>
      <c r="E1029" s="499">
        <v>4000</v>
      </c>
      <c r="F1029" s="263"/>
      <c r="G1029" s="265"/>
    </row>
    <row r="1030" spans="1:7" ht="17.45" customHeight="1">
      <c r="A1030" s="261" t="s">
        <v>8</v>
      </c>
      <c r="C1030" s="262" t="s">
        <v>1645</v>
      </c>
      <c r="D1030" s="497"/>
      <c r="E1030" s="499">
        <f>15800+14100</f>
        <v>29900</v>
      </c>
      <c r="F1030" s="263"/>
      <c r="G1030" s="265"/>
    </row>
    <row r="1031" spans="1:7" ht="17.45" customHeight="1">
      <c r="A1031" s="261" t="s">
        <v>8</v>
      </c>
      <c r="C1031" s="262" t="s">
        <v>1646</v>
      </c>
      <c r="D1031" s="497"/>
      <c r="E1031" s="499">
        <v>8000</v>
      </c>
      <c r="F1031" s="263"/>
      <c r="G1031" s="265"/>
    </row>
    <row r="1032" spans="1:7" ht="17.45" customHeight="1">
      <c r="A1032" s="261" t="s">
        <v>8</v>
      </c>
      <c r="C1032" s="262" t="s">
        <v>1647</v>
      </c>
      <c r="D1032" s="497"/>
      <c r="E1032" s="499">
        <v>3250</v>
      </c>
      <c r="F1032" s="263"/>
      <c r="G1032" s="265"/>
    </row>
    <row r="1033" spans="1:7" ht="17.45" customHeight="1">
      <c r="A1033" s="261" t="s">
        <v>8</v>
      </c>
      <c r="C1033" s="262" t="s">
        <v>1648</v>
      </c>
      <c r="D1033" s="497"/>
      <c r="E1033" s="499">
        <v>17000</v>
      </c>
      <c r="F1033" s="263"/>
      <c r="G1033" s="265"/>
    </row>
    <row r="1034" spans="1:7" ht="17.45" customHeight="1">
      <c r="A1034" s="261" t="s">
        <v>8</v>
      </c>
      <c r="C1034" s="262" t="s">
        <v>1649</v>
      </c>
      <c r="D1034" s="497"/>
      <c r="E1034" s="499">
        <v>12500</v>
      </c>
      <c r="F1034" s="263"/>
      <c r="G1034" s="265"/>
    </row>
    <row r="1035" spans="1:7" ht="17.45" customHeight="1">
      <c r="A1035" s="261" t="s">
        <v>8</v>
      </c>
      <c r="C1035" s="262" t="s">
        <v>1650</v>
      </c>
      <c r="D1035" s="497"/>
      <c r="E1035" s="499">
        <v>7000</v>
      </c>
      <c r="F1035" s="263"/>
      <c r="G1035" s="265"/>
    </row>
    <row r="1036" spans="1:7" ht="17.45" customHeight="1">
      <c r="A1036" s="261" t="s">
        <v>8</v>
      </c>
      <c r="C1036" s="262" t="s">
        <v>1610</v>
      </c>
      <c r="D1036" s="497"/>
      <c r="E1036" s="499">
        <v>1600</v>
      </c>
      <c r="F1036" s="263"/>
      <c r="G1036" s="265"/>
    </row>
    <row r="1037" spans="1:7" ht="17.45" customHeight="1">
      <c r="A1037" s="261" t="s">
        <v>8</v>
      </c>
      <c r="C1037" s="262" t="s">
        <v>1613</v>
      </c>
      <c r="D1037" s="497"/>
      <c r="E1037" s="499">
        <f>16900+5900+16100+7600+20100</f>
        <v>66600</v>
      </c>
      <c r="F1037" s="263"/>
      <c r="G1037" s="265"/>
    </row>
    <row r="1038" spans="1:7" ht="17.45" customHeight="1">
      <c r="A1038" s="261" t="s">
        <v>8</v>
      </c>
      <c r="C1038" s="262" t="s">
        <v>1566</v>
      </c>
      <c r="D1038" s="497"/>
      <c r="E1038" s="499">
        <v>-400410</v>
      </c>
      <c r="F1038" s="263"/>
      <c r="G1038" s="265"/>
    </row>
    <row r="1039" spans="1:7" ht="17.45" customHeight="1">
      <c r="A1039" s="261" t="s">
        <v>8</v>
      </c>
      <c r="C1039" s="262" t="s">
        <v>1652</v>
      </c>
      <c r="D1039" s="497"/>
      <c r="E1039" s="499">
        <v>75000</v>
      </c>
      <c r="F1039" s="263"/>
      <c r="G1039" s="265"/>
    </row>
    <row r="1040" spans="1:7" ht="17.45" customHeight="1">
      <c r="A1040" s="261" t="s">
        <v>8</v>
      </c>
      <c r="C1040" s="262" t="s">
        <v>1653</v>
      </c>
      <c r="D1040" s="497"/>
      <c r="E1040" s="499">
        <v>26000</v>
      </c>
      <c r="F1040" s="263"/>
      <c r="G1040" s="265"/>
    </row>
    <row r="1041" spans="1:7" ht="17.45" customHeight="1">
      <c r="A1041" s="261" t="s">
        <v>8</v>
      </c>
      <c r="C1041" s="262" t="s">
        <v>1662</v>
      </c>
      <c r="D1041" s="497"/>
      <c r="E1041" s="499">
        <v>19000</v>
      </c>
      <c r="F1041" s="263"/>
      <c r="G1041" s="265"/>
    </row>
    <row r="1042" spans="1:7" ht="17.45" customHeight="1">
      <c r="A1042" s="261" t="s">
        <v>8</v>
      </c>
      <c r="C1042" s="262" t="s">
        <v>1654</v>
      </c>
      <c r="D1042" s="497"/>
      <c r="E1042" s="499">
        <v>50000</v>
      </c>
      <c r="F1042" s="263"/>
      <c r="G1042" s="265"/>
    </row>
    <row r="1043" spans="1:7" ht="17.45" customHeight="1">
      <c r="A1043" s="261" t="s">
        <v>8</v>
      </c>
      <c r="C1043" s="262" t="s">
        <v>1655</v>
      </c>
      <c r="D1043" s="497"/>
      <c r="E1043" s="499">
        <v>69500</v>
      </c>
      <c r="F1043" s="263"/>
      <c r="G1043" s="265"/>
    </row>
    <row r="1044" spans="1:7" ht="17.45" customHeight="1">
      <c r="A1044" s="261" t="s">
        <v>8</v>
      </c>
      <c r="C1044" s="262" t="s">
        <v>1656</v>
      </c>
      <c r="D1044" s="497"/>
      <c r="E1044" s="499">
        <v>2500</v>
      </c>
      <c r="F1044" s="263"/>
      <c r="G1044" s="265"/>
    </row>
    <row r="1045" spans="1:7" ht="17.45" customHeight="1">
      <c r="A1045" s="261" t="s">
        <v>8</v>
      </c>
      <c r="C1045" s="262" t="s">
        <v>1657</v>
      </c>
      <c r="D1045" s="497"/>
      <c r="E1045" s="499">
        <v>16000</v>
      </c>
      <c r="F1045" s="263"/>
      <c r="G1045" s="265"/>
    </row>
    <row r="1046" spans="1:7" ht="17.45" customHeight="1">
      <c r="A1046" s="261" t="s">
        <v>8</v>
      </c>
      <c r="C1046" s="262" t="s">
        <v>1658</v>
      </c>
      <c r="D1046" s="497"/>
      <c r="E1046" s="499">
        <v>19500</v>
      </c>
      <c r="F1046" s="263"/>
      <c r="G1046" s="265"/>
    </row>
    <row r="1047" spans="1:7" ht="17.45" customHeight="1">
      <c r="A1047" s="261" t="s">
        <v>8</v>
      </c>
      <c r="C1047" s="262" t="s">
        <v>1659</v>
      </c>
      <c r="D1047" s="497"/>
      <c r="E1047" s="499">
        <v>18500</v>
      </c>
      <c r="F1047" s="263"/>
      <c r="G1047" s="265"/>
    </row>
    <row r="1048" spans="1:7" ht="17.45" customHeight="1">
      <c r="A1048" s="261" t="s">
        <v>8</v>
      </c>
      <c r="C1048" s="262" t="s">
        <v>1660</v>
      </c>
      <c r="D1048" s="497"/>
      <c r="E1048" s="499">
        <v>7300</v>
      </c>
      <c r="F1048" s="263"/>
      <c r="G1048" s="265"/>
    </row>
    <row r="1049" spans="1:7" ht="17.45" customHeight="1">
      <c r="A1049" s="261" t="s">
        <v>8</v>
      </c>
      <c r="C1049" s="262" t="s">
        <v>1651</v>
      </c>
      <c r="D1049" s="497"/>
      <c r="E1049" s="499">
        <f>64600+3200</f>
        <v>67800</v>
      </c>
      <c r="F1049" s="263"/>
      <c r="G1049" s="265"/>
    </row>
    <row r="1050" spans="1:7" ht="17.45" customHeight="1">
      <c r="A1050" s="261" t="s">
        <v>8</v>
      </c>
      <c r="C1050" s="262" t="s">
        <v>1661</v>
      </c>
      <c r="D1050" s="497"/>
      <c r="E1050" s="499">
        <v>16500</v>
      </c>
      <c r="F1050" s="263"/>
      <c r="G1050" s="265"/>
    </row>
    <row r="1051" spans="1:7" ht="17.45" customHeight="1">
      <c r="A1051" s="261" t="s">
        <v>8</v>
      </c>
      <c r="C1051" s="262" t="s">
        <v>2170</v>
      </c>
      <c r="D1051" s="497"/>
      <c r="E1051" s="499">
        <v>129070</v>
      </c>
      <c r="F1051" s="263"/>
      <c r="G1051" s="265"/>
    </row>
    <row r="1052" spans="1:7" ht="17.45" customHeight="1">
      <c r="A1052" s="261" t="s">
        <v>8</v>
      </c>
      <c r="C1052" s="262" t="s">
        <v>2171</v>
      </c>
      <c r="D1052" s="497"/>
      <c r="E1052" s="499">
        <v>131460</v>
      </c>
      <c r="F1052" s="263"/>
      <c r="G1052" s="265"/>
    </row>
    <row r="1053" spans="1:7" ht="17.45" customHeight="1">
      <c r="A1053" s="261" t="s">
        <v>8</v>
      </c>
      <c r="C1053" s="262" t="s">
        <v>1663</v>
      </c>
      <c r="D1053" s="497"/>
      <c r="E1053" s="499">
        <v>33500</v>
      </c>
      <c r="F1053" s="263"/>
      <c r="G1053" s="265"/>
    </row>
    <row r="1054" spans="1:7" ht="17.45" customHeight="1">
      <c r="A1054" s="261" t="s">
        <v>8</v>
      </c>
      <c r="C1054" s="262" t="s">
        <v>1664</v>
      </c>
      <c r="D1054" s="497"/>
      <c r="E1054" s="499">
        <v>2000</v>
      </c>
      <c r="F1054" s="263"/>
      <c r="G1054" s="265"/>
    </row>
    <row r="1055" spans="1:7" ht="17.45" customHeight="1">
      <c r="A1055" s="261" t="s">
        <v>8</v>
      </c>
      <c r="C1055" s="262" t="s">
        <v>1628</v>
      </c>
      <c r="D1055" s="497"/>
      <c r="E1055" s="499">
        <v>14000</v>
      </c>
      <c r="F1055" s="263"/>
      <c r="G1055" s="265"/>
    </row>
    <row r="1056" spans="1:7" ht="17.45" customHeight="1">
      <c r="A1056" s="261" t="s">
        <v>8</v>
      </c>
      <c r="C1056" s="262" t="s">
        <v>1665</v>
      </c>
      <c r="D1056" s="497"/>
      <c r="E1056" s="499">
        <v>7700</v>
      </c>
      <c r="F1056" s="263"/>
      <c r="G1056" s="265"/>
    </row>
    <row r="1057" spans="1:7" ht="17.45" customHeight="1">
      <c r="A1057" s="261" t="s">
        <v>8</v>
      </c>
      <c r="C1057" s="262" t="s">
        <v>1666</v>
      </c>
      <c r="D1057" s="497"/>
      <c r="E1057" s="499">
        <f>59400+34600</f>
        <v>94000</v>
      </c>
      <c r="F1057" s="263"/>
      <c r="G1057" s="265"/>
    </row>
    <row r="1058" spans="1:7" ht="17.45" customHeight="1">
      <c r="A1058" s="261" t="s">
        <v>8</v>
      </c>
      <c r="C1058" s="262" t="s">
        <v>1602</v>
      </c>
      <c r="D1058" s="499">
        <v>963</v>
      </c>
      <c r="E1058" s="497"/>
      <c r="F1058" s="263"/>
      <c r="G1058" s="265"/>
    </row>
    <row r="1059" spans="1:7" ht="17.45" customHeight="1">
      <c r="A1059" s="261" t="s">
        <v>8</v>
      </c>
      <c r="C1059" s="262" t="s">
        <v>1594</v>
      </c>
      <c r="D1059" s="497"/>
      <c r="E1059" s="499">
        <v>18800</v>
      </c>
      <c r="F1059" s="263"/>
      <c r="G1059" s="265"/>
    </row>
    <row r="1060" spans="1:7" ht="17.45" customHeight="1">
      <c r="A1060" s="261" t="s">
        <v>8</v>
      </c>
      <c r="C1060" s="262" t="s">
        <v>1618</v>
      </c>
      <c r="D1060" s="497"/>
      <c r="E1060" s="499">
        <v>39820</v>
      </c>
      <c r="F1060" s="263"/>
      <c r="G1060" s="265"/>
    </row>
    <row r="1061" spans="1:7" ht="17.45" customHeight="1">
      <c r="A1061" s="261" t="s">
        <v>8</v>
      </c>
      <c r="C1061" s="262" t="s">
        <v>1667</v>
      </c>
      <c r="D1061" s="497"/>
      <c r="E1061" s="499">
        <v>64800</v>
      </c>
      <c r="F1061" s="263"/>
      <c r="G1061" s="265"/>
    </row>
    <row r="1062" spans="1:7" ht="17.45" customHeight="1">
      <c r="A1062" s="261" t="s">
        <v>8</v>
      </c>
      <c r="C1062" s="262" t="s">
        <v>1639</v>
      </c>
      <c r="D1062" s="499">
        <f>45400+218500</f>
        <v>263900</v>
      </c>
      <c r="E1062" s="499">
        <v>84000</v>
      </c>
      <c r="F1062" s="263"/>
      <c r="G1062" s="265"/>
    </row>
    <row r="1063" spans="1:7" ht="17.45" customHeight="1">
      <c r="A1063" s="261" t="s">
        <v>8</v>
      </c>
      <c r="C1063" s="262" t="s">
        <v>1300</v>
      </c>
      <c r="D1063" s="497">
        <f>SUM(D1010:D1062)-SUM(E1010:E1062)</f>
        <v>1197328</v>
      </c>
      <c r="E1063" s="497">
        <f>SUM(E1010:E1062)-SUM(F1010:F1062)</f>
        <v>4834196</v>
      </c>
      <c r="F1063" s="263"/>
      <c r="G1063" s="262"/>
    </row>
    <row r="1064" spans="1:7">
      <c r="A1064" s="261" t="s">
        <v>8</v>
      </c>
    </row>
    <row r="1065" spans="1:7" ht="17.45" customHeight="1">
      <c r="A1065" s="261" t="s">
        <v>8</v>
      </c>
      <c r="B1065" s="256" t="s">
        <v>2172</v>
      </c>
      <c r="C1065" s="262" t="s">
        <v>1268</v>
      </c>
      <c r="D1065" s="497">
        <v>5897561</v>
      </c>
      <c r="E1065" s="497"/>
      <c r="F1065" s="263"/>
      <c r="G1065" s="262"/>
    </row>
    <row r="1066" spans="1:7" ht="17.45" customHeight="1">
      <c r="A1066" s="261" t="s">
        <v>8</v>
      </c>
      <c r="B1066" s="257"/>
      <c r="C1066" s="262" t="s">
        <v>1269</v>
      </c>
      <c r="D1066" s="497"/>
      <c r="E1066" s="499">
        <v>377640</v>
      </c>
      <c r="F1066" s="263"/>
      <c r="G1066" s="267" t="s">
        <v>2173</v>
      </c>
    </row>
    <row r="1067" spans="1:7" ht="17.45" customHeight="1">
      <c r="A1067" s="261" t="s">
        <v>8</v>
      </c>
      <c r="C1067" s="262" t="s">
        <v>1270</v>
      </c>
      <c r="D1067" s="497"/>
      <c r="E1067" s="499">
        <v>737000</v>
      </c>
      <c r="F1067" s="263"/>
      <c r="G1067" s="262"/>
    </row>
    <row r="1068" spans="1:7" ht="17.45" customHeight="1">
      <c r="A1068" s="261" t="s">
        <v>8</v>
      </c>
      <c r="C1068" s="262" t="s">
        <v>1670</v>
      </c>
      <c r="D1068" s="497"/>
      <c r="E1068" s="499">
        <v>26010</v>
      </c>
      <c r="F1068" s="263"/>
      <c r="G1068" s="264"/>
    </row>
    <row r="1069" spans="1:7" ht="17.45" customHeight="1">
      <c r="A1069" s="261" t="s">
        <v>8</v>
      </c>
      <c r="C1069" s="262" t="s">
        <v>1672</v>
      </c>
      <c r="D1069" s="497"/>
      <c r="E1069" s="499">
        <f>103600+74600</f>
        <v>178200</v>
      </c>
      <c r="F1069" s="263"/>
      <c r="G1069" s="264"/>
    </row>
    <row r="1070" spans="1:7" ht="17.45" customHeight="1">
      <c r="A1070" s="261" t="s">
        <v>8</v>
      </c>
      <c r="C1070" s="262" t="s">
        <v>1673</v>
      </c>
      <c r="D1070" s="497"/>
      <c r="E1070" s="499">
        <f>56650*2</f>
        <v>113300</v>
      </c>
      <c r="F1070" s="263"/>
      <c r="G1070" s="264"/>
    </row>
    <row r="1071" spans="1:7" ht="17.45" customHeight="1">
      <c r="A1071" s="261" t="s">
        <v>8</v>
      </c>
      <c r="C1071" s="262" t="s">
        <v>1272</v>
      </c>
      <c r="D1071" s="497"/>
      <c r="E1071" s="499">
        <v>6960</v>
      </c>
      <c r="F1071" s="263"/>
      <c r="G1071" s="262"/>
    </row>
    <row r="1072" spans="1:7" ht="17.45" customHeight="1">
      <c r="A1072" s="261" t="s">
        <v>8</v>
      </c>
      <c r="C1072" s="262" t="s">
        <v>1273</v>
      </c>
      <c r="D1072" s="497"/>
      <c r="E1072" s="499">
        <v>29920</v>
      </c>
      <c r="F1072" s="263"/>
      <c r="G1072" s="262"/>
    </row>
    <row r="1073" spans="1:7" ht="17.45" customHeight="1">
      <c r="A1073" s="261" t="s">
        <v>8</v>
      </c>
      <c r="C1073" s="262" t="s">
        <v>1274</v>
      </c>
      <c r="D1073" s="497"/>
      <c r="E1073" s="499">
        <f>18550+9405</f>
        <v>27955</v>
      </c>
      <c r="F1073" s="263"/>
      <c r="G1073" s="262"/>
    </row>
    <row r="1074" spans="1:7" ht="17.45" customHeight="1">
      <c r="A1074" s="261" t="s">
        <v>8</v>
      </c>
      <c r="C1074" s="262" t="s">
        <v>1275</v>
      </c>
      <c r="D1074" s="497"/>
      <c r="E1074" s="499">
        <v>26450</v>
      </c>
      <c r="F1074" s="263"/>
      <c r="G1074" s="262"/>
    </row>
    <row r="1075" spans="1:7" ht="17.45" customHeight="1">
      <c r="A1075" s="261" t="s">
        <v>8</v>
      </c>
      <c r="C1075" s="262" t="s">
        <v>2168</v>
      </c>
      <c r="D1075" s="497"/>
      <c r="E1075" s="499">
        <v>18816</v>
      </c>
      <c r="F1075" s="263"/>
      <c r="G1075" s="262"/>
    </row>
    <row r="1076" spans="1:7" ht="17.45" customHeight="1">
      <c r="A1076" s="261" t="s">
        <v>8</v>
      </c>
      <c r="C1076" s="262" t="s">
        <v>1517</v>
      </c>
      <c r="D1076" s="497"/>
      <c r="E1076" s="499">
        <v>23230</v>
      </c>
      <c r="F1076" s="263"/>
      <c r="G1076" s="262"/>
    </row>
    <row r="1077" spans="1:7" ht="17.45" customHeight="1">
      <c r="A1077" s="261" t="s">
        <v>8</v>
      </c>
      <c r="C1077" s="262" t="s">
        <v>1276</v>
      </c>
      <c r="D1077" s="497"/>
      <c r="E1077" s="499">
        <v>245790</v>
      </c>
      <c r="F1077" s="263"/>
      <c r="G1077" s="262"/>
    </row>
    <row r="1078" spans="1:7" ht="17.45" customHeight="1">
      <c r="A1078" s="261" t="s">
        <v>8</v>
      </c>
      <c r="C1078" s="262" t="s">
        <v>1277</v>
      </c>
      <c r="D1078" s="497"/>
      <c r="E1078" s="499">
        <v>10900</v>
      </c>
      <c r="F1078" s="263"/>
      <c r="G1078" s="262"/>
    </row>
    <row r="1079" spans="1:7" ht="17.45" customHeight="1">
      <c r="A1079" s="261" t="s">
        <v>8</v>
      </c>
      <c r="C1079" s="262" t="s">
        <v>1278</v>
      </c>
      <c r="D1079" s="497"/>
      <c r="E1079" s="499">
        <v>200000</v>
      </c>
      <c r="F1079" s="263"/>
      <c r="G1079" s="262"/>
    </row>
    <row r="1080" spans="1:7" ht="17.45" customHeight="1">
      <c r="A1080" s="261" t="s">
        <v>8</v>
      </c>
      <c r="C1080" s="262" t="s">
        <v>1332</v>
      </c>
      <c r="D1080" s="497"/>
      <c r="E1080" s="497">
        <v>0</v>
      </c>
      <c r="F1080" s="263"/>
      <c r="G1080" s="265"/>
    </row>
    <row r="1081" spans="1:7" ht="17.45" customHeight="1">
      <c r="A1081" s="261" t="s">
        <v>8</v>
      </c>
      <c r="C1081" s="262" t="s">
        <v>1484</v>
      </c>
      <c r="D1081" s="497"/>
      <c r="E1081" s="499">
        <v>103000</v>
      </c>
      <c r="F1081" s="263"/>
      <c r="G1081" s="265"/>
    </row>
    <row r="1082" spans="1:7" ht="17.45" customHeight="1">
      <c r="A1082" s="261" t="s">
        <v>8</v>
      </c>
      <c r="C1082" s="262" t="s">
        <v>1413</v>
      </c>
      <c r="D1082" s="497"/>
      <c r="E1082" s="499">
        <f>1300000</f>
        <v>1300000</v>
      </c>
      <c r="F1082" s="263"/>
      <c r="G1082" s="267"/>
    </row>
    <row r="1083" spans="1:7" ht="17.45" customHeight="1">
      <c r="A1083" s="261" t="s">
        <v>8</v>
      </c>
      <c r="C1083" s="262" t="s">
        <v>1280</v>
      </c>
      <c r="D1083" s="497"/>
      <c r="E1083" s="499">
        <f>50000*0+70000</f>
        <v>70000</v>
      </c>
      <c r="F1083" s="263"/>
      <c r="G1083" s="265"/>
    </row>
    <row r="1084" spans="1:7" ht="17.45" customHeight="1">
      <c r="A1084" s="261" t="s">
        <v>8</v>
      </c>
      <c r="C1084" s="262" t="s">
        <v>391</v>
      </c>
      <c r="D1084" s="497"/>
      <c r="E1084" s="497">
        <f>50000*0</f>
        <v>0</v>
      </c>
      <c r="F1084" s="263"/>
      <c r="G1084" s="265"/>
    </row>
    <row r="1085" spans="1:7" ht="17.45" customHeight="1">
      <c r="A1085" s="261" t="s">
        <v>8</v>
      </c>
      <c r="C1085" s="262" t="s">
        <v>1584</v>
      </c>
      <c r="D1085" s="497"/>
      <c r="E1085" s="499">
        <v>11000</v>
      </c>
      <c r="F1085" s="263"/>
      <c r="G1085" s="265"/>
    </row>
    <row r="1086" spans="1:7" ht="17.45" customHeight="1">
      <c r="A1086" s="261" t="s">
        <v>8</v>
      </c>
      <c r="C1086" s="262" t="s">
        <v>1569</v>
      </c>
      <c r="D1086" s="497"/>
      <c r="E1086" s="499">
        <f>81620+67790</f>
        <v>149410</v>
      </c>
      <c r="F1086" s="263"/>
      <c r="G1086" s="265"/>
    </row>
    <row r="1087" spans="1:7" ht="17.45" customHeight="1">
      <c r="A1087" s="261" t="s">
        <v>8</v>
      </c>
      <c r="C1087" s="262" t="s">
        <v>1668</v>
      </c>
      <c r="D1087" s="497"/>
      <c r="E1087" s="499">
        <v>100000</v>
      </c>
      <c r="F1087" s="263"/>
      <c r="G1087" s="265"/>
    </row>
    <row r="1088" spans="1:7" ht="17.45" customHeight="1">
      <c r="A1088" s="261" t="s">
        <v>8</v>
      </c>
      <c r="C1088" s="262" t="s">
        <v>1669</v>
      </c>
      <c r="D1088" s="497"/>
      <c r="E1088" s="499">
        <v>33800</v>
      </c>
      <c r="F1088" s="263"/>
      <c r="G1088" s="265"/>
    </row>
    <row r="1089" spans="1:7" ht="17.45" customHeight="1">
      <c r="A1089" s="261" t="s">
        <v>8</v>
      </c>
      <c r="C1089" s="262" t="s">
        <v>1670</v>
      </c>
      <c r="D1089" s="497"/>
      <c r="E1089" s="499">
        <v>26010</v>
      </c>
      <c r="F1089" s="263"/>
      <c r="G1089" s="265"/>
    </row>
    <row r="1090" spans="1:7" ht="17.45" customHeight="1">
      <c r="A1090" s="261" t="s">
        <v>8</v>
      </c>
      <c r="C1090" s="262" t="s">
        <v>1671</v>
      </c>
      <c r="D1090" s="497"/>
      <c r="E1090" s="499">
        <v>15900</v>
      </c>
      <c r="F1090" s="263"/>
      <c r="G1090" s="265"/>
    </row>
    <row r="1091" spans="1:7" ht="17.45" customHeight="1">
      <c r="A1091" s="261" t="s">
        <v>8</v>
      </c>
      <c r="C1091" s="262" t="s">
        <v>1613</v>
      </c>
      <c r="D1091" s="497"/>
      <c r="E1091" s="499">
        <v>8500</v>
      </c>
      <c r="F1091" s="263"/>
      <c r="G1091" s="265"/>
    </row>
    <row r="1092" spans="1:7" ht="17.45" customHeight="1">
      <c r="A1092" s="261" t="s">
        <v>8</v>
      </c>
      <c r="C1092" s="262" t="s">
        <v>1594</v>
      </c>
      <c r="D1092" s="497"/>
      <c r="E1092" s="499">
        <v>17700</v>
      </c>
      <c r="F1092" s="263"/>
      <c r="G1092" s="265"/>
    </row>
    <row r="1093" spans="1:7" ht="17.45" customHeight="1">
      <c r="A1093" s="261" t="s">
        <v>8</v>
      </c>
      <c r="C1093" s="262" t="s">
        <v>1680</v>
      </c>
      <c r="D1093" s="497"/>
      <c r="E1093" s="499">
        <v>2200</v>
      </c>
      <c r="F1093" s="263"/>
      <c r="G1093" s="265"/>
    </row>
    <row r="1094" spans="1:7" ht="17.45" customHeight="1">
      <c r="A1094" s="261" t="s">
        <v>8</v>
      </c>
      <c r="C1094" s="262" t="s">
        <v>1650</v>
      </c>
      <c r="D1094" s="497"/>
      <c r="E1094" s="499">
        <v>13400</v>
      </c>
      <c r="F1094" s="263"/>
      <c r="G1094" s="265"/>
    </row>
    <row r="1095" spans="1:7" ht="17.45" customHeight="1">
      <c r="A1095" s="261" t="s">
        <v>8</v>
      </c>
      <c r="C1095" s="262" t="s">
        <v>1681</v>
      </c>
      <c r="D1095" s="497"/>
      <c r="E1095" s="499">
        <v>11000</v>
      </c>
      <c r="F1095" s="263"/>
      <c r="G1095" s="265"/>
    </row>
    <row r="1096" spans="1:7" ht="17.45" customHeight="1">
      <c r="A1096" s="261" t="s">
        <v>8</v>
      </c>
      <c r="C1096" s="262" t="s">
        <v>1682</v>
      </c>
      <c r="D1096" s="497"/>
      <c r="E1096" s="499">
        <v>9900</v>
      </c>
      <c r="F1096" s="263"/>
      <c r="G1096" s="265"/>
    </row>
    <row r="1097" spans="1:7" ht="17.45" customHeight="1">
      <c r="A1097" s="261" t="s">
        <v>8</v>
      </c>
      <c r="C1097" s="262" t="s">
        <v>1683</v>
      </c>
      <c r="D1097" s="497"/>
      <c r="E1097" s="499">
        <v>1077610</v>
      </c>
      <c r="F1097" s="263"/>
      <c r="G1097" s="265"/>
    </row>
    <row r="1098" spans="1:7" ht="17.45" customHeight="1">
      <c r="A1098" s="261" t="s">
        <v>8</v>
      </c>
      <c r="C1098" s="262" t="s">
        <v>1618</v>
      </c>
      <c r="D1098" s="497"/>
      <c r="E1098" s="499">
        <f>9740+9960</f>
        <v>19700</v>
      </c>
      <c r="F1098" s="263"/>
      <c r="G1098" s="265"/>
    </row>
    <row r="1099" spans="1:7" ht="17.45" customHeight="1">
      <c r="A1099" s="261" t="s">
        <v>8</v>
      </c>
      <c r="C1099" s="262" t="s">
        <v>1684</v>
      </c>
      <c r="D1099" s="499">
        <v>1205592</v>
      </c>
      <c r="E1099" s="497"/>
      <c r="F1099" s="263"/>
      <c r="G1099" s="265"/>
    </row>
    <row r="1100" spans="1:7" ht="17.45" customHeight="1">
      <c r="A1100" s="261" t="s">
        <v>8</v>
      </c>
      <c r="C1100" s="262" t="s">
        <v>1685</v>
      </c>
      <c r="D1100" s="497"/>
      <c r="E1100" s="499">
        <v>8700</v>
      </c>
      <c r="F1100" s="263"/>
      <c r="G1100" s="265"/>
    </row>
    <row r="1101" spans="1:7" ht="17.45" customHeight="1">
      <c r="A1101" s="261" t="s">
        <v>8</v>
      </c>
      <c r="C1101" s="262" t="s">
        <v>1686</v>
      </c>
      <c r="D1101" s="497"/>
      <c r="E1101" s="499">
        <v>7000</v>
      </c>
      <c r="F1101" s="263"/>
      <c r="G1101" s="265"/>
    </row>
    <row r="1102" spans="1:7" ht="17.45" customHeight="1">
      <c r="A1102" s="261" t="s">
        <v>8</v>
      </c>
      <c r="C1102" s="262" t="s">
        <v>1644</v>
      </c>
      <c r="D1102" s="497"/>
      <c r="E1102" s="499">
        <f>138300-80000</f>
        <v>58300</v>
      </c>
      <c r="F1102" s="263"/>
      <c r="G1102" s="265"/>
    </row>
    <row r="1103" spans="1:7" ht="17.45" customHeight="1">
      <c r="A1103" s="261" t="s">
        <v>8</v>
      </c>
      <c r="C1103" s="262" t="s">
        <v>1687</v>
      </c>
      <c r="D1103" s="497"/>
      <c r="E1103" s="499">
        <v>1500000</v>
      </c>
      <c r="F1103" s="263"/>
      <c r="G1103" s="265"/>
    </row>
    <row r="1104" spans="1:7" ht="17.45" customHeight="1">
      <c r="A1104" s="261" t="s">
        <v>8</v>
      </c>
      <c r="C1104" s="262" t="s">
        <v>1758</v>
      </c>
      <c r="D1104" s="497"/>
      <c r="E1104" s="499">
        <f>57300+52100+47000+49100-9800+51700-47000</f>
        <v>200400</v>
      </c>
      <c r="F1104" s="263"/>
      <c r="G1104" s="265"/>
    </row>
    <row r="1105" spans="1:7" ht="17.45" customHeight="1">
      <c r="A1105" s="261" t="s">
        <v>8</v>
      </c>
      <c r="C1105" s="262" t="s">
        <v>1688</v>
      </c>
      <c r="D1105" s="497"/>
      <c r="E1105" s="499">
        <v>85000</v>
      </c>
      <c r="F1105" s="263"/>
      <c r="G1105" s="265"/>
    </row>
    <row r="1106" spans="1:7" ht="17.45" customHeight="1">
      <c r="A1106" s="261" t="s">
        <v>8</v>
      </c>
      <c r="C1106" s="262" t="s">
        <v>1689</v>
      </c>
      <c r="D1106" s="497"/>
      <c r="E1106" s="499">
        <v>33790</v>
      </c>
      <c r="F1106" s="263"/>
      <c r="G1106" s="265"/>
    </row>
    <row r="1107" spans="1:7" ht="17.45" customHeight="1">
      <c r="A1107" s="261" t="s">
        <v>8</v>
      </c>
      <c r="C1107" s="262" t="s">
        <v>1690</v>
      </c>
      <c r="D1107" s="497"/>
      <c r="E1107" s="499">
        <v>6000</v>
      </c>
      <c r="F1107" s="263"/>
      <c r="G1107" s="265"/>
    </row>
    <row r="1108" spans="1:7" ht="17.45" customHeight="1">
      <c r="A1108" s="261" t="s">
        <v>8</v>
      </c>
      <c r="C1108" s="262" t="s">
        <v>1585</v>
      </c>
      <c r="D1108" s="497"/>
      <c r="E1108" s="499">
        <f>24000+23500</f>
        <v>47500</v>
      </c>
      <c r="F1108" s="263"/>
      <c r="G1108" s="265"/>
    </row>
    <row r="1109" spans="1:7" ht="17.45" customHeight="1">
      <c r="A1109" s="261" t="s">
        <v>8</v>
      </c>
      <c r="C1109" s="262" t="s">
        <v>1691</v>
      </c>
      <c r="D1109" s="497"/>
      <c r="E1109" s="499">
        <v>219000</v>
      </c>
      <c r="F1109" s="263"/>
      <c r="G1109" s="265"/>
    </row>
    <row r="1110" spans="1:7" ht="17.45" customHeight="1">
      <c r="A1110" s="261" t="s">
        <v>8</v>
      </c>
      <c r="C1110" s="262" t="s">
        <v>1692</v>
      </c>
      <c r="D1110" s="497"/>
      <c r="E1110" s="499">
        <v>10000</v>
      </c>
      <c r="F1110" s="263"/>
      <c r="G1110" s="265"/>
    </row>
    <row r="1111" spans="1:7" ht="17.45" customHeight="1">
      <c r="A1111" s="261" t="s">
        <v>8</v>
      </c>
      <c r="C1111" s="262" t="s">
        <v>1693</v>
      </c>
      <c r="D1111" s="497"/>
      <c r="E1111" s="499">
        <v>9400</v>
      </c>
      <c r="F1111" s="263"/>
      <c r="G1111" s="265"/>
    </row>
    <row r="1112" spans="1:7" ht="17.45" customHeight="1">
      <c r="A1112" s="261" t="s">
        <v>8</v>
      </c>
      <c r="C1112" s="262" t="s">
        <v>1694</v>
      </c>
      <c r="D1112" s="497"/>
      <c r="E1112" s="499">
        <v>8200</v>
      </c>
      <c r="F1112" s="263"/>
      <c r="G1112" s="265"/>
    </row>
    <row r="1113" spans="1:7" ht="17.45" customHeight="1">
      <c r="A1113" s="261" t="s">
        <v>8</v>
      </c>
      <c r="C1113" s="262" t="s">
        <v>1300</v>
      </c>
      <c r="D1113" s="497">
        <f>SUM(D1065:D1112)-SUM(E1065:E1112)</f>
        <v>-81438</v>
      </c>
      <c r="E1113" s="497">
        <f>SUM(E1065:E1112)-SUM(F1065:F1112)</f>
        <v>7184591</v>
      </c>
      <c r="F1113" s="263"/>
      <c r="G1113" s="262"/>
    </row>
    <row r="1114" spans="1:7">
      <c r="A1114" s="261" t="s">
        <v>8</v>
      </c>
    </row>
    <row r="1115" spans="1:7" ht="17.45" customHeight="1">
      <c r="A1115" s="261" t="s">
        <v>8</v>
      </c>
      <c r="B1115" s="256" t="s">
        <v>2174</v>
      </c>
      <c r="C1115" s="262" t="s">
        <v>1268</v>
      </c>
      <c r="D1115" s="499">
        <v>6136791</v>
      </c>
      <c r="E1115" s="497"/>
      <c r="F1115" s="263"/>
      <c r="G1115" s="262"/>
    </row>
    <row r="1116" spans="1:7" ht="17.45" customHeight="1">
      <c r="A1116" s="261" t="s">
        <v>8</v>
      </c>
      <c r="C1116" s="262" t="s">
        <v>1759</v>
      </c>
      <c r="D1116" s="499">
        <v>10530000</v>
      </c>
      <c r="E1116" s="497"/>
      <c r="F1116" s="263"/>
      <c r="G1116" s="265"/>
    </row>
    <row r="1117" spans="1:7" ht="17.45" customHeight="1">
      <c r="A1117" s="261" t="s">
        <v>8</v>
      </c>
      <c r="C1117" s="262" t="s">
        <v>1761</v>
      </c>
      <c r="D1117" s="497"/>
      <c r="E1117" s="499">
        <v>6500000</v>
      </c>
      <c r="F1117" s="263"/>
      <c r="G1117" s="265"/>
    </row>
    <row r="1118" spans="1:7" ht="17.45" customHeight="1">
      <c r="A1118" s="261" t="s">
        <v>8</v>
      </c>
      <c r="C1118" s="262" t="s">
        <v>1760</v>
      </c>
      <c r="D1118" s="497"/>
      <c r="E1118" s="499">
        <v>500000</v>
      </c>
      <c r="F1118" s="263"/>
      <c r="G1118" s="265"/>
    </row>
    <row r="1119" spans="1:7" ht="17.45" customHeight="1">
      <c r="A1119" s="261" t="s">
        <v>8</v>
      </c>
      <c r="C1119" s="262" t="s">
        <v>1762</v>
      </c>
      <c r="D1119" s="497"/>
      <c r="E1119" s="499">
        <v>281000</v>
      </c>
      <c r="F1119" s="263"/>
      <c r="G1119" s="265"/>
    </row>
    <row r="1120" spans="1:7" ht="17.45" customHeight="1">
      <c r="A1120" s="261" t="s">
        <v>8</v>
      </c>
      <c r="B1120" s="257"/>
      <c r="C1120" s="262" t="s">
        <v>1269</v>
      </c>
      <c r="D1120" s="497"/>
      <c r="E1120" s="499">
        <f>414000-2160</f>
        <v>411840</v>
      </c>
      <c r="F1120" s="263"/>
      <c r="G1120" s="267" t="s">
        <v>2175</v>
      </c>
    </row>
    <row r="1121" spans="1:7" ht="17.45" customHeight="1">
      <c r="A1121" s="261" t="s">
        <v>8</v>
      </c>
      <c r="C1121" s="262" t="s">
        <v>1270</v>
      </c>
      <c r="D1121" s="497"/>
      <c r="E1121" s="499">
        <v>765000</v>
      </c>
      <c r="F1121" s="263"/>
      <c r="G1121" s="262"/>
    </row>
    <row r="1122" spans="1:7" ht="17.45" customHeight="1">
      <c r="A1122" s="261" t="s">
        <v>8</v>
      </c>
      <c r="C1122" s="262" t="s">
        <v>1670</v>
      </c>
      <c r="D1122" s="497"/>
      <c r="E1122" s="499">
        <v>26010</v>
      </c>
      <c r="F1122" s="263"/>
      <c r="G1122" s="264"/>
    </row>
    <row r="1123" spans="1:7" ht="17.45" customHeight="1">
      <c r="A1123" s="261" t="s">
        <v>8</v>
      </c>
      <c r="C1123" s="262" t="s">
        <v>1672</v>
      </c>
      <c r="D1123" s="497"/>
      <c r="E1123" s="499">
        <v>68920</v>
      </c>
      <c r="F1123" s="263"/>
      <c r="G1123" s="264"/>
    </row>
    <row r="1124" spans="1:7" ht="17.45" customHeight="1">
      <c r="A1124" s="261" t="s">
        <v>8</v>
      </c>
      <c r="C1124" s="262" t="s">
        <v>1673</v>
      </c>
      <c r="D1124" s="497"/>
      <c r="E1124" s="497">
        <v>0</v>
      </c>
      <c r="F1124" s="263"/>
      <c r="G1124" s="264"/>
    </row>
    <row r="1125" spans="1:7" ht="17.45" customHeight="1">
      <c r="A1125" s="261" t="s">
        <v>8</v>
      </c>
      <c r="C1125" s="262" t="s">
        <v>1271</v>
      </c>
      <c r="D1125" s="497"/>
      <c r="E1125" s="499">
        <v>3060</v>
      </c>
      <c r="F1125" s="263"/>
      <c r="G1125" s="264" t="s">
        <v>2176</v>
      </c>
    </row>
    <row r="1126" spans="1:7" ht="17.45" customHeight="1">
      <c r="A1126" s="261" t="s">
        <v>8</v>
      </c>
      <c r="C1126" s="262" t="s">
        <v>1272</v>
      </c>
      <c r="D1126" s="497"/>
      <c r="E1126" s="499">
        <v>6960</v>
      </c>
      <c r="F1126" s="263"/>
      <c r="G1126" s="262"/>
    </row>
    <row r="1127" spans="1:7" ht="17.45" customHeight="1">
      <c r="A1127" s="261" t="s">
        <v>8</v>
      </c>
      <c r="C1127" s="262" t="s">
        <v>1273</v>
      </c>
      <c r="D1127" s="497"/>
      <c r="E1127" s="499">
        <v>29920</v>
      </c>
      <c r="F1127" s="263"/>
      <c r="G1127" s="262"/>
    </row>
    <row r="1128" spans="1:7" ht="17.45" customHeight="1">
      <c r="A1128" s="261" t="s">
        <v>8</v>
      </c>
      <c r="C1128" s="262" t="s">
        <v>1274</v>
      </c>
      <c r="D1128" s="497"/>
      <c r="E1128" s="499">
        <v>9405</v>
      </c>
      <c r="F1128" s="263"/>
      <c r="G1128" s="262"/>
    </row>
    <row r="1129" spans="1:7" ht="17.45" customHeight="1">
      <c r="A1129" s="261" t="s">
        <v>8</v>
      </c>
      <c r="C1129" s="262" t="s">
        <v>1275</v>
      </c>
      <c r="D1129" s="497"/>
      <c r="E1129" s="499">
        <v>26450</v>
      </c>
      <c r="F1129" s="263"/>
      <c r="G1129" s="262"/>
    </row>
    <row r="1130" spans="1:7" ht="17.45" customHeight="1">
      <c r="A1130" s="261" t="s">
        <v>8</v>
      </c>
      <c r="C1130" s="262" t="s">
        <v>2168</v>
      </c>
      <c r="D1130" s="497"/>
      <c r="E1130" s="499">
        <v>18816</v>
      </c>
      <c r="F1130" s="263"/>
      <c r="G1130" s="262"/>
    </row>
    <row r="1131" spans="1:7" ht="17.45" customHeight="1">
      <c r="A1131" s="261" t="s">
        <v>8</v>
      </c>
      <c r="C1131" s="262" t="s">
        <v>1517</v>
      </c>
      <c r="D1131" s="497"/>
      <c r="E1131" s="499">
        <v>23230</v>
      </c>
      <c r="F1131" s="263"/>
      <c r="G1131" s="262"/>
    </row>
    <row r="1132" spans="1:7" ht="17.45" customHeight="1">
      <c r="A1132" s="261" t="s">
        <v>8</v>
      </c>
      <c r="C1132" s="262" t="s">
        <v>1276</v>
      </c>
      <c r="D1132" s="497"/>
      <c r="E1132" s="499">
        <v>445680</v>
      </c>
      <c r="F1132" s="263"/>
      <c r="G1132" s="262"/>
    </row>
    <row r="1133" spans="1:7" ht="17.45" customHeight="1">
      <c r="A1133" s="261" t="s">
        <v>8</v>
      </c>
      <c r="C1133" s="262" t="s">
        <v>1277</v>
      </c>
      <c r="D1133" s="497"/>
      <c r="E1133" s="499">
        <v>11120</v>
      </c>
      <c r="F1133" s="263"/>
      <c r="G1133" s="262"/>
    </row>
    <row r="1134" spans="1:7" ht="17.45" customHeight="1">
      <c r="A1134" s="261" t="s">
        <v>8</v>
      </c>
      <c r="C1134" s="262" t="s">
        <v>1787</v>
      </c>
      <c r="D1134" s="497"/>
      <c r="E1134" s="499">
        <v>3000</v>
      </c>
      <c r="F1134" s="263"/>
      <c r="G1134" s="262"/>
    </row>
    <row r="1135" spans="1:7" ht="17.45" customHeight="1">
      <c r="A1135" s="261" t="s">
        <v>8</v>
      </c>
      <c r="C1135" s="262" t="s">
        <v>1781</v>
      </c>
      <c r="D1135" s="497"/>
      <c r="E1135" s="499">
        <v>1000</v>
      </c>
      <c r="F1135" s="263"/>
      <c r="G1135" s="262"/>
    </row>
    <row r="1136" spans="1:7" ht="17.45" customHeight="1">
      <c r="A1136" s="261" t="s">
        <v>8</v>
      </c>
      <c r="C1136" s="262" t="s">
        <v>1782</v>
      </c>
      <c r="D1136" s="497"/>
      <c r="E1136" s="499">
        <v>28000</v>
      </c>
      <c r="F1136" s="263"/>
      <c r="G1136" s="262"/>
    </row>
    <row r="1137" spans="1:7" ht="17.45" customHeight="1">
      <c r="A1137" s="261" t="s">
        <v>8</v>
      </c>
      <c r="C1137" s="262" t="s">
        <v>1783</v>
      </c>
      <c r="D1137" s="497"/>
      <c r="E1137" s="499">
        <v>11900</v>
      </c>
      <c r="F1137" s="263"/>
      <c r="G1137" s="265"/>
    </row>
    <row r="1138" spans="1:7" ht="17.45" customHeight="1">
      <c r="A1138" s="261" t="s">
        <v>8</v>
      </c>
      <c r="C1138" s="262" t="s">
        <v>1784</v>
      </c>
      <c r="D1138" s="497"/>
      <c r="E1138" s="499">
        <v>9000</v>
      </c>
      <c r="F1138" s="263"/>
      <c r="G1138" s="265"/>
    </row>
    <row r="1139" spans="1:7" ht="17.45" customHeight="1">
      <c r="A1139" s="261" t="s">
        <v>8</v>
      </c>
      <c r="C1139" s="262" t="s">
        <v>1785</v>
      </c>
      <c r="D1139" s="497"/>
      <c r="E1139" s="499">
        <v>2000</v>
      </c>
      <c r="F1139" s="263"/>
      <c r="G1139" s="267"/>
    </row>
    <row r="1140" spans="1:7" ht="17.45" customHeight="1">
      <c r="A1140" s="261" t="s">
        <v>8</v>
      </c>
      <c r="C1140" s="262" t="s">
        <v>1687</v>
      </c>
      <c r="D1140" s="497"/>
      <c r="E1140" s="499">
        <v>1350000</v>
      </c>
      <c r="F1140" s="263"/>
      <c r="G1140" s="265"/>
    </row>
    <row r="1141" spans="1:7" ht="17.45" customHeight="1">
      <c r="A1141" s="261" t="s">
        <v>8</v>
      </c>
      <c r="C1141" s="262" t="s">
        <v>1786</v>
      </c>
      <c r="D1141" s="497"/>
      <c r="E1141" s="499">
        <v>37000</v>
      </c>
      <c r="F1141" s="263"/>
      <c r="G1141" s="265"/>
    </row>
    <row r="1142" spans="1:7" ht="17.45" customHeight="1">
      <c r="A1142" s="261" t="s">
        <v>8</v>
      </c>
      <c r="C1142" s="262" t="s">
        <v>1278</v>
      </c>
      <c r="D1142" s="497"/>
      <c r="E1142" s="499">
        <f>200000+100000</f>
        <v>300000</v>
      </c>
      <c r="F1142" s="263"/>
      <c r="G1142" s="262"/>
    </row>
    <row r="1143" spans="1:7" ht="17.45" customHeight="1">
      <c r="A1143" s="261" t="s">
        <v>8</v>
      </c>
      <c r="C1143" s="262" t="s">
        <v>1778</v>
      </c>
      <c r="D1143" s="497"/>
      <c r="E1143" s="499">
        <v>109000</v>
      </c>
      <c r="F1143" s="263"/>
      <c r="G1143" s="262"/>
    </row>
    <row r="1144" spans="1:7" ht="17.45" customHeight="1">
      <c r="A1144" s="261" t="s">
        <v>8</v>
      </c>
      <c r="C1144" s="262" t="s">
        <v>1332</v>
      </c>
      <c r="D1144" s="497"/>
      <c r="E1144" s="499">
        <v>42630</v>
      </c>
      <c r="F1144" s="263"/>
      <c r="G1144" s="265"/>
    </row>
    <row r="1145" spans="1:7" ht="17.45" customHeight="1">
      <c r="A1145" s="261" t="s">
        <v>8</v>
      </c>
      <c r="C1145" s="262" t="s">
        <v>1484</v>
      </c>
      <c r="D1145" s="497"/>
      <c r="E1145" s="499">
        <v>103000</v>
      </c>
      <c r="F1145" s="263"/>
      <c r="G1145" s="265"/>
    </row>
    <row r="1146" spans="1:7" ht="17.45" customHeight="1">
      <c r="A1146" s="261" t="s">
        <v>8</v>
      </c>
      <c r="C1146" s="262" t="s">
        <v>1413</v>
      </c>
      <c r="D1146" s="497"/>
      <c r="E1146" s="499">
        <f>1300000</f>
        <v>1300000</v>
      </c>
      <c r="F1146" s="263"/>
      <c r="G1146" s="267"/>
    </row>
    <row r="1147" spans="1:7" ht="17.45" customHeight="1">
      <c r="A1147" s="261" t="s">
        <v>8</v>
      </c>
      <c r="C1147" s="262" t="s">
        <v>1280</v>
      </c>
      <c r="D1147" s="497"/>
      <c r="E1147" s="499">
        <f>50000*3</f>
        <v>150000</v>
      </c>
      <c r="F1147" s="263"/>
      <c r="G1147" s="265"/>
    </row>
    <row r="1148" spans="1:7" ht="17.45" customHeight="1">
      <c r="A1148" s="261" t="s">
        <v>8</v>
      </c>
      <c r="C1148" s="262" t="s">
        <v>1780</v>
      </c>
      <c r="D1148" s="497"/>
      <c r="E1148" s="499">
        <v>46000</v>
      </c>
      <c r="F1148" s="263"/>
      <c r="G1148" s="265"/>
    </row>
    <row r="1149" spans="1:7" ht="17.45" customHeight="1">
      <c r="A1149" s="261" t="s">
        <v>8</v>
      </c>
      <c r="C1149" s="262" t="s">
        <v>1779</v>
      </c>
      <c r="D1149" s="497"/>
      <c r="E1149" s="499">
        <v>5200</v>
      </c>
      <c r="F1149" s="263"/>
      <c r="G1149" s="265"/>
    </row>
    <row r="1150" spans="1:7" ht="17.45" customHeight="1">
      <c r="A1150" s="261" t="s">
        <v>8</v>
      </c>
      <c r="C1150" s="262" t="s">
        <v>1646</v>
      </c>
      <c r="D1150" s="497"/>
      <c r="E1150" s="499">
        <v>8000</v>
      </c>
      <c r="F1150" s="263"/>
      <c r="G1150" s="265"/>
    </row>
    <row r="1151" spans="1:7" ht="17.45" customHeight="1">
      <c r="A1151" s="261" t="s">
        <v>8</v>
      </c>
      <c r="C1151" s="262" t="s">
        <v>1688</v>
      </c>
      <c r="D1151" s="497"/>
      <c r="E1151" s="499">
        <v>90000</v>
      </c>
      <c r="F1151" s="263"/>
      <c r="G1151" s="265"/>
    </row>
    <row r="1152" spans="1:7" ht="17.45" customHeight="1">
      <c r="A1152" s="261" t="s">
        <v>8</v>
      </c>
      <c r="C1152" s="262" t="s">
        <v>1777</v>
      </c>
      <c r="D1152" s="497"/>
      <c r="E1152" s="499">
        <v>19500</v>
      </c>
      <c r="F1152" s="263"/>
      <c r="G1152" s="265"/>
    </row>
    <row r="1153" spans="1:7" ht="17.45" customHeight="1">
      <c r="A1153" s="261" t="s">
        <v>8</v>
      </c>
      <c r="C1153" s="262" t="s">
        <v>1595</v>
      </c>
      <c r="D1153" s="497"/>
      <c r="E1153" s="499">
        <v>6400</v>
      </c>
      <c r="F1153" s="263"/>
      <c r="G1153" s="265"/>
    </row>
    <row r="1154" spans="1:7" ht="17.45" customHeight="1">
      <c r="A1154" s="261" t="s">
        <v>8</v>
      </c>
      <c r="C1154" s="262" t="s">
        <v>1596</v>
      </c>
      <c r="D1154" s="497"/>
      <c r="E1154" s="499">
        <v>39700</v>
      </c>
      <c r="F1154" s="263"/>
      <c r="G1154" s="265"/>
    </row>
    <row r="1155" spans="1:7" ht="17.45" customHeight="1">
      <c r="A1155" s="261" t="s">
        <v>8</v>
      </c>
      <c r="C1155" s="262" t="s">
        <v>1776</v>
      </c>
      <c r="D1155" s="497"/>
      <c r="E1155" s="499">
        <v>4600</v>
      </c>
      <c r="F1155" s="263"/>
      <c r="G1155" s="265"/>
    </row>
    <row r="1156" spans="1:7" ht="17.45" customHeight="1">
      <c r="A1156" s="261" t="s">
        <v>8</v>
      </c>
      <c r="C1156" s="262" t="s">
        <v>1613</v>
      </c>
      <c r="D1156" s="497"/>
      <c r="E1156" s="499">
        <v>3600</v>
      </c>
      <c r="F1156" s="263"/>
      <c r="G1156" s="265"/>
    </row>
    <row r="1157" spans="1:7" ht="17.45" customHeight="1">
      <c r="A1157" s="261" t="s">
        <v>8</v>
      </c>
      <c r="C1157" s="262" t="s">
        <v>1775</v>
      </c>
      <c r="D1157" s="497"/>
      <c r="E1157" s="499">
        <v>24000</v>
      </c>
      <c r="F1157" s="263"/>
      <c r="G1157" s="265"/>
    </row>
    <row r="1158" spans="1:7" ht="17.45" customHeight="1">
      <c r="A1158" s="261" t="s">
        <v>8</v>
      </c>
      <c r="C1158" s="262" t="s">
        <v>1680</v>
      </c>
      <c r="D1158" s="497"/>
      <c r="E1158" s="499">
        <f>800+9100</f>
        <v>9900</v>
      </c>
      <c r="F1158" s="263"/>
      <c r="G1158" s="265"/>
    </row>
    <row r="1159" spans="1:7" ht="17.45" customHeight="1">
      <c r="A1159" s="261" t="s">
        <v>8</v>
      </c>
      <c r="C1159" s="262" t="s">
        <v>1774</v>
      </c>
      <c r="D1159" s="497"/>
      <c r="E1159" s="499">
        <v>430120</v>
      </c>
      <c r="F1159" s="263"/>
      <c r="G1159" s="265"/>
    </row>
    <row r="1160" spans="1:7" ht="17.45" customHeight="1">
      <c r="A1160" s="261" t="s">
        <v>8</v>
      </c>
      <c r="C1160" s="262" t="s">
        <v>1772</v>
      </c>
      <c r="D1160" s="499">
        <v>276100</v>
      </c>
      <c r="E1160" s="499">
        <v>276100</v>
      </c>
      <c r="F1160" s="263"/>
      <c r="G1160" s="265"/>
    </row>
    <row r="1161" spans="1:7" ht="17.45" customHeight="1">
      <c r="A1161" s="261" t="s">
        <v>8</v>
      </c>
      <c r="C1161" s="262" t="s">
        <v>1771</v>
      </c>
      <c r="D1161" s="497"/>
      <c r="E1161" s="499">
        <v>300000</v>
      </c>
      <c r="F1161" s="263"/>
      <c r="G1161" s="265"/>
    </row>
    <row r="1162" spans="1:7" ht="17.45" customHeight="1">
      <c r="A1162" s="261" t="s">
        <v>8</v>
      </c>
      <c r="C1162" s="262" t="s">
        <v>1790</v>
      </c>
      <c r="D1162" s="497"/>
      <c r="E1162" s="499">
        <v>20000</v>
      </c>
      <c r="F1162" s="263"/>
      <c r="G1162" s="265"/>
    </row>
    <row r="1163" spans="1:7" ht="17.45" customHeight="1">
      <c r="A1163" s="261" t="s">
        <v>8</v>
      </c>
      <c r="C1163" s="262" t="s">
        <v>1789</v>
      </c>
      <c r="D1163" s="497"/>
      <c r="E1163" s="499">
        <v>430000</v>
      </c>
      <c r="F1163" s="263"/>
      <c r="G1163" s="265"/>
    </row>
    <row r="1164" spans="1:7" ht="17.45" customHeight="1">
      <c r="A1164" s="261" t="s">
        <v>8</v>
      </c>
      <c r="C1164" s="262" t="s">
        <v>1618</v>
      </c>
      <c r="D1164" s="497"/>
      <c r="E1164" s="499">
        <v>21990</v>
      </c>
      <c r="F1164" s="263"/>
      <c r="G1164" s="265"/>
    </row>
    <row r="1165" spans="1:7" ht="17.45" customHeight="1">
      <c r="A1165" s="261" t="s">
        <v>8</v>
      </c>
      <c r="C1165" s="262" t="s">
        <v>1769</v>
      </c>
      <c r="D1165" s="497"/>
      <c r="E1165" s="499">
        <v>300000</v>
      </c>
      <c r="F1165" s="263"/>
      <c r="G1165" s="265"/>
    </row>
    <row r="1166" spans="1:7" ht="17.45" customHeight="1">
      <c r="A1166" s="261" t="s">
        <v>8</v>
      </c>
      <c r="C1166" s="262" t="s">
        <v>1650</v>
      </c>
      <c r="D1166" s="497"/>
      <c r="E1166" s="499">
        <f>8900+9800</f>
        <v>18700</v>
      </c>
      <c r="F1166" s="263"/>
      <c r="G1166" s="265"/>
    </row>
    <row r="1167" spans="1:7" ht="17.45" customHeight="1">
      <c r="A1167" s="261" t="s">
        <v>8</v>
      </c>
      <c r="C1167" s="262" t="s">
        <v>1768</v>
      </c>
      <c r="D1167" s="497"/>
      <c r="E1167" s="499">
        <v>118000</v>
      </c>
      <c r="F1167" s="263"/>
      <c r="G1167" s="265"/>
    </row>
    <row r="1168" spans="1:7" ht="17.45" customHeight="1">
      <c r="A1168" s="261" t="s">
        <v>8</v>
      </c>
      <c r="C1168" s="262" t="s">
        <v>1163</v>
      </c>
      <c r="D1168" s="497"/>
      <c r="E1168" s="499">
        <v>8500</v>
      </c>
      <c r="F1168" s="263"/>
      <c r="G1168" s="265"/>
    </row>
    <row r="1169" spans="1:7" ht="17.45" customHeight="1">
      <c r="A1169" s="261" t="s">
        <v>8</v>
      </c>
      <c r="C1169" s="262" t="s">
        <v>1758</v>
      </c>
      <c r="D1169" s="497"/>
      <c r="E1169" s="499">
        <f>120200-57300-120200</f>
        <v>-57300</v>
      </c>
      <c r="F1169" s="263"/>
      <c r="G1169" s="265"/>
    </row>
    <row r="1170" spans="1:7" ht="17.45" customHeight="1">
      <c r="A1170" s="261" t="s">
        <v>8</v>
      </c>
      <c r="C1170" s="262" t="s">
        <v>1770</v>
      </c>
      <c r="D1170" s="497"/>
      <c r="E1170" s="499">
        <v>6000</v>
      </c>
      <c r="F1170" s="263"/>
      <c r="G1170" s="265"/>
    </row>
    <row r="1171" spans="1:7" ht="17.45" customHeight="1">
      <c r="A1171" s="261" t="s">
        <v>8</v>
      </c>
      <c r="C1171" s="262" t="s">
        <v>1594</v>
      </c>
      <c r="D1171" s="497"/>
      <c r="E1171" s="499">
        <f>21920+27700</f>
        <v>49620</v>
      </c>
      <c r="F1171" s="263"/>
      <c r="G1171" s="265"/>
    </row>
    <row r="1172" spans="1:7" ht="17.45" customHeight="1">
      <c r="A1172" s="261" t="s">
        <v>8</v>
      </c>
      <c r="C1172" s="262" t="s">
        <v>1767</v>
      </c>
      <c r="D1172" s="497"/>
      <c r="E1172" s="499">
        <v>43000</v>
      </c>
      <c r="F1172" s="263"/>
      <c r="G1172" s="265"/>
    </row>
    <row r="1173" spans="1:7" ht="17.45" customHeight="1">
      <c r="A1173" s="261" t="s">
        <v>8</v>
      </c>
      <c r="C1173" s="262" t="s">
        <v>1766</v>
      </c>
      <c r="D1173" s="497"/>
      <c r="E1173" s="499">
        <v>6000</v>
      </c>
      <c r="F1173" s="263"/>
      <c r="G1173" s="265"/>
    </row>
    <row r="1174" spans="1:7" ht="17.45" customHeight="1">
      <c r="A1174" s="261" t="s">
        <v>8</v>
      </c>
      <c r="C1174" s="262" t="s">
        <v>1647</v>
      </c>
      <c r="D1174" s="497"/>
      <c r="E1174" s="499">
        <f>4400+5400-6000</f>
        <v>3800</v>
      </c>
      <c r="F1174" s="263"/>
      <c r="G1174" s="265"/>
    </row>
    <row r="1175" spans="1:7" ht="17.45" customHeight="1">
      <c r="A1175" s="261" t="s">
        <v>8</v>
      </c>
      <c r="C1175" s="262" t="s">
        <v>1645</v>
      </c>
      <c r="D1175" s="497"/>
      <c r="E1175" s="499">
        <v>16700</v>
      </c>
      <c r="F1175" s="263"/>
      <c r="G1175" s="265"/>
    </row>
    <row r="1176" spans="1:7" ht="17.45" customHeight="1">
      <c r="A1176" s="261" t="s">
        <v>8</v>
      </c>
      <c r="C1176" s="262" t="s">
        <v>1765</v>
      </c>
      <c r="D1176" s="497"/>
      <c r="E1176" s="499">
        <v>3600</v>
      </c>
      <c r="F1176" s="263"/>
      <c r="G1176" s="265"/>
    </row>
    <row r="1177" spans="1:7" ht="17.45" customHeight="1">
      <c r="A1177" s="261" t="s">
        <v>8</v>
      </c>
      <c r="C1177" s="262" t="s">
        <v>1763</v>
      </c>
      <c r="D1177" s="497"/>
      <c r="E1177" s="499">
        <v>28000</v>
      </c>
      <c r="F1177" s="263"/>
      <c r="G1177" s="265"/>
    </row>
    <row r="1178" spans="1:7" ht="17.45" customHeight="1">
      <c r="A1178" s="261" t="s">
        <v>8</v>
      </c>
      <c r="C1178" s="262" t="s">
        <v>1764</v>
      </c>
      <c r="D1178" s="497"/>
      <c r="E1178" s="499">
        <v>2000</v>
      </c>
      <c r="F1178" s="263"/>
      <c r="G1178" s="265"/>
    </row>
    <row r="1179" spans="1:7" ht="17.45" customHeight="1">
      <c r="A1179" s="261" t="s">
        <v>8</v>
      </c>
      <c r="C1179" s="262" t="s">
        <v>1631</v>
      </c>
      <c r="D1179" s="499">
        <v>32700</v>
      </c>
      <c r="E1179" s="499">
        <v>32700</v>
      </c>
      <c r="F1179" s="263"/>
      <c r="G1179" s="265"/>
    </row>
    <row r="1180" spans="1:7" ht="17.45" customHeight="1">
      <c r="A1180" s="261" t="s">
        <v>8</v>
      </c>
      <c r="C1180" s="262" t="s">
        <v>1300</v>
      </c>
      <c r="D1180" s="497">
        <f>SUM(D1115:D1179)-SUM(E1115:E1179)</f>
        <v>2087220</v>
      </c>
      <c r="E1180" s="497">
        <f>SUM(E1115:E1179)-SUM(F1115:F1179)</f>
        <v>14888371</v>
      </c>
      <c r="F1180" s="263"/>
      <c r="G1180" s="262"/>
    </row>
    <row r="1181" spans="1:7" ht="12.75" thickBot="1">
      <c r="A1181" s="261" t="s">
        <v>8</v>
      </c>
    </row>
    <row r="1182" spans="1:7" ht="17.45" customHeight="1">
      <c r="A1182" s="261" t="s">
        <v>8</v>
      </c>
      <c r="B1182" s="256" t="s">
        <v>2177</v>
      </c>
      <c r="C1182" s="268" t="s">
        <v>1268</v>
      </c>
      <c r="D1182" s="500">
        <v>5894271</v>
      </c>
      <c r="E1182" s="501"/>
      <c r="F1182" s="269"/>
      <c r="G1182" s="270"/>
    </row>
    <row r="1183" spans="1:7" ht="17.45" customHeight="1">
      <c r="A1183" s="261" t="s">
        <v>8</v>
      </c>
      <c r="B1183" s="257"/>
      <c r="C1183" s="271" t="s">
        <v>1269</v>
      </c>
      <c r="D1183" s="497"/>
      <c r="E1183" s="499">
        <v>401000</v>
      </c>
      <c r="F1183" s="263"/>
      <c r="G1183" s="272" t="s">
        <v>2178</v>
      </c>
    </row>
    <row r="1184" spans="1:7" ht="17.45" customHeight="1">
      <c r="A1184" s="261" t="s">
        <v>8</v>
      </c>
      <c r="C1184" s="271" t="s">
        <v>1270</v>
      </c>
      <c r="D1184" s="497"/>
      <c r="E1184" s="499">
        <v>732000</v>
      </c>
      <c r="F1184" s="263"/>
      <c r="G1184" s="273"/>
    </row>
    <row r="1185" spans="1:7" ht="17.45" customHeight="1">
      <c r="A1185" s="261" t="s">
        <v>8</v>
      </c>
      <c r="C1185" s="271" t="s">
        <v>1670</v>
      </c>
      <c r="D1185" s="497"/>
      <c r="E1185" s="499">
        <v>26010</v>
      </c>
      <c r="F1185" s="263"/>
      <c r="G1185" s="274"/>
    </row>
    <row r="1186" spans="1:7" ht="17.45" customHeight="1">
      <c r="A1186" s="261" t="s">
        <v>8</v>
      </c>
      <c r="C1186" s="271" t="s">
        <v>1672</v>
      </c>
      <c r="D1186" s="497"/>
      <c r="E1186" s="499">
        <v>65970</v>
      </c>
      <c r="F1186" s="263"/>
      <c r="G1186" s="274"/>
    </row>
    <row r="1187" spans="1:7" ht="17.45" customHeight="1">
      <c r="A1187" s="261" t="s">
        <v>8</v>
      </c>
      <c r="C1187" s="271" t="s">
        <v>1673</v>
      </c>
      <c r="D1187" s="497"/>
      <c r="E1187" s="499">
        <v>0</v>
      </c>
      <c r="F1187" s="263"/>
      <c r="G1187" s="274"/>
    </row>
    <row r="1188" spans="1:7" ht="17.45" customHeight="1">
      <c r="A1188" s="261" t="s">
        <v>8</v>
      </c>
      <c r="C1188" s="271" t="s">
        <v>1332</v>
      </c>
      <c r="D1188" s="497"/>
      <c r="E1188" s="499">
        <v>42900</v>
      </c>
      <c r="F1188" s="263"/>
      <c r="G1188" s="275"/>
    </row>
    <row r="1189" spans="1:7" ht="17.45" customHeight="1">
      <c r="A1189" s="261" t="s">
        <v>8</v>
      </c>
      <c r="C1189" s="271" t="s">
        <v>1271</v>
      </c>
      <c r="D1189" s="497"/>
      <c r="E1189" s="499">
        <v>0</v>
      </c>
      <c r="F1189" s="263"/>
      <c r="G1189" s="274"/>
    </row>
    <row r="1190" spans="1:7" ht="17.45" customHeight="1">
      <c r="A1190" s="261" t="s">
        <v>8</v>
      </c>
      <c r="C1190" s="271" t="s">
        <v>1272</v>
      </c>
      <c r="D1190" s="497"/>
      <c r="E1190" s="499">
        <v>6960</v>
      </c>
      <c r="F1190" s="263"/>
      <c r="G1190" s="273"/>
    </row>
    <row r="1191" spans="1:7" ht="17.45" customHeight="1">
      <c r="A1191" s="261" t="s">
        <v>8</v>
      </c>
      <c r="C1191" s="271" t="s">
        <v>1273</v>
      </c>
      <c r="D1191" s="497"/>
      <c r="E1191" s="499">
        <v>29920</v>
      </c>
      <c r="F1191" s="263"/>
      <c r="G1191" s="273"/>
    </row>
    <row r="1192" spans="1:7" ht="17.45" customHeight="1">
      <c r="A1192" s="261" t="s">
        <v>8</v>
      </c>
      <c r="C1192" s="271" t="s">
        <v>1274</v>
      </c>
      <c r="D1192" s="497"/>
      <c r="E1192" s="499">
        <v>9405</v>
      </c>
      <c r="F1192" s="263"/>
      <c r="G1192" s="273"/>
    </row>
    <row r="1193" spans="1:7" ht="17.45" customHeight="1">
      <c r="A1193" s="261" t="s">
        <v>8</v>
      </c>
      <c r="C1193" s="271" t="s">
        <v>1275</v>
      </c>
      <c r="D1193" s="497"/>
      <c r="E1193" s="499">
        <v>26450</v>
      </c>
      <c r="F1193" s="263"/>
      <c r="G1193" s="273"/>
    </row>
    <row r="1194" spans="1:7" ht="17.45" customHeight="1">
      <c r="A1194" s="261" t="s">
        <v>8</v>
      </c>
      <c r="C1194" s="271" t="s">
        <v>2168</v>
      </c>
      <c r="D1194" s="497"/>
      <c r="E1194" s="499">
        <v>18816</v>
      </c>
      <c r="F1194" s="263"/>
      <c r="G1194" s="273"/>
    </row>
    <row r="1195" spans="1:7" ht="17.45" customHeight="1">
      <c r="A1195" s="261" t="s">
        <v>8</v>
      </c>
      <c r="C1195" s="271" t="s">
        <v>1517</v>
      </c>
      <c r="D1195" s="497"/>
      <c r="E1195" s="499">
        <v>23230</v>
      </c>
      <c r="F1195" s="263"/>
      <c r="G1195" s="273"/>
    </row>
    <row r="1196" spans="1:7" ht="17.45" customHeight="1">
      <c r="A1196" s="261" t="s">
        <v>8</v>
      </c>
      <c r="C1196" s="271" t="s">
        <v>1276</v>
      </c>
      <c r="D1196" s="497"/>
      <c r="E1196" s="499">
        <f>289150-50000</f>
        <v>239150</v>
      </c>
      <c r="F1196" s="263"/>
      <c r="G1196" s="273"/>
    </row>
    <row r="1197" spans="1:7" ht="17.45" customHeight="1">
      <c r="A1197" s="261" t="s">
        <v>8</v>
      </c>
      <c r="C1197" s="271" t="s">
        <v>1277</v>
      </c>
      <c r="D1197" s="497"/>
      <c r="E1197" s="499">
        <v>10110</v>
      </c>
      <c r="F1197" s="263"/>
      <c r="G1197" s="273"/>
    </row>
    <row r="1198" spans="1:7" ht="17.45" customHeight="1">
      <c r="A1198" s="261" t="s">
        <v>8</v>
      </c>
      <c r="C1198" s="271" t="s">
        <v>1278</v>
      </c>
      <c r="D1198" s="497"/>
      <c r="E1198" s="499">
        <v>200000</v>
      </c>
      <c r="F1198" s="263"/>
      <c r="G1198" s="273"/>
    </row>
    <row r="1199" spans="1:7" ht="17.45" customHeight="1" thickBot="1">
      <c r="A1199" s="261" t="s">
        <v>8</v>
      </c>
      <c r="C1199" s="276" t="s">
        <v>1413</v>
      </c>
      <c r="D1199" s="502"/>
      <c r="E1199" s="503">
        <v>1300000</v>
      </c>
      <c r="F1199" s="277"/>
      <c r="G1199" s="278"/>
    </row>
    <row r="1200" spans="1:7" ht="17.45" customHeight="1">
      <c r="A1200" s="261" t="s">
        <v>8</v>
      </c>
      <c r="C1200" s="279" t="s">
        <v>1280</v>
      </c>
      <c r="D1200" s="504"/>
      <c r="E1200" s="505">
        <f>50000*2</f>
        <v>100000</v>
      </c>
      <c r="F1200" s="280"/>
      <c r="G1200" s="281"/>
    </row>
    <row r="1201" spans="1:7" ht="17.45" customHeight="1">
      <c r="A1201" s="261" t="s">
        <v>8</v>
      </c>
      <c r="C1201" s="271" t="s">
        <v>1484</v>
      </c>
      <c r="D1201" s="497"/>
      <c r="E1201" s="499">
        <v>103000</v>
      </c>
      <c r="F1201" s="263"/>
      <c r="G1201" s="275"/>
    </row>
    <row r="1202" spans="1:7" ht="17.45" customHeight="1">
      <c r="A1202" s="261" t="s">
        <v>8</v>
      </c>
      <c r="C1202" s="271" t="s">
        <v>1791</v>
      </c>
      <c r="D1202" s="497"/>
      <c r="E1202" s="499">
        <v>400000</v>
      </c>
      <c r="F1202" s="263"/>
      <c r="G1202" s="273"/>
    </row>
    <row r="1203" spans="1:7" ht="17.45" customHeight="1">
      <c r="A1203" s="261" t="s">
        <v>8</v>
      </c>
      <c r="C1203" s="271" t="s">
        <v>1613</v>
      </c>
      <c r="D1203" s="497"/>
      <c r="E1203" s="499">
        <f>6600+9200</f>
        <v>15800</v>
      </c>
      <c r="F1203" s="263"/>
      <c r="G1203" s="275"/>
    </row>
    <row r="1204" spans="1:7" ht="17.45" customHeight="1">
      <c r="A1204" s="261" t="s">
        <v>8</v>
      </c>
      <c r="C1204" s="271" t="s">
        <v>1618</v>
      </c>
      <c r="D1204" s="497"/>
      <c r="E1204" s="499">
        <f>13920+36510+23190</f>
        <v>73620</v>
      </c>
      <c r="F1204" s="263"/>
      <c r="G1204" s="275"/>
    </row>
    <row r="1205" spans="1:7" ht="17.45" customHeight="1">
      <c r="A1205" s="261" t="s">
        <v>8</v>
      </c>
      <c r="C1205" s="271" t="s">
        <v>1800</v>
      </c>
      <c r="D1205" s="497"/>
      <c r="E1205" s="499">
        <v>12000</v>
      </c>
      <c r="F1205" s="263"/>
      <c r="G1205" s="275"/>
    </row>
    <row r="1206" spans="1:7" ht="17.45" customHeight="1" thickBot="1">
      <c r="A1206" s="261" t="s">
        <v>8</v>
      </c>
      <c r="C1206" s="276" t="s">
        <v>1594</v>
      </c>
      <c r="D1206" s="502"/>
      <c r="E1206" s="503">
        <f>19000+22400</f>
        <v>41400</v>
      </c>
      <c r="F1206" s="277"/>
      <c r="G1206" s="282"/>
    </row>
    <row r="1207" spans="1:7" ht="17.45" customHeight="1">
      <c r="A1207" s="261" t="s">
        <v>8</v>
      </c>
      <c r="C1207" s="268" t="s">
        <v>1792</v>
      </c>
      <c r="D1207" s="501"/>
      <c r="E1207" s="500">
        <f>7000+11200+15200+400+39200+13200</f>
        <v>86200</v>
      </c>
      <c r="F1207" s="269"/>
      <c r="G1207" s="270"/>
    </row>
    <row r="1208" spans="1:7" ht="17.45" customHeight="1">
      <c r="A1208" s="261" t="s">
        <v>8</v>
      </c>
      <c r="C1208" s="271" t="s">
        <v>1793</v>
      </c>
      <c r="D1208" s="497"/>
      <c r="E1208" s="499">
        <v>13000</v>
      </c>
      <c r="F1208" s="263"/>
      <c r="G1208" s="273"/>
    </row>
    <row r="1209" spans="1:7" ht="17.45" customHeight="1">
      <c r="A1209" s="261" t="s">
        <v>8</v>
      </c>
      <c r="C1209" s="271" t="s">
        <v>1794</v>
      </c>
      <c r="D1209" s="497"/>
      <c r="E1209" s="499">
        <v>7000</v>
      </c>
      <c r="F1209" s="263"/>
      <c r="G1209" s="275"/>
    </row>
    <row r="1210" spans="1:7" ht="17.45" customHeight="1">
      <c r="A1210" s="261" t="s">
        <v>8</v>
      </c>
      <c r="C1210" s="271" t="s">
        <v>1795</v>
      </c>
      <c r="D1210" s="497"/>
      <c r="E1210" s="499">
        <v>71415</v>
      </c>
      <c r="F1210" s="263"/>
      <c r="G1210" s="275"/>
    </row>
    <row r="1211" spans="1:7" ht="17.45" customHeight="1">
      <c r="A1211" s="261" t="s">
        <v>8</v>
      </c>
      <c r="C1211" s="271" t="s">
        <v>1796</v>
      </c>
      <c r="D1211" s="497"/>
      <c r="E1211" s="499">
        <v>77000</v>
      </c>
      <c r="F1211" s="263"/>
      <c r="G1211" s="272"/>
    </row>
    <row r="1212" spans="1:7" ht="17.45" customHeight="1">
      <c r="A1212" s="261" t="s">
        <v>8</v>
      </c>
      <c r="C1212" s="271" t="s">
        <v>1797</v>
      </c>
      <c r="D1212" s="497"/>
      <c r="E1212" s="499">
        <f>165900+112000-98489</f>
        <v>179411</v>
      </c>
      <c r="F1212" s="263"/>
      <c r="G1212" s="275"/>
    </row>
    <row r="1213" spans="1:7" ht="17.45" customHeight="1">
      <c r="A1213" s="261" t="s">
        <v>8</v>
      </c>
      <c r="C1213" s="271" t="s">
        <v>1798</v>
      </c>
      <c r="D1213" s="497"/>
      <c r="E1213" s="499">
        <v>43000</v>
      </c>
      <c r="F1213" s="263"/>
      <c r="G1213" s="273"/>
    </row>
    <row r="1214" spans="1:7" ht="17.45" customHeight="1">
      <c r="A1214" s="261" t="s">
        <v>8</v>
      </c>
      <c r="C1214" s="271" t="s">
        <v>1799</v>
      </c>
      <c r="D1214" s="497"/>
      <c r="E1214" s="499">
        <v>100000</v>
      </c>
      <c r="F1214" s="263"/>
      <c r="G1214" s="275"/>
    </row>
    <row r="1215" spans="1:7" ht="17.45" customHeight="1">
      <c r="A1215" s="261" t="s">
        <v>8</v>
      </c>
      <c r="C1215" s="271" t="s">
        <v>1304</v>
      </c>
      <c r="D1215" s="499">
        <v>850</v>
      </c>
      <c r="E1215" s="499">
        <f>1076760+850</f>
        <v>1077610</v>
      </c>
      <c r="F1215" s="263"/>
      <c r="G1215" s="275" t="s">
        <v>2179</v>
      </c>
    </row>
    <row r="1216" spans="1:7" ht="17.45" customHeight="1">
      <c r="A1216" s="261" t="s">
        <v>8</v>
      </c>
      <c r="C1216" s="271" t="s">
        <v>1801</v>
      </c>
      <c r="D1216" s="497"/>
      <c r="E1216" s="499">
        <v>2000</v>
      </c>
      <c r="F1216" s="263"/>
      <c r="G1216" s="275"/>
    </row>
    <row r="1217" spans="1:7" ht="17.45" customHeight="1">
      <c r="A1217" s="261" t="s">
        <v>8</v>
      </c>
      <c r="C1217" s="271" t="s">
        <v>1802</v>
      </c>
      <c r="D1217" s="497"/>
      <c r="E1217" s="499">
        <v>3300</v>
      </c>
      <c r="F1217" s="263"/>
      <c r="G1217" s="275"/>
    </row>
    <row r="1218" spans="1:7" ht="17.45" customHeight="1">
      <c r="A1218" s="261" t="s">
        <v>8</v>
      </c>
      <c r="C1218" s="271" t="s">
        <v>1803</v>
      </c>
      <c r="D1218" s="497"/>
      <c r="E1218" s="499">
        <v>3700</v>
      </c>
      <c r="F1218" s="263"/>
      <c r="G1218" s="275"/>
    </row>
    <row r="1219" spans="1:7" ht="17.45" customHeight="1">
      <c r="A1219" s="261" t="s">
        <v>8</v>
      </c>
      <c r="C1219" s="271" t="s">
        <v>1804</v>
      </c>
      <c r="D1219" s="497"/>
      <c r="E1219" s="499">
        <v>46000</v>
      </c>
      <c r="F1219" s="263"/>
      <c r="G1219" s="275"/>
    </row>
    <row r="1220" spans="1:7" ht="17.45" customHeight="1">
      <c r="A1220" s="261" t="s">
        <v>8</v>
      </c>
      <c r="C1220" s="271" t="s">
        <v>1805</v>
      </c>
      <c r="D1220" s="497"/>
      <c r="E1220" s="499">
        <v>63373</v>
      </c>
      <c r="F1220" s="263"/>
      <c r="G1220" s="275"/>
    </row>
    <row r="1221" spans="1:7" ht="17.45" customHeight="1">
      <c r="A1221" s="261" t="s">
        <v>8</v>
      </c>
      <c r="C1221" s="271" t="s">
        <v>1806</v>
      </c>
      <c r="D1221" s="497"/>
      <c r="E1221" s="499">
        <v>5700</v>
      </c>
      <c r="F1221" s="263"/>
      <c r="G1221" s="275"/>
    </row>
    <row r="1222" spans="1:7" ht="17.45" customHeight="1">
      <c r="A1222" s="261" t="s">
        <v>8</v>
      </c>
      <c r="C1222" s="271" t="s">
        <v>1807</v>
      </c>
      <c r="D1222" s="497"/>
      <c r="E1222" s="499">
        <v>5700</v>
      </c>
      <c r="F1222" s="263"/>
      <c r="G1222" s="275"/>
    </row>
    <row r="1223" spans="1:7" ht="17.45" customHeight="1">
      <c r="A1223" s="261" t="s">
        <v>8</v>
      </c>
      <c r="C1223" s="271" t="s">
        <v>1808</v>
      </c>
      <c r="D1223" s="497"/>
      <c r="E1223" s="499">
        <v>12500</v>
      </c>
      <c r="F1223" s="263"/>
      <c r="G1223" s="275"/>
    </row>
    <row r="1224" spans="1:7" ht="17.45" customHeight="1">
      <c r="A1224" s="261" t="s">
        <v>8</v>
      </c>
      <c r="C1224" s="271" t="s">
        <v>1809</v>
      </c>
      <c r="D1224" s="497"/>
      <c r="E1224" s="499">
        <v>17000</v>
      </c>
      <c r="F1224" s="263"/>
      <c r="G1224" s="275"/>
    </row>
    <row r="1225" spans="1:7" ht="17.45" customHeight="1">
      <c r="A1225" s="261" t="s">
        <v>8</v>
      </c>
      <c r="C1225" s="271" t="s">
        <v>1602</v>
      </c>
      <c r="D1225" s="499">
        <v>1648</v>
      </c>
      <c r="E1225" s="497"/>
      <c r="F1225" s="263"/>
      <c r="G1225" s="275"/>
    </row>
    <row r="1226" spans="1:7" ht="17.45" customHeight="1">
      <c r="A1226" s="261" t="s">
        <v>8</v>
      </c>
      <c r="C1226" s="271" t="s">
        <v>1810</v>
      </c>
      <c r="D1226" s="497"/>
      <c r="E1226" s="499">
        <v>2000</v>
      </c>
      <c r="F1226" s="263"/>
      <c r="G1226" s="275"/>
    </row>
    <row r="1227" spans="1:7" ht="17.45" customHeight="1">
      <c r="A1227" s="261" t="s">
        <v>8</v>
      </c>
      <c r="C1227" s="271" t="s">
        <v>1811</v>
      </c>
      <c r="D1227" s="497"/>
      <c r="E1227" s="499">
        <v>45000</v>
      </c>
      <c r="F1227" s="263"/>
      <c r="G1227" s="275"/>
    </row>
    <row r="1228" spans="1:7" ht="17.45" customHeight="1">
      <c r="A1228" s="261" t="s">
        <v>8</v>
      </c>
      <c r="C1228" s="271" t="s">
        <v>1812</v>
      </c>
      <c r="D1228" s="497"/>
      <c r="E1228" s="499">
        <v>35000</v>
      </c>
      <c r="F1228" s="263"/>
      <c r="G1228" s="275"/>
    </row>
    <row r="1229" spans="1:7" ht="17.45" customHeight="1">
      <c r="A1229" s="261" t="s">
        <v>8</v>
      </c>
      <c r="C1229" s="271" t="s">
        <v>1813</v>
      </c>
      <c r="D1229" s="497"/>
      <c r="E1229" s="499">
        <v>200000</v>
      </c>
      <c r="F1229" s="263"/>
      <c r="G1229" s="275"/>
    </row>
    <row r="1230" spans="1:7" ht="17.45" customHeight="1">
      <c r="A1230" s="261" t="s">
        <v>8</v>
      </c>
      <c r="C1230" s="271" t="s">
        <v>1814</v>
      </c>
      <c r="D1230" s="497"/>
      <c r="E1230" s="499">
        <v>6400</v>
      </c>
      <c r="F1230" s="263"/>
      <c r="G1230" s="275"/>
    </row>
    <row r="1231" spans="1:7" ht="17.45" customHeight="1">
      <c r="A1231" s="261" t="s">
        <v>8</v>
      </c>
      <c r="C1231" s="271" t="s">
        <v>1569</v>
      </c>
      <c r="D1231" s="497"/>
      <c r="E1231" s="499">
        <v>49320</v>
      </c>
      <c r="F1231" s="263"/>
      <c r="G1231" s="275"/>
    </row>
    <row r="1232" spans="1:7" ht="17.45" customHeight="1">
      <c r="A1232" s="261" t="s">
        <v>8</v>
      </c>
      <c r="C1232" s="271" t="s">
        <v>1815</v>
      </c>
      <c r="D1232" s="497"/>
      <c r="E1232" s="499">
        <v>2000</v>
      </c>
      <c r="F1232" s="263"/>
      <c r="G1232" s="275"/>
    </row>
    <row r="1233" spans="1:7" ht="17.45" customHeight="1">
      <c r="A1233" s="261" t="s">
        <v>8</v>
      </c>
      <c r="C1233" s="271" t="s">
        <v>1816</v>
      </c>
      <c r="D1233" s="497"/>
      <c r="E1233" s="499">
        <v>36500</v>
      </c>
      <c r="F1233" s="263"/>
      <c r="G1233" s="275"/>
    </row>
    <row r="1234" spans="1:7" ht="17.45" customHeight="1" thickBot="1">
      <c r="A1234" s="261" t="s">
        <v>8</v>
      </c>
      <c r="C1234" s="276" t="s">
        <v>1300</v>
      </c>
      <c r="D1234" s="502">
        <f>SUM(D1182:D1233)-SUM(E1182:E1233)</f>
        <v>-171101</v>
      </c>
      <c r="E1234" s="502">
        <f>SUM(E1182:E1233)-SUM(F1182:F1233)</f>
        <v>6067870</v>
      </c>
      <c r="F1234" s="277"/>
      <c r="G1234" s="283"/>
    </row>
    <row r="1235" spans="1:7">
      <c r="A1235" s="261" t="s">
        <v>8</v>
      </c>
    </row>
    <row r="1236" spans="1:7" ht="12.75" thickBot="1">
      <c r="A1236" s="261" t="s">
        <v>8</v>
      </c>
    </row>
    <row r="1237" spans="1:7" ht="17.45" customHeight="1">
      <c r="A1237" s="261" t="s">
        <v>8</v>
      </c>
      <c r="B1237" s="256" t="s">
        <v>2180</v>
      </c>
      <c r="C1237" s="268" t="s">
        <v>1268</v>
      </c>
      <c r="D1237" s="500">
        <v>5845771</v>
      </c>
      <c r="E1237" s="501"/>
      <c r="F1237" s="269"/>
      <c r="G1237" s="270"/>
    </row>
    <row r="1238" spans="1:7" ht="17.45" customHeight="1">
      <c r="A1238" s="261" t="s">
        <v>8</v>
      </c>
      <c r="B1238" s="257"/>
      <c r="C1238" s="271" t="s">
        <v>1269</v>
      </c>
      <c r="D1238" s="497"/>
      <c r="E1238" s="499">
        <v>394000</v>
      </c>
      <c r="F1238" s="263"/>
      <c r="G1238" s="272" t="s">
        <v>2181</v>
      </c>
    </row>
    <row r="1239" spans="1:7" ht="17.45" customHeight="1">
      <c r="A1239" s="261" t="s">
        <v>8</v>
      </c>
      <c r="C1239" s="271" t="s">
        <v>1270</v>
      </c>
      <c r="D1239" s="497"/>
      <c r="E1239" s="499">
        <v>752000</v>
      </c>
      <c r="F1239" s="263"/>
      <c r="G1239" s="273"/>
    </row>
    <row r="1240" spans="1:7" ht="17.45" customHeight="1">
      <c r="A1240" s="261" t="s">
        <v>8</v>
      </c>
      <c r="C1240" s="271" t="s">
        <v>1670</v>
      </c>
      <c r="D1240" s="497"/>
      <c r="E1240" s="499">
        <v>26010</v>
      </c>
      <c r="F1240" s="263"/>
      <c r="G1240" s="274"/>
    </row>
    <row r="1241" spans="1:7" ht="17.45" customHeight="1">
      <c r="A1241" s="261" t="s">
        <v>8</v>
      </c>
      <c r="C1241" s="271" t="s">
        <v>1672</v>
      </c>
      <c r="D1241" s="497"/>
      <c r="E1241" s="499">
        <v>64600</v>
      </c>
      <c r="F1241" s="263"/>
      <c r="G1241" s="274"/>
    </row>
    <row r="1242" spans="1:7" ht="17.45" customHeight="1">
      <c r="A1242" s="261" t="s">
        <v>8</v>
      </c>
      <c r="C1242" s="271" t="s">
        <v>1673</v>
      </c>
      <c r="D1242" s="497"/>
      <c r="E1242" s="497">
        <v>0</v>
      </c>
      <c r="F1242" s="263"/>
      <c r="G1242" s="274"/>
    </row>
    <row r="1243" spans="1:7" ht="17.45" customHeight="1">
      <c r="A1243" s="261" t="s">
        <v>8</v>
      </c>
      <c r="C1243" s="271" t="s">
        <v>1332</v>
      </c>
      <c r="D1243" s="497"/>
      <c r="E1243" s="499">
        <v>42900</v>
      </c>
      <c r="F1243" s="263"/>
      <c r="G1243" s="275"/>
    </row>
    <row r="1244" spans="1:7" ht="17.45" customHeight="1">
      <c r="A1244" s="261" t="s">
        <v>8</v>
      </c>
      <c r="C1244" s="271" t="s">
        <v>1271</v>
      </c>
      <c r="D1244" s="497"/>
      <c r="E1244" s="497">
        <v>0</v>
      </c>
      <c r="F1244" s="263"/>
      <c r="G1244" s="274"/>
    </row>
    <row r="1245" spans="1:7" ht="17.45" customHeight="1">
      <c r="A1245" s="261" t="s">
        <v>8</v>
      </c>
      <c r="C1245" s="271" t="s">
        <v>1272</v>
      </c>
      <c r="D1245" s="497"/>
      <c r="E1245" s="499">
        <v>6960</v>
      </c>
      <c r="F1245" s="263"/>
      <c r="G1245" s="273"/>
    </row>
    <row r="1246" spans="1:7" ht="17.45" customHeight="1">
      <c r="A1246" s="261" t="s">
        <v>8</v>
      </c>
      <c r="C1246" s="271" t="s">
        <v>1273</v>
      </c>
      <c r="D1246" s="497"/>
      <c r="E1246" s="499">
        <v>29920</v>
      </c>
      <c r="F1246" s="263"/>
      <c r="G1246" s="273"/>
    </row>
    <row r="1247" spans="1:7" ht="17.45" customHeight="1">
      <c r="A1247" s="261" t="s">
        <v>8</v>
      </c>
      <c r="C1247" s="271" t="s">
        <v>1274</v>
      </c>
      <c r="D1247" s="497"/>
      <c r="E1247" s="499">
        <v>9405</v>
      </c>
      <c r="F1247" s="263"/>
      <c r="G1247" s="273"/>
    </row>
    <row r="1248" spans="1:7" ht="17.45" customHeight="1">
      <c r="A1248" s="261" t="s">
        <v>8</v>
      </c>
      <c r="C1248" s="271" t="s">
        <v>1275</v>
      </c>
      <c r="D1248" s="497"/>
      <c r="E1248" s="499">
        <v>26450</v>
      </c>
      <c r="F1248" s="263"/>
      <c r="G1248" s="273"/>
    </row>
    <row r="1249" spans="1:7" ht="17.45" customHeight="1">
      <c r="A1249" s="261" t="s">
        <v>8</v>
      </c>
      <c r="C1249" s="271" t="s">
        <v>2168</v>
      </c>
      <c r="D1249" s="497"/>
      <c r="E1249" s="499">
        <v>18816</v>
      </c>
      <c r="F1249" s="263"/>
      <c r="G1249" s="273"/>
    </row>
    <row r="1250" spans="1:7" ht="17.45" customHeight="1">
      <c r="A1250" s="261" t="s">
        <v>8</v>
      </c>
      <c r="C1250" s="271" t="s">
        <v>1517</v>
      </c>
      <c r="D1250" s="497"/>
      <c r="E1250" s="499">
        <v>23230</v>
      </c>
      <c r="F1250" s="263"/>
      <c r="G1250" s="273"/>
    </row>
    <row r="1251" spans="1:7" ht="17.45" customHeight="1">
      <c r="A1251" s="261" t="s">
        <v>8</v>
      </c>
      <c r="C1251" s="271" t="s">
        <v>1276</v>
      </c>
      <c r="D1251" s="497"/>
      <c r="E1251" s="499">
        <f>415410-20000</f>
        <v>395410</v>
      </c>
      <c r="F1251" s="263"/>
      <c r="G1251" s="273"/>
    </row>
    <row r="1252" spans="1:7" ht="17.45" customHeight="1">
      <c r="A1252" s="261" t="s">
        <v>8</v>
      </c>
      <c r="C1252" s="271" t="s">
        <v>1277</v>
      </c>
      <c r="D1252" s="497"/>
      <c r="E1252" s="499">
        <v>8140</v>
      </c>
      <c r="F1252" s="263"/>
      <c r="G1252" s="273"/>
    </row>
    <row r="1253" spans="1:7" ht="17.45" customHeight="1">
      <c r="A1253" s="261" t="s">
        <v>8</v>
      </c>
      <c r="C1253" s="271" t="s">
        <v>1278</v>
      </c>
      <c r="D1253" s="497"/>
      <c r="E1253" s="499">
        <v>200000</v>
      </c>
      <c r="F1253" s="263"/>
      <c r="G1253" s="273"/>
    </row>
    <row r="1254" spans="1:7" ht="17.45" customHeight="1" thickBot="1">
      <c r="A1254" s="261" t="s">
        <v>8</v>
      </c>
      <c r="C1254" s="276" t="s">
        <v>1413</v>
      </c>
      <c r="D1254" s="502"/>
      <c r="E1254" s="503">
        <v>1300000</v>
      </c>
      <c r="F1254" s="277"/>
      <c r="G1254" s="278"/>
    </row>
    <row r="1255" spans="1:7" ht="17.45" customHeight="1">
      <c r="A1255" s="261" t="s">
        <v>8</v>
      </c>
      <c r="C1255" s="279" t="s">
        <v>1280</v>
      </c>
      <c r="D1255" s="504"/>
      <c r="E1255" s="505">
        <f>87000+10000</f>
        <v>97000</v>
      </c>
      <c r="F1255" s="280"/>
      <c r="G1255" s="281"/>
    </row>
    <row r="1256" spans="1:7" ht="17.45" customHeight="1">
      <c r="A1256" s="261" t="s">
        <v>8</v>
      </c>
      <c r="C1256" s="271" t="s">
        <v>1549</v>
      </c>
      <c r="D1256" s="497"/>
      <c r="E1256" s="499">
        <v>100000</v>
      </c>
      <c r="F1256" s="263"/>
      <c r="G1256" s="275"/>
    </row>
    <row r="1257" spans="1:7" ht="17.45" customHeight="1">
      <c r="A1257" s="261" t="s">
        <v>8</v>
      </c>
      <c r="C1257" s="271" t="s">
        <v>1819</v>
      </c>
      <c r="D1257" s="497"/>
      <c r="E1257" s="499">
        <v>50000</v>
      </c>
      <c r="F1257" s="263"/>
      <c r="G1257" s="275"/>
    </row>
    <row r="1258" spans="1:7" ht="17.45" customHeight="1">
      <c r="A1258" s="261" t="s">
        <v>8</v>
      </c>
      <c r="C1258" s="271" t="s">
        <v>1822</v>
      </c>
      <c r="D1258" s="497"/>
      <c r="E1258" s="499">
        <v>50000</v>
      </c>
      <c r="F1258" s="263"/>
      <c r="G1258" s="275"/>
    </row>
    <row r="1259" spans="1:7" ht="17.45" customHeight="1">
      <c r="A1259" s="261" t="s">
        <v>8</v>
      </c>
      <c r="C1259" s="271" t="s">
        <v>1484</v>
      </c>
      <c r="D1259" s="499">
        <v>85000</v>
      </c>
      <c r="E1259" s="499">
        <v>85000</v>
      </c>
      <c r="F1259" s="263"/>
      <c r="G1259" s="275"/>
    </row>
    <row r="1260" spans="1:7" ht="17.45" customHeight="1">
      <c r="A1260" s="261" t="s">
        <v>8</v>
      </c>
      <c r="C1260" s="271" t="s">
        <v>1687</v>
      </c>
      <c r="D1260" s="497"/>
      <c r="E1260" s="497"/>
      <c r="F1260" s="263"/>
      <c r="G1260" s="275"/>
    </row>
    <row r="1261" spans="1:7" ht="17.45" customHeight="1">
      <c r="A1261" s="261" t="s">
        <v>8</v>
      </c>
      <c r="C1261" s="271" t="s">
        <v>1791</v>
      </c>
      <c r="D1261" s="497"/>
      <c r="E1261" s="499">
        <v>400000</v>
      </c>
      <c r="F1261" s="263"/>
      <c r="G1261" s="273"/>
    </row>
    <row r="1262" spans="1:7" ht="17.45" customHeight="1">
      <c r="A1262" s="261" t="s">
        <v>8</v>
      </c>
      <c r="C1262" s="271" t="s">
        <v>1688</v>
      </c>
      <c r="D1262" s="497"/>
      <c r="E1262" s="497"/>
      <c r="F1262" s="263"/>
      <c r="G1262" s="275"/>
    </row>
    <row r="1263" spans="1:7" ht="17.45" customHeight="1">
      <c r="A1263" s="261" t="s">
        <v>8</v>
      </c>
      <c r="C1263" s="271" t="s">
        <v>1596</v>
      </c>
      <c r="D1263" s="497"/>
      <c r="E1263" s="497"/>
      <c r="F1263" s="263"/>
      <c r="G1263" s="275"/>
    </row>
    <row r="1264" spans="1:7" ht="17.45" customHeight="1">
      <c r="A1264" s="261" t="s">
        <v>8</v>
      </c>
      <c r="C1264" s="271" t="s">
        <v>1595</v>
      </c>
      <c r="D1264" s="497"/>
      <c r="E1264" s="497"/>
      <c r="F1264" s="263"/>
      <c r="G1264" s="275"/>
    </row>
    <row r="1265" spans="1:7" ht="17.45" customHeight="1">
      <c r="A1265" s="261" t="s">
        <v>8</v>
      </c>
      <c r="C1265" s="271" t="s">
        <v>1613</v>
      </c>
      <c r="D1265" s="497"/>
      <c r="E1265" s="499">
        <f>16700+2600+4000+7800</f>
        <v>31100</v>
      </c>
      <c r="F1265" s="263"/>
      <c r="G1265" s="275"/>
    </row>
    <row r="1266" spans="1:7" ht="17.45" customHeight="1">
      <c r="A1266" s="261" t="s">
        <v>8</v>
      </c>
      <c r="C1266" s="271" t="s">
        <v>1618</v>
      </c>
      <c r="D1266" s="497"/>
      <c r="E1266" s="497"/>
      <c r="F1266" s="263"/>
      <c r="G1266" s="275"/>
    </row>
    <row r="1267" spans="1:7" ht="17.45" customHeight="1">
      <c r="A1267" s="261" t="s">
        <v>8</v>
      </c>
      <c r="C1267" s="271" t="s">
        <v>1800</v>
      </c>
      <c r="D1267" s="497"/>
      <c r="E1267" s="499">
        <v>33000</v>
      </c>
      <c r="F1267" s="263"/>
      <c r="G1267" s="275"/>
    </row>
    <row r="1268" spans="1:7" ht="17.45" customHeight="1" thickBot="1">
      <c r="A1268" s="261" t="s">
        <v>8</v>
      </c>
      <c r="C1268" s="276" t="s">
        <v>1594</v>
      </c>
      <c r="D1268" s="502"/>
      <c r="E1268" s="503">
        <v>20640</v>
      </c>
      <c r="F1268" s="277"/>
      <c r="G1268" s="282"/>
    </row>
    <row r="1269" spans="1:7" ht="17.45" customHeight="1">
      <c r="A1269" s="261" t="s">
        <v>8</v>
      </c>
      <c r="C1269" s="268" t="s">
        <v>1817</v>
      </c>
      <c r="D1269" s="501"/>
      <c r="E1269" s="500">
        <v>50000</v>
      </c>
      <c r="F1269" s="269"/>
      <c r="G1269" s="270"/>
    </row>
    <row r="1270" spans="1:7" ht="17.45" customHeight="1">
      <c r="A1270" s="261" t="s">
        <v>8</v>
      </c>
      <c r="C1270" s="271" t="s">
        <v>1818</v>
      </c>
      <c r="D1270" s="497"/>
      <c r="E1270" s="499">
        <v>50000</v>
      </c>
      <c r="F1270" s="263"/>
      <c r="G1270" s="273"/>
    </row>
    <row r="1271" spans="1:7" ht="17.45" customHeight="1">
      <c r="A1271" s="261" t="s">
        <v>8</v>
      </c>
      <c r="C1271" s="271" t="s">
        <v>1820</v>
      </c>
      <c r="D1271" s="497"/>
      <c r="E1271" s="499">
        <v>7200</v>
      </c>
      <c r="F1271" s="263"/>
      <c r="G1271" s="275"/>
    </row>
    <row r="1272" spans="1:7" ht="17.45" customHeight="1">
      <c r="A1272" s="261" t="s">
        <v>8</v>
      </c>
      <c r="C1272" s="271" t="s">
        <v>1810</v>
      </c>
      <c r="D1272" s="497"/>
      <c r="E1272" s="499">
        <v>1000</v>
      </c>
      <c r="F1272" s="263"/>
      <c r="G1272" s="275"/>
    </row>
    <row r="1273" spans="1:7" ht="17.45" customHeight="1">
      <c r="A1273" s="261" t="s">
        <v>8</v>
      </c>
      <c r="C1273" s="271" t="s">
        <v>1821</v>
      </c>
      <c r="D1273" s="497"/>
      <c r="E1273" s="499">
        <v>210000</v>
      </c>
      <c r="F1273" s="263"/>
      <c r="G1273" s="272"/>
    </row>
    <row r="1274" spans="1:7" ht="17.45" customHeight="1">
      <c r="A1274" s="261" t="s">
        <v>8</v>
      </c>
      <c r="C1274" s="271" t="s">
        <v>1823</v>
      </c>
      <c r="D1274" s="497"/>
      <c r="E1274" s="499">
        <v>13500</v>
      </c>
      <c r="F1274" s="263"/>
      <c r="G1274" s="275"/>
    </row>
    <row r="1275" spans="1:7" ht="17.45" customHeight="1">
      <c r="A1275" s="261" t="s">
        <v>8</v>
      </c>
      <c r="C1275" s="271" t="s">
        <v>1824</v>
      </c>
      <c r="D1275" s="497"/>
      <c r="E1275" s="499">
        <v>7700</v>
      </c>
      <c r="F1275" s="263"/>
      <c r="G1275" s="273"/>
    </row>
    <row r="1276" spans="1:7" ht="17.45" customHeight="1">
      <c r="A1276" s="261" t="s">
        <v>8</v>
      </c>
      <c r="C1276" s="271" t="s">
        <v>1825</v>
      </c>
      <c r="D1276" s="497"/>
      <c r="E1276" s="499">
        <v>3400</v>
      </c>
      <c r="F1276" s="263"/>
      <c r="G1276" s="275"/>
    </row>
    <row r="1277" spans="1:7" ht="17.45" customHeight="1">
      <c r="A1277" s="261" t="s">
        <v>8</v>
      </c>
      <c r="C1277" s="271" t="s">
        <v>1826</v>
      </c>
      <c r="D1277" s="497"/>
      <c r="E1277" s="499">
        <v>44000</v>
      </c>
      <c r="F1277" s="263"/>
      <c r="G1277" s="275"/>
    </row>
    <row r="1278" spans="1:7" ht="17.45" customHeight="1">
      <c r="A1278" s="261" t="s">
        <v>8</v>
      </c>
      <c r="C1278" s="271" t="s">
        <v>1827</v>
      </c>
      <c r="D1278" s="497"/>
      <c r="E1278" s="499">
        <v>29700</v>
      </c>
      <c r="F1278" s="263"/>
      <c r="G1278" s="275"/>
    </row>
    <row r="1279" spans="1:7" ht="17.45" customHeight="1">
      <c r="A1279" s="261" t="s">
        <v>8</v>
      </c>
      <c r="C1279" s="271" t="s">
        <v>1828</v>
      </c>
      <c r="D1279" s="497"/>
      <c r="E1279" s="499">
        <v>3600</v>
      </c>
      <c r="F1279" s="263"/>
      <c r="G1279" s="275"/>
    </row>
    <row r="1280" spans="1:7" ht="17.45" customHeight="1">
      <c r="A1280" s="261" t="s">
        <v>8</v>
      </c>
      <c r="C1280" s="271" t="s">
        <v>1829</v>
      </c>
      <c r="D1280" s="497"/>
      <c r="E1280" s="499">
        <v>6000</v>
      </c>
      <c r="F1280" s="263"/>
      <c r="G1280" s="275"/>
    </row>
    <row r="1281" spans="1:7" ht="17.45" customHeight="1">
      <c r="A1281" s="261" t="s">
        <v>8</v>
      </c>
      <c r="C1281" s="271" t="s">
        <v>1313</v>
      </c>
      <c r="D1281" s="497"/>
      <c r="E1281" s="499">
        <v>100000</v>
      </c>
      <c r="F1281" s="263"/>
      <c r="G1281" s="275"/>
    </row>
    <row r="1282" spans="1:7" ht="17.45" customHeight="1">
      <c r="A1282" s="261" t="s">
        <v>8</v>
      </c>
      <c r="C1282" s="271" t="s">
        <v>1830</v>
      </c>
      <c r="D1282" s="497"/>
      <c r="E1282" s="499">
        <v>6000</v>
      </c>
      <c r="F1282" s="263"/>
      <c r="G1282" s="275"/>
    </row>
    <row r="1283" spans="1:7" ht="17.45" customHeight="1">
      <c r="A1283" s="261" t="s">
        <v>8</v>
      </c>
      <c r="C1283" s="271" t="s">
        <v>1831</v>
      </c>
      <c r="D1283" s="497"/>
      <c r="E1283" s="499">
        <v>300000</v>
      </c>
      <c r="F1283" s="263"/>
      <c r="G1283" s="275"/>
    </row>
    <row r="1284" spans="1:7" ht="17.45" customHeight="1">
      <c r="A1284" s="261" t="s">
        <v>8</v>
      </c>
      <c r="C1284" s="271" t="s">
        <v>1832</v>
      </c>
      <c r="D1284" s="497"/>
      <c r="E1284" s="499">
        <v>15000</v>
      </c>
      <c r="F1284" s="263"/>
      <c r="G1284" s="275"/>
    </row>
    <row r="1285" spans="1:7" ht="17.45" customHeight="1">
      <c r="A1285" s="261" t="s">
        <v>8</v>
      </c>
      <c r="C1285" s="271" t="s">
        <v>1609</v>
      </c>
      <c r="D1285" s="497"/>
      <c r="E1285" s="499">
        <v>18500</v>
      </c>
      <c r="F1285" s="263"/>
      <c r="G1285" s="275"/>
    </row>
    <row r="1286" spans="1:7" ht="17.45" customHeight="1">
      <c r="A1286" s="261" t="s">
        <v>8</v>
      </c>
      <c r="C1286" s="271" t="s">
        <v>1833</v>
      </c>
      <c r="D1286" s="497"/>
      <c r="E1286" s="499">
        <v>5300</v>
      </c>
      <c r="F1286" s="263"/>
      <c r="G1286" s="275"/>
    </row>
    <row r="1287" spans="1:7" ht="17.45" customHeight="1">
      <c r="A1287" s="261" t="s">
        <v>8</v>
      </c>
      <c r="C1287" s="271" t="s">
        <v>1610</v>
      </c>
      <c r="D1287" s="497"/>
      <c r="E1287" s="499">
        <f>12900+4450</f>
        <v>17350</v>
      </c>
      <c r="F1287" s="263"/>
      <c r="G1287" s="275"/>
    </row>
    <row r="1288" spans="1:7" ht="17.45" customHeight="1">
      <c r="A1288" s="261" t="s">
        <v>8</v>
      </c>
      <c r="C1288" s="271" t="s">
        <v>1834</v>
      </c>
      <c r="D1288" s="497"/>
      <c r="E1288" s="499">
        <v>14000</v>
      </c>
      <c r="F1288" s="263"/>
      <c r="G1288" s="275"/>
    </row>
    <row r="1289" spans="1:7" ht="17.45" customHeight="1">
      <c r="A1289" s="261" t="s">
        <v>8</v>
      </c>
      <c r="C1289" s="271" t="s">
        <v>1835</v>
      </c>
      <c r="D1289" s="497"/>
      <c r="E1289" s="499">
        <v>34000</v>
      </c>
      <c r="F1289" s="263"/>
      <c r="G1289" s="275"/>
    </row>
    <row r="1290" spans="1:7" ht="17.45" customHeight="1">
      <c r="A1290" s="261" t="s">
        <v>8</v>
      </c>
      <c r="C1290" s="271" t="s">
        <v>1836</v>
      </c>
      <c r="D1290" s="497"/>
      <c r="E1290" s="499">
        <v>18000</v>
      </c>
      <c r="F1290" s="263"/>
      <c r="G1290" s="275"/>
    </row>
    <row r="1291" spans="1:7" ht="17.45" customHeight="1">
      <c r="A1291" s="261" t="s">
        <v>8</v>
      </c>
      <c r="C1291" s="271" t="s">
        <v>1873</v>
      </c>
      <c r="D1291" s="497"/>
      <c r="E1291" s="499">
        <v>17900</v>
      </c>
      <c r="F1291" s="263"/>
      <c r="G1291" s="275"/>
    </row>
    <row r="1292" spans="1:7" ht="17.45" customHeight="1">
      <c r="A1292" s="261" t="s">
        <v>8</v>
      </c>
      <c r="C1292" s="271" t="s">
        <v>1874</v>
      </c>
      <c r="D1292" s="497"/>
      <c r="E1292" s="499">
        <v>31300</v>
      </c>
      <c r="F1292" s="263"/>
      <c r="G1292" s="275"/>
    </row>
    <row r="1293" spans="1:7" ht="17.45" customHeight="1">
      <c r="A1293" s="261" t="s">
        <v>8</v>
      </c>
      <c r="C1293" s="271" t="s">
        <v>1875</v>
      </c>
      <c r="D1293" s="497"/>
      <c r="E1293" s="499">
        <v>5450</v>
      </c>
      <c r="F1293" s="263"/>
      <c r="G1293" s="275"/>
    </row>
    <row r="1294" spans="1:7" ht="17.45" customHeight="1">
      <c r="A1294" s="261" t="s">
        <v>8</v>
      </c>
      <c r="C1294" s="271" t="s">
        <v>1651</v>
      </c>
      <c r="D1294" s="497"/>
      <c r="E1294" s="499">
        <v>65100</v>
      </c>
      <c r="F1294" s="263"/>
      <c r="G1294" s="275"/>
    </row>
    <row r="1295" spans="1:7" ht="17.45" customHeight="1">
      <c r="A1295" s="261" t="s">
        <v>8</v>
      </c>
      <c r="C1295" s="271" t="s">
        <v>1877</v>
      </c>
      <c r="D1295" s="497"/>
      <c r="E1295" s="499">
        <v>52500</v>
      </c>
      <c r="F1295" s="263"/>
      <c r="G1295" s="275"/>
    </row>
    <row r="1296" spans="1:7" ht="17.45" customHeight="1">
      <c r="A1296" s="261" t="s">
        <v>8</v>
      </c>
      <c r="C1296" s="271" t="s">
        <v>1878</v>
      </c>
      <c r="D1296" s="497"/>
      <c r="E1296" s="499">
        <v>14000</v>
      </c>
      <c r="F1296" s="263"/>
      <c r="G1296" s="275"/>
    </row>
    <row r="1297" spans="1:7" ht="17.45" customHeight="1">
      <c r="A1297" s="261" t="s">
        <v>8</v>
      </c>
      <c r="C1297" s="271" t="s">
        <v>1584</v>
      </c>
      <c r="D1297" s="497"/>
      <c r="E1297" s="499">
        <v>18000</v>
      </c>
      <c r="F1297" s="263"/>
      <c r="G1297" s="275"/>
    </row>
    <row r="1298" spans="1:7" ht="17.45" customHeight="1">
      <c r="A1298" s="261" t="s">
        <v>8</v>
      </c>
      <c r="C1298" s="271" t="s">
        <v>1789</v>
      </c>
      <c r="D1298" s="499">
        <v>776900</v>
      </c>
      <c r="E1298" s="499">
        <f>1339600</f>
        <v>1339600</v>
      </c>
      <c r="F1298" s="263"/>
      <c r="G1298" s="275"/>
    </row>
    <row r="1299" spans="1:7" ht="17.45" customHeight="1">
      <c r="A1299" s="261" t="s">
        <v>8</v>
      </c>
      <c r="C1299" s="271" t="s">
        <v>1606</v>
      </c>
      <c r="D1299" s="497"/>
      <c r="E1299" s="499">
        <v>21800</v>
      </c>
      <c r="F1299" s="263"/>
      <c r="G1299" s="275"/>
    </row>
    <row r="1300" spans="1:7" ht="17.45" customHeight="1">
      <c r="A1300" s="261" t="s">
        <v>8</v>
      </c>
      <c r="C1300" s="271" t="s">
        <v>1881</v>
      </c>
      <c r="D1300" s="497"/>
      <c r="E1300" s="499">
        <v>1000</v>
      </c>
      <c r="F1300" s="263"/>
      <c r="G1300" s="275"/>
    </row>
    <row r="1301" spans="1:7" ht="17.45" customHeight="1">
      <c r="A1301" s="261" t="s">
        <v>8</v>
      </c>
      <c r="C1301" s="284" t="s">
        <v>1882</v>
      </c>
      <c r="D1301" s="497"/>
      <c r="E1301" s="499">
        <v>2000</v>
      </c>
      <c r="F1301" s="263"/>
      <c r="G1301" s="275"/>
    </row>
    <row r="1302" spans="1:7" ht="17.45" customHeight="1">
      <c r="A1302" s="261" t="s">
        <v>8</v>
      </c>
      <c r="C1302" s="271"/>
      <c r="D1302" s="497"/>
      <c r="E1302" s="497"/>
      <c r="F1302" s="263"/>
      <c r="G1302" s="275"/>
    </row>
    <row r="1303" spans="1:7" ht="17.45" customHeight="1">
      <c r="A1303" s="261" t="s">
        <v>8</v>
      </c>
      <c r="C1303" s="271"/>
      <c r="D1303" s="497"/>
      <c r="E1303" s="497"/>
      <c r="F1303" s="263"/>
      <c r="G1303" s="275"/>
    </row>
    <row r="1304" spans="1:7" ht="17.45" customHeight="1">
      <c r="A1304" s="261" t="s">
        <v>8</v>
      </c>
      <c r="C1304" s="271"/>
      <c r="D1304" s="497"/>
      <c r="E1304" s="497"/>
      <c r="F1304" s="263"/>
      <c r="G1304" s="275"/>
    </row>
    <row r="1305" spans="1:7" ht="17.45" customHeight="1" thickBot="1">
      <c r="A1305" s="261" t="s">
        <v>8</v>
      </c>
      <c r="C1305" s="276" t="s">
        <v>1300</v>
      </c>
      <c r="D1305" s="502">
        <f>SUM(D1237:D1304)-SUM(E1237:E1304)</f>
        <v>20190</v>
      </c>
      <c r="E1305" s="502">
        <f>SUM(E1237:E1304)-SUM(F1237:F1304)</f>
        <v>6687481</v>
      </c>
      <c r="F1305" s="277"/>
      <c r="G1305" s="283"/>
    </row>
    <row r="1306" spans="1:7">
      <c r="A1306" s="261" t="s">
        <v>8</v>
      </c>
    </row>
    <row r="1307" spans="1:7" ht="12.75" thickBot="1">
      <c r="A1307" s="261" t="s">
        <v>8</v>
      </c>
    </row>
    <row r="1308" spans="1:7" ht="17.45" customHeight="1">
      <c r="A1308" s="261" t="s">
        <v>8</v>
      </c>
      <c r="B1308" s="256" t="s">
        <v>2182</v>
      </c>
      <c r="C1308" s="268" t="s">
        <v>1268</v>
      </c>
      <c r="D1308" s="500">
        <v>5916911</v>
      </c>
      <c r="E1308" s="501"/>
      <c r="F1308" s="269"/>
      <c r="G1308" s="270"/>
    </row>
    <row r="1309" spans="1:7" ht="17.45" customHeight="1">
      <c r="A1309" s="261" t="s">
        <v>8</v>
      </c>
      <c r="B1309" s="257"/>
      <c r="C1309" s="271" t="s">
        <v>1269</v>
      </c>
      <c r="D1309" s="497"/>
      <c r="E1309" s="499">
        <v>436000</v>
      </c>
      <c r="F1309" s="263"/>
      <c r="G1309" s="272" t="s">
        <v>2183</v>
      </c>
    </row>
    <row r="1310" spans="1:7" ht="17.45" customHeight="1">
      <c r="A1310" s="261" t="s">
        <v>8</v>
      </c>
      <c r="C1310" s="271" t="s">
        <v>1270</v>
      </c>
      <c r="D1310" s="497"/>
      <c r="E1310" s="499">
        <v>737000</v>
      </c>
      <c r="F1310" s="263"/>
      <c r="G1310" s="273"/>
    </row>
    <row r="1311" spans="1:7" ht="17.45" customHeight="1">
      <c r="A1311" s="261" t="s">
        <v>8</v>
      </c>
      <c r="C1311" s="271" t="s">
        <v>1670</v>
      </c>
      <c r="D1311" s="497"/>
      <c r="E1311" s="499">
        <v>26010</v>
      </c>
      <c r="F1311" s="263"/>
      <c r="G1311" s="274"/>
    </row>
    <row r="1312" spans="1:7" ht="17.45" customHeight="1">
      <c r="A1312" s="261" t="s">
        <v>8</v>
      </c>
      <c r="C1312" s="271" t="s">
        <v>1672</v>
      </c>
      <c r="D1312" s="497"/>
      <c r="E1312" s="499">
        <v>73910</v>
      </c>
      <c r="F1312" s="263"/>
      <c r="G1312" s="274"/>
    </row>
    <row r="1313" spans="1:7" ht="17.45" customHeight="1">
      <c r="A1313" s="261" t="s">
        <v>8</v>
      </c>
      <c r="C1313" s="271" t="s">
        <v>1673</v>
      </c>
      <c r="D1313" s="497"/>
      <c r="E1313" s="499">
        <v>0</v>
      </c>
      <c r="F1313" s="263"/>
      <c r="G1313" s="274"/>
    </row>
    <row r="1314" spans="1:7" ht="17.45" customHeight="1">
      <c r="A1314" s="261" t="s">
        <v>8</v>
      </c>
      <c r="C1314" s="271" t="s">
        <v>1332</v>
      </c>
      <c r="D1314" s="497"/>
      <c r="E1314" s="499">
        <v>42900</v>
      </c>
      <c r="F1314" s="263"/>
      <c r="G1314" s="275"/>
    </row>
    <row r="1315" spans="1:7" ht="17.45" customHeight="1">
      <c r="A1315" s="261" t="s">
        <v>8</v>
      </c>
      <c r="C1315" s="271" t="s">
        <v>1271</v>
      </c>
      <c r="D1315" s="497"/>
      <c r="E1315" s="499">
        <v>0</v>
      </c>
      <c r="F1315" s="263"/>
      <c r="G1315" s="274"/>
    </row>
    <row r="1316" spans="1:7" ht="17.45" customHeight="1">
      <c r="A1316" s="261" t="s">
        <v>8</v>
      </c>
      <c r="C1316" s="271" t="s">
        <v>1272</v>
      </c>
      <c r="D1316" s="497"/>
      <c r="E1316" s="499">
        <v>6960</v>
      </c>
      <c r="F1316" s="263"/>
      <c r="G1316" s="273"/>
    </row>
    <row r="1317" spans="1:7" ht="17.45" customHeight="1">
      <c r="A1317" s="261" t="s">
        <v>8</v>
      </c>
      <c r="C1317" s="271" t="s">
        <v>1273</v>
      </c>
      <c r="D1317" s="497"/>
      <c r="E1317" s="499">
        <v>29920</v>
      </c>
      <c r="F1317" s="263"/>
      <c r="G1317" s="273"/>
    </row>
    <row r="1318" spans="1:7" ht="17.45" customHeight="1">
      <c r="A1318" s="261" t="s">
        <v>8</v>
      </c>
      <c r="C1318" s="271" t="s">
        <v>1274</v>
      </c>
      <c r="D1318" s="497"/>
      <c r="E1318" s="499">
        <v>9405</v>
      </c>
      <c r="F1318" s="263"/>
      <c r="G1318" s="273"/>
    </row>
    <row r="1319" spans="1:7" ht="17.45" customHeight="1">
      <c r="A1319" s="261" t="s">
        <v>8</v>
      </c>
      <c r="C1319" s="271" t="s">
        <v>1275</v>
      </c>
      <c r="D1319" s="497"/>
      <c r="E1319" s="499">
        <v>26450</v>
      </c>
      <c r="F1319" s="263"/>
      <c r="G1319" s="273"/>
    </row>
    <row r="1320" spans="1:7" ht="17.45" customHeight="1">
      <c r="A1320" s="261" t="s">
        <v>8</v>
      </c>
      <c r="C1320" s="271" t="s">
        <v>2168</v>
      </c>
      <c r="D1320" s="497"/>
      <c r="E1320" s="499">
        <v>18816</v>
      </c>
      <c r="F1320" s="263"/>
      <c r="G1320" s="273"/>
    </row>
    <row r="1321" spans="1:7" ht="17.45" customHeight="1">
      <c r="A1321" s="261" t="s">
        <v>8</v>
      </c>
      <c r="C1321" s="271" t="s">
        <v>1517</v>
      </c>
      <c r="D1321" s="497"/>
      <c r="E1321" s="499">
        <v>23230</v>
      </c>
      <c r="F1321" s="263"/>
      <c r="G1321" s="273"/>
    </row>
    <row r="1322" spans="1:7" ht="17.45" customHeight="1">
      <c r="A1322" s="261" t="s">
        <v>8</v>
      </c>
      <c r="C1322" s="271" t="s">
        <v>1276</v>
      </c>
      <c r="D1322" s="499">
        <v>250000</v>
      </c>
      <c r="E1322" s="499">
        <v>288570</v>
      </c>
      <c r="F1322" s="263"/>
      <c r="G1322" s="273"/>
    </row>
    <row r="1323" spans="1:7" ht="17.45" customHeight="1">
      <c r="A1323" s="261" t="s">
        <v>8</v>
      </c>
      <c r="C1323" s="271" t="s">
        <v>1277</v>
      </c>
      <c r="D1323" s="497"/>
      <c r="E1323" s="499">
        <v>15940</v>
      </c>
      <c r="F1323" s="263"/>
      <c r="G1323" s="273"/>
    </row>
    <row r="1324" spans="1:7" ht="17.45" customHeight="1">
      <c r="A1324" s="261" t="s">
        <v>8</v>
      </c>
      <c r="C1324" s="271" t="s">
        <v>1278</v>
      </c>
      <c r="D1324" s="497"/>
      <c r="E1324" s="499">
        <v>200000</v>
      </c>
      <c r="F1324" s="263"/>
      <c r="G1324" s="273"/>
    </row>
    <row r="1325" spans="1:7" ht="17.45" customHeight="1" thickBot="1">
      <c r="A1325" s="261" t="s">
        <v>8</v>
      </c>
      <c r="C1325" s="285" t="s">
        <v>1413</v>
      </c>
      <c r="D1325" s="506"/>
      <c r="E1325" s="507">
        <v>1300000</v>
      </c>
      <c r="F1325" s="286"/>
      <c r="G1325" s="287"/>
    </row>
    <row r="1326" spans="1:7" ht="17.45" customHeight="1">
      <c r="A1326" s="261" t="s">
        <v>8</v>
      </c>
      <c r="C1326" s="268" t="s">
        <v>1280</v>
      </c>
      <c r="D1326" s="501"/>
      <c r="E1326" s="500">
        <v>100000</v>
      </c>
      <c r="F1326" s="269"/>
      <c r="G1326" s="288"/>
    </row>
    <row r="1327" spans="1:7" ht="17.45" customHeight="1">
      <c r="A1327" s="261" t="s">
        <v>8</v>
      </c>
      <c r="C1327" s="271" t="s">
        <v>1549</v>
      </c>
      <c r="D1327" s="497"/>
      <c r="E1327" s="499">
        <v>0</v>
      </c>
      <c r="F1327" s="263"/>
      <c r="G1327" s="275"/>
    </row>
    <row r="1328" spans="1:7" ht="17.45" customHeight="1">
      <c r="A1328" s="261" t="s">
        <v>8</v>
      </c>
      <c r="C1328" s="271" t="s">
        <v>1819</v>
      </c>
      <c r="D1328" s="497"/>
      <c r="E1328" s="499">
        <v>0</v>
      </c>
      <c r="F1328" s="263"/>
      <c r="G1328" s="275"/>
    </row>
    <row r="1329" spans="1:7" ht="17.45" customHeight="1">
      <c r="A1329" s="261" t="s">
        <v>8</v>
      </c>
      <c r="C1329" s="271" t="s">
        <v>1822</v>
      </c>
      <c r="D1329" s="497"/>
      <c r="E1329" s="499">
        <v>0</v>
      </c>
      <c r="F1329" s="263"/>
      <c r="G1329" s="275"/>
    </row>
    <row r="1330" spans="1:7" ht="17.45" customHeight="1">
      <c r="A1330" s="261" t="s">
        <v>8</v>
      </c>
      <c r="C1330" s="271" t="s">
        <v>1484</v>
      </c>
      <c r="D1330" s="497"/>
      <c r="E1330" s="499">
        <v>0</v>
      </c>
      <c r="F1330" s="263"/>
      <c r="G1330" s="275"/>
    </row>
    <row r="1331" spans="1:7" ht="17.45" customHeight="1">
      <c r="A1331" s="261" t="s">
        <v>8</v>
      </c>
      <c r="C1331" s="271" t="s">
        <v>1687</v>
      </c>
      <c r="D1331" s="497"/>
      <c r="E1331" s="499">
        <v>0</v>
      </c>
      <c r="F1331" s="263"/>
      <c r="G1331" s="275"/>
    </row>
    <row r="1332" spans="1:7" ht="17.45" customHeight="1">
      <c r="A1332" s="261" t="s">
        <v>8</v>
      </c>
      <c r="C1332" s="271" t="s">
        <v>1791</v>
      </c>
      <c r="D1332" s="497"/>
      <c r="E1332" s="499">
        <v>400000</v>
      </c>
      <c r="F1332" s="263"/>
      <c r="G1332" s="273"/>
    </row>
    <row r="1333" spans="1:7" ht="17.45" customHeight="1">
      <c r="A1333" s="261" t="s">
        <v>8</v>
      </c>
      <c r="C1333" s="271" t="s">
        <v>1688</v>
      </c>
      <c r="D1333" s="497"/>
      <c r="E1333" s="499">
        <v>100000</v>
      </c>
      <c r="F1333" s="263"/>
      <c r="G1333" s="275"/>
    </row>
    <row r="1334" spans="1:7" ht="17.45" customHeight="1">
      <c r="A1334" s="261" t="s">
        <v>8</v>
      </c>
      <c r="C1334" s="271" t="s">
        <v>1596</v>
      </c>
      <c r="D1334" s="497"/>
      <c r="E1334" s="499">
        <v>0</v>
      </c>
      <c r="F1334" s="263"/>
      <c r="G1334" s="275"/>
    </row>
    <row r="1335" spans="1:7" ht="17.45" customHeight="1">
      <c r="A1335" s="261" t="s">
        <v>8</v>
      </c>
      <c r="C1335" s="271" t="s">
        <v>1595</v>
      </c>
      <c r="D1335" s="497"/>
      <c r="E1335" s="499">
        <v>0</v>
      </c>
      <c r="F1335" s="263"/>
      <c r="G1335" s="275"/>
    </row>
    <row r="1336" spans="1:7" ht="17.45" customHeight="1">
      <c r="A1336" s="261" t="s">
        <v>8</v>
      </c>
      <c r="C1336" s="271" t="s">
        <v>1613</v>
      </c>
      <c r="D1336" s="497"/>
      <c r="E1336" s="499">
        <f>7200+6400+14000</f>
        <v>27600</v>
      </c>
      <c r="F1336" s="263"/>
      <c r="G1336" s="275"/>
    </row>
    <row r="1337" spans="1:7" ht="17.45" customHeight="1">
      <c r="A1337" s="261" t="s">
        <v>8</v>
      </c>
      <c r="C1337" s="271" t="s">
        <v>1569</v>
      </c>
      <c r="D1337" s="497"/>
      <c r="E1337" s="499">
        <v>72620</v>
      </c>
      <c r="F1337" s="263"/>
      <c r="G1337" s="275"/>
    </row>
    <row r="1338" spans="1:7" ht="17.45" customHeight="1">
      <c r="A1338" s="261" t="s">
        <v>8</v>
      </c>
      <c r="C1338" s="271" t="s">
        <v>1618</v>
      </c>
      <c r="D1338" s="497"/>
      <c r="E1338" s="499">
        <f>9480+10760</f>
        <v>20240</v>
      </c>
      <c r="F1338" s="263"/>
      <c r="G1338" s="275"/>
    </row>
    <row r="1339" spans="1:7" ht="17.45" customHeight="1">
      <c r="A1339" s="261" t="s">
        <v>8</v>
      </c>
      <c r="C1339" s="271" t="s">
        <v>1800</v>
      </c>
      <c r="D1339" s="497"/>
      <c r="E1339" s="499">
        <v>0</v>
      </c>
      <c r="F1339" s="263"/>
      <c r="G1339" s="275"/>
    </row>
    <row r="1340" spans="1:7" ht="17.45" customHeight="1" thickBot="1">
      <c r="A1340" s="261" t="s">
        <v>8</v>
      </c>
      <c r="C1340" s="276" t="s">
        <v>1594</v>
      </c>
      <c r="D1340" s="502"/>
      <c r="E1340" s="503">
        <f>23400+26900</f>
        <v>50300</v>
      </c>
      <c r="F1340" s="277"/>
      <c r="G1340" s="282"/>
    </row>
    <row r="1341" spans="1:7" ht="17.45" customHeight="1">
      <c r="A1341" s="261" t="s">
        <v>8</v>
      </c>
      <c r="C1341" s="279" t="s">
        <v>1883</v>
      </c>
      <c r="D1341" s="504"/>
      <c r="E1341" s="505">
        <v>37500</v>
      </c>
      <c r="F1341" s="280"/>
      <c r="G1341" s="289"/>
    </row>
    <row r="1342" spans="1:7" ht="17.45" customHeight="1">
      <c r="A1342" s="261" t="s">
        <v>8</v>
      </c>
      <c r="C1342" s="271" t="s">
        <v>1884</v>
      </c>
      <c r="D1342" s="497"/>
      <c r="E1342" s="499">
        <v>15000</v>
      </c>
      <c r="F1342" s="263"/>
      <c r="G1342" s="273"/>
    </row>
    <row r="1343" spans="1:7" ht="17.45" customHeight="1">
      <c r="A1343" s="261" t="s">
        <v>8</v>
      </c>
      <c r="C1343" s="271" t="s">
        <v>1885</v>
      </c>
      <c r="D1343" s="497"/>
      <c r="E1343" s="499">
        <v>299970</v>
      </c>
      <c r="F1343" s="263"/>
      <c r="G1343" s="275"/>
    </row>
    <row r="1344" spans="1:7" ht="17.45" customHeight="1">
      <c r="A1344" s="261" t="s">
        <v>8</v>
      </c>
      <c r="C1344" s="271" t="s">
        <v>1344</v>
      </c>
      <c r="D1344" s="499">
        <v>52500</v>
      </c>
      <c r="E1344" s="499">
        <v>52500</v>
      </c>
      <c r="F1344" s="263"/>
      <c r="G1344" s="275"/>
    </row>
    <row r="1345" spans="1:7" ht="17.45" customHeight="1">
      <c r="A1345" s="261" t="s">
        <v>8</v>
      </c>
      <c r="C1345" s="271" t="s">
        <v>1789</v>
      </c>
      <c r="D1345" s="499">
        <v>562700</v>
      </c>
      <c r="E1345" s="497"/>
      <c r="F1345" s="263"/>
      <c r="G1345" s="272"/>
    </row>
    <row r="1346" spans="1:7" ht="17.45" customHeight="1">
      <c r="A1346" s="261" t="s">
        <v>8</v>
      </c>
      <c r="C1346" s="271" t="s">
        <v>1886</v>
      </c>
      <c r="D1346" s="497"/>
      <c r="E1346" s="499">
        <v>6500</v>
      </c>
      <c r="F1346" s="263"/>
      <c r="G1346" s="275"/>
    </row>
    <row r="1347" spans="1:7" ht="17.45" customHeight="1">
      <c r="A1347" s="261" t="s">
        <v>8</v>
      </c>
      <c r="C1347" s="271" t="s">
        <v>1650</v>
      </c>
      <c r="D1347" s="497"/>
      <c r="E1347" s="499">
        <v>9800</v>
      </c>
      <c r="F1347" s="263"/>
      <c r="G1347" s="273"/>
    </row>
    <row r="1348" spans="1:7" ht="17.45" customHeight="1">
      <c r="A1348" s="261" t="s">
        <v>8</v>
      </c>
      <c r="C1348" s="271" t="s">
        <v>1887</v>
      </c>
      <c r="D1348" s="497"/>
      <c r="E1348" s="499">
        <v>24578</v>
      </c>
      <c r="F1348" s="263"/>
      <c r="G1348" s="275"/>
    </row>
    <row r="1349" spans="1:7" ht="17.45" customHeight="1">
      <c r="A1349" s="261" t="s">
        <v>8</v>
      </c>
      <c r="C1349" s="271" t="s">
        <v>1888</v>
      </c>
      <c r="D1349" s="497"/>
      <c r="E1349" s="499">
        <v>200000</v>
      </c>
      <c r="F1349" s="263"/>
      <c r="G1349" s="275"/>
    </row>
    <row r="1350" spans="1:7" ht="17.45" customHeight="1">
      <c r="A1350" s="261" t="s">
        <v>8</v>
      </c>
      <c r="C1350" s="271" t="s">
        <v>1889</v>
      </c>
      <c r="D1350" s="497"/>
      <c r="E1350" s="499">
        <v>9468</v>
      </c>
      <c r="F1350" s="263"/>
      <c r="G1350" s="275"/>
    </row>
    <row r="1351" spans="1:7" ht="17.45" customHeight="1">
      <c r="A1351" s="261" t="s">
        <v>8</v>
      </c>
      <c r="C1351" s="271" t="s">
        <v>1890</v>
      </c>
      <c r="D1351" s="497"/>
      <c r="E1351" s="499">
        <v>36329</v>
      </c>
      <c r="F1351" s="263"/>
      <c r="G1351" s="275"/>
    </row>
    <row r="1352" spans="1:7" ht="17.45" customHeight="1">
      <c r="A1352" s="261" t="s">
        <v>8</v>
      </c>
      <c r="C1352" s="271" t="s">
        <v>1627</v>
      </c>
      <c r="D1352" s="497"/>
      <c r="E1352" s="499">
        <v>22500</v>
      </c>
      <c r="F1352" s="263"/>
      <c r="G1352" s="275"/>
    </row>
    <row r="1353" spans="1:7" ht="17.45" customHeight="1">
      <c r="A1353" s="261" t="s">
        <v>8</v>
      </c>
      <c r="C1353" s="271" t="s">
        <v>1891</v>
      </c>
      <c r="D1353" s="497"/>
      <c r="E1353" s="499">
        <v>32000</v>
      </c>
      <c r="F1353" s="263"/>
      <c r="G1353" s="275"/>
    </row>
    <row r="1354" spans="1:7" ht="17.45" customHeight="1">
      <c r="A1354" s="261" t="s">
        <v>8</v>
      </c>
      <c r="C1354" s="271" t="s">
        <v>1884</v>
      </c>
      <c r="D1354" s="497"/>
      <c r="E1354" s="499">
        <v>16680</v>
      </c>
      <c r="F1354" s="263"/>
      <c r="G1354" s="275"/>
    </row>
    <row r="1355" spans="1:7" ht="17.45" customHeight="1">
      <c r="A1355" s="261" t="s">
        <v>8</v>
      </c>
      <c r="C1355" s="271" t="s">
        <v>1892</v>
      </c>
      <c r="D1355" s="497"/>
      <c r="E1355" s="499">
        <v>4500</v>
      </c>
      <c r="F1355" s="263"/>
      <c r="G1355" s="275"/>
    </row>
    <row r="1356" spans="1:7" ht="17.45" customHeight="1">
      <c r="A1356" s="261" t="s">
        <v>8</v>
      </c>
      <c r="C1356" s="271" t="s">
        <v>1893</v>
      </c>
      <c r="D1356" s="497"/>
      <c r="E1356" s="499">
        <v>22680</v>
      </c>
      <c r="F1356" s="263"/>
      <c r="G1356" s="275"/>
    </row>
    <row r="1357" spans="1:7" ht="17.45" customHeight="1">
      <c r="A1357" s="261" t="s">
        <v>8</v>
      </c>
      <c r="C1357" s="271" t="s">
        <v>1894</v>
      </c>
      <c r="D1357" s="497"/>
      <c r="E1357" s="499">
        <v>2100</v>
      </c>
      <c r="F1357" s="263"/>
      <c r="G1357" s="275"/>
    </row>
    <row r="1358" spans="1:7" ht="17.45" customHeight="1">
      <c r="A1358" s="261" t="s">
        <v>8</v>
      </c>
      <c r="C1358" s="271" t="s">
        <v>1895</v>
      </c>
      <c r="D1358" s="497"/>
      <c r="E1358" s="499">
        <v>10000</v>
      </c>
      <c r="F1358" s="263"/>
      <c r="G1358" s="275"/>
    </row>
    <row r="1359" spans="1:7" ht="17.45" customHeight="1">
      <c r="A1359" s="261" t="s">
        <v>8</v>
      </c>
      <c r="C1359" s="271" t="s">
        <v>1809</v>
      </c>
      <c r="D1359" s="497"/>
      <c r="E1359" s="499">
        <v>17000</v>
      </c>
      <c r="F1359" s="263"/>
      <c r="G1359" s="275"/>
    </row>
    <row r="1360" spans="1:7" ht="17.45" customHeight="1">
      <c r="A1360" s="261" t="s">
        <v>8</v>
      </c>
      <c r="C1360" s="271" t="s">
        <v>1814</v>
      </c>
      <c r="D1360" s="497"/>
      <c r="E1360" s="499">
        <v>15500</v>
      </c>
      <c r="F1360" s="263"/>
      <c r="G1360" s="275"/>
    </row>
    <row r="1361" spans="1:7" ht="17.45" customHeight="1" thickBot="1">
      <c r="A1361" s="261" t="s">
        <v>8</v>
      </c>
      <c r="C1361" s="276" t="s">
        <v>1300</v>
      </c>
      <c r="D1361" s="502">
        <f>SUM(D1308:D1360)-SUM(E1308:E1360)</f>
        <v>1941635</v>
      </c>
      <c r="E1361" s="502">
        <f>SUM(E1308:E1360)-SUM(F1308:F1360)</f>
        <v>4840476</v>
      </c>
      <c r="F1361" s="277"/>
      <c r="G1361" s="283"/>
    </row>
    <row r="1362" spans="1:7">
      <c r="A1362" s="261" t="s">
        <v>8</v>
      </c>
    </row>
    <row r="1363" spans="1:7" ht="12.75" thickBot="1">
      <c r="A1363" s="261" t="s">
        <v>8</v>
      </c>
    </row>
    <row r="1364" spans="1:7" ht="17.45" customHeight="1">
      <c r="A1364" s="261" t="s">
        <v>8</v>
      </c>
      <c r="B1364" s="256" t="s">
        <v>2184</v>
      </c>
      <c r="C1364" s="268" t="s">
        <v>1268</v>
      </c>
      <c r="D1364" s="500">
        <v>5901271</v>
      </c>
      <c r="E1364" s="501"/>
      <c r="F1364" s="269"/>
      <c r="G1364" s="270"/>
    </row>
    <row r="1365" spans="1:7" ht="17.45" customHeight="1">
      <c r="A1365" s="261" t="s">
        <v>8</v>
      </c>
      <c r="B1365" s="257"/>
      <c r="C1365" s="271" t="s">
        <v>1269</v>
      </c>
      <c r="D1365" s="508"/>
      <c r="E1365" s="499">
        <v>408000</v>
      </c>
      <c r="F1365" s="263"/>
      <c r="G1365" s="272" t="s">
        <v>2185</v>
      </c>
    </row>
    <row r="1366" spans="1:7" ht="17.45" customHeight="1">
      <c r="A1366" s="261" t="s">
        <v>8</v>
      </c>
      <c r="C1366" s="271" t="s">
        <v>1270</v>
      </c>
      <c r="D1366" s="508"/>
      <c r="E1366" s="499">
        <v>732000</v>
      </c>
      <c r="F1366" s="263"/>
      <c r="G1366" s="273"/>
    </row>
    <row r="1367" spans="1:7" ht="17.45" customHeight="1">
      <c r="A1367" s="261" t="s">
        <v>8</v>
      </c>
      <c r="C1367" s="271" t="s">
        <v>1670</v>
      </c>
      <c r="D1367" s="508"/>
      <c r="E1367" s="499">
        <v>26010</v>
      </c>
      <c r="F1367" s="263"/>
      <c r="G1367" s="274"/>
    </row>
    <row r="1368" spans="1:7" ht="17.45" customHeight="1">
      <c r="A1368" s="261" t="s">
        <v>8</v>
      </c>
      <c r="C1368" s="271" t="s">
        <v>1672</v>
      </c>
      <c r="D1368" s="508"/>
      <c r="E1368" s="499">
        <v>47330</v>
      </c>
      <c r="F1368" s="263"/>
      <c r="G1368" s="274"/>
    </row>
    <row r="1369" spans="1:7" ht="17.45" customHeight="1">
      <c r="A1369" s="261" t="s">
        <v>8</v>
      </c>
      <c r="C1369" s="271" t="s">
        <v>1673</v>
      </c>
      <c r="D1369" s="508"/>
      <c r="E1369" s="508">
        <v>0</v>
      </c>
      <c r="F1369" s="263"/>
      <c r="G1369" s="274"/>
    </row>
    <row r="1370" spans="1:7" ht="17.45" customHeight="1">
      <c r="A1370" s="261" t="s">
        <v>8</v>
      </c>
      <c r="C1370" s="271" t="s">
        <v>1332</v>
      </c>
      <c r="D1370" s="508"/>
      <c r="E1370" s="499">
        <v>42900</v>
      </c>
      <c r="F1370" s="263"/>
      <c r="G1370" s="275"/>
    </row>
    <row r="1371" spans="1:7" ht="17.45" customHeight="1">
      <c r="A1371" s="261" t="s">
        <v>8</v>
      </c>
      <c r="C1371" s="271" t="s">
        <v>1271</v>
      </c>
      <c r="D1371" s="508"/>
      <c r="E1371" s="508">
        <v>0</v>
      </c>
      <c r="F1371" s="263"/>
      <c r="G1371" s="274"/>
    </row>
    <row r="1372" spans="1:7" ht="17.45" customHeight="1">
      <c r="A1372" s="261" t="s">
        <v>8</v>
      </c>
      <c r="C1372" s="271" t="s">
        <v>1272</v>
      </c>
      <c r="D1372" s="508"/>
      <c r="E1372" s="499">
        <v>6960</v>
      </c>
      <c r="F1372" s="263"/>
      <c r="G1372" s="273"/>
    </row>
    <row r="1373" spans="1:7" ht="17.45" customHeight="1">
      <c r="A1373" s="261" t="s">
        <v>8</v>
      </c>
      <c r="C1373" s="271" t="s">
        <v>1273</v>
      </c>
      <c r="D1373" s="508"/>
      <c r="E1373" s="499">
        <v>29920</v>
      </c>
      <c r="F1373" s="263"/>
      <c r="G1373" s="273"/>
    </row>
    <row r="1374" spans="1:7" ht="17.45" customHeight="1">
      <c r="A1374" s="261" t="s">
        <v>8</v>
      </c>
      <c r="C1374" s="271" t="s">
        <v>1274</v>
      </c>
      <c r="D1374" s="508"/>
      <c r="E1374" s="499">
        <v>9405</v>
      </c>
      <c r="F1374" s="263"/>
      <c r="G1374" s="273"/>
    </row>
    <row r="1375" spans="1:7" ht="17.45" customHeight="1">
      <c r="A1375" s="261" t="s">
        <v>8</v>
      </c>
      <c r="C1375" s="271" t="s">
        <v>1275</v>
      </c>
      <c r="D1375" s="508"/>
      <c r="E1375" s="499">
        <v>26450</v>
      </c>
      <c r="F1375" s="263"/>
      <c r="G1375" s="273"/>
    </row>
    <row r="1376" spans="1:7" ht="17.45" customHeight="1">
      <c r="A1376" s="261" t="s">
        <v>8</v>
      </c>
      <c r="C1376" s="271" t="s">
        <v>2168</v>
      </c>
      <c r="D1376" s="508"/>
      <c r="E1376" s="499">
        <v>18816</v>
      </c>
      <c r="F1376" s="263"/>
      <c r="G1376" s="273"/>
    </row>
    <row r="1377" spans="1:7" ht="17.45" customHeight="1">
      <c r="A1377" s="261" t="s">
        <v>8</v>
      </c>
      <c r="C1377" s="271" t="s">
        <v>1517</v>
      </c>
      <c r="D1377" s="508"/>
      <c r="E1377" s="499">
        <v>23230</v>
      </c>
      <c r="F1377" s="263"/>
      <c r="G1377" s="273"/>
    </row>
    <row r="1378" spans="1:7" ht="17.45" customHeight="1">
      <c r="A1378" s="261" t="s">
        <v>8</v>
      </c>
      <c r="C1378" s="271" t="s">
        <v>1276</v>
      </c>
      <c r="D1378" s="508"/>
      <c r="E1378" s="499">
        <v>251350</v>
      </c>
      <c r="F1378" s="263"/>
      <c r="G1378" s="273"/>
    </row>
    <row r="1379" spans="1:7" ht="17.45" customHeight="1">
      <c r="A1379" s="261" t="s">
        <v>8</v>
      </c>
      <c r="C1379" s="271" t="s">
        <v>1277</v>
      </c>
      <c r="D1379" s="508"/>
      <c r="E1379" s="499">
        <v>43360</v>
      </c>
      <c r="F1379" s="263"/>
      <c r="G1379" s="273"/>
    </row>
    <row r="1380" spans="1:7" ht="17.45" customHeight="1">
      <c r="A1380" s="261" t="s">
        <v>8</v>
      </c>
      <c r="C1380" s="271" t="s">
        <v>1278</v>
      </c>
      <c r="D1380" s="508"/>
      <c r="E1380" s="499">
        <v>200000</v>
      </c>
      <c r="F1380" s="263"/>
      <c r="G1380" s="273"/>
    </row>
    <row r="1381" spans="1:7" ht="17.45" customHeight="1" thickBot="1">
      <c r="A1381" s="261" t="s">
        <v>8</v>
      </c>
      <c r="C1381" s="285" t="s">
        <v>1413</v>
      </c>
      <c r="D1381" s="509"/>
      <c r="E1381" s="507">
        <v>1300000</v>
      </c>
      <c r="F1381" s="286"/>
      <c r="G1381" s="287"/>
    </row>
    <row r="1382" spans="1:7" ht="17.45" customHeight="1">
      <c r="A1382" s="261" t="s">
        <v>8</v>
      </c>
      <c r="C1382" s="268" t="s">
        <v>1280</v>
      </c>
      <c r="D1382" s="501"/>
      <c r="E1382" s="500">
        <f>50000*2</f>
        <v>100000</v>
      </c>
      <c r="F1382" s="269"/>
      <c r="G1382" s="288"/>
    </row>
    <row r="1383" spans="1:7" ht="17.45" customHeight="1">
      <c r="A1383" s="261" t="s">
        <v>8</v>
      </c>
      <c r="C1383" s="271" t="s">
        <v>1549</v>
      </c>
      <c r="D1383" s="497"/>
      <c r="E1383" s="497"/>
      <c r="F1383" s="263"/>
      <c r="G1383" s="275"/>
    </row>
    <row r="1384" spans="1:7" ht="17.45" customHeight="1">
      <c r="A1384" s="261" t="s">
        <v>8</v>
      </c>
      <c r="C1384" s="271" t="s">
        <v>1819</v>
      </c>
      <c r="D1384" s="497"/>
      <c r="E1384" s="497"/>
      <c r="F1384" s="263"/>
      <c r="G1384" s="275"/>
    </row>
    <row r="1385" spans="1:7" ht="17.45" customHeight="1">
      <c r="A1385" s="261" t="s">
        <v>8</v>
      </c>
      <c r="C1385" s="271" t="s">
        <v>391</v>
      </c>
      <c r="D1385" s="497"/>
      <c r="E1385" s="499">
        <v>50000</v>
      </c>
      <c r="F1385" s="263"/>
      <c r="G1385" s="275"/>
    </row>
    <row r="1386" spans="1:7" ht="17.45" customHeight="1">
      <c r="A1386" s="261" t="s">
        <v>8</v>
      </c>
      <c r="C1386" s="271" t="s">
        <v>1484</v>
      </c>
      <c r="D1386" s="497"/>
      <c r="E1386" s="499">
        <v>76000</v>
      </c>
      <c r="F1386" s="263"/>
      <c r="G1386" s="275"/>
    </row>
    <row r="1387" spans="1:7" ht="17.45" customHeight="1">
      <c r="A1387" s="261" t="s">
        <v>8</v>
      </c>
      <c r="C1387" s="271" t="s">
        <v>1687</v>
      </c>
      <c r="D1387" s="497"/>
      <c r="E1387" s="497"/>
      <c r="F1387" s="263"/>
      <c r="G1387" s="275"/>
    </row>
    <row r="1388" spans="1:7" ht="17.45" customHeight="1">
      <c r="A1388" s="261" t="s">
        <v>8</v>
      </c>
      <c r="C1388" s="271" t="s">
        <v>1791</v>
      </c>
      <c r="D1388" s="497"/>
      <c r="E1388" s="497"/>
      <c r="F1388" s="263"/>
      <c r="G1388" s="273"/>
    </row>
    <row r="1389" spans="1:7" ht="17.45" customHeight="1">
      <c r="A1389" s="261" t="s">
        <v>8</v>
      </c>
      <c r="C1389" s="271" t="s">
        <v>1688</v>
      </c>
      <c r="D1389" s="497"/>
      <c r="E1389" s="499">
        <v>50000</v>
      </c>
      <c r="F1389" s="263"/>
      <c r="G1389" s="275"/>
    </row>
    <row r="1390" spans="1:7" ht="17.45" customHeight="1">
      <c r="A1390" s="261" t="s">
        <v>8</v>
      </c>
      <c r="C1390" s="271" t="s">
        <v>1596</v>
      </c>
      <c r="D1390" s="497"/>
      <c r="E1390" s="497"/>
      <c r="F1390" s="263"/>
      <c r="G1390" s="275"/>
    </row>
    <row r="1391" spans="1:7" ht="17.45" customHeight="1">
      <c r="A1391" s="261" t="s">
        <v>8</v>
      </c>
      <c r="C1391" s="271" t="s">
        <v>1595</v>
      </c>
      <c r="D1391" s="497"/>
      <c r="E1391" s="499">
        <v>7500</v>
      </c>
      <c r="F1391" s="263"/>
      <c r="G1391" s="275"/>
    </row>
    <row r="1392" spans="1:7" ht="17.45" customHeight="1">
      <c r="A1392" s="261" t="s">
        <v>8</v>
      </c>
      <c r="C1392" s="271" t="s">
        <v>1613</v>
      </c>
      <c r="D1392" s="497"/>
      <c r="E1392" s="499">
        <f>4900+13500+3600+900</f>
        <v>22900</v>
      </c>
      <c r="F1392" s="263"/>
      <c r="G1392" s="275"/>
    </row>
    <row r="1393" spans="1:7" ht="17.45" customHeight="1">
      <c r="A1393" s="261" t="s">
        <v>8</v>
      </c>
      <c r="C1393" s="271" t="s">
        <v>1569</v>
      </c>
      <c r="D1393" s="497"/>
      <c r="E1393" s="499">
        <v>106640</v>
      </c>
      <c r="F1393" s="263"/>
      <c r="G1393" s="275"/>
    </row>
    <row r="1394" spans="1:7" ht="17.45" customHeight="1">
      <c r="A1394" s="261" t="s">
        <v>8</v>
      </c>
      <c r="C1394" s="271" t="s">
        <v>1618</v>
      </c>
      <c r="D1394" s="497"/>
      <c r="E1394" s="499">
        <f>28940+22730</f>
        <v>51670</v>
      </c>
      <c r="F1394" s="263"/>
      <c r="G1394" s="275"/>
    </row>
    <row r="1395" spans="1:7" ht="17.45" customHeight="1">
      <c r="A1395" s="261" t="s">
        <v>8</v>
      </c>
      <c r="C1395" s="271" t="s">
        <v>1800</v>
      </c>
      <c r="D1395" s="497"/>
      <c r="E1395" s="497"/>
      <c r="F1395" s="263"/>
      <c r="G1395" s="275"/>
    </row>
    <row r="1396" spans="1:7" ht="17.45" customHeight="1" thickBot="1">
      <c r="A1396" s="261" t="s">
        <v>8</v>
      </c>
      <c r="C1396" s="276" t="s">
        <v>1594</v>
      </c>
      <c r="D1396" s="502"/>
      <c r="E1396" s="503">
        <v>23800</v>
      </c>
      <c r="F1396" s="277"/>
      <c r="G1396" s="282"/>
    </row>
    <row r="1397" spans="1:7" ht="17.45" customHeight="1">
      <c r="A1397" s="261" t="s">
        <v>8</v>
      </c>
      <c r="C1397" s="279" t="s">
        <v>1647</v>
      </c>
      <c r="D1397" s="504"/>
      <c r="E1397" s="505">
        <f>2600+17600</f>
        <v>20200</v>
      </c>
      <c r="F1397" s="280"/>
      <c r="G1397" s="289"/>
    </row>
    <row r="1398" spans="1:7" ht="17.45" customHeight="1">
      <c r="A1398" s="261" t="s">
        <v>8</v>
      </c>
      <c r="C1398" s="271" t="s">
        <v>1896</v>
      </c>
      <c r="D1398" s="497"/>
      <c r="E1398" s="499">
        <v>15400</v>
      </c>
      <c r="F1398" s="263"/>
      <c r="G1398" s="273"/>
    </row>
    <row r="1399" spans="1:7" ht="17.45" customHeight="1">
      <c r="A1399" s="261" t="s">
        <v>8</v>
      </c>
      <c r="C1399" s="271" t="s">
        <v>1897</v>
      </c>
      <c r="D1399" s="497"/>
      <c r="E1399" s="499">
        <v>8000</v>
      </c>
      <c r="F1399" s="263"/>
      <c r="G1399" s="275"/>
    </row>
    <row r="1400" spans="1:7" ht="17.45" customHeight="1">
      <c r="A1400" s="261" t="s">
        <v>8</v>
      </c>
      <c r="C1400" s="271" t="s">
        <v>1898</v>
      </c>
      <c r="D1400" s="497"/>
      <c r="E1400" s="499">
        <v>138000</v>
      </c>
      <c r="F1400" s="263"/>
      <c r="G1400" s="275"/>
    </row>
    <row r="1401" spans="1:7" ht="17.45" customHeight="1">
      <c r="A1401" s="261" t="s">
        <v>8</v>
      </c>
      <c r="C1401" s="271" t="s">
        <v>1900</v>
      </c>
      <c r="D1401" s="497"/>
      <c r="E1401" s="499">
        <v>1200</v>
      </c>
      <c r="F1401" s="263"/>
      <c r="G1401" s="272"/>
    </row>
    <row r="1402" spans="1:7" ht="17.45" customHeight="1">
      <c r="A1402" s="261" t="s">
        <v>8</v>
      </c>
      <c r="C1402" s="271" t="s">
        <v>1901</v>
      </c>
      <c r="D1402" s="497"/>
      <c r="E1402" s="499">
        <v>8900</v>
      </c>
      <c r="F1402" s="263"/>
      <c r="G1402" s="275"/>
    </row>
    <row r="1403" spans="1:7" ht="17.45" customHeight="1">
      <c r="A1403" s="261" t="s">
        <v>8</v>
      </c>
      <c r="C1403" s="271" t="s">
        <v>1902</v>
      </c>
      <c r="D1403" s="497"/>
      <c r="E1403" s="499">
        <v>300000</v>
      </c>
      <c r="F1403" s="263"/>
      <c r="G1403" s="273"/>
    </row>
    <row r="1404" spans="1:7" ht="17.45" customHeight="1">
      <c r="A1404" s="261" t="s">
        <v>8</v>
      </c>
      <c r="C1404" s="271" t="s">
        <v>1903</v>
      </c>
      <c r="D1404" s="497"/>
      <c r="E1404" s="499">
        <v>32700</v>
      </c>
      <c r="F1404" s="263"/>
      <c r="G1404" s="275"/>
    </row>
    <row r="1405" spans="1:7" ht="17.45" customHeight="1">
      <c r="A1405" s="261" t="s">
        <v>8</v>
      </c>
      <c r="C1405" s="271" t="s">
        <v>1906</v>
      </c>
      <c r="D1405" s="497"/>
      <c r="E1405" s="499">
        <v>5000</v>
      </c>
      <c r="F1405" s="263"/>
      <c r="G1405" s="275"/>
    </row>
    <row r="1406" spans="1:7" ht="17.45" customHeight="1">
      <c r="A1406" s="261" t="s">
        <v>8</v>
      </c>
      <c r="C1406" s="271" t="s">
        <v>1908</v>
      </c>
      <c r="D1406" s="497"/>
      <c r="E1406" s="499">
        <v>129070</v>
      </c>
      <c r="F1406" s="263"/>
      <c r="G1406" s="275"/>
    </row>
    <row r="1407" spans="1:7" ht="17.45" customHeight="1">
      <c r="A1407" s="261" t="s">
        <v>8</v>
      </c>
      <c r="C1407" s="271" t="s">
        <v>1909</v>
      </c>
      <c r="D1407" s="497"/>
      <c r="E1407" s="499">
        <v>144610</v>
      </c>
      <c r="F1407" s="263"/>
      <c r="G1407" s="275"/>
    </row>
    <row r="1408" spans="1:7" ht="17.45" customHeight="1">
      <c r="A1408" s="261" t="s">
        <v>8</v>
      </c>
      <c r="C1408" s="271" t="s">
        <v>1910</v>
      </c>
      <c r="D1408" s="497"/>
      <c r="E1408" s="499">
        <v>13000</v>
      </c>
      <c r="F1408" s="263"/>
      <c r="G1408" s="275"/>
    </row>
    <row r="1409" spans="1:7" ht="17.45" customHeight="1">
      <c r="A1409" s="261" t="s">
        <v>8</v>
      </c>
      <c r="C1409" s="271" t="s">
        <v>1911</v>
      </c>
      <c r="D1409" s="497"/>
      <c r="E1409" s="499">
        <v>6000</v>
      </c>
      <c r="F1409" s="263"/>
      <c r="G1409" s="275"/>
    </row>
    <row r="1410" spans="1:7" ht="17.45" customHeight="1">
      <c r="A1410" s="261" t="s">
        <v>8</v>
      </c>
      <c r="C1410" s="271" t="s">
        <v>1912</v>
      </c>
      <c r="D1410" s="497"/>
      <c r="E1410" s="499">
        <v>56800</v>
      </c>
      <c r="F1410" s="263"/>
      <c r="G1410" s="275"/>
    </row>
    <row r="1411" spans="1:7" ht="17.45" customHeight="1">
      <c r="A1411" s="261" t="s">
        <v>8</v>
      </c>
      <c r="C1411" s="271" t="s">
        <v>1913</v>
      </c>
      <c r="D1411" s="497"/>
      <c r="E1411" s="499">
        <v>6000</v>
      </c>
      <c r="F1411" s="263"/>
      <c r="G1411" s="275"/>
    </row>
    <row r="1412" spans="1:7" ht="17.45" customHeight="1">
      <c r="A1412" s="261" t="s">
        <v>8</v>
      </c>
      <c r="C1412" s="271" t="s">
        <v>1914</v>
      </c>
      <c r="D1412" s="497"/>
      <c r="E1412" s="499">
        <v>6500</v>
      </c>
      <c r="F1412" s="263"/>
      <c r="G1412" s="275"/>
    </row>
    <row r="1413" spans="1:7" ht="17.45" customHeight="1">
      <c r="A1413" s="261" t="s">
        <v>8</v>
      </c>
      <c r="C1413" s="271" t="s">
        <v>1602</v>
      </c>
      <c r="D1413" s="499">
        <v>1839</v>
      </c>
      <c r="E1413" s="497"/>
      <c r="F1413" s="263"/>
      <c r="G1413" s="275"/>
    </row>
    <row r="1414" spans="1:7" ht="17.45" customHeight="1">
      <c r="A1414" s="261" t="s">
        <v>8</v>
      </c>
      <c r="C1414" s="271" t="s">
        <v>1915</v>
      </c>
      <c r="D1414" s="497"/>
      <c r="E1414" s="499">
        <v>866550</v>
      </c>
      <c r="F1414" s="263"/>
      <c r="G1414" s="275"/>
    </row>
    <row r="1415" spans="1:7" ht="17.45" customHeight="1">
      <c r="A1415" s="261" t="s">
        <v>8</v>
      </c>
      <c r="C1415" s="271" t="s">
        <v>1916</v>
      </c>
      <c r="D1415" s="497"/>
      <c r="E1415" s="499">
        <v>56600</v>
      </c>
      <c r="F1415" s="263"/>
      <c r="G1415" s="275"/>
    </row>
    <row r="1416" spans="1:7" ht="17.45" customHeight="1" thickBot="1">
      <c r="A1416" s="261" t="s">
        <v>8</v>
      </c>
      <c r="C1416" s="276" t="s">
        <v>1300</v>
      </c>
      <c r="D1416" s="502">
        <f>SUM(D1364:D1415)-SUM(E1364:E1415)</f>
        <v>434339</v>
      </c>
      <c r="E1416" s="502">
        <f>SUM(E1364:E1415)-SUM(F1364:F1415)</f>
        <v>5468771</v>
      </c>
      <c r="F1416" s="277"/>
      <c r="G1416" s="283"/>
    </row>
    <row r="1417" spans="1:7">
      <c r="A1417" s="261" t="s">
        <v>8</v>
      </c>
    </row>
    <row r="1418" spans="1:7" ht="12.75" thickBot="1">
      <c r="A1418" s="261" t="s">
        <v>8</v>
      </c>
    </row>
    <row r="1419" spans="1:7" ht="17.45" customHeight="1">
      <c r="A1419" s="261" t="s">
        <v>8</v>
      </c>
      <c r="B1419" s="256" t="s">
        <v>2186</v>
      </c>
      <c r="C1419" s="268" t="s">
        <v>1268</v>
      </c>
      <c r="D1419" s="500">
        <v>5895911</v>
      </c>
      <c r="E1419" s="501"/>
      <c r="F1419" s="269"/>
      <c r="G1419" s="270"/>
    </row>
    <row r="1420" spans="1:7" ht="17.45" customHeight="1">
      <c r="A1420" s="261" t="s">
        <v>8</v>
      </c>
      <c r="B1420" s="257"/>
      <c r="C1420" s="271" t="s">
        <v>1269</v>
      </c>
      <c r="D1420" s="508"/>
      <c r="E1420" s="499">
        <v>415000</v>
      </c>
      <c r="F1420" s="263"/>
      <c r="G1420" s="272" t="s">
        <v>2187</v>
      </c>
    </row>
    <row r="1421" spans="1:7" ht="17.45" customHeight="1">
      <c r="A1421" s="261" t="s">
        <v>8</v>
      </c>
      <c r="C1421" s="271" t="s">
        <v>1270</v>
      </c>
      <c r="D1421" s="508"/>
      <c r="E1421" s="499">
        <v>737000</v>
      </c>
      <c r="F1421" s="263"/>
      <c r="G1421" s="273"/>
    </row>
    <row r="1422" spans="1:7" ht="17.45" customHeight="1">
      <c r="A1422" s="261" t="s">
        <v>8</v>
      </c>
      <c r="C1422" s="271" t="s">
        <v>1919</v>
      </c>
      <c r="D1422" s="508"/>
      <c r="E1422" s="499">
        <v>300000</v>
      </c>
      <c r="F1422" s="263"/>
      <c r="G1422" s="273"/>
    </row>
    <row r="1423" spans="1:7" ht="17.45" customHeight="1">
      <c r="A1423" s="261" t="s">
        <v>8</v>
      </c>
      <c r="C1423" s="271" t="s">
        <v>1670</v>
      </c>
      <c r="D1423" s="508"/>
      <c r="E1423" s="499">
        <v>26010</v>
      </c>
      <c r="F1423" s="263"/>
      <c r="G1423" s="274"/>
    </row>
    <row r="1424" spans="1:7" ht="17.45" customHeight="1">
      <c r="A1424" s="261" t="s">
        <v>8</v>
      </c>
      <c r="C1424" s="271" t="s">
        <v>1672</v>
      </c>
      <c r="D1424" s="508"/>
      <c r="E1424" s="499">
        <v>61830</v>
      </c>
      <c r="F1424" s="263"/>
      <c r="G1424" s="274"/>
    </row>
    <row r="1425" spans="1:7" ht="17.45" customHeight="1">
      <c r="A1425" s="261" t="s">
        <v>8</v>
      </c>
      <c r="C1425" s="271" t="s">
        <v>1673</v>
      </c>
      <c r="D1425" s="508"/>
      <c r="E1425" s="497">
        <v>0</v>
      </c>
      <c r="F1425" s="263"/>
      <c r="G1425" s="274"/>
    </row>
    <row r="1426" spans="1:7" ht="17.45" customHeight="1">
      <c r="A1426" s="261" t="s">
        <v>8</v>
      </c>
      <c r="C1426" s="271" t="s">
        <v>1332</v>
      </c>
      <c r="D1426" s="508"/>
      <c r="E1426" s="499">
        <v>42900</v>
      </c>
      <c r="F1426" s="263"/>
      <c r="G1426" s="275"/>
    </row>
    <row r="1427" spans="1:7" ht="17.45" customHeight="1">
      <c r="A1427" s="261" t="s">
        <v>8</v>
      </c>
      <c r="C1427" s="271" t="s">
        <v>1271</v>
      </c>
      <c r="D1427" s="508"/>
      <c r="E1427" s="497">
        <v>0</v>
      </c>
      <c r="F1427" s="263"/>
      <c r="G1427" s="274"/>
    </row>
    <row r="1428" spans="1:7" ht="17.45" customHeight="1">
      <c r="A1428" s="261" t="s">
        <v>8</v>
      </c>
      <c r="C1428" s="271" t="s">
        <v>1272</v>
      </c>
      <c r="D1428" s="508"/>
      <c r="E1428" s="499">
        <v>6960</v>
      </c>
      <c r="F1428" s="263"/>
      <c r="G1428" s="273"/>
    </row>
    <row r="1429" spans="1:7" ht="17.45" customHeight="1">
      <c r="A1429" s="261" t="s">
        <v>8</v>
      </c>
      <c r="C1429" s="271" t="s">
        <v>1273</v>
      </c>
      <c r="D1429" s="508"/>
      <c r="E1429" s="499">
        <v>29920</v>
      </c>
      <c r="F1429" s="263"/>
      <c r="G1429" s="273"/>
    </row>
    <row r="1430" spans="1:7" ht="17.45" customHeight="1">
      <c r="A1430" s="261" t="s">
        <v>8</v>
      </c>
      <c r="C1430" s="271" t="s">
        <v>1274</v>
      </c>
      <c r="D1430" s="508"/>
      <c r="E1430" s="499">
        <v>9405</v>
      </c>
      <c r="F1430" s="263"/>
      <c r="G1430" s="273"/>
    </row>
    <row r="1431" spans="1:7" ht="17.45" customHeight="1">
      <c r="A1431" s="261" t="s">
        <v>8</v>
      </c>
      <c r="C1431" s="271" t="s">
        <v>1275</v>
      </c>
      <c r="D1431" s="508"/>
      <c r="E1431" s="499">
        <v>26450</v>
      </c>
      <c r="F1431" s="263"/>
      <c r="G1431" s="273"/>
    </row>
    <row r="1432" spans="1:7" ht="17.45" customHeight="1">
      <c r="A1432" s="261" t="s">
        <v>8</v>
      </c>
      <c r="C1432" s="271" t="s">
        <v>2168</v>
      </c>
      <c r="D1432" s="508"/>
      <c r="E1432" s="499">
        <v>18816</v>
      </c>
      <c r="F1432" s="263"/>
      <c r="G1432" s="273"/>
    </row>
    <row r="1433" spans="1:7" ht="17.45" customHeight="1">
      <c r="A1433" s="261" t="s">
        <v>8</v>
      </c>
      <c r="C1433" s="271" t="s">
        <v>1517</v>
      </c>
      <c r="D1433" s="508"/>
      <c r="E1433" s="499">
        <v>23230</v>
      </c>
      <c r="F1433" s="263"/>
      <c r="G1433" s="273"/>
    </row>
    <row r="1434" spans="1:7" ht="17.45" customHeight="1">
      <c r="A1434" s="261" t="s">
        <v>8</v>
      </c>
      <c r="C1434" s="271" t="s">
        <v>1276</v>
      </c>
      <c r="D1434" s="508"/>
      <c r="E1434" s="499">
        <v>263330</v>
      </c>
      <c r="F1434" s="263"/>
      <c r="G1434" s="273"/>
    </row>
    <row r="1435" spans="1:7" ht="17.45" customHeight="1">
      <c r="A1435" s="261" t="s">
        <v>8</v>
      </c>
      <c r="C1435" s="271" t="s">
        <v>1277</v>
      </c>
      <c r="D1435" s="508"/>
      <c r="E1435" s="499">
        <v>62200</v>
      </c>
      <c r="F1435" s="263"/>
      <c r="G1435" s="273"/>
    </row>
    <row r="1436" spans="1:7" ht="17.45" customHeight="1">
      <c r="A1436" s="261" t="s">
        <v>8</v>
      </c>
      <c r="C1436" s="271" t="s">
        <v>1278</v>
      </c>
      <c r="D1436" s="508"/>
      <c r="E1436" s="499">
        <v>200000</v>
      </c>
      <c r="F1436" s="263"/>
      <c r="G1436" s="273"/>
    </row>
    <row r="1437" spans="1:7" ht="17.45" customHeight="1">
      <c r="A1437" s="261" t="s">
        <v>8</v>
      </c>
      <c r="C1437" s="285" t="s">
        <v>1413</v>
      </c>
      <c r="D1437" s="509"/>
      <c r="E1437" s="507">
        <v>1300000</v>
      </c>
      <c r="F1437" s="286"/>
      <c r="G1437" s="287"/>
    </row>
    <row r="1438" spans="1:7" ht="17.45" customHeight="1" thickBot="1">
      <c r="A1438" s="261" t="s">
        <v>8</v>
      </c>
      <c r="C1438" s="271" t="s">
        <v>1942</v>
      </c>
      <c r="D1438" s="508"/>
      <c r="E1438" s="499">
        <v>20000</v>
      </c>
      <c r="F1438" s="263"/>
      <c r="G1438" s="273"/>
    </row>
    <row r="1439" spans="1:7" ht="17.45" customHeight="1">
      <c r="A1439" s="261" t="s">
        <v>8</v>
      </c>
      <c r="C1439" s="268" t="s">
        <v>1280</v>
      </c>
      <c r="D1439" s="501"/>
      <c r="E1439" s="500">
        <v>100000</v>
      </c>
      <c r="F1439" s="269"/>
      <c r="G1439" s="288"/>
    </row>
    <row r="1440" spans="1:7" ht="17.45" customHeight="1">
      <c r="A1440" s="261" t="s">
        <v>8</v>
      </c>
      <c r="C1440" s="271" t="s">
        <v>1549</v>
      </c>
      <c r="D1440" s="497"/>
      <c r="E1440" s="497"/>
      <c r="F1440" s="263"/>
      <c r="G1440" s="275"/>
    </row>
    <row r="1441" spans="1:7" ht="17.45" customHeight="1">
      <c r="A1441" s="261" t="s">
        <v>8</v>
      </c>
      <c r="C1441" s="271" t="s">
        <v>1819</v>
      </c>
      <c r="D1441" s="497"/>
      <c r="E1441" s="497"/>
      <c r="F1441" s="263"/>
      <c r="G1441" s="275"/>
    </row>
    <row r="1442" spans="1:7" ht="17.45" customHeight="1">
      <c r="A1442" s="261" t="s">
        <v>8</v>
      </c>
      <c r="C1442" s="271" t="s">
        <v>391</v>
      </c>
      <c r="D1442" s="497"/>
      <c r="E1442" s="497"/>
      <c r="F1442" s="263"/>
      <c r="G1442" s="275"/>
    </row>
    <row r="1443" spans="1:7" ht="17.45" customHeight="1">
      <c r="A1443" s="261" t="s">
        <v>8</v>
      </c>
      <c r="C1443" s="271" t="s">
        <v>1934</v>
      </c>
      <c r="D1443" s="497"/>
      <c r="E1443" s="499">
        <v>50000</v>
      </c>
      <c r="F1443" s="263"/>
      <c r="G1443" s="275"/>
    </row>
    <row r="1444" spans="1:7" ht="17.45" customHeight="1">
      <c r="A1444" s="261" t="s">
        <v>8</v>
      </c>
      <c r="C1444" s="271" t="s">
        <v>1484</v>
      </c>
      <c r="D1444" s="497"/>
      <c r="E1444" s="499">
        <v>38000</v>
      </c>
      <c r="F1444" s="263"/>
      <c r="G1444" s="275"/>
    </row>
    <row r="1445" spans="1:7" ht="17.45" customHeight="1">
      <c r="A1445" s="261" t="s">
        <v>8</v>
      </c>
      <c r="C1445" s="271" t="s">
        <v>1687</v>
      </c>
      <c r="D1445" s="497"/>
      <c r="E1445" s="497"/>
      <c r="F1445" s="263"/>
      <c r="G1445" s="275"/>
    </row>
    <row r="1446" spans="1:7" ht="17.45" customHeight="1">
      <c r="A1446" s="261" t="s">
        <v>8</v>
      </c>
      <c r="C1446" s="271" t="s">
        <v>1791</v>
      </c>
      <c r="D1446" s="497"/>
      <c r="E1446" s="497"/>
      <c r="F1446" s="263"/>
      <c r="G1446" s="273"/>
    </row>
    <row r="1447" spans="1:7" ht="17.45" customHeight="1">
      <c r="A1447" s="261" t="s">
        <v>8</v>
      </c>
      <c r="C1447" s="271" t="s">
        <v>1688</v>
      </c>
      <c r="D1447" s="497"/>
      <c r="E1447" s="497"/>
      <c r="F1447" s="263"/>
      <c r="G1447" s="275"/>
    </row>
    <row r="1448" spans="1:7" ht="17.45" customHeight="1">
      <c r="A1448" s="261" t="s">
        <v>8</v>
      </c>
      <c r="C1448" s="271" t="s">
        <v>1596</v>
      </c>
      <c r="D1448" s="497"/>
      <c r="E1448" s="499">
        <v>2700</v>
      </c>
      <c r="F1448" s="263"/>
      <c r="G1448" s="275"/>
    </row>
    <row r="1449" spans="1:7" ht="17.45" customHeight="1">
      <c r="A1449" s="261" t="s">
        <v>8</v>
      </c>
      <c r="C1449" s="271" t="s">
        <v>1595</v>
      </c>
      <c r="D1449" s="497"/>
      <c r="E1449" s="499">
        <v>3200</v>
      </c>
      <c r="F1449" s="263"/>
      <c r="G1449" s="275"/>
    </row>
    <row r="1450" spans="1:7" ht="17.45" customHeight="1">
      <c r="A1450" s="261" t="s">
        <v>8</v>
      </c>
      <c r="C1450" s="271" t="s">
        <v>1613</v>
      </c>
      <c r="D1450" s="497"/>
      <c r="E1450" s="499">
        <f>12600+5200</f>
        <v>17800</v>
      </c>
      <c r="F1450" s="263"/>
      <c r="G1450" s="275"/>
    </row>
    <row r="1451" spans="1:7" ht="17.45" customHeight="1">
      <c r="A1451" s="261" t="s">
        <v>8</v>
      </c>
      <c r="C1451" s="271" t="s">
        <v>1569</v>
      </c>
      <c r="D1451" s="497"/>
      <c r="E1451" s="499">
        <v>94640</v>
      </c>
      <c r="F1451" s="263"/>
      <c r="G1451" s="275"/>
    </row>
    <row r="1452" spans="1:7" ht="17.45" customHeight="1">
      <c r="A1452" s="261" t="s">
        <v>8</v>
      </c>
      <c r="C1452" s="271" t="s">
        <v>1618</v>
      </c>
      <c r="D1452" s="497"/>
      <c r="E1452" s="499">
        <v>13350</v>
      </c>
      <c r="F1452" s="263"/>
      <c r="G1452" s="275"/>
    </row>
    <row r="1453" spans="1:7" ht="17.45" customHeight="1">
      <c r="A1453" s="261" t="s">
        <v>8</v>
      </c>
      <c r="C1453" s="271" t="s">
        <v>1800</v>
      </c>
      <c r="D1453" s="497"/>
      <c r="E1453" s="497"/>
      <c r="F1453" s="263"/>
      <c r="G1453" s="275"/>
    </row>
    <row r="1454" spans="1:7" ht="17.45" customHeight="1" thickBot="1">
      <c r="A1454" s="261" t="s">
        <v>8</v>
      </c>
      <c r="C1454" s="276" t="s">
        <v>1594</v>
      </c>
      <c r="D1454" s="502"/>
      <c r="E1454" s="503">
        <v>19000</v>
      </c>
      <c r="F1454" s="277"/>
      <c r="G1454" s="282"/>
    </row>
    <row r="1455" spans="1:7" ht="17.45" customHeight="1">
      <c r="A1455" s="261" t="s">
        <v>8</v>
      </c>
      <c r="C1455" s="279" t="s">
        <v>1770</v>
      </c>
      <c r="D1455" s="504"/>
      <c r="E1455" s="505">
        <v>3000</v>
      </c>
      <c r="F1455" s="280"/>
      <c r="G1455" s="281"/>
    </row>
    <row r="1456" spans="1:7" ht="17.45" customHeight="1">
      <c r="A1456" s="261" t="s">
        <v>8</v>
      </c>
      <c r="C1456" s="271" t="s">
        <v>1776</v>
      </c>
      <c r="D1456" s="497"/>
      <c r="E1456" s="499">
        <v>5400</v>
      </c>
      <c r="F1456" s="263"/>
      <c r="G1456" s="275"/>
    </row>
    <row r="1457" spans="1:7" ht="17.45" customHeight="1">
      <c r="A1457" s="261" t="s">
        <v>8</v>
      </c>
      <c r="C1457" s="271" t="s">
        <v>1920</v>
      </c>
      <c r="D1457" s="497"/>
      <c r="E1457" s="499">
        <v>11500</v>
      </c>
      <c r="F1457" s="263"/>
      <c r="G1457" s="275"/>
    </row>
    <row r="1458" spans="1:7" ht="17.45" customHeight="1">
      <c r="A1458" s="261" t="s">
        <v>8</v>
      </c>
      <c r="C1458" s="271" t="s">
        <v>1921</v>
      </c>
      <c r="D1458" s="497"/>
      <c r="E1458" s="499">
        <f>-25800-103400-99000-24700+123900-260400+129200+130200+130200+123700+129200+260400+129200-130200</f>
        <v>512500</v>
      </c>
      <c r="F1458" s="263"/>
      <c r="G1458" s="275"/>
    </row>
    <row r="1459" spans="1:7" ht="17.45" customHeight="1">
      <c r="A1459" s="261" t="s">
        <v>8</v>
      </c>
      <c r="C1459" s="271" t="s">
        <v>1922</v>
      </c>
      <c r="D1459" s="497"/>
      <c r="E1459" s="499">
        <v>12000</v>
      </c>
      <c r="F1459" s="263"/>
      <c r="G1459" s="275"/>
    </row>
    <row r="1460" spans="1:7" ht="17.45" customHeight="1">
      <c r="A1460" s="261" t="s">
        <v>8</v>
      </c>
      <c r="C1460" s="271" t="s">
        <v>1923</v>
      </c>
      <c r="D1460" s="497"/>
      <c r="E1460" s="499">
        <v>3681280</v>
      </c>
      <c r="F1460" s="263"/>
      <c r="G1460" s="275"/>
    </row>
    <row r="1461" spans="1:7" ht="17.45" customHeight="1">
      <c r="A1461" s="261" t="s">
        <v>8</v>
      </c>
      <c r="C1461" s="271" t="s">
        <v>1924</v>
      </c>
      <c r="D1461" s="497"/>
      <c r="E1461" s="499">
        <v>34000</v>
      </c>
      <c r="F1461" s="263"/>
      <c r="G1461" s="275"/>
    </row>
    <row r="1462" spans="1:7" ht="17.45" customHeight="1">
      <c r="A1462" s="261" t="s">
        <v>8</v>
      </c>
      <c r="C1462" s="271" t="s">
        <v>1925</v>
      </c>
      <c r="D1462" s="497"/>
      <c r="E1462" s="499">
        <v>40000</v>
      </c>
      <c r="F1462" s="263"/>
      <c r="G1462" s="275"/>
    </row>
    <row r="1463" spans="1:7" ht="17.45" customHeight="1">
      <c r="A1463" s="261" t="s">
        <v>8</v>
      </c>
      <c r="C1463" s="271" t="s">
        <v>1801</v>
      </c>
      <c r="D1463" s="497"/>
      <c r="E1463" s="499">
        <v>2000</v>
      </c>
      <c r="F1463" s="263"/>
      <c r="G1463" s="275"/>
    </row>
    <row r="1464" spans="1:7" ht="17.45" customHeight="1">
      <c r="A1464" s="261" t="s">
        <v>8</v>
      </c>
      <c r="C1464" s="271" t="s">
        <v>1810</v>
      </c>
      <c r="D1464" s="497"/>
      <c r="E1464" s="499">
        <v>1000</v>
      </c>
      <c r="F1464" s="263"/>
      <c r="G1464" s="275"/>
    </row>
    <row r="1465" spans="1:7" ht="17.45" customHeight="1">
      <c r="A1465" s="261" t="s">
        <v>8</v>
      </c>
      <c r="C1465" s="271" t="s">
        <v>1926</v>
      </c>
      <c r="D1465" s="497"/>
      <c r="E1465" s="499">
        <v>12000</v>
      </c>
      <c r="F1465" s="263"/>
      <c r="G1465" s="275"/>
    </row>
    <row r="1466" spans="1:7" ht="17.45" customHeight="1">
      <c r="A1466" s="261" t="s">
        <v>8</v>
      </c>
      <c r="C1466" s="271" t="s">
        <v>1927</v>
      </c>
      <c r="D1466" s="497"/>
      <c r="E1466" s="499">
        <v>150000</v>
      </c>
      <c r="F1466" s="263"/>
      <c r="G1466" s="275"/>
    </row>
    <row r="1467" spans="1:7" ht="17.45" customHeight="1">
      <c r="A1467" s="261" t="s">
        <v>8</v>
      </c>
      <c r="C1467" s="271" t="s">
        <v>1664</v>
      </c>
      <c r="D1467" s="497"/>
      <c r="E1467" s="499">
        <v>2000</v>
      </c>
      <c r="F1467" s="263"/>
      <c r="G1467" s="275"/>
    </row>
    <row r="1468" spans="1:7" ht="17.45" customHeight="1">
      <c r="A1468" s="261" t="s">
        <v>8</v>
      </c>
      <c r="C1468" s="271" t="s">
        <v>1929</v>
      </c>
      <c r="D1468" s="497"/>
      <c r="E1468" s="499">
        <v>600000</v>
      </c>
      <c r="F1468" s="263"/>
      <c r="G1468" s="275"/>
    </row>
    <row r="1469" spans="1:7" ht="17.45" customHeight="1">
      <c r="A1469" s="261" t="s">
        <v>8</v>
      </c>
      <c r="C1469" s="271" t="s">
        <v>1930</v>
      </c>
      <c r="D1469" s="497"/>
      <c r="E1469" s="499">
        <v>51720</v>
      </c>
      <c r="F1469" s="263"/>
      <c r="G1469" s="275"/>
    </row>
    <row r="1470" spans="1:7" ht="17.45" customHeight="1">
      <c r="A1470" s="261" t="s">
        <v>8</v>
      </c>
      <c r="C1470" s="271" t="s">
        <v>1931</v>
      </c>
      <c r="D1470" s="497"/>
      <c r="E1470" s="499">
        <v>3600</v>
      </c>
      <c r="F1470" s="263"/>
      <c r="G1470" s="275"/>
    </row>
    <row r="1471" spans="1:7" ht="17.45" customHeight="1">
      <c r="A1471" s="261" t="s">
        <v>8</v>
      </c>
      <c r="C1471" s="271" t="s">
        <v>1932</v>
      </c>
      <c r="D1471" s="497"/>
      <c r="E1471" s="499">
        <v>3900</v>
      </c>
      <c r="F1471" s="263"/>
      <c r="G1471" s="275"/>
    </row>
    <row r="1472" spans="1:7" ht="17.45" customHeight="1">
      <c r="A1472" s="261" t="s">
        <v>8</v>
      </c>
      <c r="C1472" s="271" t="s">
        <v>1933</v>
      </c>
      <c r="D1472" s="497"/>
      <c r="E1472" s="499">
        <v>16000</v>
      </c>
      <c r="F1472" s="263"/>
      <c r="G1472" s="275"/>
    </row>
    <row r="1473" spans="1:7" ht="17.45" customHeight="1">
      <c r="A1473" s="261" t="s">
        <v>8</v>
      </c>
      <c r="C1473" s="271" t="s">
        <v>1938</v>
      </c>
      <c r="D1473" s="497"/>
      <c r="E1473" s="499">
        <v>214720</v>
      </c>
      <c r="F1473" s="263"/>
      <c r="G1473" s="275"/>
    </row>
    <row r="1474" spans="1:7" ht="17.45" customHeight="1">
      <c r="A1474" s="261" t="s">
        <v>8</v>
      </c>
      <c r="C1474" s="271" t="s">
        <v>1939</v>
      </c>
      <c r="D1474" s="497"/>
      <c r="E1474" s="499">
        <v>33000</v>
      </c>
      <c r="F1474" s="263"/>
      <c r="G1474" s="275"/>
    </row>
    <row r="1475" spans="1:7" ht="17.45" customHeight="1">
      <c r="A1475" s="261" t="s">
        <v>8</v>
      </c>
      <c r="C1475" s="271" t="s">
        <v>1584</v>
      </c>
      <c r="D1475" s="497"/>
      <c r="E1475" s="499">
        <v>19000</v>
      </c>
      <c r="F1475" s="263"/>
      <c r="G1475" s="275"/>
    </row>
    <row r="1476" spans="1:7" ht="17.45" customHeight="1">
      <c r="A1476" s="261" t="s">
        <v>8</v>
      </c>
      <c r="C1476" s="271" t="s">
        <v>1940</v>
      </c>
      <c r="D1476" s="497"/>
      <c r="E1476" s="499">
        <v>130000</v>
      </c>
      <c r="F1476" s="263"/>
      <c r="G1476" s="275"/>
    </row>
    <row r="1477" spans="1:7" ht="17.45" customHeight="1">
      <c r="A1477" s="261" t="s">
        <v>8</v>
      </c>
      <c r="C1477" s="271" t="s">
        <v>1941</v>
      </c>
      <c r="D1477" s="497"/>
      <c r="E1477" s="499">
        <v>23700</v>
      </c>
      <c r="F1477" s="263"/>
      <c r="G1477" s="275"/>
    </row>
    <row r="1478" spans="1:7" ht="17.45" customHeight="1">
      <c r="A1478" s="261" t="s">
        <v>8</v>
      </c>
      <c r="C1478" s="271" t="s">
        <v>1943</v>
      </c>
      <c r="D1478" s="497"/>
      <c r="E1478" s="499">
        <v>6000</v>
      </c>
      <c r="F1478" s="263"/>
      <c r="G1478" s="275"/>
    </row>
    <row r="1479" spans="1:7" ht="17.45" customHeight="1">
      <c r="A1479" s="261" t="s">
        <v>8</v>
      </c>
      <c r="C1479" s="271" t="s">
        <v>1944</v>
      </c>
      <c r="D1479" s="497"/>
      <c r="E1479" s="499">
        <v>59000</v>
      </c>
      <c r="F1479" s="263"/>
      <c r="G1479" s="275"/>
    </row>
    <row r="1480" spans="1:7" ht="17.45" customHeight="1">
      <c r="A1480" s="261" t="s">
        <v>8</v>
      </c>
      <c r="C1480" s="271" t="s">
        <v>1945</v>
      </c>
      <c r="D1480" s="497"/>
      <c r="E1480" s="499">
        <v>4300</v>
      </c>
      <c r="F1480" s="263"/>
      <c r="G1480" s="275"/>
    </row>
    <row r="1481" spans="1:7" ht="17.45" customHeight="1">
      <c r="A1481" s="261" t="s">
        <v>8</v>
      </c>
      <c r="C1481" s="271" t="s">
        <v>1946</v>
      </c>
      <c r="D1481" s="497"/>
      <c r="E1481" s="499">
        <v>8000</v>
      </c>
      <c r="F1481" s="263"/>
      <c r="G1481" s="275"/>
    </row>
    <row r="1482" spans="1:7" ht="17.45" customHeight="1">
      <c r="A1482" s="261" t="s">
        <v>8</v>
      </c>
      <c r="C1482" s="271" t="s">
        <v>1947</v>
      </c>
      <c r="D1482" s="497"/>
      <c r="E1482" s="499">
        <v>3000</v>
      </c>
      <c r="F1482" s="263"/>
      <c r="G1482" s="275"/>
    </row>
    <row r="1483" spans="1:7" ht="17.45" customHeight="1">
      <c r="A1483" s="261" t="s">
        <v>8</v>
      </c>
      <c r="C1483" s="271" t="s">
        <v>1948</v>
      </c>
      <c r="D1483" s="497"/>
      <c r="E1483" s="499">
        <v>39000</v>
      </c>
      <c r="F1483" s="263"/>
      <c r="G1483" s="275"/>
    </row>
    <row r="1484" spans="1:7" ht="17.45" customHeight="1">
      <c r="A1484" s="261" t="s">
        <v>8</v>
      </c>
      <c r="C1484" s="271" t="s">
        <v>1949</v>
      </c>
      <c r="D1484" s="497"/>
      <c r="E1484" s="499">
        <v>11000</v>
      </c>
      <c r="F1484" s="263"/>
      <c r="G1484" s="275"/>
    </row>
    <row r="1485" spans="1:7" ht="17.45" customHeight="1">
      <c r="A1485" s="261" t="s">
        <v>8</v>
      </c>
      <c r="C1485" s="271" t="s">
        <v>1952</v>
      </c>
      <c r="D1485" s="497"/>
      <c r="E1485" s="499">
        <v>15100</v>
      </c>
      <c r="F1485" s="263"/>
      <c r="G1485" s="275"/>
    </row>
    <row r="1486" spans="1:7" ht="17.45" customHeight="1">
      <c r="A1486" s="261" t="s">
        <v>8</v>
      </c>
      <c r="C1486" s="271" t="s">
        <v>1963</v>
      </c>
      <c r="D1486" s="497"/>
      <c r="E1486" s="499">
        <v>600000</v>
      </c>
      <c r="F1486" s="263"/>
      <c r="G1486" s="275"/>
    </row>
    <row r="1487" spans="1:7" ht="17.45" customHeight="1">
      <c r="A1487" s="261" t="s">
        <v>8</v>
      </c>
      <c r="C1487" s="271" t="s">
        <v>2016</v>
      </c>
      <c r="D1487" s="497"/>
      <c r="E1487" s="499">
        <v>39800</v>
      </c>
      <c r="F1487" s="263"/>
      <c r="G1487" s="275"/>
    </row>
    <row r="1488" spans="1:7" ht="17.45" customHeight="1">
      <c r="A1488" s="261" t="s">
        <v>8</v>
      </c>
      <c r="C1488" s="271" t="s">
        <v>1964</v>
      </c>
      <c r="D1488" s="497"/>
      <c r="E1488" s="499">
        <v>24200</v>
      </c>
      <c r="F1488" s="263"/>
      <c r="G1488" s="275"/>
    </row>
    <row r="1489" spans="1:7" ht="17.45" customHeight="1">
      <c r="A1489" s="261" t="s">
        <v>8</v>
      </c>
      <c r="C1489" s="271" t="s">
        <v>1965</v>
      </c>
      <c r="D1489" s="497"/>
      <c r="E1489" s="499">
        <v>53000</v>
      </c>
      <c r="F1489" s="263"/>
      <c r="G1489" s="275"/>
    </row>
    <row r="1490" spans="1:7" ht="17.45" customHeight="1">
      <c r="A1490" s="261" t="s">
        <v>8</v>
      </c>
      <c r="C1490" s="271" t="s">
        <v>1966</v>
      </c>
      <c r="D1490" s="497"/>
      <c r="E1490" s="499">
        <v>3000</v>
      </c>
      <c r="F1490" s="263"/>
      <c r="G1490" s="275"/>
    </row>
    <row r="1491" spans="1:7" ht="17.45" customHeight="1">
      <c r="A1491" s="261" t="s">
        <v>8</v>
      </c>
      <c r="C1491" s="271" t="s">
        <v>1967</v>
      </c>
      <c r="D1491" s="497"/>
      <c r="E1491" s="499">
        <v>68000</v>
      </c>
      <c r="F1491" s="263"/>
      <c r="G1491" s="275"/>
    </row>
    <row r="1492" spans="1:7" ht="17.45" customHeight="1">
      <c r="A1492" s="261" t="s">
        <v>8</v>
      </c>
      <c r="C1492" s="271" t="s">
        <v>1968</v>
      </c>
      <c r="D1492" s="497"/>
      <c r="E1492" s="499">
        <v>2000</v>
      </c>
      <c r="F1492" s="263"/>
      <c r="G1492" s="275"/>
    </row>
    <row r="1493" spans="1:7" ht="17.45" customHeight="1">
      <c r="A1493" s="261" t="s">
        <v>8</v>
      </c>
      <c r="C1493" s="271" t="s">
        <v>1969</v>
      </c>
      <c r="D1493" s="497"/>
      <c r="E1493" s="499">
        <v>13500</v>
      </c>
      <c r="F1493" s="263"/>
      <c r="G1493" s="275"/>
    </row>
    <row r="1494" spans="1:7" ht="17.45" customHeight="1">
      <c r="A1494" s="261" t="s">
        <v>8</v>
      </c>
      <c r="C1494" s="271" t="s">
        <v>1970</v>
      </c>
      <c r="D1494" s="497"/>
      <c r="E1494" s="499">
        <v>2800</v>
      </c>
      <c r="F1494" s="263"/>
      <c r="G1494" s="275"/>
    </row>
    <row r="1495" spans="1:7" ht="17.45" customHeight="1">
      <c r="A1495" s="261" t="s">
        <v>8</v>
      </c>
      <c r="C1495" s="271" t="s">
        <v>1971</v>
      </c>
      <c r="D1495" s="497"/>
      <c r="E1495" s="499">
        <v>54400</v>
      </c>
      <c r="F1495" s="263"/>
      <c r="G1495" s="275"/>
    </row>
    <row r="1496" spans="1:7" ht="17.45" customHeight="1">
      <c r="A1496" s="261" t="s">
        <v>8</v>
      </c>
      <c r="C1496" s="271" t="s">
        <v>1972</v>
      </c>
      <c r="D1496" s="497"/>
      <c r="E1496" s="499">
        <v>9700</v>
      </c>
      <c r="F1496" s="263"/>
      <c r="G1496" s="275"/>
    </row>
    <row r="1497" spans="1:7" ht="17.45" customHeight="1" thickBot="1">
      <c r="A1497" s="261" t="s">
        <v>8</v>
      </c>
      <c r="C1497" s="276" t="s">
        <v>1300</v>
      </c>
      <c r="D1497" s="502">
        <f>SUM(D1419:D1496)-SUM(E1419:E1496)</f>
        <v>-4563950</v>
      </c>
      <c r="E1497" s="502">
        <f>SUM(E1419:E1496)-SUM(F1419:F1496)</f>
        <v>10459861</v>
      </c>
      <c r="F1497" s="277"/>
      <c r="G1497" s="283"/>
    </row>
    <row r="1498" spans="1:7">
      <c r="A1498" s="261" t="s">
        <v>8</v>
      </c>
    </row>
    <row r="1499" spans="1:7" ht="12.75" thickBot="1">
      <c r="A1499" s="261" t="s">
        <v>8</v>
      </c>
    </row>
    <row r="1500" spans="1:7" ht="17.45" customHeight="1">
      <c r="A1500" s="261" t="s">
        <v>8</v>
      </c>
      <c r="B1500" s="256" t="s">
        <v>2188</v>
      </c>
      <c r="C1500" s="268" t="s">
        <v>1268</v>
      </c>
      <c r="D1500" s="500">
        <v>6119996</v>
      </c>
      <c r="E1500" s="501"/>
      <c r="F1500" s="269"/>
      <c r="G1500" s="270"/>
    </row>
    <row r="1501" spans="1:7" ht="17.45" customHeight="1">
      <c r="A1501" s="261" t="s">
        <v>8</v>
      </c>
      <c r="B1501" s="257"/>
      <c r="C1501" s="271" t="s">
        <v>1269</v>
      </c>
      <c r="D1501" s="497"/>
      <c r="E1501" s="499">
        <v>436000</v>
      </c>
      <c r="F1501" s="263"/>
      <c r="G1501" s="272" t="s">
        <v>2183</v>
      </c>
    </row>
    <row r="1502" spans="1:7" ht="17.45" customHeight="1">
      <c r="A1502" s="261" t="s">
        <v>8</v>
      </c>
      <c r="C1502" s="271" t="s">
        <v>1270</v>
      </c>
      <c r="D1502" s="497"/>
      <c r="E1502" s="499">
        <v>998000</v>
      </c>
      <c r="F1502" s="263"/>
      <c r="G1502" s="273"/>
    </row>
    <row r="1503" spans="1:7" ht="17.45" customHeight="1">
      <c r="A1503" s="261" t="s">
        <v>8</v>
      </c>
      <c r="C1503" s="271" t="s">
        <v>1670</v>
      </c>
      <c r="D1503" s="497"/>
      <c r="E1503" s="499">
        <v>26010</v>
      </c>
      <c r="F1503" s="263"/>
      <c r="G1503" s="274"/>
    </row>
    <row r="1504" spans="1:7" ht="17.45" customHeight="1">
      <c r="A1504" s="261" t="s">
        <v>8</v>
      </c>
      <c r="C1504" s="271" t="s">
        <v>1672</v>
      </c>
      <c r="D1504" s="497"/>
      <c r="E1504" s="499">
        <v>47330</v>
      </c>
      <c r="F1504" s="263"/>
      <c r="G1504" s="274"/>
    </row>
    <row r="1505" spans="1:7" ht="17.45" customHeight="1">
      <c r="A1505" s="261" t="s">
        <v>8</v>
      </c>
      <c r="C1505" s="271" t="s">
        <v>1673</v>
      </c>
      <c r="D1505" s="497"/>
      <c r="E1505" s="499">
        <v>0</v>
      </c>
      <c r="F1505" s="263"/>
      <c r="G1505" s="274"/>
    </row>
    <row r="1506" spans="1:7" ht="17.45" customHeight="1">
      <c r="A1506" s="261" t="s">
        <v>8</v>
      </c>
      <c r="C1506" s="271" t="s">
        <v>1332</v>
      </c>
      <c r="D1506" s="497"/>
      <c r="E1506" s="499">
        <v>42900</v>
      </c>
      <c r="F1506" s="263"/>
      <c r="G1506" s="275"/>
    </row>
    <row r="1507" spans="1:7" ht="17.45" customHeight="1">
      <c r="A1507" s="261" t="s">
        <v>8</v>
      </c>
      <c r="C1507" s="271" t="s">
        <v>1271</v>
      </c>
      <c r="D1507" s="497"/>
      <c r="E1507" s="499">
        <v>0</v>
      </c>
      <c r="F1507" s="263"/>
      <c r="G1507" s="274"/>
    </row>
    <row r="1508" spans="1:7" ht="17.45" customHeight="1">
      <c r="A1508" s="261" t="s">
        <v>8</v>
      </c>
      <c r="C1508" s="271" t="s">
        <v>1272</v>
      </c>
      <c r="D1508" s="497"/>
      <c r="E1508" s="499">
        <v>6960</v>
      </c>
      <c r="F1508" s="263"/>
      <c r="G1508" s="273"/>
    </row>
    <row r="1509" spans="1:7" ht="17.45" customHeight="1">
      <c r="A1509" s="261" t="s">
        <v>8</v>
      </c>
      <c r="C1509" s="271" t="s">
        <v>1273</v>
      </c>
      <c r="D1509" s="497"/>
      <c r="E1509" s="499">
        <v>29920</v>
      </c>
      <c r="F1509" s="263"/>
      <c r="G1509" s="273"/>
    </row>
    <row r="1510" spans="1:7" ht="17.45" customHeight="1">
      <c r="A1510" s="261" t="s">
        <v>8</v>
      </c>
      <c r="C1510" s="271" t="s">
        <v>1274</v>
      </c>
      <c r="D1510" s="497"/>
      <c r="E1510" s="499">
        <v>9405</v>
      </c>
      <c r="F1510" s="263"/>
      <c r="G1510" s="273"/>
    </row>
    <row r="1511" spans="1:7" ht="17.45" customHeight="1">
      <c r="A1511" s="261" t="s">
        <v>8</v>
      </c>
      <c r="C1511" s="271" t="s">
        <v>1275</v>
      </c>
      <c r="D1511" s="497"/>
      <c r="E1511" s="499">
        <v>26450</v>
      </c>
      <c r="F1511" s="263"/>
      <c r="G1511" s="273"/>
    </row>
    <row r="1512" spans="1:7" ht="17.45" customHeight="1">
      <c r="A1512" s="261" t="s">
        <v>8</v>
      </c>
      <c r="C1512" s="271" t="s">
        <v>2168</v>
      </c>
      <c r="D1512" s="497"/>
      <c r="E1512" s="499">
        <v>18816</v>
      </c>
      <c r="F1512" s="263"/>
      <c r="G1512" s="273"/>
    </row>
    <row r="1513" spans="1:7" ht="17.45" customHeight="1">
      <c r="A1513" s="261" t="s">
        <v>8</v>
      </c>
      <c r="C1513" s="271" t="s">
        <v>1517</v>
      </c>
      <c r="D1513" s="497"/>
      <c r="E1513" s="499">
        <v>23230</v>
      </c>
      <c r="F1513" s="263"/>
      <c r="G1513" s="273"/>
    </row>
    <row r="1514" spans="1:7" ht="17.45" customHeight="1">
      <c r="A1514" s="261" t="s">
        <v>8</v>
      </c>
      <c r="C1514" s="271" t="s">
        <v>1276</v>
      </c>
      <c r="D1514" s="497"/>
      <c r="E1514" s="499">
        <v>318880</v>
      </c>
      <c r="F1514" s="263"/>
      <c r="G1514" s="273"/>
    </row>
    <row r="1515" spans="1:7" ht="17.45" customHeight="1">
      <c r="A1515" s="261" t="s">
        <v>8</v>
      </c>
      <c r="C1515" s="271" t="s">
        <v>1277</v>
      </c>
      <c r="D1515" s="497"/>
      <c r="E1515" s="499">
        <v>72860</v>
      </c>
      <c r="F1515" s="263"/>
      <c r="G1515" s="273"/>
    </row>
    <row r="1516" spans="1:7" ht="17.45" customHeight="1">
      <c r="A1516" s="261" t="s">
        <v>8</v>
      </c>
      <c r="C1516" s="271" t="s">
        <v>1278</v>
      </c>
      <c r="D1516" s="497"/>
      <c r="E1516" s="499">
        <v>200000</v>
      </c>
      <c r="F1516" s="263"/>
      <c r="G1516" s="273"/>
    </row>
    <row r="1517" spans="1:7" ht="17.45" customHeight="1">
      <c r="A1517" s="261" t="s">
        <v>8</v>
      </c>
      <c r="C1517" s="285" t="s">
        <v>1413</v>
      </c>
      <c r="D1517" s="506"/>
      <c r="E1517" s="507">
        <v>1300000</v>
      </c>
      <c r="F1517" s="286"/>
      <c r="G1517" s="287"/>
    </row>
    <row r="1518" spans="1:7" ht="17.45" customHeight="1" thickBot="1">
      <c r="A1518" s="261" t="s">
        <v>8</v>
      </c>
      <c r="C1518" s="271" t="s">
        <v>1942</v>
      </c>
      <c r="D1518" s="497"/>
      <c r="E1518" s="499">
        <v>20000</v>
      </c>
      <c r="F1518" s="263"/>
      <c r="G1518" s="273"/>
    </row>
    <row r="1519" spans="1:7" ht="17.45" customHeight="1">
      <c r="A1519" s="261" t="s">
        <v>8</v>
      </c>
      <c r="C1519" s="268" t="s">
        <v>1280</v>
      </c>
      <c r="D1519" s="501"/>
      <c r="E1519" s="500">
        <f>50000*3</f>
        <v>150000</v>
      </c>
      <c r="F1519" s="269"/>
      <c r="G1519" s="288"/>
    </row>
    <row r="1520" spans="1:7" ht="17.45" customHeight="1">
      <c r="A1520" s="261" t="s">
        <v>8</v>
      </c>
      <c r="C1520" s="271" t="s">
        <v>1549</v>
      </c>
      <c r="D1520" s="497"/>
      <c r="E1520" s="499">
        <v>0</v>
      </c>
      <c r="F1520" s="263"/>
      <c r="G1520" s="275"/>
    </row>
    <row r="1521" spans="1:7" ht="17.45" customHeight="1">
      <c r="A1521" s="261" t="s">
        <v>8</v>
      </c>
      <c r="C1521" s="271" t="s">
        <v>1819</v>
      </c>
      <c r="D1521" s="497"/>
      <c r="E1521" s="499">
        <v>0</v>
      </c>
      <c r="F1521" s="263"/>
      <c r="G1521" s="275"/>
    </row>
    <row r="1522" spans="1:7" ht="17.45" customHeight="1">
      <c r="A1522" s="261" t="s">
        <v>8</v>
      </c>
      <c r="C1522" s="271" t="s">
        <v>391</v>
      </c>
      <c r="D1522" s="497"/>
      <c r="E1522" s="499">
        <v>0</v>
      </c>
      <c r="F1522" s="263"/>
      <c r="G1522" s="275"/>
    </row>
    <row r="1523" spans="1:7" ht="17.45" customHeight="1">
      <c r="A1523" s="261" t="s">
        <v>8</v>
      </c>
      <c r="C1523" s="271" t="s">
        <v>1934</v>
      </c>
      <c r="D1523" s="497"/>
      <c r="E1523" s="499">
        <v>0</v>
      </c>
      <c r="F1523" s="263"/>
      <c r="G1523" s="275"/>
    </row>
    <row r="1524" spans="1:7" ht="17.45" customHeight="1">
      <c r="A1524" s="261" t="s">
        <v>8</v>
      </c>
      <c r="C1524" s="271" t="s">
        <v>1484</v>
      </c>
      <c r="D1524" s="497"/>
      <c r="E1524" s="499">
        <v>38000</v>
      </c>
      <c r="F1524" s="263"/>
      <c r="G1524" s="275"/>
    </row>
    <row r="1525" spans="1:7" ht="17.45" customHeight="1">
      <c r="A1525" s="261" t="s">
        <v>8</v>
      </c>
      <c r="C1525" s="271" t="s">
        <v>1687</v>
      </c>
      <c r="D1525" s="497"/>
      <c r="E1525" s="499">
        <v>0</v>
      </c>
      <c r="F1525" s="263"/>
      <c r="G1525" s="275"/>
    </row>
    <row r="1526" spans="1:7" ht="17.45" customHeight="1">
      <c r="A1526" s="261" t="s">
        <v>8</v>
      </c>
      <c r="C1526" s="271" t="s">
        <v>1791</v>
      </c>
      <c r="D1526" s="497"/>
      <c r="E1526" s="499">
        <v>0</v>
      </c>
      <c r="F1526" s="263"/>
      <c r="G1526" s="273"/>
    </row>
    <row r="1527" spans="1:7" ht="17.45" customHeight="1">
      <c r="A1527" s="261" t="s">
        <v>8</v>
      </c>
      <c r="C1527" s="271" t="s">
        <v>1688</v>
      </c>
      <c r="D1527" s="497"/>
      <c r="E1527" s="499">
        <v>50000</v>
      </c>
      <c r="F1527" s="263"/>
      <c r="G1527" s="275"/>
    </row>
    <row r="1528" spans="1:7" ht="17.45" customHeight="1">
      <c r="A1528" s="261" t="s">
        <v>8</v>
      </c>
      <c r="C1528" s="271" t="s">
        <v>1596</v>
      </c>
      <c r="D1528" s="497"/>
      <c r="E1528" s="499">
        <v>0</v>
      </c>
      <c r="F1528" s="263"/>
      <c r="G1528" s="275"/>
    </row>
    <row r="1529" spans="1:7" ht="17.45" customHeight="1">
      <c r="A1529" s="261" t="s">
        <v>8</v>
      </c>
      <c r="C1529" s="271" t="s">
        <v>1595</v>
      </c>
      <c r="D1529" s="497"/>
      <c r="E1529" s="499">
        <v>0</v>
      </c>
      <c r="F1529" s="263"/>
      <c r="G1529" s="275"/>
    </row>
    <row r="1530" spans="1:7" ht="17.45" customHeight="1">
      <c r="A1530" s="261" t="s">
        <v>8</v>
      </c>
      <c r="C1530" s="271" t="s">
        <v>1613</v>
      </c>
      <c r="D1530" s="497"/>
      <c r="E1530" s="499">
        <f>1300+1800</f>
        <v>3100</v>
      </c>
      <c r="F1530" s="263"/>
      <c r="G1530" s="275"/>
    </row>
    <row r="1531" spans="1:7" ht="17.45" customHeight="1">
      <c r="A1531" s="261" t="s">
        <v>8</v>
      </c>
      <c r="C1531" s="271" t="s">
        <v>1569</v>
      </c>
      <c r="D1531" s="497"/>
      <c r="E1531" s="499">
        <v>0</v>
      </c>
      <c r="F1531" s="263"/>
      <c r="G1531" s="275"/>
    </row>
    <row r="1532" spans="1:7" ht="17.45" customHeight="1">
      <c r="A1532" s="261" t="s">
        <v>8</v>
      </c>
      <c r="C1532" s="271" t="s">
        <v>1618</v>
      </c>
      <c r="D1532" s="497"/>
      <c r="E1532" s="499">
        <f>21360+65630+12960</f>
        <v>99950</v>
      </c>
      <c r="F1532" s="263"/>
      <c r="G1532" s="275"/>
    </row>
    <row r="1533" spans="1:7" ht="17.45" customHeight="1">
      <c r="A1533" s="261" t="s">
        <v>8</v>
      </c>
      <c r="C1533" s="271" t="s">
        <v>1800</v>
      </c>
      <c r="D1533" s="497"/>
      <c r="E1533" s="499">
        <v>8000</v>
      </c>
      <c r="F1533" s="263"/>
      <c r="G1533" s="275"/>
    </row>
    <row r="1534" spans="1:7" ht="17.45" customHeight="1" thickBot="1">
      <c r="A1534" s="261" t="s">
        <v>8</v>
      </c>
      <c r="C1534" s="276" t="s">
        <v>1594</v>
      </c>
      <c r="D1534" s="502"/>
      <c r="E1534" s="503">
        <v>20000</v>
      </c>
      <c r="F1534" s="277"/>
      <c r="G1534" s="282"/>
    </row>
    <row r="1535" spans="1:7" ht="17.45" customHeight="1">
      <c r="A1535" s="261" t="s">
        <v>8</v>
      </c>
      <c r="C1535" s="279" t="s">
        <v>1980</v>
      </c>
      <c r="D1535" s="504"/>
      <c r="E1535" s="505">
        <v>45500</v>
      </c>
      <c r="F1535" s="280"/>
      <c r="G1535" s="281"/>
    </row>
    <row r="1536" spans="1:7" ht="17.45" customHeight="1">
      <c r="A1536" s="261" t="s">
        <v>8</v>
      </c>
      <c r="C1536" s="271" t="s">
        <v>1813</v>
      </c>
      <c r="D1536" s="497"/>
      <c r="E1536" s="499">
        <v>200000</v>
      </c>
      <c r="F1536" s="263"/>
      <c r="G1536" s="275"/>
    </row>
    <row r="1537" spans="1:7" ht="17.45" customHeight="1">
      <c r="A1537" s="261" t="s">
        <v>8</v>
      </c>
      <c r="C1537" s="271" t="s">
        <v>1981</v>
      </c>
      <c r="D1537" s="497"/>
      <c r="E1537" s="499">
        <f>5060-4940+4940+4940-2470</f>
        <v>7530</v>
      </c>
      <c r="F1537" s="263"/>
      <c r="G1537" s="275"/>
    </row>
    <row r="1538" spans="1:7" ht="17.45" customHeight="1">
      <c r="A1538" s="261" t="s">
        <v>8</v>
      </c>
      <c r="C1538" s="271" t="s">
        <v>1982</v>
      </c>
      <c r="D1538" s="497"/>
      <c r="E1538" s="499">
        <v>21000</v>
      </c>
      <c r="F1538" s="263"/>
      <c r="G1538" s="275"/>
    </row>
    <row r="1539" spans="1:7" ht="17.45" customHeight="1">
      <c r="A1539" s="261" t="s">
        <v>8</v>
      </c>
      <c r="C1539" s="271" t="s">
        <v>1983</v>
      </c>
      <c r="D1539" s="497"/>
      <c r="E1539" s="499">
        <v>70000</v>
      </c>
      <c r="F1539" s="263"/>
      <c r="G1539" s="275"/>
    </row>
    <row r="1540" spans="1:7" ht="17.45" customHeight="1">
      <c r="A1540" s="261" t="s">
        <v>8</v>
      </c>
      <c r="C1540" s="271" t="s">
        <v>1817</v>
      </c>
      <c r="D1540" s="497"/>
      <c r="E1540" s="499">
        <v>50000</v>
      </c>
      <c r="F1540" s="263"/>
      <c r="G1540" s="275"/>
    </row>
    <row r="1541" spans="1:7" ht="17.45" customHeight="1">
      <c r="A1541" s="261" t="s">
        <v>8</v>
      </c>
      <c r="C1541" s="271" t="s">
        <v>1810</v>
      </c>
      <c r="D1541" s="497"/>
      <c r="E1541" s="499">
        <v>1000</v>
      </c>
      <c r="F1541" s="263"/>
      <c r="G1541" s="275"/>
    </row>
    <row r="1542" spans="1:7" ht="17.45" customHeight="1">
      <c r="A1542" s="261" t="s">
        <v>8</v>
      </c>
      <c r="C1542" s="271" t="s">
        <v>1777</v>
      </c>
      <c r="D1542" s="497"/>
      <c r="E1542" s="499">
        <v>16700</v>
      </c>
      <c r="F1542" s="263"/>
      <c r="G1542" s="275"/>
    </row>
    <row r="1543" spans="1:7" ht="17.45" customHeight="1">
      <c r="A1543" s="261" t="s">
        <v>8</v>
      </c>
      <c r="C1543" s="271" t="s">
        <v>1994</v>
      </c>
      <c r="D1543" s="497"/>
      <c r="E1543" s="499">
        <v>18000</v>
      </c>
      <c r="F1543" s="263"/>
      <c r="G1543" s="275"/>
    </row>
    <row r="1544" spans="1:7" ht="17.45" customHeight="1">
      <c r="A1544" s="261" t="s">
        <v>8</v>
      </c>
      <c r="C1544" s="271" t="s">
        <v>1995</v>
      </c>
      <c r="D1544" s="497"/>
      <c r="E1544" s="499">
        <v>79800</v>
      </c>
      <c r="F1544" s="263"/>
      <c r="G1544" s="275"/>
    </row>
    <row r="1545" spans="1:7" ht="17.45" customHeight="1">
      <c r="A1545" s="261" t="s">
        <v>8</v>
      </c>
      <c r="C1545" s="271" t="s">
        <v>1996</v>
      </c>
      <c r="D1545" s="497"/>
      <c r="E1545" s="499">
        <f>24450+46300</f>
        <v>70750</v>
      </c>
      <c r="F1545" s="263"/>
      <c r="G1545" s="275"/>
    </row>
    <row r="1546" spans="1:7" ht="17.45" customHeight="1">
      <c r="A1546" s="261" t="s">
        <v>8</v>
      </c>
      <c r="C1546" s="271" t="s">
        <v>1981</v>
      </c>
      <c r="D1546" s="497"/>
      <c r="E1546" s="499">
        <f>8820+91340</f>
        <v>100160</v>
      </c>
      <c r="F1546" s="263"/>
      <c r="G1546" s="275"/>
    </row>
    <row r="1547" spans="1:7" ht="17.45" customHeight="1">
      <c r="A1547" s="261" t="s">
        <v>8</v>
      </c>
      <c r="C1547" s="271" t="s">
        <v>1647</v>
      </c>
      <c r="D1547" s="497"/>
      <c r="E1547" s="499">
        <f>-2200</f>
        <v>-2200</v>
      </c>
      <c r="F1547" s="263"/>
      <c r="G1547" s="275"/>
    </row>
    <row r="1548" spans="1:7" ht="17.45" customHeight="1">
      <c r="A1548" s="261" t="s">
        <v>8</v>
      </c>
      <c r="C1548" s="271" t="s">
        <v>1972</v>
      </c>
      <c r="D1548" s="497"/>
      <c r="E1548" s="499">
        <v>-4850</v>
      </c>
      <c r="F1548" s="263"/>
      <c r="G1548" s="275"/>
    </row>
    <row r="1549" spans="1:7" ht="17.45" customHeight="1">
      <c r="A1549" s="261" t="s">
        <v>8</v>
      </c>
      <c r="C1549" s="271" t="s">
        <v>1997</v>
      </c>
      <c r="D1549" s="497"/>
      <c r="E1549" s="499">
        <v>2600</v>
      </c>
      <c r="F1549" s="263"/>
      <c r="G1549" s="275"/>
    </row>
    <row r="1550" spans="1:7" ht="17.45" customHeight="1">
      <c r="A1550" s="261" t="s">
        <v>8</v>
      </c>
      <c r="C1550" s="271" t="s">
        <v>1998</v>
      </c>
      <c r="D1550" s="497"/>
      <c r="E1550" s="499">
        <v>500000</v>
      </c>
      <c r="F1550" s="263"/>
      <c r="G1550" s="275"/>
    </row>
    <row r="1551" spans="1:7" ht="17.45" customHeight="1">
      <c r="A1551" s="261" t="s">
        <v>8</v>
      </c>
      <c r="C1551" s="271" t="s">
        <v>1784</v>
      </c>
      <c r="D1551" s="497"/>
      <c r="E1551" s="499">
        <v>9500</v>
      </c>
      <c r="F1551" s="263"/>
      <c r="G1551" s="275"/>
    </row>
    <row r="1552" spans="1:7" ht="17.45" customHeight="1">
      <c r="A1552" s="261" t="s">
        <v>8</v>
      </c>
      <c r="C1552" s="271" t="s">
        <v>1999</v>
      </c>
      <c r="D1552" s="497"/>
      <c r="E1552" s="499">
        <v>17220</v>
      </c>
      <c r="F1552" s="263"/>
      <c r="G1552" s="275"/>
    </row>
    <row r="1553" spans="1:7" ht="17.45" customHeight="1">
      <c r="A1553" s="261" t="s">
        <v>8</v>
      </c>
      <c r="C1553" s="271" t="s">
        <v>2000</v>
      </c>
      <c r="D1553" s="497"/>
      <c r="E1553" s="499">
        <v>46800</v>
      </c>
      <c r="F1553" s="263"/>
      <c r="G1553" s="275"/>
    </row>
    <row r="1554" spans="1:7" ht="17.45" customHeight="1">
      <c r="A1554" s="261" t="s">
        <v>8</v>
      </c>
      <c r="C1554" s="271" t="s">
        <v>2001</v>
      </c>
      <c r="D1554" s="497"/>
      <c r="E1554" s="499">
        <v>26000</v>
      </c>
      <c r="F1554" s="263"/>
      <c r="G1554" s="275"/>
    </row>
    <row r="1555" spans="1:7" ht="17.45" customHeight="1">
      <c r="A1555" s="261" t="s">
        <v>8</v>
      </c>
      <c r="C1555" s="271" t="s">
        <v>2002</v>
      </c>
      <c r="D1555" s="497"/>
      <c r="E1555" s="499">
        <v>5000</v>
      </c>
      <c r="F1555" s="263"/>
      <c r="G1555" s="275"/>
    </row>
    <row r="1556" spans="1:7" ht="17.45" customHeight="1">
      <c r="A1556" s="261" t="s">
        <v>8</v>
      </c>
      <c r="C1556" s="271" t="s">
        <v>2003</v>
      </c>
      <c r="D1556" s="497"/>
      <c r="E1556" s="499">
        <v>3700</v>
      </c>
      <c r="F1556" s="263"/>
      <c r="G1556" s="275"/>
    </row>
    <row r="1557" spans="1:7" ht="17.45" customHeight="1">
      <c r="A1557" s="261" t="s">
        <v>8</v>
      </c>
      <c r="C1557" s="271" t="s">
        <v>1831</v>
      </c>
      <c r="D1557" s="497"/>
      <c r="E1557" s="499">
        <v>300000</v>
      </c>
      <c r="F1557" s="263"/>
      <c r="G1557" s="275"/>
    </row>
    <row r="1558" spans="1:7" ht="17.45" customHeight="1">
      <c r="A1558" s="261" t="s">
        <v>8</v>
      </c>
      <c r="C1558" s="271" t="s">
        <v>2004</v>
      </c>
      <c r="D1558" s="497"/>
      <c r="E1558" s="499">
        <v>300000</v>
      </c>
      <c r="F1558" s="263"/>
      <c r="G1558" s="275"/>
    </row>
    <row r="1559" spans="1:7" ht="17.45" customHeight="1">
      <c r="A1559" s="261" t="s">
        <v>8</v>
      </c>
      <c r="C1559" s="271" t="s">
        <v>2006</v>
      </c>
      <c r="D1559" s="497"/>
      <c r="E1559" s="499">
        <f>19297+117572</f>
        <v>136869</v>
      </c>
      <c r="F1559" s="263"/>
      <c r="G1559" s="275"/>
    </row>
    <row r="1560" spans="1:7" ht="17.45" customHeight="1">
      <c r="A1560" s="261" t="s">
        <v>8</v>
      </c>
      <c r="C1560" s="271" t="s">
        <v>1609</v>
      </c>
      <c r="D1560" s="497"/>
      <c r="E1560" s="499">
        <v>20000</v>
      </c>
      <c r="F1560" s="263"/>
      <c r="G1560" s="275"/>
    </row>
    <row r="1561" spans="1:7" ht="17.45" customHeight="1">
      <c r="A1561" s="261" t="s">
        <v>8</v>
      </c>
      <c r="C1561" s="271" t="s">
        <v>2005</v>
      </c>
      <c r="D1561" s="497"/>
      <c r="E1561" s="499">
        <v>6400</v>
      </c>
      <c r="F1561" s="263"/>
      <c r="G1561" s="275"/>
    </row>
    <row r="1562" spans="1:7" ht="17.45" customHeight="1">
      <c r="A1562" s="261" t="s">
        <v>8</v>
      </c>
      <c r="C1562" s="271" t="s">
        <v>1627</v>
      </c>
      <c r="D1562" s="497"/>
      <c r="E1562" s="499">
        <v>22500</v>
      </c>
      <c r="F1562" s="263"/>
      <c r="G1562" s="275"/>
    </row>
    <row r="1563" spans="1:7" ht="17.45" customHeight="1">
      <c r="A1563" s="261" t="s">
        <v>8</v>
      </c>
      <c r="C1563" s="271" t="s">
        <v>1610</v>
      </c>
      <c r="D1563" s="497"/>
      <c r="E1563" s="499">
        <v>4750</v>
      </c>
      <c r="F1563" s="263"/>
      <c r="G1563" s="275"/>
    </row>
    <row r="1564" spans="1:7" ht="17.45" customHeight="1" thickBot="1">
      <c r="A1564" s="261" t="s">
        <v>8</v>
      </c>
      <c r="C1564" s="276" t="s">
        <v>1300</v>
      </c>
      <c r="D1564" s="502">
        <f>SUM(D1500:D1563)-SUM(E1500:E1563)</f>
        <v>99456</v>
      </c>
      <c r="E1564" s="502">
        <f>SUM(E1500:E1563)-SUM(F1500:F1563)</f>
        <v>6020540</v>
      </c>
      <c r="F1564" s="277"/>
      <c r="G1564" s="283"/>
    </row>
    <row r="1565" spans="1:7">
      <c r="A1565" s="261" t="s">
        <v>8</v>
      </c>
    </row>
    <row r="1566" spans="1:7" ht="12.75" thickBot="1">
      <c r="A1566" s="261" t="s">
        <v>8</v>
      </c>
    </row>
    <row r="1567" spans="1:7" ht="17.45" customHeight="1">
      <c r="A1567" s="261" t="s">
        <v>8</v>
      </c>
      <c r="B1567" s="256" t="s">
        <v>2189</v>
      </c>
      <c r="C1567" s="268" t="s">
        <v>1268</v>
      </c>
      <c r="D1567" s="500">
        <v>5840341</v>
      </c>
      <c r="E1567" s="501"/>
      <c r="F1567" s="269"/>
      <c r="G1567" s="270"/>
    </row>
    <row r="1568" spans="1:7" ht="17.45" customHeight="1">
      <c r="A1568" s="261" t="s">
        <v>8</v>
      </c>
      <c r="B1568" s="257"/>
      <c r="C1568" s="271" t="s">
        <v>2007</v>
      </c>
      <c r="D1568" s="499">
        <v>1413340</v>
      </c>
      <c r="E1568" s="499">
        <v>1413340</v>
      </c>
      <c r="F1568" s="263"/>
      <c r="G1568" s="272"/>
    </row>
    <row r="1569" spans="1:7" ht="17.45" customHeight="1">
      <c r="A1569" s="261" t="s">
        <v>8</v>
      </c>
      <c r="B1569" s="257"/>
      <c r="C1569" s="271" t="s">
        <v>1269</v>
      </c>
      <c r="D1569" s="497"/>
      <c r="E1569" s="499">
        <v>422000</v>
      </c>
      <c r="F1569" s="263"/>
      <c r="G1569" s="272" t="s">
        <v>2190</v>
      </c>
    </row>
    <row r="1570" spans="1:7" ht="17.45" customHeight="1">
      <c r="A1570" s="261" t="s">
        <v>8</v>
      </c>
      <c r="C1570" s="271" t="s">
        <v>1270</v>
      </c>
      <c r="D1570" s="497"/>
      <c r="E1570" s="499">
        <v>767000</v>
      </c>
      <c r="F1570" s="263"/>
      <c r="G1570" s="273"/>
    </row>
    <row r="1571" spans="1:7" ht="17.45" customHeight="1">
      <c r="A1571" s="261" t="s">
        <v>8</v>
      </c>
      <c r="C1571" s="271" t="s">
        <v>1670</v>
      </c>
      <c r="D1571" s="497"/>
      <c r="E1571" s="499">
        <v>26010</v>
      </c>
      <c r="F1571" s="263"/>
      <c r="G1571" s="274"/>
    </row>
    <row r="1572" spans="1:7" ht="17.45" customHeight="1">
      <c r="A1572" s="261" t="s">
        <v>8</v>
      </c>
      <c r="C1572" s="271" t="s">
        <v>1672</v>
      </c>
      <c r="D1572" s="497"/>
      <c r="E1572" s="499">
        <v>44280</v>
      </c>
      <c r="F1572" s="263"/>
      <c r="G1572" s="274"/>
    </row>
    <row r="1573" spans="1:7" ht="17.45" customHeight="1">
      <c r="A1573" s="261" t="s">
        <v>8</v>
      </c>
      <c r="C1573" s="271" t="s">
        <v>1673</v>
      </c>
      <c r="D1573" s="497"/>
      <c r="E1573" s="497">
        <v>0</v>
      </c>
      <c r="F1573" s="263"/>
      <c r="G1573" s="274"/>
    </row>
    <row r="1574" spans="1:7" ht="17.45" customHeight="1">
      <c r="A1574" s="261" t="s">
        <v>8</v>
      </c>
      <c r="C1574" s="271" t="s">
        <v>1332</v>
      </c>
      <c r="D1574" s="497"/>
      <c r="E1574" s="499">
        <v>42900</v>
      </c>
      <c r="F1574" s="263"/>
      <c r="G1574" s="275"/>
    </row>
    <row r="1575" spans="1:7" ht="17.45" customHeight="1">
      <c r="A1575" s="261" t="s">
        <v>8</v>
      </c>
      <c r="C1575" s="271" t="s">
        <v>1271</v>
      </c>
      <c r="D1575" s="497"/>
      <c r="E1575" s="497">
        <v>0</v>
      </c>
      <c r="F1575" s="263"/>
      <c r="G1575" s="274"/>
    </row>
    <row r="1576" spans="1:7" ht="17.45" customHeight="1">
      <c r="A1576" s="261" t="s">
        <v>8</v>
      </c>
      <c r="C1576" s="271" t="s">
        <v>1272</v>
      </c>
      <c r="D1576" s="497"/>
      <c r="E1576" s="499">
        <v>6960</v>
      </c>
      <c r="F1576" s="263"/>
      <c r="G1576" s="273"/>
    </row>
    <row r="1577" spans="1:7" ht="17.45" customHeight="1">
      <c r="A1577" s="261" t="s">
        <v>8</v>
      </c>
      <c r="C1577" s="271" t="s">
        <v>1273</v>
      </c>
      <c r="D1577" s="497"/>
      <c r="E1577" s="499">
        <v>29920</v>
      </c>
      <c r="F1577" s="263"/>
      <c r="G1577" s="273"/>
    </row>
    <row r="1578" spans="1:7" ht="17.45" customHeight="1">
      <c r="A1578" s="261" t="s">
        <v>8</v>
      </c>
      <c r="C1578" s="271" t="s">
        <v>1274</v>
      </c>
      <c r="D1578" s="497"/>
      <c r="E1578" s="499">
        <v>9405</v>
      </c>
      <c r="F1578" s="263"/>
      <c r="G1578" s="273"/>
    </row>
    <row r="1579" spans="1:7" ht="17.45" customHeight="1">
      <c r="A1579" s="261" t="s">
        <v>8</v>
      </c>
      <c r="C1579" s="271" t="s">
        <v>1275</v>
      </c>
      <c r="D1579" s="497"/>
      <c r="E1579" s="499">
        <v>26450</v>
      </c>
      <c r="F1579" s="263"/>
      <c r="G1579" s="273"/>
    </row>
    <row r="1580" spans="1:7" ht="17.45" customHeight="1">
      <c r="A1580" s="261" t="s">
        <v>8</v>
      </c>
      <c r="C1580" s="271" t="s">
        <v>2168</v>
      </c>
      <c r="D1580" s="497"/>
      <c r="E1580" s="499">
        <v>18816</v>
      </c>
      <c r="F1580" s="263"/>
      <c r="G1580" s="273"/>
    </row>
    <row r="1581" spans="1:7" ht="17.45" customHeight="1">
      <c r="A1581" s="261" t="s">
        <v>8</v>
      </c>
      <c r="C1581" s="271" t="s">
        <v>1517</v>
      </c>
      <c r="D1581" s="497"/>
      <c r="E1581" s="499">
        <v>23230</v>
      </c>
      <c r="F1581" s="263"/>
      <c r="G1581" s="273"/>
    </row>
    <row r="1582" spans="1:7" ht="17.45" customHeight="1">
      <c r="A1582" s="261" t="s">
        <v>8</v>
      </c>
      <c r="C1582" s="271" t="s">
        <v>1276</v>
      </c>
      <c r="D1582" s="497"/>
      <c r="E1582" s="499">
        <v>313970</v>
      </c>
      <c r="F1582" s="263"/>
      <c r="G1582" s="273"/>
    </row>
    <row r="1583" spans="1:7" ht="17.45" customHeight="1">
      <c r="A1583" s="261" t="s">
        <v>8</v>
      </c>
      <c r="C1583" s="271" t="s">
        <v>1277</v>
      </c>
      <c r="D1583" s="497"/>
      <c r="E1583" s="499">
        <v>50180</v>
      </c>
      <c r="F1583" s="263"/>
      <c r="G1583" s="273"/>
    </row>
    <row r="1584" spans="1:7" ht="17.45" customHeight="1">
      <c r="A1584" s="261" t="s">
        <v>8</v>
      </c>
      <c r="C1584" s="271" t="s">
        <v>1278</v>
      </c>
      <c r="D1584" s="497"/>
      <c r="E1584" s="499">
        <v>200000</v>
      </c>
      <c r="F1584" s="263"/>
      <c r="G1584" s="273"/>
    </row>
    <row r="1585" spans="1:7" ht="17.45" customHeight="1">
      <c r="A1585" s="261" t="s">
        <v>8</v>
      </c>
      <c r="C1585" s="285" t="s">
        <v>1413</v>
      </c>
      <c r="D1585" s="506"/>
      <c r="E1585" s="507">
        <v>1300000</v>
      </c>
      <c r="F1585" s="286"/>
      <c r="G1585" s="287"/>
    </row>
    <row r="1586" spans="1:7" ht="17.45" customHeight="1" thickBot="1">
      <c r="A1586" s="261" t="s">
        <v>8</v>
      </c>
      <c r="C1586" s="285" t="s">
        <v>1942</v>
      </c>
      <c r="D1586" s="506"/>
      <c r="E1586" s="507">
        <v>20000</v>
      </c>
      <c r="F1586" s="286"/>
      <c r="G1586" s="290"/>
    </row>
    <row r="1587" spans="1:7" ht="17.45" customHeight="1">
      <c r="A1587" s="261" t="s">
        <v>8</v>
      </c>
      <c r="C1587" s="268" t="s">
        <v>1280</v>
      </c>
      <c r="D1587" s="501"/>
      <c r="E1587" s="500">
        <f>49555+5000+50000</f>
        <v>104555</v>
      </c>
      <c r="F1587" s="269"/>
      <c r="G1587" s="288"/>
    </row>
    <row r="1588" spans="1:7" ht="17.45" customHeight="1">
      <c r="A1588" s="261" t="s">
        <v>8</v>
      </c>
      <c r="C1588" s="271" t="s">
        <v>1549</v>
      </c>
      <c r="D1588" s="497"/>
      <c r="E1588" s="497"/>
      <c r="F1588" s="263"/>
      <c r="G1588" s="275"/>
    </row>
    <row r="1589" spans="1:7" ht="17.45" customHeight="1">
      <c r="A1589" s="261" t="s">
        <v>8</v>
      </c>
      <c r="C1589" s="271" t="s">
        <v>1819</v>
      </c>
      <c r="D1589" s="497"/>
      <c r="E1589" s="497"/>
      <c r="F1589" s="263"/>
      <c r="G1589" s="275"/>
    </row>
    <row r="1590" spans="1:7" ht="17.45" customHeight="1">
      <c r="A1590" s="261" t="s">
        <v>8</v>
      </c>
      <c r="C1590" s="271" t="s">
        <v>391</v>
      </c>
      <c r="D1590" s="497"/>
      <c r="E1590" s="497"/>
      <c r="F1590" s="263"/>
      <c r="G1590" s="275"/>
    </row>
    <row r="1591" spans="1:7" ht="17.45" customHeight="1">
      <c r="A1591" s="261" t="s">
        <v>8</v>
      </c>
      <c r="C1591" s="271" t="s">
        <v>1934</v>
      </c>
      <c r="D1591" s="497"/>
      <c r="E1591" s="497"/>
      <c r="F1591" s="263"/>
      <c r="G1591" s="275"/>
    </row>
    <row r="1592" spans="1:7" ht="17.45" customHeight="1">
      <c r="A1592" s="261" t="s">
        <v>8</v>
      </c>
      <c r="C1592" s="271" t="s">
        <v>1484</v>
      </c>
      <c r="D1592" s="497"/>
      <c r="E1592" s="499">
        <v>43000</v>
      </c>
      <c r="F1592" s="263"/>
      <c r="G1592" s="275"/>
    </row>
    <row r="1593" spans="1:7" ht="17.45" customHeight="1">
      <c r="A1593" s="261" t="s">
        <v>8</v>
      </c>
      <c r="C1593" s="271" t="s">
        <v>1687</v>
      </c>
      <c r="D1593" s="497"/>
      <c r="E1593" s="497"/>
      <c r="F1593" s="263"/>
      <c r="G1593" s="275"/>
    </row>
    <row r="1594" spans="1:7" ht="17.45" customHeight="1">
      <c r="A1594" s="261" t="s">
        <v>8</v>
      </c>
      <c r="C1594" s="271" t="s">
        <v>1688</v>
      </c>
      <c r="D1594" s="497"/>
      <c r="E1594" s="499">
        <v>50000</v>
      </c>
      <c r="F1594" s="263"/>
      <c r="G1594" s="275"/>
    </row>
    <row r="1595" spans="1:7" ht="17.45" customHeight="1">
      <c r="A1595" s="261" t="s">
        <v>8</v>
      </c>
      <c r="C1595" s="271" t="s">
        <v>1596</v>
      </c>
      <c r="D1595" s="497"/>
      <c r="E1595" s="499">
        <v>3300</v>
      </c>
      <c r="F1595" s="263"/>
      <c r="G1595" s="275"/>
    </row>
    <row r="1596" spans="1:7" ht="17.45" customHeight="1">
      <c r="A1596" s="261" t="s">
        <v>8</v>
      </c>
      <c r="C1596" s="271" t="s">
        <v>1595</v>
      </c>
      <c r="D1596" s="497"/>
      <c r="E1596" s="499">
        <v>3200</v>
      </c>
      <c r="F1596" s="263"/>
      <c r="G1596" s="275"/>
    </row>
    <row r="1597" spans="1:7" ht="17.45" customHeight="1">
      <c r="A1597" s="261" t="s">
        <v>8</v>
      </c>
      <c r="C1597" s="271" t="s">
        <v>1613</v>
      </c>
      <c r="D1597" s="497"/>
      <c r="E1597" s="499">
        <f>6000+1800+3600+900+6800+5200</f>
        <v>24300</v>
      </c>
      <c r="F1597" s="263"/>
      <c r="G1597" s="275"/>
    </row>
    <row r="1598" spans="1:7" ht="17.45" customHeight="1">
      <c r="A1598" s="261" t="s">
        <v>8</v>
      </c>
      <c r="C1598" s="271" t="s">
        <v>1569</v>
      </c>
      <c r="D1598" s="497"/>
      <c r="E1598" s="499">
        <v>85070</v>
      </c>
      <c r="F1598" s="263"/>
      <c r="G1598" s="275"/>
    </row>
    <row r="1599" spans="1:7" ht="17.45" customHeight="1">
      <c r="A1599" s="261" t="s">
        <v>8</v>
      </c>
      <c r="C1599" s="271" t="s">
        <v>1618</v>
      </c>
      <c r="D1599" s="497"/>
      <c r="E1599" s="499">
        <f>17760+2780</f>
        <v>20540</v>
      </c>
      <c r="F1599" s="263"/>
      <c r="G1599" s="275"/>
    </row>
    <row r="1600" spans="1:7" ht="17.45" customHeight="1">
      <c r="A1600" s="261" t="s">
        <v>8</v>
      </c>
      <c r="C1600" s="271" t="s">
        <v>1800</v>
      </c>
      <c r="D1600" s="497"/>
      <c r="E1600" s="497"/>
      <c r="F1600" s="263"/>
      <c r="G1600" s="275"/>
    </row>
    <row r="1601" spans="1:7" ht="17.45" customHeight="1" thickBot="1">
      <c r="A1601" s="261" t="s">
        <v>8</v>
      </c>
      <c r="C1601" s="276" t="s">
        <v>1594</v>
      </c>
      <c r="D1601" s="502"/>
      <c r="E1601" s="503">
        <f>30000+23000</f>
        <v>53000</v>
      </c>
      <c r="F1601" s="277"/>
      <c r="G1601" s="282"/>
    </row>
    <row r="1602" spans="1:7" ht="17.45" customHeight="1">
      <c r="A1602" s="261" t="s">
        <v>8</v>
      </c>
      <c r="C1602" s="279" t="s">
        <v>2009</v>
      </c>
      <c r="D1602" s="504"/>
      <c r="E1602" s="505">
        <v>224220</v>
      </c>
      <c r="F1602" s="280"/>
      <c r="G1602" s="281"/>
    </row>
    <row r="1603" spans="1:7" ht="17.45" customHeight="1">
      <c r="A1603" s="261" t="s">
        <v>8</v>
      </c>
      <c r="C1603" s="271" t="s">
        <v>2011</v>
      </c>
      <c r="D1603" s="497"/>
      <c r="E1603" s="499">
        <v>40000</v>
      </c>
      <c r="F1603" s="263"/>
      <c r="G1603" s="275"/>
    </row>
    <row r="1604" spans="1:7" ht="17.45" customHeight="1">
      <c r="A1604" s="261" t="s">
        <v>8</v>
      </c>
      <c r="C1604" s="271" t="s">
        <v>2012</v>
      </c>
      <c r="D1604" s="497"/>
      <c r="E1604" s="499">
        <v>11000</v>
      </c>
      <c r="F1604" s="263"/>
      <c r="G1604" s="275"/>
    </row>
    <row r="1605" spans="1:7" ht="17.45" customHeight="1">
      <c r="A1605" s="261" t="s">
        <v>8</v>
      </c>
      <c r="C1605" s="271" t="s">
        <v>2013</v>
      </c>
      <c r="D1605" s="497"/>
      <c r="E1605" s="499">
        <v>6000</v>
      </c>
      <c r="F1605" s="263"/>
      <c r="G1605" s="275"/>
    </row>
    <row r="1606" spans="1:7" ht="17.45" customHeight="1">
      <c r="A1606" s="261" t="s">
        <v>8</v>
      </c>
      <c r="C1606" s="271" t="s">
        <v>2014</v>
      </c>
      <c r="D1606" s="497"/>
      <c r="E1606" s="499">
        <v>18000</v>
      </c>
      <c r="F1606" s="263"/>
      <c r="G1606" s="275"/>
    </row>
    <row r="1607" spans="1:7" ht="17.45" customHeight="1">
      <c r="A1607" s="261" t="s">
        <v>8</v>
      </c>
      <c r="C1607" s="271" t="s">
        <v>1584</v>
      </c>
      <c r="D1607" s="497"/>
      <c r="E1607" s="499">
        <v>19000</v>
      </c>
      <c r="F1607" s="263"/>
      <c r="G1607" s="275"/>
    </row>
    <row r="1608" spans="1:7" ht="17.45" customHeight="1">
      <c r="A1608" s="261" t="s">
        <v>8</v>
      </c>
      <c r="C1608" s="271" t="s">
        <v>2015</v>
      </c>
      <c r="D1608" s="497"/>
      <c r="E1608" s="499">
        <v>25900</v>
      </c>
      <c r="F1608" s="263"/>
      <c r="G1608" s="275"/>
    </row>
    <row r="1609" spans="1:7" ht="17.45" customHeight="1">
      <c r="A1609" s="261" t="s">
        <v>8</v>
      </c>
      <c r="C1609" s="271" t="s">
        <v>2017</v>
      </c>
      <c r="D1609" s="497"/>
      <c r="E1609" s="499">
        <v>21000</v>
      </c>
      <c r="F1609" s="263"/>
      <c r="G1609" s="275"/>
    </row>
    <row r="1610" spans="1:7" ht="17.45" customHeight="1">
      <c r="A1610" s="261" t="s">
        <v>8</v>
      </c>
      <c r="C1610" s="271" t="s">
        <v>1931</v>
      </c>
      <c r="D1610" s="497"/>
      <c r="E1610" s="499">
        <v>2400</v>
      </c>
      <c r="F1610" s="263"/>
      <c r="G1610" s="275"/>
    </row>
    <row r="1611" spans="1:7" ht="17.45" customHeight="1">
      <c r="A1611" s="261" t="s">
        <v>8</v>
      </c>
      <c r="C1611" s="271" t="s">
        <v>2018</v>
      </c>
      <c r="D1611" s="497"/>
      <c r="E1611" s="499">
        <v>4500</v>
      </c>
      <c r="F1611" s="263"/>
      <c r="G1611" s="275"/>
    </row>
    <row r="1612" spans="1:7" ht="17.45" customHeight="1">
      <c r="A1612" s="261" t="s">
        <v>8</v>
      </c>
      <c r="C1612" s="271" t="s">
        <v>2019</v>
      </c>
      <c r="D1612" s="497"/>
      <c r="E1612" s="499">
        <v>12700</v>
      </c>
      <c r="F1612" s="263"/>
      <c r="G1612" s="275"/>
    </row>
    <row r="1613" spans="1:7" ht="17.45" customHeight="1">
      <c r="A1613" s="261" t="s">
        <v>8</v>
      </c>
      <c r="C1613" s="271" t="s">
        <v>1981</v>
      </c>
      <c r="D1613" s="497"/>
      <c r="E1613" s="499">
        <v>4990</v>
      </c>
      <c r="F1613" s="263"/>
      <c r="G1613" s="275"/>
    </row>
    <row r="1614" spans="1:7" ht="17.45" customHeight="1">
      <c r="A1614" s="261" t="s">
        <v>8</v>
      </c>
      <c r="C1614" s="271" t="s">
        <v>2020</v>
      </c>
      <c r="D1614" s="497"/>
      <c r="E1614" s="499">
        <v>1500</v>
      </c>
      <c r="F1614" s="263"/>
      <c r="G1614" s="275"/>
    </row>
    <row r="1615" spans="1:7" ht="17.45" customHeight="1">
      <c r="A1615" s="261" t="s">
        <v>8</v>
      </c>
      <c r="C1615" s="271" t="s">
        <v>2021</v>
      </c>
      <c r="D1615" s="497"/>
      <c r="E1615" s="499">
        <f>37800+21000</f>
        <v>58800</v>
      </c>
      <c r="F1615" s="263"/>
      <c r="G1615" s="275"/>
    </row>
    <row r="1616" spans="1:7" ht="17.45" customHeight="1">
      <c r="A1616" s="261" t="s">
        <v>8</v>
      </c>
      <c r="C1616" s="271" t="s">
        <v>2022</v>
      </c>
      <c r="D1616" s="497"/>
      <c r="E1616" s="499">
        <v>12000</v>
      </c>
      <c r="F1616" s="263"/>
      <c r="G1616" s="275"/>
    </row>
    <row r="1617" spans="1:7" ht="17.45" customHeight="1">
      <c r="A1617" s="261" t="s">
        <v>8</v>
      </c>
      <c r="C1617" s="271" t="s">
        <v>2023</v>
      </c>
      <c r="D1617" s="497"/>
      <c r="E1617" s="499">
        <v>33900</v>
      </c>
      <c r="F1617" s="263"/>
      <c r="G1617" s="275"/>
    </row>
    <row r="1618" spans="1:7" ht="17.45" customHeight="1">
      <c r="A1618" s="261" t="s">
        <v>8</v>
      </c>
      <c r="C1618" s="271" t="s">
        <v>1789</v>
      </c>
      <c r="D1618" s="497"/>
      <c r="E1618" s="499">
        <f>945300-473000</f>
        <v>472300</v>
      </c>
      <c r="F1618" s="263"/>
      <c r="G1618" s="275"/>
    </row>
    <row r="1619" spans="1:7" ht="17.45" customHeight="1">
      <c r="A1619" s="261" t="s">
        <v>8</v>
      </c>
      <c r="C1619" s="271" t="s">
        <v>2024</v>
      </c>
      <c r="D1619" s="497"/>
      <c r="E1619" s="499">
        <v>6900</v>
      </c>
      <c r="F1619" s="263"/>
      <c r="G1619" s="275"/>
    </row>
    <row r="1620" spans="1:7" ht="17.45" customHeight="1">
      <c r="A1620" s="261" t="s">
        <v>8</v>
      </c>
      <c r="C1620" s="271" t="s">
        <v>2025</v>
      </c>
      <c r="D1620" s="497"/>
      <c r="E1620" s="499">
        <v>23500</v>
      </c>
      <c r="F1620" s="263"/>
      <c r="G1620" s="275"/>
    </row>
    <row r="1621" spans="1:7" ht="17.45" customHeight="1">
      <c r="A1621" s="261" t="s">
        <v>8</v>
      </c>
      <c r="C1621" s="271" t="s">
        <v>2026</v>
      </c>
      <c r="D1621" s="497"/>
      <c r="E1621" s="499">
        <v>3000</v>
      </c>
      <c r="F1621" s="263"/>
      <c r="G1621" s="275"/>
    </row>
    <row r="1622" spans="1:7" ht="17.45" customHeight="1">
      <c r="A1622" s="261" t="s">
        <v>8</v>
      </c>
      <c r="C1622" s="271" t="s">
        <v>2027</v>
      </c>
      <c r="D1622" s="497"/>
      <c r="E1622" s="499">
        <v>1000</v>
      </c>
      <c r="F1622" s="263"/>
      <c r="G1622" s="275"/>
    </row>
    <row r="1623" spans="1:7" ht="17.45" customHeight="1">
      <c r="A1623" s="261" t="s">
        <v>8</v>
      </c>
      <c r="C1623" s="271" t="s">
        <v>2028</v>
      </c>
      <c r="D1623" s="497"/>
      <c r="E1623" s="499">
        <v>13570</v>
      </c>
      <c r="F1623" s="263"/>
      <c r="G1623" s="275"/>
    </row>
    <row r="1624" spans="1:7" ht="17.45" customHeight="1">
      <c r="A1624" s="261" t="s">
        <v>8</v>
      </c>
      <c r="C1624" s="271" t="s">
        <v>1784</v>
      </c>
      <c r="D1624" s="497"/>
      <c r="E1624" s="499">
        <v>9500</v>
      </c>
      <c r="F1624" s="263"/>
      <c r="G1624" s="275"/>
    </row>
    <row r="1625" spans="1:7" ht="17.45" customHeight="1">
      <c r="A1625" s="261" t="s">
        <v>8</v>
      </c>
      <c r="C1625" s="271" t="s">
        <v>1925</v>
      </c>
      <c r="D1625" s="497"/>
      <c r="E1625" s="499">
        <v>30000</v>
      </c>
      <c r="F1625" s="263"/>
      <c r="G1625" s="275"/>
    </row>
    <row r="1626" spans="1:7" ht="17.45" customHeight="1">
      <c r="A1626" s="261" t="s">
        <v>8</v>
      </c>
      <c r="C1626" s="271" t="s">
        <v>2078</v>
      </c>
      <c r="D1626" s="497"/>
      <c r="E1626" s="499">
        <v>5000</v>
      </c>
      <c r="F1626" s="263"/>
      <c r="G1626" s="275"/>
    </row>
    <row r="1627" spans="1:7" ht="17.45" customHeight="1">
      <c r="A1627" s="261" t="s">
        <v>8</v>
      </c>
      <c r="C1627" s="271" t="s">
        <v>2079</v>
      </c>
      <c r="D1627" s="497"/>
      <c r="E1627" s="499">
        <v>5500</v>
      </c>
      <c r="F1627" s="263"/>
      <c r="G1627" s="275"/>
    </row>
    <row r="1628" spans="1:7" ht="17.45" customHeight="1">
      <c r="A1628" s="261" t="s">
        <v>8</v>
      </c>
      <c r="C1628" s="271" t="s">
        <v>2080</v>
      </c>
      <c r="D1628" s="497"/>
      <c r="E1628" s="499">
        <v>300000</v>
      </c>
      <c r="F1628" s="263"/>
      <c r="G1628" s="275"/>
    </row>
    <row r="1629" spans="1:7" ht="17.45" customHeight="1">
      <c r="A1629" s="261" t="s">
        <v>8</v>
      </c>
      <c r="C1629" s="271" t="s">
        <v>2081</v>
      </c>
      <c r="D1629" s="499">
        <v>360000</v>
      </c>
      <c r="E1629" s="497"/>
      <c r="F1629" s="263"/>
      <c r="G1629" s="275"/>
    </row>
    <row r="1630" spans="1:7" ht="17.45" customHeight="1">
      <c r="A1630" s="261" t="s">
        <v>8</v>
      </c>
      <c r="C1630" s="271" t="s">
        <v>2082</v>
      </c>
      <c r="D1630" s="497"/>
      <c r="E1630" s="499">
        <v>34000</v>
      </c>
      <c r="F1630" s="263"/>
      <c r="G1630" s="275"/>
    </row>
    <row r="1631" spans="1:7" ht="17.45" customHeight="1">
      <c r="A1631" s="261" t="s">
        <v>8</v>
      </c>
      <c r="C1631" s="271" t="s">
        <v>1602</v>
      </c>
      <c r="D1631" s="499">
        <v>1510</v>
      </c>
      <c r="E1631" s="497"/>
      <c r="F1631" s="263"/>
      <c r="G1631" s="275"/>
    </row>
    <row r="1632" spans="1:7" ht="17.45" customHeight="1">
      <c r="A1632" s="261" t="s">
        <v>8</v>
      </c>
      <c r="C1632" s="271" t="s">
        <v>2083</v>
      </c>
      <c r="D1632" s="497"/>
      <c r="E1632" s="499">
        <v>3800</v>
      </c>
      <c r="F1632" s="263"/>
      <c r="G1632" s="275"/>
    </row>
    <row r="1633" spans="1:7" ht="17.45" customHeight="1">
      <c r="A1633" s="261" t="s">
        <v>8</v>
      </c>
      <c r="C1633" s="271" t="s">
        <v>2084</v>
      </c>
      <c r="D1633" s="497"/>
      <c r="E1633" s="499">
        <v>1600</v>
      </c>
      <c r="F1633" s="263"/>
      <c r="G1633" s="275"/>
    </row>
    <row r="1634" spans="1:7" ht="17.45" customHeight="1" thickBot="1">
      <c r="A1634" s="261" t="s">
        <v>8</v>
      </c>
      <c r="C1634" s="276" t="s">
        <v>1300</v>
      </c>
      <c r="D1634" s="502">
        <f>SUM(D1567:D1633)-SUM(E1567:E1633)</f>
        <v>1108185</v>
      </c>
      <c r="E1634" s="502">
        <f>SUM(E1567:E1633)-SUM(F1567:F1633)</f>
        <v>6507006</v>
      </c>
      <c r="F1634" s="277"/>
      <c r="G1634" s="283"/>
    </row>
    <row r="1635" spans="1:7">
      <c r="A1635" s="261" t="s">
        <v>8</v>
      </c>
    </row>
    <row r="1636" spans="1:7" ht="12.75" thickBot="1">
      <c r="A1636" s="261" t="s">
        <v>8</v>
      </c>
    </row>
    <row r="1637" spans="1:7" ht="17.45" customHeight="1">
      <c r="A1637" s="261" t="s">
        <v>8</v>
      </c>
      <c r="B1637" s="256" t="s">
        <v>2191</v>
      </c>
      <c r="C1637" s="268" t="s">
        <v>1268</v>
      </c>
      <c r="D1637" s="500">
        <v>6058871</v>
      </c>
      <c r="E1637" s="501"/>
      <c r="F1637" s="269"/>
      <c r="G1637" s="270"/>
    </row>
    <row r="1638" spans="1:7" ht="17.45" customHeight="1">
      <c r="A1638" s="261" t="s">
        <v>8</v>
      </c>
      <c r="B1638" s="257"/>
      <c r="C1638" s="271" t="s">
        <v>1269</v>
      </c>
      <c r="D1638" s="497"/>
      <c r="E1638" s="499">
        <v>422000</v>
      </c>
      <c r="F1638" s="263"/>
      <c r="G1638" s="272" t="s">
        <v>2190</v>
      </c>
    </row>
    <row r="1639" spans="1:7" ht="17.45" customHeight="1">
      <c r="A1639" s="261" t="s">
        <v>8</v>
      </c>
      <c r="C1639" s="271" t="s">
        <v>1270</v>
      </c>
      <c r="D1639" s="497"/>
      <c r="E1639" s="499">
        <v>736000</v>
      </c>
      <c r="F1639" s="263"/>
      <c r="G1639" s="273" t="s">
        <v>2192</v>
      </c>
    </row>
    <row r="1640" spans="1:7" ht="17.45" customHeight="1">
      <c r="A1640" s="261" t="s">
        <v>8</v>
      </c>
      <c r="C1640" s="271" t="s">
        <v>1670</v>
      </c>
      <c r="D1640" s="497"/>
      <c r="E1640" s="499">
        <v>26010</v>
      </c>
      <c r="F1640" s="263"/>
      <c r="G1640" s="274"/>
    </row>
    <row r="1641" spans="1:7" ht="17.45" customHeight="1">
      <c r="A1641" s="261" t="s">
        <v>8</v>
      </c>
      <c r="C1641" s="271" t="s">
        <v>1672</v>
      </c>
      <c r="D1641" s="497"/>
      <c r="E1641" s="499">
        <v>56580</v>
      </c>
      <c r="F1641" s="263"/>
      <c r="G1641" s="274"/>
    </row>
    <row r="1642" spans="1:7" ht="17.45" customHeight="1">
      <c r="A1642" s="261" t="s">
        <v>8</v>
      </c>
      <c r="C1642" s="271" t="s">
        <v>1673</v>
      </c>
      <c r="D1642" s="497"/>
      <c r="E1642" s="497">
        <v>0</v>
      </c>
      <c r="F1642" s="263"/>
      <c r="G1642" s="274"/>
    </row>
    <row r="1643" spans="1:7" ht="17.45" customHeight="1">
      <c r="A1643" s="261" t="s">
        <v>8</v>
      </c>
      <c r="C1643" s="271" t="s">
        <v>1332</v>
      </c>
      <c r="D1643" s="497"/>
      <c r="E1643" s="499">
        <v>42900</v>
      </c>
      <c r="F1643" s="263"/>
      <c r="G1643" s="275"/>
    </row>
    <row r="1644" spans="1:7" ht="17.45" customHeight="1">
      <c r="A1644" s="261" t="s">
        <v>8</v>
      </c>
      <c r="C1644" s="271" t="s">
        <v>1271</v>
      </c>
      <c r="D1644" s="497"/>
      <c r="E1644" s="497">
        <v>0</v>
      </c>
      <c r="F1644" s="263"/>
      <c r="G1644" s="274"/>
    </row>
    <row r="1645" spans="1:7" ht="17.45" customHeight="1">
      <c r="A1645" s="261" t="s">
        <v>8</v>
      </c>
      <c r="C1645" s="271" t="s">
        <v>1272</v>
      </c>
      <c r="D1645" s="497"/>
      <c r="E1645" s="499">
        <v>7470</v>
      </c>
      <c r="F1645" s="263"/>
      <c r="G1645" s="273"/>
    </row>
    <row r="1646" spans="1:7" ht="17.45" customHeight="1">
      <c r="A1646" s="261" t="s">
        <v>8</v>
      </c>
      <c r="C1646" s="271" t="s">
        <v>1273</v>
      </c>
      <c r="D1646" s="497"/>
      <c r="E1646" s="499">
        <v>29920</v>
      </c>
      <c r="F1646" s="263"/>
      <c r="G1646" s="273"/>
    </row>
    <row r="1647" spans="1:7" ht="17.45" customHeight="1">
      <c r="A1647" s="261" t="s">
        <v>8</v>
      </c>
      <c r="C1647" s="271" t="s">
        <v>1274</v>
      </c>
      <c r="D1647" s="497"/>
      <c r="E1647" s="499">
        <v>9405</v>
      </c>
      <c r="F1647" s="263"/>
      <c r="G1647" s="273"/>
    </row>
    <row r="1648" spans="1:7" ht="17.45" customHeight="1">
      <c r="A1648" s="261" t="s">
        <v>8</v>
      </c>
      <c r="C1648" s="271" t="s">
        <v>1275</v>
      </c>
      <c r="D1648" s="497"/>
      <c r="E1648" s="499">
        <v>26450</v>
      </c>
      <c r="F1648" s="263"/>
      <c r="G1648" s="273"/>
    </row>
    <row r="1649" spans="1:7" ht="17.45" customHeight="1">
      <c r="A1649" s="261" t="s">
        <v>8</v>
      </c>
      <c r="C1649" s="271" t="s">
        <v>2168</v>
      </c>
      <c r="D1649" s="497"/>
      <c r="E1649" s="499">
        <v>18816</v>
      </c>
      <c r="F1649" s="263"/>
      <c r="G1649" s="273"/>
    </row>
    <row r="1650" spans="1:7" ht="17.45" customHeight="1">
      <c r="A1650" s="261" t="s">
        <v>8</v>
      </c>
      <c r="C1650" s="271" t="s">
        <v>1517</v>
      </c>
      <c r="D1650" s="497"/>
      <c r="E1650" s="499">
        <v>23230</v>
      </c>
      <c r="F1650" s="263"/>
      <c r="G1650" s="273"/>
    </row>
    <row r="1651" spans="1:7" ht="17.45" customHeight="1">
      <c r="A1651" s="261" t="s">
        <v>8</v>
      </c>
      <c r="C1651" s="271" t="s">
        <v>1276</v>
      </c>
      <c r="D1651" s="497"/>
      <c r="E1651" s="499">
        <v>294830</v>
      </c>
      <c r="F1651" s="263"/>
      <c r="G1651" s="273"/>
    </row>
    <row r="1652" spans="1:7" ht="17.45" customHeight="1">
      <c r="A1652" s="261" t="s">
        <v>8</v>
      </c>
      <c r="C1652" s="271" t="s">
        <v>1277</v>
      </c>
      <c r="D1652" s="497"/>
      <c r="E1652" s="499">
        <v>41460</v>
      </c>
      <c r="F1652" s="263"/>
      <c r="G1652" s="273"/>
    </row>
    <row r="1653" spans="1:7" ht="17.45" customHeight="1">
      <c r="A1653" s="261" t="s">
        <v>8</v>
      </c>
      <c r="C1653" s="271" t="s">
        <v>1278</v>
      </c>
      <c r="D1653" s="497"/>
      <c r="E1653" s="499">
        <v>200000</v>
      </c>
      <c r="F1653" s="263"/>
      <c r="G1653" s="273"/>
    </row>
    <row r="1654" spans="1:7" ht="17.45" customHeight="1">
      <c r="A1654" s="261" t="s">
        <v>8</v>
      </c>
      <c r="C1654" s="285" t="s">
        <v>1413</v>
      </c>
      <c r="D1654" s="506"/>
      <c r="E1654" s="507">
        <v>1300000</v>
      </c>
      <c r="F1654" s="286"/>
      <c r="G1654" s="287"/>
    </row>
    <row r="1655" spans="1:7" ht="17.45" customHeight="1">
      <c r="A1655" s="261" t="s">
        <v>8</v>
      </c>
      <c r="C1655" s="285" t="s">
        <v>2088</v>
      </c>
      <c r="D1655" s="506"/>
      <c r="E1655" s="507">
        <v>360000</v>
      </c>
      <c r="F1655" s="286"/>
      <c r="G1655" s="287"/>
    </row>
    <row r="1656" spans="1:7" ht="17.45" customHeight="1" thickBot="1">
      <c r="A1656" s="261" t="s">
        <v>8</v>
      </c>
      <c r="C1656" s="285" t="s">
        <v>1942</v>
      </c>
      <c r="D1656" s="506"/>
      <c r="E1656" s="507">
        <v>20000</v>
      </c>
      <c r="F1656" s="286"/>
      <c r="G1656" s="290"/>
    </row>
    <row r="1657" spans="1:7" ht="17.45" customHeight="1">
      <c r="A1657" s="261" t="s">
        <v>8</v>
      </c>
      <c r="C1657" s="268" t="s">
        <v>1280</v>
      </c>
      <c r="D1657" s="501"/>
      <c r="E1657" s="500">
        <f>30000+50000</f>
        <v>80000</v>
      </c>
      <c r="F1657" s="269"/>
      <c r="G1657" s="288"/>
    </row>
    <row r="1658" spans="1:7" ht="17.45" customHeight="1">
      <c r="A1658" s="261" t="s">
        <v>8</v>
      </c>
      <c r="C1658" s="271" t="s">
        <v>1549</v>
      </c>
      <c r="D1658" s="497"/>
      <c r="E1658" s="497"/>
      <c r="F1658" s="263"/>
      <c r="G1658" s="275"/>
    </row>
    <row r="1659" spans="1:7" ht="17.45" customHeight="1">
      <c r="A1659" s="261" t="s">
        <v>8</v>
      </c>
      <c r="C1659" s="271" t="s">
        <v>1819</v>
      </c>
      <c r="D1659" s="497"/>
      <c r="E1659" s="497"/>
      <c r="F1659" s="263"/>
      <c r="G1659" s="275"/>
    </row>
    <row r="1660" spans="1:7" ht="17.45" customHeight="1">
      <c r="A1660" s="261" t="s">
        <v>8</v>
      </c>
      <c r="C1660" s="271" t="s">
        <v>391</v>
      </c>
      <c r="D1660" s="497"/>
      <c r="E1660" s="497"/>
      <c r="F1660" s="263"/>
      <c r="G1660" s="275"/>
    </row>
    <row r="1661" spans="1:7" ht="17.45" customHeight="1">
      <c r="A1661" s="261" t="s">
        <v>8</v>
      </c>
      <c r="C1661" s="271" t="s">
        <v>1934</v>
      </c>
      <c r="D1661" s="497"/>
      <c r="E1661" s="499">
        <v>50000</v>
      </c>
      <c r="F1661" s="263"/>
      <c r="G1661" s="275"/>
    </row>
    <row r="1662" spans="1:7" ht="17.45" customHeight="1">
      <c r="A1662" s="261" t="s">
        <v>8</v>
      </c>
      <c r="C1662" s="271" t="s">
        <v>2097</v>
      </c>
      <c r="D1662" s="497"/>
      <c r="E1662" s="499">
        <v>200000</v>
      </c>
      <c r="F1662" s="263"/>
      <c r="G1662" s="275"/>
    </row>
    <row r="1663" spans="1:7" ht="17.45" customHeight="1">
      <c r="A1663" s="261" t="s">
        <v>8</v>
      </c>
      <c r="C1663" s="271" t="s">
        <v>1484</v>
      </c>
      <c r="D1663" s="497"/>
      <c r="E1663" s="499">
        <v>-43000</v>
      </c>
      <c r="F1663" s="263"/>
      <c r="G1663" s="275"/>
    </row>
    <row r="1664" spans="1:7" ht="17.45" customHeight="1">
      <c r="A1664" s="261" t="s">
        <v>8</v>
      </c>
      <c r="C1664" s="271" t="s">
        <v>1687</v>
      </c>
      <c r="D1664" s="497"/>
      <c r="E1664" s="497"/>
      <c r="F1664" s="263"/>
      <c r="G1664" s="275"/>
    </row>
    <row r="1665" spans="1:7" ht="17.45" customHeight="1">
      <c r="A1665" s="261" t="s">
        <v>8</v>
      </c>
      <c r="C1665" s="271" t="s">
        <v>1688</v>
      </c>
      <c r="D1665" s="497"/>
      <c r="E1665" s="499">
        <v>50000</v>
      </c>
      <c r="F1665" s="263"/>
      <c r="G1665" s="275"/>
    </row>
    <row r="1666" spans="1:7" ht="17.45" customHeight="1">
      <c r="A1666" s="261" t="s">
        <v>8</v>
      </c>
      <c r="C1666" s="271" t="s">
        <v>1596</v>
      </c>
      <c r="D1666" s="497"/>
      <c r="E1666" s="497"/>
      <c r="F1666" s="263"/>
      <c r="G1666" s="275"/>
    </row>
    <row r="1667" spans="1:7" ht="17.45" customHeight="1">
      <c r="A1667" s="261" t="s">
        <v>8</v>
      </c>
      <c r="C1667" s="271" t="s">
        <v>1595</v>
      </c>
      <c r="D1667" s="497"/>
      <c r="E1667" s="497"/>
      <c r="F1667" s="263"/>
      <c r="G1667" s="275"/>
    </row>
    <row r="1668" spans="1:7" ht="17.45" customHeight="1">
      <c r="A1668" s="261" t="s">
        <v>8</v>
      </c>
      <c r="C1668" s="271" t="s">
        <v>1613</v>
      </c>
      <c r="D1668" s="497"/>
      <c r="E1668" s="499">
        <f>4500+7800+3000+9700+9000+3100</f>
        <v>37100</v>
      </c>
      <c r="F1668" s="263"/>
      <c r="G1668" s="275"/>
    </row>
    <row r="1669" spans="1:7" ht="17.45" customHeight="1">
      <c r="A1669" s="261" t="s">
        <v>8</v>
      </c>
      <c r="C1669" s="271" t="s">
        <v>1569</v>
      </c>
      <c r="D1669" s="497"/>
      <c r="E1669" s="497"/>
      <c r="F1669" s="263"/>
      <c r="G1669" s="275"/>
    </row>
    <row r="1670" spans="1:7" ht="17.45" customHeight="1">
      <c r="A1670" s="261" t="s">
        <v>8</v>
      </c>
      <c r="C1670" s="271" t="s">
        <v>1618</v>
      </c>
      <c r="D1670" s="497"/>
      <c r="E1670" s="499">
        <f>2780+33260+5280+3490+15800+31470</f>
        <v>92080</v>
      </c>
      <c r="F1670" s="263"/>
      <c r="G1670" s="275"/>
    </row>
    <row r="1671" spans="1:7" ht="17.45" customHeight="1">
      <c r="A1671" s="261" t="s">
        <v>8</v>
      </c>
      <c r="C1671" s="271" t="s">
        <v>1800</v>
      </c>
      <c r="D1671" s="497"/>
      <c r="E1671" s="499">
        <v>15000</v>
      </c>
      <c r="F1671" s="263"/>
      <c r="G1671" s="275"/>
    </row>
    <row r="1672" spans="1:7" ht="17.45" customHeight="1" thickBot="1">
      <c r="A1672" s="261" t="s">
        <v>8</v>
      </c>
      <c r="C1672" s="276" t="s">
        <v>1594</v>
      </c>
      <c r="D1672" s="502"/>
      <c r="E1672" s="503">
        <f>21500+22000</f>
        <v>43500</v>
      </c>
      <c r="F1672" s="277"/>
      <c r="G1672" s="282"/>
    </row>
    <row r="1673" spans="1:7" ht="17.45" customHeight="1">
      <c r="A1673" s="261" t="s">
        <v>8</v>
      </c>
      <c r="C1673" s="279" t="s">
        <v>2087</v>
      </c>
      <c r="D1673" s="504"/>
      <c r="E1673" s="505">
        <f>47000-47000</f>
        <v>0</v>
      </c>
      <c r="F1673" s="280"/>
      <c r="G1673" s="281"/>
    </row>
    <row r="1674" spans="1:7" ht="17.45" customHeight="1">
      <c r="A1674" s="261" t="s">
        <v>8</v>
      </c>
      <c r="C1674" s="271" t="s">
        <v>1789</v>
      </c>
      <c r="D1674" s="497"/>
      <c r="E1674" s="499">
        <v>-472300</v>
      </c>
      <c r="F1674" s="263"/>
      <c r="G1674" s="275"/>
    </row>
    <row r="1675" spans="1:7" ht="17.45" customHeight="1">
      <c r="A1675" s="261" t="s">
        <v>8</v>
      </c>
      <c r="C1675" s="271" t="s">
        <v>1693</v>
      </c>
      <c r="D1675" s="497"/>
      <c r="E1675" s="499">
        <v>15900</v>
      </c>
      <c r="F1675" s="263"/>
      <c r="G1675" s="275"/>
    </row>
    <row r="1676" spans="1:7" ht="17.45" customHeight="1">
      <c r="A1676" s="261" t="s">
        <v>8</v>
      </c>
      <c r="C1676" s="271" t="s">
        <v>2089</v>
      </c>
      <c r="D1676" s="497"/>
      <c r="E1676" s="499">
        <v>3000</v>
      </c>
      <c r="F1676" s="263"/>
      <c r="G1676" s="275"/>
    </row>
    <row r="1677" spans="1:7" ht="17.45" customHeight="1">
      <c r="A1677" s="261" t="s">
        <v>8</v>
      </c>
      <c r="C1677" s="271" t="s">
        <v>1894</v>
      </c>
      <c r="D1677" s="497"/>
      <c r="E1677" s="499">
        <v>3300</v>
      </c>
      <c r="F1677" s="263"/>
      <c r="G1677" s="275"/>
    </row>
    <row r="1678" spans="1:7" ht="17.45" customHeight="1">
      <c r="A1678" s="261" t="s">
        <v>8</v>
      </c>
      <c r="C1678" s="271" t="s">
        <v>2090</v>
      </c>
      <c r="D1678" s="497"/>
      <c r="E1678" s="499">
        <v>67000</v>
      </c>
      <c r="F1678" s="263"/>
      <c r="G1678" s="275"/>
    </row>
    <row r="1679" spans="1:7" ht="17.45" customHeight="1">
      <c r="A1679" s="261" t="s">
        <v>8</v>
      </c>
      <c r="C1679" s="271" t="s">
        <v>2092</v>
      </c>
      <c r="D1679" s="497"/>
      <c r="E1679" s="499">
        <v>32900</v>
      </c>
      <c r="F1679" s="263"/>
      <c r="G1679" s="275"/>
    </row>
    <row r="1680" spans="1:7" ht="17.45" customHeight="1">
      <c r="A1680" s="261" t="s">
        <v>8</v>
      </c>
      <c r="C1680" s="271" t="s">
        <v>2093</v>
      </c>
      <c r="D1680" s="497"/>
      <c r="E1680" s="499">
        <v>22000</v>
      </c>
      <c r="F1680" s="263"/>
      <c r="G1680" s="275"/>
    </row>
    <row r="1681" spans="1:7" ht="17.45" customHeight="1">
      <c r="A1681" s="261" t="s">
        <v>8</v>
      </c>
      <c r="C1681" s="271" t="s">
        <v>2094</v>
      </c>
      <c r="D1681" s="497"/>
      <c r="E1681" s="499">
        <v>8000</v>
      </c>
      <c r="F1681" s="263"/>
      <c r="G1681" s="275"/>
    </row>
    <row r="1682" spans="1:7" ht="17.45" customHeight="1">
      <c r="A1682" s="261" t="s">
        <v>8</v>
      </c>
      <c r="C1682" s="271" t="s">
        <v>2095</v>
      </c>
      <c r="D1682" s="497"/>
      <c r="E1682" s="499">
        <v>9000</v>
      </c>
      <c r="F1682" s="263"/>
      <c r="G1682" s="275"/>
    </row>
    <row r="1683" spans="1:7" ht="17.45" customHeight="1">
      <c r="A1683" s="261" t="s">
        <v>8</v>
      </c>
      <c r="C1683" s="271" t="s">
        <v>1585</v>
      </c>
      <c r="D1683" s="497"/>
      <c r="E1683" s="499">
        <v>23300</v>
      </c>
      <c r="F1683" s="263"/>
      <c r="G1683" s="275"/>
    </row>
    <row r="1684" spans="1:7" ht="17.45" customHeight="1">
      <c r="A1684" s="261" t="s">
        <v>8</v>
      </c>
      <c r="C1684" s="271" t="s">
        <v>2014</v>
      </c>
      <c r="D1684" s="497"/>
      <c r="E1684" s="499">
        <v>60000</v>
      </c>
      <c r="F1684" s="263"/>
      <c r="G1684" s="275"/>
    </row>
    <row r="1685" spans="1:7" ht="17.45" customHeight="1">
      <c r="A1685" s="261" t="s">
        <v>8</v>
      </c>
      <c r="C1685" s="271" t="s">
        <v>2096</v>
      </c>
      <c r="D1685" s="497"/>
      <c r="E1685" s="499">
        <v>100000</v>
      </c>
      <c r="F1685" s="263"/>
      <c r="G1685" s="275"/>
    </row>
    <row r="1686" spans="1:7" ht="17.45" customHeight="1">
      <c r="A1686" s="261" t="s">
        <v>8</v>
      </c>
      <c r="C1686" s="271" t="s">
        <v>2098</v>
      </c>
      <c r="D1686" s="497"/>
      <c r="E1686" s="499">
        <v>50000</v>
      </c>
      <c r="F1686" s="263"/>
      <c r="G1686" s="275"/>
    </row>
    <row r="1687" spans="1:7" ht="17.45" customHeight="1">
      <c r="A1687" s="261" t="s">
        <v>8</v>
      </c>
      <c r="C1687" s="271" t="s">
        <v>2099</v>
      </c>
      <c r="D1687" s="497"/>
      <c r="E1687" s="499">
        <v>50000</v>
      </c>
      <c r="F1687" s="263"/>
      <c r="G1687" s="275"/>
    </row>
    <row r="1688" spans="1:7" ht="17.45" customHeight="1">
      <c r="A1688" s="261" t="s">
        <v>8</v>
      </c>
      <c r="C1688" s="271" t="s">
        <v>1777</v>
      </c>
      <c r="D1688" s="497"/>
      <c r="E1688" s="499">
        <v>4400</v>
      </c>
      <c r="F1688" s="263"/>
      <c r="G1688" s="275"/>
    </row>
    <row r="1689" spans="1:7" ht="17.45" customHeight="1">
      <c r="A1689" s="261" t="s">
        <v>8</v>
      </c>
      <c r="C1689" s="271" t="s">
        <v>1628</v>
      </c>
      <c r="D1689" s="497"/>
      <c r="E1689" s="499">
        <v>16000</v>
      </c>
      <c r="F1689" s="263"/>
      <c r="G1689" s="275"/>
    </row>
    <row r="1690" spans="1:7" ht="17.45" customHeight="1">
      <c r="A1690" s="261" t="s">
        <v>8</v>
      </c>
      <c r="C1690" s="271" t="s">
        <v>2107</v>
      </c>
      <c r="D1690" s="497"/>
      <c r="E1690" s="499">
        <v>35100</v>
      </c>
      <c r="F1690" s="263"/>
      <c r="G1690" s="275"/>
    </row>
    <row r="1691" spans="1:7" ht="17.45" customHeight="1">
      <c r="A1691" s="261" t="s">
        <v>8</v>
      </c>
      <c r="C1691" s="271" t="s">
        <v>2108</v>
      </c>
      <c r="D1691" s="497"/>
      <c r="E1691" s="499">
        <v>39580</v>
      </c>
      <c r="F1691" s="263"/>
      <c r="G1691" s="275"/>
    </row>
    <row r="1692" spans="1:7" ht="17.45" customHeight="1">
      <c r="A1692" s="261" t="s">
        <v>8</v>
      </c>
      <c r="C1692" s="271" t="s">
        <v>2109</v>
      </c>
      <c r="D1692" s="497"/>
      <c r="E1692" s="499">
        <v>100000</v>
      </c>
      <c r="F1692" s="263"/>
      <c r="G1692" s="275"/>
    </row>
    <row r="1693" spans="1:7" ht="17.45" customHeight="1">
      <c r="A1693" s="261" t="s">
        <v>8</v>
      </c>
      <c r="C1693" s="271" t="s">
        <v>2110</v>
      </c>
      <c r="D1693" s="497"/>
      <c r="E1693" s="499">
        <v>22100</v>
      </c>
      <c r="F1693" s="263"/>
      <c r="G1693" s="275"/>
    </row>
    <row r="1694" spans="1:7" ht="17.45" customHeight="1">
      <c r="A1694" s="261" t="s">
        <v>8</v>
      </c>
      <c r="C1694" s="271" t="s">
        <v>2111</v>
      </c>
      <c r="D1694" s="497"/>
      <c r="E1694" s="499">
        <v>9000</v>
      </c>
      <c r="F1694" s="263"/>
      <c r="G1694" s="275"/>
    </row>
    <row r="1695" spans="1:7" ht="17.45" customHeight="1">
      <c r="A1695" s="261" t="s">
        <v>8</v>
      </c>
      <c r="C1695" s="271" t="s">
        <v>2112</v>
      </c>
      <c r="D1695" s="497"/>
      <c r="E1695" s="499">
        <v>26000</v>
      </c>
      <c r="F1695" s="263"/>
      <c r="G1695" s="275"/>
    </row>
    <row r="1696" spans="1:7" ht="17.45" customHeight="1">
      <c r="A1696" s="261" t="s">
        <v>8</v>
      </c>
      <c r="C1696" s="271" t="s">
        <v>2113</v>
      </c>
      <c r="D1696" s="497"/>
      <c r="E1696" s="499">
        <v>500</v>
      </c>
      <c r="F1696" s="263"/>
      <c r="G1696" s="275"/>
    </row>
    <row r="1697" spans="1:7" ht="17.45" customHeight="1">
      <c r="A1697" s="261" t="s">
        <v>8</v>
      </c>
      <c r="C1697" s="271" t="s">
        <v>2114</v>
      </c>
      <c r="D1697" s="497"/>
      <c r="E1697" s="499">
        <v>151720</v>
      </c>
      <c r="F1697" s="263"/>
      <c r="G1697" s="275"/>
    </row>
    <row r="1698" spans="1:7" ht="17.45" customHeight="1">
      <c r="A1698" s="261" t="s">
        <v>8</v>
      </c>
      <c r="C1698" s="271" t="s">
        <v>2115</v>
      </c>
      <c r="D1698" s="497"/>
      <c r="E1698" s="499">
        <v>29410</v>
      </c>
      <c r="F1698" s="263"/>
      <c r="G1698" s="275"/>
    </row>
    <row r="1699" spans="1:7" ht="17.45" customHeight="1">
      <c r="A1699" s="261" t="s">
        <v>8</v>
      </c>
      <c r="C1699" s="271" t="s">
        <v>2193</v>
      </c>
      <c r="D1699" s="497"/>
      <c r="E1699" s="499">
        <v>5000</v>
      </c>
      <c r="F1699" s="263"/>
      <c r="G1699" s="275"/>
    </row>
    <row r="1700" spans="1:7" ht="17.45" customHeight="1">
      <c r="A1700" s="261" t="s">
        <v>8</v>
      </c>
      <c r="C1700" s="271" t="s">
        <v>2194</v>
      </c>
      <c r="D1700" s="497"/>
      <c r="E1700" s="499">
        <v>4500</v>
      </c>
      <c r="F1700" s="263"/>
      <c r="G1700" s="275"/>
    </row>
    <row r="1701" spans="1:7" ht="17.45" customHeight="1">
      <c r="A1701" s="261" t="s">
        <v>8</v>
      </c>
      <c r="C1701" s="271" t="s">
        <v>2195</v>
      </c>
      <c r="D1701" s="497"/>
      <c r="E1701" s="499">
        <v>28700</v>
      </c>
      <c r="F1701" s="263"/>
      <c r="G1701" s="275"/>
    </row>
    <row r="1702" spans="1:7" ht="17.45" customHeight="1">
      <c r="A1702" s="261" t="s">
        <v>8</v>
      </c>
      <c r="C1702" s="271" t="s">
        <v>2196</v>
      </c>
      <c r="D1702" s="497"/>
      <c r="E1702" s="499">
        <v>16500</v>
      </c>
      <c r="F1702" s="263"/>
      <c r="G1702" s="275"/>
    </row>
    <row r="1703" spans="1:7" ht="17.45" customHeight="1">
      <c r="A1703" s="261" t="s">
        <v>8</v>
      </c>
      <c r="C1703" s="271" t="s">
        <v>2197</v>
      </c>
      <c r="D1703" s="497"/>
      <c r="E1703" s="499">
        <v>20000</v>
      </c>
      <c r="F1703" s="263"/>
      <c r="G1703" s="275"/>
    </row>
    <row r="1704" spans="1:7" ht="17.45" customHeight="1">
      <c r="A1704" s="261" t="s">
        <v>8</v>
      </c>
      <c r="C1704" s="271" t="s">
        <v>1680</v>
      </c>
      <c r="D1704" s="497"/>
      <c r="E1704" s="499">
        <v>3800</v>
      </c>
      <c r="F1704" s="263"/>
      <c r="G1704" s="275"/>
    </row>
    <row r="1705" spans="1:7" ht="17.45" customHeight="1" thickBot="1">
      <c r="A1705" s="261" t="s">
        <v>8</v>
      </c>
      <c r="C1705" s="276" t="s">
        <v>1300</v>
      </c>
      <c r="D1705" s="502">
        <f>SUM(D1637:D1704)-SUM(E1637:E1704)</f>
        <v>1434710</v>
      </c>
      <c r="E1705" s="502">
        <f>SUM(E1637:E1704)-SUM(F1637:F1704)</f>
        <v>4624161</v>
      </c>
      <c r="F1705" s="277"/>
      <c r="G1705" s="283"/>
    </row>
    <row r="1706" spans="1:7">
      <c r="A1706" s="261" t="s">
        <v>8</v>
      </c>
    </row>
    <row r="1707" spans="1:7" ht="12.75" thickBot="1">
      <c r="A1707" s="261" t="s">
        <v>8</v>
      </c>
    </row>
    <row r="1708" spans="1:7" ht="17.45" customHeight="1">
      <c r="A1708" s="261" t="s">
        <v>8</v>
      </c>
      <c r="B1708" s="256" t="s">
        <v>2198</v>
      </c>
      <c r="C1708" s="268" t="s">
        <v>1268</v>
      </c>
      <c r="D1708" s="500">
        <v>5832171</v>
      </c>
      <c r="E1708" s="501"/>
      <c r="F1708" s="269"/>
      <c r="G1708" s="270"/>
    </row>
    <row r="1709" spans="1:7" ht="17.45" customHeight="1">
      <c r="A1709" s="261" t="s">
        <v>8</v>
      </c>
      <c r="B1709" s="257"/>
      <c r="C1709" s="271" t="s">
        <v>1269</v>
      </c>
      <c r="D1709" s="497"/>
      <c r="E1709" s="499">
        <v>418000</v>
      </c>
      <c r="F1709" s="263"/>
      <c r="G1709" s="272" t="s">
        <v>2199</v>
      </c>
    </row>
    <row r="1710" spans="1:7" ht="17.45" customHeight="1">
      <c r="A1710" s="261" t="s">
        <v>8</v>
      </c>
      <c r="C1710" s="271" t="s">
        <v>1270</v>
      </c>
      <c r="D1710" s="497"/>
      <c r="E1710" s="499">
        <v>732000</v>
      </c>
      <c r="F1710" s="263"/>
      <c r="G1710" s="273" t="s">
        <v>2192</v>
      </c>
    </row>
    <row r="1711" spans="1:7" ht="17.45" customHeight="1">
      <c r="A1711" s="261" t="s">
        <v>8</v>
      </c>
      <c r="C1711" s="271" t="s">
        <v>1670</v>
      </c>
      <c r="D1711" s="497"/>
      <c r="E1711" s="499">
        <v>26010</v>
      </c>
      <c r="F1711" s="263"/>
      <c r="G1711" s="274"/>
    </row>
    <row r="1712" spans="1:7" ht="17.45" customHeight="1">
      <c r="A1712" s="261" t="s">
        <v>8</v>
      </c>
      <c r="C1712" s="271" t="s">
        <v>1672</v>
      </c>
      <c r="D1712" s="497"/>
      <c r="E1712" s="499">
        <v>42090</v>
      </c>
      <c r="F1712" s="263"/>
      <c r="G1712" s="274"/>
    </row>
    <row r="1713" spans="1:7" ht="17.45" customHeight="1">
      <c r="A1713" s="261" t="s">
        <v>8</v>
      </c>
      <c r="C1713" s="271" t="s">
        <v>1673</v>
      </c>
      <c r="D1713" s="497"/>
      <c r="E1713" s="497">
        <v>0</v>
      </c>
      <c r="F1713" s="263"/>
      <c r="G1713" s="274"/>
    </row>
    <row r="1714" spans="1:7" ht="17.45" customHeight="1">
      <c r="A1714" s="261" t="s">
        <v>8</v>
      </c>
      <c r="C1714" s="271" t="s">
        <v>1332</v>
      </c>
      <c r="D1714" s="497"/>
      <c r="E1714" s="499">
        <v>42900</v>
      </c>
      <c r="F1714" s="263"/>
      <c r="G1714" s="275"/>
    </row>
    <row r="1715" spans="1:7" ht="17.45" customHeight="1">
      <c r="A1715" s="261" t="s">
        <v>8</v>
      </c>
      <c r="C1715" s="271" t="s">
        <v>1271</v>
      </c>
      <c r="D1715" s="497"/>
      <c r="E1715" s="497">
        <v>0</v>
      </c>
      <c r="F1715" s="263"/>
      <c r="G1715" s="274"/>
    </row>
    <row r="1716" spans="1:7" ht="17.45" customHeight="1">
      <c r="A1716" s="261" t="s">
        <v>8</v>
      </c>
      <c r="C1716" s="271" t="s">
        <v>1272</v>
      </c>
      <c r="D1716" s="497"/>
      <c r="E1716" s="499">
        <v>7470</v>
      </c>
      <c r="F1716" s="263"/>
      <c r="G1716" s="273"/>
    </row>
    <row r="1717" spans="1:7" ht="17.45" customHeight="1">
      <c r="A1717" s="261" t="s">
        <v>8</v>
      </c>
      <c r="C1717" s="271" t="s">
        <v>1273</v>
      </c>
      <c r="D1717" s="497"/>
      <c r="E1717" s="499">
        <v>29920</v>
      </c>
      <c r="F1717" s="263"/>
      <c r="G1717" s="273"/>
    </row>
    <row r="1718" spans="1:7" ht="17.45" customHeight="1">
      <c r="A1718" s="261" t="s">
        <v>8</v>
      </c>
      <c r="C1718" s="271" t="s">
        <v>1274</v>
      </c>
      <c r="D1718" s="497"/>
      <c r="E1718" s="499">
        <v>9405</v>
      </c>
      <c r="F1718" s="263"/>
      <c r="G1718" s="273"/>
    </row>
    <row r="1719" spans="1:7" ht="17.45" customHeight="1">
      <c r="A1719" s="261" t="s">
        <v>8</v>
      </c>
      <c r="C1719" s="271" t="s">
        <v>1275</v>
      </c>
      <c r="D1719" s="497"/>
      <c r="E1719" s="499">
        <v>26450</v>
      </c>
      <c r="F1719" s="263"/>
      <c r="G1719" s="273"/>
    </row>
    <row r="1720" spans="1:7" ht="17.45" customHeight="1">
      <c r="A1720" s="261" t="s">
        <v>8</v>
      </c>
      <c r="C1720" s="271" t="s">
        <v>2168</v>
      </c>
      <c r="D1720" s="497"/>
      <c r="E1720" s="499">
        <v>18816</v>
      </c>
      <c r="F1720" s="263"/>
      <c r="G1720" s="273"/>
    </row>
    <row r="1721" spans="1:7" ht="17.45" customHeight="1">
      <c r="A1721" s="261" t="s">
        <v>8</v>
      </c>
      <c r="C1721" s="271" t="s">
        <v>1517</v>
      </c>
      <c r="D1721" s="497"/>
      <c r="E1721" s="497">
        <v>0</v>
      </c>
      <c r="F1721" s="263"/>
      <c r="G1721" s="273"/>
    </row>
    <row r="1722" spans="1:7" ht="17.45" customHeight="1">
      <c r="A1722" s="261" t="s">
        <v>8</v>
      </c>
      <c r="C1722" s="271" t="s">
        <v>1276</v>
      </c>
      <c r="D1722" s="497"/>
      <c r="E1722" s="499">
        <v>316760</v>
      </c>
      <c r="F1722" s="263"/>
      <c r="G1722" s="273"/>
    </row>
    <row r="1723" spans="1:7" ht="17.45" customHeight="1">
      <c r="A1723" s="261" t="s">
        <v>8</v>
      </c>
      <c r="C1723" s="271" t="s">
        <v>1277</v>
      </c>
      <c r="D1723" s="497"/>
      <c r="E1723" s="499">
        <v>18950</v>
      </c>
      <c r="F1723" s="263"/>
      <c r="G1723" s="273"/>
    </row>
    <row r="1724" spans="1:7" ht="17.45" customHeight="1">
      <c r="A1724" s="261" t="s">
        <v>8</v>
      </c>
      <c r="C1724" s="271" t="s">
        <v>1278</v>
      </c>
      <c r="D1724" s="497"/>
      <c r="E1724" s="499">
        <v>200000</v>
      </c>
      <c r="F1724" s="263"/>
      <c r="G1724" s="273"/>
    </row>
    <row r="1725" spans="1:7" ht="17.45" customHeight="1">
      <c r="A1725" s="261" t="s">
        <v>8</v>
      </c>
      <c r="C1725" s="285" t="s">
        <v>1413</v>
      </c>
      <c r="D1725" s="506"/>
      <c r="E1725" s="507">
        <v>1300000</v>
      </c>
      <c r="F1725" s="286"/>
      <c r="G1725" s="287"/>
    </row>
    <row r="1726" spans="1:7" ht="17.45" customHeight="1" thickBot="1">
      <c r="A1726" s="261" t="s">
        <v>8</v>
      </c>
      <c r="C1726" s="285" t="s">
        <v>1942</v>
      </c>
      <c r="D1726" s="506"/>
      <c r="E1726" s="507">
        <v>20000</v>
      </c>
      <c r="F1726" s="286"/>
      <c r="G1726" s="290"/>
    </row>
    <row r="1727" spans="1:7" ht="17.45" customHeight="1">
      <c r="A1727" s="261" t="s">
        <v>8</v>
      </c>
      <c r="C1727" s="268" t="s">
        <v>1280</v>
      </c>
      <c r="D1727" s="501"/>
      <c r="E1727" s="500">
        <v>50000</v>
      </c>
      <c r="F1727" s="269"/>
      <c r="G1727" s="288"/>
    </row>
    <row r="1728" spans="1:7" ht="17.45" customHeight="1">
      <c r="A1728" s="261" t="s">
        <v>8</v>
      </c>
      <c r="C1728" s="271" t="s">
        <v>1549</v>
      </c>
      <c r="D1728" s="497"/>
      <c r="E1728" s="497"/>
      <c r="F1728" s="263"/>
      <c r="G1728" s="275"/>
    </row>
    <row r="1729" spans="1:7" ht="17.45" customHeight="1">
      <c r="A1729" s="261" t="s">
        <v>8</v>
      </c>
      <c r="C1729" s="271" t="s">
        <v>1819</v>
      </c>
      <c r="D1729" s="497"/>
      <c r="E1729" s="497"/>
      <c r="F1729" s="263"/>
      <c r="G1729" s="275"/>
    </row>
    <row r="1730" spans="1:7" ht="17.45" customHeight="1">
      <c r="A1730" s="261" t="s">
        <v>8</v>
      </c>
      <c r="C1730" s="271" t="s">
        <v>391</v>
      </c>
      <c r="D1730" s="497"/>
      <c r="E1730" s="497"/>
      <c r="F1730" s="263"/>
      <c r="G1730" s="275"/>
    </row>
    <row r="1731" spans="1:7" ht="17.45" customHeight="1">
      <c r="A1731" s="261" t="s">
        <v>8</v>
      </c>
      <c r="C1731" s="271" t="s">
        <v>1934</v>
      </c>
      <c r="D1731" s="497"/>
      <c r="E1731" s="497"/>
      <c r="F1731" s="263"/>
      <c r="G1731" s="275"/>
    </row>
    <row r="1732" spans="1:7" ht="17.25" customHeight="1">
      <c r="A1732" s="261" t="s">
        <v>8</v>
      </c>
      <c r="C1732" s="271" t="s">
        <v>2202</v>
      </c>
      <c r="D1732" s="497"/>
      <c r="E1732" s="499">
        <v>50000</v>
      </c>
      <c r="F1732" s="263"/>
      <c r="G1732" s="275"/>
    </row>
    <row r="1733" spans="1:7" ht="17.45" customHeight="1">
      <c r="A1733" s="261" t="s">
        <v>8</v>
      </c>
      <c r="C1733" s="271" t="s">
        <v>2097</v>
      </c>
      <c r="D1733" s="497"/>
      <c r="E1733" s="499">
        <v>200000</v>
      </c>
      <c r="F1733" s="263"/>
      <c r="G1733" s="275"/>
    </row>
    <row r="1734" spans="1:7" ht="17.45" customHeight="1">
      <c r="A1734" s="261" t="s">
        <v>8</v>
      </c>
      <c r="C1734" s="271" t="s">
        <v>1484</v>
      </c>
      <c r="D1734" s="497"/>
      <c r="E1734" s="497"/>
      <c r="F1734" s="263"/>
      <c r="G1734" s="275"/>
    </row>
    <row r="1735" spans="1:7" ht="17.45" customHeight="1">
      <c r="A1735" s="261" t="s">
        <v>8</v>
      </c>
      <c r="C1735" s="271" t="s">
        <v>1687</v>
      </c>
      <c r="D1735" s="497"/>
      <c r="E1735" s="497"/>
      <c r="F1735" s="263"/>
      <c r="G1735" s="275"/>
    </row>
    <row r="1736" spans="1:7" ht="17.45" customHeight="1">
      <c r="A1736" s="261" t="s">
        <v>8</v>
      </c>
      <c r="C1736" s="271" t="s">
        <v>1688</v>
      </c>
      <c r="D1736" s="497"/>
      <c r="E1736" s="499">
        <v>55000</v>
      </c>
      <c r="F1736" s="263"/>
      <c r="G1736" s="275"/>
    </row>
    <row r="1737" spans="1:7" ht="17.45" customHeight="1">
      <c r="A1737" s="261" t="s">
        <v>8</v>
      </c>
      <c r="C1737" s="271" t="s">
        <v>1596</v>
      </c>
      <c r="D1737" s="497"/>
      <c r="E1737" s="497"/>
      <c r="F1737" s="263"/>
      <c r="G1737" s="275"/>
    </row>
    <row r="1738" spans="1:7" ht="17.45" customHeight="1">
      <c r="A1738" s="261" t="s">
        <v>8</v>
      </c>
      <c r="C1738" s="271" t="s">
        <v>1595</v>
      </c>
      <c r="D1738" s="497"/>
      <c r="E1738" s="497"/>
      <c r="F1738" s="263"/>
      <c r="G1738" s="275"/>
    </row>
    <row r="1739" spans="1:7" ht="17.45" customHeight="1">
      <c r="A1739" s="261" t="s">
        <v>8</v>
      </c>
      <c r="C1739" s="271" t="s">
        <v>1613</v>
      </c>
      <c r="D1739" s="497"/>
      <c r="E1739" s="499">
        <f>9600+8900+8400+2900</f>
        <v>29800</v>
      </c>
      <c r="F1739" s="263"/>
      <c r="G1739" s="275"/>
    </row>
    <row r="1740" spans="1:7" ht="17.45" customHeight="1">
      <c r="A1740" s="261" t="s">
        <v>8</v>
      </c>
      <c r="C1740" s="271" t="s">
        <v>1689</v>
      </c>
      <c r="D1740" s="497"/>
      <c r="E1740" s="499">
        <v>59150</v>
      </c>
      <c r="F1740" s="263"/>
      <c r="G1740" s="275"/>
    </row>
    <row r="1741" spans="1:7" ht="17.45" customHeight="1">
      <c r="A1741" s="261" t="s">
        <v>8</v>
      </c>
      <c r="C1741" s="271" t="s">
        <v>1569</v>
      </c>
      <c r="D1741" s="497"/>
      <c r="E1741" s="497"/>
      <c r="F1741" s="263"/>
      <c r="G1741" s="275"/>
    </row>
    <row r="1742" spans="1:7" ht="17.45" customHeight="1">
      <c r="A1742" s="261" t="s">
        <v>8</v>
      </c>
      <c r="C1742" s="271" t="s">
        <v>1618</v>
      </c>
      <c r="D1742" s="497"/>
      <c r="E1742" s="499">
        <f>12510+45200+35380+2800</f>
        <v>95890</v>
      </c>
      <c r="F1742" s="263"/>
      <c r="G1742" s="275"/>
    </row>
    <row r="1743" spans="1:7" ht="17.45" customHeight="1">
      <c r="A1743" s="261" t="s">
        <v>8</v>
      </c>
      <c r="C1743" s="271" t="s">
        <v>1800</v>
      </c>
      <c r="D1743" s="497"/>
      <c r="E1743" s="499">
        <v>20000</v>
      </c>
      <c r="F1743" s="263"/>
      <c r="G1743" s="275"/>
    </row>
    <row r="1744" spans="1:7" ht="17.45" customHeight="1" thickBot="1">
      <c r="A1744" s="261" t="s">
        <v>8</v>
      </c>
      <c r="C1744" s="276" t="s">
        <v>1594</v>
      </c>
      <c r="D1744" s="502"/>
      <c r="E1744" s="503">
        <f>16500</f>
        <v>16500</v>
      </c>
      <c r="F1744" s="277"/>
      <c r="G1744" s="282"/>
    </row>
    <row r="1745" spans="1:7" ht="17.45" customHeight="1">
      <c r="A1745" s="261" t="s">
        <v>8</v>
      </c>
      <c r="C1745" s="279" t="s">
        <v>2200</v>
      </c>
      <c r="D1745" s="504"/>
      <c r="E1745" s="505">
        <v>300000</v>
      </c>
      <c r="F1745" s="280"/>
      <c r="G1745" s="281"/>
    </row>
    <row r="1746" spans="1:7" ht="17.45" customHeight="1">
      <c r="A1746" s="261" t="s">
        <v>8</v>
      </c>
      <c r="C1746" s="271" t="s">
        <v>2201</v>
      </c>
      <c r="D1746" s="497"/>
      <c r="E1746" s="499">
        <v>10500</v>
      </c>
      <c r="F1746" s="263"/>
      <c r="G1746" s="275"/>
    </row>
    <row r="1747" spans="1:7" ht="17.45" customHeight="1">
      <c r="A1747" s="261" t="s">
        <v>8</v>
      </c>
      <c r="C1747" s="271" t="s">
        <v>2203</v>
      </c>
      <c r="D1747" s="497"/>
      <c r="E1747" s="499">
        <v>36000</v>
      </c>
      <c r="F1747" s="263"/>
      <c r="G1747" s="275"/>
    </row>
    <row r="1748" spans="1:7" ht="17.45" customHeight="1">
      <c r="A1748" s="261" t="s">
        <v>8</v>
      </c>
      <c r="C1748" s="271" t="s">
        <v>1680</v>
      </c>
      <c r="D1748" s="497"/>
      <c r="E1748" s="499">
        <v>3350</v>
      </c>
      <c r="F1748" s="263"/>
      <c r="G1748" s="275"/>
    </row>
    <row r="1749" spans="1:7" ht="17.45" customHeight="1">
      <c r="A1749" s="261" t="s">
        <v>8</v>
      </c>
      <c r="C1749" s="271" t="s">
        <v>2204</v>
      </c>
      <c r="D1749" s="497"/>
      <c r="E1749" s="499">
        <v>11000</v>
      </c>
      <c r="F1749" s="263"/>
      <c r="G1749" s="275"/>
    </row>
    <row r="1750" spans="1:7" ht="17.45" customHeight="1">
      <c r="A1750" s="261" t="s">
        <v>8</v>
      </c>
      <c r="C1750" s="271" t="s">
        <v>2205</v>
      </c>
      <c r="D1750" s="497"/>
      <c r="E1750" s="499">
        <v>20000</v>
      </c>
      <c r="F1750" s="263"/>
      <c r="G1750" s="275"/>
    </row>
    <row r="1751" spans="1:7" ht="17.45" customHeight="1">
      <c r="A1751" s="261" t="s">
        <v>8</v>
      </c>
      <c r="C1751" s="271" t="s">
        <v>2206</v>
      </c>
      <c r="D1751" s="497"/>
      <c r="E1751" s="499">
        <v>6000</v>
      </c>
      <c r="F1751" s="263"/>
      <c r="G1751" s="275"/>
    </row>
    <row r="1752" spans="1:7" ht="17.45" customHeight="1">
      <c r="A1752" s="261" t="s">
        <v>8</v>
      </c>
      <c r="C1752" s="271" t="s">
        <v>2207</v>
      </c>
      <c r="D1752" s="497"/>
      <c r="E1752" s="499">
        <f>45400*2-43200</f>
        <v>47600</v>
      </c>
      <c r="F1752" s="263"/>
      <c r="G1752" s="275"/>
    </row>
    <row r="1753" spans="1:7" ht="17.45" customHeight="1">
      <c r="A1753" s="261" t="s">
        <v>8</v>
      </c>
      <c r="C1753" s="271" t="s">
        <v>2208</v>
      </c>
      <c r="D1753" s="497"/>
      <c r="E1753" s="499">
        <v>59400</v>
      </c>
      <c r="F1753" s="263"/>
      <c r="G1753" s="275"/>
    </row>
    <row r="1754" spans="1:7" ht="17.45" customHeight="1">
      <c r="A1754" s="261" t="s">
        <v>8</v>
      </c>
      <c r="C1754" s="271" t="s">
        <v>1693</v>
      </c>
      <c r="D1754" s="497"/>
      <c r="E1754" s="499">
        <v>8400</v>
      </c>
      <c r="F1754" s="263"/>
      <c r="G1754" s="275"/>
    </row>
    <row r="1755" spans="1:7" ht="17.45" customHeight="1">
      <c r="A1755" s="261" t="s">
        <v>8</v>
      </c>
      <c r="C1755" s="271" t="s">
        <v>2212</v>
      </c>
      <c r="D1755" s="497"/>
      <c r="E1755" s="499">
        <v>50000</v>
      </c>
      <c r="F1755" s="263"/>
      <c r="G1755" s="275"/>
    </row>
    <row r="1756" spans="1:7" ht="17.45" customHeight="1">
      <c r="A1756" s="261" t="s">
        <v>8</v>
      </c>
      <c r="C1756" s="271" t="s">
        <v>2210</v>
      </c>
      <c r="D1756" s="497"/>
      <c r="E1756" s="499">
        <v>200000</v>
      </c>
      <c r="F1756" s="263"/>
      <c r="G1756" s="275"/>
    </row>
    <row r="1757" spans="1:7" ht="17.45" customHeight="1">
      <c r="A1757" s="261" t="s">
        <v>8</v>
      </c>
      <c r="C1757" s="271" t="s">
        <v>2216</v>
      </c>
      <c r="D1757" s="497"/>
      <c r="E1757" s="499">
        <v>200000</v>
      </c>
      <c r="F1757" s="263"/>
      <c r="G1757" s="275"/>
    </row>
    <row r="1758" spans="1:7" ht="17.45" customHeight="1">
      <c r="A1758" s="261" t="s">
        <v>8</v>
      </c>
      <c r="C1758" s="271" t="s">
        <v>2211</v>
      </c>
      <c r="D1758" s="497"/>
      <c r="E1758" s="499">
        <v>27000</v>
      </c>
      <c r="F1758" s="263"/>
      <c r="G1758" s="275"/>
    </row>
    <row r="1759" spans="1:7" ht="17.45" customHeight="1">
      <c r="A1759" s="261" t="s">
        <v>8</v>
      </c>
      <c r="C1759" s="271" t="s">
        <v>2209</v>
      </c>
      <c r="D1759" s="497"/>
      <c r="E1759" s="499">
        <f>49100+47800-47800+900+129200+130200-103400-25800</f>
        <v>180200</v>
      </c>
      <c r="F1759" s="263"/>
      <c r="G1759" s="275"/>
    </row>
    <row r="1760" spans="1:7" ht="17.45" customHeight="1">
      <c r="A1760" s="261" t="s">
        <v>8</v>
      </c>
      <c r="C1760" s="271" t="s">
        <v>2213</v>
      </c>
      <c r="D1760" s="497"/>
      <c r="E1760" s="499">
        <v>35000</v>
      </c>
      <c r="F1760" s="263"/>
      <c r="G1760" s="275"/>
    </row>
    <row r="1761" spans="1:7" ht="17.45" customHeight="1">
      <c r="A1761" s="261" t="s">
        <v>8</v>
      </c>
      <c r="C1761" s="271" t="s">
        <v>2214</v>
      </c>
      <c r="D1761" s="497"/>
      <c r="E1761" s="499">
        <v>439713</v>
      </c>
      <c r="F1761" s="263"/>
      <c r="G1761" s="275"/>
    </row>
    <row r="1762" spans="1:7" ht="17.45" customHeight="1">
      <c r="A1762" s="261" t="s">
        <v>8</v>
      </c>
      <c r="C1762" s="271" t="s">
        <v>2215</v>
      </c>
      <c r="D1762" s="497"/>
      <c r="E1762" s="499">
        <f>147100+137500-59800-29900-57400+800</f>
        <v>138300</v>
      </c>
      <c r="F1762" s="263"/>
      <c r="G1762" s="275"/>
    </row>
    <row r="1763" spans="1:7" ht="17.45" customHeight="1">
      <c r="A1763" s="261" t="s">
        <v>8</v>
      </c>
      <c r="C1763" s="271" t="s">
        <v>2217</v>
      </c>
      <c r="D1763" s="499">
        <f>85700+76000+76000+76000</f>
        <v>313700</v>
      </c>
      <c r="E1763" s="499">
        <f>95700+86000+86000+86000</f>
        <v>353700</v>
      </c>
      <c r="F1763" s="263"/>
      <c r="G1763" s="275"/>
    </row>
    <row r="1764" spans="1:7" ht="17.45" customHeight="1">
      <c r="A1764" s="261" t="s">
        <v>8</v>
      </c>
      <c r="C1764" s="271" t="s">
        <v>1690</v>
      </c>
      <c r="D1764" s="497"/>
      <c r="E1764" s="499">
        <v>10000</v>
      </c>
      <c r="F1764" s="263"/>
      <c r="G1764" s="275"/>
    </row>
    <row r="1765" spans="1:7" ht="17.45" customHeight="1">
      <c r="A1765" s="261" t="s">
        <v>8</v>
      </c>
      <c r="C1765" s="271" t="s">
        <v>1644</v>
      </c>
      <c r="D1765" s="497"/>
      <c r="E1765" s="499">
        <v>15600</v>
      </c>
      <c r="F1765" s="263"/>
      <c r="G1765" s="275"/>
    </row>
    <row r="1766" spans="1:7" ht="17.45" customHeight="1">
      <c r="A1766" s="261" t="s">
        <v>8</v>
      </c>
      <c r="C1766" s="271" t="s">
        <v>2223</v>
      </c>
      <c r="D1766" s="497"/>
      <c r="E1766" s="499">
        <v>18000</v>
      </c>
      <c r="F1766" s="263"/>
      <c r="G1766" s="275"/>
    </row>
    <row r="1767" spans="1:7" ht="17.45" customHeight="1">
      <c r="A1767" s="261" t="s">
        <v>8</v>
      </c>
      <c r="C1767" s="271" t="s">
        <v>2224</v>
      </c>
      <c r="D1767" s="497"/>
      <c r="E1767" s="499">
        <v>3500</v>
      </c>
      <c r="F1767" s="263"/>
      <c r="G1767" s="275"/>
    </row>
    <row r="1768" spans="1:7" ht="17.45" customHeight="1">
      <c r="A1768" s="261" t="s">
        <v>8</v>
      </c>
      <c r="C1768" s="271" t="s">
        <v>2225</v>
      </c>
      <c r="D1768" s="497"/>
      <c r="E1768" s="499">
        <v>100000</v>
      </c>
      <c r="F1768" s="263"/>
      <c r="G1768" s="275"/>
    </row>
    <row r="1769" spans="1:7" ht="17.45" customHeight="1">
      <c r="A1769" s="261" t="s">
        <v>8</v>
      </c>
      <c r="C1769" s="271" t="s">
        <v>1964</v>
      </c>
      <c r="D1769" s="497"/>
      <c r="E1769" s="499">
        <v>15900</v>
      </c>
      <c r="F1769" s="263"/>
      <c r="G1769" s="275"/>
    </row>
    <row r="1770" spans="1:7" ht="17.45" customHeight="1">
      <c r="A1770" s="261" t="s">
        <v>8</v>
      </c>
      <c r="C1770" s="271" t="s">
        <v>2226</v>
      </c>
      <c r="D1770" s="499">
        <v>10000</v>
      </c>
      <c r="E1770" s="499">
        <v>29100</v>
      </c>
      <c r="F1770" s="263"/>
      <c r="G1770" s="275"/>
    </row>
    <row r="1771" spans="1:7" ht="17.45" customHeight="1">
      <c r="A1771" s="261" t="s">
        <v>8</v>
      </c>
      <c r="C1771" s="271"/>
      <c r="D1771" s="497"/>
      <c r="E1771" s="497"/>
      <c r="F1771" s="263"/>
      <c r="G1771" s="275"/>
    </row>
    <row r="1772" spans="1:7" ht="17.45" customHeight="1">
      <c r="A1772" s="261" t="s">
        <v>8</v>
      </c>
      <c r="C1772" s="271"/>
      <c r="D1772" s="497"/>
      <c r="E1772" s="497"/>
      <c r="F1772" s="263"/>
      <c r="G1772" s="275"/>
    </row>
    <row r="1773" spans="1:7" ht="17.45" customHeight="1">
      <c r="A1773" s="261" t="s">
        <v>8</v>
      </c>
      <c r="C1773" s="271"/>
      <c r="D1773" s="497"/>
      <c r="E1773" s="497"/>
      <c r="F1773" s="263"/>
      <c r="G1773" s="275"/>
    </row>
    <row r="1774" spans="1:7" ht="17.45" customHeight="1">
      <c r="A1774" s="261" t="s">
        <v>8</v>
      </c>
      <c r="C1774" s="271"/>
      <c r="D1774" s="497"/>
      <c r="E1774" s="497"/>
      <c r="F1774" s="263"/>
      <c r="G1774" s="275"/>
    </row>
    <row r="1775" spans="1:7" ht="17.45" customHeight="1">
      <c r="A1775" s="261" t="s">
        <v>8</v>
      </c>
      <c r="C1775" s="271"/>
      <c r="D1775" s="497"/>
      <c r="E1775" s="497"/>
      <c r="F1775" s="263"/>
      <c r="G1775" s="275"/>
    </row>
    <row r="1776" spans="1:7" ht="17.45" customHeight="1" thickBot="1">
      <c r="A1776" s="261" t="s">
        <v>8</v>
      </c>
      <c r="C1776" s="276" t="s">
        <v>1300</v>
      </c>
      <c r="D1776" s="502">
        <f>SUM(D1708:D1775)-SUM(E1708:E1775)</f>
        <v>52497</v>
      </c>
      <c r="E1776" s="502">
        <f>SUM(E1708:E1775)-SUM(F1708:F1775)</f>
        <v>6103374</v>
      </c>
      <c r="F1776" s="277"/>
      <c r="G1776" s="283"/>
    </row>
    <row r="1777" spans="1:7">
      <c r="A1777" s="261" t="s">
        <v>8</v>
      </c>
    </row>
    <row r="1778" spans="1:7" ht="12.75" thickBot="1">
      <c r="A1778" s="261" t="s">
        <v>8</v>
      </c>
    </row>
    <row r="1779" spans="1:7" ht="17.45" customHeight="1">
      <c r="A1779" s="261" t="s">
        <v>8</v>
      </c>
      <c r="B1779" s="256" t="s">
        <v>2227</v>
      </c>
      <c r="C1779" s="268" t="s">
        <v>1268</v>
      </c>
      <c r="D1779" s="500">
        <v>6674414</v>
      </c>
      <c r="E1779" s="501"/>
      <c r="F1779" s="269"/>
      <c r="G1779" s="270"/>
    </row>
    <row r="1780" spans="1:7" ht="17.45" customHeight="1">
      <c r="A1780" s="261" t="s">
        <v>8</v>
      </c>
      <c r="B1780" s="257"/>
      <c r="C1780" s="271" t="s">
        <v>1269</v>
      </c>
      <c r="D1780" s="497"/>
      <c r="E1780" s="499">
        <v>414000</v>
      </c>
      <c r="F1780" s="263"/>
      <c r="G1780" s="272" t="s">
        <v>2228</v>
      </c>
    </row>
    <row r="1781" spans="1:7" ht="17.45" customHeight="1">
      <c r="A1781" s="261" t="s">
        <v>8</v>
      </c>
      <c r="C1781" s="271" t="s">
        <v>1270</v>
      </c>
      <c r="D1781" s="497"/>
      <c r="E1781" s="499">
        <v>866000</v>
      </c>
      <c r="F1781" s="263"/>
      <c r="G1781" s="273" t="s">
        <v>2192</v>
      </c>
    </row>
    <row r="1782" spans="1:7" ht="17.45" customHeight="1">
      <c r="A1782" s="261" t="s">
        <v>8</v>
      </c>
      <c r="C1782" s="271" t="s">
        <v>1670</v>
      </c>
      <c r="D1782" s="497"/>
      <c r="E1782" s="499">
        <v>26010</v>
      </c>
      <c r="F1782" s="263"/>
      <c r="G1782" s="274"/>
    </row>
    <row r="1783" spans="1:7" ht="17.45" customHeight="1">
      <c r="A1783" s="261" t="s">
        <v>8</v>
      </c>
      <c r="C1783" s="271" t="s">
        <v>1672</v>
      </c>
      <c r="D1783" s="497"/>
      <c r="E1783" s="499">
        <v>42090</v>
      </c>
      <c r="F1783" s="263"/>
      <c r="G1783" s="274"/>
    </row>
    <row r="1784" spans="1:7" ht="17.45" customHeight="1">
      <c r="A1784" s="261" t="s">
        <v>8</v>
      </c>
      <c r="C1784" s="271" t="s">
        <v>1673</v>
      </c>
      <c r="D1784" s="497"/>
      <c r="E1784" s="497">
        <v>0</v>
      </c>
      <c r="F1784" s="263"/>
      <c r="G1784" s="274"/>
    </row>
    <row r="1785" spans="1:7" ht="17.45" customHeight="1">
      <c r="A1785" s="261" t="s">
        <v>8</v>
      </c>
      <c r="C1785" s="271" t="s">
        <v>1332</v>
      </c>
      <c r="D1785" s="497"/>
      <c r="E1785" s="499">
        <v>42900</v>
      </c>
      <c r="F1785" s="263"/>
      <c r="G1785" s="275"/>
    </row>
    <row r="1786" spans="1:7" ht="17.45" customHeight="1">
      <c r="A1786" s="261" t="s">
        <v>8</v>
      </c>
      <c r="C1786" s="271" t="s">
        <v>1271</v>
      </c>
      <c r="D1786" s="497"/>
      <c r="E1786" s="497">
        <v>0</v>
      </c>
      <c r="F1786" s="263"/>
      <c r="G1786" s="274"/>
    </row>
    <row r="1787" spans="1:7" ht="17.45" customHeight="1">
      <c r="A1787" s="261" t="s">
        <v>8</v>
      </c>
      <c r="C1787" s="271" t="s">
        <v>1272</v>
      </c>
      <c r="D1787" s="497"/>
      <c r="E1787" s="499">
        <v>7470</v>
      </c>
      <c r="F1787" s="263"/>
      <c r="G1787" s="273"/>
    </row>
    <row r="1788" spans="1:7" ht="17.45" customHeight="1">
      <c r="A1788" s="261" t="s">
        <v>8</v>
      </c>
      <c r="C1788" s="271" t="s">
        <v>1273</v>
      </c>
      <c r="D1788" s="497"/>
      <c r="E1788" s="499">
        <v>29920</v>
      </c>
      <c r="F1788" s="263"/>
      <c r="G1788" s="273"/>
    </row>
    <row r="1789" spans="1:7" ht="17.45" customHeight="1">
      <c r="A1789" s="261" t="s">
        <v>8</v>
      </c>
      <c r="C1789" s="271" t="s">
        <v>1274</v>
      </c>
      <c r="D1789" s="497"/>
      <c r="E1789" s="499">
        <v>9405</v>
      </c>
      <c r="F1789" s="263"/>
      <c r="G1789" s="273"/>
    </row>
    <row r="1790" spans="1:7" ht="17.45" customHeight="1">
      <c r="A1790" s="261" t="s">
        <v>8</v>
      </c>
      <c r="C1790" s="271" t="s">
        <v>1275</v>
      </c>
      <c r="D1790" s="497"/>
      <c r="E1790" s="499">
        <v>26450</v>
      </c>
      <c r="F1790" s="263"/>
      <c r="G1790" s="273"/>
    </row>
    <row r="1791" spans="1:7" ht="17.45" customHeight="1">
      <c r="A1791" s="261" t="s">
        <v>8</v>
      </c>
      <c r="C1791" s="271" t="s">
        <v>2168</v>
      </c>
      <c r="D1791" s="497"/>
      <c r="E1791" s="499">
        <v>18816</v>
      </c>
      <c r="F1791" s="263"/>
      <c r="G1791" s="273"/>
    </row>
    <row r="1792" spans="1:7" ht="17.45" customHeight="1">
      <c r="A1792" s="261" t="s">
        <v>8</v>
      </c>
      <c r="C1792" s="271" t="s">
        <v>1517</v>
      </c>
      <c r="D1792" s="497"/>
      <c r="E1792" s="499">
        <v>23230</v>
      </c>
      <c r="F1792" s="263"/>
      <c r="G1792" s="273"/>
    </row>
    <row r="1793" spans="1:7" ht="17.45" customHeight="1">
      <c r="A1793" s="261" t="s">
        <v>8</v>
      </c>
      <c r="C1793" s="271" t="s">
        <v>1276</v>
      </c>
      <c r="D1793" s="497"/>
      <c r="E1793" s="499">
        <v>291810</v>
      </c>
      <c r="F1793" s="263"/>
      <c r="G1793" s="273"/>
    </row>
    <row r="1794" spans="1:7" ht="17.45" customHeight="1">
      <c r="A1794" s="261" t="s">
        <v>8</v>
      </c>
      <c r="C1794" s="271" t="s">
        <v>1277</v>
      </c>
      <c r="D1794" s="497"/>
      <c r="E1794" s="499">
        <v>16940</v>
      </c>
      <c r="F1794" s="263"/>
      <c r="G1794" s="273"/>
    </row>
    <row r="1795" spans="1:7" ht="17.45" customHeight="1">
      <c r="A1795" s="261" t="s">
        <v>8</v>
      </c>
      <c r="C1795" s="271" t="s">
        <v>1278</v>
      </c>
      <c r="D1795" s="497"/>
      <c r="E1795" s="499">
        <v>200000</v>
      </c>
      <c r="F1795" s="263"/>
      <c r="G1795" s="273"/>
    </row>
    <row r="1796" spans="1:7" ht="17.45" customHeight="1">
      <c r="A1796" s="261" t="s">
        <v>8</v>
      </c>
      <c r="C1796" s="285" t="s">
        <v>1413</v>
      </c>
      <c r="D1796" s="506"/>
      <c r="E1796" s="507">
        <v>1300000</v>
      </c>
      <c r="F1796" s="286"/>
      <c r="G1796" s="287"/>
    </row>
    <row r="1797" spans="1:7" ht="17.45" customHeight="1" thickBot="1">
      <c r="A1797" s="261" t="s">
        <v>8</v>
      </c>
      <c r="C1797" s="285" t="s">
        <v>1942</v>
      </c>
      <c r="D1797" s="506"/>
      <c r="E1797" s="507">
        <v>20000</v>
      </c>
      <c r="F1797" s="286"/>
      <c r="G1797" s="290"/>
    </row>
    <row r="1798" spans="1:7" ht="17.45" customHeight="1">
      <c r="A1798" s="261" t="s">
        <v>8</v>
      </c>
      <c r="C1798" s="268" t="s">
        <v>1280</v>
      </c>
      <c r="D1798" s="501"/>
      <c r="E1798" s="500">
        <f>50000+50000</f>
        <v>100000</v>
      </c>
      <c r="F1798" s="269"/>
      <c r="G1798" s="288"/>
    </row>
    <row r="1799" spans="1:7" ht="17.45" customHeight="1">
      <c r="A1799" s="261" t="s">
        <v>8</v>
      </c>
      <c r="C1799" s="271" t="s">
        <v>1549</v>
      </c>
      <c r="D1799" s="497"/>
      <c r="E1799" s="497"/>
      <c r="F1799" s="263"/>
      <c r="G1799" s="275"/>
    </row>
    <row r="1800" spans="1:7" ht="17.45" customHeight="1">
      <c r="A1800" s="261" t="s">
        <v>8</v>
      </c>
      <c r="C1800" s="271" t="s">
        <v>1819</v>
      </c>
      <c r="D1800" s="497"/>
      <c r="E1800" s="497"/>
      <c r="F1800" s="263"/>
      <c r="G1800" s="275"/>
    </row>
    <row r="1801" spans="1:7" ht="17.45" customHeight="1">
      <c r="A1801" s="261" t="s">
        <v>8</v>
      </c>
      <c r="C1801" s="271" t="s">
        <v>391</v>
      </c>
      <c r="D1801" s="497"/>
      <c r="E1801" s="497"/>
      <c r="F1801" s="263"/>
      <c r="G1801" s="275"/>
    </row>
    <row r="1802" spans="1:7" ht="17.45" customHeight="1">
      <c r="A1802" s="261" t="s">
        <v>8</v>
      </c>
      <c r="C1802" s="271" t="s">
        <v>1934</v>
      </c>
      <c r="D1802" s="497"/>
      <c r="E1802" s="497"/>
      <c r="F1802" s="263"/>
      <c r="G1802" s="275"/>
    </row>
    <row r="1803" spans="1:7" ht="17.25" customHeight="1">
      <c r="A1803" s="261" t="s">
        <v>8</v>
      </c>
      <c r="C1803" s="271" t="s">
        <v>2202</v>
      </c>
      <c r="D1803" s="497"/>
      <c r="E1803" s="497"/>
      <c r="F1803" s="263"/>
      <c r="G1803" s="275"/>
    </row>
    <row r="1804" spans="1:7" ht="17.45" customHeight="1">
      <c r="A1804" s="261" t="s">
        <v>8</v>
      </c>
      <c r="C1804" s="271" t="s">
        <v>2097</v>
      </c>
      <c r="D1804" s="497"/>
      <c r="E1804" s="499">
        <v>200000</v>
      </c>
      <c r="F1804" s="263"/>
      <c r="G1804" s="275"/>
    </row>
    <row r="1805" spans="1:7" ht="17.45" customHeight="1">
      <c r="A1805" s="261" t="s">
        <v>8</v>
      </c>
      <c r="C1805" s="271" t="s">
        <v>1687</v>
      </c>
      <c r="D1805" s="497"/>
      <c r="E1805" s="497"/>
      <c r="F1805" s="263"/>
      <c r="G1805" s="275"/>
    </row>
    <row r="1806" spans="1:7" ht="17.45" customHeight="1">
      <c r="A1806" s="261" t="s">
        <v>8</v>
      </c>
      <c r="C1806" s="271" t="s">
        <v>1688</v>
      </c>
      <c r="D1806" s="497"/>
      <c r="E1806" s="499">
        <v>55000</v>
      </c>
      <c r="F1806" s="263"/>
      <c r="G1806" s="275"/>
    </row>
    <row r="1807" spans="1:7" ht="17.45" customHeight="1">
      <c r="A1807" s="261" t="s">
        <v>8</v>
      </c>
      <c r="C1807" s="271" t="s">
        <v>1596</v>
      </c>
      <c r="D1807" s="497"/>
      <c r="E1807" s="497"/>
      <c r="F1807" s="263"/>
      <c r="G1807" s="275"/>
    </row>
    <row r="1808" spans="1:7" ht="17.45" customHeight="1">
      <c r="A1808" s="261" t="s">
        <v>8</v>
      </c>
      <c r="C1808" s="271" t="s">
        <v>1595</v>
      </c>
      <c r="D1808" s="497"/>
      <c r="E1808" s="497"/>
      <c r="F1808" s="263"/>
      <c r="G1808" s="275"/>
    </row>
    <row r="1809" spans="1:7" ht="17.45" customHeight="1">
      <c r="A1809" s="261" t="s">
        <v>8</v>
      </c>
      <c r="C1809" s="271" t="s">
        <v>1613</v>
      </c>
      <c r="D1809" s="497"/>
      <c r="E1809" s="497"/>
      <c r="F1809" s="263"/>
      <c r="G1809" s="275"/>
    </row>
    <row r="1810" spans="1:7" ht="17.45" customHeight="1">
      <c r="A1810" s="261" t="s">
        <v>8</v>
      </c>
      <c r="C1810" s="271" t="s">
        <v>1689</v>
      </c>
      <c r="D1810" s="497"/>
      <c r="E1810" s="497"/>
      <c r="F1810" s="263"/>
      <c r="G1810" s="275"/>
    </row>
    <row r="1811" spans="1:7" ht="17.45" customHeight="1">
      <c r="A1811" s="261" t="s">
        <v>8</v>
      </c>
      <c r="C1811" s="271" t="s">
        <v>1569</v>
      </c>
      <c r="D1811" s="497"/>
      <c r="E1811" s="499">
        <v>66630</v>
      </c>
      <c r="F1811" s="263"/>
      <c r="G1811" s="275"/>
    </row>
    <row r="1812" spans="1:7" ht="17.45" customHeight="1">
      <c r="A1812" s="261" t="s">
        <v>8</v>
      </c>
      <c r="C1812" s="271" t="s">
        <v>1618</v>
      </c>
      <c r="D1812" s="497"/>
      <c r="E1812" s="499">
        <f>3800+8080+24160+9330+10960</f>
        <v>56330</v>
      </c>
      <c r="F1812" s="263"/>
      <c r="G1812" s="275"/>
    </row>
    <row r="1813" spans="1:7" ht="17.45" customHeight="1">
      <c r="A1813" s="261" t="s">
        <v>8</v>
      </c>
      <c r="C1813" s="271" t="s">
        <v>1800</v>
      </c>
      <c r="D1813" s="497"/>
      <c r="E1813" s="499">
        <v>36000</v>
      </c>
      <c r="F1813" s="263"/>
      <c r="G1813" s="275"/>
    </row>
    <row r="1814" spans="1:7" ht="17.45" customHeight="1" thickBot="1">
      <c r="A1814" s="261" t="s">
        <v>8</v>
      </c>
      <c r="C1814" s="276" t="s">
        <v>1594</v>
      </c>
      <c r="D1814" s="502"/>
      <c r="E1814" s="503">
        <v>16500</v>
      </c>
      <c r="F1814" s="277"/>
      <c r="G1814" s="282"/>
    </row>
    <row r="1815" spans="1:7" ht="17.45" customHeight="1">
      <c r="A1815" s="261" t="s">
        <v>8</v>
      </c>
      <c r="C1815" s="279" t="s">
        <v>1770</v>
      </c>
      <c r="D1815" s="504"/>
      <c r="E1815" s="505">
        <v>10000</v>
      </c>
      <c r="F1815" s="280"/>
      <c r="G1815" s="281"/>
    </row>
    <row r="1816" spans="1:7" ht="17.45" customHeight="1">
      <c r="A1816" s="261" t="s">
        <v>8</v>
      </c>
      <c r="C1816" s="271" t="s">
        <v>1814</v>
      </c>
      <c r="D1816" s="497"/>
      <c r="E1816" s="499">
        <v>7800</v>
      </c>
      <c r="F1816" s="263"/>
      <c r="G1816" s="275"/>
    </row>
    <row r="1817" spans="1:7" ht="17.45" customHeight="1">
      <c r="A1817" s="261" t="s">
        <v>8</v>
      </c>
      <c r="C1817" s="271" t="s">
        <v>2229</v>
      </c>
      <c r="D1817" s="497"/>
      <c r="E1817" s="499">
        <v>9000</v>
      </c>
      <c r="F1817" s="263"/>
      <c r="G1817" s="275"/>
    </row>
    <row r="1818" spans="1:7" ht="17.45" customHeight="1">
      <c r="A1818" s="261" t="s">
        <v>8</v>
      </c>
      <c r="C1818" s="271" t="s">
        <v>2230</v>
      </c>
      <c r="D1818" s="497"/>
      <c r="E1818" s="499">
        <v>14000</v>
      </c>
      <c r="F1818" s="263"/>
      <c r="G1818" s="275"/>
    </row>
    <row r="1819" spans="1:7" ht="17.45" customHeight="1">
      <c r="A1819" s="261" t="s">
        <v>8</v>
      </c>
      <c r="C1819" s="271" t="s">
        <v>1606</v>
      </c>
      <c r="D1819" s="497"/>
      <c r="E1819" s="499">
        <v>12000</v>
      </c>
      <c r="F1819" s="263"/>
      <c r="G1819" s="275"/>
    </row>
    <row r="1820" spans="1:7" ht="17.45" customHeight="1">
      <c r="A1820" s="261" t="s">
        <v>8</v>
      </c>
      <c r="C1820" s="271" t="s">
        <v>1610</v>
      </c>
      <c r="D1820" s="497"/>
      <c r="E1820" s="499">
        <f>2000+4750</f>
        <v>6750</v>
      </c>
      <c r="F1820" s="263"/>
      <c r="G1820" s="275"/>
    </row>
    <row r="1821" spans="1:7" ht="17.45" customHeight="1">
      <c r="A1821" s="261" t="s">
        <v>8</v>
      </c>
      <c r="C1821" s="271" t="s">
        <v>2231</v>
      </c>
      <c r="D1821" s="497"/>
      <c r="E1821" s="499">
        <v>50000</v>
      </c>
      <c r="F1821" s="263"/>
      <c r="G1821" s="275"/>
    </row>
    <row r="1822" spans="1:7" ht="17.45" customHeight="1">
      <c r="A1822" s="261" t="s">
        <v>8</v>
      </c>
      <c r="C1822" s="271" t="s">
        <v>1775</v>
      </c>
      <c r="D1822" s="497"/>
      <c r="E1822" s="499">
        <v>3500</v>
      </c>
      <c r="F1822" s="263"/>
      <c r="G1822" s="275"/>
    </row>
    <row r="1823" spans="1:7" ht="17.45" customHeight="1">
      <c r="A1823" s="261" t="s">
        <v>8</v>
      </c>
      <c r="C1823" s="271" t="s">
        <v>2003</v>
      </c>
      <c r="D1823" s="497"/>
      <c r="E1823" s="499">
        <f>3500+2300</f>
        <v>5800</v>
      </c>
      <c r="F1823" s="263"/>
      <c r="G1823" s="275"/>
    </row>
    <row r="1824" spans="1:7" ht="17.45" customHeight="1">
      <c r="A1824" s="261" t="s">
        <v>8</v>
      </c>
      <c r="C1824" s="271" t="s">
        <v>2232</v>
      </c>
      <c r="D1824" s="497"/>
      <c r="E1824" s="499">
        <v>37000</v>
      </c>
      <c r="F1824" s="263"/>
      <c r="G1824" s="275"/>
    </row>
    <row r="1825" spans="1:11" ht="17.45" customHeight="1">
      <c r="A1825" s="261" t="s">
        <v>8</v>
      </c>
      <c r="C1825" s="271" t="s">
        <v>2233</v>
      </c>
      <c r="D1825" s="497"/>
      <c r="E1825" s="499">
        <v>3500</v>
      </c>
      <c r="F1825" s="263"/>
      <c r="G1825" s="275"/>
    </row>
    <row r="1826" spans="1:11" ht="17.45" customHeight="1">
      <c r="A1826" s="261" t="s">
        <v>8</v>
      </c>
      <c r="C1826" s="271" t="s">
        <v>2234</v>
      </c>
      <c r="D1826" s="497"/>
      <c r="E1826" s="499">
        <v>9500</v>
      </c>
      <c r="F1826" s="263"/>
      <c r="G1826" s="275"/>
    </row>
    <row r="1827" spans="1:11" ht="17.45" customHeight="1">
      <c r="A1827" s="261" t="s">
        <v>8</v>
      </c>
      <c r="C1827" s="271" t="s">
        <v>2235</v>
      </c>
      <c r="D1827" s="497"/>
      <c r="E1827" s="499">
        <v>5000</v>
      </c>
      <c r="F1827" s="263"/>
      <c r="G1827" s="275"/>
    </row>
    <row r="1828" spans="1:11" ht="17.45" customHeight="1">
      <c r="A1828" s="261" t="s">
        <v>8</v>
      </c>
      <c r="C1828" s="271" t="s">
        <v>2236</v>
      </c>
      <c r="D1828" s="497"/>
      <c r="E1828" s="499">
        <v>5000</v>
      </c>
      <c r="F1828" s="263"/>
      <c r="G1828" s="275"/>
    </row>
    <row r="1829" spans="1:11" ht="17.45" customHeight="1">
      <c r="A1829" s="261" t="s">
        <v>8</v>
      </c>
      <c r="C1829" s="271" t="s">
        <v>2237</v>
      </c>
      <c r="D1829" s="497"/>
      <c r="E1829" s="499">
        <v>2000</v>
      </c>
      <c r="F1829" s="263"/>
      <c r="G1829" s="275"/>
    </row>
    <row r="1830" spans="1:11" ht="17.45" customHeight="1">
      <c r="A1830" s="261" t="s">
        <v>8</v>
      </c>
      <c r="C1830" s="271" t="s">
        <v>1680</v>
      </c>
      <c r="D1830" s="497"/>
      <c r="E1830" s="499">
        <v>11200</v>
      </c>
      <c r="F1830" s="263"/>
      <c r="G1830" s="275"/>
    </row>
    <row r="1831" spans="1:11" ht="17.45" customHeight="1">
      <c r="A1831" s="261" t="s">
        <v>8</v>
      </c>
      <c r="C1831" s="271" t="s">
        <v>2238</v>
      </c>
      <c r="D1831" s="497"/>
      <c r="E1831" s="499">
        <v>4000</v>
      </c>
      <c r="F1831" s="263"/>
      <c r="G1831" s="275"/>
    </row>
    <row r="1832" spans="1:11" ht="17.45" customHeight="1">
      <c r="A1832" s="261" t="s">
        <v>8</v>
      </c>
      <c r="C1832" s="271" t="s">
        <v>2239</v>
      </c>
      <c r="D1832" s="497"/>
      <c r="E1832" s="499">
        <v>2500</v>
      </c>
      <c r="F1832" s="263"/>
      <c r="G1832" s="275"/>
      <c r="J1832" t="s">
        <v>2257</v>
      </c>
      <c r="K1832" s="291">
        <v>5000</v>
      </c>
    </row>
    <row r="1833" spans="1:11" ht="17.45" customHeight="1">
      <c r="A1833" s="261" t="s">
        <v>8</v>
      </c>
      <c r="C1833" s="271" t="s">
        <v>2240</v>
      </c>
      <c r="D1833" s="497"/>
      <c r="E1833" s="499">
        <v>39700</v>
      </c>
      <c r="F1833" s="263"/>
      <c r="G1833" s="275"/>
      <c r="J1833" t="s">
        <v>2259</v>
      </c>
      <c r="K1833" s="291">
        <v>20000</v>
      </c>
    </row>
    <row r="1834" spans="1:11" ht="17.45" customHeight="1">
      <c r="A1834" s="261" t="s">
        <v>8</v>
      </c>
      <c r="C1834" s="271" t="s">
        <v>2241</v>
      </c>
      <c r="D1834" s="497"/>
      <c r="E1834" s="499">
        <v>14500</v>
      </c>
      <c r="F1834" s="263"/>
      <c r="G1834" s="275"/>
      <c r="J1834" t="s">
        <v>2263</v>
      </c>
      <c r="K1834" s="291">
        <v>71100</v>
      </c>
    </row>
    <row r="1835" spans="1:11" ht="17.45" customHeight="1">
      <c r="A1835" s="261" t="s">
        <v>8</v>
      </c>
      <c r="C1835" s="271" t="s">
        <v>2242</v>
      </c>
      <c r="D1835" s="497"/>
      <c r="E1835" s="499">
        <v>9500</v>
      </c>
      <c r="F1835" s="263"/>
      <c r="G1835" s="275"/>
      <c r="J1835" t="s">
        <v>2261</v>
      </c>
      <c r="K1835" s="291">
        <v>340000</v>
      </c>
    </row>
    <row r="1836" spans="1:11" ht="17.45" customHeight="1">
      <c r="A1836" s="261" t="s">
        <v>8</v>
      </c>
      <c r="C1836" s="271" t="s">
        <v>2243</v>
      </c>
      <c r="D1836" s="497"/>
      <c r="E1836" s="499">
        <v>35800</v>
      </c>
      <c r="F1836" s="263"/>
      <c r="G1836" s="275"/>
      <c r="J1836" t="s">
        <v>1680</v>
      </c>
      <c r="K1836" s="291">
        <f>3900+5500</f>
        <v>9400</v>
      </c>
    </row>
    <row r="1837" spans="1:11" ht="17.45" customHeight="1">
      <c r="A1837" s="261" t="s">
        <v>8</v>
      </c>
      <c r="C1837" s="271" t="s">
        <v>2244</v>
      </c>
      <c r="D1837" s="497"/>
      <c r="E1837" s="499">
        <v>54000</v>
      </c>
      <c r="F1837" s="263"/>
      <c r="G1837" s="275"/>
      <c r="J1837" t="s">
        <v>2265</v>
      </c>
      <c r="K1837" s="291">
        <v>18000</v>
      </c>
    </row>
    <row r="1838" spans="1:11" ht="17.45" customHeight="1">
      <c r="A1838" s="261" t="s">
        <v>8</v>
      </c>
      <c r="C1838" s="271" t="s">
        <v>1908</v>
      </c>
      <c r="D1838" s="497"/>
      <c r="E1838" s="499">
        <v>129070</v>
      </c>
      <c r="F1838" s="263"/>
      <c r="G1838" s="275"/>
      <c r="J1838" t="s">
        <v>2267</v>
      </c>
      <c r="K1838" s="291">
        <v>18500</v>
      </c>
    </row>
    <row r="1839" spans="1:11" ht="17.45" customHeight="1">
      <c r="A1839" s="261" t="s">
        <v>8</v>
      </c>
      <c r="C1839" s="271" t="s">
        <v>1909</v>
      </c>
      <c r="D1839" s="497"/>
      <c r="E1839" s="499">
        <v>144610</v>
      </c>
      <c r="F1839" s="263"/>
      <c r="G1839" s="275"/>
      <c r="J1839" t="s">
        <v>2269</v>
      </c>
      <c r="K1839" s="291">
        <v>4000</v>
      </c>
    </row>
    <row r="1840" spans="1:11" ht="17.45" customHeight="1">
      <c r="A1840" s="261" t="s">
        <v>8</v>
      </c>
      <c r="C1840" s="271" t="s">
        <v>2245</v>
      </c>
      <c r="D1840" s="497"/>
      <c r="E1840" s="499">
        <v>53610</v>
      </c>
      <c r="F1840" s="263"/>
      <c r="G1840" s="275"/>
      <c r="J1840" t="s">
        <v>2271</v>
      </c>
      <c r="K1840" s="291">
        <v>7000</v>
      </c>
    </row>
    <row r="1841" spans="1:11" ht="17.45" customHeight="1">
      <c r="A1841" s="261" t="s">
        <v>8</v>
      </c>
      <c r="C1841" s="271" t="s">
        <v>2246</v>
      </c>
      <c r="D1841" s="497"/>
      <c r="E1841" s="499">
        <v>5200</v>
      </c>
      <c r="F1841" s="263"/>
      <c r="G1841" s="275"/>
      <c r="J1841" t="s">
        <v>2273</v>
      </c>
      <c r="K1841" s="291">
        <v>8000</v>
      </c>
    </row>
    <row r="1842" spans="1:11" ht="17.45" customHeight="1">
      <c r="A1842" s="261" t="s">
        <v>8</v>
      </c>
      <c r="C1842" s="271" t="s">
        <v>1964</v>
      </c>
      <c r="D1842" s="497"/>
      <c r="E1842" s="499">
        <v>16800</v>
      </c>
      <c r="F1842" s="263"/>
      <c r="G1842" s="275"/>
      <c r="J1842" t="s">
        <v>2275</v>
      </c>
      <c r="K1842" s="291">
        <v>53610</v>
      </c>
    </row>
    <row r="1843" spans="1:11" ht="17.45" customHeight="1">
      <c r="A1843" s="261" t="s">
        <v>8</v>
      </c>
      <c r="C1843" s="271" t="s">
        <v>2019</v>
      </c>
      <c r="D1843" s="497"/>
      <c r="E1843" s="499">
        <v>19100</v>
      </c>
      <c r="F1843" s="263"/>
      <c r="G1843" s="275"/>
      <c r="J1843" t="s">
        <v>2276</v>
      </c>
      <c r="K1843" s="291">
        <v>6000</v>
      </c>
    </row>
    <row r="1844" spans="1:11" ht="17.45" customHeight="1">
      <c r="A1844" s="261" t="s">
        <v>8</v>
      </c>
      <c r="C1844" s="271" t="s">
        <v>2247</v>
      </c>
      <c r="D1844" s="497"/>
      <c r="E1844" s="499">
        <v>6000</v>
      </c>
      <c r="F1844" s="263"/>
      <c r="G1844" s="275"/>
      <c r="J1844" t="s">
        <v>2277</v>
      </c>
      <c r="K1844" s="291">
        <v>13000</v>
      </c>
    </row>
    <row r="1845" spans="1:11" ht="17.45" customHeight="1">
      <c r="A1845" s="261" t="s">
        <v>8</v>
      </c>
      <c r="C1845" s="271" t="s">
        <v>2248</v>
      </c>
      <c r="D1845" s="497"/>
      <c r="E1845" s="499">
        <v>20000</v>
      </c>
      <c r="F1845" s="263"/>
      <c r="G1845" s="275"/>
      <c r="J1845" t="s">
        <v>1610</v>
      </c>
      <c r="K1845" s="291">
        <v>4200</v>
      </c>
    </row>
    <row r="1846" spans="1:11" ht="17.45" customHeight="1">
      <c r="A1846" s="261" t="s">
        <v>8</v>
      </c>
      <c r="C1846" s="271" t="s">
        <v>2249</v>
      </c>
      <c r="D1846" s="497"/>
      <c r="E1846" s="499">
        <v>16500</v>
      </c>
      <c r="F1846" s="263"/>
      <c r="G1846" s="275"/>
      <c r="J1846"/>
      <c r="K1846" s="291"/>
    </row>
    <row r="1847" spans="1:11" ht="17.45" customHeight="1">
      <c r="A1847" s="261" t="s">
        <v>8</v>
      </c>
      <c r="C1847" s="271" t="s">
        <v>1650</v>
      </c>
      <c r="D1847" s="497"/>
      <c r="E1847" s="499">
        <v>9800</v>
      </c>
      <c r="F1847" s="263"/>
      <c r="G1847" s="275"/>
      <c r="J1847"/>
      <c r="K1847" s="291">
        <v>577810</v>
      </c>
    </row>
    <row r="1848" spans="1:11" ht="17.45" customHeight="1">
      <c r="A1848" s="261" t="s">
        <v>8</v>
      </c>
      <c r="C1848" s="271" t="s">
        <v>1877</v>
      </c>
      <c r="D1848" s="497"/>
      <c r="E1848" s="499">
        <v>117200</v>
      </c>
      <c r="F1848" s="263"/>
      <c r="G1848" s="275"/>
    </row>
    <row r="1849" spans="1:11" ht="17.45" customHeight="1">
      <c r="A1849" s="261" t="s">
        <v>8</v>
      </c>
      <c r="C1849" s="271" t="s">
        <v>2250</v>
      </c>
      <c r="D1849" s="497"/>
      <c r="E1849" s="499">
        <v>130000</v>
      </c>
      <c r="F1849" s="263"/>
      <c r="G1849" s="275"/>
    </row>
    <row r="1850" spans="1:11" ht="17.45" customHeight="1">
      <c r="A1850" s="261" t="s">
        <v>8</v>
      </c>
      <c r="C1850" s="271" t="s">
        <v>1891</v>
      </c>
      <c r="D1850" s="497"/>
      <c r="E1850" s="499">
        <v>114000</v>
      </c>
      <c r="F1850" s="263"/>
      <c r="G1850" s="275"/>
    </row>
    <row r="1851" spans="1:11" ht="17.45" customHeight="1">
      <c r="A1851" s="261" t="s">
        <v>8</v>
      </c>
      <c r="C1851" s="271" t="s">
        <v>1651</v>
      </c>
      <c r="D1851" s="497"/>
      <c r="E1851" s="499">
        <v>112300</v>
      </c>
      <c r="F1851" s="263"/>
      <c r="G1851" s="275"/>
    </row>
    <row r="1852" spans="1:11" ht="17.45" customHeight="1">
      <c r="A1852" s="261" t="s">
        <v>8</v>
      </c>
      <c r="C1852" s="271" t="s">
        <v>1584</v>
      </c>
      <c r="D1852" s="497"/>
      <c r="E1852" s="499">
        <v>9000</v>
      </c>
      <c r="F1852" s="263"/>
      <c r="G1852" s="275"/>
    </row>
    <row r="1853" spans="1:11" ht="17.45" customHeight="1">
      <c r="A1853" s="261" t="s">
        <v>8</v>
      </c>
      <c r="C1853" s="271" t="s">
        <v>2014</v>
      </c>
      <c r="D1853" s="497"/>
      <c r="E1853" s="499">
        <v>18000</v>
      </c>
      <c r="F1853" s="263"/>
      <c r="G1853" s="275"/>
    </row>
    <row r="1854" spans="1:11" ht="17.45" customHeight="1">
      <c r="A1854" s="261" t="s">
        <v>8</v>
      </c>
      <c r="C1854" s="271" t="s">
        <v>1602</v>
      </c>
      <c r="D1854" s="499">
        <v>1793</v>
      </c>
      <c r="E1854" s="497"/>
      <c r="F1854" s="263"/>
      <c r="G1854" s="275"/>
    </row>
    <row r="1855" spans="1:11" ht="17.45" customHeight="1">
      <c r="A1855" s="261" t="s">
        <v>8</v>
      </c>
      <c r="C1855" s="271" t="s">
        <v>2251</v>
      </c>
      <c r="D1855" s="497"/>
      <c r="E1855" s="499">
        <v>6000</v>
      </c>
      <c r="F1855" s="263"/>
      <c r="G1855" s="275"/>
    </row>
    <row r="1856" spans="1:11" ht="17.45" customHeight="1">
      <c r="A1856" s="261" t="s">
        <v>8</v>
      </c>
      <c r="C1856" s="271" t="s">
        <v>2252</v>
      </c>
      <c r="D1856" s="497"/>
      <c r="E1856" s="499">
        <v>10000</v>
      </c>
      <c r="F1856" s="263"/>
      <c r="G1856" s="275"/>
    </row>
    <row r="1857" spans="1:7" ht="17.45" customHeight="1">
      <c r="A1857" s="261" t="s">
        <v>8</v>
      </c>
      <c r="C1857" s="271" t="s">
        <v>2253</v>
      </c>
      <c r="D1857" s="497"/>
      <c r="E1857" s="499">
        <v>4600</v>
      </c>
      <c r="F1857" s="263"/>
      <c r="G1857" s="275"/>
    </row>
    <row r="1858" spans="1:7" ht="17.45" customHeight="1" thickBot="1">
      <c r="A1858" s="261" t="s">
        <v>8</v>
      </c>
      <c r="C1858" s="276" t="s">
        <v>1300</v>
      </c>
      <c r="D1858" s="502">
        <f>SUM(D1779:D1857)-SUM(E1779:E1857)</f>
        <v>1516866</v>
      </c>
      <c r="E1858" s="502">
        <f>SUM(E1779:E1857)-SUM(F1779:F1857)</f>
        <v>5159341</v>
      </c>
      <c r="F1858" s="277"/>
      <c r="G1858" s="283"/>
    </row>
    <row r="1859" spans="1:7">
      <c r="A1859" s="261" t="s">
        <v>8</v>
      </c>
    </row>
    <row r="1860" spans="1:7" ht="12.75" thickBot="1">
      <c r="A1860" s="261" t="s">
        <v>8</v>
      </c>
    </row>
    <row r="1861" spans="1:7" ht="17.45" customHeight="1">
      <c r="A1861" s="261" t="s">
        <v>8</v>
      </c>
      <c r="B1861" s="256" t="s">
        <v>2255</v>
      </c>
      <c r="C1861" s="268" t="s">
        <v>1268</v>
      </c>
      <c r="D1861" s="500">
        <v>5987005</v>
      </c>
      <c r="E1861" s="501"/>
      <c r="F1861" s="269"/>
      <c r="G1861" s="270"/>
    </row>
    <row r="1862" spans="1:7" ht="17.45" customHeight="1">
      <c r="A1862" s="261" t="s">
        <v>8</v>
      </c>
      <c r="B1862" s="257"/>
      <c r="C1862" s="271" t="s">
        <v>1269</v>
      </c>
      <c r="D1862" s="497"/>
      <c r="E1862" s="499">
        <v>436000</v>
      </c>
      <c r="F1862" s="263"/>
      <c r="G1862" s="272" t="s">
        <v>2183</v>
      </c>
    </row>
    <row r="1863" spans="1:7" ht="17.45" customHeight="1">
      <c r="A1863" s="261" t="s">
        <v>8</v>
      </c>
      <c r="C1863" s="271" t="s">
        <v>1270</v>
      </c>
      <c r="D1863" s="497"/>
      <c r="E1863" s="499">
        <v>796000</v>
      </c>
      <c r="F1863" s="263"/>
      <c r="G1863" s="273" t="s">
        <v>2192</v>
      </c>
    </row>
    <row r="1864" spans="1:7" ht="17.45" customHeight="1">
      <c r="A1864" s="261" t="s">
        <v>8</v>
      </c>
      <c r="C1864" s="271" t="s">
        <v>1670</v>
      </c>
      <c r="D1864" s="497"/>
      <c r="E1864" s="499">
        <v>26010</v>
      </c>
      <c r="F1864" s="263"/>
      <c r="G1864" s="274"/>
    </row>
    <row r="1865" spans="1:7" ht="17.45" customHeight="1">
      <c r="A1865" s="261" t="s">
        <v>8</v>
      </c>
      <c r="C1865" s="271" t="s">
        <v>1672</v>
      </c>
      <c r="D1865" s="497"/>
      <c r="E1865" s="499">
        <v>42090</v>
      </c>
      <c r="F1865" s="263"/>
      <c r="G1865" s="274"/>
    </row>
    <row r="1866" spans="1:7" ht="17.45" customHeight="1">
      <c r="A1866" s="261" t="s">
        <v>8</v>
      </c>
      <c r="C1866" s="271" t="s">
        <v>1673</v>
      </c>
      <c r="D1866" s="497"/>
      <c r="E1866" s="497">
        <v>0</v>
      </c>
      <c r="F1866" s="263"/>
      <c r="G1866" s="274"/>
    </row>
    <row r="1867" spans="1:7" ht="17.45" customHeight="1">
      <c r="A1867" s="261" t="s">
        <v>8</v>
      </c>
      <c r="C1867" s="271" t="s">
        <v>1332</v>
      </c>
      <c r="D1867" s="497"/>
      <c r="E1867" s="499">
        <v>42900</v>
      </c>
      <c r="F1867" s="263"/>
      <c r="G1867" s="275"/>
    </row>
    <row r="1868" spans="1:7" ht="17.45" customHeight="1">
      <c r="A1868" s="261" t="s">
        <v>8</v>
      </c>
      <c r="C1868" s="271" t="s">
        <v>1271</v>
      </c>
      <c r="D1868" s="497"/>
      <c r="E1868" s="497">
        <v>0</v>
      </c>
      <c r="F1868" s="263"/>
      <c r="G1868" s="274"/>
    </row>
    <row r="1869" spans="1:7" ht="17.45" customHeight="1">
      <c r="A1869" s="261" t="s">
        <v>8</v>
      </c>
      <c r="C1869" s="271" t="s">
        <v>1272</v>
      </c>
      <c r="D1869" s="497"/>
      <c r="E1869" s="499">
        <v>7470</v>
      </c>
      <c r="F1869" s="263"/>
      <c r="G1869" s="273"/>
    </row>
    <row r="1870" spans="1:7" ht="17.45" customHeight="1">
      <c r="A1870" s="261" t="s">
        <v>8</v>
      </c>
      <c r="C1870" s="271" t="s">
        <v>1273</v>
      </c>
      <c r="D1870" s="497"/>
      <c r="E1870" s="499">
        <v>29920</v>
      </c>
      <c r="F1870" s="263"/>
      <c r="G1870" s="273"/>
    </row>
    <row r="1871" spans="1:7" ht="17.45" customHeight="1">
      <c r="A1871" s="261" t="s">
        <v>8</v>
      </c>
      <c r="C1871" s="271" t="s">
        <v>1274</v>
      </c>
      <c r="D1871" s="497"/>
      <c r="E1871" s="499">
        <v>9405</v>
      </c>
      <c r="F1871" s="263"/>
      <c r="G1871" s="273"/>
    </row>
    <row r="1872" spans="1:7" ht="17.45" customHeight="1">
      <c r="A1872" s="261" t="s">
        <v>8</v>
      </c>
      <c r="C1872" s="271" t="s">
        <v>1275</v>
      </c>
      <c r="D1872" s="497"/>
      <c r="E1872" s="499">
        <v>26450</v>
      </c>
      <c r="F1872" s="263"/>
      <c r="G1872" s="273"/>
    </row>
    <row r="1873" spans="1:7" ht="17.45" customHeight="1">
      <c r="A1873" s="261" t="s">
        <v>8</v>
      </c>
      <c r="C1873" s="271" t="s">
        <v>2168</v>
      </c>
      <c r="D1873" s="497"/>
      <c r="E1873" s="499">
        <v>18816</v>
      </c>
      <c r="F1873" s="263"/>
      <c r="G1873" s="273"/>
    </row>
    <row r="1874" spans="1:7" ht="17.45" customHeight="1">
      <c r="A1874" s="261" t="s">
        <v>8</v>
      </c>
      <c r="C1874" s="271" t="s">
        <v>1517</v>
      </c>
      <c r="D1874" s="497"/>
      <c r="E1874" s="499">
        <v>23230</v>
      </c>
      <c r="F1874" s="263"/>
      <c r="G1874" s="273"/>
    </row>
    <row r="1875" spans="1:7" ht="17.45" customHeight="1">
      <c r="A1875" s="261" t="s">
        <v>8</v>
      </c>
      <c r="C1875" s="271" t="s">
        <v>1276</v>
      </c>
      <c r="D1875" s="497"/>
      <c r="E1875" s="499">
        <v>310260</v>
      </c>
      <c r="F1875" s="263"/>
      <c r="G1875" s="273"/>
    </row>
    <row r="1876" spans="1:7" ht="17.45" customHeight="1">
      <c r="A1876" s="261" t="s">
        <v>8</v>
      </c>
      <c r="C1876" s="271" t="s">
        <v>1277</v>
      </c>
      <c r="D1876" s="497"/>
      <c r="E1876" s="497"/>
      <c r="F1876" s="263"/>
      <c r="G1876" s="273"/>
    </row>
    <row r="1877" spans="1:7" ht="17.45" customHeight="1">
      <c r="A1877" s="261" t="s">
        <v>8</v>
      </c>
      <c r="C1877" s="271" t="s">
        <v>1278</v>
      </c>
      <c r="D1877" s="497"/>
      <c r="E1877" s="499">
        <v>200000</v>
      </c>
      <c r="F1877" s="263"/>
      <c r="G1877" s="273"/>
    </row>
    <row r="1878" spans="1:7" ht="17.45" customHeight="1">
      <c r="A1878" s="261" t="s">
        <v>8</v>
      </c>
      <c r="C1878" s="285" t="s">
        <v>1413</v>
      </c>
      <c r="D1878" s="506"/>
      <c r="E1878" s="507">
        <v>1300000</v>
      </c>
      <c r="F1878" s="286"/>
      <c r="G1878" s="287"/>
    </row>
    <row r="1879" spans="1:7" ht="17.45" customHeight="1" thickBot="1">
      <c r="A1879" s="261" t="s">
        <v>8</v>
      </c>
      <c r="C1879" s="285" t="s">
        <v>1942</v>
      </c>
      <c r="D1879" s="506"/>
      <c r="E1879" s="507">
        <v>20000</v>
      </c>
      <c r="F1879" s="286"/>
      <c r="G1879" s="290"/>
    </row>
    <row r="1880" spans="1:7" ht="17.45" customHeight="1">
      <c r="A1880" s="261" t="s">
        <v>8</v>
      </c>
      <c r="C1880" s="268" t="s">
        <v>1280</v>
      </c>
      <c r="D1880" s="501"/>
      <c r="E1880" s="501"/>
      <c r="F1880" s="269"/>
      <c r="G1880" s="288"/>
    </row>
    <row r="1881" spans="1:7" ht="17.45" customHeight="1">
      <c r="A1881" s="261" t="s">
        <v>8</v>
      </c>
      <c r="C1881" s="271" t="s">
        <v>1549</v>
      </c>
      <c r="D1881" s="497"/>
      <c r="E1881" s="497"/>
      <c r="F1881" s="263"/>
      <c r="G1881" s="275"/>
    </row>
    <row r="1882" spans="1:7" ht="17.45" customHeight="1">
      <c r="A1882" s="261" t="s">
        <v>8</v>
      </c>
      <c r="C1882" s="271" t="s">
        <v>1819</v>
      </c>
      <c r="D1882" s="497"/>
      <c r="E1882" s="497"/>
      <c r="F1882" s="263"/>
      <c r="G1882" s="275"/>
    </row>
    <row r="1883" spans="1:7" ht="17.45" customHeight="1">
      <c r="A1883" s="261" t="s">
        <v>8</v>
      </c>
      <c r="C1883" s="271" t="s">
        <v>391</v>
      </c>
      <c r="D1883" s="497"/>
      <c r="E1883" s="497"/>
      <c r="F1883" s="263"/>
      <c r="G1883" s="275"/>
    </row>
    <row r="1884" spans="1:7" ht="17.45" customHeight="1">
      <c r="A1884" s="261" t="s">
        <v>8</v>
      </c>
      <c r="C1884" s="271" t="s">
        <v>1934</v>
      </c>
      <c r="D1884" s="497"/>
      <c r="E1884" s="497"/>
      <c r="F1884" s="263"/>
      <c r="G1884" s="275"/>
    </row>
    <row r="1885" spans="1:7" ht="17.25" customHeight="1">
      <c r="A1885" s="261" t="s">
        <v>8</v>
      </c>
      <c r="C1885" s="271" t="s">
        <v>2202</v>
      </c>
      <c r="D1885" s="497"/>
      <c r="E1885" s="497"/>
      <c r="F1885" s="263"/>
      <c r="G1885" s="275"/>
    </row>
    <row r="1886" spans="1:7" ht="17.45" customHeight="1">
      <c r="A1886" s="261" t="s">
        <v>8</v>
      </c>
      <c r="C1886" s="271" t="s">
        <v>2097</v>
      </c>
      <c r="D1886" s="497"/>
      <c r="E1886" s="499">
        <v>200000</v>
      </c>
      <c r="F1886" s="263"/>
      <c r="G1886" s="275"/>
    </row>
    <row r="1887" spans="1:7" ht="17.45" customHeight="1">
      <c r="A1887" s="261" t="s">
        <v>8</v>
      </c>
      <c r="C1887" s="271" t="s">
        <v>1687</v>
      </c>
      <c r="D1887" s="497"/>
      <c r="E1887" s="497"/>
      <c r="F1887" s="263"/>
      <c r="G1887" s="275"/>
    </row>
    <row r="1888" spans="1:7" ht="17.45" customHeight="1">
      <c r="A1888" s="261" t="s">
        <v>8</v>
      </c>
      <c r="C1888" s="271" t="s">
        <v>1688</v>
      </c>
      <c r="D1888" s="497"/>
      <c r="E1888" s="497"/>
      <c r="F1888" s="263"/>
      <c r="G1888" s="275"/>
    </row>
    <row r="1889" spans="1:7" ht="17.45" customHeight="1">
      <c r="A1889" s="261" t="s">
        <v>8</v>
      </c>
      <c r="C1889" s="271" t="s">
        <v>2281</v>
      </c>
      <c r="D1889" s="497"/>
      <c r="E1889" s="499">
        <v>25000</v>
      </c>
      <c r="F1889" s="263"/>
      <c r="G1889" s="275"/>
    </row>
    <row r="1890" spans="1:7" ht="17.45" customHeight="1">
      <c r="A1890" s="261" t="s">
        <v>8</v>
      </c>
      <c r="C1890" s="271" t="s">
        <v>1596</v>
      </c>
      <c r="D1890" s="497"/>
      <c r="E1890" s="497"/>
      <c r="F1890" s="263"/>
      <c r="G1890" s="275"/>
    </row>
    <row r="1891" spans="1:7" ht="17.45" customHeight="1">
      <c r="A1891" s="261" t="s">
        <v>8</v>
      </c>
      <c r="C1891" s="271" t="s">
        <v>1595</v>
      </c>
      <c r="D1891" s="497"/>
      <c r="E1891" s="497"/>
      <c r="F1891" s="263"/>
      <c r="G1891" s="275"/>
    </row>
    <row r="1892" spans="1:7" ht="17.45" customHeight="1">
      <c r="A1892" s="261" t="s">
        <v>8</v>
      </c>
      <c r="C1892" s="271" t="s">
        <v>1613</v>
      </c>
      <c r="D1892" s="497"/>
      <c r="E1892" s="499">
        <f>8400</f>
        <v>8400</v>
      </c>
      <c r="F1892" s="263"/>
      <c r="G1892" s="275"/>
    </row>
    <row r="1893" spans="1:7" ht="17.45" customHeight="1">
      <c r="A1893" s="261" t="s">
        <v>8</v>
      </c>
      <c r="C1893" s="271" t="s">
        <v>1689</v>
      </c>
      <c r="D1893" s="497"/>
      <c r="E1893" s="497"/>
      <c r="F1893" s="263"/>
      <c r="G1893" s="275"/>
    </row>
    <row r="1894" spans="1:7" ht="17.45" customHeight="1">
      <c r="A1894" s="261" t="s">
        <v>8</v>
      </c>
      <c r="C1894" s="271" t="s">
        <v>1569</v>
      </c>
      <c r="D1894" s="497"/>
      <c r="E1894" s="497"/>
      <c r="F1894" s="263"/>
      <c r="G1894" s="275"/>
    </row>
    <row r="1895" spans="1:7" ht="17.45" customHeight="1">
      <c r="A1895" s="261" t="s">
        <v>8</v>
      </c>
      <c r="C1895" s="271" t="s">
        <v>1618</v>
      </c>
      <c r="D1895" s="497"/>
      <c r="E1895" s="499">
        <f>2800+6980</f>
        <v>9780</v>
      </c>
      <c r="F1895" s="263"/>
      <c r="G1895" s="275"/>
    </row>
    <row r="1896" spans="1:7" ht="17.45" customHeight="1">
      <c r="A1896" s="261" t="s">
        <v>8</v>
      </c>
      <c r="C1896" s="271" t="s">
        <v>1800</v>
      </c>
      <c r="D1896" s="497"/>
      <c r="E1896" s="497"/>
      <c r="F1896" s="263"/>
      <c r="G1896" s="275"/>
    </row>
    <row r="1897" spans="1:7" ht="17.45" customHeight="1" thickBot="1">
      <c r="A1897" s="261" t="s">
        <v>8</v>
      </c>
      <c r="C1897" s="276" t="s">
        <v>1594</v>
      </c>
      <c r="D1897" s="502"/>
      <c r="E1897" s="502"/>
      <c r="F1897" s="277"/>
      <c r="G1897" s="282"/>
    </row>
    <row r="1898" spans="1:7" ht="17.45" customHeight="1">
      <c r="A1898" s="261" t="s">
        <v>8</v>
      </c>
      <c r="C1898" s="279" t="s">
        <v>2278</v>
      </c>
      <c r="D1898" s="504"/>
      <c r="E1898" s="505">
        <v>230000</v>
      </c>
      <c r="F1898" s="280"/>
      <c r="G1898" s="281"/>
    </row>
    <row r="1899" spans="1:7" ht="17.45" customHeight="1">
      <c r="A1899" s="261" t="s">
        <v>8</v>
      </c>
      <c r="C1899" s="271" t="s">
        <v>2276</v>
      </c>
      <c r="D1899" s="497"/>
      <c r="E1899" s="499">
        <v>6000</v>
      </c>
      <c r="F1899" s="263"/>
      <c r="G1899" s="275"/>
    </row>
    <row r="1900" spans="1:7" ht="17.45" customHeight="1">
      <c r="A1900" s="261" t="s">
        <v>8</v>
      </c>
      <c r="C1900" s="271" t="s">
        <v>2277</v>
      </c>
      <c r="D1900" s="497"/>
      <c r="E1900" s="499">
        <v>13000</v>
      </c>
      <c r="F1900" s="263"/>
      <c r="G1900" s="275"/>
    </row>
    <row r="1901" spans="1:7" ht="17.45" customHeight="1">
      <c r="A1901" s="261" t="s">
        <v>8</v>
      </c>
      <c r="C1901" s="271" t="s">
        <v>1610</v>
      </c>
      <c r="D1901" s="497"/>
      <c r="E1901" s="499">
        <v>4200</v>
      </c>
      <c r="F1901" s="263"/>
      <c r="G1901" s="275"/>
    </row>
    <row r="1902" spans="1:7" ht="17.45" customHeight="1">
      <c r="A1902" s="261" t="s">
        <v>8</v>
      </c>
      <c r="C1902" s="271" t="s">
        <v>2256</v>
      </c>
      <c r="D1902" s="497"/>
      <c r="E1902" s="499">
        <v>5000</v>
      </c>
      <c r="F1902" s="263"/>
      <c r="G1902" s="275"/>
    </row>
    <row r="1903" spans="1:7" ht="17.45" customHeight="1">
      <c r="A1903" s="261" t="s">
        <v>8</v>
      </c>
      <c r="C1903" s="271" t="s">
        <v>2258</v>
      </c>
      <c r="D1903" s="497"/>
      <c r="E1903" s="499">
        <v>20000</v>
      </c>
      <c r="F1903" s="263"/>
      <c r="G1903" s="275"/>
    </row>
    <row r="1904" spans="1:7" ht="17.45" customHeight="1">
      <c r="A1904" s="261" t="s">
        <v>8</v>
      </c>
      <c r="C1904" s="271" t="s">
        <v>2262</v>
      </c>
      <c r="D1904" s="497"/>
      <c r="E1904" s="499">
        <v>71100</v>
      </c>
      <c r="F1904" s="263"/>
      <c r="G1904" s="275"/>
    </row>
    <row r="1905" spans="1:7" ht="17.45" customHeight="1">
      <c r="A1905" s="261" t="s">
        <v>8</v>
      </c>
      <c r="C1905" s="271" t="s">
        <v>2260</v>
      </c>
      <c r="D1905" s="497"/>
      <c r="E1905" s="499">
        <v>340000</v>
      </c>
      <c r="F1905" s="263"/>
      <c r="G1905" s="275"/>
    </row>
    <row r="1906" spans="1:7" ht="17.45" customHeight="1">
      <c r="A1906" s="261" t="s">
        <v>8</v>
      </c>
      <c r="C1906" s="271" t="s">
        <v>1465</v>
      </c>
      <c r="D1906" s="497"/>
      <c r="E1906" s="499">
        <v>9400</v>
      </c>
      <c r="F1906" s="263"/>
      <c r="G1906" s="275"/>
    </row>
    <row r="1907" spans="1:7" ht="17.45" customHeight="1">
      <c r="A1907" s="261" t="s">
        <v>8</v>
      </c>
      <c r="C1907" s="271" t="s">
        <v>2264</v>
      </c>
      <c r="D1907" s="497"/>
      <c r="E1907" s="499">
        <v>18000</v>
      </c>
      <c r="F1907" s="263"/>
      <c r="G1907" s="275"/>
    </row>
    <row r="1908" spans="1:7" ht="17.45" customHeight="1">
      <c r="A1908" s="261" t="s">
        <v>8</v>
      </c>
      <c r="C1908" s="271" t="s">
        <v>2266</v>
      </c>
      <c r="D1908" s="497"/>
      <c r="E1908" s="499">
        <v>18500</v>
      </c>
      <c r="F1908" s="263"/>
      <c r="G1908" s="275"/>
    </row>
    <row r="1909" spans="1:7" ht="17.45" customHeight="1">
      <c r="A1909" s="261" t="s">
        <v>8</v>
      </c>
      <c r="C1909" s="271" t="s">
        <v>2268</v>
      </c>
      <c r="D1909" s="497"/>
      <c r="E1909" s="499">
        <v>4000</v>
      </c>
      <c r="F1909" s="263"/>
      <c r="G1909" s="275"/>
    </row>
    <row r="1910" spans="1:7" ht="17.45" customHeight="1">
      <c r="A1910" s="261" t="s">
        <v>8</v>
      </c>
      <c r="C1910" s="271" t="s">
        <v>2270</v>
      </c>
      <c r="D1910" s="497"/>
      <c r="E1910" s="499">
        <v>7000</v>
      </c>
      <c r="F1910" s="263"/>
      <c r="G1910" s="275"/>
    </row>
    <row r="1911" spans="1:7" ht="17.45" customHeight="1">
      <c r="A1911" s="261" t="s">
        <v>8</v>
      </c>
      <c r="C1911" s="271" t="s">
        <v>2272</v>
      </c>
      <c r="D1911" s="497"/>
      <c r="E1911" s="499">
        <v>8000</v>
      </c>
      <c r="F1911" s="263"/>
      <c r="G1911" s="275"/>
    </row>
    <row r="1912" spans="1:7" ht="17.45" customHeight="1">
      <c r="A1912" s="261" t="s">
        <v>8</v>
      </c>
      <c r="C1912" s="271" t="s">
        <v>2274</v>
      </c>
      <c r="D1912" s="497"/>
      <c r="E1912" s="499">
        <v>53610</v>
      </c>
      <c r="F1912" s="263"/>
      <c r="G1912" s="275"/>
    </row>
    <row r="1913" spans="1:7" ht="17.45" customHeight="1">
      <c r="A1913" s="261" t="s">
        <v>8</v>
      </c>
      <c r="C1913" s="271" t="s">
        <v>2279</v>
      </c>
      <c r="D1913" s="497"/>
      <c r="E1913" s="499">
        <v>50000</v>
      </c>
      <c r="F1913" s="263"/>
      <c r="G1913" s="275"/>
    </row>
    <row r="1914" spans="1:7" ht="17.45" customHeight="1">
      <c r="A1914" s="261" t="s">
        <v>8</v>
      </c>
      <c r="C1914" s="271" t="s">
        <v>2280</v>
      </c>
      <c r="D1914" s="497"/>
      <c r="E1914" s="499">
        <v>3400</v>
      </c>
      <c r="F1914" s="263"/>
      <c r="G1914" s="275"/>
    </row>
    <row r="1915" spans="1:7" ht="17.45" customHeight="1">
      <c r="A1915" s="261" t="s">
        <v>8</v>
      </c>
      <c r="C1915" s="271" t="s">
        <v>2107</v>
      </c>
      <c r="D1915" s="497"/>
      <c r="E1915" s="499">
        <v>35500</v>
      </c>
      <c r="F1915" s="263"/>
      <c r="G1915" s="275"/>
    </row>
    <row r="1916" spans="1:7" ht="17.45" customHeight="1">
      <c r="A1916" s="261" t="s">
        <v>8</v>
      </c>
      <c r="C1916" s="271" t="s">
        <v>2251</v>
      </c>
      <c r="D1916" s="497"/>
      <c r="E1916" s="499">
        <v>3000</v>
      </c>
      <c r="F1916" s="263"/>
      <c r="G1916" s="275"/>
    </row>
    <row r="1917" spans="1:7" ht="17.45" customHeight="1">
      <c r="A1917" s="261" t="s">
        <v>8</v>
      </c>
      <c r="C1917" s="271" t="s">
        <v>1650</v>
      </c>
      <c r="D1917" s="497"/>
      <c r="E1917" s="499">
        <v>9800</v>
      </c>
      <c r="F1917" s="263"/>
      <c r="G1917" s="275"/>
    </row>
    <row r="1918" spans="1:7" ht="17.45" customHeight="1">
      <c r="A1918" s="261" t="s">
        <v>8</v>
      </c>
      <c r="C1918" s="271" t="s">
        <v>2284</v>
      </c>
      <c r="D1918" s="497"/>
      <c r="E1918" s="499">
        <v>180000</v>
      </c>
      <c r="F1918" s="263"/>
      <c r="G1918" s="275"/>
    </row>
    <row r="1919" spans="1:7" ht="17.45" customHeight="1">
      <c r="A1919" s="261" t="s">
        <v>8</v>
      </c>
      <c r="C1919" s="271" t="s">
        <v>2002</v>
      </c>
      <c r="D1919" s="497"/>
      <c r="E1919" s="499">
        <v>33000</v>
      </c>
      <c r="F1919" s="263"/>
      <c r="G1919" s="275"/>
    </row>
    <row r="1920" spans="1:7" ht="17.45" customHeight="1">
      <c r="A1920" s="261" t="s">
        <v>8</v>
      </c>
      <c r="C1920" s="271" t="s">
        <v>1877</v>
      </c>
      <c r="D1920" s="497"/>
      <c r="E1920" s="499">
        <f>60600-164400-65100</f>
        <v>-168900</v>
      </c>
      <c r="F1920" s="263"/>
      <c r="G1920" s="275"/>
    </row>
    <row r="1921" spans="1:7" ht="17.45" customHeight="1">
      <c r="A1921" s="261" t="s">
        <v>8</v>
      </c>
      <c r="C1921" s="271" t="s">
        <v>1769</v>
      </c>
      <c r="D1921" s="497"/>
      <c r="E1921" s="499">
        <v>300000</v>
      </c>
      <c r="F1921" s="263"/>
      <c r="G1921" s="275"/>
    </row>
    <row r="1922" spans="1:7" ht="17.45" customHeight="1">
      <c r="A1922" s="261" t="s">
        <v>8</v>
      </c>
      <c r="C1922" s="271" t="s">
        <v>2285</v>
      </c>
      <c r="D1922" s="497"/>
      <c r="E1922" s="499">
        <v>49000</v>
      </c>
      <c r="F1922" s="263"/>
      <c r="G1922" s="275"/>
    </row>
    <row r="1923" spans="1:7" ht="17.45" customHeight="1">
      <c r="A1923" s="261" t="s">
        <v>8</v>
      </c>
      <c r="C1923" s="271" t="s">
        <v>1776</v>
      </c>
      <c r="D1923" s="497"/>
      <c r="E1923" s="499">
        <v>22500</v>
      </c>
      <c r="F1923" s="263"/>
      <c r="G1923" s="275"/>
    </row>
    <row r="1924" spans="1:7" ht="17.45" customHeight="1">
      <c r="A1924" s="261" t="s">
        <v>8</v>
      </c>
      <c r="C1924" s="271" t="s">
        <v>1799</v>
      </c>
      <c r="D1924" s="497"/>
      <c r="E1924" s="499">
        <v>3350</v>
      </c>
      <c r="F1924" s="263"/>
      <c r="G1924" s="275"/>
    </row>
    <row r="1925" spans="1:7" ht="17.45" customHeight="1">
      <c r="A1925" s="261" t="s">
        <v>8</v>
      </c>
      <c r="C1925" s="271" t="s">
        <v>2286</v>
      </c>
      <c r="D1925" s="497"/>
      <c r="E1925" s="499">
        <v>99000</v>
      </c>
      <c r="F1925" s="263"/>
      <c r="G1925" s="275"/>
    </row>
    <row r="1926" spans="1:7" ht="17.45" customHeight="1">
      <c r="A1926" s="261" t="s">
        <v>8</v>
      </c>
      <c r="C1926" s="271" t="s">
        <v>1628</v>
      </c>
      <c r="D1926" s="497"/>
      <c r="E1926" s="499">
        <v>17000</v>
      </c>
      <c r="F1926" s="263"/>
      <c r="G1926" s="275"/>
    </row>
    <row r="1927" spans="1:7" ht="17.45" customHeight="1">
      <c r="A1927" s="261" t="s">
        <v>8</v>
      </c>
      <c r="C1927" s="271" t="s">
        <v>2287</v>
      </c>
      <c r="D1927" s="497"/>
      <c r="E1927" s="499">
        <v>110000</v>
      </c>
      <c r="F1927" s="263"/>
      <c r="G1927" s="275"/>
    </row>
    <row r="1928" spans="1:7" ht="17.45" customHeight="1">
      <c r="A1928" s="261" t="s">
        <v>8</v>
      </c>
      <c r="C1928" s="271" t="s">
        <v>1932</v>
      </c>
      <c r="D1928" s="497"/>
      <c r="E1928" s="499">
        <v>5000</v>
      </c>
      <c r="F1928" s="263"/>
      <c r="G1928" s="275"/>
    </row>
    <row r="1929" spans="1:7" ht="17.45" customHeight="1">
      <c r="A1929" s="261" t="s">
        <v>8</v>
      </c>
      <c r="C1929" s="271" t="s">
        <v>2288</v>
      </c>
      <c r="D1929" s="497"/>
      <c r="E1929" s="499">
        <v>5000</v>
      </c>
      <c r="F1929" s="263"/>
      <c r="G1929" s="275"/>
    </row>
    <row r="1930" spans="1:7" ht="17.45" customHeight="1">
      <c r="A1930" s="261" t="s">
        <v>8</v>
      </c>
      <c r="C1930" s="271" t="s">
        <v>2289</v>
      </c>
      <c r="D1930" s="497"/>
      <c r="E1930" s="499">
        <v>13300</v>
      </c>
      <c r="F1930" s="263"/>
      <c r="G1930" s="275"/>
    </row>
    <row r="1931" spans="1:7" ht="17.45" customHeight="1">
      <c r="A1931" s="261" t="s">
        <v>8</v>
      </c>
      <c r="C1931" s="271" t="s">
        <v>1567</v>
      </c>
      <c r="D1931" s="497"/>
      <c r="E1931" s="499">
        <v>710640</v>
      </c>
      <c r="F1931" s="263"/>
      <c r="G1931" s="275"/>
    </row>
    <row r="1932" spans="1:7" ht="17.45" customHeight="1">
      <c r="A1932" s="261" t="s">
        <v>8</v>
      </c>
      <c r="C1932" s="271" t="s">
        <v>2290</v>
      </c>
      <c r="D1932" s="497"/>
      <c r="E1932" s="499">
        <v>1116210</v>
      </c>
      <c r="F1932" s="263"/>
      <c r="G1932" s="275"/>
    </row>
    <row r="1933" spans="1:7" ht="17.45" customHeight="1">
      <c r="A1933" s="261" t="s">
        <v>8</v>
      </c>
      <c r="C1933" s="271" t="s">
        <v>1645</v>
      </c>
      <c r="D1933" s="497"/>
      <c r="E1933" s="499">
        <v>14900</v>
      </c>
      <c r="F1933" s="263"/>
      <c r="G1933" s="275"/>
    </row>
    <row r="1934" spans="1:7" ht="17.45" customHeight="1" thickBot="1">
      <c r="A1934" s="261" t="s">
        <v>8</v>
      </c>
      <c r="C1934" s="276" t="s">
        <v>1300</v>
      </c>
      <c r="D1934" s="502">
        <f>SUM(D1861:D1933)-SUM(E1861:E1933)</f>
        <v>-964236</v>
      </c>
      <c r="E1934" s="502">
        <f>SUM(E1861:E1933)-SUM(F1861:F1933)</f>
        <v>6951241</v>
      </c>
      <c r="F1934" s="277"/>
      <c r="G1934" s="283"/>
    </row>
    <row r="1935" spans="1:7">
      <c r="A1935" s="261" t="s">
        <v>8</v>
      </c>
    </row>
    <row r="1936" spans="1:7" ht="12.75" thickBot="1">
      <c r="A1936" s="261" t="s">
        <v>8</v>
      </c>
    </row>
    <row r="1937" spans="1:7" ht="17.45" customHeight="1">
      <c r="A1937" s="261" t="s">
        <v>8</v>
      </c>
      <c r="B1937" s="256" t="s">
        <v>2360</v>
      </c>
      <c r="C1937" s="268" t="s">
        <v>1268</v>
      </c>
      <c r="D1937" s="500">
        <v>6281700</v>
      </c>
      <c r="E1937" s="501"/>
      <c r="F1937" s="269"/>
      <c r="G1937" s="270"/>
    </row>
    <row r="1938" spans="1:7" ht="17.45" customHeight="1">
      <c r="A1938" s="261" t="s">
        <v>8</v>
      </c>
      <c r="B1938" s="257"/>
      <c r="C1938" s="271" t="s">
        <v>1269</v>
      </c>
      <c r="D1938" s="497"/>
      <c r="E1938" s="499">
        <v>435000</v>
      </c>
      <c r="F1938" s="263"/>
      <c r="G1938" s="272" t="s">
        <v>2361</v>
      </c>
    </row>
    <row r="1939" spans="1:7" ht="17.45" customHeight="1">
      <c r="A1939" s="261" t="s">
        <v>8</v>
      </c>
      <c r="C1939" s="271" t="s">
        <v>1270</v>
      </c>
      <c r="D1939" s="497"/>
      <c r="E1939" s="499">
        <v>792000</v>
      </c>
      <c r="F1939" s="263"/>
      <c r="G1939" s="273" t="s">
        <v>2192</v>
      </c>
    </row>
    <row r="1940" spans="1:7" ht="17.45" customHeight="1">
      <c r="A1940" s="261" t="s">
        <v>8</v>
      </c>
      <c r="C1940" s="271" t="s">
        <v>1670</v>
      </c>
      <c r="D1940" s="497"/>
      <c r="E1940" s="499">
        <v>26010</v>
      </c>
      <c r="F1940" s="263"/>
      <c r="G1940" s="274"/>
    </row>
    <row r="1941" spans="1:7" ht="17.45" customHeight="1">
      <c r="A1941" s="261" t="s">
        <v>8</v>
      </c>
      <c r="C1941" s="271" t="s">
        <v>1672</v>
      </c>
      <c r="D1941" s="497"/>
      <c r="E1941" s="499">
        <v>42090</v>
      </c>
      <c r="F1941" s="263"/>
      <c r="G1941" s="274"/>
    </row>
    <row r="1942" spans="1:7" ht="17.45" customHeight="1">
      <c r="A1942" s="261" t="s">
        <v>8</v>
      </c>
      <c r="C1942" s="271" t="s">
        <v>1673</v>
      </c>
      <c r="D1942" s="497"/>
      <c r="E1942" s="497">
        <v>0</v>
      </c>
      <c r="F1942" s="263"/>
      <c r="G1942" s="274"/>
    </row>
    <row r="1943" spans="1:7" ht="17.45" customHeight="1">
      <c r="A1943" s="261" t="s">
        <v>8</v>
      </c>
      <c r="C1943" s="271" t="s">
        <v>1332</v>
      </c>
      <c r="D1943" s="497"/>
      <c r="E1943" s="499">
        <v>42900</v>
      </c>
      <c r="F1943" s="263"/>
      <c r="G1943" s="275"/>
    </row>
    <row r="1944" spans="1:7" ht="17.45" customHeight="1">
      <c r="A1944" s="261" t="s">
        <v>8</v>
      </c>
      <c r="C1944" s="271" t="s">
        <v>1271</v>
      </c>
      <c r="D1944" s="497"/>
      <c r="E1944" s="497">
        <v>0</v>
      </c>
      <c r="F1944" s="263"/>
      <c r="G1944" s="274"/>
    </row>
    <row r="1945" spans="1:7" ht="17.45" customHeight="1">
      <c r="A1945" s="261" t="s">
        <v>8</v>
      </c>
      <c r="C1945" s="271" t="s">
        <v>1272</v>
      </c>
      <c r="D1945" s="497"/>
      <c r="E1945" s="499">
        <v>7470</v>
      </c>
      <c r="F1945" s="263"/>
      <c r="G1945" s="273"/>
    </row>
    <row r="1946" spans="1:7" ht="17.45" customHeight="1">
      <c r="A1946" s="261" t="s">
        <v>8</v>
      </c>
      <c r="C1946" s="271" t="s">
        <v>1273</v>
      </c>
      <c r="D1946" s="497"/>
      <c r="E1946" s="499">
        <v>29920</v>
      </c>
      <c r="F1946" s="263"/>
      <c r="G1946" s="273"/>
    </row>
    <row r="1947" spans="1:7" ht="17.45" customHeight="1">
      <c r="A1947" s="261" t="s">
        <v>8</v>
      </c>
      <c r="C1947" s="271" t="s">
        <v>1274</v>
      </c>
      <c r="D1947" s="497"/>
      <c r="E1947" s="499">
        <v>9405</v>
      </c>
      <c r="F1947" s="263"/>
      <c r="G1947" s="273"/>
    </row>
    <row r="1948" spans="1:7" ht="17.45" customHeight="1">
      <c r="A1948" s="261" t="s">
        <v>8</v>
      </c>
      <c r="C1948" s="271" t="s">
        <v>1275</v>
      </c>
      <c r="D1948" s="497"/>
      <c r="E1948" s="499">
        <v>26450</v>
      </c>
      <c r="F1948" s="263"/>
      <c r="G1948" s="273"/>
    </row>
    <row r="1949" spans="1:7" ht="17.45" customHeight="1">
      <c r="A1949" s="261" t="s">
        <v>8</v>
      </c>
      <c r="C1949" s="271" t="s">
        <v>2168</v>
      </c>
      <c r="D1949" s="497"/>
      <c r="E1949" s="499">
        <v>18816</v>
      </c>
      <c r="F1949" s="263"/>
      <c r="G1949" s="273"/>
    </row>
    <row r="1950" spans="1:7" ht="17.45" customHeight="1">
      <c r="A1950" s="261" t="s">
        <v>8</v>
      </c>
      <c r="C1950" s="271" t="s">
        <v>1517</v>
      </c>
      <c r="D1950" s="497"/>
      <c r="E1950" s="499">
        <v>23230</v>
      </c>
      <c r="F1950" s="263"/>
      <c r="G1950" s="273"/>
    </row>
    <row r="1951" spans="1:7" ht="17.45" customHeight="1">
      <c r="A1951" s="261" t="s">
        <v>8</v>
      </c>
      <c r="C1951" s="271" t="s">
        <v>1276</v>
      </c>
      <c r="D1951" s="497"/>
      <c r="E1951" s="499">
        <v>287860</v>
      </c>
      <c r="F1951" s="263"/>
      <c r="G1951" s="273"/>
    </row>
    <row r="1952" spans="1:7" ht="17.45" customHeight="1">
      <c r="A1952" s="261" t="s">
        <v>8</v>
      </c>
      <c r="C1952" s="271" t="s">
        <v>1277</v>
      </c>
      <c r="D1952" s="497"/>
      <c r="E1952" s="497"/>
      <c r="F1952" s="263"/>
      <c r="G1952" s="273"/>
    </row>
    <row r="1953" spans="1:7" ht="17.45" customHeight="1">
      <c r="A1953" s="261" t="s">
        <v>8</v>
      </c>
      <c r="C1953" s="271" t="s">
        <v>1278</v>
      </c>
      <c r="D1953" s="497"/>
      <c r="E1953" s="499">
        <v>200000</v>
      </c>
      <c r="F1953" s="263"/>
      <c r="G1953" s="273"/>
    </row>
    <row r="1954" spans="1:7" ht="17.45" customHeight="1">
      <c r="A1954" s="261" t="s">
        <v>8</v>
      </c>
      <c r="C1954" s="285" t="s">
        <v>1413</v>
      </c>
      <c r="D1954" s="506"/>
      <c r="E1954" s="507">
        <v>1300000</v>
      </c>
      <c r="F1954" s="286"/>
      <c r="G1954" s="287"/>
    </row>
    <row r="1955" spans="1:7" ht="17.45" customHeight="1" thickBot="1">
      <c r="A1955" s="261" t="s">
        <v>8</v>
      </c>
      <c r="C1955" s="285" t="s">
        <v>1942</v>
      </c>
      <c r="D1955" s="506"/>
      <c r="E1955" s="507">
        <v>20000</v>
      </c>
      <c r="F1955" s="286"/>
      <c r="G1955" s="290"/>
    </row>
    <row r="1956" spans="1:7" ht="17.45" customHeight="1">
      <c r="A1956" s="261" t="s">
        <v>8</v>
      </c>
      <c r="C1956" s="268" t="s">
        <v>1280</v>
      </c>
      <c r="D1956" s="501"/>
      <c r="E1956" s="500">
        <f>50000+50000+50000</f>
        <v>150000</v>
      </c>
      <c r="F1956" s="269"/>
      <c r="G1956" s="288"/>
    </row>
    <row r="1957" spans="1:7" ht="17.45" customHeight="1">
      <c r="A1957" s="261" t="s">
        <v>8</v>
      </c>
      <c r="C1957" s="271" t="s">
        <v>1549</v>
      </c>
      <c r="D1957" s="497"/>
      <c r="E1957" s="497"/>
      <c r="F1957" s="263"/>
      <c r="G1957" s="275"/>
    </row>
    <row r="1958" spans="1:7" ht="17.45" customHeight="1">
      <c r="A1958" s="261" t="s">
        <v>8</v>
      </c>
      <c r="C1958" s="271" t="s">
        <v>1819</v>
      </c>
      <c r="D1958" s="497"/>
      <c r="E1958" s="497"/>
      <c r="F1958" s="263"/>
      <c r="G1958" s="275"/>
    </row>
    <row r="1959" spans="1:7" ht="17.45" customHeight="1">
      <c r="A1959" s="261" t="s">
        <v>8</v>
      </c>
      <c r="C1959" s="271" t="s">
        <v>391</v>
      </c>
      <c r="D1959" s="497"/>
      <c r="E1959" s="497"/>
      <c r="F1959" s="263"/>
      <c r="G1959" s="275"/>
    </row>
    <row r="1960" spans="1:7" ht="17.45" customHeight="1">
      <c r="A1960" s="261" t="s">
        <v>8</v>
      </c>
      <c r="C1960" s="271" t="s">
        <v>1934</v>
      </c>
      <c r="D1960" s="497"/>
      <c r="E1960" s="497"/>
      <c r="F1960" s="263"/>
      <c r="G1960" s="275"/>
    </row>
    <row r="1961" spans="1:7" ht="17.25" customHeight="1">
      <c r="A1961" s="261" t="s">
        <v>8</v>
      </c>
      <c r="C1961" s="271" t="s">
        <v>2202</v>
      </c>
      <c r="D1961" s="497"/>
      <c r="E1961" s="497"/>
      <c r="F1961" s="263"/>
      <c r="G1961" s="275"/>
    </row>
    <row r="1962" spans="1:7" ht="17.45" customHeight="1">
      <c r="A1962" s="261" t="s">
        <v>8</v>
      </c>
      <c r="C1962" s="271" t="s">
        <v>2097</v>
      </c>
      <c r="D1962" s="497"/>
      <c r="E1962" s="499">
        <v>200000</v>
      </c>
      <c r="F1962" s="263"/>
      <c r="G1962" s="275"/>
    </row>
    <row r="1963" spans="1:7" ht="17.45" customHeight="1">
      <c r="A1963" s="261" t="s">
        <v>8</v>
      </c>
      <c r="C1963" s="271" t="s">
        <v>1687</v>
      </c>
      <c r="D1963" s="497"/>
      <c r="E1963" s="499">
        <v>1800000</v>
      </c>
      <c r="F1963" s="263"/>
      <c r="G1963" s="275"/>
    </row>
    <row r="1964" spans="1:7" ht="17.45" customHeight="1">
      <c r="A1964" s="261" t="s">
        <v>8</v>
      </c>
      <c r="C1964" s="271" t="s">
        <v>1688</v>
      </c>
      <c r="D1964" s="497"/>
      <c r="E1964" s="499">
        <v>55000</v>
      </c>
      <c r="F1964" s="263"/>
      <c r="G1964" s="275"/>
    </row>
    <row r="1965" spans="1:7" ht="17.45" customHeight="1">
      <c r="A1965" s="261" t="s">
        <v>8</v>
      </c>
      <c r="C1965" s="271" t="s">
        <v>2281</v>
      </c>
      <c r="D1965" s="497"/>
      <c r="E1965" s="499">
        <v>18000</v>
      </c>
      <c r="F1965" s="263"/>
      <c r="G1965" s="275"/>
    </row>
    <row r="1966" spans="1:7" ht="17.45" customHeight="1">
      <c r="A1966" s="261" t="s">
        <v>8</v>
      </c>
      <c r="C1966" s="271" t="s">
        <v>1596</v>
      </c>
      <c r="D1966" s="497"/>
      <c r="E1966" s="497"/>
      <c r="F1966" s="263"/>
      <c r="G1966" s="275"/>
    </row>
    <row r="1967" spans="1:7" ht="17.45" customHeight="1">
      <c r="A1967" s="261" t="s">
        <v>8</v>
      </c>
      <c r="C1967" s="271" t="s">
        <v>1595</v>
      </c>
      <c r="D1967" s="497"/>
      <c r="E1967" s="497"/>
      <c r="F1967" s="263"/>
      <c r="G1967" s="275"/>
    </row>
    <row r="1968" spans="1:7" ht="17.45" customHeight="1">
      <c r="A1968" s="261" t="s">
        <v>8</v>
      </c>
      <c r="C1968" s="271" t="s">
        <v>1613</v>
      </c>
      <c r="D1968" s="497"/>
      <c r="E1968" s="499">
        <f>2600+3800+3800+8800</f>
        <v>19000</v>
      </c>
      <c r="F1968" s="263"/>
      <c r="G1968" s="275"/>
    </row>
    <row r="1969" spans="1:7" ht="17.45" customHeight="1">
      <c r="A1969" s="261" t="s">
        <v>8</v>
      </c>
      <c r="C1969" s="271" t="s">
        <v>1689</v>
      </c>
      <c r="D1969" s="497"/>
      <c r="E1969" s="497"/>
      <c r="F1969" s="263"/>
      <c r="G1969" s="275"/>
    </row>
    <row r="1970" spans="1:7" ht="17.45" customHeight="1">
      <c r="A1970" s="261" t="s">
        <v>8</v>
      </c>
      <c r="C1970" s="271" t="s">
        <v>1569</v>
      </c>
      <c r="D1970" s="497"/>
      <c r="E1970" s="497"/>
      <c r="F1970" s="263"/>
      <c r="G1970" s="275"/>
    </row>
    <row r="1971" spans="1:7" ht="17.45" customHeight="1">
      <c r="A1971" s="261" t="s">
        <v>8</v>
      </c>
      <c r="C1971" s="271" t="s">
        <v>1618</v>
      </c>
      <c r="D1971" s="497"/>
      <c r="E1971" s="499">
        <f>62460+22860+6480+16160+5980+54880</f>
        <v>168820</v>
      </c>
      <c r="F1971" s="263"/>
      <c r="G1971" s="275"/>
    </row>
    <row r="1972" spans="1:7" ht="17.45" customHeight="1">
      <c r="A1972" s="261" t="s">
        <v>8</v>
      </c>
      <c r="C1972" s="271" t="s">
        <v>1800</v>
      </c>
      <c r="D1972" s="497"/>
      <c r="E1972" s="499">
        <v>15000</v>
      </c>
      <c r="F1972" s="263"/>
      <c r="G1972" s="275"/>
    </row>
    <row r="1973" spans="1:7" ht="17.45" customHeight="1" thickBot="1">
      <c r="A1973" s="261" t="s">
        <v>8</v>
      </c>
      <c r="C1973" s="276" t="s">
        <v>1594</v>
      </c>
      <c r="D1973" s="502"/>
      <c r="E1973" s="503">
        <v>27900</v>
      </c>
      <c r="F1973" s="277"/>
      <c r="G1973" s="282"/>
    </row>
    <row r="1974" spans="1:7" ht="17.45" customHeight="1">
      <c r="A1974" s="261" t="s">
        <v>8</v>
      </c>
      <c r="C1974" s="279" t="s">
        <v>2362</v>
      </c>
      <c r="D1974" s="504"/>
      <c r="E1974" s="505">
        <v>15000</v>
      </c>
      <c r="F1974" s="280"/>
      <c r="G1974" s="281"/>
    </row>
    <row r="1975" spans="1:7" ht="17.45" customHeight="1">
      <c r="A1975" s="261" t="s">
        <v>8</v>
      </c>
      <c r="C1975" s="271" t="s">
        <v>1567</v>
      </c>
      <c r="D1975" s="497"/>
      <c r="E1975" s="499">
        <v>-710640</v>
      </c>
      <c r="F1975" s="263"/>
      <c r="G1975" s="275"/>
    </row>
    <row r="1976" spans="1:7" ht="17.45" customHeight="1">
      <c r="A1976" s="261" t="s">
        <v>8</v>
      </c>
      <c r="C1976" s="271" t="s">
        <v>2363</v>
      </c>
      <c r="D1976" s="497"/>
      <c r="E1976" s="499">
        <v>4000</v>
      </c>
      <c r="F1976" s="263"/>
      <c r="G1976" s="275"/>
    </row>
    <row r="1977" spans="1:7" ht="17.45" customHeight="1">
      <c r="A1977" s="261" t="s">
        <v>8</v>
      </c>
      <c r="C1977" s="271" t="s">
        <v>2364</v>
      </c>
      <c r="D1977" s="497"/>
      <c r="E1977" s="499">
        <v>1400</v>
      </c>
      <c r="F1977" s="263"/>
      <c r="G1977" s="275"/>
    </row>
    <row r="1978" spans="1:7" ht="17.45" customHeight="1">
      <c r="A1978" s="261" t="s">
        <v>8</v>
      </c>
      <c r="C1978" s="271" t="s">
        <v>2365</v>
      </c>
      <c r="D1978" s="497"/>
      <c r="E1978" s="499">
        <v>6000</v>
      </c>
      <c r="F1978" s="263"/>
      <c r="G1978" s="275"/>
    </row>
    <row r="1979" spans="1:7" ht="17.45" customHeight="1">
      <c r="A1979" s="261" t="s">
        <v>8</v>
      </c>
      <c r="C1979" s="271" t="s">
        <v>1776</v>
      </c>
      <c r="D1979" s="497"/>
      <c r="E1979" s="499">
        <v>2400</v>
      </c>
      <c r="F1979" s="263"/>
      <c r="G1979" s="275"/>
    </row>
    <row r="1980" spans="1:7" ht="17.45" customHeight="1">
      <c r="A1980" s="261" t="s">
        <v>8</v>
      </c>
      <c r="C1980" s="271" t="s">
        <v>1810</v>
      </c>
      <c r="D1980" s="497"/>
      <c r="E1980" s="499">
        <v>2000</v>
      </c>
      <c r="F1980" s="263"/>
      <c r="G1980" s="275"/>
    </row>
    <row r="1981" spans="1:7" ht="17.45" customHeight="1">
      <c r="A1981" s="261" t="s">
        <v>8</v>
      </c>
      <c r="C1981" s="271" t="s">
        <v>2366</v>
      </c>
      <c r="D1981" s="497"/>
      <c r="E1981" s="499">
        <v>32000</v>
      </c>
      <c r="F1981" s="263"/>
      <c r="G1981" s="275"/>
    </row>
    <row r="1982" spans="1:7" ht="17.45" customHeight="1">
      <c r="A1982" s="261" t="s">
        <v>8</v>
      </c>
      <c r="C1982" s="271" t="s">
        <v>1606</v>
      </c>
      <c r="D1982" s="497"/>
      <c r="E1982" s="499">
        <v>16600</v>
      </c>
      <c r="F1982" s="263"/>
      <c r="G1982" s="275"/>
    </row>
    <row r="1983" spans="1:7" ht="17.45" customHeight="1">
      <c r="A1983" s="261" t="s">
        <v>8</v>
      </c>
      <c r="C1983" s="271" t="s">
        <v>2384</v>
      </c>
      <c r="D1983" s="497"/>
      <c r="E1983" s="499">
        <v>15500</v>
      </c>
      <c r="F1983" s="263"/>
      <c r="G1983" s="275"/>
    </row>
    <row r="1984" spans="1:7" ht="17.45" customHeight="1">
      <c r="A1984" s="261" t="s">
        <v>8</v>
      </c>
      <c r="C1984" s="271" t="s">
        <v>2385</v>
      </c>
      <c r="D1984" s="497"/>
      <c r="E1984" s="499">
        <v>5000</v>
      </c>
      <c r="F1984" s="263"/>
      <c r="G1984" s="275"/>
    </row>
    <row r="1985" spans="1:7" ht="17.45" customHeight="1">
      <c r="A1985" s="261" t="s">
        <v>8</v>
      </c>
      <c r="C1985" s="271" t="s">
        <v>2386</v>
      </c>
      <c r="D1985" s="497"/>
      <c r="E1985" s="499">
        <v>19500</v>
      </c>
      <c r="F1985" s="263"/>
      <c r="G1985" s="275"/>
    </row>
    <row r="1986" spans="1:7" ht="17.45" customHeight="1">
      <c r="A1986" s="261" t="s">
        <v>8</v>
      </c>
      <c r="C1986" s="271" t="s">
        <v>2387</v>
      </c>
      <c r="D1986" s="497"/>
      <c r="E1986" s="499">
        <v>5100</v>
      </c>
      <c r="F1986" s="263"/>
      <c r="G1986" s="275"/>
    </row>
    <row r="1987" spans="1:7" ht="17.45" customHeight="1">
      <c r="A1987" s="261" t="s">
        <v>8</v>
      </c>
      <c r="C1987" s="271" t="s">
        <v>2388</v>
      </c>
      <c r="D1987" s="497"/>
      <c r="E1987" s="499">
        <v>11000</v>
      </c>
      <c r="F1987" s="263"/>
      <c r="G1987" s="275"/>
    </row>
    <row r="1988" spans="1:7" ht="17.45" customHeight="1">
      <c r="A1988" s="261" t="s">
        <v>8</v>
      </c>
      <c r="C1988" s="271" t="s">
        <v>2389</v>
      </c>
      <c r="D1988" s="497"/>
      <c r="E1988" s="499">
        <v>7780</v>
      </c>
      <c r="F1988" s="263"/>
      <c r="G1988" s="275"/>
    </row>
    <row r="1989" spans="1:7" ht="17.45" customHeight="1">
      <c r="A1989" s="261" t="s">
        <v>8</v>
      </c>
      <c r="C1989" s="271" t="s">
        <v>2390</v>
      </c>
      <c r="D1989" s="497"/>
      <c r="E1989" s="499">
        <v>18000</v>
      </c>
      <c r="F1989" s="263"/>
      <c r="G1989" s="275"/>
    </row>
    <row r="1990" spans="1:7" ht="17.45" customHeight="1">
      <c r="A1990" s="261" t="s">
        <v>8</v>
      </c>
      <c r="C1990" s="271" t="s">
        <v>2391</v>
      </c>
      <c r="D1990" s="497"/>
      <c r="E1990" s="499">
        <v>3800</v>
      </c>
      <c r="F1990" s="263"/>
      <c r="G1990" s="275"/>
    </row>
    <row r="1991" spans="1:7" ht="17.45" customHeight="1">
      <c r="A1991" s="261" t="s">
        <v>8</v>
      </c>
      <c r="C1991" s="271" t="s">
        <v>2392</v>
      </c>
      <c r="D1991" s="497"/>
      <c r="E1991" s="499">
        <v>1100</v>
      </c>
      <c r="F1991" s="263"/>
      <c r="G1991" s="275"/>
    </row>
    <row r="1992" spans="1:7" ht="17.45" customHeight="1">
      <c r="A1992" s="261" t="s">
        <v>8</v>
      </c>
      <c r="C1992" s="271" t="s">
        <v>2392</v>
      </c>
      <c r="D1992" s="497"/>
      <c r="E1992" s="499">
        <v>3000</v>
      </c>
      <c r="F1992" s="263"/>
      <c r="G1992" s="275"/>
    </row>
    <row r="1993" spans="1:7" ht="17.45" customHeight="1">
      <c r="A1993" s="261" t="s">
        <v>8</v>
      </c>
      <c r="C1993" s="271" t="s">
        <v>2393</v>
      </c>
      <c r="D1993" s="497"/>
      <c r="E1993" s="499">
        <v>15000</v>
      </c>
      <c r="F1993" s="263"/>
      <c r="G1993" s="275"/>
    </row>
    <row r="1994" spans="1:7" ht="17.45" customHeight="1">
      <c r="A1994" s="261" t="s">
        <v>8</v>
      </c>
      <c r="C1994" s="271" t="s">
        <v>2394</v>
      </c>
      <c r="D1994" s="497"/>
      <c r="E1994" s="499">
        <v>20000</v>
      </c>
      <c r="F1994" s="263"/>
      <c r="G1994" s="275"/>
    </row>
    <row r="1995" spans="1:7" ht="17.45" customHeight="1">
      <c r="A1995" s="261" t="s">
        <v>8</v>
      </c>
      <c r="C1995" s="271" t="s">
        <v>2248</v>
      </c>
      <c r="D1995" s="497"/>
      <c r="E1995" s="499">
        <v>2000</v>
      </c>
      <c r="F1995" s="263"/>
      <c r="G1995" s="275"/>
    </row>
    <row r="1996" spans="1:7" ht="17.45" customHeight="1">
      <c r="A1996" s="261" t="s">
        <v>8</v>
      </c>
      <c r="C1996" s="271" t="s">
        <v>2248</v>
      </c>
      <c r="D1996" s="497"/>
      <c r="E1996" s="499">
        <v>18000</v>
      </c>
      <c r="F1996" s="263"/>
      <c r="G1996" s="275"/>
    </row>
    <row r="1997" spans="1:7" ht="17.45" customHeight="1">
      <c r="A1997" s="261" t="s">
        <v>8</v>
      </c>
      <c r="C1997" s="271" t="s">
        <v>2395</v>
      </c>
      <c r="D1997" s="497"/>
      <c r="E1997" s="499">
        <f>52100+50100</f>
        <v>102200</v>
      </c>
      <c r="F1997" s="263"/>
      <c r="G1997" s="275"/>
    </row>
    <row r="1998" spans="1:7" ht="17.45" customHeight="1">
      <c r="A1998" s="261" t="s">
        <v>8</v>
      </c>
      <c r="C1998" s="271" t="s">
        <v>1610</v>
      </c>
      <c r="D1998" s="497"/>
      <c r="E1998" s="499">
        <v>1500</v>
      </c>
      <c r="F1998" s="263"/>
      <c r="G1998" s="275"/>
    </row>
    <row r="1999" spans="1:7" ht="17.45" customHeight="1">
      <c r="A1999" s="261" t="s">
        <v>8</v>
      </c>
      <c r="C1999" s="271" t="s">
        <v>1776</v>
      </c>
      <c r="D1999" s="497"/>
      <c r="E1999" s="499">
        <v>10700</v>
      </c>
      <c r="F1999" s="263"/>
      <c r="G1999" s="275"/>
    </row>
    <row r="2000" spans="1:7" ht="17.45" customHeight="1">
      <c r="A2000" s="261" t="s">
        <v>8</v>
      </c>
      <c r="C2000" s="271" t="s">
        <v>2397</v>
      </c>
      <c r="D2000" s="497"/>
      <c r="E2000" s="499">
        <v>51780</v>
      </c>
      <c r="F2000" s="263"/>
      <c r="G2000" s="275"/>
    </row>
    <row r="2001" spans="1:7" ht="17.45" customHeight="1">
      <c r="A2001" s="261" t="s">
        <v>8</v>
      </c>
      <c r="C2001" s="271" t="s">
        <v>1680</v>
      </c>
      <c r="D2001" s="497"/>
      <c r="E2001" s="499">
        <v>3600</v>
      </c>
      <c r="F2001" s="263"/>
      <c r="G2001" s="275"/>
    </row>
    <row r="2002" spans="1:7" ht="17.45" customHeight="1">
      <c r="A2002" s="261" t="s">
        <v>8</v>
      </c>
      <c r="C2002" s="271" t="s">
        <v>2398</v>
      </c>
      <c r="D2002" s="497"/>
      <c r="E2002" s="499">
        <v>5200</v>
      </c>
      <c r="F2002" s="263"/>
      <c r="G2002" s="275"/>
    </row>
    <row r="2003" spans="1:7" ht="17.45" customHeight="1">
      <c r="A2003" s="261" t="s">
        <v>8</v>
      </c>
      <c r="C2003" s="271" t="s">
        <v>2399</v>
      </c>
      <c r="D2003" s="497"/>
      <c r="E2003" s="499">
        <v>100000</v>
      </c>
      <c r="F2003" s="263"/>
      <c r="G2003" s="275"/>
    </row>
    <row r="2004" spans="1:7" ht="17.45" customHeight="1">
      <c r="A2004" s="261" t="s">
        <v>8</v>
      </c>
      <c r="C2004" s="271" t="s">
        <v>2402</v>
      </c>
      <c r="D2004" s="497"/>
      <c r="E2004" s="499">
        <v>19000</v>
      </c>
      <c r="F2004" s="263"/>
      <c r="G2004" s="275"/>
    </row>
    <row r="2005" spans="1:7" ht="17.45" customHeight="1">
      <c r="A2005" s="261" t="s">
        <v>8</v>
      </c>
      <c r="C2005" s="271" t="s">
        <v>2403</v>
      </c>
      <c r="D2005" s="497"/>
      <c r="E2005" s="499">
        <v>173500</v>
      </c>
      <c r="F2005" s="263"/>
      <c r="G2005" s="275"/>
    </row>
    <row r="2006" spans="1:7" ht="17.45" customHeight="1">
      <c r="A2006" s="261" t="s">
        <v>8</v>
      </c>
      <c r="C2006" s="271" t="s">
        <v>2404</v>
      </c>
      <c r="D2006" s="497"/>
      <c r="E2006" s="499">
        <v>40000</v>
      </c>
      <c r="F2006" s="263"/>
      <c r="G2006" s="275"/>
    </row>
    <row r="2007" spans="1:7" ht="17.45" customHeight="1">
      <c r="A2007" s="261" t="s">
        <v>8</v>
      </c>
      <c r="C2007" s="271" t="s">
        <v>2405</v>
      </c>
      <c r="D2007" s="497"/>
      <c r="E2007" s="499">
        <v>2000</v>
      </c>
      <c r="F2007" s="263"/>
      <c r="G2007" s="275"/>
    </row>
    <row r="2008" spans="1:7" ht="17.45" customHeight="1">
      <c r="A2008" s="261" t="s">
        <v>8</v>
      </c>
      <c r="C2008" s="271" t="s">
        <v>2406</v>
      </c>
      <c r="D2008" s="497"/>
      <c r="E2008" s="499">
        <v>11500</v>
      </c>
      <c r="F2008" s="263"/>
      <c r="G2008" s="275"/>
    </row>
    <row r="2009" spans="1:7" ht="17.45" customHeight="1">
      <c r="A2009" s="261" t="s">
        <v>8</v>
      </c>
      <c r="C2009" s="271" t="s">
        <v>2407</v>
      </c>
      <c r="D2009" s="497"/>
      <c r="E2009" s="499">
        <v>51300</v>
      </c>
      <c r="F2009" s="263"/>
      <c r="G2009" s="275"/>
    </row>
    <row r="2010" spans="1:7" ht="17.45" customHeight="1">
      <c r="A2010" s="261" t="s">
        <v>8</v>
      </c>
      <c r="C2010" s="271" t="s">
        <v>2408</v>
      </c>
      <c r="D2010" s="497"/>
      <c r="E2010" s="499">
        <v>9000</v>
      </c>
      <c r="F2010" s="263"/>
      <c r="G2010" s="275"/>
    </row>
    <row r="2011" spans="1:7" ht="17.45" customHeight="1">
      <c r="A2011" s="261" t="s">
        <v>8</v>
      </c>
      <c r="C2011" s="271" t="s">
        <v>2414</v>
      </c>
      <c r="D2011" s="497"/>
      <c r="E2011" s="499">
        <v>6200</v>
      </c>
      <c r="F2011" s="263"/>
      <c r="G2011" s="275"/>
    </row>
    <row r="2012" spans="1:7" ht="17.45" customHeight="1">
      <c r="A2012" s="261" t="s">
        <v>8</v>
      </c>
      <c r="C2012" s="271" t="s">
        <v>2415</v>
      </c>
      <c r="D2012" s="497"/>
      <c r="E2012" s="499">
        <v>8000</v>
      </c>
      <c r="F2012" s="263"/>
      <c r="G2012" s="275"/>
    </row>
    <row r="2013" spans="1:7" ht="17.45" customHeight="1" thickBot="1">
      <c r="A2013" s="261" t="s">
        <v>8</v>
      </c>
      <c r="C2013" s="276" t="s">
        <v>1300</v>
      </c>
      <c r="D2013" s="502">
        <f>SUM(D1937:D2012)-SUM(E1937:E2012)</f>
        <v>457809</v>
      </c>
      <c r="E2013" s="502">
        <f>SUM(E1937:E2012)-SUM(F1937:F2012)</f>
        <v>5823891</v>
      </c>
      <c r="F2013" s="277"/>
      <c r="G2013" s="283"/>
    </row>
    <row r="2014" spans="1:7">
      <c r="A2014" s="261" t="s">
        <v>8</v>
      </c>
    </row>
    <row r="2015" spans="1:7" ht="12.75" thickBot="1">
      <c r="A2015" s="261" t="s">
        <v>8</v>
      </c>
    </row>
    <row r="2016" spans="1:7" ht="17.45" customHeight="1">
      <c r="A2016" s="261" t="s">
        <v>8</v>
      </c>
      <c r="B2016" s="256" t="s">
        <v>2416</v>
      </c>
      <c r="C2016" s="268" t="s">
        <v>1268</v>
      </c>
      <c r="D2016" s="500">
        <v>6051950</v>
      </c>
      <c r="E2016" s="501"/>
      <c r="F2016" s="269"/>
      <c r="G2016" s="270"/>
    </row>
    <row r="2017" spans="1:7" ht="17.45" customHeight="1">
      <c r="A2017" s="261" t="s">
        <v>8</v>
      </c>
      <c r="B2017" s="257"/>
      <c r="C2017" s="271" t="s">
        <v>1269</v>
      </c>
      <c r="D2017" s="497"/>
      <c r="E2017" s="499">
        <v>439000</v>
      </c>
      <c r="F2017" s="263"/>
      <c r="G2017" s="272" t="s">
        <v>2417</v>
      </c>
    </row>
    <row r="2018" spans="1:7" ht="17.45" customHeight="1">
      <c r="A2018" s="261" t="s">
        <v>8</v>
      </c>
      <c r="C2018" s="271" t="s">
        <v>1270</v>
      </c>
      <c r="D2018" s="497"/>
      <c r="E2018" s="499">
        <v>758000</v>
      </c>
      <c r="F2018" s="263"/>
      <c r="G2018" s="273" t="s">
        <v>2192</v>
      </c>
    </row>
    <row r="2019" spans="1:7" ht="17.45" customHeight="1">
      <c r="A2019" s="261" t="s">
        <v>8</v>
      </c>
      <c r="C2019" s="271" t="s">
        <v>1670</v>
      </c>
      <c r="D2019" s="497"/>
      <c r="E2019" s="499">
        <v>26010</v>
      </c>
      <c r="F2019" s="263"/>
      <c r="G2019" s="274"/>
    </row>
    <row r="2020" spans="1:7" ht="17.45" customHeight="1">
      <c r="A2020" s="261" t="s">
        <v>8</v>
      </c>
      <c r="C2020" s="271" t="s">
        <v>1672</v>
      </c>
      <c r="D2020" s="497"/>
      <c r="E2020" s="499">
        <v>115400</v>
      </c>
      <c r="F2020" s="263"/>
      <c r="G2020" s="274"/>
    </row>
    <row r="2021" spans="1:7" ht="17.45" customHeight="1">
      <c r="A2021" s="261" t="s">
        <v>8</v>
      </c>
      <c r="C2021" s="271" t="s">
        <v>1673</v>
      </c>
      <c r="D2021" s="497"/>
      <c r="E2021" s="497">
        <v>0</v>
      </c>
      <c r="F2021" s="263"/>
      <c r="G2021" s="274"/>
    </row>
    <row r="2022" spans="1:7" ht="17.45" customHeight="1">
      <c r="A2022" s="261" t="s">
        <v>8</v>
      </c>
      <c r="C2022" s="271" t="s">
        <v>1332</v>
      </c>
      <c r="D2022" s="497"/>
      <c r="E2022" s="499">
        <v>42900</v>
      </c>
      <c r="F2022" s="263"/>
      <c r="G2022" s="275"/>
    </row>
    <row r="2023" spans="1:7" ht="17.45" customHeight="1">
      <c r="A2023" s="261" t="s">
        <v>8</v>
      </c>
      <c r="C2023" s="271" t="s">
        <v>1271</v>
      </c>
      <c r="D2023" s="497"/>
      <c r="E2023" s="497">
        <v>0</v>
      </c>
      <c r="F2023" s="263"/>
      <c r="G2023" s="274"/>
    </row>
    <row r="2024" spans="1:7" ht="17.45" customHeight="1">
      <c r="A2024" s="261" t="s">
        <v>8</v>
      </c>
      <c r="C2024" s="271" t="s">
        <v>1272</v>
      </c>
      <c r="D2024" s="497"/>
      <c r="E2024" s="499">
        <v>7470</v>
      </c>
      <c r="F2024" s="263"/>
      <c r="G2024" s="273"/>
    </row>
    <row r="2025" spans="1:7" ht="17.45" customHeight="1">
      <c r="A2025" s="261" t="s">
        <v>8</v>
      </c>
      <c r="C2025" s="271" t="s">
        <v>1273</v>
      </c>
      <c r="D2025" s="497"/>
      <c r="E2025" s="499">
        <v>29920</v>
      </c>
      <c r="F2025" s="263"/>
      <c r="G2025" s="273"/>
    </row>
    <row r="2026" spans="1:7" ht="17.45" customHeight="1">
      <c r="A2026" s="261" t="s">
        <v>8</v>
      </c>
      <c r="C2026" s="271" t="s">
        <v>1274</v>
      </c>
      <c r="D2026" s="497"/>
      <c r="E2026" s="499">
        <v>9405</v>
      </c>
      <c r="F2026" s="263"/>
      <c r="G2026" s="273"/>
    </row>
    <row r="2027" spans="1:7" ht="17.45" customHeight="1">
      <c r="A2027" s="261" t="s">
        <v>8</v>
      </c>
      <c r="C2027" s="271" t="s">
        <v>1275</v>
      </c>
      <c r="D2027" s="497"/>
      <c r="E2027" s="499">
        <v>26450</v>
      </c>
      <c r="F2027" s="263"/>
      <c r="G2027" s="273"/>
    </row>
    <row r="2028" spans="1:7" ht="17.45" customHeight="1">
      <c r="A2028" s="261" t="s">
        <v>8</v>
      </c>
      <c r="C2028" s="271" t="s">
        <v>2168</v>
      </c>
      <c r="D2028" s="497"/>
      <c r="E2028" s="499">
        <v>18816</v>
      </c>
      <c r="F2028" s="263"/>
      <c r="G2028" s="273"/>
    </row>
    <row r="2029" spans="1:7" ht="17.45" customHeight="1">
      <c r="A2029" s="261" t="s">
        <v>8</v>
      </c>
      <c r="C2029" s="271" t="s">
        <v>1517</v>
      </c>
      <c r="D2029" s="497"/>
      <c r="E2029" s="499">
        <v>23230</v>
      </c>
      <c r="F2029" s="263"/>
      <c r="G2029" s="273"/>
    </row>
    <row r="2030" spans="1:7" ht="17.45" customHeight="1">
      <c r="A2030" s="261" t="s">
        <v>8</v>
      </c>
      <c r="C2030" s="271" t="s">
        <v>1276</v>
      </c>
      <c r="D2030" s="497"/>
      <c r="E2030" s="499">
        <f>328350-150000</f>
        <v>178350</v>
      </c>
      <c r="F2030" s="263"/>
      <c r="G2030" s="273"/>
    </row>
    <row r="2031" spans="1:7" ht="17.45" customHeight="1">
      <c r="A2031" s="261" t="s">
        <v>8</v>
      </c>
      <c r="C2031" s="271" t="s">
        <v>1277</v>
      </c>
      <c r="D2031" s="497"/>
      <c r="E2031" s="497"/>
      <c r="F2031" s="263"/>
      <c r="G2031" s="273"/>
    </row>
    <row r="2032" spans="1:7" ht="17.45" customHeight="1">
      <c r="A2032" s="261" t="s">
        <v>8</v>
      </c>
      <c r="C2032" s="271" t="s">
        <v>1278</v>
      </c>
      <c r="D2032" s="497"/>
      <c r="E2032" s="499">
        <v>200000</v>
      </c>
      <c r="F2032" s="263"/>
      <c r="G2032" s="273"/>
    </row>
    <row r="2033" spans="1:7" ht="17.45" customHeight="1">
      <c r="A2033" s="261" t="s">
        <v>8</v>
      </c>
      <c r="C2033" s="285" t="s">
        <v>1413</v>
      </c>
      <c r="D2033" s="506"/>
      <c r="E2033" s="507">
        <v>1300000</v>
      </c>
      <c r="F2033" s="286"/>
      <c r="G2033" s="287"/>
    </row>
    <row r="2034" spans="1:7" ht="17.45" customHeight="1" thickBot="1">
      <c r="A2034" s="261" t="s">
        <v>8</v>
      </c>
      <c r="C2034" s="285" t="s">
        <v>1942</v>
      </c>
      <c r="D2034" s="506"/>
      <c r="E2034" s="507">
        <v>20000</v>
      </c>
      <c r="F2034" s="286"/>
      <c r="G2034" s="290"/>
    </row>
    <row r="2035" spans="1:7" ht="17.45" customHeight="1">
      <c r="A2035" s="261" t="s">
        <v>8</v>
      </c>
      <c r="C2035" s="268" t="s">
        <v>1280</v>
      </c>
      <c r="D2035" s="501"/>
      <c r="E2035" s="500">
        <f>50000</f>
        <v>50000</v>
      </c>
      <c r="F2035" s="269"/>
      <c r="G2035" s="288"/>
    </row>
    <row r="2036" spans="1:7" ht="17.45" customHeight="1">
      <c r="A2036" s="261" t="s">
        <v>8</v>
      </c>
      <c r="C2036" s="271" t="s">
        <v>1549</v>
      </c>
      <c r="D2036" s="497"/>
      <c r="E2036" s="497"/>
      <c r="F2036" s="263"/>
      <c r="G2036" s="275"/>
    </row>
    <row r="2037" spans="1:7" ht="17.45" customHeight="1">
      <c r="A2037" s="261" t="s">
        <v>8</v>
      </c>
      <c r="C2037" s="271" t="s">
        <v>1819</v>
      </c>
      <c r="D2037" s="497"/>
      <c r="E2037" s="497"/>
      <c r="F2037" s="263"/>
      <c r="G2037" s="275"/>
    </row>
    <row r="2038" spans="1:7" ht="17.45" customHeight="1">
      <c r="A2038" s="261" t="s">
        <v>8</v>
      </c>
      <c r="C2038" s="271" t="s">
        <v>391</v>
      </c>
      <c r="D2038" s="497"/>
      <c r="E2038" s="497"/>
      <c r="F2038" s="263"/>
      <c r="G2038" s="275"/>
    </row>
    <row r="2039" spans="1:7" ht="17.45" customHeight="1">
      <c r="A2039" s="261" t="s">
        <v>8</v>
      </c>
      <c r="C2039" s="271" t="s">
        <v>1934</v>
      </c>
      <c r="D2039" s="497"/>
      <c r="E2039" s="497"/>
      <c r="F2039" s="263"/>
      <c r="G2039" s="275"/>
    </row>
    <row r="2040" spans="1:7" ht="17.25" customHeight="1">
      <c r="A2040" s="261" t="s">
        <v>8</v>
      </c>
      <c r="C2040" s="271" t="s">
        <v>2202</v>
      </c>
      <c r="D2040" s="497"/>
      <c r="E2040" s="497"/>
      <c r="F2040" s="263"/>
      <c r="G2040" s="275"/>
    </row>
    <row r="2041" spans="1:7" ht="17.45" customHeight="1">
      <c r="A2041" s="261" t="s">
        <v>8</v>
      </c>
      <c r="C2041" s="271" t="s">
        <v>2097</v>
      </c>
      <c r="D2041" s="497"/>
      <c r="E2041" s="497"/>
      <c r="F2041" s="263"/>
      <c r="G2041" s="275"/>
    </row>
    <row r="2042" spans="1:7" ht="17.45" customHeight="1">
      <c r="A2042" s="261" t="s">
        <v>8</v>
      </c>
      <c r="C2042" s="271" t="s">
        <v>1687</v>
      </c>
      <c r="D2042" s="497"/>
      <c r="E2042" s="497"/>
      <c r="F2042" s="263"/>
      <c r="G2042" s="275"/>
    </row>
    <row r="2043" spans="1:7" ht="17.45" customHeight="1">
      <c r="A2043" s="261" t="s">
        <v>8</v>
      </c>
      <c r="C2043" s="271" t="s">
        <v>1688</v>
      </c>
      <c r="D2043" s="497"/>
      <c r="E2043" s="499">
        <v>55000</v>
      </c>
      <c r="F2043" s="263"/>
      <c r="G2043" s="275"/>
    </row>
    <row r="2044" spans="1:7" ht="17.45" customHeight="1">
      <c r="A2044" s="261" t="s">
        <v>8</v>
      </c>
      <c r="C2044" s="271" t="s">
        <v>2281</v>
      </c>
      <c r="D2044" s="497"/>
      <c r="E2044" s="497"/>
      <c r="F2044" s="263"/>
      <c r="G2044" s="275"/>
    </row>
    <row r="2045" spans="1:7" ht="17.45" customHeight="1">
      <c r="A2045" s="261" t="s">
        <v>8</v>
      </c>
      <c r="C2045" s="271" t="s">
        <v>1596</v>
      </c>
      <c r="D2045" s="497"/>
      <c r="E2045" s="497"/>
      <c r="F2045" s="263"/>
      <c r="G2045" s="275"/>
    </row>
    <row r="2046" spans="1:7" ht="17.45" customHeight="1">
      <c r="A2046" s="261" t="s">
        <v>8</v>
      </c>
      <c r="C2046" s="271" t="s">
        <v>1595</v>
      </c>
      <c r="D2046" s="497"/>
      <c r="E2046" s="497"/>
      <c r="F2046" s="263"/>
      <c r="G2046" s="275"/>
    </row>
    <row r="2047" spans="1:7" ht="17.45" customHeight="1">
      <c r="A2047" s="261" t="s">
        <v>8</v>
      </c>
      <c r="C2047" s="271" t="s">
        <v>1613</v>
      </c>
      <c r="D2047" s="497"/>
      <c r="E2047" s="497"/>
      <c r="F2047" s="263"/>
      <c r="G2047" s="275"/>
    </row>
    <row r="2048" spans="1:7" ht="17.45" customHeight="1">
      <c r="A2048" s="261" t="s">
        <v>8</v>
      </c>
      <c r="C2048" s="271" t="s">
        <v>1689</v>
      </c>
      <c r="D2048" s="497"/>
      <c r="E2048" s="497"/>
      <c r="F2048" s="263"/>
      <c r="G2048" s="275"/>
    </row>
    <row r="2049" spans="1:7" ht="17.45" customHeight="1">
      <c r="A2049" s="261" t="s">
        <v>8</v>
      </c>
      <c r="C2049" s="271" t="s">
        <v>1569</v>
      </c>
      <c r="D2049" s="497"/>
      <c r="E2049" s="499">
        <v>56300</v>
      </c>
      <c r="F2049" s="263"/>
      <c r="G2049" s="275"/>
    </row>
    <row r="2050" spans="1:7" ht="17.45" customHeight="1">
      <c r="A2050" s="261" t="s">
        <v>8</v>
      </c>
      <c r="C2050" s="271" t="s">
        <v>1618</v>
      </c>
      <c r="D2050" s="497"/>
      <c r="E2050" s="499">
        <f>9140+6230+15550+10410+4780+70100+8970</f>
        <v>125180</v>
      </c>
      <c r="F2050" s="263"/>
      <c r="G2050" s="275"/>
    </row>
    <row r="2051" spans="1:7" ht="17.45" customHeight="1">
      <c r="A2051" s="261" t="s">
        <v>8</v>
      </c>
      <c r="C2051" s="271" t="s">
        <v>1800</v>
      </c>
      <c r="D2051" s="497"/>
      <c r="E2051" s="497"/>
      <c r="F2051" s="263"/>
      <c r="G2051" s="275"/>
    </row>
    <row r="2052" spans="1:7" ht="17.45" customHeight="1" thickBot="1">
      <c r="A2052" s="261" t="s">
        <v>8</v>
      </c>
      <c r="C2052" s="276" t="s">
        <v>1594</v>
      </c>
      <c r="D2052" s="502"/>
      <c r="E2052" s="503">
        <v>23000</v>
      </c>
      <c r="F2052" s="277"/>
      <c r="G2052" s="282"/>
    </row>
    <row r="2053" spans="1:7" ht="17.45" customHeight="1">
      <c r="A2053" s="261" t="s">
        <v>8</v>
      </c>
      <c r="C2053" s="279" t="s">
        <v>1813</v>
      </c>
      <c r="D2053" s="504"/>
      <c r="E2053" s="505">
        <v>200000</v>
      </c>
      <c r="F2053" s="280"/>
      <c r="G2053" s="281"/>
    </row>
    <row r="2054" spans="1:7" ht="17.45" customHeight="1">
      <c r="A2054" s="261" t="s">
        <v>8</v>
      </c>
      <c r="C2054" s="271" t="s">
        <v>1831</v>
      </c>
      <c r="D2054" s="497"/>
      <c r="E2054" s="499">
        <v>300000</v>
      </c>
      <c r="F2054" s="263"/>
      <c r="G2054" s="275"/>
    </row>
    <row r="2055" spans="1:7" ht="17.45" customHeight="1">
      <c r="A2055" s="261" t="s">
        <v>8</v>
      </c>
      <c r="C2055" s="271" t="s">
        <v>2004</v>
      </c>
      <c r="D2055" s="497"/>
      <c r="E2055" s="499">
        <v>300000</v>
      </c>
      <c r="F2055" s="263"/>
      <c r="G2055" s="275"/>
    </row>
    <row r="2056" spans="1:7" ht="17.45" customHeight="1">
      <c r="A2056" s="261" t="s">
        <v>8</v>
      </c>
      <c r="C2056" s="271" t="s">
        <v>1304</v>
      </c>
      <c r="D2056" s="497"/>
      <c r="E2056" s="499">
        <v>1116210</v>
      </c>
      <c r="F2056" s="263"/>
      <c r="G2056" s="275"/>
    </row>
    <row r="2057" spans="1:7" ht="17.45" customHeight="1">
      <c r="A2057" s="261" t="s">
        <v>8</v>
      </c>
      <c r="C2057" s="271" t="s">
        <v>2208</v>
      </c>
      <c r="D2057" s="497"/>
      <c r="E2057" s="499">
        <v>59400</v>
      </c>
      <c r="F2057" s="263"/>
      <c r="G2057" s="275"/>
    </row>
    <row r="2058" spans="1:7" ht="17.45" customHeight="1">
      <c r="A2058" s="261" t="s">
        <v>8</v>
      </c>
      <c r="C2058" s="271" t="s">
        <v>1774</v>
      </c>
      <c r="D2058" s="497"/>
      <c r="E2058" s="499">
        <v>478726</v>
      </c>
      <c r="F2058" s="263"/>
      <c r="G2058" s="275"/>
    </row>
    <row r="2059" spans="1:7" ht="17.45" customHeight="1">
      <c r="A2059" s="261" t="s">
        <v>8</v>
      </c>
      <c r="C2059" s="271" t="s">
        <v>1921</v>
      </c>
      <c r="D2059" s="497"/>
      <c r="E2059" s="499">
        <f>130200+64600+117200-312000</f>
        <v>0</v>
      </c>
      <c r="F2059" s="263"/>
      <c r="G2059" s="275"/>
    </row>
    <row r="2060" spans="1:7" ht="17.45" customHeight="1">
      <c r="A2060" s="261" t="s">
        <v>8</v>
      </c>
      <c r="C2060" s="271" t="s">
        <v>2423</v>
      </c>
      <c r="D2060" s="497"/>
      <c r="E2060" s="499">
        <v>7600</v>
      </c>
      <c r="F2060" s="263"/>
      <c r="G2060" s="275"/>
    </row>
    <row r="2061" spans="1:7" ht="17.45" customHeight="1">
      <c r="A2061" s="261" t="s">
        <v>8</v>
      </c>
      <c r="C2061" s="271" t="s">
        <v>2424</v>
      </c>
      <c r="D2061" s="497"/>
      <c r="E2061" s="499">
        <v>2000</v>
      </c>
      <c r="F2061" s="263"/>
      <c r="G2061" s="275"/>
    </row>
    <row r="2062" spans="1:7" ht="17.45" customHeight="1">
      <c r="A2062" s="261" t="s">
        <v>8</v>
      </c>
      <c r="C2062" s="271" t="s">
        <v>1647</v>
      </c>
      <c r="D2062" s="497"/>
      <c r="E2062" s="499">
        <f>700+2200</f>
        <v>2900</v>
      </c>
      <c r="F2062" s="263"/>
      <c r="G2062" s="275"/>
    </row>
    <row r="2063" spans="1:7" ht="17.45" customHeight="1">
      <c r="A2063" s="261" t="s">
        <v>8</v>
      </c>
      <c r="C2063" s="271" t="s">
        <v>1646</v>
      </c>
      <c r="D2063" s="497"/>
      <c r="E2063" s="499">
        <f>8500+13500</f>
        <v>22000</v>
      </c>
      <c r="F2063" s="263"/>
      <c r="G2063" s="275"/>
    </row>
    <row r="2064" spans="1:7" ht="17.45" customHeight="1">
      <c r="A2064" s="261" t="s">
        <v>8</v>
      </c>
      <c r="C2064" s="271" t="s">
        <v>1614</v>
      </c>
      <c r="D2064" s="497"/>
      <c r="E2064" s="499">
        <v>23000</v>
      </c>
      <c r="F2064" s="263"/>
      <c r="G2064" s="275"/>
    </row>
    <row r="2065" spans="1:7" ht="17.45" customHeight="1">
      <c r="A2065" s="261" t="s">
        <v>8</v>
      </c>
      <c r="C2065" s="271" t="s">
        <v>2425</v>
      </c>
      <c r="D2065" s="497"/>
      <c r="E2065" s="499">
        <v>39000</v>
      </c>
      <c r="F2065" s="263"/>
      <c r="G2065" s="275"/>
    </row>
    <row r="2066" spans="1:7" ht="17.45" customHeight="1">
      <c r="A2066" s="261" t="s">
        <v>8</v>
      </c>
      <c r="C2066" s="271" t="s">
        <v>1776</v>
      </c>
      <c r="D2066" s="497"/>
      <c r="E2066" s="499">
        <v>1800</v>
      </c>
      <c r="F2066" s="263"/>
      <c r="G2066" s="275"/>
    </row>
    <row r="2067" spans="1:7" ht="17.45" customHeight="1">
      <c r="A2067" s="261" t="s">
        <v>8</v>
      </c>
      <c r="C2067" s="271" t="s">
        <v>2426</v>
      </c>
      <c r="D2067" s="497"/>
      <c r="E2067" s="499">
        <v>100000</v>
      </c>
      <c r="F2067" s="263"/>
      <c r="G2067" s="275"/>
    </row>
    <row r="2068" spans="1:7" ht="17.45" customHeight="1">
      <c r="A2068" s="261" t="s">
        <v>8</v>
      </c>
      <c r="C2068" s="271" t="s">
        <v>1784</v>
      </c>
      <c r="D2068" s="497"/>
      <c r="E2068" s="499">
        <v>5000</v>
      </c>
      <c r="F2068" s="263"/>
      <c r="G2068" s="275"/>
    </row>
    <row r="2069" spans="1:7" ht="17.45" customHeight="1">
      <c r="A2069" s="261" t="s">
        <v>8</v>
      </c>
      <c r="C2069" s="271" t="s">
        <v>2427</v>
      </c>
      <c r="D2069" s="497"/>
      <c r="E2069" s="499">
        <v>4500</v>
      </c>
      <c r="F2069" s="263"/>
      <c r="G2069" s="275"/>
    </row>
    <row r="2070" spans="1:7" ht="17.45" customHeight="1">
      <c r="A2070" s="261" t="s">
        <v>8</v>
      </c>
      <c r="C2070" s="271" t="s">
        <v>2435</v>
      </c>
      <c r="D2070" s="497"/>
      <c r="E2070" s="499">
        <f>7890+48470</f>
        <v>56360</v>
      </c>
      <c r="F2070" s="263"/>
      <c r="G2070" s="275"/>
    </row>
    <row r="2071" spans="1:7" ht="17.45" customHeight="1">
      <c r="A2071" s="261" t="s">
        <v>8</v>
      </c>
      <c r="C2071" s="271" t="s">
        <v>1628</v>
      </c>
      <c r="D2071" s="497"/>
      <c r="E2071" s="499">
        <v>20000</v>
      </c>
      <c r="F2071" s="263"/>
      <c r="G2071" s="275"/>
    </row>
    <row r="2072" spans="1:7" ht="17.45" customHeight="1">
      <c r="A2072" s="261" t="s">
        <v>8</v>
      </c>
      <c r="C2072" s="271" t="s">
        <v>2436</v>
      </c>
      <c r="D2072" s="497"/>
      <c r="E2072" s="499">
        <v>8000</v>
      </c>
      <c r="F2072" s="263"/>
      <c r="G2072" s="275"/>
    </row>
    <row r="2073" spans="1:7" ht="17.45" customHeight="1">
      <c r="A2073" s="261" t="s">
        <v>8</v>
      </c>
      <c r="C2073" s="271" t="s">
        <v>1770</v>
      </c>
      <c r="D2073" s="497"/>
      <c r="E2073" s="499">
        <f>3000+3000+4000</f>
        <v>10000</v>
      </c>
      <c r="F2073" s="263"/>
      <c r="G2073" s="275"/>
    </row>
    <row r="2074" spans="1:7" ht="17.45" customHeight="1">
      <c r="A2074" s="261" t="s">
        <v>8</v>
      </c>
      <c r="C2074" s="271" t="s">
        <v>2437</v>
      </c>
      <c r="D2074" s="497"/>
      <c r="E2074" s="499">
        <v>100000</v>
      </c>
      <c r="F2074" s="263"/>
      <c r="G2074" s="275"/>
    </row>
    <row r="2075" spans="1:7" ht="17.45" customHeight="1">
      <c r="A2075" s="261" t="s">
        <v>8</v>
      </c>
      <c r="C2075" s="271" t="s">
        <v>2438</v>
      </c>
      <c r="D2075" s="497"/>
      <c r="E2075" s="499">
        <v>8500</v>
      </c>
      <c r="F2075" s="263"/>
      <c r="G2075" s="275"/>
    </row>
    <row r="2076" spans="1:7" ht="17.45" customHeight="1">
      <c r="A2076" s="261" t="s">
        <v>8</v>
      </c>
      <c r="C2076" s="271" t="s">
        <v>2439</v>
      </c>
      <c r="D2076" s="497"/>
      <c r="E2076" s="499">
        <v>6000</v>
      </c>
      <c r="F2076" s="263"/>
      <c r="G2076" s="275"/>
    </row>
    <row r="2077" spans="1:7" ht="17.45" customHeight="1">
      <c r="A2077" s="261" t="s">
        <v>8</v>
      </c>
      <c r="C2077" s="271" t="s">
        <v>1606</v>
      </c>
      <c r="D2077" s="497"/>
      <c r="E2077" s="499">
        <v>12400</v>
      </c>
      <c r="F2077" s="263"/>
      <c r="G2077" s="275"/>
    </row>
    <row r="2078" spans="1:7" ht="17.45" customHeight="1">
      <c r="A2078" s="261" t="s">
        <v>8</v>
      </c>
      <c r="C2078" s="271" t="s">
        <v>2441</v>
      </c>
      <c r="D2078" s="497"/>
      <c r="E2078" s="499">
        <v>4000</v>
      </c>
      <c r="F2078" s="263"/>
      <c r="G2078" s="275"/>
    </row>
    <row r="2079" spans="1:7" ht="17.45" customHeight="1">
      <c r="A2079" s="261" t="s">
        <v>8</v>
      </c>
      <c r="C2079" s="271" t="s">
        <v>2442</v>
      </c>
      <c r="D2079" s="497"/>
      <c r="E2079" s="499">
        <v>26300</v>
      </c>
      <c r="F2079" s="263"/>
      <c r="G2079" s="275"/>
    </row>
    <row r="2080" spans="1:7" ht="17.45" customHeight="1">
      <c r="A2080" s="261" t="s">
        <v>8</v>
      </c>
      <c r="C2080" s="271" t="s">
        <v>2443</v>
      </c>
      <c r="D2080" s="497"/>
      <c r="E2080" s="499">
        <f>4800+4200</f>
        <v>9000</v>
      </c>
      <c r="F2080" s="263"/>
      <c r="G2080" s="275"/>
    </row>
    <row r="2081" spans="1:7" ht="17.45" customHeight="1">
      <c r="A2081" s="261" t="s">
        <v>8</v>
      </c>
      <c r="C2081" s="271" t="s">
        <v>1777</v>
      </c>
      <c r="D2081" s="497"/>
      <c r="E2081" s="499">
        <f>4800+4800</f>
        <v>9600</v>
      </c>
      <c r="F2081" s="263"/>
      <c r="G2081" s="275"/>
    </row>
    <row r="2082" spans="1:7" ht="17.45" customHeight="1">
      <c r="A2082" s="261" t="s">
        <v>8</v>
      </c>
      <c r="C2082" s="271" t="s">
        <v>2445</v>
      </c>
      <c r="D2082" s="497"/>
      <c r="E2082" s="499">
        <v>20000</v>
      </c>
      <c r="F2082" s="263"/>
      <c r="G2082" s="275"/>
    </row>
    <row r="2083" spans="1:7" ht="17.45" customHeight="1">
      <c r="A2083" s="261" t="s">
        <v>8</v>
      </c>
      <c r="C2083" s="271" t="s">
        <v>2446</v>
      </c>
      <c r="D2083" s="497"/>
      <c r="E2083" s="499">
        <v>6850</v>
      </c>
      <c r="F2083" s="263"/>
      <c r="G2083" s="275"/>
    </row>
    <row r="2084" spans="1:7" ht="17.45" customHeight="1">
      <c r="A2084" s="261" t="s">
        <v>8</v>
      </c>
      <c r="C2084" s="271" t="s">
        <v>2447</v>
      </c>
      <c r="D2084" s="497"/>
      <c r="E2084" s="499">
        <v>20000</v>
      </c>
      <c r="F2084" s="263"/>
      <c r="G2084" s="275"/>
    </row>
    <row r="2085" spans="1:7" ht="17.45" customHeight="1">
      <c r="A2085" s="261" t="s">
        <v>8</v>
      </c>
      <c r="C2085" s="271" t="s">
        <v>2448</v>
      </c>
      <c r="D2085" s="497"/>
      <c r="E2085" s="499">
        <v>11000</v>
      </c>
      <c r="F2085" s="263"/>
      <c r="G2085" s="275"/>
    </row>
    <row r="2086" spans="1:7" ht="17.45" customHeight="1">
      <c r="A2086" s="261" t="s">
        <v>8</v>
      </c>
      <c r="C2086" s="271" t="s">
        <v>2408</v>
      </c>
      <c r="D2086" s="497"/>
      <c r="E2086" s="499">
        <v>8000</v>
      </c>
      <c r="F2086" s="263"/>
      <c r="G2086" s="275"/>
    </row>
    <row r="2087" spans="1:7" ht="17.45" customHeight="1">
      <c r="A2087" s="261" t="s">
        <v>8</v>
      </c>
      <c r="C2087" s="271" t="s">
        <v>1585</v>
      </c>
      <c r="D2087" s="497"/>
      <c r="E2087" s="499">
        <f>18900+18900</f>
        <v>37800</v>
      </c>
      <c r="F2087" s="263"/>
      <c r="G2087" s="275"/>
    </row>
    <row r="2088" spans="1:7" ht="17.45" customHeight="1">
      <c r="A2088" s="261" t="s">
        <v>8</v>
      </c>
      <c r="C2088" s="271" t="s">
        <v>1610</v>
      </c>
      <c r="D2088" s="497"/>
      <c r="E2088" s="499">
        <v>4100</v>
      </c>
      <c r="F2088" s="263"/>
      <c r="G2088" s="275"/>
    </row>
    <row r="2089" spans="1:7" ht="17.45" customHeight="1">
      <c r="A2089" s="261" t="s">
        <v>8</v>
      </c>
      <c r="C2089" s="271" t="s">
        <v>2450</v>
      </c>
      <c r="D2089" s="497"/>
      <c r="E2089" s="499">
        <v>100000</v>
      </c>
      <c r="F2089" s="263"/>
      <c r="G2089" s="275"/>
    </row>
    <row r="2090" spans="1:7" ht="17.45" customHeight="1">
      <c r="A2090" s="261" t="s">
        <v>8</v>
      </c>
      <c r="C2090" s="271" t="s">
        <v>2452</v>
      </c>
      <c r="D2090" s="497"/>
      <c r="E2090" s="499">
        <v>4000</v>
      </c>
      <c r="F2090" s="263"/>
      <c r="G2090" s="275"/>
    </row>
    <row r="2091" spans="1:7" ht="17.45" customHeight="1">
      <c r="A2091" s="261" t="s">
        <v>8</v>
      </c>
      <c r="C2091" s="271" t="s">
        <v>1950</v>
      </c>
      <c r="D2091" s="497"/>
      <c r="E2091" s="499">
        <v>215000</v>
      </c>
      <c r="F2091" s="263"/>
      <c r="G2091" s="275"/>
    </row>
    <row r="2092" spans="1:7" ht="17.45" customHeight="1">
      <c r="A2092" s="261" t="s">
        <v>8</v>
      </c>
      <c r="C2092" s="271" t="s">
        <v>2453</v>
      </c>
      <c r="D2092" s="497"/>
      <c r="E2092" s="499">
        <v>37000</v>
      </c>
      <c r="F2092" s="263"/>
      <c r="G2092" s="275"/>
    </row>
    <row r="2093" spans="1:7" ht="17.45" customHeight="1">
      <c r="A2093" s="261" t="s">
        <v>8</v>
      </c>
      <c r="C2093" s="271" t="s">
        <v>2464</v>
      </c>
      <c r="D2093" s="497"/>
      <c r="E2093" s="499">
        <f>42500-12500</f>
        <v>30000</v>
      </c>
      <c r="F2093" s="263"/>
      <c r="G2093" s="275"/>
    </row>
    <row r="2094" spans="1:7" ht="17.45" customHeight="1">
      <c r="A2094" s="261" t="s">
        <v>8</v>
      </c>
      <c r="C2094" s="271" t="s">
        <v>1792</v>
      </c>
      <c r="D2094" s="497"/>
      <c r="E2094" s="499">
        <v>13000</v>
      </c>
      <c r="F2094" s="263"/>
      <c r="G2094" s="275"/>
    </row>
    <row r="2095" spans="1:7" ht="17.45" customHeight="1">
      <c r="A2095" s="261" t="s">
        <v>8</v>
      </c>
      <c r="C2095" s="271" t="s">
        <v>2454</v>
      </c>
      <c r="D2095" s="497"/>
      <c r="E2095" s="499">
        <v>24700</v>
      </c>
      <c r="F2095" s="263"/>
      <c r="G2095" s="275"/>
    </row>
    <row r="2096" spans="1:7" ht="17.45" customHeight="1">
      <c r="A2096" s="261" t="s">
        <v>8</v>
      </c>
      <c r="C2096" s="271" t="s">
        <v>2455</v>
      </c>
      <c r="D2096" s="497"/>
      <c r="E2096" s="499">
        <v>1000</v>
      </c>
      <c r="F2096" s="263"/>
      <c r="G2096" s="275"/>
    </row>
    <row r="2097" spans="1:7" ht="17.45" customHeight="1">
      <c r="A2097" s="261" t="s">
        <v>8</v>
      </c>
      <c r="C2097" s="271" t="s">
        <v>1810</v>
      </c>
      <c r="D2097" s="497"/>
      <c r="E2097" s="499">
        <v>2000</v>
      </c>
      <c r="F2097" s="263"/>
      <c r="G2097" s="275"/>
    </row>
    <row r="2098" spans="1:7" ht="17.45" customHeight="1">
      <c r="A2098" s="261" t="s">
        <v>8</v>
      </c>
      <c r="C2098" s="271" t="s">
        <v>2196</v>
      </c>
      <c r="D2098" s="497"/>
      <c r="E2098" s="499">
        <v>27000</v>
      </c>
      <c r="F2098" s="263"/>
      <c r="G2098" s="275"/>
    </row>
    <row r="2099" spans="1:7" ht="17.45" customHeight="1">
      <c r="A2099" s="261" t="s">
        <v>8</v>
      </c>
      <c r="C2099" s="271" t="s">
        <v>2456</v>
      </c>
      <c r="D2099" s="497"/>
      <c r="E2099" s="499">
        <v>2000</v>
      </c>
      <c r="F2099" s="263"/>
      <c r="G2099" s="275"/>
    </row>
    <row r="2100" spans="1:7" ht="17.45" customHeight="1">
      <c r="A2100" s="261" t="s">
        <v>8</v>
      </c>
      <c r="C2100" s="271" t="s">
        <v>2457</v>
      </c>
      <c r="D2100" s="499">
        <v>105000</v>
      </c>
      <c r="E2100" s="497"/>
      <c r="F2100" s="263"/>
      <c r="G2100" s="275"/>
    </row>
    <row r="2101" spans="1:7" ht="17.45" customHeight="1">
      <c r="A2101" s="261" t="s">
        <v>8</v>
      </c>
      <c r="C2101" s="271" t="s">
        <v>1602</v>
      </c>
      <c r="D2101" s="499">
        <v>2083</v>
      </c>
      <c r="E2101" s="497"/>
      <c r="F2101" s="263"/>
      <c r="G2101" s="275"/>
    </row>
    <row r="2102" spans="1:7" ht="17.45" customHeight="1">
      <c r="A2102" s="261" t="s">
        <v>8</v>
      </c>
      <c r="C2102" s="271" t="s">
        <v>2458</v>
      </c>
      <c r="D2102" s="497"/>
      <c r="E2102" s="499">
        <v>800</v>
      </c>
      <c r="F2102" s="263"/>
      <c r="G2102" s="275"/>
    </row>
    <row r="2103" spans="1:7" ht="17.45" customHeight="1">
      <c r="A2103" s="261" t="s">
        <v>8</v>
      </c>
      <c r="C2103" s="271" t="s">
        <v>2459</v>
      </c>
      <c r="D2103" s="497"/>
      <c r="E2103" s="499">
        <v>2200</v>
      </c>
      <c r="F2103" s="263"/>
      <c r="G2103" s="275"/>
    </row>
    <row r="2104" spans="1:7" ht="17.45" customHeight="1">
      <c r="A2104" s="261" t="s">
        <v>8</v>
      </c>
      <c r="C2104" s="271" t="s">
        <v>2460</v>
      </c>
      <c r="D2104" s="497"/>
      <c r="E2104" s="499">
        <v>17000</v>
      </c>
      <c r="F2104" s="263"/>
      <c r="G2104" s="275"/>
    </row>
    <row r="2105" spans="1:7" ht="17.45" customHeight="1">
      <c r="A2105" s="261" t="s">
        <v>8</v>
      </c>
      <c r="C2105" s="271" t="s">
        <v>2461</v>
      </c>
      <c r="D2105" s="497"/>
      <c r="E2105" s="499">
        <v>8500</v>
      </c>
      <c r="F2105" s="263"/>
      <c r="G2105" s="275"/>
    </row>
    <row r="2106" spans="1:7" ht="17.45" customHeight="1">
      <c r="A2106" s="261" t="s">
        <v>8</v>
      </c>
      <c r="C2106" s="271" t="s">
        <v>1680</v>
      </c>
      <c r="D2106" s="497"/>
      <c r="E2106" s="499">
        <f>3200+3900</f>
        <v>7100</v>
      </c>
      <c r="F2106" s="263"/>
      <c r="G2106" s="275"/>
    </row>
    <row r="2107" spans="1:7" ht="17.45" customHeight="1">
      <c r="A2107" s="261" t="s">
        <v>8</v>
      </c>
      <c r="C2107" s="271" t="s">
        <v>2462</v>
      </c>
      <c r="D2107" s="497"/>
      <c r="E2107" s="499">
        <v>50000</v>
      </c>
      <c r="F2107" s="263"/>
      <c r="G2107" s="275"/>
    </row>
    <row r="2108" spans="1:7" ht="17.45" customHeight="1">
      <c r="A2108" s="261" t="s">
        <v>8</v>
      </c>
      <c r="C2108" s="271" t="s">
        <v>2463</v>
      </c>
      <c r="D2108" s="497"/>
      <c r="E2108" s="499">
        <v>21250</v>
      </c>
      <c r="F2108" s="263"/>
      <c r="G2108" s="275"/>
    </row>
    <row r="2109" spans="1:7" ht="17.45" customHeight="1" thickBot="1">
      <c r="A2109" s="261" t="s">
        <v>8</v>
      </c>
      <c r="C2109" s="276" t="s">
        <v>1300</v>
      </c>
      <c r="D2109" s="502">
        <f>SUM(D2016:D2108)-SUM(E2016:E2108)</f>
        <v>-947994</v>
      </c>
      <c r="E2109" s="502">
        <f>SUM(E2016:E2108)-SUM(F2016:F2108)</f>
        <v>7107027</v>
      </c>
      <c r="F2109" s="277"/>
      <c r="G2109" s="283"/>
    </row>
    <row r="2111" spans="1:7" ht="12.75" thickBot="1"/>
    <row r="2112" spans="1:7" ht="17.45" customHeight="1">
      <c r="A2112" s="261" t="s">
        <v>8</v>
      </c>
      <c r="B2112" s="256" t="s">
        <v>2419</v>
      </c>
      <c r="C2112" s="268" t="s">
        <v>1268</v>
      </c>
      <c r="D2112" s="500">
        <v>5808550</v>
      </c>
      <c r="E2112" s="501"/>
      <c r="F2112" s="269"/>
      <c r="G2112" s="270"/>
    </row>
    <row r="2113" spans="1:7" ht="17.45" customHeight="1">
      <c r="A2113" s="261" t="s">
        <v>8</v>
      </c>
      <c r="B2113" s="257"/>
      <c r="C2113" s="271" t="s">
        <v>1269</v>
      </c>
      <c r="D2113" s="497"/>
      <c r="E2113" s="499">
        <v>436000</v>
      </c>
      <c r="F2113" s="263"/>
      <c r="G2113" s="272" t="s">
        <v>2183</v>
      </c>
    </row>
    <row r="2114" spans="1:7" ht="17.45" customHeight="1">
      <c r="A2114" s="261" t="s">
        <v>8</v>
      </c>
      <c r="C2114" s="271" t="s">
        <v>1270</v>
      </c>
      <c r="D2114" s="497"/>
      <c r="E2114" s="499">
        <v>778000</v>
      </c>
      <c r="F2114" s="263"/>
      <c r="G2114" s="273" t="s">
        <v>2192</v>
      </c>
    </row>
    <row r="2115" spans="1:7" ht="17.45" customHeight="1">
      <c r="A2115" s="261" t="s">
        <v>8</v>
      </c>
      <c r="C2115" s="271" t="s">
        <v>1670</v>
      </c>
      <c r="D2115" s="497"/>
      <c r="E2115" s="499">
        <v>26010</v>
      </c>
      <c r="F2115" s="263"/>
      <c r="G2115" s="274"/>
    </row>
    <row r="2116" spans="1:7" ht="17.45" customHeight="1">
      <c r="A2116" s="261" t="s">
        <v>8</v>
      </c>
      <c r="C2116" s="271" t="s">
        <v>1672</v>
      </c>
      <c r="D2116" s="497"/>
      <c r="E2116" s="499">
        <v>109900</v>
      </c>
      <c r="F2116" s="263"/>
      <c r="G2116" s="274"/>
    </row>
    <row r="2117" spans="1:7" ht="17.45" customHeight="1">
      <c r="A2117" s="261" t="s">
        <v>8</v>
      </c>
      <c r="C2117" s="271" t="s">
        <v>1673</v>
      </c>
      <c r="D2117" s="497"/>
      <c r="E2117" s="497">
        <v>0</v>
      </c>
      <c r="F2117" s="263"/>
      <c r="G2117" s="274"/>
    </row>
    <row r="2118" spans="1:7" ht="17.45" customHeight="1">
      <c r="A2118" s="261" t="s">
        <v>8</v>
      </c>
      <c r="C2118" s="271" t="s">
        <v>1332</v>
      </c>
      <c r="D2118" s="497"/>
      <c r="E2118" s="499">
        <v>42900</v>
      </c>
      <c r="F2118" s="263"/>
      <c r="G2118" s="275"/>
    </row>
    <row r="2119" spans="1:7" ht="17.45" customHeight="1">
      <c r="A2119" s="261" t="s">
        <v>8</v>
      </c>
      <c r="C2119" s="271" t="s">
        <v>1271</v>
      </c>
      <c r="D2119" s="497"/>
      <c r="E2119" s="497">
        <v>0</v>
      </c>
      <c r="F2119" s="263"/>
      <c r="G2119" s="274"/>
    </row>
    <row r="2120" spans="1:7" ht="17.45" customHeight="1">
      <c r="A2120" s="261" t="s">
        <v>8</v>
      </c>
      <c r="C2120" s="271" t="s">
        <v>1272</v>
      </c>
      <c r="D2120" s="497"/>
      <c r="E2120" s="499">
        <v>7470</v>
      </c>
      <c r="F2120" s="263"/>
      <c r="G2120" s="273"/>
    </row>
    <row r="2121" spans="1:7" ht="17.45" customHeight="1">
      <c r="A2121" s="261" t="s">
        <v>8</v>
      </c>
      <c r="C2121" s="271" t="s">
        <v>1273</v>
      </c>
      <c r="D2121" s="497"/>
      <c r="E2121" s="499">
        <v>29920</v>
      </c>
      <c r="F2121" s="263"/>
      <c r="G2121" s="273"/>
    </row>
    <row r="2122" spans="1:7" ht="17.45" customHeight="1">
      <c r="A2122" s="261" t="s">
        <v>8</v>
      </c>
      <c r="C2122" s="271" t="s">
        <v>1274</v>
      </c>
      <c r="D2122" s="497"/>
      <c r="E2122" s="499">
        <v>9405</v>
      </c>
      <c r="F2122" s="263"/>
      <c r="G2122" s="273"/>
    </row>
    <row r="2123" spans="1:7" ht="17.45" customHeight="1">
      <c r="A2123" s="261" t="s">
        <v>8</v>
      </c>
      <c r="C2123" s="271" t="s">
        <v>1275</v>
      </c>
      <c r="D2123" s="497"/>
      <c r="E2123" s="499">
        <v>26450</v>
      </c>
      <c r="F2123" s="263"/>
      <c r="G2123" s="273"/>
    </row>
    <row r="2124" spans="1:7" ht="17.45" customHeight="1">
      <c r="A2124" s="261" t="s">
        <v>8</v>
      </c>
      <c r="C2124" s="271" t="s">
        <v>2168</v>
      </c>
      <c r="D2124" s="497"/>
      <c r="E2124" s="499">
        <v>18816</v>
      </c>
      <c r="F2124" s="263"/>
      <c r="G2124" s="273"/>
    </row>
    <row r="2125" spans="1:7" ht="17.45" customHeight="1">
      <c r="A2125" s="261" t="s">
        <v>8</v>
      </c>
      <c r="C2125" s="271" t="s">
        <v>1517</v>
      </c>
      <c r="D2125" s="497"/>
      <c r="E2125" s="499">
        <v>23230</v>
      </c>
      <c r="F2125" s="263"/>
      <c r="G2125" s="273"/>
    </row>
    <row r="2126" spans="1:7" ht="17.45" customHeight="1">
      <c r="A2126" s="261" t="s">
        <v>8</v>
      </c>
      <c r="C2126" s="271" t="s">
        <v>1276</v>
      </c>
      <c r="D2126" s="497"/>
      <c r="E2126" s="499">
        <v>360270</v>
      </c>
      <c r="F2126" s="263"/>
      <c r="G2126" s="273"/>
    </row>
    <row r="2127" spans="1:7" ht="17.45" customHeight="1">
      <c r="A2127" s="261" t="s">
        <v>8</v>
      </c>
      <c r="C2127" s="271" t="s">
        <v>1277</v>
      </c>
      <c r="D2127" s="497"/>
      <c r="E2127" s="499">
        <f>37680+13810</f>
        <v>51490</v>
      </c>
      <c r="F2127" s="263"/>
      <c r="G2127" s="273"/>
    </row>
    <row r="2128" spans="1:7" ht="17.45" customHeight="1">
      <c r="A2128" s="261" t="s">
        <v>8</v>
      </c>
      <c r="C2128" s="271" t="s">
        <v>1278</v>
      </c>
      <c r="D2128" s="497"/>
      <c r="E2128" s="499">
        <v>200000</v>
      </c>
      <c r="F2128" s="263"/>
      <c r="G2128" s="273"/>
    </row>
    <row r="2129" spans="1:7" ht="17.45" customHeight="1">
      <c r="A2129" s="261" t="s">
        <v>8</v>
      </c>
      <c r="C2129" s="285" t="s">
        <v>1413</v>
      </c>
      <c r="D2129" s="506"/>
      <c r="E2129" s="507">
        <v>1300000</v>
      </c>
      <c r="F2129" s="286"/>
      <c r="G2129" s="287"/>
    </row>
    <row r="2130" spans="1:7" ht="17.45" customHeight="1" thickBot="1">
      <c r="A2130" s="261" t="s">
        <v>8</v>
      </c>
      <c r="C2130" s="285" t="s">
        <v>1942</v>
      </c>
      <c r="D2130" s="506"/>
      <c r="E2130" s="507">
        <v>20000</v>
      </c>
      <c r="F2130" s="286"/>
      <c r="G2130" s="290"/>
    </row>
    <row r="2131" spans="1:7" ht="17.45" customHeight="1">
      <c r="A2131" s="261" t="s">
        <v>8</v>
      </c>
      <c r="C2131" s="268" t="s">
        <v>1280</v>
      </c>
      <c r="D2131" s="501"/>
      <c r="E2131" s="501"/>
      <c r="F2131" s="269"/>
      <c r="G2131" s="288"/>
    </row>
    <row r="2132" spans="1:7" ht="17.45" customHeight="1">
      <c r="A2132" s="261" t="s">
        <v>8</v>
      </c>
      <c r="C2132" s="271" t="s">
        <v>1549</v>
      </c>
      <c r="D2132" s="497"/>
      <c r="E2132" s="499">
        <v>50000</v>
      </c>
      <c r="F2132" s="263"/>
      <c r="G2132" s="275"/>
    </row>
    <row r="2133" spans="1:7" ht="17.45" customHeight="1">
      <c r="A2133" s="261" t="s">
        <v>8</v>
      </c>
      <c r="C2133" s="271" t="s">
        <v>1819</v>
      </c>
      <c r="D2133" s="497"/>
      <c r="E2133" s="497"/>
      <c r="F2133" s="263"/>
      <c r="G2133" s="275"/>
    </row>
    <row r="2134" spans="1:7" ht="17.45" customHeight="1">
      <c r="A2134" s="261" t="s">
        <v>8</v>
      </c>
      <c r="C2134" s="271" t="s">
        <v>391</v>
      </c>
      <c r="D2134" s="497"/>
      <c r="E2134" s="497"/>
      <c r="F2134" s="263"/>
      <c r="G2134" s="275"/>
    </row>
    <row r="2135" spans="1:7" ht="17.45" customHeight="1">
      <c r="A2135" s="261" t="s">
        <v>8</v>
      </c>
      <c r="C2135" s="271" t="s">
        <v>1934</v>
      </c>
      <c r="D2135" s="497"/>
      <c r="E2135" s="497"/>
      <c r="F2135" s="263"/>
      <c r="G2135" s="275"/>
    </row>
    <row r="2136" spans="1:7" ht="17.25" customHeight="1">
      <c r="A2136" s="261" t="s">
        <v>8</v>
      </c>
      <c r="C2136" s="271" t="s">
        <v>2202</v>
      </c>
      <c r="D2136" s="497"/>
      <c r="E2136" s="497"/>
      <c r="F2136" s="263"/>
      <c r="G2136" s="275"/>
    </row>
    <row r="2137" spans="1:7" ht="17.45" customHeight="1">
      <c r="A2137" s="261" t="s">
        <v>8</v>
      </c>
      <c r="C2137" s="271" t="s">
        <v>2097</v>
      </c>
      <c r="D2137" s="497"/>
      <c r="E2137" s="497"/>
      <c r="F2137" s="263"/>
      <c r="G2137" s="275"/>
    </row>
    <row r="2138" spans="1:7" ht="17.45" customHeight="1">
      <c r="A2138" s="261" t="s">
        <v>8</v>
      </c>
      <c r="C2138" s="271" t="s">
        <v>1687</v>
      </c>
      <c r="D2138" s="497"/>
      <c r="E2138" s="497"/>
      <c r="F2138" s="263"/>
      <c r="G2138" s="275"/>
    </row>
    <row r="2139" spans="1:7" ht="17.45" customHeight="1">
      <c r="A2139" s="261" t="s">
        <v>8</v>
      </c>
      <c r="C2139" s="271" t="s">
        <v>1688</v>
      </c>
      <c r="D2139" s="497"/>
      <c r="E2139" s="497"/>
      <c r="F2139" s="263"/>
      <c r="G2139" s="275"/>
    </row>
    <row r="2140" spans="1:7" ht="17.45" customHeight="1">
      <c r="A2140" s="261" t="s">
        <v>8</v>
      </c>
      <c r="C2140" s="271" t="s">
        <v>2281</v>
      </c>
      <c r="D2140" s="497"/>
      <c r="E2140" s="497"/>
      <c r="F2140" s="263"/>
      <c r="G2140" s="275"/>
    </row>
    <row r="2141" spans="1:7" ht="17.45" customHeight="1">
      <c r="A2141" s="261" t="s">
        <v>8</v>
      </c>
      <c r="C2141" s="271" t="s">
        <v>1596</v>
      </c>
      <c r="D2141" s="497"/>
      <c r="E2141" s="499">
        <v>6600</v>
      </c>
      <c r="F2141" s="263"/>
      <c r="G2141" s="275"/>
    </row>
    <row r="2142" spans="1:7" ht="17.45" customHeight="1">
      <c r="A2142" s="261" t="s">
        <v>8</v>
      </c>
      <c r="C2142" s="271" t="s">
        <v>1595</v>
      </c>
      <c r="D2142" s="497"/>
      <c r="E2142" s="499">
        <v>6700</v>
      </c>
      <c r="F2142" s="263"/>
      <c r="G2142" s="275"/>
    </row>
    <row r="2143" spans="1:7" ht="17.45" customHeight="1">
      <c r="A2143" s="261" t="s">
        <v>8</v>
      </c>
      <c r="C2143" s="271" t="s">
        <v>1613</v>
      </c>
      <c r="D2143" s="497"/>
      <c r="E2143" s="499">
        <f>4800+9200+8400+7200</f>
        <v>29600</v>
      </c>
      <c r="F2143" s="263"/>
      <c r="G2143" s="275"/>
    </row>
    <row r="2144" spans="1:7" ht="17.45" customHeight="1">
      <c r="A2144" s="261" t="s">
        <v>8</v>
      </c>
      <c r="C2144" s="271" t="s">
        <v>1689</v>
      </c>
      <c r="D2144" s="497"/>
      <c r="E2144" s="497"/>
      <c r="F2144" s="263"/>
      <c r="G2144" s="275"/>
    </row>
    <row r="2145" spans="1:7" ht="17.45" customHeight="1">
      <c r="A2145" s="261" t="s">
        <v>8</v>
      </c>
      <c r="C2145" s="271" t="s">
        <v>1569</v>
      </c>
      <c r="D2145" s="497"/>
      <c r="E2145" s="497"/>
      <c r="F2145" s="263"/>
      <c r="G2145" s="275"/>
    </row>
    <row r="2146" spans="1:7" ht="17.45" customHeight="1">
      <c r="A2146" s="261" t="s">
        <v>8</v>
      </c>
      <c r="C2146" s="271" t="s">
        <v>1618</v>
      </c>
      <c r="D2146" s="497"/>
      <c r="E2146" s="499">
        <f>9560+56800+4980+34100+23340+13780+20450+40410</f>
        <v>203420</v>
      </c>
      <c r="F2146" s="263"/>
      <c r="G2146" s="275"/>
    </row>
    <row r="2147" spans="1:7" ht="17.45" customHeight="1">
      <c r="A2147" s="261" t="s">
        <v>8</v>
      </c>
      <c r="C2147" s="271" t="s">
        <v>1800</v>
      </c>
      <c r="D2147" s="497"/>
      <c r="E2147" s="499">
        <v>10000</v>
      </c>
      <c r="F2147" s="263"/>
      <c r="G2147" s="275"/>
    </row>
    <row r="2148" spans="1:7" ht="17.45" customHeight="1" thickBot="1">
      <c r="A2148" s="261" t="s">
        <v>8</v>
      </c>
      <c r="C2148" s="276" t="s">
        <v>1594</v>
      </c>
      <c r="D2148" s="502"/>
      <c r="E2148" s="502"/>
      <c r="F2148" s="277"/>
      <c r="G2148" s="282"/>
    </row>
    <row r="2149" spans="1:7" ht="17.45" customHeight="1">
      <c r="A2149" s="261" t="s">
        <v>8</v>
      </c>
      <c r="C2149" s="279" t="s">
        <v>2466</v>
      </c>
      <c r="D2149" s="504"/>
      <c r="E2149" s="505">
        <v>6000</v>
      </c>
      <c r="F2149" s="280"/>
      <c r="G2149" s="281"/>
    </row>
    <row r="2150" spans="1:7" ht="17.45" customHeight="1">
      <c r="A2150" s="261" t="s">
        <v>8</v>
      </c>
      <c r="C2150" s="271" t="s">
        <v>2467</v>
      </c>
      <c r="D2150" s="497"/>
      <c r="E2150" s="499">
        <v>11000</v>
      </c>
      <c r="F2150" s="263"/>
      <c r="G2150" s="275"/>
    </row>
    <row r="2151" spans="1:7" ht="17.45" customHeight="1">
      <c r="A2151" s="261" t="s">
        <v>8</v>
      </c>
      <c r="C2151" s="271" t="s">
        <v>2468</v>
      </c>
      <c r="D2151" s="497"/>
      <c r="E2151" s="499">
        <v>16900</v>
      </c>
      <c r="F2151" s="263"/>
      <c r="G2151" s="275"/>
    </row>
    <row r="2152" spans="1:7" ht="17.45" customHeight="1">
      <c r="A2152" s="261" t="s">
        <v>8</v>
      </c>
      <c r="C2152" s="271" t="s">
        <v>2469</v>
      </c>
      <c r="D2152" s="497"/>
      <c r="E2152" s="499">
        <f>-5000</f>
        <v>-5000</v>
      </c>
      <c r="F2152" s="263"/>
      <c r="G2152" s="275"/>
    </row>
    <row r="2153" spans="1:7" ht="17.45" customHeight="1">
      <c r="A2153" s="261" t="s">
        <v>8</v>
      </c>
      <c r="C2153" s="271" t="s">
        <v>1647</v>
      </c>
      <c r="D2153" s="497"/>
      <c r="E2153" s="499">
        <v>6000</v>
      </c>
      <c r="F2153" s="263"/>
      <c r="G2153" s="275"/>
    </row>
    <row r="2154" spans="1:7" ht="17.45" customHeight="1">
      <c r="A2154" s="261" t="s">
        <v>8</v>
      </c>
      <c r="C2154" s="271" t="s">
        <v>1680</v>
      </c>
      <c r="D2154" s="497"/>
      <c r="E2154" s="499">
        <f>3200+7000</f>
        <v>10200</v>
      </c>
      <c r="F2154" s="263"/>
      <c r="G2154" s="275"/>
    </row>
    <row r="2155" spans="1:7" ht="17.45" customHeight="1">
      <c r="A2155" s="261" t="s">
        <v>8</v>
      </c>
      <c r="C2155" s="271" t="s">
        <v>2470</v>
      </c>
      <c r="D2155" s="497"/>
      <c r="E2155" s="499">
        <f>1100+3100</f>
        <v>4200</v>
      </c>
      <c r="F2155" s="263"/>
      <c r="G2155" s="275"/>
    </row>
    <row r="2156" spans="1:7" ht="17.45" customHeight="1">
      <c r="A2156" s="261" t="s">
        <v>8</v>
      </c>
      <c r="C2156" s="271" t="s">
        <v>2471</v>
      </c>
      <c r="D2156" s="497"/>
      <c r="E2156" s="499">
        <v>5000</v>
      </c>
      <c r="F2156" s="263"/>
      <c r="G2156" s="275"/>
    </row>
    <row r="2157" spans="1:7" ht="17.45" customHeight="1">
      <c r="A2157" s="261" t="s">
        <v>8</v>
      </c>
      <c r="C2157" s="271" t="s">
        <v>2407</v>
      </c>
      <c r="D2157" s="497"/>
      <c r="E2157" s="499">
        <v>7000</v>
      </c>
      <c r="F2157" s="263"/>
      <c r="G2157" s="275"/>
    </row>
    <row r="2158" spans="1:7" ht="17.45" customHeight="1">
      <c r="A2158" s="261" t="s">
        <v>8</v>
      </c>
      <c r="C2158" s="271" t="s">
        <v>2472</v>
      </c>
      <c r="D2158" s="497"/>
      <c r="E2158" s="499">
        <v>108160</v>
      </c>
      <c r="F2158" s="263"/>
      <c r="G2158" s="275"/>
    </row>
    <row r="2159" spans="1:7" ht="17.45" customHeight="1">
      <c r="A2159" s="261" t="s">
        <v>8</v>
      </c>
      <c r="C2159" s="271" t="s">
        <v>2473</v>
      </c>
      <c r="D2159" s="497"/>
      <c r="E2159" s="499">
        <v>25500</v>
      </c>
      <c r="F2159" s="263"/>
      <c r="G2159" s="275"/>
    </row>
    <row r="2160" spans="1:7" ht="17.45" customHeight="1">
      <c r="A2160" s="261" t="s">
        <v>8</v>
      </c>
      <c r="C2160" s="271" t="s">
        <v>2443</v>
      </c>
      <c r="D2160" s="497"/>
      <c r="E2160" s="499">
        <v>9800</v>
      </c>
      <c r="F2160" s="263"/>
      <c r="G2160" s="275"/>
    </row>
    <row r="2161" spans="1:7" ht="17.45" customHeight="1">
      <c r="A2161" s="261" t="s">
        <v>8</v>
      </c>
      <c r="C2161" s="271" t="s">
        <v>1776</v>
      </c>
      <c r="D2161" s="497"/>
      <c r="E2161" s="499">
        <v>3500</v>
      </c>
      <c r="F2161" s="263"/>
      <c r="G2161" s="275"/>
    </row>
    <row r="2162" spans="1:7" ht="17.45" customHeight="1">
      <c r="A2162" s="261" t="s">
        <v>8</v>
      </c>
      <c r="C2162" s="271" t="s">
        <v>2484</v>
      </c>
      <c r="D2162" s="497"/>
      <c r="E2162" s="499">
        <v>6750</v>
      </c>
      <c r="F2162" s="263"/>
      <c r="G2162" s="275"/>
    </row>
    <row r="2163" spans="1:7" ht="17.45" customHeight="1">
      <c r="A2163" s="261" t="s">
        <v>8</v>
      </c>
      <c r="C2163" s="271" t="s">
        <v>2485</v>
      </c>
      <c r="D2163" s="497"/>
      <c r="E2163" s="499">
        <v>8000</v>
      </c>
      <c r="F2163" s="263"/>
      <c r="G2163" s="275"/>
    </row>
    <row r="2164" spans="1:7" ht="17.45" customHeight="1">
      <c r="A2164" s="261" t="s">
        <v>8</v>
      </c>
      <c r="C2164" s="271" t="s">
        <v>2486</v>
      </c>
      <c r="D2164" s="497"/>
      <c r="E2164" s="499">
        <v>2500</v>
      </c>
      <c r="F2164" s="263"/>
      <c r="G2164" s="275"/>
    </row>
    <row r="2165" spans="1:7" ht="17.45" customHeight="1">
      <c r="A2165" s="261" t="s">
        <v>8</v>
      </c>
      <c r="C2165" s="271" t="s">
        <v>2487</v>
      </c>
      <c r="D2165" s="497"/>
      <c r="E2165" s="499">
        <v>11430</v>
      </c>
      <c r="F2165" s="263"/>
      <c r="G2165" s="275"/>
    </row>
    <row r="2166" spans="1:7" ht="17.45" customHeight="1">
      <c r="A2166" s="261" t="s">
        <v>8</v>
      </c>
      <c r="C2166" s="271" t="s">
        <v>2488</v>
      </c>
      <c r="D2166" s="497"/>
      <c r="E2166" s="499">
        <v>1000</v>
      </c>
      <c r="F2166" s="263"/>
      <c r="G2166" s="275"/>
    </row>
    <row r="2167" spans="1:7" ht="17.45" customHeight="1">
      <c r="A2167" s="261" t="s">
        <v>8</v>
      </c>
      <c r="C2167" s="271" t="s">
        <v>1610</v>
      </c>
      <c r="D2167" s="497"/>
      <c r="E2167" s="499">
        <f>6000+2400</f>
        <v>8400</v>
      </c>
      <c r="F2167" s="263"/>
      <c r="G2167" s="275"/>
    </row>
    <row r="2168" spans="1:7" ht="17.45" customHeight="1">
      <c r="A2168" s="261" t="s">
        <v>8</v>
      </c>
      <c r="C2168" s="271" t="s">
        <v>2489</v>
      </c>
      <c r="D2168" s="497"/>
      <c r="E2168" s="499">
        <v>7800</v>
      </c>
      <c r="F2168" s="263"/>
      <c r="G2168" s="275"/>
    </row>
    <row r="2169" spans="1:7" ht="17.45" customHeight="1">
      <c r="A2169" s="261" t="s">
        <v>8</v>
      </c>
      <c r="C2169" s="271" t="s">
        <v>150</v>
      </c>
      <c r="D2169" s="497"/>
      <c r="E2169" s="499">
        <f>230000+22500+30000</f>
        <v>282500</v>
      </c>
      <c r="F2169" s="263"/>
      <c r="G2169" s="275"/>
    </row>
    <row r="2170" spans="1:7" ht="17.45" customHeight="1">
      <c r="A2170" s="261" t="s">
        <v>8</v>
      </c>
      <c r="C2170" s="271" t="s">
        <v>2491</v>
      </c>
      <c r="D2170" s="497"/>
      <c r="E2170" s="499">
        <v>3500</v>
      </c>
      <c r="F2170" s="263"/>
      <c r="G2170" s="275"/>
    </row>
    <row r="2171" spans="1:7" ht="17.45" customHeight="1">
      <c r="A2171" s="261" t="s">
        <v>8</v>
      </c>
      <c r="C2171" s="271" t="s">
        <v>2492</v>
      </c>
      <c r="D2171" s="497"/>
      <c r="E2171" s="499">
        <v>43500</v>
      </c>
      <c r="F2171" s="263"/>
      <c r="G2171" s="275"/>
    </row>
    <row r="2172" spans="1:7" ht="17.45" customHeight="1">
      <c r="A2172" s="261" t="s">
        <v>8</v>
      </c>
      <c r="C2172" s="271" t="s">
        <v>2493</v>
      </c>
      <c r="D2172" s="497"/>
      <c r="E2172" s="499">
        <v>12000</v>
      </c>
      <c r="F2172" s="263"/>
      <c r="G2172" s="275"/>
    </row>
    <row r="2173" spans="1:7" ht="17.45" customHeight="1">
      <c r="A2173" s="261" t="s">
        <v>8</v>
      </c>
      <c r="C2173" s="271" t="s">
        <v>2494</v>
      </c>
      <c r="D2173" s="497"/>
      <c r="E2173" s="499">
        <v>4100</v>
      </c>
      <c r="F2173" s="263"/>
      <c r="G2173" s="275"/>
    </row>
    <row r="2174" spans="1:7" ht="17.45" customHeight="1">
      <c r="A2174" s="261" t="s">
        <v>8</v>
      </c>
      <c r="C2174" s="271" t="s">
        <v>2495</v>
      </c>
      <c r="D2174" s="497"/>
      <c r="E2174" s="499">
        <v>22000</v>
      </c>
      <c r="F2174" s="263"/>
      <c r="G2174" s="275"/>
    </row>
    <row r="2175" spans="1:7" ht="17.45" customHeight="1">
      <c r="A2175" s="261" t="s">
        <v>8</v>
      </c>
      <c r="C2175" s="271" t="s">
        <v>2496</v>
      </c>
      <c r="D2175" s="497"/>
      <c r="E2175" s="499">
        <v>60000</v>
      </c>
      <c r="F2175" s="263"/>
      <c r="G2175" s="275"/>
    </row>
    <row r="2176" spans="1:7" ht="17.45" customHeight="1">
      <c r="A2176" s="261" t="s">
        <v>8</v>
      </c>
      <c r="C2176" s="271" t="s">
        <v>2497</v>
      </c>
      <c r="D2176" s="497"/>
      <c r="E2176" s="499">
        <v>16730</v>
      </c>
      <c r="F2176" s="263"/>
      <c r="G2176" s="275"/>
    </row>
    <row r="2177" spans="1:7" ht="17.45" customHeight="1">
      <c r="A2177" s="261" t="s">
        <v>8</v>
      </c>
      <c r="C2177" s="271" t="s">
        <v>2498</v>
      </c>
      <c r="D2177" s="497"/>
      <c r="E2177" s="499">
        <v>14200</v>
      </c>
      <c r="F2177" s="263"/>
      <c r="G2177" s="275"/>
    </row>
    <row r="2178" spans="1:7" ht="17.45" customHeight="1">
      <c r="A2178" s="261" t="s">
        <v>8</v>
      </c>
      <c r="C2178" s="271" t="s">
        <v>2499</v>
      </c>
      <c r="D2178" s="497"/>
      <c r="E2178" s="499">
        <v>3800</v>
      </c>
      <c r="F2178" s="263"/>
      <c r="G2178" s="275"/>
    </row>
    <row r="2179" spans="1:7" ht="17.45" customHeight="1">
      <c r="A2179" s="261" t="s">
        <v>8</v>
      </c>
      <c r="C2179" s="271" t="s">
        <v>2423</v>
      </c>
      <c r="D2179" s="497"/>
      <c r="E2179" s="499">
        <v>2600</v>
      </c>
      <c r="F2179" s="263"/>
      <c r="G2179" s="275"/>
    </row>
    <row r="2180" spans="1:7" ht="17.45" customHeight="1">
      <c r="A2180" s="261" t="s">
        <v>8</v>
      </c>
      <c r="C2180" s="271" t="s">
        <v>2474</v>
      </c>
      <c r="D2180" s="497"/>
      <c r="E2180" s="499">
        <v>15000</v>
      </c>
      <c r="F2180" s="263"/>
      <c r="G2180" s="275" t="s">
        <v>1620</v>
      </c>
    </row>
    <row r="2181" spans="1:7" ht="17.45" customHeight="1">
      <c r="A2181" s="261" t="s">
        <v>8</v>
      </c>
      <c r="C2181" s="271" t="s">
        <v>2475</v>
      </c>
      <c r="D2181" s="497"/>
      <c r="E2181" s="499">
        <v>6000</v>
      </c>
      <c r="F2181" s="263"/>
      <c r="G2181" s="275" t="s">
        <v>1620</v>
      </c>
    </row>
    <row r="2182" spans="1:7" ht="17.45" customHeight="1">
      <c r="A2182" s="261" t="s">
        <v>8</v>
      </c>
      <c r="C2182" s="271" t="s">
        <v>1680</v>
      </c>
      <c r="D2182" s="497"/>
      <c r="E2182" s="499">
        <v>3500</v>
      </c>
      <c r="F2182" s="263"/>
      <c r="G2182" s="275" t="s">
        <v>1620</v>
      </c>
    </row>
    <row r="2183" spans="1:7" ht="17.45" customHeight="1">
      <c r="A2183" s="261" t="s">
        <v>8</v>
      </c>
      <c r="C2183" s="271" t="s">
        <v>2476</v>
      </c>
      <c r="D2183" s="497"/>
      <c r="E2183" s="499">
        <v>18800</v>
      </c>
      <c r="F2183" s="263"/>
      <c r="G2183" s="275" t="s">
        <v>1620</v>
      </c>
    </row>
    <row r="2184" spans="1:7" ht="17.45" customHeight="1">
      <c r="A2184" s="261" t="s">
        <v>8</v>
      </c>
      <c r="C2184" s="271" t="s">
        <v>2477</v>
      </c>
      <c r="D2184" s="497"/>
      <c r="E2184" s="499">
        <v>36000</v>
      </c>
      <c r="F2184" s="263"/>
      <c r="G2184" s="275" t="s">
        <v>1620</v>
      </c>
    </row>
    <row r="2185" spans="1:7" ht="17.45" customHeight="1">
      <c r="A2185" s="261" t="s">
        <v>8</v>
      </c>
      <c r="C2185" s="271" t="s">
        <v>2478</v>
      </c>
      <c r="D2185" s="497"/>
      <c r="E2185" s="499">
        <v>8500</v>
      </c>
      <c r="F2185" s="263"/>
      <c r="G2185" s="275" t="s">
        <v>1620</v>
      </c>
    </row>
    <row r="2186" spans="1:7" ht="17.45" customHeight="1">
      <c r="A2186" s="261" t="s">
        <v>8</v>
      </c>
      <c r="C2186" s="271" t="s">
        <v>2482</v>
      </c>
      <c r="D2186" s="497"/>
      <c r="E2186" s="499">
        <v>1500</v>
      </c>
      <c r="F2186" s="263"/>
      <c r="G2186" s="275" t="s">
        <v>1620</v>
      </c>
    </row>
    <row r="2187" spans="1:7" ht="17.45" customHeight="1">
      <c r="A2187" s="261" t="s">
        <v>8</v>
      </c>
      <c r="C2187" s="271" t="s">
        <v>2479</v>
      </c>
      <c r="D2187" s="497"/>
      <c r="E2187" s="499">
        <v>7000</v>
      </c>
      <c r="F2187" s="263"/>
      <c r="G2187" s="275" t="s">
        <v>1620</v>
      </c>
    </row>
    <row r="2188" spans="1:7" ht="17.45" customHeight="1">
      <c r="A2188" s="261" t="s">
        <v>8</v>
      </c>
      <c r="C2188" s="271" t="s">
        <v>2251</v>
      </c>
      <c r="D2188" s="497"/>
      <c r="E2188" s="499">
        <v>3500</v>
      </c>
      <c r="F2188" s="263"/>
      <c r="G2188" s="275" t="s">
        <v>1620</v>
      </c>
    </row>
    <row r="2189" spans="1:7" ht="17.45" customHeight="1">
      <c r="A2189" s="261" t="s">
        <v>8</v>
      </c>
      <c r="C2189" s="271" t="s">
        <v>2480</v>
      </c>
      <c r="D2189" s="497"/>
      <c r="E2189" s="499">
        <v>17000</v>
      </c>
      <c r="F2189" s="263"/>
      <c r="G2189" s="275" t="s">
        <v>1620</v>
      </c>
    </row>
    <row r="2190" spans="1:7" ht="17.45" customHeight="1">
      <c r="A2190" s="261" t="s">
        <v>8</v>
      </c>
      <c r="C2190" s="271" t="s">
        <v>2481</v>
      </c>
      <c r="D2190" s="497"/>
      <c r="E2190" s="499">
        <v>4000</v>
      </c>
      <c r="F2190" s="263"/>
      <c r="G2190" s="275" t="s">
        <v>1620</v>
      </c>
    </row>
    <row r="2191" spans="1:7" ht="17.45" customHeight="1">
      <c r="A2191" s="261" t="s">
        <v>8</v>
      </c>
      <c r="C2191" s="271" t="s">
        <v>2483</v>
      </c>
      <c r="D2191" s="497"/>
      <c r="E2191" s="499">
        <v>7800</v>
      </c>
      <c r="F2191" s="263"/>
      <c r="G2191" s="275" t="s">
        <v>1620</v>
      </c>
    </row>
    <row r="2192" spans="1:7" ht="17.45" customHeight="1" thickBot="1">
      <c r="A2192" s="261" t="s">
        <v>8</v>
      </c>
      <c r="C2192" s="276" t="s">
        <v>1300</v>
      </c>
      <c r="D2192" s="502">
        <f>SUM(D2112:D2191)-SUM(E2112:E2191)</f>
        <v>1214699</v>
      </c>
      <c r="E2192" s="502">
        <f>SUM(E2112:E2191)-SUM(F2112:F2191)</f>
        <v>4593851</v>
      </c>
      <c r="F2192" s="277"/>
      <c r="G2192" s="283"/>
    </row>
    <row r="2194" spans="1:7" ht="12.75" thickBot="1"/>
    <row r="2195" spans="1:7" ht="17.45" customHeight="1">
      <c r="A2195" s="261" t="s">
        <v>8</v>
      </c>
      <c r="B2195" s="256" t="s">
        <v>2422</v>
      </c>
      <c r="C2195" s="268" t="s">
        <v>1268</v>
      </c>
      <c r="D2195" s="500">
        <v>6037350</v>
      </c>
      <c r="E2195" s="501"/>
      <c r="F2195" s="269"/>
      <c r="G2195" s="270"/>
    </row>
    <row r="2196" spans="1:7" ht="17.45" customHeight="1">
      <c r="A2196" s="261" t="s">
        <v>8</v>
      </c>
      <c r="B2196" s="257"/>
      <c r="C2196" s="271" t="s">
        <v>1269</v>
      </c>
      <c r="D2196" s="497"/>
      <c r="E2196" s="499">
        <f>436000+40000+129000</f>
        <v>605000</v>
      </c>
      <c r="F2196" s="263"/>
      <c r="G2196" s="272" t="s">
        <v>2665</v>
      </c>
    </row>
    <row r="2197" spans="1:7" ht="17.45" customHeight="1">
      <c r="A2197" s="261" t="s">
        <v>8</v>
      </c>
      <c r="C2197" s="271" t="s">
        <v>1270</v>
      </c>
      <c r="D2197" s="497"/>
      <c r="E2197" s="499">
        <v>763000</v>
      </c>
      <c r="F2197" s="263"/>
      <c r="G2197" s="273" t="s">
        <v>2192</v>
      </c>
    </row>
    <row r="2198" spans="1:7" ht="17.45" customHeight="1">
      <c r="A2198" s="261" t="s">
        <v>8</v>
      </c>
      <c r="C2198" s="271" t="s">
        <v>1670</v>
      </c>
      <c r="D2198" s="497"/>
      <c r="E2198" s="497"/>
      <c r="F2198" s="263"/>
      <c r="G2198" s="274"/>
    </row>
    <row r="2199" spans="1:7" ht="17.45" customHeight="1">
      <c r="A2199" s="261" t="s">
        <v>8</v>
      </c>
      <c r="C2199" s="271" t="s">
        <v>1672</v>
      </c>
      <c r="D2199" s="497"/>
      <c r="E2199" s="499">
        <v>112680</v>
      </c>
      <c r="F2199" s="263"/>
      <c r="G2199" s="274"/>
    </row>
    <row r="2200" spans="1:7" ht="17.45" customHeight="1">
      <c r="A2200" s="261" t="s">
        <v>8</v>
      </c>
      <c r="C2200" s="271" t="s">
        <v>1673</v>
      </c>
      <c r="D2200" s="497"/>
      <c r="E2200" s="497">
        <v>0</v>
      </c>
      <c r="F2200" s="263"/>
      <c r="G2200" s="274"/>
    </row>
    <row r="2201" spans="1:7" ht="17.45" customHeight="1">
      <c r="A2201" s="261" t="s">
        <v>8</v>
      </c>
      <c r="C2201" s="271" t="s">
        <v>1332</v>
      </c>
      <c r="D2201" s="497"/>
      <c r="E2201" s="499">
        <v>44980</v>
      </c>
      <c r="F2201" s="263"/>
      <c r="G2201" s="275"/>
    </row>
    <row r="2202" spans="1:7" ht="17.45" customHeight="1">
      <c r="A2202" s="261" t="s">
        <v>8</v>
      </c>
      <c r="C2202" s="271" t="s">
        <v>1271</v>
      </c>
      <c r="D2202" s="497"/>
      <c r="E2202" s="497">
        <v>0</v>
      </c>
      <c r="F2202" s="263"/>
      <c r="G2202" s="274"/>
    </row>
    <row r="2203" spans="1:7" ht="17.45" customHeight="1">
      <c r="A2203" s="261" t="s">
        <v>8</v>
      </c>
      <c r="C2203" s="271" t="s">
        <v>1272</v>
      </c>
      <c r="D2203" s="497"/>
      <c r="E2203" s="499">
        <v>7470</v>
      </c>
      <c r="F2203" s="263"/>
      <c r="G2203" s="273"/>
    </row>
    <row r="2204" spans="1:7" ht="17.45" customHeight="1">
      <c r="A2204" s="261" t="s">
        <v>8</v>
      </c>
      <c r="C2204" s="271" t="s">
        <v>1273</v>
      </c>
      <c r="D2204" s="497"/>
      <c r="E2204" s="499">
        <v>29920</v>
      </c>
      <c r="F2204" s="263"/>
      <c r="G2204" s="273"/>
    </row>
    <row r="2205" spans="1:7" ht="17.45" customHeight="1">
      <c r="A2205" s="261" t="s">
        <v>8</v>
      </c>
      <c r="C2205" s="271" t="s">
        <v>1274</v>
      </c>
      <c r="D2205" s="497"/>
      <c r="E2205" s="499">
        <v>9405</v>
      </c>
      <c r="F2205" s="263"/>
      <c r="G2205" s="273"/>
    </row>
    <row r="2206" spans="1:7" ht="17.45" customHeight="1">
      <c r="A2206" s="261" t="s">
        <v>8</v>
      </c>
      <c r="C2206" s="271" t="s">
        <v>1275</v>
      </c>
      <c r="D2206" s="497"/>
      <c r="E2206" s="499">
        <v>26450</v>
      </c>
      <c r="F2206" s="263"/>
      <c r="G2206" s="273"/>
    </row>
    <row r="2207" spans="1:7" ht="17.45" customHeight="1">
      <c r="A2207" s="261" t="s">
        <v>8</v>
      </c>
      <c r="C2207" s="271" t="s">
        <v>2168</v>
      </c>
      <c r="D2207" s="497"/>
      <c r="E2207" s="499">
        <v>18816</v>
      </c>
      <c r="F2207" s="263"/>
      <c r="G2207" s="273"/>
    </row>
    <row r="2208" spans="1:7" ht="17.45" customHeight="1">
      <c r="A2208" s="261" t="s">
        <v>8</v>
      </c>
      <c r="C2208" s="271" t="s">
        <v>1517</v>
      </c>
      <c r="D2208" s="497"/>
      <c r="E2208" s="499">
        <v>23230</v>
      </c>
      <c r="F2208" s="263"/>
      <c r="G2208" s="273"/>
    </row>
    <row r="2209" spans="1:7" ht="17.45" customHeight="1">
      <c r="A2209" s="261" t="s">
        <v>8</v>
      </c>
      <c r="C2209" s="271" t="s">
        <v>1276</v>
      </c>
      <c r="D2209" s="497"/>
      <c r="E2209" s="499">
        <v>363160</v>
      </c>
      <c r="F2209" s="263"/>
      <c r="G2209" s="273"/>
    </row>
    <row r="2210" spans="1:7" ht="17.45" customHeight="1">
      <c r="A2210" s="261" t="s">
        <v>8</v>
      </c>
      <c r="C2210" s="271" t="s">
        <v>1277</v>
      </c>
      <c r="D2210" s="497"/>
      <c r="E2210" s="497"/>
      <c r="F2210" s="263"/>
      <c r="G2210" s="273"/>
    </row>
    <row r="2211" spans="1:7" ht="17.45" customHeight="1">
      <c r="A2211" s="261" t="s">
        <v>8</v>
      </c>
      <c r="C2211" s="271" t="s">
        <v>1278</v>
      </c>
      <c r="D2211" s="497"/>
      <c r="E2211" s="499">
        <v>200000</v>
      </c>
      <c r="F2211" s="263"/>
      <c r="G2211" s="273"/>
    </row>
    <row r="2212" spans="1:7" ht="17.45" customHeight="1">
      <c r="A2212" s="261" t="s">
        <v>8</v>
      </c>
      <c r="C2212" s="285" t="s">
        <v>1413</v>
      </c>
      <c r="D2212" s="506"/>
      <c r="E2212" s="507">
        <v>1300000</v>
      </c>
      <c r="F2212" s="286"/>
      <c r="G2212" s="287"/>
    </row>
    <row r="2213" spans="1:7" ht="17.25" customHeight="1">
      <c r="A2213" s="261" t="s">
        <v>8</v>
      </c>
      <c r="C2213" s="338" t="s">
        <v>2661</v>
      </c>
      <c r="D2213" s="497"/>
      <c r="E2213" s="499">
        <v>760000</v>
      </c>
      <c r="F2213" s="263"/>
      <c r="G2213" s="275"/>
    </row>
    <row r="2214" spans="1:7" ht="17.45" customHeight="1">
      <c r="A2214" s="261" t="s">
        <v>8</v>
      </c>
      <c r="C2214" s="339" t="s">
        <v>2647</v>
      </c>
      <c r="D2214" s="506"/>
      <c r="E2214" s="507">
        <v>5000000</v>
      </c>
      <c r="F2214" s="286"/>
      <c r="G2214" s="290"/>
    </row>
    <row r="2215" spans="1:7" ht="17.45" customHeight="1" thickBot="1">
      <c r="A2215" s="261" t="s">
        <v>8</v>
      </c>
      <c r="C2215" s="285" t="s">
        <v>1942</v>
      </c>
      <c r="D2215" s="506"/>
      <c r="E2215" s="507">
        <v>20000</v>
      </c>
      <c r="F2215" s="286"/>
      <c r="G2215" s="290"/>
    </row>
    <row r="2216" spans="1:7" ht="17.45" customHeight="1">
      <c r="A2216" s="261" t="s">
        <v>8</v>
      </c>
      <c r="C2216" s="268" t="s">
        <v>1280</v>
      </c>
      <c r="D2216" s="501"/>
      <c r="E2216" s="500">
        <f>50000+50000</f>
        <v>100000</v>
      </c>
      <c r="F2216" s="269"/>
      <c r="G2216" s="288"/>
    </row>
    <row r="2217" spans="1:7" ht="17.45" customHeight="1">
      <c r="A2217" s="261" t="s">
        <v>8</v>
      </c>
      <c r="C2217" s="271" t="s">
        <v>1549</v>
      </c>
      <c r="D2217" s="497"/>
      <c r="E2217" s="497"/>
      <c r="F2217" s="263"/>
      <c r="G2217" s="275"/>
    </row>
    <row r="2218" spans="1:7" ht="17.45" customHeight="1">
      <c r="A2218" s="261" t="s">
        <v>8</v>
      </c>
      <c r="C2218" s="271" t="s">
        <v>1819</v>
      </c>
      <c r="D2218" s="497"/>
      <c r="E2218" s="497"/>
      <c r="F2218" s="263"/>
      <c r="G2218" s="275"/>
    </row>
    <row r="2219" spans="1:7" ht="17.45" customHeight="1">
      <c r="A2219" s="261" t="s">
        <v>8</v>
      </c>
      <c r="C2219" s="271" t="s">
        <v>391</v>
      </c>
      <c r="D2219" s="497"/>
      <c r="E2219" s="497"/>
      <c r="F2219" s="263"/>
      <c r="G2219" s="275"/>
    </row>
    <row r="2220" spans="1:7" ht="17.45" customHeight="1">
      <c r="A2220" s="261" t="s">
        <v>8</v>
      </c>
      <c r="C2220" s="271" t="s">
        <v>1934</v>
      </c>
      <c r="D2220" s="497"/>
      <c r="E2220" s="497"/>
      <c r="F2220" s="263"/>
      <c r="G2220" s="275"/>
    </row>
    <row r="2221" spans="1:7" ht="17.25" customHeight="1">
      <c r="A2221" s="261" t="s">
        <v>8</v>
      </c>
      <c r="C2221" s="271" t="s">
        <v>2202</v>
      </c>
      <c r="D2221" s="497"/>
      <c r="E2221" s="497"/>
      <c r="F2221" s="263"/>
      <c r="G2221" s="275"/>
    </row>
    <row r="2222" spans="1:7" ht="17.45" customHeight="1">
      <c r="A2222" s="261" t="s">
        <v>8</v>
      </c>
      <c r="C2222" s="271" t="s">
        <v>2097</v>
      </c>
      <c r="D2222" s="497"/>
      <c r="E2222" s="497"/>
      <c r="F2222" s="263"/>
      <c r="G2222" s="275"/>
    </row>
    <row r="2223" spans="1:7" ht="17.45" customHeight="1">
      <c r="A2223" s="261" t="s">
        <v>8</v>
      </c>
      <c r="C2223" s="271" t="s">
        <v>2654</v>
      </c>
      <c r="D2223" s="497"/>
      <c r="E2223" s="499">
        <v>60000</v>
      </c>
      <c r="F2223" s="263"/>
      <c r="G2223" s="275"/>
    </row>
    <row r="2224" spans="1:7" ht="17.45" customHeight="1">
      <c r="A2224" s="261" t="s">
        <v>8</v>
      </c>
      <c r="C2224" s="271" t="s">
        <v>1687</v>
      </c>
      <c r="D2224" s="497"/>
      <c r="E2224" s="497"/>
      <c r="F2224" s="263"/>
      <c r="G2224" s="275"/>
    </row>
    <row r="2225" spans="1:7" ht="17.45" customHeight="1">
      <c r="A2225" s="261" t="s">
        <v>8</v>
      </c>
      <c r="C2225" s="271" t="s">
        <v>1688</v>
      </c>
      <c r="D2225" s="497"/>
      <c r="E2225" s="499">
        <v>55000</v>
      </c>
      <c r="F2225" s="263"/>
      <c r="G2225" s="275"/>
    </row>
    <row r="2226" spans="1:7" ht="17.45" customHeight="1">
      <c r="A2226" s="261" t="s">
        <v>8</v>
      </c>
      <c r="C2226" s="271" t="s">
        <v>2281</v>
      </c>
      <c r="D2226" s="497"/>
      <c r="E2226" s="497"/>
      <c r="F2226" s="263"/>
      <c r="G2226" s="275"/>
    </row>
    <row r="2227" spans="1:7" ht="17.45" customHeight="1">
      <c r="A2227" s="261" t="s">
        <v>8</v>
      </c>
      <c r="C2227" s="271" t="s">
        <v>1596</v>
      </c>
      <c r="D2227" s="497"/>
      <c r="E2227" s="499">
        <v>2700</v>
      </c>
      <c r="F2227" s="263"/>
      <c r="G2227" s="275"/>
    </row>
    <row r="2228" spans="1:7" ht="17.45" customHeight="1">
      <c r="A2228" s="261" t="s">
        <v>8</v>
      </c>
      <c r="C2228" s="271" t="s">
        <v>1595</v>
      </c>
      <c r="D2228" s="497"/>
      <c r="E2228" s="499">
        <v>2200</v>
      </c>
      <c r="F2228" s="263"/>
      <c r="G2228" s="275"/>
    </row>
    <row r="2229" spans="1:7" ht="17.45" customHeight="1">
      <c r="A2229" s="261" t="s">
        <v>8</v>
      </c>
      <c r="C2229" s="271" t="s">
        <v>1613</v>
      </c>
      <c r="D2229" s="497"/>
      <c r="E2229" s="499">
        <f>7800+2700</f>
        <v>10500</v>
      </c>
      <c r="F2229" s="263"/>
      <c r="G2229" s="275"/>
    </row>
    <row r="2230" spans="1:7" ht="17.45" customHeight="1">
      <c r="A2230" s="261" t="s">
        <v>8</v>
      </c>
      <c r="C2230" s="271" t="s">
        <v>1689</v>
      </c>
      <c r="D2230" s="497"/>
      <c r="E2230" s="497"/>
      <c r="F2230" s="263"/>
      <c r="G2230" s="275"/>
    </row>
    <row r="2231" spans="1:7" ht="17.45" customHeight="1">
      <c r="A2231" s="261" t="s">
        <v>8</v>
      </c>
      <c r="C2231" s="271" t="s">
        <v>1569</v>
      </c>
      <c r="D2231" s="497"/>
      <c r="E2231" s="497"/>
      <c r="F2231" s="263"/>
      <c r="G2231" s="275"/>
    </row>
    <row r="2232" spans="1:7" ht="17.45" customHeight="1">
      <c r="A2232" s="261" t="s">
        <v>8</v>
      </c>
      <c r="C2232" s="271" t="s">
        <v>1618</v>
      </c>
      <c r="D2232" s="497"/>
      <c r="E2232" s="499">
        <f>15980+1890+43980+5410+12600</f>
        <v>79860</v>
      </c>
      <c r="F2232" s="263"/>
      <c r="G2232" s="275"/>
    </row>
    <row r="2233" spans="1:7" ht="17.45" customHeight="1">
      <c r="A2233" s="261" t="s">
        <v>8</v>
      </c>
      <c r="C2233" s="271" t="s">
        <v>1800</v>
      </c>
      <c r="D2233" s="497"/>
      <c r="E2233" s="499">
        <v>26000</v>
      </c>
      <c r="F2233" s="263"/>
      <c r="G2233" s="275"/>
    </row>
    <row r="2234" spans="1:7" ht="17.45" customHeight="1" thickBot="1">
      <c r="A2234" s="261" t="s">
        <v>8</v>
      </c>
      <c r="C2234" s="276" t="s">
        <v>1594</v>
      </c>
      <c r="D2234" s="502"/>
      <c r="E2234" s="502"/>
      <c r="F2234" s="277"/>
      <c r="G2234" s="282"/>
    </row>
    <row r="2235" spans="1:7" ht="17.45" customHeight="1">
      <c r="A2235" s="261" t="s">
        <v>8</v>
      </c>
      <c r="C2235" s="279" t="s">
        <v>2107</v>
      </c>
      <c r="D2235" s="504"/>
      <c r="E2235" s="505">
        <v>33900</v>
      </c>
      <c r="F2235" s="280"/>
      <c r="G2235" s="281"/>
    </row>
    <row r="2236" spans="1:7" ht="17.45" customHeight="1">
      <c r="A2236" s="261" t="s">
        <v>8</v>
      </c>
      <c r="C2236" s="271" t="s">
        <v>2636</v>
      </c>
      <c r="D2236" s="497"/>
      <c r="E2236" s="499">
        <v>30500</v>
      </c>
      <c r="F2236" s="263"/>
      <c r="G2236" s="275"/>
    </row>
    <row r="2237" spans="1:7" ht="17.45" customHeight="1">
      <c r="A2237" s="261" t="s">
        <v>8</v>
      </c>
      <c r="C2237" s="271" t="s">
        <v>2637</v>
      </c>
      <c r="D2237" s="497"/>
      <c r="E2237" s="499">
        <v>3000</v>
      </c>
      <c r="F2237" s="263"/>
      <c r="G2237" s="275"/>
    </row>
    <row r="2238" spans="1:7" ht="17.45" customHeight="1">
      <c r="A2238" s="261" t="s">
        <v>8</v>
      </c>
      <c r="C2238" s="271" t="s">
        <v>2638</v>
      </c>
      <c r="D2238" s="497"/>
      <c r="E2238" s="499">
        <v>4250</v>
      </c>
      <c r="F2238" s="263"/>
      <c r="G2238" s="275"/>
    </row>
    <row r="2239" spans="1:7" ht="17.45" customHeight="1">
      <c r="A2239" s="261" t="s">
        <v>8</v>
      </c>
      <c r="C2239" s="271" t="s">
        <v>2639</v>
      </c>
      <c r="D2239" s="499">
        <v>73600</v>
      </c>
      <c r="E2239" s="499">
        <v>93600</v>
      </c>
      <c r="F2239" s="263"/>
      <c r="G2239" s="275"/>
    </row>
    <row r="2240" spans="1:7" ht="17.45" customHeight="1">
      <c r="A2240" s="261" t="s">
        <v>8</v>
      </c>
      <c r="C2240" s="271" t="s">
        <v>2641</v>
      </c>
      <c r="D2240" s="497"/>
      <c r="E2240" s="499">
        <v>1000</v>
      </c>
      <c r="F2240" s="263"/>
      <c r="G2240" s="275"/>
    </row>
    <row r="2241" spans="1:7" ht="17.45" customHeight="1">
      <c r="A2241" s="261" t="s">
        <v>8</v>
      </c>
      <c r="C2241" s="271" t="s">
        <v>2642</v>
      </c>
      <c r="D2241" s="497"/>
      <c r="E2241" s="499">
        <v>58000</v>
      </c>
      <c r="F2241" s="263"/>
      <c r="G2241" s="275"/>
    </row>
    <row r="2242" spans="1:7" ht="17.45" customHeight="1">
      <c r="A2242" s="261" t="s">
        <v>8</v>
      </c>
      <c r="C2242" s="271" t="s">
        <v>2643</v>
      </c>
      <c r="D2242" s="497"/>
      <c r="E2242" s="499">
        <v>10000</v>
      </c>
      <c r="F2242" s="263"/>
      <c r="G2242" s="275"/>
    </row>
    <row r="2243" spans="1:7" ht="17.45" customHeight="1">
      <c r="A2243" s="261" t="s">
        <v>8</v>
      </c>
      <c r="C2243" s="271" t="s">
        <v>2644</v>
      </c>
      <c r="D2243" s="497"/>
      <c r="E2243" s="499">
        <v>6000</v>
      </c>
      <c r="F2243" s="263"/>
      <c r="G2243" s="275"/>
    </row>
    <row r="2244" spans="1:7" ht="17.45" customHeight="1">
      <c r="A2244" s="261" t="s">
        <v>8</v>
      </c>
      <c r="C2244" s="271" t="s">
        <v>159</v>
      </c>
      <c r="D2244" s="497"/>
      <c r="E2244" s="499">
        <v>250000</v>
      </c>
      <c r="F2244" s="263"/>
      <c r="G2244" s="275"/>
    </row>
    <row r="2245" spans="1:7" ht="17.45" customHeight="1">
      <c r="A2245" s="261" t="s">
        <v>8</v>
      </c>
      <c r="C2245" s="271" t="s">
        <v>1693</v>
      </c>
      <c r="D2245" s="497"/>
      <c r="E2245" s="499">
        <v>20400</v>
      </c>
      <c r="F2245" s="263"/>
      <c r="G2245" s="275"/>
    </row>
    <row r="2246" spans="1:7" ht="17.45" customHeight="1">
      <c r="A2246" s="261" t="s">
        <v>8</v>
      </c>
      <c r="C2246" s="271" t="s">
        <v>2645</v>
      </c>
      <c r="D2246" s="497"/>
      <c r="E2246" s="499">
        <v>4000</v>
      </c>
      <c r="F2246" s="263"/>
      <c r="G2246" s="275"/>
    </row>
    <row r="2247" spans="1:7" ht="17.45" customHeight="1">
      <c r="A2247" s="261" t="s">
        <v>8</v>
      </c>
      <c r="C2247" s="271" t="s">
        <v>1776</v>
      </c>
      <c r="D2247" s="497"/>
      <c r="E2247" s="499">
        <v>3100</v>
      </c>
      <c r="F2247" s="263"/>
      <c r="G2247" s="275"/>
    </row>
    <row r="2248" spans="1:7" ht="17.45" customHeight="1">
      <c r="A2248" s="261" t="s">
        <v>8</v>
      </c>
      <c r="C2248" s="271" t="s">
        <v>1585</v>
      </c>
      <c r="D2248" s="497"/>
      <c r="E2248" s="499">
        <v>19300</v>
      </c>
      <c r="F2248" s="263"/>
      <c r="G2248" s="275"/>
    </row>
    <row r="2249" spans="1:7" ht="17.45" customHeight="1">
      <c r="A2249" s="261" t="s">
        <v>8</v>
      </c>
      <c r="C2249" s="271" t="s">
        <v>2646</v>
      </c>
      <c r="D2249" s="497"/>
      <c r="E2249" s="499">
        <v>3500</v>
      </c>
      <c r="F2249" s="263"/>
      <c r="G2249" s="275"/>
    </row>
    <row r="2250" spans="1:7" ht="17.45" customHeight="1">
      <c r="A2250" s="261" t="s">
        <v>8</v>
      </c>
      <c r="C2250" s="271" t="s">
        <v>2108</v>
      </c>
      <c r="D2250" s="497"/>
      <c r="E2250" s="499">
        <v>35168</v>
      </c>
      <c r="F2250" s="263"/>
      <c r="G2250" s="275"/>
    </row>
    <row r="2251" spans="1:7" ht="17.45" customHeight="1">
      <c r="A2251" s="261" t="s">
        <v>8</v>
      </c>
      <c r="C2251" s="271" t="s">
        <v>1814</v>
      </c>
      <c r="D2251" s="497"/>
      <c r="E2251" s="499">
        <v>13600</v>
      </c>
      <c r="F2251" s="263"/>
      <c r="G2251" s="275"/>
    </row>
    <row r="2252" spans="1:7" ht="17.45" customHeight="1">
      <c r="A2252" s="261" t="s">
        <v>8</v>
      </c>
      <c r="C2252" s="271" t="s">
        <v>2648</v>
      </c>
      <c r="D2252" s="497"/>
      <c r="E2252" s="499">
        <v>4000</v>
      </c>
      <c r="F2252" s="263"/>
      <c r="G2252" s="275"/>
    </row>
    <row r="2253" spans="1:7" ht="17.45" customHeight="1">
      <c r="A2253" s="261" t="s">
        <v>8</v>
      </c>
      <c r="C2253" s="271" t="s">
        <v>2649</v>
      </c>
      <c r="D2253" s="497"/>
      <c r="E2253" s="499">
        <v>5000</v>
      </c>
      <c r="F2253" s="263"/>
      <c r="G2253" s="275"/>
    </row>
    <row r="2254" spans="1:7" ht="17.45" customHeight="1">
      <c r="A2254" s="261" t="s">
        <v>8</v>
      </c>
      <c r="C2254" s="271" t="s">
        <v>2650</v>
      </c>
      <c r="D2254" s="497"/>
      <c r="E2254" s="499">
        <v>6500</v>
      </c>
      <c r="F2254" s="263"/>
      <c r="G2254" s="275"/>
    </row>
    <row r="2255" spans="1:7" ht="17.45" customHeight="1">
      <c r="A2255" s="261" t="s">
        <v>8</v>
      </c>
      <c r="C2255" s="271" t="s">
        <v>2651</v>
      </c>
      <c r="D2255" s="497"/>
      <c r="E2255" s="499">
        <v>7900</v>
      </c>
      <c r="F2255" s="263"/>
      <c r="G2255" s="275"/>
    </row>
    <row r="2256" spans="1:7" ht="17.45" customHeight="1">
      <c r="A2256" s="261" t="s">
        <v>8</v>
      </c>
      <c r="C2256" s="271" t="s">
        <v>2652</v>
      </c>
      <c r="D2256" s="497"/>
      <c r="E2256" s="499">
        <v>5000</v>
      </c>
      <c r="F2256" s="263"/>
      <c r="G2256" s="275"/>
    </row>
    <row r="2257" spans="1:7" ht="17.45" customHeight="1">
      <c r="A2257" s="261" t="s">
        <v>8</v>
      </c>
      <c r="C2257" s="271" t="s">
        <v>2653</v>
      </c>
      <c r="D2257" s="497"/>
      <c r="E2257" s="499">
        <v>800</v>
      </c>
      <c r="F2257" s="263"/>
      <c r="G2257" s="275"/>
    </row>
    <row r="2258" spans="1:7" ht="17.45" customHeight="1">
      <c r="A2258" s="261" t="s">
        <v>8</v>
      </c>
      <c r="C2258" s="271" t="s">
        <v>2407</v>
      </c>
      <c r="D2258" s="497"/>
      <c r="E2258" s="499">
        <v>5300</v>
      </c>
      <c r="F2258" s="263"/>
      <c r="G2258" s="275"/>
    </row>
    <row r="2259" spans="1:7" ht="17.45" customHeight="1">
      <c r="A2259" s="261" t="s">
        <v>8</v>
      </c>
      <c r="C2259" s="271" t="s">
        <v>1628</v>
      </c>
      <c r="D2259" s="497"/>
      <c r="E2259" s="499">
        <v>18000</v>
      </c>
      <c r="F2259" s="263"/>
      <c r="G2259" s="275"/>
    </row>
    <row r="2260" spans="1:7" ht="17.45" customHeight="1">
      <c r="A2260" s="261" t="s">
        <v>8</v>
      </c>
      <c r="C2260" s="271" t="s">
        <v>1610</v>
      </c>
      <c r="D2260" s="497"/>
      <c r="E2260" s="499">
        <v>5500</v>
      </c>
      <c r="F2260" s="263"/>
      <c r="G2260" s="275"/>
    </row>
    <row r="2261" spans="1:7" ht="17.45" customHeight="1">
      <c r="A2261" s="261" t="s">
        <v>8</v>
      </c>
      <c r="C2261" s="271" t="s">
        <v>2655</v>
      </c>
      <c r="D2261" s="497"/>
      <c r="E2261" s="499">
        <f>2500+28000</f>
        <v>30500</v>
      </c>
      <c r="F2261" s="263"/>
      <c r="G2261" s="275"/>
    </row>
    <row r="2262" spans="1:7" ht="17.45" customHeight="1">
      <c r="A2262" s="261" t="s">
        <v>8</v>
      </c>
      <c r="C2262" s="271" t="s">
        <v>2656</v>
      </c>
      <c r="D2262" s="497"/>
      <c r="E2262" s="499">
        <v>7800</v>
      </c>
      <c r="F2262" s="263"/>
      <c r="G2262" s="275"/>
    </row>
    <row r="2263" spans="1:7" ht="17.45" customHeight="1">
      <c r="A2263" s="261" t="s">
        <v>8</v>
      </c>
      <c r="C2263" s="271" t="s">
        <v>2657</v>
      </c>
      <c r="D2263" s="497"/>
      <c r="E2263" s="499">
        <v>9900</v>
      </c>
      <c r="F2263" s="263"/>
      <c r="G2263" s="275"/>
    </row>
    <row r="2264" spans="1:7" ht="17.45" customHeight="1">
      <c r="A2264" s="261" t="s">
        <v>8</v>
      </c>
      <c r="C2264" s="271" t="s">
        <v>2658</v>
      </c>
      <c r="D2264" s="497"/>
      <c r="E2264" s="499">
        <v>3000</v>
      </c>
      <c r="F2264" s="263"/>
      <c r="G2264" s="275"/>
    </row>
    <row r="2265" spans="1:7" ht="17.45" customHeight="1">
      <c r="A2265" s="261" t="s">
        <v>8</v>
      </c>
      <c r="C2265" s="271" t="s">
        <v>2659</v>
      </c>
      <c r="D2265" s="497"/>
      <c r="E2265" s="499">
        <v>19000</v>
      </c>
      <c r="F2265" s="263"/>
      <c r="G2265" s="275"/>
    </row>
    <row r="2266" spans="1:7" ht="17.45" customHeight="1">
      <c r="A2266" s="261" t="s">
        <v>8</v>
      </c>
      <c r="C2266" s="271" t="s">
        <v>2660</v>
      </c>
      <c r="D2266" s="497"/>
      <c r="E2266" s="499">
        <v>22000</v>
      </c>
      <c r="F2266" s="263"/>
      <c r="G2266" s="275"/>
    </row>
    <row r="2267" spans="1:7" ht="17.45" customHeight="1">
      <c r="A2267" s="261" t="s">
        <v>8</v>
      </c>
      <c r="C2267" s="271" t="s">
        <v>2662</v>
      </c>
      <c r="D2267" s="497"/>
      <c r="E2267" s="499">
        <v>3900</v>
      </c>
      <c r="F2267" s="263"/>
      <c r="G2267" s="275"/>
    </row>
    <row r="2268" spans="1:7" ht="17.45" customHeight="1">
      <c r="A2268" s="261" t="s">
        <v>8</v>
      </c>
      <c r="C2268" s="271" t="s">
        <v>1583</v>
      </c>
      <c r="D2268" s="497"/>
      <c r="E2268" s="499">
        <v>170490</v>
      </c>
      <c r="F2268" s="263"/>
      <c r="G2268" s="275"/>
    </row>
    <row r="2269" spans="1:7" ht="17.45" customHeight="1">
      <c r="A2269" s="261" t="s">
        <v>8</v>
      </c>
      <c r="C2269" s="271" t="s">
        <v>2663</v>
      </c>
      <c r="D2269" s="497"/>
      <c r="E2269" s="499">
        <v>2000</v>
      </c>
      <c r="F2269" s="263"/>
      <c r="G2269" s="275"/>
    </row>
    <row r="2270" spans="1:7" ht="17.45" customHeight="1">
      <c r="A2270" s="261" t="s">
        <v>8</v>
      </c>
      <c r="C2270" s="271" t="s">
        <v>2664</v>
      </c>
      <c r="D2270" s="497"/>
      <c r="E2270" s="499">
        <v>46000</v>
      </c>
      <c r="F2270" s="263"/>
      <c r="G2270" s="275"/>
    </row>
    <row r="2271" spans="1:7" ht="17.45" customHeight="1">
      <c r="A2271" s="261" t="s">
        <v>8</v>
      </c>
      <c r="C2271" s="271" t="s">
        <v>148</v>
      </c>
      <c r="D2271" s="497"/>
      <c r="E2271" s="499">
        <v>290000</v>
      </c>
      <c r="F2271" s="263"/>
      <c r="G2271" s="275"/>
    </row>
    <row r="2272" spans="1:7" ht="17.45" customHeight="1" thickBot="1">
      <c r="A2272" s="261" t="s">
        <v>8</v>
      </c>
      <c r="C2272" s="276" t="s">
        <v>1300</v>
      </c>
      <c r="D2272" s="502">
        <f>SUM(D2195:D2271)-SUM(E2195:E2271)</f>
        <v>-4761329</v>
      </c>
      <c r="E2272" s="502">
        <f>SUM(E2195:E2271)-SUM(F2195:F2271)</f>
        <v>10872279</v>
      </c>
      <c r="F2272" s="277"/>
      <c r="G2272" s="283"/>
    </row>
    <row r="2274" spans="1:7" ht="12.75" thickBot="1"/>
    <row r="2275" spans="1:7" ht="17.45" customHeight="1">
      <c r="A2275" s="261" t="s">
        <v>8</v>
      </c>
      <c r="B2275" s="256" t="s">
        <v>2421</v>
      </c>
      <c r="C2275" s="268" t="s">
        <v>1268</v>
      </c>
      <c r="D2275" s="500">
        <v>6034950</v>
      </c>
      <c r="E2275" s="501"/>
      <c r="F2275" s="269"/>
      <c r="G2275" s="270"/>
    </row>
    <row r="2276" spans="1:7" ht="17.45" customHeight="1">
      <c r="A2276" s="261" t="s">
        <v>8</v>
      </c>
      <c r="B2276" s="257"/>
      <c r="C2276" s="271" t="s">
        <v>1269</v>
      </c>
      <c r="D2276" s="497"/>
      <c r="E2276" s="499">
        <v>253000</v>
      </c>
      <c r="F2276" s="263"/>
      <c r="G2276" s="272" t="s">
        <v>2666</v>
      </c>
    </row>
    <row r="2277" spans="1:7" ht="17.45" customHeight="1">
      <c r="A2277" s="261" t="s">
        <v>8</v>
      </c>
      <c r="C2277" s="271" t="s">
        <v>1270</v>
      </c>
      <c r="D2277" s="497"/>
      <c r="E2277" s="499">
        <v>758000</v>
      </c>
      <c r="F2277" s="263"/>
      <c r="G2277" s="273" t="s">
        <v>2192</v>
      </c>
    </row>
    <row r="2278" spans="1:7" ht="17.45" customHeight="1">
      <c r="A2278" s="261" t="s">
        <v>8</v>
      </c>
      <c r="C2278" s="271" t="s">
        <v>1670</v>
      </c>
      <c r="D2278" s="497"/>
      <c r="E2278" s="497"/>
      <c r="F2278" s="263"/>
      <c r="G2278" s="274"/>
    </row>
    <row r="2279" spans="1:7" ht="17.45" customHeight="1">
      <c r="A2279" s="261" t="s">
        <v>8</v>
      </c>
      <c r="C2279" s="271" t="s">
        <v>1672</v>
      </c>
      <c r="D2279" s="497"/>
      <c r="E2279" s="499">
        <v>114300</v>
      </c>
      <c r="F2279" s="263"/>
      <c r="G2279" s="274"/>
    </row>
    <row r="2280" spans="1:7" ht="17.45" customHeight="1">
      <c r="A2280" s="261" t="s">
        <v>8</v>
      </c>
      <c r="C2280" s="271" t="s">
        <v>1673</v>
      </c>
      <c r="D2280" s="497"/>
      <c r="E2280" s="497">
        <v>0</v>
      </c>
      <c r="F2280" s="263"/>
      <c r="G2280" s="274"/>
    </row>
    <row r="2281" spans="1:7" ht="17.45" customHeight="1">
      <c r="A2281" s="261" t="s">
        <v>8</v>
      </c>
      <c r="C2281" s="271" t="s">
        <v>1332</v>
      </c>
      <c r="D2281" s="497"/>
      <c r="E2281" s="499">
        <v>36880</v>
      </c>
      <c r="F2281" s="263"/>
      <c r="G2281" s="275"/>
    </row>
    <row r="2282" spans="1:7" ht="17.45" customHeight="1">
      <c r="A2282" s="261" t="s">
        <v>8</v>
      </c>
      <c r="C2282" s="271" t="s">
        <v>1271</v>
      </c>
      <c r="D2282" s="497"/>
      <c r="E2282" s="497">
        <v>0</v>
      </c>
      <c r="F2282" s="263"/>
      <c r="G2282" s="274"/>
    </row>
    <row r="2283" spans="1:7" ht="17.45" customHeight="1">
      <c r="A2283" s="261" t="s">
        <v>8</v>
      </c>
      <c r="C2283" s="271" t="s">
        <v>1272</v>
      </c>
      <c r="D2283" s="497"/>
      <c r="E2283" s="499">
        <v>7470</v>
      </c>
      <c r="F2283" s="263"/>
      <c r="G2283" s="273"/>
    </row>
    <row r="2284" spans="1:7" ht="17.45" customHeight="1">
      <c r="A2284" s="261" t="s">
        <v>8</v>
      </c>
      <c r="C2284" s="271" t="s">
        <v>1273</v>
      </c>
      <c r="D2284" s="497"/>
      <c r="E2284" s="499">
        <v>29920</v>
      </c>
      <c r="F2284" s="263"/>
      <c r="G2284" s="273"/>
    </row>
    <row r="2285" spans="1:7" ht="17.45" customHeight="1">
      <c r="A2285" s="261" t="s">
        <v>8</v>
      </c>
      <c r="C2285" s="271" t="s">
        <v>1274</v>
      </c>
      <c r="D2285" s="497"/>
      <c r="E2285" s="499">
        <v>9405</v>
      </c>
      <c r="F2285" s="263"/>
      <c r="G2285" s="273"/>
    </row>
    <row r="2286" spans="1:7" ht="17.45" customHeight="1">
      <c r="A2286" s="261" t="s">
        <v>8</v>
      </c>
      <c r="C2286" s="271" t="s">
        <v>1275</v>
      </c>
      <c r="D2286" s="497"/>
      <c r="E2286" s="497"/>
      <c r="F2286" s="263"/>
      <c r="G2286" s="273"/>
    </row>
    <row r="2287" spans="1:7" ht="17.45" customHeight="1">
      <c r="A2287" s="261" t="s">
        <v>8</v>
      </c>
      <c r="C2287" s="271" t="s">
        <v>2168</v>
      </c>
      <c r="D2287" s="497"/>
      <c r="E2287" s="499">
        <v>18816</v>
      </c>
      <c r="F2287" s="263"/>
      <c r="G2287" s="273"/>
    </row>
    <row r="2288" spans="1:7" ht="17.45" customHeight="1">
      <c r="A2288" s="261" t="s">
        <v>8</v>
      </c>
      <c r="C2288" s="271" t="s">
        <v>1517</v>
      </c>
      <c r="D2288" s="497"/>
      <c r="E2288" s="499">
        <v>23230</v>
      </c>
      <c r="F2288" s="263"/>
      <c r="G2288" s="273"/>
    </row>
    <row r="2289" spans="1:7" ht="17.45" customHeight="1">
      <c r="A2289" s="261" t="s">
        <v>8</v>
      </c>
      <c r="C2289" s="271" t="s">
        <v>1276</v>
      </c>
      <c r="D2289" s="497"/>
      <c r="E2289" s="499">
        <v>271050</v>
      </c>
      <c r="F2289" s="263"/>
      <c r="G2289" s="273"/>
    </row>
    <row r="2290" spans="1:7" ht="17.45" customHeight="1">
      <c r="A2290" s="261" t="s">
        <v>8</v>
      </c>
      <c r="C2290" s="271" t="s">
        <v>1277</v>
      </c>
      <c r="D2290" s="497"/>
      <c r="E2290" s="499">
        <v>20800</v>
      </c>
      <c r="F2290" s="263"/>
      <c r="G2290" s="273"/>
    </row>
    <row r="2291" spans="1:7" ht="17.45" customHeight="1">
      <c r="A2291" s="261" t="s">
        <v>8</v>
      </c>
      <c r="C2291" s="271" t="s">
        <v>1278</v>
      </c>
      <c r="D2291" s="497"/>
      <c r="E2291" s="499">
        <v>200000</v>
      </c>
      <c r="F2291" s="263"/>
      <c r="G2291" s="273"/>
    </row>
    <row r="2292" spans="1:7" ht="17.45" customHeight="1">
      <c r="A2292" s="261" t="s">
        <v>8</v>
      </c>
      <c r="C2292" s="285" t="s">
        <v>1413</v>
      </c>
      <c r="D2292" s="506"/>
      <c r="E2292" s="507">
        <v>1300000</v>
      </c>
      <c r="F2292" s="286"/>
      <c r="G2292" s="287"/>
    </row>
    <row r="2293" spans="1:7" ht="17.25" customHeight="1">
      <c r="A2293" s="261" t="s">
        <v>8</v>
      </c>
      <c r="C2293" s="338" t="s">
        <v>2661</v>
      </c>
      <c r="D2293" s="497"/>
      <c r="E2293" s="499">
        <v>475000</v>
      </c>
      <c r="F2293" s="263"/>
      <c r="G2293" s="275"/>
    </row>
    <row r="2294" spans="1:7" ht="17.45" customHeight="1">
      <c r="A2294" s="261" t="s">
        <v>8</v>
      </c>
      <c r="C2294" s="339" t="s">
        <v>2647</v>
      </c>
      <c r="D2294" s="506"/>
      <c r="E2294" s="506"/>
      <c r="F2294" s="286"/>
      <c r="G2294" s="290"/>
    </row>
    <row r="2295" spans="1:7" ht="17.45" customHeight="1" thickBot="1">
      <c r="A2295" s="261" t="s">
        <v>8</v>
      </c>
      <c r="C2295" s="285" t="s">
        <v>1942</v>
      </c>
      <c r="D2295" s="506"/>
      <c r="E2295" s="507">
        <v>20000</v>
      </c>
      <c r="F2295" s="286"/>
      <c r="G2295" s="290"/>
    </row>
    <row r="2296" spans="1:7" ht="17.45" customHeight="1">
      <c r="A2296" s="261" t="s">
        <v>8</v>
      </c>
      <c r="C2296" s="268" t="s">
        <v>1280</v>
      </c>
      <c r="D2296" s="501"/>
      <c r="E2296" s="500">
        <f>50000*2</f>
        <v>100000</v>
      </c>
      <c r="F2296" s="269"/>
      <c r="G2296" s="288"/>
    </row>
    <row r="2297" spans="1:7" ht="17.45" customHeight="1">
      <c r="A2297" s="261" t="s">
        <v>8</v>
      </c>
      <c r="C2297" s="271" t="s">
        <v>1549</v>
      </c>
      <c r="D2297" s="497"/>
      <c r="E2297" s="497"/>
      <c r="F2297" s="263"/>
      <c r="G2297" s="275"/>
    </row>
    <row r="2298" spans="1:7" ht="17.45" customHeight="1">
      <c r="A2298" s="261" t="s">
        <v>8</v>
      </c>
      <c r="C2298" s="271" t="s">
        <v>1819</v>
      </c>
      <c r="D2298" s="497"/>
      <c r="E2298" s="497"/>
      <c r="F2298" s="263"/>
      <c r="G2298" s="275"/>
    </row>
    <row r="2299" spans="1:7" ht="17.45" customHeight="1">
      <c r="A2299" s="261" t="s">
        <v>8</v>
      </c>
      <c r="C2299" s="271" t="s">
        <v>391</v>
      </c>
      <c r="D2299" s="497"/>
      <c r="E2299" s="497"/>
      <c r="F2299" s="263"/>
      <c r="G2299" s="275"/>
    </row>
    <row r="2300" spans="1:7" ht="17.45" customHeight="1">
      <c r="A2300" s="261" t="s">
        <v>8</v>
      </c>
      <c r="C2300" s="271" t="s">
        <v>1934</v>
      </c>
      <c r="D2300" s="497"/>
      <c r="E2300" s="497"/>
      <c r="F2300" s="263"/>
      <c r="G2300" s="275"/>
    </row>
    <row r="2301" spans="1:7" ht="17.25" customHeight="1">
      <c r="A2301" s="261" t="s">
        <v>8</v>
      </c>
      <c r="C2301" s="271" t="s">
        <v>2202</v>
      </c>
      <c r="D2301" s="497"/>
      <c r="E2301" s="497"/>
      <c r="F2301" s="263"/>
      <c r="G2301" s="275"/>
    </row>
    <row r="2302" spans="1:7" ht="17.45" customHeight="1">
      <c r="A2302" s="261" t="s">
        <v>8</v>
      </c>
      <c r="C2302" s="271" t="s">
        <v>2097</v>
      </c>
      <c r="D2302" s="497"/>
      <c r="E2302" s="497"/>
      <c r="F2302" s="263"/>
      <c r="G2302" s="275"/>
    </row>
    <row r="2303" spans="1:7" ht="17.45" customHeight="1">
      <c r="A2303" s="261" t="s">
        <v>8</v>
      </c>
      <c r="C2303" s="271" t="s">
        <v>2654</v>
      </c>
      <c r="D2303" s="497"/>
      <c r="E2303" s="499">
        <v>60000</v>
      </c>
      <c r="F2303" s="263"/>
      <c r="G2303" s="275"/>
    </row>
    <row r="2304" spans="1:7" ht="17.45" customHeight="1">
      <c r="A2304" s="261" t="s">
        <v>8</v>
      </c>
      <c r="C2304" s="271" t="s">
        <v>1687</v>
      </c>
      <c r="D2304" s="497"/>
      <c r="E2304" s="497"/>
      <c r="F2304" s="263"/>
      <c r="G2304" s="275"/>
    </row>
    <row r="2305" spans="1:7" ht="17.45" customHeight="1">
      <c r="A2305" s="261" t="s">
        <v>8</v>
      </c>
      <c r="C2305" s="271" t="s">
        <v>1688</v>
      </c>
      <c r="D2305" s="497"/>
      <c r="E2305" s="499">
        <v>55000</v>
      </c>
      <c r="F2305" s="263"/>
      <c r="G2305" s="275"/>
    </row>
    <row r="2306" spans="1:7" ht="17.45" customHeight="1">
      <c r="A2306" s="261" t="s">
        <v>8</v>
      </c>
      <c r="C2306" s="271" t="s">
        <v>2281</v>
      </c>
      <c r="D2306" s="497"/>
      <c r="E2306" s="497"/>
      <c r="F2306" s="263"/>
      <c r="G2306" s="275"/>
    </row>
    <row r="2307" spans="1:7" ht="17.45" customHeight="1">
      <c r="A2307" s="261" t="s">
        <v>8</v>
      </c>
      <c r="C2307" s="271" t="s">
        <v>1596</v>
      </c>
      <c r="D2307" s="499">
        <v>66500</v>
      </c>
      <c r="E2307" s="499">
        <v>98300</v>
      </c>
      <c r="F2307" s="263"/>
      <c r="G2307" s="275"/>
    </row>
    <row r="2308" spans="1:7" ht="17.45" customHeight="1">
      <c r="A2308" s="261" t="s">
        <v>8</v>
      </c>
      <c r="C2308" s="271" t="s">
        <v>1595</v>
      </c>
      <c r="D2308" s="497"/>
      <c r="E2308" s="499">
        <v>5900</v>
      </c>
      <c r="F2308" s="263"/>
      <c r="G2308" s="275"/>
    </row>
    <row r="2309" spans="1:7" ht="17.45" customHeight="1">
      <c r="A2309" s="261" t="s">
        <v>8</v>
      </c>
      <c r="C2309" s="271" t="s">
        <v>1613</v>
      </c>
      <c r="D2309" s="497"/>
      <c r="E2309" s="499">
        <v>6900</v>
      </c>
      <c r="F2309" s="263"/>
      <c r="G2309" s="275"/>
    </row>
    <row r="2310" spans="1:7" ht="17.45" customHeight="1">
      <c r="A2310" s="261" t="s">
        <v>8</v>
      </c>
      <c r="C2310" s="271" t="s">
        <v>1689</v>
      </c>
      <c r="D2310" s="497"/>
      <c r="E2310" s="497"/>
      <c r="F2310" s="263"/>
      <c r="G2310" s="275"/>
    </row>
    <row r="2311" spans="1:7" ht="17.45" customHeight="1">
      <c r="A2311" s="261" t="s">
        <v>8</v>
      </c>
      <c r="C2311" s="271" t="s">
        <v>1569</v>
      </c>
      <c r="D2311" s="497"/>
      <c r="E2311" s="499">
        <v>47270</v>
      </c>
      <c r="F2311" s="263"/>
      <c r="G2311" s="275"/>
    </row>
    <row r="2312" spans="1:7" ht="17.45" customHeight="1">
      <c r="A2312" s="261" t="s">
        <v>8</v>
      </c>
      <c r="C2312" s="271" t="s">
        <v>1618</v>
      </c>
      <c r="D2312" s="497"/>
      <c r="E2312" s="499">
        <f>25960+18980+31810+15100+29630</f>
        <v>121480</v>
      </c>
      <c r="F2312" s="263"/>
      <c r="G2312" s="275"/>
    </row>
    <row r="2313" spans="1:7" ht="17.45" customHeight="1">
      <c r="A2313" s="261" t="s">
        <v>8</v>
      </c>
      <c r="C2313" s="271" t="s">
        <v>1800</v>
      </c>
      <c r="D2313" s="497"/>
      <c r="E2313" s="497"/>
      <c r="F2313" s="263"/>
      <c r="G2313" s="275"/>
    </row>
    <row r="2314" spans="1:7" ht="17.45" customHeight="1" thickBot="1">
      <c r="A2314" s="261" t="s">
        <v>8</v>
      </c>
      <c r="C2314" s="276" t="s">
        <v>1594</v>
      </c>
      <c r="D2314" s="502"/>
      <c r="E2314" s="502"/>
      <c r="F2314" s="277"/>
      <c r="G2314" s="282"/>
    </row>
    <row r="2315" spans="1:7" ht="17.45" customHeight="1">
      <c r="A2315" s="261" t="s">
        <v>8</v>
      </c>
      <c r="C2315" s="271" t="s">
        <v>1583</v>
      </c>
      <c r="D2315" s="499">
        <v>127441</v>
      </c>
      <c r="E2315" s="497"/>
      <c r="F2315" s="263"/>
      <c r="G2315" s="275"/>
    </row>
    <row r="2316" spans="1:7" ht="17.25" customHeight="1">
      <c r="A2316" s="261" t="s">
        <v>8</v>
      </c>
      <c r="C2316" s="271" t="s">
        <v>2669</v>
      </c>
      <c r="D2316" s="499">
        <v>295100</v>
      </c>
      <c r="E2316" s="497"/>
      <c r="F2316" s="263"/>
      <c r="G2316" s="275"/>
    </row>
    <row r="2317" spans="1:7" ht="17.45" customHeight="1">
      <c r="A2317" s="261" t="s">
        <v>8</v>
      </c>
      <c r="C2317" s="271" t="s">
        <v>2670</v>
      </c>
      <c r="D2317" s="497"/>
      <c r="E2317" s="499">
        <v>7000</v>
      </c>
      <c r="F2317" s="263"/>
      <c r="G2317" s="275"/>
    </row>
    <row r="2318" spans="1:7" ht="17.45" customHeight="1">
      <c r="A2318" s="261" t="s">
        <v>8</v>
      </c>
      <c r="C2318" s="271" t="s">
        <v>2671</v>
      </c>
      <c r="D2318" s="497"/>
      <c r="E2318" s="499">
        <v>22350</v>
      </c>
      <c r="F2318" s="263"/>
      <c r="G2318" s="275"/>
    </row>
    <row r="2319" spans="1:7" ht="17.45" customHeight="1">
      <c r="A2319" s="261" t="s">
        <v>8</v>
      </c>
      <c r="C2319" s="271" t="s">
        <v>2639</v>
      </c>
      <c r="D2319" s="497"/>
      <c r="E2319" s="499">
        <v>20600</v>
      </c>
      <c r="F2319" s="263"/>
      <c r="G2319" s="275"/>
    </row>
    <row r="2320" spans="1:7" ht="17.45" customHeight="1">
      <c r="A2320" s="261" t="s">
        <v>8</v>
      </c>
      <c r="C2320" s="271" t="s">
        <v>1585</v>
      </c>
      <c r="D2320" s="497"/>
      <c r="E2320" s="499">
        <f>21000+33000</f>
        <v>54000</v>
      </c>
      <c r="F2320" s="263"/>
      <c r="G2320" s="275"/>
    </row>
    <row r="2321" spans="1:7" ht="17.45" customHeight="1">
      <c r="A2321" s="261" t="s">
        <v>8</v>
      </c>
      <c r="C2321" s="271" t="s">
        <v>2489</v>
      </c>
      <c r="D2321" s="497"/>
      <c r="E2321" s="499">
        <v>13100</v>
      </c>
      <c r="F2321" s="263"/>
      <c r="G2321" s="275"/>
    </row>
    <row r="2322" spans="1:7" ht="17.45" customHeight="1">
      <c r="A2322" s="261" t="s">
        <v>8</v>
      </c>
      <c r="C2322" s="271" t="s">
        <v>1801</v>
      </c>
      <c r="D2322" s="497"/>
      <c r="E2322" s="499">
        <v>9000</v>
      </c>
      <c r="F2322" s="263"/>
      <c r="G2322" s="275"/>
    </row>
    <row r="2323" spans="1:7" ht="17.45" customHeight="1">
      <c r="A2323" s="261" t="s">
        <v>8</v>
      </c>
      <c r="C2323" s="271" t="s">
        <v>1777</v>
      </c>
      <c r="D2323" s="497"/>
      <c r="E2323" s="499">
        <v>22100</v>
      </c>
      <c r="F2323" s="263"/>
      <c r="G2323" s="275"/>
    </row>
    <row r="2324" spans="1:7" ht="17.45" customHeight="1">
      <c r="A2324" s="261" t="s">
        <v>8</v>
      </c>
      <c r="C2324" s="271" t="s">
        <v>1902</v>
      </c>
      <c r="D2324" s="497"/>
      <c r="E2324" s="499">
        <v>300000</v>
      </c>
      <c r="F2324" s="263"/>
      <c r="G2324" s="275"/>
    </row>
    <row r="2325" spans="1:7" ht="17.45" customHeight="1">
      <c r="A2325" s="261" t="s">
        <v>8</v>
      </c>
      <c r="C2325" s="271" t="s">
        <v>2673</v>
      </c>
      <c r="D2325" s="497"/>
      <c r="E2325" s="499">
        <f>751420-273007</f>
        <v>478413</v>
      </c>
      <c r="F2325" s="263"/>
      <c r="G2325" s="275"/>
    </row>
    <row r="2326" spans="1:7" ht="17.45" customHeight="1">
      <c r="A2326" s="261" t="s">
        <v>8</v>
      </c>
      <c r="C2326" s="271" t="s">
        <v>2674</v>
      </c>
      <c r="D2326" s="497"/>
      <c r="E2326" s="499">
        <v>4000</v>
      </c>
      <c r="F2326" s="263"/>
      <c r="G2326" s="275"/>
    </row>
    <row r="2327" spans="1:7" ht="17.45" customHeight="1">
      <c r="A2327" s="261" t="s">
        <v>8</v>
      </c>
      <c r="C2327" s="271" t="s">
        <v>2676</v>
      </c>
      <c r="D2327" s="497"/>
      <c r="E2327" s="499">
        <v>28800</v>
      </c>
      <c r="F2327" s="263"/>
      <c r="G2327" s="275"/>
    </row>
    <row r="2328" spans="1:7" ht="17.45" customHeight="1">
      <c r="A2328" s="261" t="s">
        <v>8</v>
      </c>
      <c r="C2328" s="271" t="s">
        <v>2677</v>
      </c>
      <c r="D2328" s="497"/>
      <c r="E2328" s="499">
        <v>9600</v>
      </c>
      <c r="F2328" s="263"/>
      <c r="G2328" s="275"/>
    </row>
    <row r="2329" spans="1:7" ht="17.45" customHeight="1">
      <c r="A2329" s="261" t="s">
        <v>8</v>
      </c>
      <c r="C2329" s="271" t="s">
        <v>2678</v>
      </c>
      <c r="D2329" s="497"/>
      <c r="E2329" s="499">
        <v>10000</v>
      </c>
      <c r="F2329" s="263"/>
      <c r="G2329" s="275"/>
    </row>
    <row r="2330" spans="1:7" ht="17.45" customHeight="1">
      <c r="A2330" s="261" t="s">
        <v>8</v>
      </c>
      <c r="C2330" s="271" t="s">
        <v>2679</v>
      </c>
      <c r="D2330" s="497"/>
      <c r="E2330" s="499">
        <v>4000</v>
      </c>
      <c r="F2330" s="263"/>
      <c r="G2330" s="275"/>
    </row>
    <row r="2331" spans="1:7" ht="17.45" customHeight="1">
      <c r="A2331" s="261" t="s">
        <v>8</v>
      </c>
      <c r="C2331" s="271" t="s">
        <v>2680</v>
      </c>
      <c r="D2331" s="497"/>
      <c r="E2331" s="499">
        <v>7500</v>
      </c>
      <c r="F2331" s="263"/>
      <c r="G2331" s="275"/>
    </row>
    <row r="2332" spans="1:7" ht="17.45" customHeight="1">
      <c r="A2332" s="261" t="s">
        <v>8</v>
      </c>
      <c r="C2332" s="271" t="s">
        <v>2681</v>
      </c>
      <c r="D2332" s="497"/>
      <c r="E2332" s="499">
        <v>7000</v>
      </c>
      <c r="F2332" s="263"/>
      <c r="G2332" s="275"/>
    </row>
    <row r="2333" spans="1:7" ht="17.45" customHeight="1">
      <c r="A2333" s="261" t="s">
        <v>8</v>
      </c>
      <c r="C2333" s="271" t="s">
        <v>2682</v>
      </c>
      <c r="D2333" s="497"/>
      <c r="E2333" s="499">
        <v>16200</v>
      </c>
      <c r="F2333" s="263"/>
      <c r="G2333" s="275"/>
    </row>
    <row r="2334" spans="1:7" ht="17.45" customHeight="1">
      <c r="A2334" s="261" t="s">
        <v>8</v>
      </c>
      <c r="C2334" s="271" t="s">
        <v>2683</v>
      </c>
      <c r="D2334" s="497"/>
      <c r="E2334" s="499">
        <f>14856+25425</f>
        <v>40281</v>
      </c>
      <c r="F2334" s="263"/>
      <c r="G2334" s="275"/>
    </row>
    <row r="2335" spans="1:7" ht="17.45" customHeight="1">
      <c r="A2335" s="261" t="s">
        <v>8</v>
      </c>
      <c r="C2335" s="271" t="s">
        <v>2672</v>
      </c>
      <c r="D2335" s="497"/>
      <c r="E2335" s="499">
        <v>22656</v>
      </c>
      <c r="F2335" s="263"/>
      <c r="G2335" s="275" t="s">
        <v>2675</v>
      </c>
    </row>
    <row r="2336" spans="1:7" ht="17.25" customHeight="1">
      <c r="A2336" s="261" t="s">
        <v>8</v>
      </c>
      <c r="C2336" s="271" t="s">
        <v>2684</v>
      </c>
      <c r="D2336" s="497"/>
      <c r="E2336" s="499">
        <f>1447+228537</f>
        <v>229984</v>
      </c>
      <c r="F2336" s="263"/>
      <c r="G2336" s="344" t="s">
        <v>2687</v>
      </c>
    </row>
    <row r="2337" spans="1:7" ht="17.25" customHeight="1">
      <c r="A2337" s="261" t="s">
        <v>8</v>
      </c>
      <c r="C2337" s="271" t="s">
        <v>2693</v>
      </c>
      <c r="D2337" s="497"/>
      <c r="E2337" s="499">
        <v>526221</v>
      </c>
      <c r="F2337" s="263"/>
      <c r="G2337" s="344" t="s">
        <v>2687</v>
      </c>
    </row>
    <row r="2338" spans="1:7" ht="17.45" customHeight="1">
      <c r="A2338" s="261" t="s">
        <v>8</v>
      </c>
      <c r="C2338" s="271" t="s">
        <v>2685</v>
      </c>
      <c r="D2338" s="497"/>
      <c r="E2338" s="499">
        <f>4338+5573+2771</f>
        <v>12682</v>
      </c>
      <c r="F2338" s="263"/>
      <c r="G2338" s="344" t="s">
        <v>2687</v>
      </c>
    </row>
    <row r="2339" spans="1:7" ht="17.45" customHeight="1">
      <c r="A2339" s="261" t="s">
        <v>8</v>
      </c>
      <c r="C2339" s="271" t="s">
        <v>1606</v>
      </c>
      <c r="D2339" s="497"/>
      <c r="E2339" s="499">
        <v>19177</v>
      </c>
      <c r="F2339" s="263"/>
      <c r="G2339" s="275" t="s">
        <v>2688</v>
      </c>
    </row>
    <row r="2340" spans="1:7" ht="17.45" customHeight="1">
      <c r="A2340" s="261" t="s">
        <v>8</v>
      </c>
      <c r="C2340" s="271" t="s">
        <v>2686</v>
      </c>
      <c r="D2340" s="497"/>
      <c r="E2340" s="499">
        <v>15715</v>
      </c>
      <c r="F2340" s="263"/>
      <c r="G2340" s="275" t="s">
        <v>2688</v>
      </c>
    </row>
    <row r="2341" spans="1:7" ht="17.45" customHeight="1">
      <c r="A2341" s="261" t="s">
        <v>8</v>
      </c>
      <c r="C2341" s="271" t="s">
        <v>2689</v>
      </c>
      <c r="D2341" s="497"/>
      <c r="E2341" s="499">
        <f>3200+3200</f>
        <v>6400</v>
      </c>
      <c r="F2341" s="263"/>
      <c r="G2341" s="344" t="s">
        <v>2687</v>
      </c>
    </row>
    <row r="2342" spans="1:7" ht="17.45" customHeight="1">
      <c r="A2342" s="261" t="s">
        <v>8</v>
      </c>
      <c r="C2342" s="271" t="s">
        <v>1627</v>
      </c>
      <c r="D2342" s="497"/>
      <c r="E2342" s="499">
        <v>27000</v>
      </c>
      <c r="F2342" s="263"/>
      <c r="G2342" s="344" t="s">
        <v>2687</v>
      </c>
    </row>
    <row r="2343" spans="1:7" ht="17.45" customHeight="1">
      <c r="A2343" s="261" t="s">
        <v>8</v>
      </c>
      <c r="C2343" s="271" t="s">
        <v>2108</v>
      </c>
      <c r="D2343" s="497"/>
      <c r="E2343" s="499">
        <v>51900</v>
      </c>
      <c r="F2343" s="263"/>
      <c r="G2343" s="275"/>
    </row>
    <row r="2344" spans="1:7" ht="17.45" customHeight="1">
      <c r="A2344" s="261" t="s">
        <v>8</v>
      </c>
      <c r="C2344" s="271" t="s">
        <v>2690</v>
      </c>
      <c r="D2344" s="497"/>
      <c r="E2344" s="499">
        <f>130200-65100-65100</f>
        <v>0</v>
      </c>
      <c r="F2344" s="263"/>
      <c r="G2344" s="275"/>
    </row>
    <row r="2345" spans="1:7" ht="17.45" customHeight="1">
      <c r="A2345" s="261" t="s">
        <v>8</v>
      </c>
      <c r="C2345" s="271" t="s">
        <v>2691</v>
      </c>
      <c r="D2345" s="497"/>
      <c r="E2345" s="499">
        <v>25777</v>
      </c>
      <c r="F2345" s="263"/>
      <c r="G2345" s="275"/>
    </row>
    <row r="2346" spans="1:7" ht="17.45" customHeight="1">
      <c r="A2346" s="261" t="s">
        <v>8</v>
      </c>
      <c r="C2346" s="271" t="s">
        <v>2692</v>
      </c>
      <c r="D2346" s="497"/>
      <c r="E2346" s="499">
        <v>28710</v>
      </c>
      <c r="F2346" s="263"/>
      <c r="G2346" s="275"/>
    </row>
    <row r="2347" spans="1:7" ht="17.45" customHeight="1">
      <c r="A2347" s="261" t="s">
        <v>8</v>
      </c>
      <c r="C2347" s="271" t="s">
        <v>2694</v>
      </c>
      <c r="D2347" s="497"/>
      <c r="E2347" s="499">
        <v>45300</v>
      </c>
      <c r="F2347" s="263"/>
      <c r="G2347" s="275" t="s">
        <v>2704</v>
      </c>
    </row>
    <row r="2348" spans="1:7" ht="17.45" customHeight="1">
      <c r="A2348" s="261" t="s">
        <v>8</v>
      </c>
      <c r="C2348" s="271" t="s">
        <v>2695</v>
      </c>
      <c r="D2348" s="497"/>
      <c r="E2348" s="499">
        <v>29160</v>
      </c>
      <c r="F2348" s="263"/>
      <c r="G2348" s="275"/>
    </row>
    <row r="2349" spans="1:7" ht="17.45" customHeight="1">
      <c r="A2349" s="261" t="s">
        <v>8</v>
      </c>
      <c r="C2349" s="271" t="s">
        <v>1602</v>
      </c>
      <c r="D2349" s="499">
        <v>1589</v>
      </c>
      <c r="E2349" s="497"/>
      <c r="F2349" s="263"/>
      <c r="G2349" s="275"/>
    </row>
    <row r="2350" spans="1:7" ht="17.45" customHeight="1">
      <c r="A2350" s="261" t="s">
        <v>8</v>
      </c>
      <c r="C2350" s="271" t="s">
        <v>2696</v>
      </c>
      <c r="D2350" s="497"/>
      <c r="E2350" s="499">
        <v>650000</v>
      </c>
      <c r="F2350" s="263"/>
      <c r="G2350" s="275"/>
    </row>
    <row r="2351" spans="1:7" ht="17.45" customHeight="1">
      <c r="A2351" s="261" t="s">
        <v>8</v>
      </c>
      <c r="C2351" s="271" t="s">
        <v>2697</v>
      </c>
      <c r="D2351" s="497"/>
      <c r="E2351" s="499">
        <v>6700</v>
      </c>
      <c r="F2351" s="263"/>
      <c r="G2351" s="275"/>
    </row>
    <row r="2352" spans="1:7" ht="17.45" customHeight="1" thickBot="1">
      <c r="A2352" s="261" t="s">
        <v>8</v>
      </c>
      <c r="C2352" s="276" t="s">
        <v>1300</v>
      </c>
      <c r="D2352" s="502">
        <f>SUM(D2275:D2351)-SUM(E2275:E2351)</f>
        <v>-258467</v>
      </c>
      <c r="E2352" s="502">
        <f>SUM(E2275:E2351)-SUM(F2275:F2351)</f>
        <v>6784047</v>
      </c>
      <c r="F2352" s="277"/>
      <c r="G2352" s="283"/>
    </row>
    <row r="2354" spans="1:7" ht="12.75" thickBot="1"/>
    <row r="2355" spans="1:7" ht="17.45" customHeight="1">
      <c r="A2355" s="261" t="s">
        <v>8</v>
      </c>
      <c r="B2355" s="256" t="s">
        <v>2420</v>
      </c>
      <c r="C2355" s="268" t="s">
        <v>1268</v>
      </c>
      <c r="D2355" s="501">
        <v>6500850</v>
      </c>
      <c r="E2355" s="501"/>
      <c r="F2355" s="269"/>
      <c r="G2355" s="270"/>
    </row>
    <row r="2356" spans="1:7" ht="17.45" customHeight="1">
      <c r="A2356" s="261" t="s">
        <v>8</v>
      </c>
      <c r="B2356" s="257"/>
      <c r="C2356" s="271" t="s">
        <v>1269</v>
      </c>
      <c r="D2356" s="497"/>
      <c r="E2356" s="499">
        <v>399500</v>
      </c>
      <c r="F2356" s="263"/>
      <c r="G2356" s="272" t="s">
        <v>2698</v>
      </c>
    </row>
    <row r="2357" spans="1:7" ht="17.45" customHeight="1">
      <c r="A2357" s="261" t="s">
        <v>8</v>
      </c>
      <c r="C2357" s="271" t="s">
        <v>1270</v>
      </c>
      <c r="D2357" s="497"/>
      <c r="E2357" s="499">
        <f>813000+77000</f>
        <v>890000</v>
      </c>
      <c r="F2357" s="263"/>
      <c r="G2357" s="273" t="s">
        <v>2192</v>
      </c>
    </row>
    <row r="2358" spans="1:7" ht="17.45" customHeight="1">
      <c r="A2358" s="261" t="s">
        <v>8</v>
      </c>
      <c r="C2358" s="271" t="s">
        <v>1670</v>
      </c>
      <c r="D2358" s="497"/>
      <c r="E2358" s="497"/>
      <c r="F2358" s="263"/>
      <c r="G2358" s="274"/>
    </row>
    <row r="2359" spans="1:7" ht="17.45" customHeight="1">
      <c r="A2359" s="261" t="s">
        <v>8</v>
      </c>
      <c r="C2359" s="271" t="s">
        <v>1672</v>
      </c>
      <c r="D2359" s="497"/>
      <c r="E2359" s="499">
        <v>114300</v>
      </c>
      <c r="F2359" s="263"/>
      <c r="G2359" s="274"/>
    </row>
    <row r="2360" spans="1:7" ht="17.45" customHeight="1">
      <c r="A2360" s="261" t="s">
        <v>8</v>
      </c>
      <c r="C2360" s="271" t="s">
        <v>1673</v>
      </c>
      <c r="D2360" s="497"/>
      <c r="E2360" s="497">
        <v>0</v>
      </c>
      <c r="F2360" s="263"/>
      <c r="G2360" s="274"/>
    </row>
    <row r="2361" spans="1:7" ht="17.45" customHeight="1">
      <c r="A2361" s="261" t="s">
        <v>8</v>
      </c>
      <c r="C2361" s="271" t="s">
        <v>1332</v>
      </c>
      <c r="D2361" s="497"/>
      <c r="E2361" s="499">
        <v>34650</v>
      </c>
      <c r="F2361" s="263"/>
      <c r="G2361" s="275"/>
    </row>
    <row r="2362" spans="1:7" ht="17.45" customHeight="1">
      <c r="A2362" s="261" t="s">
        <v>8</v>
      </c>
      <c r="C2362" s="271" t="s">
        <v>1271</v>
      </c>
      <c r="D2362" s="497"/>
      <c r="E2362" s="497">
        <v>0</v>
      </c>
      <c r="F2362" s="263"/>
      <c r="G2362" s="274"/>
    </row>
    <row r="2363" spans="1:7" ht="17.45" customHeight="1">
      <c r="A2363" s="261" t="s">
        <v>8</v>
      </c>
      <c r="C2363" s="271" t="s">
        <v>1272</v>
      </c>
      <c r="D2363" s="497"/>
      <c r="E2363" s="499">
        <v>7470</v>
      </c>
      <c r="F2363" s="263"/>
      <c r="G2363" s="273"/>
    </row>
    <row r="2364" spans="1:7" ht="17.45" customHeight="1">
      <c r="A2364" s="261" t="s">
        <v>8</v>
      </c>
      <c r="C2364" s="271" t="s">
        <v>1273</v>
      </c>
      <c r="D2364" s="497"/>
      <c r="E2364" s="499">
        <v>29920</v>
      </c>
      <c r="F2364" s="263"/>
      <c r="G2364" s="273"/>
    </row>
    <row r="2365" spans="1:7" ht="17.45" customHeight="1">
      <c r="A2365" s="261" t="s">
        <v>8</v>
      </c>
      <c r="C2365" s="271" t="s">
        <v>1274</v>
      </c>
      <c r="D2365" s="497"/>
      <c r="E2365" s="499">
        <v>9405</v>
      </c>
      <c r="F2365" s="263"/>
      <c r="G2365" s="273"/>
    </row>
    <row r="2366" spans="1:7" ht="17.45" customHeight="1">
      <c r="A2366" s="261" t="s">
        <v>8</v>
      </c>
      <c r="C2366" s="271" t="s">
        <v>1275</v>
      </c>
      <c r="D2366" s="497"/>
      <c r="E2366" s="497"/>
      <c r="F2366" s="263"/>
      <c r="G2366" s="273"/>
    </row>
    <row r="2367" spans="1:7" ht="17.45" customHeight="1">
      <c r="A2367" s="261" t="s">
        <v>8</v>
      </c>
      <c r="C2367" s="271" t="s">
        <v>2168</v>
      </c>
      <c r="D2367" s="497"/>
      <c r="E2367" s="499">
        <v>18816</v>
      </c>
      <c r="F2367" s="263"/>
      <c r="G2367" s="273"/>
    </row>
    <row r="2368" spans="1:7" ht="17.45" customHeight="1">
      <c r="A2368" s="261" t="s">
        <v>8</v>
      </c>
      <c r="C2368" s="271" t="s">
        <v>1517</v>
      </c>
      <c r="D2368" s="497"/>
      <c r="E2368" s="499">
        <v>23230</v>
      </c>
      <c r="F2368" s="263"/>
      <c r="G2368" s="273"/>
    </row>
    <row r="2369" spans="1:7" ht="17.45" customHeight="1">
      <c r="A2369" s="261" t="s">
        <v>8</v>
      </c>
      <c r="C2369" s="271" t="s">
        <v>1276</v>
      </c>
      <c r="D2369" s="497"/>
      <c r="E2369" s="499">
        <v>272510</v>
      </c>
      <c r="F2369" s="263"/>
      <c r="G2369" s="273"/>
    </row>
    <row r="2370" spans="1:7" ht="17.45" customHeight="1">
      <c r="A2370" s="261" t="s">
        <v>8</v>
      </c>
      <c r="C2370" s="271" t="s">
        <v>1277</v>
      </c>
      <c r="D2370" s="497"/>
      <c r="E2370" s="499">
        <f>36430+40610</f>
        <v>77040</v>
      </c>
      <c r="F2370" s="263"/>
      <c r="G2370" s="273"/>
    </row>
    <row r="2371" spans="1:7" ht="17.45" customHeight="1">
      <c r="A2371" s="261" t="s">
        <v>8</v>
      </c>
      <c r="C2371" s="271" t="s">
        <v>1278</v>
      </c>
      <c r="D2371" s="497"/>
      <c r="E2371" s="499">
        <v>200000</v>
      </c>
      <c r="F2371" s="263"/>
      <c r="G2371" s="273"/>
    </row>
    <row r="2372" spans="1:7" ht="17.45" customHeight="1">
      <c r="A2372" s="261" t="s">
        <v>8</v>
      </c>
      <c r="C2372" s="285" t="s">
        <v>1413</v>
      </c>
      <c r="D2372" s="506"/>
      <c r="E2372" s="507">
        <f>1300000+219556</f>
        <v>1519556</v>
      </c>
      <c r="F2372" s="286"/>
      <c r="G2372" s="287"/>
    </row>
    <row r="2373" spans="1:7" ht="17.25" customHeight="1">
      <c r="A2373" s="261" t="s">
        <v>8</v>
      </c>
      <c r="C2373" s="338" t="s">
        <v>2661</v>
      </c>
      <c r="D2373" s="497"/>
      <c r="E2373" s="499">
        <f>285000+475000+123500-118300</f>
        <v>765200</v>
      </c>
      <c r="F2373" s="263"/>
      <c r="G2373" s="275"/>
    </row>
    <row r="2374" spans="1:7" ht="17.45" customHeight="1">
      <c r="A2374" s="261" t="s">
        <v>8</v>
      </c>
      <c r="C2374" s="339" t="s">
        <v>2647</v>
      </c>
      <c r="D2374" s="506"/>
      <c r="E2374" s="506"/>
      <c r="F2374" s="286"/>
      <c r="G2374" s="290"/>
    </row>
    <row r="2375" spans="1:7" ht="17.45" customHeight="1" thickBot="1">
      <c r="A2375" s="261" t="s">
        <v>8</v>
      </c>
      <c r="C2375" s="285" t="s">
        <v>1942</v>
      </c>
      <c r="D2375" s="506"/>
      <c r="E2375" s="507">
        <v>20000</v>
      </c>
      <c r="F2375" s="286"/>
      <c r="G2375" s="290"/>
    </row>
    <row r="2376" spans="1:7" ht="17.45" customHeight="1">
      <c r="A2376" s="261" t="s">
        <v>8</v>
      </c>
      <c r="C2376" s="268" t="s">
        <v>1280</v>
      </c>
      <c r="D2376" s="501"/>
      <c r="E2376" s="500">
        <f>50000*2</f>
        <v>100000</v>
      </c>
      <c r="F2376" s="269"/>
      <c r="G2376" s="288"/>
    </row>
    <row r="2377" spans="1:7" ht="17.45" customHeight="1">
      <c r="A2377" s="261" t="s">
        <v>8</v>
      </c>
      <c r="C2377" s="271" t="s">
        <v>1549</v>
      </c>
      <c r="D2377" s="497"/>
      <c r="E2377" s="497"/>
      <c r="F2377" s="263"/>
      <c r="G2377" s="275"/>
    </row>
    <row r="2378" spans="1:7" ht="17.45" customHeight="1">
      <c r="A2378" s="261" t="s">
        <v>8</v>
      </c>
      <c r="C2378" s="271" t="s">
        <v>1819</v>
      </c>
      <c r="D2378" s="497"/>
      <c r="E2378" s="497"/>
      <c r="F2378" s="263"/>
      <c r="G2378" s="275"/>
    </row>
    <row r="2379" spans="1:7" ht="17.45" customHeight="1">
      <c r="A2379" s="261" t="s">
        <v>8</v>
      </c>
      <c r="C2379" s="271" t="s">
        <v>391</v>
      </c>
      <c r="D2379" s="497"/>
      <c r="E2379" s="497"/>
      <c r="F2379" s="263"/>
      <c r="G2379" s="275"/>
    </row>
    <row r="2380" spans="1:7" ht="17.45" customHeight="1">
      <c r="A2380" s="261" t="s">
        <v>8</v>
      </c>
      <c r="C2380" s="271" t="s">
        <v>1934</v>
      </c>
      <c r="D2380" s="497"/>
      <c r="E2380" s="497"/>
      <c r="F2380" s="263"/>
      <c r="G2380" s="275"/>
    </row>
    <row r="2381" spans="1:7" ht="17.25" customHeight="1">
      <c r="A2381" s="261" t="s">
        <v>8</v>
      </c>
      <c r="C2381" s="271" t="s">
        <v>2202</v>
      </c>
      <c r="D2381" s="497"/>
      <c r="E2381" s="497"/>
      <c r="F2381" s="263"/>
      <c r="G2381" s="275"/>
    </row>
    <row r="2382" spans="1:7" ht="17.45" customHeight="1">
      <c r="A2382" s="261" t="s">
        <v>8</v>
      </c>
      <c r="C2382" s="271" t="s">
        <v>2097</v>
      </c>
      <c r="D2382" s="497"/>
      <c r="E2382" s="497"/>
      <c r="F2382" s="263"/>
      <c r="G2382" s="275"/>
    </row>
    <row r="2383" spans="1:7" ht="17.45" customHeight="1">
      <c r="A2383" s="261" t="s">
        <v>8</v>
      </c>
      <c r="C2383" s="271" t="s">
        <v>2654</v>
      </c>
      <c r="D2383" s="497"/>
      <c r="E2383" s="499">
        <v>60000</v>
      </c>
      <c r="F2383" s="263"/>
      <c r="G2383" s="275"/>
    </row>
    <row r="2384" spans="1:7" ht="17.45" customHeight="1">
      <c r="A2384" s="261" t="s">
        <v>8</v>
      </c>
      <c r="C2384" s="271" t="s">
        <v>1687</v>
      </c>
      <c r="D2384" s="497"/>
      <c r="E2384" s="497"/>
      <c r="F2384" s="263"/>
      <c r="G2384" s="275"/>
    </row>
    <row r="2385" spans="1:7" ht="17.45" customHeight="1">
      <c r="A2385" s="261" t="s">
        <v>8</v>
      </c>
      <c r="C2385" s="271" t="s">
        <v>1688</v>
      </c>
      <c r="D2385" s="497"/>
      <c r="E2385" s="497"/>
      <c r="F2385" s="263"/>
      <c r="G2385" s="275"/>
    </row>
    <row r="2386" spans="1:7" ht="17.45" customHeight="1">
      <c r="A2386" s="261" t="s">
        <v>8</v>
      </c>
      <c r="C2386" s="271" t="s">
        <v>2281</v>
      </c>
      <c r="D2386" s="497"/>
      <c r="E2386" s="497"/>
      <c r="F2386" s="263"/>
      <c r="G2386" s="275"/>
    </row>
    <row r="2387" spans="1:7" ht="17.45" customHeight="1">
      <c r="A2387" s="261" t="s">
        <v>8</v>
      </c>
      <c r="C2387" s="271" t="s">
        <v>1596</v>
      </c>
      <c r="D2387" s="497"/>
      <c r="E2387" s="499">
        <v>43400</v>
      </c>
      <c r="F2387" s="263"/>
      <c r="G2387" s="275"/>
    </row>
    <row r="2388" spans="1:7" ht="17.45" customHeight="1">
      <c r="A2388" s="261" t="s">
        <v>8</v>
      </c>
      <c r="C2388" s="271" t="s">
        <v>1595</v>
      </c>
      <c r="D2388" s="497"/>
      <c r="E2388" s="499">
        <v>2900</v>
      </c>
      <c r="F2388" s="263"/>
      <c r="G2388" s="275"/>
    </row>
    <row r="2389" spans="1:7" ht="17.45" customHeight="1">
      <c r="A2389" s="261" t="s">
        <v>8</v>
      </c>
      <c r="C2389" s="271" t="s">
        <v>1613</v>
      </c>
      <c r="D2389" s="497"/>
      <c r="E2389" s="497"/>
      <c r="F2389" s="263"/>
      <c r="G2389" s="275"/>
    </row>
    <row r="2390" spans="1:7" ht="17.45" customHeight="1">
      <c r="A2390" s="261" t="s">
        <v>8</v>
      </c>
      <c r="C2390" s="271" t="s">
        <v>1689</v>
      </c>
      <c r="D2390" s="497"/>
      <c r="E2390" s="497"/>
      <c r="F2390" s="263"/>
      <c r="G2390" s="275"/>
    </row>
    <row r="2391" spans="1:7" ht="17.45" customHeight="1">
      <c r="A2391" s="261" t="s">
        <v>8</v>
      </c>
      <c r="C2391" s="271" t="s">
        <v>1569</v>
      </c>
      <c r="D2391" s="497"/>
      <c r="E2391" s="497"/>
      <c r="F2391" s="263"/>
      <c r="G2391" s="275"/>
    </row>
    <row r="2392" spans="1:7" ht="17.45" customHeight="1">
      <c r="A2392" s="261" t="s">
        <v>8</v>
      </c>
      <c r="C2392" s="271" t="s">
        <v>1618</v>
      </c>
      <c r="D2392" s="497"/>
      <c r="E2392" s="499">
        <f>59660+17460+2800</f>
        <v>79920</v>
      </c>
      <c r="F2392" s="263"/>
      <c r="G2392" s="275"/>
    </row>
    <row r="2393" spans="1:7" ht="17.45" customHeight="1">
      <c r="A2393" s="261" t="s">
        <v>8</v>
      </c>
      <c r="C2393" s="271" t="s">
        <v>1800</v>
      </c>
      <c r="D2393" s="497"/>
      <c r="E2393" s="497"/>
      <c r="F2393" s="263"/>
      <c r="G2393" s="275"/>
    </row>
    <row r="2394" spans="1:7" ht="17.45" customHeight="1" thickBot="1">
      <c r="A2394" s="261" t="s">
        <v>8</v>
      </c>
      <c r="C2394" s="276" t="s">
        <v>2699</v>
      </c>
      <c r="D2394" s="502"/>
      <c r="E2394" s="503">
        <f>18000+22500</f>
        <v>40500</v>
      </c>
      <c r="F2394" s="277"/>
      <c r="G2394" s="282"/>
    </row>
    <row r="2395" spans="1:7" ht="17.45" customHeight="1">
      <c r="A2395" s="261" t="s">
        <v>8</v>
      </c>
      <c r="C2395" s="279" t="s">
        <v>2700</v>
      </c>
      <c r="D2395" s="504"/>
      <c r="E2395" s="505">
        <v>2000</v>
      </c>
      <c r="F2395" s="280"/>
      <c r="G2395" s="281"/>
    </row>
    <row r="2396" spans="1:7" ht="17.45" customHeight="1">
      <c r="A2396" s="261" t="s">
        <v>8</v>
      </c>
      <c r="C2396" s="271" t="s">
        <v>2701</v>
      </c>
      <c r="D2396" s="497"/>
      <c r="E2396" s="499">
        <v>9000</v>
      </c>
      <c r="F2396" s="263"/>
      <c r="G2396" s="275"/>
    </row>
    <row r="2397" spans="1:7" ht="17.45" customHeight="1">
      <c r="A2397" s="261" t="s">
        <v>8</v>
      </c>
      <c r="C2397" s="271" t="s">
        <v>1770</v>
      </c>
      <c r="D2397" s="497"/>
      <c r="E2397" s="499">
        <v>5000</v>
      </c>
      <c r="F2397" s="263"/>
      <c r="G2397" s="275"/>
    </row>
    <row r="2398" spans="1:7" ht="17.45" customHeight="1">
      <c r="A2398" s="261" t="s">
        <v>8</v>
      </c>
      <c r="C2398" s="271" t="s">
        <v>1908</v>
      </c>
      <c r="D2398" s="497"/>
      <c r="E2398" s="499">
        <v>129070</v>
      </c>
      <c r="F2398" s="263"/>
      <c r="G2398" s="275"/>
    </row>
    <row r="2399" spans="1:7" ht="17.45" customHeight="1">
      <c r="A2399" s="261" t="s">
        <v>8</v>
      </c>
      <c r="C2399" s="271" t="s">
        <v>1909</v>
      </c>
      <c r="D2399" s="497"/>
      <c r="E2399" s="499">
        <v>144610</v>
      </c>
      <c r="F2399" s="263"/>
      <c r="G2399" s="275"/>
    </row>
    <row r="2400" spans="1:7" ht="17.45" customHeight="1">
      <c r="A2400" s="261" t="s">
        <v>8</v>
      </c>
      <c r="C2400" s="271" t="s">
        <v>2702</v>
      </c>
      <c r="D2400" s="497"/>
      <c r="E2400" s="499">
        <v>32000</v>
      </c>
      <c r="F2400" s="263"/>
      <c r="G2400" s="275"/>
    </row>
    <row r="2401" spans="1:7" ht="17.45" customHeight="1">
      <c r="A2401" s="261" t="s">
        <v>8</v>
      </c>
      <c r="C2401" s="271" t="s">
        <v>2703</v>
      </c>
      <c r="D2401" s="497"/>
      <c r="E2401" s="499">
        <v>2700</v>
      </c>
      <c r="F2401" s="263"/>
      <c r="G2401" s="275"/>
    </row>
    <row r="2402" spans="1:7" ht="17.45" customHeight="1">
      <c r="A2402" s="261" t="s">
        <v>8</v>
      </c>
      <c r="C2402" s="271" t="s">
        <v>2705</v>
      </c>
      <c r="D2402" s="497"/>
      <c r="E2402" s="499">
        <v>40000</v>
      </c>
      <c r="F2402" s="263"/>
      <c r="G2402" s="275" t="s">
        <v>2704</v>
      </c>
    </row>
    <row r="2403" spans="1:7" ht="17.45" customHeight="1">
      <c r="A2403" s="261" t="s">
        <v>8</v>
      </c>
      <c r="C2403" s="271" t="s">
        <v>1810</v>
      </c>
      <c r="D2403" s="497"/>
      <c r="E2403" s="499">
        <v>5000</v>
      </c>
      <c r="F2403" s="263"/>
      <c r="G2403" s="275"/>
    </row>
    <row r="2404" spans="1:7" ht="17.45" customHeight="1">
      <c r="A2404" s="261" t="s">
        <v>8</v>
      </c>
      <c r="C2404" s="271" t="s">
        <v>2706</v>
      </c>
      <c r="D2404" s="497"/>
      <c r="E2404" s="499">
        <v>4000</v>
      </c>
      <c r="F2404" s="263"/>
      <c r="G2404" s="275"/>
    </row>
    <row r="2405" spans="1:7" ht="17.45" customHeight="1">
      <c r="A2405" s="261" t="s">
        <v>8</v>
      </c>
      <c r="C2405" s="271" t="s">
        <v>2707</v>
      </c>
      <c r="D2405" s="497"/>
      <c r="E2405" s="499">
        <v>32000</v>
      </c>
      <c r="F2405" s="263"/>
      <c r="G2405" s="275"/>
    </row>
    <row r="2406" spans="1:7" ht="17.45" customHeight="1">
      <c r="A2406" s="261" t="s">
        <v>8</v>
      </c>
      <c r="C2406" s="271" t="s">
        <v>2708</v>
      </c>
      <c r="D2406" s="497"/>
      <c r="E2406" s="499">
        <v>5500</v>
      </c>
      <c r="F2406" s="263"/>
      <c r="G2406" s="275"/>
    </row>
    <row r="2407" spans="1:7" ht="17.45" customHeight="1">
      <c r="A2407" s="261" t="s">
        <v>8</v>
      </c>
      <c r="C2407" s="271" t="s">
        <v>2709</v>
      </c>
      <c r="D2407" s="497"/>
      <c r="E2407" s="499">
        <v>6900</v>
      </c>
      <c r="F2407" s="263"/>
      <c r="G2407" s="275"/>
    </row>
    <row r="2408" spans="1:7" ht="17.45" customHeight="1">
      <c r="A2408" s="261" t="s">
        <v>8</v>
      </c>
      <c r="C2408" s="271" t="s">
        <v>2710</v>
      </c>
      <c r="D2408" s="497"/>
      <c r="E2408" s="499">
        <v>4600</v>
      </c>
      <c r="F2408" s="263"/>
      <c r="G2408" s="275"/>
    </row>
    <row r="2409" spans="1:7" ht="17.45" customHeight="1">
      <c r="A2409" s="261" t="s">
        <v>8</v>
      </c>
      <c r="C2409" s="271" t="s">
        <v>2711</v>
      </c>
      <c r="D2409" s="497"/>
      <c r="E2409" s="499">
        <v>6200</v>
      </c>
      <c r="F2409" s="263"/>
      <c r="G2409" s="275"/>
    </row>
    <row r="2410" spans="1:7" ht="17.45" customHeight="1">
      <c r="A2410" s="261" t="s">
        <v>8</v>
      </c>
      <c r="C2410" s="271" t="s">
        <v>2712</v>
      </c>
      <c r="D2410" s="497"/>
      <c r="E2410" s="499">
        <v>100000</v>
      </c>
      <c r="F2410" s="263"/>
      <c r="G2410" s="275"/>
    </row>
    <row r="2411" spans="1:7" ht="17.45" customHeight="1">
      <c r="A2411" s="261" t="s">
        <v>8</v>
      </c>
      <c r="C2411" s="271" t="s">
        <v>2713</v>
      </c>
      <c r="D2411" s="497"/>
      <c r="E2411" s="499">
        <v>2000</v>
      </c>
      <c r="F2411" s="263"/>
      <c r="G2411" s="275"/>
    </row>
    <row r="2412" spans="1:7" ht="17.45" customHeight="1">
      <c r="A2412" s="261" t="s">
        <v>8</v>
      </c>
      <c r="C2412" s="271" t="s">
        <v>2714</v>
      </c>
      <c r="D2412" s="497"/>
      <c r="E2412" s="499">
        <v>1000</v>
      </c>
      <c r="F2412" s="263"/>
      <c r="G2412" s="275"/>
    </row>
    <row r="2413" spans="1:7" ht="17.45" customHeight="1">
      <c r="A2413" s="261" t="s">
        <v>8</v>
      </c>
      <c r="C2413" s="271" t="s">
        <v>2715</v>
      </c>
      <c r="D2413" s="497"/>
      <c r="E2413" s="499">
        <v>48000</v>
      </c>
      <c r="F2413" s="263"/>
      <c r="G2413" s="275"/>
    </row>
    <row r="2414" spans="1:7" ht="17.45" customHeight="1">
      <c r="A2414" s="261" t="s">
        <v>8</v>
      </c>
      <c r="C2414" s="271" t="s">
        <v>2716</v>
      </c>
      <c r="D2414" s="497"/>
      <c r="E2414" s="499">
        <v>3500</v>
      </c>
      <c r="F2414" s="263"/>
      <c r="G2414" s="275"/>
    </row>
    <row r="2415" spans="1:7" ht="17.45" customHeight="1">
      <c r="A2415" s="261" t="s">
        <v>8</v>
      </c>
      <c r="C2415" s="271" t="s">
        <v>1982</v>
      </c>
      <c r="D2415" s="497"/>
      <c r="E2415" s="499">
        <v>21000</v>
      </c>
      <c r="F2415" s="263"/>
      <c r="G2415" s="275"/>
    </row>
    <row r="2416" spans="1:7" ht="17.45" customHeight="1">
      <c r="A2416" s="261" t="s">
        <v>8</v>
      </c>
      <c r="C2416" s="271" t="s">
        <v>2406</v>
      </c>
      <c r="D2416" s="497"/>
      <c r="E2416" s="499">
        <v>15500</v>
      </c>
      <c r="F2416" s="263"/>
      <c r="G2416" s="275"/>
    </row>
    <row r="2417" spans="1:7" ht="17.45" customHeight="1">
      <c r="A2417" s="261" t="s">
        <v>8</v>
      </c>
      <c r="C2417" s="271" t="s">
        <v>2717</v>
      </c>
      <c r="D2417" s="497"/>
      <c r="E2417" s="499">
        <v>2500</v>
      </c>
      <c r="F2417" s="263"/>
      <c r="G2417" s="275"/>
    </row>
    <row r="2418" spans="1:7" ht="17.45" customHeight="1">
      <c r="A2418" s="261" t="s">
        <v>8</v>
      </c>
      <c r="C2418" s="271" t="s">
        <v>2718</v>
      </c>
      <c r="D2418" s="497"/>
      <c r="E2418" s="499">
        <v>8500</v>
      </c>
      <c r="F2418" s="263"/>
      <c r="G2418" s="275"/>
    </row>
    <row r="2419" spans="1:7" ht="17.45" customHeight="1">
      <c r="A2419" s="261" t="s">
        <v>8</v>
      </c>
      <c r="C2419" s="271" t="s">
        <v>2719</v>
      </c>
      <c r="D2419" s="497"/>
      <c r="E2419" s="499">
        <v>12800</v>
      </c>
      <c r="F2419" s="263"/>
      <c r="G2419" s="275"/>
    </row>
    <row r="2420" spans="1:7" ht="17.45" customHeight="1">
      <c r="A2420" s="261" t="s">
        <v>8</v>
      </c>
      <c r="C2420" s="271" t="s">
        <v>2720</v>
      </c>
      <c r="D2420" s="497"/>
      <c r="E2420" s="499">
        <v>563090</v>
      </c>
      <c r="F2420" s="263"/>
      <c r="G2420" s="275"/>
    </row>
    <row r="2421" spans="1:7" ht="17.45" customHeight="1">
      <c r="A2421" s="261" t="s">
        <v>8</v>
      </c>
      <c r="C2421" s="271" t="s">
        <v>2721</v>
      </c>
      <c r="D2421" s="497"/>
      <c r="E2421" s="499">
        <f>-60000+900000</f>
        <v>840000</v>
      </c>
      <c r="F2421" s="263"/>
      <c r="G2421" s="275"/>
    </row>
    <row r="2422" spans="1:7" ht="17.45" customHeight="1">
      <c r="A2422" s="261" t="s">
        <v>8</v>
      </c>
      <c r="C2422" s="271" t="s">
        <v>2722</v>
      </c>
      <c r="D2422" s="499">
        <v>1645849</v>
      </c>
      <c r="E2422" s="497"/>
      <c r="F2422" s="263"/>
      <c r="G2422" s="275"/>
    </row>
    <row r="2423" spans="1:7" ht="17.45" customHeight="1">
      <c r="A2423" s="261" t="s">
        <v>8</v>
      </c>
      <c r="C2423" s="271" t="s">
        <v>2723</v>
      </c>
      <c r="D2423" s="497"/>
      <c r="E2423" s="499">
        <v>139480</v>
      </c>
      <c r="F2423" s="263"/>
      <c r="G2423" s="275"/>
    </row>
    <row r="2424" spans="1:7" ht="17.45" customHeight="1">
      <c r="A2424" s="261" t="s">
        <v>8</v>
      </c>
      <c r="C2424" s="271" t="s">
        <v>1610</v>
      </c>
      <c r="D2424" s="497"/>
      <c r="E2424" s="499">
        <v>6000</v>
      </c>
      <c r="F2424" s="263"/>
      <c r="G2424" s="275"/>
    </row>
    <row r="2425" spans="1:7" ht="17.45" customHeight="1">
      <c r="A2425" s="261" t="s">
        <v>8</v>
      </c>
      <c r="C2425" s="271" t="s">
        <v>1931</v>
      </c>
      <c r="D2425" s="497"/>
      <c r="E2425" s="499">
        <v>4500</v>
      </c>
      <c r="F2425" s="263"/>
      <c r="G2425" s="275"/>
    </row>
    <row r="2426" spans="1:7" ht="17.45" customHeight="1">
      <c r="A2426" s="261" t="s">
        <v>8</v>
      </c>
      <c r="C2426" s="271" t="s">
        <v>2724</v>
      </c>
      <c r="D2426" s="497"/>
      <c r="E2426" s="499">
        <v>2000</v>
      </c>
      <c r="F2426" s="263"/>
      <c r="G2426" s="275"/>
    </row>
    <row r="2427" spans="1:7" ht="17.45" customHeight="1">
      <c r="A2427" s="261" t="s">
        <v>8</v>
      </c>
      <c r="C2427" s="271" t="s">
        <v>2725</v>
      </c>
      <c r="D2427" s="497"/>
      <c r="E2427" s="499">
        <v>31000</v>
      </c>
      <c r="F2427" s="263"/>
      <c r="G2427" s="275"/>
    </row>
    <row r="2428" spans="1:7" ht="17.45" customHeight="1">
      <c r="A2428" s="261" t="s">
        <v>8</v>
      </c>
      <c r="C2428" s="271" t="s">
        <v>2016</v>
      </c>
      <c r="D2428" s="497"/>
      <c r="E2428" s="499">
        <v>50500</v>
      </c>
      <c r="F2428" s="263"/>
      <c r="G2428" s="275"/>
    </row>
    <row r="2429" spans="1:7" ht="17.45" customHeight="1">
      <c r="A2429" s="261" t="s">
        <v>8</v>
      </c>
      <c r="C2429" s="271" t="s">
        <v>2726</v>
      </c>
      <c r="D2429" s="499">
        <v>44100</v>
      </c>
      <c r="E2429" s="499">
        <v>64200</v>
      </c>
      <c r="F2429" s="263"/>
      <c r="G2429" s="275"/>
    </row>
    <row r="2430" spans="1:7" ht="17.45" customHeight="1">
      <c r="A2430" s="261" t="s">
        <v>8</v>
      </c>
      <c r="C2430" s="271" t="s">
        <v>1776</v>
      </c>
      <c r="D2430" s="497"/>
      <c r="E2430" s="499">
        <v>10600</v>
      </c>
      <c r="F2430" s="263"/>
      <c r="G2430" s="275"/>
    </row>
    <row r="2431" spans="1:7" ht="17.45" customHeight="1">
      <c r="A2431" s="261" t="s">
        <v>8</v>
      </c>
      <c r="C2431" s="271" t="s">
        <v>1919</v>
      </c>
      <c r="D2431" s="508"/>
      <c r="E2431" s="499">
        <v>400000</v>
      </c>
      <c r="F2431" s="263"/>
      <c r="G2431" s="275"/>
    </row>
    <row r="2432" spans="1:7" ht="17.45" customHeight="1">
      <c r="A2432" s="261" t="s">
        <v>8</v>
      </c>
      <c r="C2432" s="271" t="s">
        <v>1813</v>
      </c>
      <c r="D2432" s="497"/>
      <c r="E2432" s="499">
        <v>200000</v>
      </c>
      <c r="F2432" s="263"/>
      <c r="G2432" s="275"/>
    </row>
    <row r="2433" spans="1:7" ht="17.45" customHeight="1">
      <c r="A2433" s="261" t="s">
        <v>8</v>
      </c>
      <c r="C2433" s="271" t="s">
        <v>2727</v>
      </c>
      <c r="D2433" s="497"/>
      <c r="E2433" s="499">
        <v>6500</v>
      </c>
      <c r="F2433" s="263"/>
      <c r="G2433" s="275"/>
    </row>
    <row r="2434" spans="1:7" ht="17.45" customHeight="1">
      <c r="A2434" s="261" t="s">
        <v>8</v>
      </c>
      <c r="C2434" s="271" t="s">
        <v>2728</v>
      </c>
      <c r="D2434" s="497"/>
      <c r="E2434" s="499">
        <v>180000</v>
      </c>
      <c r="F2434" s="263"/>
      <c r="G2434" s="275"/>
    </row>
    <row r="2435" spans="1:7" ht="17.45" customHeight="1">
      <c r="A2435" s="261" t="s">
        <v>8</v>
      </c>
      <c r="C2435" s="271" t="s">
        <v>1998</v>
      </c>
      <c r="D2435" s="497"/>
      <c r="E2435" s="499">
        <v>500000</v>
      </c>
      <c r="F2435" s="263"/>
      <c r="G2435" s="275"/>
    </row>
    <row r="2436" spans="1:7" ht="17.45" customHeight="1">
      <c r="A2436" s="261" t="s">
        <v>8</v>
      </c>
      <c r="C2436" s="271" t="s">
        <v>1971</v>
      </c>
      <c r="D2436" s="497"/>
      <c r="E2436" s="499">
        <v>65000</v>
      </c>
      <c r="F2436" s="263"/>
      <c r="G2436" s="275"/>
    </row>
    <row r="2437" spans="1:7" ht="17.45" customHeight="1">
      <c r="A2437" s="261" t="s">
        <v>8</v>
      </c>
      <c r="C2437" s="271" t="s">
        <v>2729</v>
      </c>
      <c r="D2437" s="497"/>
      <c r="E2437" s="499">
        <v>8000</v>
      </c>
      <c r="F2437" s="263"/>
      <c r="G2437" s="275"/>
    </row>
    <row r="2438" spans="1:7" ht="17.45" customHeight="1" thickBot="1">
      <c r="A2438" s="261" t="s">
        <v>8</v>
      </c>
      <c r="C2438" s="276" t="s">
        <v>1300</v>
      </c>
      <c r="D2438" s="502">
        <f>SUM(D2355:D2437)-SUM(E2355:E2437)</f>
        <v>-231768</v>
      </c>
      <c r="E2438" s="502">
        <f>SUM(E2355:E2437)-SUM(F2355:F2437)</f>
        <v>8422567</v>
      </c>
      <c r="F2438" s="277"/>
      <c r="G2438" s="283"/>
    </row>
    <row r="2440" spans="1:7" ht="12.75" thickBot="1"/>
    <row r="2441" spans="1:7" ht="17.45" customHeight="1">
      <c r="A2441" s="261" t="s">
        <v>8</v>
      </c>
      <c r="B2441" s="256" t="s">
        <v>2730</v>
      </c>
      <c r="C2441" s="268" t="s">
        <v>1268</v>
      </c>
      <c r="D2441" s="501">
        <v>6109890</v>
      </c>
      <c r="E2441" s="501"/>
      <c r="F2441" s="269"/>
      <c r="G2441" s="270"/>
    </row>
    <row r="2442" spans="1:7" ht="17.45" customHeight="1">
      <c r="A2442" s="261" t="s">
        <v>8</v>
      </c>
      <c r="B2442" s="257"/>
      <c r="C2442" s="271" t="s">
        <v>1269</v>
      </c>
      <c r="D2442" s="497"/>
      <c r="E2442" s="499">
        <v>425000</v>
      </c>
      <c r="F2442" s="263"/>
      <c r="G2442" s="272" t="s">
        <v>2731</v>
      </c>
    </row>
    <row r="2443" spans="1:7" ht="17.45" customHeight="1">
      <c r="A2443" s="261" t="s">
        <v>8</v>
      </c>
      <c r="C2443" s="271" t="s">
        <v>1270</v>
      </c>
      <c r="D2443" s="497"/>
      <c r="E2443" s="499">
        <v>778000</v>
      </c>
      <c r="F2443" s="263"/>
      <c r="G2443" s="273" t="s">
        <v>2740</v>
      </c>
    </row>
    <row r="2444" spans="1:7" ht="17.45" customHeight="1">
      <c r="A2444" s="261" t="s">
        <v>8</v>
      </c>
      <c r="C2444" s="271" t="s">
        <v>1670</v>
      </c>
      <c r="D2444" s="497"/>
      <c r="E2444" s="497"/>
      <c r="F2444" s="263"/>
      <c r="G2444" s="274"/>
    </row>
    <row r="2445" spans="1:7" ht="17.45" customHeight="1">
      <c r="A2445" s="261" t="s">
        <v>8</v>
      </c>
      <c r="C2445" s="271" t="s">
        <v>1672</v>
      </c>
      <c r="D2445" s="497"/>
      <c r="E2445" s="497"/>
      <c r="F2445" s="263"/>
      <c r="G2445" s="273" t="s">
        <v>2732</v>
      </c>
    </row>
    <row r="2446" spans="1:7" ht="17.45" customHeight="1">
      <c r="A2446" s="261" t="s">
        <v>8</v>
      </c>
      <c r="C2446" s="271" t="s">
        <v>1673</v>
      </c>
      <c r="D2446" s="497"/>
      <c r="E2446" s="497"/>
      <c r="F2446" s="263"/>
      <c r="G2446" s="274"/>
    </row>
    <row r="2447" spans="1:7" ht="17.45" customHeight="1">
      <c r="A2447" s="261" t="s">
        <v>8</v>
      </c>
      <c r="C2447" s="271" t="s">
        <v>1332</v>
      </c>
      <c r="D2447" s="497"/>
      <c r="E2447" s="499">
        <v>34650</v>
      </c>
      <c r="F2447" s="263"/>
      <c r="G2447" s="275"/>
    </row>
    <row r="2448" spans="1:7" ht="17.45" customHeight="1">
      <c r="A2448" s="261" t="s">
        <v>8</v>
      </c>
      <c r="C2448" s="271" t="s">
        <v>1271</v>
      </c>
      <c r="D2448" s="497"/>
      <c r="E2448" s="497">
        <v>0</v>
      </c>
      <c r="F2448" s="263"/>
      <c r="G2448" s="274"/>
    </row>
    <row r="2449" spans="1:7" ht="17.45" customHeight="1">
      <c r="A2449" s="261" t="s">
        <v>8</v>
      </c>
      <c r="C2449" s="271" t="s">
        <v>1272</v>
      </c>
      <c r="D2449" s="497"/>
      <c r="E2449" s="499">
        <v>-900</v>
      </c>
      <c r="F2449" s="263"/>
      <c r="G2449" s="273"/>
    </row>
    <row r="2450" spans="1:7" ht="17.45" customHeight="1">
      <c r="A2450" s="261" t="s">
        <v>8</v>
      </c>
      <c r="C2450" s="271" t="s">
        <v>1273</v>
      </c>
      <c r="D2450" s="497"/>
      <c r="E2450" s="497"/>
      <c r="F2450" s="263"/>
      <c r="G2450" s="273" t="s">
        <v>2732</v>
      </c>
    </row>
    <row r="2451" spans="1:7" ht="17.45" customHeight="1">
      <c r="A2451" s="261" t="s">
        <v>8</v>
      </c>
      <c r="C2451" s="271" t="s">
        <v>1274</v>
      </c>
      <c r="D2451" s="497"/>
      <c r="E2451" s="497"/>
      <c r="F2451" s="263"/>
      <c r="G2451" s="273" t="s">
        <v>2732</v>
      </c>
    </row>
    <row r="2452" spans="1:7" ht="17.45" customHeight="1">
      <c r="A2452" s="261" t="s">
        <v>8</v>
      </c>
      <c r="C2452" s="271" t="s">
        <v>1275</v>
      </c>
      <c r="D2452" s="497"/>
      <c r="E2452" s="497"/>
      <c r="F2452" s="263"/>
      <c r="G2452" s="273"/>
    </row>
    <row r="2453" spans="1:7" ht="17.45" customHeight="1">
      <c r="A2453" s="261" t="s">
        <v>8</v>
      </c>
      <c r="C2453" s="271" t="s">
        <v>2168</v>
      </c>
      <c r="D2453" s="497"/>
      <c r="E2453" s="497"/>
      <c r="F2453" s="263"/>
      <c r="G2453" s="273" t="s">
        <v>2732</v>
      </c>
    </row>
    <row r="2454" spans="1:7" ht="17.45" customHeight="1">
      <c r="A2454" s="261" t="s">
        <v>8</v>
      </c>
      <c r="C2454" s="271" t="s">
        <v>1517</v>
      </c>
      <c r="D2454" s="497"/>
      <c r="E2454" s="497"/>
      <c r="F2454" s="263"/>
      <c r="G2454" s="273" t="s">
        <v>2732</v>
      </c>
    </row>
    <row r="2455" spans="1:7" ht="17.45" customHeight="1">
      <c r="A2455" s="261" t="s">
        <v>8</v>
      </c>
      <c r="C2455" s="271" t="s">
        <v>1276</v>
      </c>
      <c r="D2455" s="497"/>
      <c r="E2455" s="497"/>
      <c r="F2455" s="263"/>
      <c r="G2455" s="273" t="s">
        <v>2732</v>
      </c>
    </row>
    <row r="2456" spans="1:7" ht="17.45" customHeight="1">
      <c r="A2456" s="261" t="s">
        <v>8</v>
      </c>
      <c r="C2456" s="271" t="s">
        <v>1277</v>
      </c>
      <c r="D2456" s="497"/>
      <c r="E2456" s="497"/>
      <c r="F2456" s="263"/>
      <c r="G2456" s="273" t="s">
        <v>2732</v>
      </c>
    </row>
    <row r="2457" spans="1:7" ht="17.45" customHeight="1">
      <c r="A2457" s="261" t="s">
        <v>8</v>
      </c>
      <c r="C2457" s="271" t="s">
        <v>1278</v>
      </c>
      <c r="D2457" s="497"/>
      <c r="E2457" s="499">
        <v>200000</v>
      </c>
      <c r="F2457" s="263"/>
      <c r="G2457" s="273"/>
    </row>
    <row r="2458" spans="1:7" ht="17.45" customHeight="1">
      <c r="A2458" s="261" t="s">
        <v>8</v>
      </c>
      <c r="C2458" s="285" t="s">
        <v>1413</v>
      </c>
      <c r="D2458" s="506"/>
      <c r="E2458" s="507">
        <f>1300000</f>
        <v>1300000</v>
      </c>
      <c r="F2458" s="286"/>
      <c r="G2458" s="287"/>
    </row>
    <row r="2459" spans="1:7" ht="17.25" customHeight="1">
      <c r="A2459" s="261" t="s">
        <v>8</v>
      </c>
      <c r="C2459" s="338" t="s">
        <v>2661</v>
      </c>
      <c r="D2459" s="497"/>
      <c r="E2459" s="497"/>
      <c r="F2459" s="263"/>
      <c r="G2459" s="275"/>
    </row>
    <row r="2460" spans="1:7" ht="17.45" customHeight="1">
      <c r="A2460" s="261" t="s">
        <v>8</v>
      </c>
      <c r="C2460" s="339" t="s">
        <v>2647</v>
      </c>
      <c r="D2460" s="506"/>
      <c r="E2460" s="507">
        <v>5000000</v>
      </c>
      <c r="F2460" s="286"/>
      <c r="G2460" s="290"/>
    </row>
    <row r="2461" spans="1:7" ht="17.45" customHeight="1" thickBot="1">
      <c r="A2461" s="261" t="s">
        <v>8</v>
      </c>
      <c r="C2461" s="285" t="s">
        <v>1942</v>
      </c>
      <c r="D2461" s="506"/>
      <c r="E2461" s="507">
        <v>20000</v>
      </c>
      <c r="F2461" s="286"/>
      <c r="G2461" s="290"/>
    </row>
    <row r="2462" spans="1:7" ht="17.45" customHeight="1">
      <c r="A2462" s="261" t="s">
        <v>8</v>
      </c>
      <c r="C2462" s="268" t="s">
        <v>1280</v>
      </c>
      <c r="D2462" s="501"/>
      <c r="E2462" s="500">
        <f>50000*1</f>
        <v>50000</v>
      </c>
      <c r="F2462" s="269"/>
      <c r="G2462" s="288"/>
    </row>
    <row r="2463" spans="1:7" ht="17.45" customHeight="1">
      <c r="A2463" s="261" t="s">
        <v>8</v>
      </c>
      <c r="C2463" s="271" t="s">
        <v>1549</v>
      </c>
      <c r="D2463" s="497"/>
      <c r="E2463" s="497"/>
      <c r="F2463" s="263"/>
      <c r="G2463" s="275"/>
    </row>
    <row r="2464" spans="1:7" ht="17.45" customHeight="1">
      <c r="A2464" s="261" t="s">
        <v>8</v>
      </c>
      <c r="C2464" s="271" t="s">
        <v>1819</v>
      </c>
      <c r="D2464" s="497"/>
      <c r="E2464" s="497"/>
      <c r="F2464" s="263"/>
      <c r="G2464" s="275"/>
    </row>
    <row r="2465" spans="1:7" ht="17.45" customHeight="1">
      <c r="A2465" s="261" t="s">
        <v>8</v>
      </c>
      <c r="C2465" s="271" t="s">
        <v>391</v>
      </c>
      <c r="D2465" s="497"/>
      <c r="E2465" s="497"/>
      <c r="F2465" s="263"/>
      <c r="G2465" s="275"/>
    </row>
    <row r="2466" spans="1:7" ht="17.45" customHeight="1">
      <c r="A2466" s="261" t="s">
        <v>8</v>
      </c>
      <c r="C2466" s="271" t="s">
        <v>1934</v>
      </c>
      <c r="D2466" s="497"/>
      <c r="E2466" s="499">
        <v>50000</v>
      </c>
      <c r="F2466" s="263"/>
      <c r="G2466" s="275"/>
    </row>
    <row r="2467" spans="1:7" ht="17.25" customHeight="1">
      <c r="A2467" s="261" t="s">
        <v>8</v>
      </c>
      <c r="C2467" s="271" t="s">
        <v>2202</v>
      </c>
      <c r="D2467" s="497"/>
      <c r="E2467" s="497"/>
      <c r="F2467" s="263"/>
      <c r="G2467" s="275"/>
    </row>
    <row r="2468" spans="1:7" ht="17.45" customHeight="1">
      <c r="A2468" s="261" t="s">
        <v>8</v>
      </c>
      <c r="C2468" s="271" t="s">
        <v>2097</v>
      </c>
      <c r="D2468" s="497"/>
      <c r="E2468" s="497"/>
      <c r="F2468" s="263"/>
      <c r="G2468" s="275"/>
    </row>
    <row r="2469" spans="1:7" ht="17.45" customHeight="1">
      <c r="A2469" s="261" t="s">
        <v>8</v>
      </c>
      <c r="C2469" s="271" t="s">
        <v>2654</v>
      </c>
      <c r="D2469" s="497"/>
      <c r="E2469" s="499">
        <v>60000</v>
      </c>
      <c r="F2469" s="263"/>
      <c r="G2469" s="275"/>
    </row>
    <row r="2470" spans="1:7" ht="17.45" customHeight="1">
      <c r="A2470" s="261" t="s">
        <v>8</v>
      </c>
      <c r="C2470" s="271" t="s">
        <v>1687</v>
      </c>
      <c r="D2470" s="497"/>
      <c r="E2470" s="497"/>
      <c r="F2470" s="263"/>
      <c r="G2470" s="275"/>
    </row>
    <row r="2471" spans="1:7" ht="17.45" customHeight="1">
      <c r="A2471" s="261" t="s">
        <v>8</v>
      </c>
      <c r="C2471" s="271" t="s">
        <v>1688</v>
      </c>
      <c r="D2471" s="497"/>
      <c r="E2471" s="499">
        <v>55000</v>
      </c>
      <c r="F2471" s="263"/>
      <c r="G2471" s="275"/>
    </row>
    <row r="2472" spans="1:7" ht="17.45" customHeight="1">
      <c r="A2472" s="261" t="s">
        <v>8</v>
      </c>
      <c r="C2472" s="271" t="s">
        <v>2748</v>
      </c>
      <c r="D2472" s="497"/>
      <c r="E2472" s="499">
        <v>33000</v>
      </c>
      <c r="F2472" s="263"/>
      <c r="G2472" s="275"/>
    </row>
    <row r="2473" spans="1:7" ht="17.45" customHeight="1">
      <c r="A2473" s="261" t="s">
        <v>8</v>
      </c>
      <c r="C2473" s="271" t="s">
        <v>1596</v>
      </c>
      <c r="D2473" s="497"/>
      <c r="E2473" s="497"/>
      <c r="F2473" s="263"/>
      <c r="G2473" s="275"/>
    </row>
    <row r="2474" spans="1:7" ht="17.45" customHeight="1">
      <c r="A2474" s="261" t="s">
        <v>8</v>
      </c>
      <c r="C2474" s="271" t="s">
        <v>1595</v>
      </c>
      <c r="D2474" s="497"/>
      <c r="E2474" s="497"/>
      <c r="F2474" s="263"/>
      <c r="G2474" s="275"/>
    </row>
    <row r="2475" spans="1:7" ht="17.45" customHeight="1">
      <c r="A2475" s="261" t="s">
        <v>8</v>
      </c>
      <c r="C2475" s="271" t="s">
        <v>1613</v>
      </c>
      <c r="D2475" s="497"/>
      <c r="E2475" s="499">
        <f>1600+1800+1600+3200+7100+7200</f>
        <v>22500</v>
      </c>
      <c r="F2475" s="263"/>
      <c r="G2475" s="275"/>
    </row>
    <row r="2476" spans="1:7" ht="17.45" customHeight="1">
      <c r="A2476" s="261" t="s">
        <v>8</v>
      </c>
      <c r="C2476" s="271" t="s">
        <v>1689</v>
      </c>
      <c r="D2476" s="497"/>
      <c r="E2476" s="497"/>
      <c r="F2476" s="263"/>
      <c r="G2476" s="275"/>
    </row>
    <row r="2477" spans="1:7" ht="17.45" customHeight="1">
      <c r="A2477" s="261" t="s">
        <v>8</v>
      </c>
      <c r="C2477" s="271" t="s">
        <v>1569</v>
      </c>
      <c r="D2477" s="497"/>
      <c r="E2477" s="497"/>
      <c r="F2477" s="263"/>
      <c r="G2477" s="275"/>
    </row>
    <row r="2478" spans="1:7" ht="17.45" customHeight="1">
      <c r="A2478" s="261" t="s">
        <v>8</v>
      </c>
      <c r="C2478" s="271" t="s">
        <v>1618</v>
      </c>
      <c r="D2478" s="497"/>
      <c r="E2478" s="499">
        <f>40390+35761+13330+5980</f>
        <v>95461</v>
      </c>
      <c r="F2478" s="263"/>
      <c r="G2478" s="275"/>
    </row>
    <row r="2479" spans="1:7" ht="17.45" customHeight="1">
      <c r="A2479" s="261" t="s">
        <v>8</v>
      </c>
      <c r="C2479" s="271" t="s">
        <v>1800</v>
      </c>
      <c r="D2479" s="497"/>
      <c r="E2479" s="497"/>
      <c r="F2479" s="263"/>
      <c r="G2479" s="275"/>
    </row>
    <row r="2480" spans="1:7" ht="17.45" customHeight="1" thickBot="1">
      <c r="A2480" s="261" t="s">
        <v>8</v>
      </c>
      <c r="C2480" s="276" t="s">
        <v>2699</v>
      </c>
      <c r="D2480" s="502"/>
      <c r="E2480" s="503">
        <f>19300</f>
        <v>19300</v>
      </c>
      <c r="F2480" s="277"/>
      <c r="G2480" s="282"/>
    </row>
    <row r="2481" spans="1:7" ht="17.45" customHeight="1">
      <c r="A2481" s="261" t="s">
        <v>8</v>
      </c>
      <c r="C2481" s="279" t="s">
        <v>2733</v>
      </c>
      <c r="D2481" s="504"/>
      <c r="E2481" s="505">
        <v>24000</v>
      </c>
      <c r="F2481" s="280"/>
      <c r="G2481" s="281"/>
    </row>
    <row r="2482" spans="1:7" ht="17.45" customHeight="1">
      <c r="A2482" s="261" t="s">
        <v>8</v>
      </c>
      <c r="C2482" s="271" t="s">
        <v>2397</v>
      </c>
      <c r="D2482" s="497"/>
      <c r="E2482" s="499">
        <f>10270+13650</f>
        <v>23920</v>
      </c>
      <c r="F2482" s="263"/>
      <c r="G2482" s="275"/>
    </row>
    <row r="2483" spans="1:7" ht="17.45" customHeight="1">
      <c r="A2483" s="261" t="s">
        <v>8</v>
      </c>
      <c r="C2483" s="271" t="s">
        <v>2711</v>
      </c>
      <c r="D2483" s="497"/>
      <c r="E2483" s="499">
        <f>3600+3100</f>
        <v>6700</v>
      </c>
      <c r="F2483" s="263"/>
      <c r="G2483" s="275"/>
    </row>
    <row r="2484" spans="1:7" ht="17.45" customHeight="1">
      <c r="A2484" s="261" t="s">
        <v>8</v>
      </c>
      <c r="C2484" s="271" t="s">
        <v>2734</v>
      </c>
      <c r="D2484" s="497"/>
      <c r="E2484" s="499">
        <v>32000</v>
      </c>
      <c r="F2484" s="263"/>
      <c r="G2484" s="275"/>
    </row>
    <row r="2485" spans="1:7" ht="17.45" customHeight="1">
      <c r="A2485" s="261" t="s">
        <v>8</v>
      </c>
      <c r="C2485" s="271" t="s">
        <v>2735</v>
      </c>
      <c r="D2485" s="497"/>
      <c r="E2485" s="499">
        <v>3000</v>
      </c>
      <c r="F2485" s="263"/>
      <c r="G2485" s="275"/>
    </row>
    <row r="2486" spans="1:7" ht="17.45" customHeight="1">
      <c r="A2486" s="261" t="s">
        <v>8</v>
      </c>
      <c r="C2486" s="271" t="s">
        <v>1831</v>
      </c>
      <c r="D2486" s="497"/>
      <c r="E2486" s="499">
        <v>200000</v>
      </c>
      <c r="F2486" s="263"/>
      <c r="G2486" s="275"/>
    </row>
    <row r="2487" spans="1:7" ht="17.45" customHeight="1">
      <c r="A2487" s="261" t="s">
        <v>8</v>
      </c>
      <c r="C2487" s="271" t="s">
        <v>2004</v>
      </c>
      <c r="D2487" s="497"/>
      <c r="E2487" s="499">
        <v>200000</v>
      </c>
      <c r="F2487" s="263"/>
      <c r="G2487" s="275"/>
    </row>
    <row r="2488" spans="1:7" ht="17.45" customHeight="1">
      <c r="A2488" s="261" t="s">
        <v>8</v>
      </c>
      <c r="C2488" s="271" t="s">
        <v>2736</v>
      </c>
      <c r="D2488" s="497"/>
      <c r="E2488" s="499">
        <v>40800</v>
      </c>
      <c r="F2488" s="263"/>
      <c r="G2488" s="275"/>
    </row>
    <row r="2489" spans="1:7" ht="17.45" customHeight="1">
      <c r="A2489" s="261" t="s">
        <v>8</v>
      </c>
      <c r="C2489" s="271" t="s">
        <v>1770</v>
      </c>
      <c r="D2489" s="497"/>
      <c r="E2489" s="499">
        <v>1200</v>
      </c>
      <c r="F2489" s="263"/>
      <c r="G2489" s="275"/>
    </row>
    <row r="2490" spans="1:7" ht="17.45" customHeight="1">
      <c r="A2490" s="261" t="s">
        <v>8</v>
      </c>
      <c r="C2490" s="271" t="s">
        <v>2423</v>
      </c>
      <c r="D2490" s="497"/>
      <c r="E2490" s="499">
        <v>5600</v>
      </c>
      <c r="F2490" s="263"/>
      <c r="G2490" s="275"/>
    </row>
    <row r="2491" spans="1:7" ht="17.25" customHeight="1">
      <c r="A2491" s="261" t="s">
        <v>8</v>
      </c>
      <c r="C2491" s="271" t="s">
        <v>2741</v>
      </c>
      <c r="D2491" s="499">
        <v>110735</v>
      </c>
      <c r="E2491" s="497"/>
      <c r="F2491" s="263"/>
      <c r="G2491" s="275"/>
    </row>
    <row r="2492" spans="1:7" ht="17.45" customHeight="1">
      <c r="A2492" s="261" t="s">
        <v>8</v>
      </c>
      <c r="C2492" s="271" t="s">
        <v>2737</v>
      </c>
      <c r="D2492" s="497"/>
      <c r="E2492" s="499">
        <v>8000</v>
      </c>
      <c r="F2492" s="263"/>
      <c r="G2492" s="275"/>
    </row>
    <row r="2493" spans="1:7" ht="17.45" customHeight="1">
      <c r="A2493" s="261" t="s">
        <v>8</v>
      </c>
      <c r="C2493" s="271" t="s">
        <v>2108</v>
      </c>
      <c r="D2493" s="497"/>
      <c r="E2493" s="499">
        <f>41755+50600</f>
        <v>92355</v>
      </c>
      <c r="F2493" s="263"/>
      <c r="G2493" s="275"/>
    </row>
    <row r="2494" spans="1:7" ht="17.45" customHeight="1">
      <c r="A2494" s="261" t="s">
        <v>8</v>
      </c>
      <c r="C2494" s="271" t="s">
        <v>2720</v>
      </c>
      <c r="D2494" s="497"/>
      <c r="E2494" s="499">
        <v>-35520</v>
      </c>
      <c r="F2494" s="263"/>
      <c r="G2494" s="275"/>
    </row>
    <row r="2495" spans="1:7" ht="17.45" customHeight="1">
      <c r="A2495" s="261" t="s">
        <v>8</v>
      </c>
      <c r="C2495" s="271" t="s">
        <v>2738</v>
      </c>
      <c r="D2495" s="497"/>
      <c r="E2495" s="499">
        <v>-16450</v>
      </c>
      <c r="F2495" s="263"/>
      <c r="G2495" s="275"/>
    </row>
    <row r="2496" spans="1:7" ht="17.45" customHeight="1">
      <c r="A2496" s="261" t="s">
        <v>8</v>
      </c>
      <c r="C2496" s="271" t="s">
        <v>2739</v>
      </c>
      <c r="D2496" s="497"/>
      <c r="E2496" s="499">
        <v>50000</v>
      </c>
      <c r="F2496" s="263"/>
      <c r="G2496" s="275"/>
    </row>
    <row r="2497" spans="1:7" ht="17.45" customHeight="1">
      <c r="A2497" s="261" t="s">
        <v>8</v>
      </c>
      <c r="C2497" s="271" t="s">
        <v>1966</v>
      </c>
      <c r="D2497" s="497"/>
      <c r="E2497" s="499">
        <v>6900</v>
      </c>
      <c r="F2497" s="263"/>
      <c r="G2497" s="275"/>
    </row>
    <row r="2498" spans="1:7" ht="17.45" customHeight="1">
      <c r="A2498" s="261" t="s">
        <v>8</v>
      </c>
      <c r="C2498" s="271" t="s">
        <v>1584</v>
      </c>
      <c r="D2498" s="497"/>
      <c r="E2498" s="499">
        <v>19000</v>
      </c>
      <c r="F2498" s="263"/>
      <c r="G2498" s="275"/>
    </row>
    <row r="2499" spans="1:7" ht="17.45" customHeight="1">
      <c r="A2499" s="261" t="s">
        <v>8</v>
      </c>
      <c r="C2499" s="271" t="s">
        <v>1776</v>
      </c>
      <c r="D2499" s="497"/>
      <c r="E2499" s="499">
        <v>11800</v>
      </c>
      <c r="F2499" s="263"/>
      <c r="G2499" s="275"/>
    </row>
    <row r="2500" spans="1:7" ht="17.45" customHeight="1">
      <c r="A2500" s="261" t="s">
        <v>8</v>
      </c>
      <c r="C2500" s="271" t="s">
        <v>1650</v>
      </c>
      <c r="D2500" s="497"/>
      <c r="E2500" s="499">
        <v>9800</v>
      </c>
      <c r="F2500" s="263"/>
      <c r="G2500" s="275"/>
    </row>
    <row r="2501" spans="1:7" ht="17.45" customHeight="1">
      <c r="A2501" s="261" t="s">
        <v>8</v>
      </c>
      <c r="C2501" s="271" t="s">
        <v>2742</v>
      </c>
      <c r="D2501" s="497"/>
      <c r="E2501" s="499">
        <f>8500+5500+6700</f>
        <v>20700</v>
      </c>
      <c r="F2501" s="263"/>
      <c r="G2501" s="275"/>
    </row>
    <row r="2502" spans="1:7" ht="17.45" customHeight="1">
      <c r="A2502" s="261" t="s">
        <v>8</v>
      </c>
      <c r="C2502" s="271" t="s">
        <v>2743</v>
      </c>
      <c r="D2502" s="497"/>
      <c r="E2502" s="499">
        <v>100000</v>
      </c>
      <c r="F2502" s="263"/>
      <c r="G2502" s="275"/>
    </row>
    <row r="2503" spans="1:7" ht="17.45" customHeight="1">
      <c r="A2503" s="261" t="s">
        <v>8</v>
      </c>
      <c r="C2503" s="271" t="s">
        <v>2744</v>
      </c>
      <c r="D2503" s="497"/>
      <c r="E2503" s="499">
        <v>132170</v>
      </c>
      <c r="F2503" s="263"/>
      <c r="G2503" s="275"/>
    </row>
    <row r="2504" spans="1:7" ht="17.45" customHeight="1">
      <c r="A2504" s="261" t="s">
        <v>8</v>
      </c>
      <c r="C2504" s="271" t="s">
        <v>2019</v>
      </c>
      <c r="D2504" s="497"/>
      <c r="E2504" s="499">
        <v>17600</v>
      </c>
      <c r="F2504" s="263"/>
      <c r="G2504" s="275"/>
    </row>
    <row r="2505" spans="1:7" ht="17.45" customHeight="1">
      <c r="A2505" s="261" t="s">
        <v>8</v>
      </c>
      <c r="C2505" s="271" t="s">
        <v>2745</v>
      </c>
      <c r="D2505" s="497"/>
      <c r="E2505" s="499">
        <v>31000</v>
      </c>
      <c r="F2505" s="263"/>
      <c r="G2505" s="275"/>
    </row>
    <row r="2506" spans="1:7" ht="17.45" customHeight="1">
      <c r="A2506" s="261" t="s">
        <v>8</v>
      </c>
      <c r="C2506" s="271" t="s">
        <v>2746</v>
      </c>
      <c r="D2506" s="497"/>
      <c r="E2506" s="499">
        <v>53900</v>
      </c>
      <c r="F2506" s="263"/>
      <c r="G2506" s="275"/>
    </row>
    <row r="2507" spans="1:7" ht="17.45" customHeight="1">
      <c r="A2507" s="261" t="s">
        <v>8</v>
      </c>
      <c r="C2507" s="271" t="s">
        <v>2747</v>
      </c>
      <c r="D2507" s="497"/>
      <c r="E2507" s="499">
        <v>2200</v>
      </c>
      <c r="F2507" s="263"/>
      <c r="G2507" s="275"/>
    </row>
    <row r="2508" spans="1:7" ht="17.45" customHeight="1">
      <c r="A2508" s="261" t="s">
        <v>8</v>
      </c>
      <c r="C2508" s="271" t="s">
        <v>2749</v>
      </c>
      <c r="D2508" s="497"/>
      <c r="E2508" s="499">
        <v>14300</v>
      </c>
      <c r="F2508" s="263"/>
      <c r="G2508" s="275"/>
    </row>
    <row r="2509" spans="1:7" ht="17.45" customHeight="1">
      <c r="A2509" s="261" t="s">
        <v>8</v>
      </c>
      <c r="C2509" s="271" t="s">
        <v>2750</v>
      </c>
      <c r="D2509" s="497"/>
      <c r="E2509" s="499">
        <v>60180</v>
      </c>
      <c r="F2509" s="263"/>
      <c r="G2509" s="275"/>
    </row>
    <row r="2510" spans="1:7" ht="17.45" customHeight="1">
      <c r="A2510" s="261" t="s">
        <v>8</v>
      </c>
      <c r="C2510" s="271" t="s">
        <v>2248</v>
      </c>
      <c r="D2510" s="497"/>
      <c r="E2510" s="499">
        <v>20000</v>
      </c>
      <c r="F2510" s="263"/>
      <c r="G2510" s="275"/>
    </row>
    <row r="2511" spans="1:7" ht="17.45" customHeight="1">
      <c r="A2511" s="261" t="s">
        <v>8</v>
      </c>
      <c r="C2511" s="271" t="s">
        <v>2751</v>
      </c>
      <c r="D2511" s="497"/>
      <c r="E2511" s="499">
        <v>49500</v>
      </c>
      <c r="F2511" s="263"/>
      <c r="G2511" s="275"/>
    </row>
    <row r="2512" spans="1:7" ht="17.45" customHeight="1">
      <c r="A2512" s="261" t="s">
        <v>8</v>
      </c>
      <c r="C2512" s="271" t="s">
        <v>1647</v>
      </c>
      <c r="D2512" s="497"/>
      <c r="E2512" s="499">
        <v>2000</v>
      </c>
      <c r="F2512" s="263"/>
      <c r="G2512" s="275"/>
    </row>
    <row r="2513" spans="1:7" ht="17.45" customHeight="1" thickBot="1">
      <c r="A2513" s="261" t="s">
        <v>8</v>
      </c>
      <c r="C2513" s="276" t="s">
        <v>1300</v>
      </c>
      <c r="D2513" s="502">
        <f>SUM(D2441:D2512)-SUM(E2441:E2512)</f>
        <v>-3108041</v>
      </c>
      <c r="E2513" s="502">
        <f>SUM(E2441:E2512)-SUM(F2441:F2512)</f>
        <v>9328666</v>
      </c>
      <c r="F2513" s="277"/>
      <c r="G2513" s="283"/>
    </row>
    <row r="2515" spans="1:7" ht="12.75" thickBot="1"/>
    <row r="2516" spans="1:7" ht="17.45" customHeight="1">
      <c r="A2516" s="261" t="s">
        <v>8</v>
      </c>
      <c r="B2516" s="256" t="s">
        <v>2752</v>
      </c>
      <c r="C2516" s="268" t="s">
        <v>1268</v>
      </c>
      <c r="D2516" s="500">
        <v>5878200</v>
      </c>
      <c r="E2516" s="501"/>
      <c r="F2516" s="269"/>
      <c r="G2516" s="270"/>
    </row>
    <row r="2517" spans="1:7" ht="17.45" customHeight="1">
      <c r="A2517" s="261" t="s">
        <v>8</v>
      </c>
      <c r="B2517" s="257"/>
      <c r="C2517" s="271" t="s">
        <v>2794</v>
      </c>
      <c r="D2517" s="499">
        <v>230270</v>
      </c>
      <c r="E2517" s="497"/>
      <c r="F2517" s="263"/>
      <c r="G2517" s="272" t="s">
        <v>2753</v>
      </c>
    </row>
    <row r="2518" spans="1:7" ht="17.45" customHeight="1">
      <c r="A2518" s="261" t="s">
        <v>8</v>
      </c>
      <c r="B2518" s="257"/>
      <c r="C2518" s="271" t="s">
        <v>1269</v>
      </c>
      <c r="D2518" s="497"/>
      <c r="E2518" s="499">
        <v>396200</v>
      </c>
      <c r="F2518" s="263"/>
      <c r="G2518" s="272" t="s">
        <v>2753</v>
      </c>
    </row>
    <row r="2519" spans="1:7" ht="17.45" customHeight="1">
      <c r="A2519" s="261" t="s">
        <v>8</v>
      </c>
      <c r="C2519" s="271" t="s">
        <v>1270</v>
      </c>
      <c r="D2519" s="497"/>
      <c r="E2519" s="499">
        <v>763000</v>
      </c>
      <c r="F2519" s="263"/>
      <c r="G2519" s="273" t="s">
        <v>2740</v>
      </c>
    </row>
    <row r="2520" spans="1:7" ht="17.45" customHeight="1">
      <c r="A2520" s="261" t="s">
        <v>8</v>
      </c>
      <c r="C2520" s="271" t="s">
        <v>1670</v>
      </c>
      <c r="D2520" s="497"/>
      <c r="E2520" s="497">
        <v>0</v>
      </c>
      <c r="F2520" s="263"/>
      <c r="G2520" s="274"/>
    </row>
    <row r="2521" spans="1:7" ht="17.45" customHeight="1">
      <c r="A2521" s="261" t="s">
        <v>8</v>
      </c>
      <c r="C2521" s="271" t="s">
        <v>1672</v>
      </c>
      <c r="D2521" s="497"/>
      <c r="E2521" s="499">
        <v>140300</v>
      </c>
      <c r="F2521" s="263"/>
      <c r="G2521" s="273" t="s">
        <v>2732</v>
      </c>
    </row>
    <row r="2522" spans="1:7" ht="17.45" customHeight="1">
      <c r="A2522" s="261" t="s">
        <v>8</v>
      </c>
      <c r="C2522" s="271" t="s">
        <v>1673</v>
      </c>
      <c r="D2522" s="497"/>
      <c r="E2522" s="497">
        <v>0</v>
      </c>
      <c r="F2522" s="263"/>
      <c r="G2522" s="274"/>
    </row>
    <row r="2523" spans="1:7" ht="17.45" customHeight="1">
      <c r="A2523" s="261" t="s">
        <v>8</v>
      </c>
      <c r="C2523" s="271" t="s">
        <v>1332</v>
      </c>
      <c r="D2523" s="497"/>
      <c r="E2523" s="499">
        <v>34650</v>
      </c>
      <c r="F2523" s="263"/>
      <c r="G2523" s="275"/>
    </row>
    <row r="2524" spans="1:7" ht="17.45" customHeight="1">
      <c r="A2524" s="261" t="s">
        <v>8</v>
      </c>
      <c r="C2524" s="271" t="s">
        <v>1271</v>
      </c>
      <c r="D2524" s="497"/>
      <c r="E2524" s="497">
        <v>0</v>
      </c>
      <c r="F2524" s="263"/>
      <c r="G2524" s="274"/>
    </row>
    <row r="2525" spans="1:7" ht="17.45" customHeight="1">
      <c r="A2525" s="261" t="s">
        <v>8</v>
      </c>
      <c r="C2525" s="271" t="s">
        <v>1272</v>
      </c>
      <c r="D2525" s="497"/>
      <c r="E2525" s="497">
        <v>0</v>
      </c>
      <c r="F2525" s="263"/>
      <c r="G2525" s="273"/>
    </row>
    <row r="2526" spans="1:7" ht="17.45" customHeight="1">
      <c r="A2526" s="261" t="s">
        <v>8</v>
      </c>
      <c r="C2526" s="271" t="s">
        <v>1273</v>
      </c>
      <c r="D2526" s="497"/>
      <c r="E2526" s="499">
        <v>29920</v>
      </c>
      <c r="F2526" s="263"/>
      <c r="G2526" s="273" t="s">
        <v>2732</v>
      </c>
    </row>
    <row r="2527" spans="1:7" ht="17.45" customHeight="1">
      <c r="A2527" s="261" t="s">
        <v>8</v>
      </c>
      <c r="C2527" s="271" t="s">
        <v>1274</v>
      </c>
      <c r="D2527" s="497"/>
      <c r="E2527" s="497">
        <v>0</v>
      </c>
      <c r="F2527" s="263"/>
      <c r="G2527" s="273" t="s">
        <v>2732</v>
      </c>
    </row>
    <row r="2528" spans="1:7" ht="17.45" customHeight="1">
      <c r="A2528" s="261" t="s">
        <v>8</v>
      </c>
      <c r="C2528" s="271" t="s">
        <v>1275</v>
      </c>
      <c r="D2528" s="497"/>
      <c r="E2528" s="497">
        <v>0</v>
      </c>
      <c r="F2528" s="263"/>
      <c r="G2528" s="273"/>
    </row>
    <row r="2529" spans="1:7" ht="17.45" customHeight="1">
      <c r="A2529" s="261" t="s">
        <v>8</v>
      </c>
      <c r="C2529" s="271" t="s">
        <v>2168</v>
      </c>
      <c r="D2529" s="497"/>
      <c r="E2529" s="499">
        <v>18816</v>
      </c>
      <c r="F2529" s="263"/>
      <c r="G2529" s="273" t="s">
        <v>2732</v>
      </c>
    </row>
    <row r="2530" spans="1:7" ht="17.45" customHeight="1">
      <c r="A2530" s="261" t="s">
        <v>8</v>
      </c>
      <c r="C2530" s="271" t="s">
        <v>1517</v>
      </c>
      <c r="D2530" s="497"/>
      <c r="E2530" s="499">
        <f>23230*2</f>
        <v>46460</v>
      </c>
      <c r="F2530" s="263"/>
      <c r="G2530" s="273" t="s">
        <v>2732</v>
      </c>
    </row>
    <row r="2531" spans="1:7" ht="17.45" customHeight="1">
      <c r="A2531" s="261" t="s">
        <v>8</v>
      </c>
      <c r="C2531" s="271" t="s">
        <v>1276</v>
      </c>
      <c r="D2531" s="497"/>
      <c r="E2531" s="499">
        <f>507540-505490</f>
        <v>2050</v>
      </c>
      <c r="F2531" s="263"/>
      <c r="G2531" s="273" t="s">
        <v>2732</v>
      </c>
    </row>
    <row r="2532" spans="1:7" ht="17.45" customHeight="1">
      <c r="A2532" s="261" t="s">
        <v>8</v>
      </c>
      <c r="C2532" s="271" t="s">
        <v>1277</v>
      </c>
      <c r="D2532" s="497"/>
      <c r="E2532" s="497"/>
      <c r="F2532" s="263"/>
      <c r="G2532" s="273" t="s">
        <v>2732</v>
      </c>
    </row>
    <row r="2533" spans="1:7" ht="17.45" customHeight="1">
      <c r="A2533" s="261" t="s">
        <v>8</v>
      </c>
      <c r="C2533" s="271" t="s">
        <v>1278</v>
      </c>
      <c r="D2533" s="497"/>
      <c r="E2533" s="499">
        <v>200000</v>
      </c>
      <c r="F2533" s="263"/>
      <c r="G2533" s="273"/>
    </row>
    <row r="2534" spans="1:7" ht="17.45" customHeight="1">
      <c r="A2534" s="261" t="s">
        <v>8</v>
      </c>
      <c r="C2534" s="285" t="s">
        <v>1413</v>
      </c>
      <c r="D2534" s="506"/>
      <c r="E2534" s="507">
        <f>1300000</f>
        <v>1300000</v>
      </c>
      <c r="F2534" s="286"/>
      <c r="G2534" s="287"/>
    </row>
    <row r="2535" spans="1:7" ht="17.25" customHeight="1">
      <c r="A2535" s="261" t="s">
        <v>8</v>
      </c>
      <c r="C2535" s="285" t="s">
        <v>2780</v>
      </c>
      <c r="D2535" s="499">
        <v>3000000</v>
      </c>
      <c r="E2535" s="497"/>
      <c r="F2535" s="263"/>
      <c r="G2535" s="275"/>
    </row>
    <row r="2536" spans="1:7" ht="17.25" customHeight="1">
      <c r="A2536" s="261" t="s">
        <v>8</v>
      </c>
      <c r="C2536" s="338" t="s">
        <v>2776</v>
      </c>
      <c r="D2536" s="497"/>
      <c r="E2536" s="497"/>
      <c r="F2536" s="263"/>
      <c r="G2536" s="275"/>
    </row>
    <row r="2537" spans="1:7" ht="17.25" customHeight="1">
      <c r="A2537" s="261" t="s">
        <v>8</v>
      </c>
      <c r="C2537" s="338" t="s">
        <v>2775</v>
      </c>
      <c r="D2537" s="499">
        <v>1995000</v>
      </c>
      <c r="E2537" s="497"/>
      <c r="F2537" s="263"/>
      <c r="G2537" s="275"/>
    </row>
    <row r="2538" spans="1:7" ht="17.45" customHeight="1">
      <c r="A2538" s="261" t="s">
        <v>8</v>
      </c>
      <c r="C2538" s="339" t="s">
        <v>2647</v>
      </c>
      <c r="D2538" s="506"/>
      <c r="E2538" s="506"/>
      <c r="F2538" s="286"/>
      <c r="G2538" s="290"/>
    </row>
    <row r="2539" spans="1:7" ht="17.45" customHeight="1" thickBot="1">
      <c r="A2539" s="261" t="s">
        <v>8</v>
      </c>
      <c r="C2539" s="285" t="s">
        <v>1942</v>
      </c>
      <c r="D2539" s="506"/>
      <c r="E2539" s="507">
        <v>20000</v>
      </c>
      <c r="F2539" s="286"/>
      <c r="G2539" s="290"/>
    </row>
    <row r="2540" spans="1:7" ht="17.45" customHeight="1">
      <c r="A2540" s="261" t="s">
        <v>8</v>
      </c>
      <c r="C2540" s="268" t="s">
        <v>1280</v>
      </c>
      <c r="D2540" s="501"/>
      <c r="E2540" s="500">
        <f>50000*2</f>
        <v>100000</v>
      </c>
      <c r="F2540" s="269"/>
      <c r="G2540" s="288"/>
    </row>
    <row r="2541" spans="1:7" ht="17.45" customHeight="1">
      <c r="A2541" s="261" t="s">
        <v>8</v>
      </c>
      <c r="C2541" s="271" t="s">
        <v>1549</v>
      </c>
      <c r="D2541" s="497"/>
      <c r="E2541" s="497"/>
      <c r="F2541" s="263"/>
      <c r="G2541" s="275"/>
    </row>
    <row r="2542" spans="1:7" ht="17.45" customHeight="1">
      <c r="A2542" s="261" t="s">
        <v>8</v>
      </c>
      <c r="C2542" s="271" t="s">
        <v>1819</v>
      </c>
      <c r="D2542" s="497"/>
      <c r="E2542" s="497"/>
      <c r="F2542" s="263"/>
      <c r="G2542" s="275"/>
    </row>
    <row r="2543" spans="1:7" ht="17.45" customHeight="1">
      <c r="A2543" s="261" t="s">
        <v>8</v>
      </c>
      <c r="C2543" s="271" t="s">
        <v>391</v>
      </c>
      <c r="D2543" s="497"/>
      <c r="E2543" s="497"/>
      <c r="F2543" s="263"/>
      <c r="G2543" s="275"/>
    </row>
    <row r="2544" spans="1:7" ht="17.45" customHeight="1">
      <c r="A2544" s="261" t="s">
        <v>8</v>
      </c>
      <c r="C2544" s="271" t="s">
        <v>1934</v>
      </c>
      <c r="D2544" s="497"/>
      <c r="E2544" s="497"/>
      <c r="F2544" s="263"/>
      <c r="G2544" s="275"/>
    </row>
    <row r="2545" spans="1:7" ht="17.25" customHeight="1">
      <c r="A2545" s="261" t="s">
        <v>8</v>
      </c>
      <c r="C2545" s="271" t="s">
        <v>2202</v>
      </c>
      <c r="D2545" s="497"/>
      <c r="E2545" s="497"/>
      <c r="F2545" s="263"/>
      <c r="G2545" s="275"/>
    </row>
    <row r="2546" spans="1:7" ht="17.45" customHeight="1">
      <c r="A2546" s="261" t="s">
        <v>8</v>
      </c>
      <c r="C2546" s="271" t="s">
        <v>2097</v>
      </c>
      <c r="D2546" s="497"/>
      <c r="E2546" s="497"/>
      <c r="F2546" s="263"/>
      <c r="G2546" s="275"/>
    </row>
    <row r="2547" spans="1:7" ht="17.45" customHeight="1">
      <c r="A2547" s="261" t="s">
        <v>8</v>
      </c>
      <c r="C2547" s="271" t="s">
        <v>2654</v>
      </c>
      <c r="D2547" s="497"/>
      <c r="E2547" s="499">
        <v>60000</v>
      </c>
      <c r="F2547" s="263"/>
      <c r="G2547" s="275"/>
    </row>
    <row r="2548" spans="1:7" ht="17.45" customHeight="1">
      <c r="A2548" s="261" t="s">
        <v>8</v>
      </c>
      <c r="C2548" s="271" t="s">
        <v>1687</v>
      </c>
      <c r="D2548" s="497"/>
      <c r="E2548" s="497"/>
      <c r="F2548" s="263"/>
      <c r="G2548" s="275"/>
    </row>
    <row r="2549" spans="1:7" ht="17.45" customHeight="1">
      <c r="A2549" s="261" t="s">
        <v>8</v>
      </c>
      <c r="C2549" s="271" t="s">
        <v>1688</v>
      </c>
      <c r="D2549" s="497"/>
      <c r="E2549" s="497"/>
      <c r="F2549" s="263"/>
      <c r="G2549" s="275"/>
    </row>
    <row r="2550" spans="1:7" ht="17.45" customHeight="1">
      <c r="A2550" s="261" t="s">
        <v>8</v>
      </c>
      <c r="C2550" s="271" t="s">
        <v>2797</v>
      </c>
      <c r="D2550" s="497"/>
      <c r="E2550" s="499">
        <v>40000</v>
      </c>
      <c r="F2550" s="263"/>
      <c r="G2550" s="275"/>
    </row>
    <row r="2551" spans="1:7" ht="17.45" customHeight="1">
      <c r="A2551" s="261" t="s">
        <v>8</v>
      </c>
      <c r="C2551" s="271" t="s">
        <v>1596</v>
      </c>
      <c r="D2551" s="497"/>
      <c r="E2551" s="497"/>
      <c r="F2551" s="263"/>
      <c r="G2551" s="275"/>
    </row>
    <row r="2552" spans="1:7" ht="17.45" customHeight="1">
      <c r="A2552" s="261" t="s">
        <v>8</v>
      </c>
      <c r="C2552" s="271" t="s">
        <v>1595</v>
      </c>
      <c r="D2552" s="497"/>
      <c r="E2552" s="497"/>
      <c r="F2552" s="263"/>
      <c r="G2552" s="275"/>
    </row>
    <row r="2553" spans="1:7" ht="17.45" customHeight="1">
      <c r="A2553" s="261" t="s">
        <v>8</v>
      </c>
      <c r="C2553" s="271" t="s">
        <v>1613</v>
      </c>
      <c r="D2553" s="497"/>
      <c r="E2553" s="499">
        <f>5000+7200</f>
        <v>12200</v>
      </c>
      <c r="F2553" s="263"/>
      <c r="G2553" s="275"/>
    </row>
    <row r="2554" spans="1:7" ht="17.45" customHeight="1">
      <c r="A2554" s="261" t="s">
        <v>8</v>
      </c>
      <c r="C2554" s="271" t="s">
        <v>1689</v>
      </c>
      <c r="D2554" s="497"/>
      <c r="E2554" s="497"/>
      <c r="F2554" s="263"/>
      <c r="G2554" s="275"/>
    </row>
    <row r="2555" spans="1:7" ht="17.45" customHeight="1">
      <c r="A2555" s="261" t="s">
        <v>8</v>
      </c>
      <c r="C2555" s="271" t="s">
        <v>1569</v>
      </c>
      <c r="D2555" s="497"/>
      <c r="E2555" s="497"/>
      <c r="F2555" s="263"/>
      <c r="G2555" s="275"/>
    </row>
    <row r="2556" spans="1:7" ht="17.45" customHeight="1">
      <c r="A2556" s="261" t="s">
        <v>8</v>
      </c>
      <c r="C2556" s="271" t="s">
        <v>1618</v>
      </c>
      <c r="D2556" s="497"/>
      <c r="E2556" s="499">
        <f>6850+58340</f>
        <v>65190</v>
      </c>
      <c r="F2556" s="263"/>
      <c r="G2556" s="275"/>
    </row>
    <row r="2557" spans="1:7" ht="17.45" customHeight="1">
      <c r="A2557" s="261" t="s">
        <v>8</v>
      </c>
      <c r="C2557" s="271" t="s">
        <v>1800</v>
      </c>
      <c r="D2557" s="497"/>
      <c r="E2557" s="497"/>
      <c r="F2557" s="263"/>
      <c r="G2557" s="275"/>
    </row>
    <row r="2558" spans="1:7" ht="17.45" customHeight="1" thickBot="1">
      <c r="A2558" s="261" t="s">
        <v>8</v>
      </c>
      <c r="C2558" s="276" t="s">
        <v>2699</v>
      </c>
      <c r="D2558" s="502"/>
      <c r="E2558" s="503">
        <f>26300+19100+12000+34000+29800</f>
        <v>121200</v>
      </c>
      <c r="F2558" s="277"/>
      <c r="G2558" s="282"/>
    </row>
    <row r="2559" spans="1:7" ht="17.45" customHeight="1">
      <c r="A2559" s="261" t="s">
        <v>8</v>
      </c>
      <c r="C2559" s="279" t="s">
        <v>2754</v>
      </c>
      <c r="D2559" s="504"/>
      <c r="E2559" s="505">
        <f>44000+1500</f>
        <v>45500</v>
      </c>
      <c r="F2559" s="280"/>
      <c r="G2559" s="281"/>
    </row>
    <row r="2560" spans="1:7" ht="17.45" customHeight="1">
      <c r="A2560" s="261" t="s">
        <v>8</v>
      </c>
      <c r="C2560" s="271" t="s">
        <v>2721</v>
      </c>
      <c r="D2560" s="497"/>
      <c r="E2560" s="499">
        <v>-100000</v>
      </c>
      <c r="F2560" s="263"/>
      <c r="G2560" s="275"/>
    </row>
    <row r="2561" spans="1:7" ht="17.45" customHeight="1">
      <c r="A2561" s="261" t="s">
        <v>8</v>
      </c>
      <c r="C2561" s="271" t="s">
        <v>2755</v>
      </c>
      <c r="D2561" s="497"/>
      <c r="E2561" s="499">
        <v>18000</v>
      </c>
      <c r="F2561" s="263"/>
      <c r="G2561" s="273" t="s">
        <v>2732</v>
      </c>
    </row>
    <row r="2562" spans="1:7" ht="17.45" customHeight="1">
      <c r="A2562" s="261" t="s">
        <v>8</v>
      </c>
      <c r="C2562" s="271" t="s">
        <v>2423</v>
      </c>
      <c r="D2562" s="497"/>
      <c r="E2562" s="499">
        <v>1200</v>
      </c>
      <c r="F2562" s="263"/>
      <c r="G2562" s="275"/>
    </row>
    <row r="2563" spans="1:7" ht="17.45" customHeight="1">
      <c r="A2563" s="261" t="s">
        <v>8</v>
      </c>
      <c r="C2563" s="271" t="s">
        <v>2756</v>
      </c>
      <c r="D2563" s="497"/>
      <c r="E2563" s="499">
        <v>3000</v>
      </c>
      <c r="F2563" s="263"/>
      <c r="G2563" s="275"/>
    </row>
    <row r="2564" spans="1:7" ht="17.45" customHeight="1">
      <c r="A2564" s="261" t="s">
        <v>8</v>
      </c>
      <c r="C2564" s="271" t="s">
        <v>2757</v>
      </c>
      <c r="D2564" s="497"/>
      <c r="E2564" s="499">
        <v>21000</v>
      </c>
      <c r="F2564" s="263"/>
      <c r="G2564" s="275"/>
    </row>
    <row r="2565" spans="1:7" ht="17.45" customHeight="1">
      <c r="A2565" s="261" t="s">
        <v>8</v>
      </c>
      <c r="C2565" s="271" t="s">
        <v>2084</v>
      </c>
      <c r="D2565" s="497"/>
      <c r="E2565" s="499">
        <v>5200</v>
      </c>
      <c r="F2565" s="263"/>
      <c r="G2565" s="275"/>
    </row>
    <row r="2566" spans="1:7" ht="17.45" customHeight="1">
      <c r="A2566" s="261" t="s">
        <v>8</v>
      </c>
      <c r="C2566" s="271" t="s">
        <v>2758</v>
      </c>
      <c r="D2566" s="497"/>
      <c r="E2566" s="499">
        <v>14300</v>
      </c>
      <c r="F2566" s="263"/>
      <c r="G2566" s="275"/>
    </row>
    <row r="2567" spans="1:7" ht="17.45" customHeight="1">
      <c r="A2567" s="261" t="s">
        <v>8</v>
      </c>
      <c r="C2567" s="271" t="s">
        <v>2759</v>
      </c>
      <c r="D2567" s="497"/>
      <c r="E2567" s="499">
        <v>1000</v>
      </c>
      <c r="F2567" s="263"/>
      <c r="G2567" s="275"/>
    </row>
    <row r="2568" spans="1:7" ht="17.45" customHeight="1">
      <c r="A2568" s="261" t="s">
        <v>8</v>
      </c>
      <c r="C2568" s="271" t="s">
        <v>2760</v>
      </c>
      <c r="D2568" s="497"/>
      <c r="E2568" s="499">
        <v>55000</v>
      </c>
      <c r="F2568" s="263"/>
      <c r="G2568" s="275"/>
    </row>
    <row r="2569" spans="1:7" ht="17.25" customHeight="1">
      <c r="A2569" s="261" t="s">
        <v>8</v>
      </c>
      <c r="C2569" s="271" t="s">
        <v>2761</v>
      </c>
      <c r="D2569" s="497"/>
      <c r="E2569" s="499">
        <v>104200</v>
      </c>
      <c r="F2569" s="263"/>
      <c r="G2569" s="275"/>
    </row>
    <row r="2570" spans="1:7" ht="17.45" customHeight="1">
      <c r="A2570" s="261" t="s">
        <v>8</v>
      </c>
      <c r="C2570" s="271" t="s">
        <v>2443</v>
      </c>
      <c r="D2570" s="497"/>
      <c r="E2570" s="499">
        <v>4100</v>
      </c>
      <c r="F2570" s="263"/>
      <c r="G2570" s="275"/>
    </row>
    <row r="2571" spans="1:7" ht="17.45" customHeight="1">
      <c r="A2571" s="261" t="s">
        <v>8</v>
      </c>
      <c r="C2571" s="271" t="s">
        <v>2489</v>
      </c>
      <c r="D2571" s="497"/>
      <c r="E2571" s="499">
        <v>13100</v>
      </c>
      <c r="F2571" s="263"/>
      <c r="G2571" s="275"/>
    </row>
    <row r="2572" spans="1:7" ht="17.45" customHeight="1">
      <c r="A2572" s="261" t="s">
        <v>8</v>
      </c>
      <c r="C2572" s="271" t="s">
        <v>2762</v>
      </c>
      <c r="D2572" s="497"/>
      <c r="E2572" s="499">
        <f>1000+500</f>
        <v>1500</v>
      </c>
      <c r="F2572" s="263"/>
      <c r="G2572" s="275"/>
    </row>
    <row r="2573" spans="1:7" ht="17.45" customHeight="1">
      <c r="A2573" s="261" t="s">
        <v>8</v>
      </c>
      <c r="C2573" s="271" t="s">
        <v>2763</v>
      </c>
      <c r="D2573" s="497"/>
      <c r="E2573" s="499">
        <v>5000</v>
      </c>
      <c r="F2573" s="263"/>
      <c r="G2573" s="275"/>
    </row>
    <row r="2574" spans="1:7" ht="17.45" customHeight="1">
      <c r="A2574" s="261" t="s">
        <v>8</v>
      </c>
      <c r="C2574" s="271" t="s">
        <v>2764</v>
      </c>
      <c r="D2574" s="497"/>
      <c r="E2574" s="499">
        <f>20000*3</f>
        <v>60000</v>
      </c>
      <c r="F2574" s="263"/>
      <c r="G2574" s="275"/>
    </row>
    <row r="2575" spans="1:7" ht="17.45" customHeight="1">
      <c r="A2575" s="261" t="s">
        <v>8</v>
      </c>
      <c r="C2575" s="271" t="s">
        <v>2765</v>
      </c>
      <c r="D2575" s="497"/>
      <c r="E2575" s="499">
        <v>150000</v>
      </c>
      <c r="F2575" s="263"/>
      <c r="G2575" s="275"/>
    </row>
    <row r="2576" spans="1:7" ht="17.45" customHeight="1">
      <c r="A2576" s="261" t="s">
        <v>8</v>
      </c>
      <c r="C2576" s="271" t="s">
        <v>1163</v>
      </c>
      <c r="D2576" s="497"/>
      <c r="E2576" s="499">
        <v>8800</v>
      </c>
      <c r="F2576" s="263"/>
      <c r="G2576" s="275"/>
    </row>
    <row r="2577" spans="1:7" ht="17.45" customHeight="1">
      <c r="A2577" s="261" t="s">
        <v>8</v>
      </c>
      <c r="C2577" s="271" t="s">
        <v>1647</v>
      </c>
      <c r="D2577" s="497"/>
      <c r="E2577" s="499">
        <f>3900+9300+7800</f>
        <v>21000</v>
      </c>
      <c r="F2577" s="263"/>
      <c r="G2577" s="275"/>
    </row>
    <row r="2578" spans="1:7" ht="17.45" customHeight="1">
      <c r="A2578" s="261" t="s">
        <v>8</v>
      </c>
      <c r="C2578" s="271" t="s">
        <v>2766</v>
      </c>
      <c r="D2578" s="497"/>
      <c r="E2578" s="499">
        <v>4000</v>
      </c>
      <c r="F2578" s="263"/>
      <c r="G2578" s="275"/>
    </row>
    <row r="2579" spans="1:7" ht="17.45" customHeight="1">
      <c r="A2579" s="261" t="s">
        <v>8</v>
      </c>
      <c r="C2579" s="271" t="s">
        <v>1680</v>
      </c>
      <c r="D2579" s="497"/>
      <c r="E2579" s="499">
        <v>3800</v>
      </c>
      <c r="F2579" s="263"/>
      <c r="G2579" s="275"/>
    </row>
    <row r="2580" spans="1:7" ht="17.45" customHeight="1">
      <c r="A2580" s="261" t="s">
        <v>8</v>
      </c>
      <c r="C2580" s="271" t="s">
        <v>2767</v>
      </c>
      <c r="D2580" s="497"/>
      <c r="E2580" s="499">
        <f>20000+6000</f>
        <v>26000</v>
      </c>
      <c r="F2580" s="263"/>
      <c r="G2580" s="275"/>
    </row>
    <row r="2581" spans="1:7" ht="17.45" customHeight="1">
      <c r="A2581" s="261" t="s">
        <v>8</v>
      </c>
      <c r="C2581" s="271" t="s">
        <v>1789</v>
      </c>
      <c r="D2581" s="497"/>
      <c r="E2581" s="499">
        <f>-13020+453020-13020</f>
        <v>426980</v>
      </c>
      <c r="F2581" s="263"/>
      <c r="G2581" s="275"/>
    </row>
    <row r="2582" spans="1:7" ht="17.45" customHeight="1">
      <c r="A2582" s="261" t="s">
        <v>8</v>
      </c>
      <c r="C2582" s="271" t="s">
        <v>2768</v>
      </c>
      <c r="D2582" s="497"/>
      <c r="E2582" s="499">
        <v>3500</v>
      </c>
      <c r="F2582" s="263"/>
      <c r="G2582" s="275"/>
    </row>
    <row r="2583" spans="1:7" ht="17.45" customHeight="1">
      <c r="A2583" s="261" t="s">
        <v>8</v>
      </c>
      <c r="C2583" s="271" t="s">
        <v>2769</v>
      </c>
      <c r="D2583" s="497"/>
      <c r="E2583" s="499">
        <v>12300</v>
      </c>
      <c r="F2583" s="263"/>
      <c r="G2583" s="275"/>
    </row>
    <row r="2584" spans="1:7" ht="17.45" customHeight="1">
      <c r="A2584" s="261" t="s">
        <v>8</v>
      </c>
      <c r="C2584" s="271" t="s">
        <v>2770</v>
      </c>
      <c r="D2584" s="497"/>
      <c r="E2584" s="499">
        <v>3600</v>
      </c>
      <c r="F2584" s="263"/>
      <c r="G2584" s="275"/>
    </row>
    <row r="2585" spans="1:7" ht="17.45" customHeight="1">
      <c r="A2585" s="261" t="s">
        <v>8</v>
      </c>
      <c r="C2585" s="271" t="s">
        <v>2771</v>
      </c>
      <c r="D2585" s="497"/>
      <c r="E2585" s="499">
        <v>5500</v>
      </c>
      <c r="F2585" s="263"/>
      <c r="G2585" s="275"/>
    </row>
    <row r="2586" spans="1:7" ht="17.45" customHeight="1">
      <c r="A2586" s="261" t="s">
        <v>8</v>
      </c>
      <c r="C2586" s="271" t="s">
        <v>2772</v>
      </c>
      <c r="D2586" s="497"/>
      <c r="E2586" s="499">
        <v>11000</v>
      </c>
      <c r="F2586" s="263"/>
      <c r="G2586" s="275"/>
    </row>
    <row r="2587" spans="1:7" ht="17.45" customHeight="1">
      <c r="A2587" s="261" t="s">
        <v>8</v>
      </c>
      <c r="C2587" s="271" t="s">
        <v>2773</v>
      </c>
      <c r="D2587" s="497"/>
      <c r="E2587" s="499">
        <v>22300</v>
      </c>
      <c r="F2587" s="263"/>
      <c r="G2587" s="275"/>
    </row>
    <row r="2588" spans="1:7" ht="17.45" customHeight="1">
      <c r="A2588" s="261" t="s">
        <v>8</v>
      </c>
      <c r="C2588" s="271" t="s">
        <v>2644</v>
      </c>
      <c r="D2588" s="497"/>
      <c r="E2588" s="499">
        <v>35500</v>
      </c>
      <c r="F2588" s="263"/>
      <c r="G2588" s="275"/>
    </row>
    <row r="2589" spans="1:7" ht="17.45" customHeight="1">
      <c r="A2589" s="261" t="s">
        <v>8</v>
      </c>
      <c r="C2589" s="271" t="s">
        <v>2774</v>
      </c>
      <c r="D2589" s="497"/>
      <c r="E2589" s="499">
        <v>27600</v>
      </c>
      <c r="F2589" s="263"/>
      <c r="G2589" s="275"/>
    </row>
    <row r="2590" spans="1:7" ht="17.45" customHeight="1">
      <c r="A2590" s="261" t="s">
        <v>8</v>
      </c>
      <c r="C2590" s="271" t="s">
        <v>2437</v>
      </c>
      <c r="D2590" s="497"/>
      <c r="E2590" s="499">
        <v>-100000</v>
      </c>
      <c r="F2590" s="263"/>
      <c r="G2590" s="275"/>
    </row>
    <row r="2591" spans="1:7" ht="17.45" customHeight="1">
      <c r="A2591" s="261" t="s">
        <v>8</v>
      </c>
      <c r="C2591" s="271" t="s">
        <v>1628</v>
      </c>
      <c r="D2591" s="497"/>
      <c r="E2591" s="499">
        <v>24000</v>
      </c>
      <c r="F2591" s="263"/>
      <c r="G2591" s="275"/>
    </row>
    <row r="2592" spans="1:7" ht="17.45" customHeight="1">
      <c r="A2592" s="261" t="s">
        <v>8</v>
      </c>
      <c r="C2592" s="271" t="s">
        <v>2642</v>
      </c>
      <c r="D2592" s="497"/>
      <c r="E2592" s="499">
        <v>22000</v>
      </c>
      <c r="F2592" s="263"/>
      <c r="G2592" s="275"/>
    </row>
    <row r="2593" spans="1:7" ht="17.45" customHeight="1">
      <c r="A2593" s="261" t="s">
        <v>8</v>
      </c>
      <c r="C2593" s="271" t="s">
        <v>2777</v>
      </c>
      <c r="D2593" s="497"/>
      <c r="E2593" s="499">
        <v>27400</v>
      </c>
      <c r="F2593" s="263"/>
      <c r="G2593" s="275"/>
    </row>
    <row r="2594" spans="1:7" ht="17.45" customHeight="1">
      <c r="A2594" s="261" t="s">
        <v>8</v>
      </c>
      <c r="C2594" s="271" t="s">
        <v>2248</v>
      </c>
      <c r="D2594" s="497"/>
      <c r="E2594" s="499">
        <v>21500</v>
      </c>
      <c r="F2594" s="263"/>
      <c r="G2594" s="275"/>
    </row>
    <row r="2595" spans="1:7" ht="17.45" customHeight="1">
      <c r="A2595" s="261" t="s">
        <v>8</v>
      </c>
      <c r="C2595" s="271" t="s">
        <v>1776</v>
      </c>
      <c r="D2595" s="497"/>
      <c r="E2595" s="499">
        <v>5500</v>
      </c>
      <c r="F2595" s="263"/>
      <c r="G2595" s="275"/>
    </row>
    <row r="2596" spans="1:7" ht="17.45" customHeight="1">
      <c r="A2596" s="261" t="s">
        <v>8</v>
      </c>
      <c r="C2596" s="271" t="s">
        <v>1910</v>
      </c>
      <c r="D2596" s="497"/>
      <c r="E2596" s="499">
        <v>13000</v>
      </c>
      <c r="F2596" s="263"/>
      <c r="G2596" s="275"/>
    </row>
    <row r="2597" spans="1:7" ht="17.45" customHeight="1">
      <c r="A2597" s="261" t="s">
        <v>8</v>
      </c>
      <c r="C2597" s="271" t="s">
        <v>2713</v>
      </c>
      <c r="D2597" s="497"/>
      <c r="E2597" s="499">
        <v>400</v>
      </c>
      <c r="F2597" s="263"/>
      <c r="G2597" s="275"/>
    </row>
    <row r="2598" spans="1:7" ht="17.45" customHeight="1">
      <c r="A2598" s="261" t="s">
        <v>8</v>
      </c>
      <c r="C2598" s="271" t="s">
        <v>2778</v>
      </c>
      <c r="D2598" s="497"/>
      <c r="E2598" s="499">
        <v>33900</v>
      </c>
      <c r="F2598" s="263"/>
      <c r="G2598" s="275"/>
    </row>
    <row r="2599" spans="1:7" ht="17.45" customHeight="1">
      <c r="A2599" s="261" t="s">
        <v>8</v>
      </c>
      <c r="C2599" s="271" t="s">
        <v>2779</v>
      </c>
      <c r="D2599" s="497"/>
      <c r="E2599" s="499">
        <f>10000+25900+5590+16300</f>
        <v>57790</v>
      </c>
      <c r="F2599" s="263"/>
      <c r="G2599" s="275"/>
    </row>
    <row r="2600" spans="1:7" ht="17.45" customHeight="1">
      <c r="A2600" s="261" t="s">
        <v>8</v>
      </c>
      <c r="C2600" s="271" t="s">
        <v>2080</v>
      </c>
      <c r="D2600" s="497"/>
      <c r="E2600" s="499">
        <v>300000</v>
      </c>
      <c r="F2600" s="263"/>
      <c r="G2600" s="275"/>
    </row>
    <row r="2601" spans="1:7" ht="17.45" customHeight="1">
      <c r="A2601" s="261" t="s">
        <v>8</v>
      </c>
      <c r="C2601" s="271" t="s">
        <v>1650</v>
      </c>
      <c r="D2601" s="497"/>
      <c r="E2601" s="499">
        <f>9800+9800</f>
        <v>19600</v>
      </c>
      <c r="F2601" s="263"/>
      <c r="G2601" s="275"/>
    </row>
    <row r="2602" spans="1:7" ht="17.45" customHeight="1">
      <c r="A2602" s="261" t="s">
        <v>8</v>
      </c>
      <c r="C2602" s="271" t="s">
        <v>1602</v>
      </c>
      <c r="D2602" s="499">
        <v>860</v>
      </c>
      <c r="E2602" s="497"/>
      <c r="F2602" s="263"/>
      <c r="G2602" s="275"/>
    </row>
    <row r="2603" spans="1:7" ht="17.45" customHeight="1">
      <c r="A2603" s="261" t="s">
        <v>8</v>
      </c>
      <c r="C2603" s="271" t="s">
        <v>2795</v>
      </c>
      <c r="D2603" s="497"/>
      <c r="E2603" s="499">
        <v>1000</v>
      </c>
      <c r="F2603" s="263"/>
      <c r="G2603" s="275"/>
    </row>
    <row r="2604" spans="1:7" ht="17.45" customHeight="1">
      <c r="A2604" s="261" t="s">
        <v>8</v>
      </c>
      <c r="C2604" s="271" t="s">
        <v>2796</v>
      </c>
      <c r="D2604" s="497"/>
      <c r="E2604" s="499">
        <v>100000</v>
      </c>
      <c r="F2604" s="263"/>
      <c r="G2604" s="275"/>
    </row>
    <row r="2605" spans="1:7" ht="17.45" customHeight="1" thickBot="1">
      <c r="A2605" s="261" t="s">
        <v>8</v>
      </c>
      <c r="C2605" s="276" t="s">
        <v>1300</v>
      </c>
      <c r="D2605" s="502">
        <f>SUM(D2516:D2604)-SUM(E2516:E2604)</f>
        <v>6214274</v>
      </c>
      <c r="E2605" s="502">
        <f>SUM(E2516:E2604)-SUM(F2516:F2604)</f>
        <v>4890056</v>
      </c>
      <c r="F2605" s="277"/>
      <c r="G2605" s="283"/>
    </row>
    <row r="2607" spans="1:7" ht="12.75" thickBot="1"/>
    <row r="2608" spans="1:7" ht="17.45" customHeight="1">
      <c r="A2608" s="261" t="s">
        <v>8</v>
      </c>
      <c r="B2608" s="256" t="s">
        <v>2799</v>
      </c>
      <c r="C2608" s="268" t="s">
        <v>1268</v>
      </c>
      <c r="D2608" s="500">
        <v>6102788</v>
      </c>
      <c r="E2608" s="501"/>
      <c r="F2608" s="269"/>
      <c r="G2608" s="270"/>
    </row>
    <row r="2609" spans="1:7" ht="17.45" customHeight="1">
      <c r="A2609" s="261" t="s">
        <v>8</v>
      </c>
      <c r="B2609" s="257"/>
      <c r="C2609" s="271" t="s">
        <v>1269</v>
      </c>
      <c r="D2609" s="497"/>
      <c r="E2609" s="499">
        <f>450000-82800</f>
        <v>367200</v>
      </c>
      <c r="F2609" s="263"/>
      <c r="G2609" s="272" t="s">
        <v>2800</v>
      </c>
    </row>
    <row r="2610" spans="1:7" ht="17.45" customHeight="1">
      <c r="A2610" s="261" t="s">
        <v>8</v>
      </c>
      <c r="C2610" s="271" t="s">
        <v>1270</v>
      </c>
      <c r="D2610" s="497"/>
      <c r="E2610" s="499">
        <v>758000</v>
      </c>
      <c r="F2610" s="263"/>
      <c r="G2610" s="273" t="s">
        <v>2740</v>
      </c>
    </row>
    <row r="2611" spans="1:7" ht="17.45" customHeight="1">
      <c r="A2611" s="261" t="s">
        <v>8</v>
      </c>
      <c r="C2611" s="271" t="s">
        <v>1670</v>
      </c>
      <c r="D2611" s="497"/>
      <c r="E2611" s="497">
        <v>0</v>
      </c>
      <c r="F2611" s="263"/>
      <c r="G2611" s="274"/>
    </row>
    <row r="2612" spans="1:7" ht="17.45" customHeight="1">
      <c r="A2612" s="261" t="s">
        <v>8</v>
      </c>
      <c r="C2612" s="271" t="s">
        <v>1672</v>
      </c>
      <c r="D2612" s="497"/>
      <c r="E2612" s="499">
        <v>114300</v>
      </c>
      <c r="F2612" s="263"/>
      <c r="G2612" s="273" t="s">
        <v>2732</v>
      </c>
    </row>
    <row r="2613" spans="1:7" ht="17.45" customHeight="1">
      <c r="A2613" s="261" t="s">
        <v>8</v>
      </c>
      <c r="C2613" s="271" t="s">
        <v>1673</v>
      </c>
      <c r="D2613" s="497"/>
      <c r="E2613" s="497">
        <v>0</v>
      </c>
      <c r="F2613" s="263"/>
      <c r="G2613" s="274"/>
    </row>
    <row r="2614" spans="1:7" ht="17.45" customHeight="1">
      <c r="A2614" s="261" t="s">
        <v>8</v>
      </c>
      <c r="C2614" s="271" t="s">
        <v>1332</v>
      </c>
      <c r="D2614" s="497"/>
      <c r="E2614" s="499">
        <v>34650</v>
      </c>
      <c r="F2614" s="263"/>
      <c r="G2614" s="275"/>
    </row>
    <row r="2615" spans="1:7" ht="17.45" customHeight="1">
      <c r="A2615" s="261" t="s">
        <v>8</v>
      </c>
      <c r="C2615" s="271" t="s">
        <v>1271</v>
      </c>
      <c r="D2615" s="497"/>
      <c r="E2615" s="497">
        <v>0</v>
      </c>
      <c r="F2615" s="263"/>
      <c r="G2615" s="274"/>
    </row>
    <row r="2616" spans="1:7" ht="17.45" customHeight="1">
      <c r="A2616" s="261" t="s">
        <v>8</v>
      </c>
      <c r="C2616" s="271" t="s">
        <v>1272</v>
      </c>
      <c r="D2616" s="497"/>
      <c r="E2616" s="497">
        <v>0</v>
      </c>
      <c r="F2616" s="263"/>
      <c r="G2616" s="273"/>
    </row>
    <row r="2617" spans="1:7" ht="17.45" customHeight="1">
      <c r="A2617" s="261" t="s">
        <v>8</v>
      </c>
      <c r="C2617" s="271" t="s">
        <v>1273</v>
      </c>
      <c r="D2617" s="497"/>
      <c r="E2617" s="499">
        <v>29920</v>
      </c>
      <c r="F2617" s="263"/>
      <c r="G2617" s="273" t="s">
        <v>2732</v>
      </c>
    </row>
    <row r="2618" spans="1:7" ht="17.45" customHeight="1">
      <c r="A2618" s="261" t="s">
        <v>8</v>
      </c>
      <c r="C2618" s="271" t="s">
        <v>1274</v>
      </c>
      <c r="D2618" s="497"/>
      <c r="E2618" s="499">
        <v>9405</v>
      </c>
      <c r="F2618" s="263"/>
      <c r="G2618" s="273" t="s">
        <v>2732</v>
      </c>
    </row>
    <row r="2619" spans="1:7" ht="17.45" customHeight="1">
      <c r="A2619" s="261" t="s">
        <v>8</v>
      </c>
      <c r="C2619" s="271" t="s">
        <v>1275</v>
      </c>
      <c r="D2619" s="497"/>
      <c r="E2619" s="497">
        <v>0</v>
      </c>
      <c r="F2619" s="263"/>
      <c r="G2619" s="273"/>
    </row>
    <row r="2620" spans="1:7" ht="17.45" customHeight="1">
      <c r="A2620" s="261" t="s">
        <v>8</v>
      </c>
      <c r="C2620" s="271" t="s">
        <v>2168</v>
      </c>
      <c r="D2620" s="497"/>
      <c r="E2620" s="499">
        <v>18816</v>
      </c>
      <c r="F2620" s="263"/>
      <c r="G2620" s="273" t="s">
        <v>2732</v>
      </c>
    </row>
    <row r="2621" spans="1:7" ht="17.45" customHeight="1">
      <c r="A2621" s="261" t="s">
        <v>8</v>
      </c>
      <c r="C2621" s="271" t="s">
        <v>1517</v>
      </c>
      <c r="D2621" s="497"/>
      <c r="E2621" s="499">
        <v>23230</v>
      </c>
      <c r="F2621" s="263"/>
      <c r="G2621" s="273" t="s">
        <v>2732</v>
      </c>
    </row>
    <row r="2622" spans="1:7" ht="17.45" customHeight="1">
      <c r="A2622" s="261" t="s">
        <v>8</v>
      </c>
      <c r="C2622" s="271" t="s">
        <v>1276</v>
      </c>
      <c r="D2622" s="497"/>
      <c r="E2622" s="499">
        <v>505490</v>
      </c>
      <c r="F2622" s="263"/>
      <c r="G2622" s="273" t="s">
        <v>2732</v>
      </c>
    </row>
    <row r="2623" spans="1:7" ht="17.45" customHeight="1">
      <c r="A2623" s="261" t="s">
        <v>8</v>
      </c>
      <c r="C2623" s="271" t="s">
        <v>1277</v>
      </c>
      <c r="D2623" s="497"/>
      <c r="E2623" s="499">
        <v>68160</v>
      </c>
      <c r="F2623" s="263"/>
      <c r="G2623" s="273" t="s">
        <v>2732</v>
      </c>
    </row>
    <row r="2624" spans="1:7" ht="17.45" customHeight="1">
      <c r="A2624" s="261" t="s">
        <v>8</v>
      </c>
      <c r="C2624" s="271" t="s">
        <v>1278</v>
      </c>
      <c r="D2624" s="497"/>
      <c r="E2624" s="499">
        <v>200000</v>
      </c>
      <c r="F2624" s="263"/>
      <c r="G2624" s="273"/>
    </row>
    <row r="2625" spans="1:7" ht="17.45" customHeight="1">
      <c r="A2625" s="261" t="s">
        <v>8</v>
      </c>
      <c r="C2625" s="285" t="s">
        <v>1413</v>
      </c>
      <c r="D2625" s="506"/>
      <c r="E2625" s="507">
        <f>1300000</f>
        <v>1300000</v>
      </c>
      <c r="F2625" s="286"/>
      <c r="G2625" s="287"/>
    </row>
    <row r="2626" spans="1:7" ht="17.25" customHeight="1">
      <c r="A2626" s="261" t="s">
        <v>8</v>
      </c>
      <c r="C2626" s="338" t="s">
        <v>2661</v>
      </c>
      <c r="D2626" s="497"/>
      <c r="E2626" s="497"/>
      <c r="F2626" s="263"/>
      <c r="G2626" s="275"/>
    </row>
    <row r="2627" spans="1:7" ht="17.45" customHeight="1">
      <c r="A2627" s="261" t="s">
        <v>8</v>
      </c>
      <c r="C2627" s="339" t="s">
        <v>2647</v>
      </c>
      <c r="D2627" s="506"/>
      <c r="E2627" s="506"/>
      <c r="F2627" s="286"/>
      <c r="G2627" s="290"/>
    </row>
    <row r="2628" spans="1:7" ht="17.45" customHeight="1" thickBot="1">
      <c r="A2628" s="261" t="s">
        <v>8</v>
      </c>
      <c r="C2628" s="285" t="s">
        <v>1942</v>
      </c>
      <c r="D2628" s="506"/>
      <c r="E2628" s="507">
        <v>20000</v>
      </c>
      <c r="F2628" s="286"/>
      <c r="G2628" s="290"/>
    </row>
    <row r="2629" spans="1:7" ht="17.45" customHeight="1">
      <c r="A2629" s="261" t="s">
        <v>8</v>
      </c>
      <c r="C2629" s="268" t="s">
        <v>1280</v>
      </c>
      <c r="D2629" s="501"/>
      <c r="E2629" s="500">
        <f>72000</f>
        <v>72000</v>
      </c>
      <c r="F2629" s="269"/>
      <c r="G2629" s="288"/>
    </row>
    <row r="2630" spans="1:7" ht="17.45" customHeight="1">
      <c r="A2630" s="261" t="s">
        <v>8</v>
      </c>
      <c r="C2630" s="271" t="s">
        <v>1549</v>
      </c>
      <c r="D2630" s="497"/>
      <c r="E2630" s="497"/>
      <c r="F2630" s="263"/>
      <c r="G2630" s="275"/>
    </row>
    <row r="2631" spans="1:7" ht="17.45" customHeight="1">
      <c r="A2631" s="261" t="s">
        <v>8</v>
      </c>
      <c r="C2631" s="271" t="s">
        <v>1819</v>
      </c>
      <c r="D2631" s="497"/>
      <c r="E2631" s="497"/>
      <c r="F2631" s="263"/>
      <c r="G2631" s="275"/>
    </row>
    <row r="2632" spans="1:7" ht="17.45" customHeight="1">
      <c r="A2632" s="261" t="s">
        <v>8</v>
      </c>
      <c r="C2632" s="271" t="s">
        <v>391</v>
      </c>
      <c r="D2632" s="497"/>
      <c r="E2632" s="497"/>
      <c r="F2632" s="263"/>
      <c r="G2632" s="275"/>
    </row>
    <row r="2633" spans="1:7" ht="17.45" customHeight="1">
      <c r="A2633" s="261" t="s">
        <v>8</v>
      </c>
      <c r="C2633" s="271" t="s">
        <v>1934</v>
      </c>
      <c r="D2633" s="497"/>
      <c r="E2633" s="497"/>
      <c r="F2633" s="263"/>
      <c r="G2633" s="275"/>
    </row>
    <row r="2634" spans="1:7" ht="17.25" customHeight="1">
      <c r="A2634" s="261" t="s">
        <v>8</v>
      </c>
      <c r="C2634" s="271" t="s">
        <v>2202</v>
      </c>
      <c r="D2634" s="497"/>
      <c r="E2634" s="497"/>
      <c r="F2634" s="263"/>
      <c r="G2634" s="275"/>
    </row>
    <row r="2635" spans="1:7" ht="17.45" customHeight="1">
      <c r="A2635" s="261" t="s">
        <v>8</v>
      </c>
      <c r="C2635" s="271" t="s">
        <v>2097</v>
      </c>
      <c r="D2635" s="497"/>
      <c r="E2635" s="497"/>
      <c r="F2635" s="263"/>
      <c r="G2635" s="275"/>
    </row>
    <row r="2636" spans="1:7" ht="17.45" customHeight="1">
      <c r="A2636" s="261" t="s">
        <v>8</v>
      </c>
      <c r="C2636" s="271" t="s">
        <v>2654</v>
      </c>
      <c r="D2636" s="497"/>
      <c r="E2636" s="499">
        <v>60000</v>
      </c>
      <c r="F2636" s="263"/>
      <c r="G2636" s="275"/>
    </row>
    <row r="2637" spans="1:7" ht="17.45" customHeight="1">
      <c r="A2637" s="261" t="s">
        <v>8</v>
      </c>
      <c r="C2637" s="271" t="s">
        <v>1687</v>
      </c>
      <c r="D2637" s="497"/>
      <c r="E2637" s="497"/>
      <c r="F2637" s="263"/>
      <c r="G2637" s="275"/>
    </row>
    <row r="2638" spans="1:7" ht="17.45" customHeight="1">
      <c r="A2638" s="261" t="s">
        <v>8</v>
      </c>
      <c r="C2638" s="271" t="s">
        <v>1688</v>
      </c>
      <c r="D2638" s="497"/>
      <c r="E2638" s="497"/>
      <c r="F2638" s="263"/>
      <c r="G2638" s="275"/>
    </row>
    <row r="2639" spans="1:7" ht="17.45" customHeight="1">
      <c r="A2639" s="261" t="s">
        <v>8</v>
      </c>
      <c r="C2639" s="271" t="s">
        <v>2748</v>
      </c>
      <c r="D2639" s="497"/>
      <c r="E2639" s="497"/>
      <c r="F2639" s="263"/>
      <c r="G2639" s="275"/>
    </row>
    <row r="2640" spans="1:7" ht="17.45" customHeight="1">
      <c r="A2640" s="261" t="s">
        <v>8</v>
      </c>
      <c r="C2640" s="271" t="s">
        <v>1596</v>
      </c>
      <c r="D2640" s="497"/>
      <c r="E2640" s="499">
        <f>3400</f>
        <v>3400</v>
      </c>
      <c r="F2640" s="263"/>
      <c r="G2640" s="275"/>
    </row>
    <row r="2641" spans="1:7" ht="17.45" customHeight="1">
      <c r="A2641" s="261" t="s">
        <v>8</v>
      </c>
      <c r="C2641" s="271" t="s">
        <v>1595</v>
      </c>
      <c r="D2641" s="497"/>
      <c r="E2641" s="499">
        <f>3300</f>
        <v>3300</v>
      </c>
      <c r="F2641" s="263"/>
      <c r="G2641" s="275"/>
    </row>
    <row r="2642" spans="1:7" ht="17.45" customHeight="1">
      <c r="A2642" s="261" t="s">
        <v>8</v>
      </c>
      <c r="C2642" s="271" t="s">
        <v>1613</v>
      </c>
      <c r="D2642" s="497"/>
      <c r="E2642" s="497"/>
      <c r="F2642" s="263"/>
      <c r="G2642" s="275"/>
    </row>
    <row r="2643" spans="1:7" ht="17.45" customHeight="1">
      <c r="A2643" s="261" t="s">
        <v>8</v>
      </c>
      <c r="C2643" s="271" t="s">
        <v>1613</v>
      </c>
      <c r="D2643" s="497"/>
      <c r="E2643" s="499">
        <v>1300</v>
      </c>
      <c r="F2643" s="263"/>
      <c r="G2643" s="273" t="s">
        <v>2801</v>
      </c>
    </row>
    <row r="2644" spans="1:7" ht="17.45" customHeight="1">
      <c r="A2644" s="261" t="s">
        <v>8</v>
      </c>
      <c r="C2644" s="271" t="s">
        <v>1689</v>
      </c>
      <c r="D2644" s="497"/>
      <c r="E2644" s="497"/>
      <c r="F2644" s="263"/>
      <c r="G2644" s="275"/>
    </row>
    <row r="2645" spans="1:7" ht="17.45" customHeight="1">
      <c r="A2645" s="261" t="s">
        <v>8</v>
      </c>
      <c r="C2645" s="271" t="s">
        <v>1569</v>
      </c>
      <c r="D2645" s="497"/>
      <c r="E2645" s="499">
        <f>48290</f>
        <v>48290</v>
      </c>
      <c r="F2645" s="263"/>
      <c r="G2645" s="275"/>
    </row>
    <row r="2646" spans="1:7" ht="17.45" customHeight="1">
      <c r="A2646" s="261" t="s">
        <v>8</v>
      </c>
      <c r="C2646" s="271" t="s">
        <v>1618</v>
      </c>
      <c r="D2646" s="497"/>
      <c r="E2646" s="499">
        <f>21610+28920+5880+31960+32190</f>
        <v>120560</v>
      </c>
      <c r="F2646" s="263"/>
      <c r="G2646" s="275"/>
    </row>
    <row r="2647" spans="1:7" ht="17.45" customHeight="1">
      <c r="A2647" s="261" t="s">
        <v>8</v>
      </c>
      <c r="C2647" s="271" t="s">
        <v>2810</v>
      </c>
      <c r="D2647" s="497"/>
      <c r="E2647" s="499">
        <v>56764</v>
      </c>
      <c r="F2647" s="263"/>
      <c r="G2647" s="275"/>
    </row>
    <row r="2648" spans="1:7" ht="17.45" customHeight="1" thickBot="1">
      <c r="A2648" s="261" t="s">
        <v>8</v>
      </c>
      <c r="C2648" s="276" t="s">
        <v>2699</v>
      </c>
      <c r="D2648" s="502"/>
      <c r="E2648" s="503">
        <f>16000+33000+17000</f>
        <v>66000</v>
      </c>
      <c r="F2648" s="277"/>
      <c r="G2648" s="282"/>
    </row>
    <row r="2649" spans="1:7" ht="17.45" customHeight="1">
      <c r="A2649" s="261" t="s">
        <v>8</v>
      </c>
      <c r="C2649" s="279" t="s">
        <v>1650</v>
      </c>
      <c r="D2649" s="504"/>
      <c r="E2649" s="505">
        <f>8900+9800</f>
        <v>18700</v>
      </c>
      <c r="F2649" s="280"/>
      <c r="G2649" s="281"/>
    </row>
    <row r="2650" spans="1:7" ht="17.45" customHeight="1">
      <c r="A2650" s="261" t="s">
        <v>8</v>
      </c>
      <c r="C2650" s="271" t="s">
        <v>2778</v>
      </c>
      <c r="D2650" s="497"/>
      <c r="E2650" s="499">
        <v>71200</v>
      </c>
      <c r="F2650" s="263"/>
      <c r="G2650" s="275"/>
    </row>
    <row r="2651" spans="1:7" ht="17.45" customHeight="1">
      <c r="A2651" s="261" t="s">
        <v>8</v>
      </c>
      <c r="C2651" s="271" t="s">
        <v>2779</v>
      </c>
      <c r="D2651" s="497"/>
      <c r="E2651" s="499">
        <f>20030-11400</f>
        <v>8630</v>
      </c>
      <c r="F2651" s="263"/>
      <c r="G2651" s="275"/>
    </row>
    <row r="2652" spans="1:7" ht="17.45" customHeight="1">
      <c r="A2652" s="261" t="s">
        <v>8</v>
      </c>
      <c r="C2652" s="271" t="s">
        <v>1891</v>
      </c>
      <c r="D2652" s="497"/>
      <c r="E2652" s="499">
        <v>24000</v>
      </c>
      <c r="F2652" s="263"/>
      <c r="G2652" s="275"/>
    </row>
    <row r="2653" spans="1:7" ht="17.45" customHeight="1">
      <c r="A2653" s="261" t="s">
        <v>8</v>
      </c>
      <c r="C2653" s="271" t="s">
        <v>2802</v>
      </c>
      <c r="D2653" s="497"/>
      <c r="E2653" s="499">
        <f>17000*2</f>
        <v>34000</v>
      </c>
      <c r="F2653" s="263"/>
      <c r="G2653" s="275"/>
    </row>
    <row r="2654" spans="1:7" ht="17.45" customHeight="1">
      <c r="A2654" s="261" t="s">
        <v>8</v>
      </c>
      <c r="C2654" s="271" t="s">
        <v>2803</v>
      </c>
      <c r="D2654" s="497"/>
      <c r="E2654" s="499">
        <v>3500</v>
      </c>
      <c r="F2654" s="263"/>
      <c r="G2654" s="275"/>
    </row>
    <row r="2655" spans="1:7" ht="17.45" customHeight="1">
      <c r="A2655" s="261" t="s">
        <v>8</v>
      </c>
      <c r="C2655" s="271" t="s">
        <v>2804</v>
      </c>
      <c r="D2655" s="497"/>
      <c r="E2655" s="499">
        <v>7900</v>
      </c>
      <c r="F2655" s="263"/>
      <c r="G2655" s="275"/>
    </row>
    <row r="2656" spans="1:7" ht="17.45" customHeight="1">
      <c r="A2656" s="261" t="s">
        <v>8</v>
      </c>
      <c r="C2656" s="271" t="s">
        <v>2763</v>
      </c>
      <c r="D2656" s="497"/>
      <c r="E2656" s="499">
        <v>5000</v>
      </c>
      <c r="F2656" s="263"/>
      <c r="G2656" s="275"/>
    </row>
    <row r="2657" spans="1:7" ht="17.45" customHeight="1">
      <c r="A2657" s="261" t="s">
        <v>8</v>
      </c>
      <c r="C2657" s="271" t="s">
        <v>2397</v>
      </c>
      <c r="D2657" s="497"/>
      <c r="E2657" s="499">
        <v>22000</v>
      </c>
      <c r="F2657" s="263"/>
      <c r="G2657" s="275"/>
    </row>
    <row r="2658" spans="1:7" ht="17.45" customHeight="1">
      <c r="A2658" s="261" t="s">
        <v>8</v>
      </c>
      <c r="C2658" s="284" t="s">
        <v>2805</v>
      </c>
      <c r="D2658" s="497"/>
      <c r="E2658" s="499">
        <v>3000000</v>
      </c>
      <c r="F2658" s="263"/>
      <c r="G2658" s="275"/>
    </row>
    <row r="2659" spans="1:7" ht="17.25" customHeight="1">
      <c r="A2659" s="261" t="s">
        <v>8</v>
      </c>
      <c r="C2659" s="271" t="s">
        <v>2806</v>
      </c>
      <c r="D2659" s="497"/>
      <c r="E2659" s="499">
        <v>82800</v>
      </c>
      <c r="F2659" s="263"/>
      <c r="G2659" s="275"/>
    </row>
    <row r="2660" spans="1:7" ht="17.45" customHeight="1">
      <c r="A2660" s="261" t="s">
        <v>8</v>
      </c>
      <c r="C2660" s="271" t="s">
        <v>2807</v>
      </c>
      <c r="D2660" s="497"/>
      <c r="E2660" s="499">
        <v>15900</v>
      </c>
      <c r="F2660" s="263"/>
      <c r="G2660" s="275"/>
    </row>
    <row r="2661" spans="1:7" ht="17.45" customHeight="1">
      <c r="A2661" s="261" t="s">
        <v>8</v>
      </c>
      <c r="C2661" s="271" t="s">
        <v>2808</v>
      </c>
      <c r="D2661" s="497"/>
      <c r="E2661" s="499">
        <f>5180+45180+5780-3380</f>
        <v>52760</v>
      </c>
      <c r="F2661" s="263"/>
      <c r="G2661" s="275"/>
    </row>
    <row r="2662" spans="1:7" ht="17.45" customHeight="1">
      <c r="A2662" s="261" t="s">
        <v>8</v>
      </c>
      <c r="C2662" s="271" t="s">
        <v>2809</v>
      </c>
      <c r="D2662" s="497"/>
      <c r="E2662" s="499">
        <v>120000</v>
      </c>
      <c r="F2662" s="263"/>
      <c r="G2662" s="275"/>
    </row>
    <row r="2663" spans="1:7" ht="17.45" customHeight="1">
      <c r="A2663" s="261" t="s">
        <v>8</v>
      </c>
      <c r="C2663" s="284" t="s">
        <v>2811</v>
      </c>
      <c r="D2663" s="497"/>
      <c r="E2663" s="499">
        <v>23800</v>
      </c>
      <c r="F2663" s="263"/>
      <c r="G2663" s="275"/>
    </row>
    <row r="2664" spans="1:7" ht="17.45" customHeight="1">
      <c r="A2664" s="261" t="s">
        <v>8</v>
      </c>
      <c r="C2664" s="271" t="s">
        <v>2812</v>
      </c>
      <c r="D2664" s="497"/>
      <c r="E2664" s="499">
        <v>1600</v>
      </c>
      <c r="F2664" s="263"/>
      <c r="G2664" s="275"/>
    </row>
    <row r="2665" spans="1:7" ht="17.45" customHeight="1">
      <c r="A2665" s="261" t="s">
        <v>8</v>
      </c>
      <c r="C2665" s="271" t="s">
        <v>2813</v>
      </c>
      <c r="D2665" s="497"/>
      <c r="E2665" s="499">
        <v>19800</v>
      </c>
      <c r="F2665" s="263"/>
      <c r="G2665" s="275"/>
    </row>
    <row r="2666" spans="1:7" ht="17.45" customHeight="1">
      <c r="A2666" s="261" t="s">
        <v>8</v>
      </c>
      <c r="C2666" s="271" t="s">
        <v>2814</v>
      </c>
      <c r="D2666" s="499">
        <f>163633-163385</f>
        <v>248</v>
      </c>
      <c r="E2666" s="497"/>
      <c r="F2666" s="263"/>
      <c r="G2666" s="275"/>
    </row>
    <row r="2667" spans="1:7" ht="17.45" customHeight="1">
      <c r="A2667" s="261" t="s">
        <v>8</v>
      </c>
      <c r="C2667" s="271" t="s">
        <v>2816</v>
      </c>
      <c r="D2667" s="497"/>
      <c r="E2667" s="499">
        <v>66130</v>
      </c>
      <c r="F2667" s="263"/>
      <c r="G2667" s="275"/>
    </row>
    <row r="2668" spans="1:7" ht="17.45" customHeight="1">
      <c r="A2668" s="261" t="s">
        <v>8</v>
      </c>
      <c r="C2668" s="271" t="s">
        <v>1647</v>
      </c>
      <c r="D2668" s="497"/>
      <c r="E2668" s="499">
        <v>1900</v>
      </c>
      <c r="F2668" s="263"/>
      <c r="G2668" s="275"/>
    </row>
    <row r="2669" spans="1:7" ht="17.45" customHeight="1">
      <c r="A2669" s="261" t="s">
        <v>8</v>
      </c>
      <c r="C2669" s="271" t="s">
        <v>2817</v>
      </c>
      <c r="D2669" s="497"/>
      <c r="E2669" s="499">
        <v>-2200</v>
      </c>
      <c r="F2669" s="263"/>
      <c r="G2669" s="275"/>
    </row>
    <row r="2670" spans="1:7" ht="17.45" customHeight="1">
      <c r="A2670" s="261" t="s">
        <v>8</v>
      </c>
      <c r="C2670" s="271" t="s">
        <v>2818</v>
      </c>
      <c r="D2670" s="497"/>
      <c r="E2670" s="499">
        <v>35000</v>
      </c>
      <c r="F2670" s="263"/>
      <c r="G2670" s="275"/>
    </row>
    <row r="2671" spans="1:7" ht="17.45" customHeight="1">
      <c r="A2671" s="261" t="s">
        <v>8</v>
      </c>
      <c r="C2671" s="271" t="s">
        <v>2470</v>
      </c>
      <c r="D2671" s="497"/>
      <c r="E2671" s="499">
        <v>1100</v>
      </c>
      <c r="F2671" s="263"/>
      <c r="G2671" s="275"/>
    </row>
    <row r="2672" spans="1:7" ht="17.45" customHeight="1">
      <c r="A2672" s="261" t="s">
        <v>8</v>
      </c>
      <c r="C2672" s="271" t="s">
        <v>2819</v>
      </c>
      <c r="D2672" s="497"/>
      <c r="E2672" s="499">
        <v>15000</v>
      </c>
      <c r="F2672" s="263"/>
      <c r="G2672" s="275"/>
    </row>
    <row r="2673" spans="1:7" ht="17.45" customHeight="1" thickBot="1">
      <c r="A2673" s="261" t="s">
        <v>8</v>
      </c>
      <c r="C2673" s="276" t="s">
        <v>1300</v>
      </c>
      <c r="D2673" s="502">
        <f>SUM(D2608:D2672)-SUM(E2608:E2672)</f>
        <v>-1406269</v>
      </c>
      <c r="E2673" s="502">
        <f>SUM(E2608:E2672)-SUM(F2608:F2672)</f>
        <v>7509305</v>
      </c>
      <c r="F2673" s="277"/>
      <c r="G2673" s="283"/>
    </row>
    <row r="2675" spans="1:7" ht="12.75" thickBot="1"/>
    <row r="2676" spans="1:7" ht="17.45" customHeight="1">
      <c r="A2676" s="261" t="s">
        <v>8</v>
      </c>
      <c r="B2676" s="256" t="s">
        <v>2820</v>
      </c>
      <c r="C2676" s="268" t="s">
        <v>1268</v>
      </c>
      <c r="D2676" s="501">
        <v>8311835</v>
      </c>
      <c r="E2676" s="501"/>
      <c r="F2676" s="269"/>
      <c r="G2676" s="270"/>
    </row>
    <row r="2677" spans="1:7" ht="17.45" customHeight="1">
      <c r="A2677" s="261" t="s">
        <v>8</v>
      </c>
      <c r="B2677" s="257"/>
      <c r="C2677" s="271" t="s">
        <v>1269</v>
      </c>
      <c r="D2677" s="497"/>
      <c r="E2677" s="499">
        <v>408000</v>
      </c>
      <c r="F2677" s="263"/>
      <c r="G2677" s="272" t="s">
        <v>2185</v>
      </c>
    </row>
    <row r="2678" spans="1:7" ht="17.45" customHeight="1">
      <c r="A2678" s="261" t="s">
        <v>8</v>
      </c>
      <c r="C2678" s="271" t="s">
        <v>1270</v>
      </c>
      <c r="D2678" s="497"/>
      <c r="E2678" s="499">
        <v>1001000</v>
      </c>
      <c r="F2678" s="263"/>
      <c r="G2678" s="273" t="s">
        <v>2740</v>
      </c>
    </row>
    <row r="2679" spans="1:7" ht="17.45" customHeight="1">
      <c r="A2679" s="261" t="s">
        <v>8</v>
      </c>
      <c r="C2679" s="271" t="s">
        <v>1670</v>
      </c>
      <c r="D2679" s="497"/>
      <c r="E2679" s="497"/>
      <c r="F2679" s="263"/>
      <c r="G2679" s="274"/>
    </row>
    <row r="2680" spans="1:7" ht="17.45" customHeight="1">
      <c r="A2680" s="261" t="s">
        <v>8</v>
      </c>
      <c r="C2680" s="271" t="s">
        <v>1672</v>
      </c>
      <c r="D2680" s="497"/>
      <c r="E2680" s="499">
        <v>112300</v>
      </c>
      <c r="F2680" s="263"/>
      <c r="G2680" s="273" t="s">
        <v>2732</v>
      </c>
    </row>
    <row r="2681" spans="1:7" ht="17.45" customHeight="1">
      <c r="A2681" s="261" t="s">
        <v>8</v>
      </c>
      <c r="C2681" s="271" t="s">
        <v>1673</v>
      </c>
      <c r="D2681" s="497"/>
      <c r="E2681" s="497"/>
      <c r="F2681" s="263"/>
      <c r="G2681" s="274"/>
    </row>
    <row r="2682" spans="1:7" ht="17.45" customHeight="1">
      <c r="A2682" s="261" t="s">
        <v>8</v>
      </c>
      <c r="C2682" s="271" t="s">
        <v>1332</v>
      </c>
      <c r="D2682" s="497"/>
      <c r="E2682" s="499">
        <v>34650</v>
      </c>
      <c r="F2682" s="263"/>
      <c r="G2682" s="275"/>
    </row>
    <row r="2683" spans="1:7" ht="17.45" customHeight="1">
      <c r="A2683" s="261" t="s">
        <v>8</v>
      </c>
      <c r="C2683" s="271" t="s">
        <v>1271</v>
      </c>
      <c r="D2683" s="497"/>
      <c r="E2683" s="497"/>
      <c r="F2683" s="263"/>
      <c r="G2683" s="274"/>
    </row>
    <row r="2684" spans="1:7" ht="17.45" customHeight="1">
      <c r="A2684" s="261" t="s">
        <v>8</v>
      </c>
      <c r="C2684" s="271" t="s">
        <v>1272</v>
      </c>
      <c r="D2684" s="497"/>
      <c r="E2684" s="497"/>
      <c r="F2684" s="263"/>
      <c r="G2684" s="273"/>
    </row>
    <row r="2685" spans="1:7" ht="17.45" customHeight="1">
      <c r="A2685" s="261" t="s">
        <v>8</v>
      </c>
      <c r="C2685" s="271" t="s">
        <v>1273</v>
      </c>
      <c r="D2685" s="497"/>
      <c r="E2685" s="499">
        <v>29920</v>
      </c>
      <c r="F2685" s="263"/>
      <c r="G2685" s="273" t="s">
        <v>2732</v>
      </c>
    </row>
    <row r="2686" spans="1:7" ht="17.45" customHeight="1">
      <c r="A2686" s="261" t="s">
        <v>8</v>
      </c>
      <c r="C2686" s="271" t="s">
        <v>1274</v>
      </c>
      <c r="D2686" s="497"/>
      <c r="E2686" s="499">
        <v>9405</v>
      </c>
      <c r="F2686" s="263"/>
      <c r="G2686" s="273" t="s">
        <v>2732</v>
      </c>
    </row>
    <row r="2687" spans="1:7" ht="17.45" customHeight="1">
      <c r="A2687" s="261" t="s">
        <v>8</v>
      </c>
      <c r="C2687" s="271" t="s">
        <v>2168</v>
      </c>
      <c r="D2687" s="497"/>
      <c r="E2687" s="499">
        <v>18816</v>
      </c>
      <c r="F2687" s="263"/>
      <c r="G2687" s="273" t="s">
        <v>2732</v>
      </c>
    </row>
    <row r="2688" spans="1:7" ht="17.45" customHeight="1">
      <c r="A2688" s="261" t="s">
        <v>8</v>
      </c>
      <c r="C2688" s="271" t="s">
        <v>1517</v>
      </c>
      <c r="D2688" s="497"/>
      <c r="E2688" s="499">
        <v>23230</v>
      </c>
      <c r="F2688" s="263"/>
      <c r="G2688" s="273" t="s">
        <v>2732</v>
      </c>
    </row>
    <row r="2689" spans="1:7" ht="17.45" customHeight="1">
      <c r="A2689" s="261" t="s">
        <v>8</v>
      </c>
      <c r="C2689" s="271" t="s">
        <v>1276</v>
      </c>
      <c r="D2689" s="497"/>
      <c r="E2689" s="499">
        <v>255460</v>
      </c>
      <c r="F2689" s="263"/>
      <c r="G2689" s="273" t="s">
        <v>2732</v>
      </c>
    </row>
    <row r="2690" spans="1:7" ht="17.45" customHeight="1">
      <c r="A2690" s="261" t="s">
        <v>8</v>
      </c>
      <c r="C2690" s="271" t="s">
        <v>1277</v>
      </c>
      <c r="D2690" s="497"/>
      <c r="E2690" s="499">
        <v>61750</v>
      </c>
      <c r="F2690" s="263"/>
      <c r="G2690" s="273" t="s">
        <v>2732</v>
      </c>
    </row>
    <row r="2691" spans="1:7" ht="17.45" customHeight="1">
      <c r="A2691" s="261" t="s">
        <v>8</v>
      </c>
      <c r="C2691" s="271" t="s">
        <v>1278</v>
      </c>
      <c r="D2691" s="497"/>
      <c r="E2691" s="499">
        <v>200000</v>
      </c>
      <c r="F2691" s="263"/>
      <c r="G2691" s="273"/>
    </row>
    <row r="2692" spans="1:7" ht="17.45" customHeight="1">
      <c r="A2692" s="261" t="s">
        <v>8</v>
      </c>
      <c r="C2692" s="285" t="s">
        <v>1413</v>
      </c>
      <c r="D2692" s="506"/>
      <c r="E2692" s="507">
        <f>1300000</f>
        <v>1300000</v>
      </c>
      <c r="F2692" s="286"/>
      <c r="G2692" s="287"/>
    </row>
    <row r="2693" spans="1:7" ht="17.25" customHeight="1">
      <c r="A2693" s="261" t="s">
        <v>8</v>
      </c>
      <c r="C2693" s="338" t="s">
        <v>2661</v>
      </c>
      <c r="D2693" s="497"/>
      <c r="E2693" s="497"/>
      <c r="F2693" s="263"/>
      <c r="G2693" s="275"/>
    </row>
    <row r="2694" spans="1:7" ht="17.45" customHeight="1">
      <c r="A2694" s="261" t="s">
        <v>8</v>
      </c>
      <c r="C2694" s="339" t="s">
        <v>2647</v>
      </c>
      <c r="D2694" s="506"/>
      <c r="E2694" s="506"/>
      <c r="F2694" s="286"/>
      <c r="G2694" s="290"/>
    </row>
    <row r="2695" spans="1:7" ht="17.45" customHeight="1" thickBot="1">
      <c r="A2695" s="261" t="s">
        <v>8</v>
      </c>
      <c r="C2695" s="285" t="s">
        <v>1942</v>
      </c>
      <c r="D2695" s="506"/>
      <c r="E2695" s="507">
        <v>20000</v>
      </c>
      <c r="F2695" s="286"/>
      <c r="G2695" s="290"/>
    </row>
    <row r="2696" spans="1:7" ht="17.45" customHeight="1">
      <c r="A2696" s="261" t="s">
        <v>8</v>
      </c>
      <c r="C2696" s="268" t="s">
        <v>1280</v>
      </c>
      <c r="D2696" s="501"/>
      <c r="E2696" s="500">
        <f>50000</f>
        <v>50000</v>
      </c>
      <c r="F2696" s="269"/>
      <c r="G2696" s="288"/>
    </row>
    <row r="2697" spans="1:7" ht="17.45" customHeight="1">
      <c r="A2697" s="261" t="s">
        <v>8</v>
      </c>
      <c r="C2697" s="271" t="s">
        <v>1549</v>
      </c>
      <c r="D2697" s="497"/>
      <c r="E2697" s="497"/>
      <c r="F2697" s="263"/>
      <c r="G2697" s="275"/>
    </row>
    <row r="2698" spans="1:7" ht="17.45" customHeight="1">
      <c r="A2698" s="261" t="s">
        <v>8</v>
      </c>
      <c r="C2698" s="271" t="s">
        <v>1819</v>
      </c>
      <c r="D2698" s="497"/>
      <c r="E2698" s="497"/>
      <c r="F2698" s="263"/>
      <c r="G2698" s="275"/>
    </row>
    <row r="2699" spans="1:7" ht="17.45" customHeight="1">
      <c r="A2699" s="261" t="s">
        <v>8</v>
      </c>
      <c r="C2699" s="271" t="s">
        <v>391</v>
      </c>
      <c r="D2699" s="497"/>
      <c r="E2699" s="497"/>
      <c r="F2699" s="263"/>
      <c r="G2699" s="275"/>
    </row>
    <row r="2700" spans="1:7" ht="17.45" customHeight="1">
      <c r="A2700" s="261" t="s">
        <v>8</v>
      </c>
      <c r="C2700" s="271" t="s">
        <v>1934</v>
      </c>
      <c r="D2700" s="497"/>
      <c r="E2700" s="497"/>
      <c r="F2700" s="263"/>
      <c r="G2700" s="275"/>
    </row>
    <row r="2701" spans="1:7" ht="17.25" customHeight="1">
      <c r="A2701" s="261" t="s">
        <v>8</v>
      </c>
      <c r="C2701" s="271" t="s">
        <v>2202</v>
      </c>
      <c r="D2701" s="497"/>
      <c r="E2701" s="497"/>
      <c r="F2701" s="263"/>
      <c r="G2701" s="275"/>
    </row>
    <row r="2702" spans="1:7" ht="17.45" customHeight="1">
      <c r="A2702" s="261" t="s">
        <v>8</v>
      </c>
      <c r="C2702" s="271" t="s">
        <v>2654</v>
      </c>
      <c r="D2702" s="497"/>
      <c r="E2702" s="499">
        <v>60000</v>
      </c>
      <c r="F2702" s="263"/>
      <c r="G2702" s="275"/>
    </row>
    <row r="2703" spans="1:7" ht="17.45" customHeight="1">
      <c r="A2703" s="261" t="s">
        <v>8</v>
      </c>
      <c r="C2703" s="271" t="s">
        <v>1687</v>
      </c>
      <c r="D2703" s="497"/>
      <c r="E2703" s="497"/>
      <c r="F2703" s="263"/>
      <c r="G2703" s="275"/>
    </row>
    <row r="2704" spans="1:7" ht="17.45" customHeight="1">
      <c r="A2704" s="261" t="s">
        <v>8</v>
      </c>
      <c r="C2704" s="271" t="s">
        <v>1688</v>
      </c>
      <c r="D2704" s="497"/>
      <c r="E2704" s="497"/>
      <c r="F2704" s="263"/>
      <c r="G2704" s="275"/>
    </row>
    <row r="2705" spans="1:7" ht="17.45" customHeight="1">
      <c r="A2705" s="261" t="s">
        <v>8</v>
      </c>
      <c r="C2705" s="271" t="s">
        <v>2748</v>
      </c>
      <c r="D2705" s="497"/>
      <c r="E2705" s="497"/>
      <c r="F2705" s="263"/>
      <c r="G2705" s="275"/>
    </row>
    <row r="2706" spans="1:7" ht="17.45" customHeight="1">
      <c r="A2706" s="261" t="s">
        <v>8</v>
      </c>
      <c r="C2706" s="271" t="s">
        <v>1596</v>
      </c>
      <c r="D2706" s="497"/>
      <c r="E2706" s="497"/>
      <c r="F2706" s="263"/>
      <c r="G2706" s="275"/>
    </row>
    <row r="2707" spans="1:7" ht="17.45" customHeight="1">
      <c r="A2707" s="261" t="s">
        <v>8</v>
      </c>
      <c r="C2707" s="271" t="s">
        <v>1595</v>
      </c>
      <c r="D2707" s="497"/>
      <c r="E2707" s="497"/>
      <c r="F2707" s="263"/>
      <c r="G2707" s="275"/>
    </row>
    <row r="2708" spans="1:7" ht="17.45" customHeight="1">
      <c r="A2708" s="261" t="s">
        <v>8</v>
      </c>
      <c r="C2708" s="271" t="s">
        <v>2822</v>
      </c>
      <c r="D2708" s="497"/>
      <c r="E2708" s="497"/>
      <c r="F2708" s="263"/>
      <c r="G2708" s="275"/>
    </row>
    <row r="2709" spans="1:7" ht="17.45" customHeight="1">
      <c r="A2709" s="261" t="s">
        <v>8</v>
      </c>
      <c r="C2709" s="271" t="s">
        <v>2821</v>
      </c>
      <c r="D2709" s="497"/>
      <c r="E2709" s="497"/>
      <c r="F2709" s="263"/>
      <c r="G2709" s="273"/>
    </row>
    <row r="2710" spans="1:7" ht="17.45" customHeight="1">
      <c r="A2710" s="261" t="s">
        <v>8</v>
      </c>
      <c r="C2710" s="271" t="s">
        <v>1689</v>
      </c>
      <c r="D2710" s="497"/>
      <c r="E2710" s="497"/>
      <c r="F2710" s="263"/>
      <c r="G2710" s="275"/>
    </row>
    <row r="2711" spans="1:7" ht="17.45" customHeight="1">
      <c r="A2711" s="261" t="s">
        <v>8</v>
      </c>
      <c r="C2711" s="271" t="s">
        <v>1569</v>
      </c>
      <c r="D2711" s="497"/>
      <c r="E2711" s="499">
        <v>105460</v>
      </c>
      <c r="F2711" s="263"/>
      <c r="G2711" s="275"/>
    </row>
    <row r="2712" spans="1:7" ht="17.45" customHeight="1">
      <c r="A2712" s="261" t="s">
        <v>8</v>
      </c>
      <c r="C2712" s="271" t="s">
        <v>1618</v>
      </c>
      <c r="D2712" s="497"/>
      <c r="E2712" s="499">
        <f>5580+8460+18160</f>
        <v>32200</v>
      </c>
      <c r="F2712" s="263"/>
      <c r="G2712" s="275"/>
    </row>
    <row r="2713" spans="1:7" ht="17.45" customHeight="1">
      <c r="A2713" s="261" t="s">
        <v>8</v>
      </c>
      <c r="C2713" s="271" t="s">
        <v>2810</v>
      </c>
      <c r="D2713" s="497"/>
      <c r="E2713" s="499">
        <f>10000</f>
        <v>10000</v>
      </c>
      <c r="F2713" s="263"/>
      <c r="G2713" s="275"/>
    </row>
    <row r="2714" spans="1:7" ht="17.45" customHeight="1" thickBot="1">
      <c r="A2714" s="261" t="s">
        <v>8</v>
      </c>
      <c r="C2714" s="276" t="s">
        <v>2699</v>
      </c>
      <c r="D2714" s="502"/>
      <c r="E2714" s="503">
        <f>23100</f>
        <v>23100</v>
      </c>
      <c r="F2714" s="277"/>
      <c r="G2714" s="282"/>
    </row>
    <row r="2715" spans="1:7" ht="17.45" customHeight="1">
      <c r="A2715" s="261" t="s">
        <v>8</v>
      </c>
      <c r="C2715" s="279" t="s">
        <v>1647</v>
      </c>
      <c r="D2715" s="504"/>
      <c r="E2715" s="505">
        <v>7000</v>
      </c>
      <c r="F2715" s="280"/>
      <c r="G2715" s="281"/>
    </row>
    <row r="2716" spans="1:7" ht="17.45" customHeight="1">
      <c r="A2716" s="261" t="s">
        <v>8</v>
      </c>
      <c r="C2716" s="271" t="s">
        <v>2489</v>
      </c>
      <c r="D2716" s="497"/>
      <c r="E2716" s="499">
        <v>11400</v>
      </c>
      <c r="F2716" s="263"/>
      <c r="G2716" s="275"/>
    </row>
    <row r="2717" spans="1:7" ht="17.45" customHeight="1">
      <c r="A2717" s="261" t="s">
        <v>8</v>
      </c>
      <c r="C2717" s="271" t="s">
        <v>2883</v>
      </c>
      <c r="D2717" s="497"/>
      <c r="E2717" s="499">
        <v>102000</v>
      </c>
      <c r="F2717" s="263"/>
      <c r="G2717" s="275"/>
    </row>
    <row r="2718" spans="1:7" ht="17.45" customHeight="1">
      <c r="A2718" s="261" t="s">
        <v>8</v>
      </c>
      <c r="C2718" s="271" t="s">
        <v>2884</v>
      </c>
      <c r="D2718" s="497"/>
      <c r="E2718" s="499">
        <v>100000</v>
      </c>
      <c r="F2718" s="263"/>
      <c r="G2718" s="275"/>
    </row>
    <row r="2719" spans="1:7" ht="17.45" customHeight="1">
      <c r="A2719" s="261" t="s">
        <v>8</v>
      </c>
      <c r="C2719" s="271" t="s">
        <v>2885</v>
      </c>
      <c r="D2719" s="497"/>
      <c r="E2719" s="499">
        <v>103200</v>
      </c>
      <c r="F2719" s="263"/>
      <c r="G2719" s="275"/>
    </row>
    <row r="2720" spans="1:7" ht="17.45" customHeight="1">
      <c r="A2720" s="261" t="s">
        <v>8</v>
      </c>
      <c r="C2720" s="271" t="s">
        <v>2886</v>
      </c>
      <c r="D2720" s="497"/>
      <c r="E2720" s="499">
        <v>59900</v>
      </c>
      <c r="F2720" s="263"/>
      <c r="G2720" s="275"/>
    </row>
    <row r="2721" spans="1:7" ht="17.45" customHeight="1">
      <c r="A2721" s="261" t="s">
        <v>8</v>
      </c>
      <c r="C2721" s="271" t="s">
        <v>1163</v>
      </c>
      <c r="D2721" s="497"/>
      <c r="E2721" s="499">
        <v>10300</v>
      </c>
      <c r="F2721" s="263"/>
      <c r="G2721" s="275"/>
    </row>
    <row r="2722" spans="1:7" ht="17.45" customHeight="1">
      <c r="A2722" s="261" t="s">
        <v>8</v>
      </c>
      <c r="C2722" s="271" t="s">
        <v>2887</v>
      </c>
      <c r="D2722" s="497"/>
      <c r="E2722" s="499">
        <v>2000000</v>
      </c>
      <c r="F2722" s="263"/>
      <c r="G2722" s="275"/>
    </row>
    <row r="2723" spans="1:7" ht="17.45" customHeight="1">
      <c r="A2723" s="261" t="s">
        <v>8</v>
      </c>
      <c r="C2723" s="271" t="s">
        <v>2888</v>
      </c>
      <c r="D2723" s="497"/>
      <c r="E2723" s="499">
        <v>500000</v>
      </c>
      <c r="F2723" s="263"/>
      <c r="G2723" s="275"/>
    </row>
    <row r="2724" spans="1:7" ht="17.45" customHeight="1">
      <c r="A2724" s="261" t="s">
        <v>8</v>
      </c>
      <c r="C2724" s="284" t="s">
        <v>2954</v>
      </c>
      <c r="D2724" s="497"/>
      <c r="E2724" s="499">
        <v>16000</v>
      </c>
      <c r="F2724" s="263"/>
      <c r="G2724" s="275"/>
    </row>
    <row r="2725" spans="1:7" ht="17.25" customHeight="1">
      <c r="A2725" s="261" t="s">
        <v>8</v>
      </c>
      <c r="C2725" s="271" t="s">
        <v>2955</v>
      </c>
      <c r="D2725" s="497"/>
      <c r="E2725" s="499">
        <v>20000</v>
      </c>
      <c r="F2725" s="263"/>
      <c r="G2725" s="275"/>
    </row>
    <row r="2726" spans="1:7" ht="17.45" customHeight="1">
      <c r="A2726" s="261" t="s">
        <v>8</v>
      </c>
      <c r="C2726" s="271" t="s">
        <v>2441</v>
      </c>
      <c r="D2726" s="497"/>
      <c r="E2726" s="499">
        <v>9000</v>
      </c>
      <c r="F2726" s="263"/>
      <c r="G2726" s="275"/>
    </row>
    <row r="2727" spans="1:7" ht="17.45" customHeight="1">
      <c r="A2727" s="261" t="s">
        <v>8</v>
      </c>
      <c r="C2727" s="271" t="s">
        <v>2956</v>
      </c>
      <c r="D2727" s="497"/>
      <c r="E2727" s="499">
        <f>74810</f>
        <v>74810</v>
      </c>
      <c r="F2727" s="263"/>
      <c r="G2727" s="275"/>
    </row>
    <row r="2728" spans="1:7" ht="17.45" customHeight="1">
      <c r="A2728" s="261" t="s">
        <v>8</v>
      </c>
      <c r="C2728" s="271" t="s">
        <v>2696</v>
      </c>
      <c r="D2728" s="497"/>
      <c r="E2728" s="499">
        <v>700000</v>
      </c>
      <c r="F2728" s="263"/>
      <c r="G2728" s="275"/>
    </row>
    <row r="2729" spans="1:7" ht="17.45" customHeight="1">
      <c r="A2729" s="261" t="s">
        <v>8</v>
      </c>
      <c r="C2729" s="284" t="s">
        <v>2957</v>
      </c>
      <c r="D2729" s="497"/>
      <c r="E2729" s="499">
        <v>27000</v>
      </c>
      <c r="F2729" s="263"/>
      <c r="G2729" s="275"/>
    </row>
    <row r="2730" spans="1:7" ht="17.45" customHeight="1">
      <c r="A2730" s="261" t="s">
        <v>8</v>
      </c>
      <c r="C2730" s="271" t="s">
        <v>2959</v>
      </c>
      <c r="D2730" s="499">
        <v>50000</v>
      </c>
      <c r="E2730" s="497"/>
      <c r="F2730" s="263"/>
      <c r="G2730" s="275"/>
    </row>
    <row r="2731" spans="1:7" ht="17.45" customHeight="1">
      <c r="A2731" s="261" t="s">
        <v>8</v>
      </c>
      <c r="C2731" s="271" t="s">
        <v>2470</v>
      </c>
      <c r="D2731" s="497"/>
      <c r="E2731" s="499">
        <f>2200+1400</f>
        <v>3600</v>
      </c>
      <c r="F2731" s="263"/>
      <c r="G2731" s="275"/>
    </row>
    <row r="2732" spans="1:7" ht="17.45" customHeight="1">
      <c r="A2732" s="261" t="s">
        <v>8</v>
      </c>
      <c r="C2732" s="271" t="s">
        <v>1200</v>
      </c>
      <c r="D2732" s="497"/>
      <c r="E2732" s="499">
        <v>27500</v>
      </c>
      <c r="F2732" s="263"/>
      <c r="G2732" s="275"/>
    </row>
    <row r="2733" spans="1:7" ht="17.45" customHeight="1">
      <c r="A2733" s="261" t="s">
        <v>8</v>
      </c>
      <c r="C2733" s="271" t="s">
        <v>2961</v>
      </c>
      <c r="D2733" s="497"/>
      <c r="E2733" s="499">
        <v>29900</v>
      </c>
      <c r="F2733" s="263"/>
      <c r="G2733" s="275"/>
    </row>
    <row r="2734" spans="1:7" ht="17.45" customHeight="1">
      <c r="A2734" s="261" t="s">
        <v>8</v>
      </c>
      <c r="C2734" s="271" t="s">
        <v>2962</v>
      </c>
      <c r="D2734" s="497"/>
      <c r="E2734" s="499">
        <v>12000</v>
      </c>
      <c r="F2734" s="263"/>
      <c r="G2734" s="275"/>
    </row>
    <row r="2735" spans="1:7" ht="17.45" customHeight="1">
      <c r="A2735" s="261" t="s">
        <v>8</v>
      </c>
      <c r="C2735" s="271" t="s">
        <v>2963</v>
      </c>
      <c r="D2735" s="497"/>
      <c r="E2735" s="499">
        <v>11000</v>
      </c>
      <c r="F2735" s="263"/>
      <c r="G2735" s="275"/>
    </row>
    <row r="2736" spans="1:7" ht="17.45" customHeight="1">
      <c r="A2736" s="261" t="s">
        <v>8</v>
      </c>
      <c r="C2736" s="271" t="s">
        <v>2964</v>
      </c>
      <c r="D2736" s="497"/>
      <c r="E2736" s="499">
        <v>42500</v>
      </c>
      <c r="F2736" s="263"/>
      <c r="G2736" s="275"/>
    </row>
    <row r="2737" spans="1:7" ht="17.45" customHeight="1">
      <c r="A2737" s="261" t="s">
        <v>8</v>
      </c>
      <c r="C2737" s="271" t="s">
        <v>2965</v>
      </c>
      <c r="D2737" s="497"/>
      <c r="E2737" s="499">
        <v>10500</v>
      </c>
      <c r="F2737" s="263"/>
      <c r="G2737" s="275"/>
    </row>
    <row r="2738" spans="1:7" ht="17.45" customHeight="1">
      <c r="A2738" s="261" t="s">
        <v>8</v>
      </c>
      <c r="C2738" s="271" t="s">
        <v>2966</v>
      </c>
      <c r="D2738" s="497"/>
      <c r="E2738" s="499">
        <v>400000</v>
      </c>
      <c r="F2738" s="263"/>
      <c r="G2738" s="275"/>
    </row>
    <row r="2739" spans="1:7" ht="17.45" customHeight="1">
      <c r="A2739" s="261" t="s">
        <v>8</v>
      </c>
      <c r="C2739" s="271" t="s">
        <v>2967</v>
      </c>
      <c r="D2739" s="497"/>
      <c r="E2739" s="499">
        <v>163000</v>
      </c>
      <c r="F2739" s="263"/>
      <c r="G2739" s="275"/>
    </row>
    <row r="2740" spans="1:7" ht="17.45" customHeight="1">
      <c r="A2740" s="261" t="s">
        <v>8</v>
      </c>
      <c r="C2740" s="271" t="s">
        <v>2968</v>
      </c>
      <c r="D2740" s="497"/>
      <c r="E2740" s="499">
        <v>18000</v>
      </c>
      <c r="F2740" s="263"/>
      <c r="G2740" s="275"/>
    </row>
    <row r="2741" spans="1:7" ht="17.45" customHeight="1">
      <c r="A2741" s="261" t="s">
        <v>8</v>
      </c>
      <c r="C2741" s="271" t="s">
        <v>2969</v>
      </c>
      <c r="D2741" s="497"/>
      <c r="E2741" s="499">
        <v>30000</v>
      </c>
      <c r="F2741" s="263"/>
      <c r="G2741" s="275"/>
    </row>
    <row r="2742" spans="1:7" ht="17.45" customHeight="1">
      <c r="A2742" s="261" t="s">
        <v>8</v>
      </c>
      <c r="C2742" s="271" t="s">
        <v>1810</v>
      </c>
      <c r="D2742" s="497"/>
      <c r="E2742" s="499">
        <v>4500</v>
      </c>
      <c r="F2742" s="263"/>
      <c r="G2742" s="275"/>
    </row>
    <row r="2743" spans="1:7" ht="17.45" customHeight="1">
      <c r="A2743" s="261" t="s">
        <v>8</v>
      </c>
      <c r="C2743" s="271" t="s">
        <v>2970</v>
      </c>
      <c r="D2743" s="497"/>
      <c r="E2743" s="499">
        <v>4200</v>
      </c>
      <c r="F2743" s="263"/>
      <c r="G2743" s="275"/>
    </row>
    <row r="2744" spans="1:7" ht="17.45" customHeight="1">
      <c r="A2744" s="261" t="s">
        <v>8</v>
      </c>
      <c r="C2744" s="271" t="s">
        <v>2771</v>
      </c>
      <c r="D2744" s="497"/>
      <c r="E2744" s="499">
        <v>5500</v>
      </c>
      <c r="F2744" s="263"/>
      <c r="G2744" s="275"/>
    </row>
    <row r="2745" spans="1:7" ht="17.45" customHeight="1">
      <c r="A2745" s="261" t="s">
        <v>8</v>
      </c>
      <c r="C2745" s="271" t="s">
        <v>1910</v>
      </c>
      <c r="D2745" s="497"/>
      <c r="E2745" s="499">
        <v>9000</v>
      </c>
      <c r="F2745" s="263"/>
      <c r="G2745" s="275"/>
    </row>
    <row r="2746" spans="1:7" ht="17.45" customHeight="1">
      <c r="A2746" s="261" t="s">
        <v>8</v>
      </c>
      <c r="C2746" s="271" t="s">
        <v>2670</v>
      </c>
      <c r="D2746" s="497"/>
      <c r="E2746" s="499">
        <v>18000</v>
      </c>
      <c r="F2746" s="263"/>
      <c r="G2746" s="275"/>
    </row>
    <row r="2747" spans="1:7" ht="17.45" customHeight="1">
      <c r="A2747" s="261" t="s">
        <v>8</v>
      </c>
      <c r="C2747" s="271" t="s">
        <v>2971</v>
      </c>
      <c r="D2747" s="497"/>
      <c r="E2747" s="499">
        <v>90800</v>
      </c>
      <c r="F2747" s="263"/>
      <c r="G2747" s="275"/>
    </row>
    <row r="2748" spans="1:7" ht="17.45" customHeight="1">
      <c r="A2748" s="261" t="s">
        <v>8</v>
      </c>
      <c r="C2748" s="271" t="s">
        <v>1650</v>
      </c>
      <c r="D2748" s="497"/>
      <c r="E2748" s="499">
        <f>6020+9800</f>
        <v>15820</v>
      </c>
      <c r="F2748" s="263"/>
      <c r="G2748" s="275"/>
    </row>
    <row r="2749" spans="1:7" ht="17.45" customHeight="1">
      <c r="A2749" s="261" t="s">
        <v>8</v>
      </c>
      <c r="C2749" s="271" t="s">
        <v>2972</v>
      </c>
      <c r="D2749" s="497"/>
      <c r="E2749" s="499">
        <v>12000</v>
      </c>
      <c r="F2749" s="263"/>
      <c r="G2749" s="275"/>
    </row>
    <row r="2750" spans="1:7" ht="17.45" customHeight="1">
      <c r="A2750" s="261" t="s">
        <v>8</v>
      </c>
      <c r="C2750" s="271" t="s">
        <v>1610</v>
      </c>
      <c r="D2750" s="497"/>
      <c r="E2750" s="499">
        <v>1500</v>
      </c>
      <c r="F2750" s="263"/>
      <c r="G2750" s="275"/>
    </row>
    <row r="2751" spans="1:7" ht="17.45" customHeight="1">
      <c r="A2751" s="261" t="s">
        <v>8</v>
      </c>
      <c r="C2751" s="271" t="s">
        <v>2973</v>
      </c>
      <c r="D2751" s="497"/>
      <c r="E2751" s="499">
        <v>7000</v>
      </c>
      <c r="F2751" s="263"/>
      <c r="G2751" s="275"/>
    </row>
    <row r="2752" spans="1:7" ht="17.45" customHeight="1">
      <c r="A2752" s="261" t="s">
        <v>8</v>
      </c>
      <c r="C2752" s="271" t="s">
        <v>2974</v>
      </c>
      <c r="D2752" s="497"/>
      <c r="E2752" s="499">
        <v>5000</v>
      </c>
      <c r="F2752" s="263"/>
      <c r="G2752" s="275"/>
    </row>
    <row r="2753" spans="1:7" ht="17.45" customHeight="1">
      <c r="A2753" s="261" t="s">
        <v>8</v>
      </c>
      <c r="C2753" s="271" t="s">
        <v>2975</v>
      </c>
      <c r="D2753" s="497"/>
      <c r="E2753" s="499">
        <v>38000</v>
      </c>
      <c r="F2753" s="263"/>
      <c r="G2753" s="275"/>
    </row>
    <row r="2754" spans="1:7" ht="17.45" customHeight="1" thickBot="1">
      <c r="A2754" s="261" t="s">
        <v>8</v>
      </c>
      <c r="C2754" s="276" t="s">
        <v>1300</v>
      </c>
      <c r="D2754" s="502">
        <f>SUM(D2676:D2753)-SUM(E2676:E2753)</f>
        <v>-93386</v>
      </c>
      <c r="E2754" s="502">
        <f>SUM(E2676:E2753)-SUM(F2676:F2753)</f>
        <v>8455221</v>
      </c>
      <c r="F2754" s="277"/>
      <c r="G2754" s="283"/>
    </row>
    <row r="2756" spans="1:7" ht="12.75" thickBot="1"/>
    <row r="2757" spans="1:7" ht="17.45" customHeight="1">
      <c r="A2757" s="261" t="s">
        <v>8</v>
      </c>
      <c r="B2757" s="256" t="s">
        <v>2976</v>
      </c>
      <c r="C2757" s="268" t="s">
        <v>1268</v>
      </c>
      <c r="D2757" s="500">
        <v>6187900</v>
      </c>
      <c r="E2757" s="501"/>
      <c r="F2757" s="269"/>
      <c r="G2757" s="270"/>
    </row>
    <row r="2758" spans="1:7" ht="17.45" customHeight="1">
      <c r="A2758" s="261" t="s">
        <v>8</v>
      </c>
      <c r="B2758" s="257"/>
      <c r="C2758" s="271" t="s">
        <v>1269</v>
      </c>
      <c r="D2758" s="497"/>
      <c r="E2758" s="499">
        <f>376000</f>
        <v>376000</v>
      </c>
      <c r="F2758" s="263"/>
      <c r="G2758" s="272" t="s">
        <v>2977</v>
      </c>
    </row>
    <row r="2759" spans="1:7" ht="17.45" customHeight="1">
      <c r="A2759" s="261" t="s">
        <v>8</v>
      </c>
      <c r="C2759" s="271" t="s">
        <v>1270</v>
      </c>
      <c r="D2759" s="497"/>
      <c r="E2759" s="499">
        <v>788000</v>
      </c>
      <c r="F2759" s="263"/>
      <c r="G2759" s="273" t="s">
        <v>2740</v>
      </c>
    </row>
    <row r="2760" spans="1:7" ht="17.45" customHeight="1">
      <c r="A2760" s="261" t="s">
        <v>8</v>
      </c>
      <c r="C2760" s="271" t="s">
        <v>1670</v>
      </c>
      <c r="D2760" s="497"/>
      <c r="E2760" s="497"/>
      <c r="F2760" s="263"/>
      <c r="G2760" s="274"/>
    </row>
    <row r="2761" spans="1:7" ht="17.45" customHeight="1">
      <c r="A2761" s="261" t="s">
        <v>8</v>
      </c>
      <c r="C2761" s="271" t="s">
        <v>1672</v>
      </c>
      <c r="D2761" s="497"/>
      <c r="E2761" s="499">
        <v>73056</v>
      </c>
      <c r="F2761" s="263"/>
      <c r="G2761" s="273" t="s">
        <v>2732</v>
      </c>
    </row>
    <row r="2762" spans="1:7" ht="17.45" customHeight="1">
      <c r="A2762" s="261" t="s">
        <v>8</v>
      </c>
      <c r="C2762" s="271" t="s">
        <v>1673</v>
      </c>
      <c r="D2762" s="497"/>
      <c r="E2762" s="497"/>
      <c r="F2762" s="263"/>
      <c r="G2762" s="274"/>
    </row>
    <row r="2763" spans="1:7" ht="17.45" customHeight="1">
      <c r="A2763" s="261" t="s">
        <v>8</v>
      </c>
      <c r="C2763" s="271" t="s">
        <v>1332</v>
      </c>
      <c r="D2763" s="497"/>
      <c r="E2763" s="499">
        <v>34650</v>
      </c>
      <c r="F2763" s="263"/>
      <c r="G2763" s="275"/>
    </row>
    <row r="2764" spans="1:7" ht="17.45" customHeight="1">
      <c r="A2764" s="261" t="s">
        <v>8</v>
      </c>
      <c r="C2764" s="271" t="s">
        <v>1271</v>
      </c>
      <c r="D2764" s="497"/>
      <c r="E2764" s="497"/>
      <c r="F2764" s="263"/>
      <c r="G2764" s="273"/>
    </row>
    <row r="2765" spans="1:7" ht="17.45" customHeight="1">
      <c r="A2765" s="261" t="s">
        <v>8</v>
      </c>
      <c r="C2765" s="271" t="s">
        <v>1272</v>
      </c>
      <c r="D2765" s="497"/>
      <c r="E2765" s="497"/>
      <c r="F2765" s="263"/>
      <c r="G2765" s="273"/>
    </row>
    <row r="2766" spans="1:7" ht="17.45" customHeight="1">
      <c r="A2766" s="261" t="s">
        <v>8</v>
      </c>
      <c r="C2766" s="271" t="s">
        <v>1273</v>
      </c>
      <c r="D2766" s="497"/>
      <c r="E2766" s="499">
        <v>29920</v>
      </c>
      <c r="F2766" s="263"/>
      <c r="G2766" s="273" t="s">
        <v>2732</v>
      </c>
    </row>
    <row r="2767" spans="1:7" ht="17.45" customHeight="1">
      <c r="A2767" s="261" t="s">
        <v>8</v>
      </c>
      <c r="C2767" s="271" t="s">
        <v>1274</v>
      </c>
      <c r="D2767" s="497"/>
      <c r="E2767" s="499">
        <v>9405</v>
      </c>
      <c r="F2767" s="263"/>
      <c r="G2767" s="273" t="s">
        <v>2732</v>
      </c>
    </row>
    <row r="2768" spans="1:7" ht="17.45" customHeight="1">
      <c r="A2768" s="261" t="s">
        <v>8</v>
      </c>
      <c r="C2768" s="271" t="s">
        <v>2168</v>
      </c>
      <c r="D2768" s="497"/>
      <c r="E2768" s="499">
        <v>18816</v>
      </c>
      <c r="F2768" s="263"/>
      <c r="G2768" s="273" t="s">
        <v>2732</v>
      </c>
    </row>
    <row r="2769" spans="1:7" ht="17.45" customHeight="1">
      <c r="A2769" s="261" t="s">
        <v>8</v>
      </c>
      <c r="C2769" s="271" t="s">
        <v>1517</v>
      </c>
      <c r="D2769" s="497"/>
      <c r="E2769" s="497"/>
      <c r="F2769" s="263"/>
      <c r="G2769" s="273" t="s">
        <v>2732</v>
      </c>
    </row>
    <row r="2770" spans="1:7" ht="17.45" customHeight="1">
      <c r="A2770" s="261" t="s">
        <v>8</v>
      </c>
      <c r="C2770" s="271" t="s">
        <v>1276</v>
      </c>
      <c r="D2770" s="497"/>
      <c r="E2770" s="499">
        <v>228830</v>
      </c>
      <c r="F2770" s="263"/>
      <c r="G2770" s="273" t="s">
        <v>2732</v>
      </c>
    </row>
    <row r="2771" spans="1:7" ht="17.45" customHeight="1">
      <c r="A2771" s="261" t="s">
        <v>8</v>
      </c>
      <c r="C2771" s="271" t="s">
        <v>1277</v>
      </c>
      <c r="D2771" s="497"/>
      <c r="E2771" s="499">
        <v>41184</v>
      </c>
      <c r="F2771" s="263"/>
      <c r="G2771" s="273" t="s">
        <v>2732</v>
      </c>
    </row>
    <row r="2772" spans="1:7" ht="17.45" customHeight="1">
      <c r="A2772" s="261" t="s">
        <v>8</v>
      </c>
      <c r="C2772" s="271" t="s">
        <v>1278</v>
      </c>
      <c r="D2772" s="499">
        <v>20000</v>
      </c>
      <c r="E2772" s="499">
        <v>200000</v>
      </c>
      <c r="F2772" s="263"/>
      <c r="G2772" s="273"/>
    </row>
    <row r="2773" spans="1:7" ht="17.45" customHeight="1">
      <c r="A2773" s="261" t="s">
        <v>8</v>
      </c>
      <c r="C2773" s="285" t="s">
        <v>1413</v>
      </c>
      <c r="D2773" s="506"/>
      <c r="E2773" s="507">
        <f>1300000</f>
        <v>1300000</v>
      </c>
      <c r="F2773" s="286"/>
      <c r="G2773" s="287"/>
    </row>
    <row r="2774" spans="1:7" ht="17.25" customHeight="1">
      <c r="A2774" s="261" t="s">
        <v>8</v>
      </c>
      <c r="C2774" s="338" t="s">
        <v>2776</v>
      </c>
      <c r="D2774" s="497"/>
      <c r="E2774" s="499">
        <v>-1425000</v>
      </c>
      <c r="F2774" s="263"/>
      <c r="G2774" s="275"/>
    </row>
    <row r="2775" spans="1:7" ht="17.25" customHeight="1">
      <c r="A2775" s="261" t="s">
        <v>8</v>
      </c>
      <c r="C2775" s="338" t="s">
        <v>2775</v>
      </c>
      <c r="D2775" s="499">
        <v>-1425000</v>
      </c>
      <c r="E2775" s="497"/>
      <c r="F2775" s="263"/>
      <c r="G2775" s="275"/>
    </row>
    <row r="2776" spans="1:7" ht="17.45" customHeight="1">
      <c r="A2776" s="261" t="s">
        <v>8</v>
      </c>
      <c r="C2776" s="339" t="s">
        <v>2647</v>
      </c>
      <c r="D2776" s="506"/>
      <c r="E2776" s="506"/>
      <c r="F2776" s="286"/>
      <c r="G2776" s="290"/>
    </row>
    <row r="2777" spans="1:7" ht="17.45" customHeight="1" thickBot="1">
      <c r="A2777" s="261" t="s">
        <v>8</v>
      </c>
      <c r="C2777" s="285" t="s">
        <v>1942</v>
      </c>
      <c r="D2777" s="506"/>
      <c r="E2777" s="507">
        <v>20000</v>
      </c>
      <c r="F2777" s="286"/>
      <c r="G2777" s="290"/>
    </row>
    <row r="2778" spans="1:7" ht="17.45" customHeight="1">
      <c r="A2778" s="261" t="s">
        <v>8</v>
      </c>
      <c r="C2778" s="268" t="s">
        <v>1280</v>
      </c>
      <c r="D2778" s="501"/>
      <c r="E2778" s="500">
        <f>50000+50000</f>
        <v>100000</v>
      </c>
      <c r="F2778" s="269"/>
      <c r="G2778" s="288"/>
    </row>
    <row r="2779" spans="1:7" ht="17.45" customHeight="1">
      <c r="A2779" s="261" t="s">
        <v>8</v>
      </c>
      <c r="C2779" s="271" t="s">
        <v>1549</v>
      </c>
      <c r="D2779" s="497"/>
      <c r="E2779" s="497"/>
      <c r="F2779" s="263"/>
      <c r="G2779" s="275"/>
    </row>
    <row r="2780" spans="1:7" ht="17.45" customHeight="1">
      <c r="A2780" s="261" t="s">
        <v>8</v>
      </c>
      <c r="C2780" s="271" t="s">
        <v>1819</v>
      </c>
      <c r="D2780" s="497"/>
      <c r="E2780" s="497"/>
      <c r="F2780" s="263"/>
      <c r="G2780" s="275"/>
    </row>
    <row r="2781" spans="1:7" ht="17.45" customHeight="1">
      <c r="A2781" s="261" t="s">
        <v>8</v>
      </c>
      <c r="C2781" s="271" t="s">
        <v>391</v>
      </c>
      <c r="D2781" s="497"/>
      <c r="E2781" s="497"/>
      <c r="F2781" s="263"/>
      <c r="G2781" s="275"/>
    </row>
    <row r="2782" spans="1:7" ht="17.45" customHeight="1">
      <c r="A2782" s="261" t="s">
        <v>8</v>
      </c>
      <c r="C2782" s="271" t="s">
        <v>1934</v>
      </c>
      <c r="D2782" s="497"/>
      <c r="E2782" s="497"/>
      <c r="F2782" s="263"/>
      <c r="G2782" s="275"/>
    </row>
    <row r="2783" spans="1:7" ht="17.25" customHeight="1">
      <c r="A2783" s="261" t="s">
        <v>8</v>
      </c>
      <c r="C2783" s="271" t="s">
        <v>2202</v>
      </c>
      <c r="D2783" s="497"/>
      <c r="E2783" s="497"/>
      <c r="F2783" s="263"/>
      <c r="G2783" s="275"/>
    </row>
    <row r="2784" spans="1:7" ht="17.45" customHeight="1">
      <c r="A2784" s="261" t="s">
        <v>8</v>
      </c>
      <c r="C2784" s="271" t="s">
        <v>2654</v>
      </c>
      <c r="D2784" s="497"/>
      <c r="E2784" s="499">
        <v>60000</v>
      </c>
      <c r="F2784" s="263"/>
      <c r="G2784" s="275"/>
    </row>
    <row r="2785" spans="1:7" ht="17.45" customHeight="1">
      <c r="A2785" s="261" t="s">
        <v>8</v>
      </c>
      <c r="C2785" s="271" t="s">
        <v>1687</v>
      </c>
      <c r="D2785" s="497"/>
      <c r="E2785" s="497"/>
      <c r="F2785" s="263"/>
      <c r="G2785" s="275"/>
    </row>
    <row r="2786" spans="1:7" ht="17.45" customHeight="1">
      <c r="A2786" s="261" t="s">
        <v>8</v>
      </c>
      <c r="C2786" s="271" t="s">
        <v>1688</v>
      </c>
      <c r="D2786" s="497"/>
      <c r="E2786" s="499">
        <f>55000</f>
        <v>55000</v>
      </c>
      <c r="F2786" s="263"/>
      <c r="G2786" s="275"/>
    </row>
    <row r="2787" spans="1:7" ht="17.45" customHeight="1">
      <c r="A2787" s="261" t="s">
        <v>8</v>
      </c>
      <c r="C2787" s="271" t="s">
        <v>2748</v>
      </c>
      <c r="D2787" s="497"/>
      <c r="E2787" s="497"/>
      <c r="F2787" s="263"/>
      <c r="G2787" s="275"/>
    </row>
    <row r="2788" spans="1:7" ht="17.45" customHeight="1">
      <c r="A2788" s="261" t="s">
        <v>8</v>
      </c>
      <c r="C2788" s="271" t="s">
        <v>1596</v>
      </c>
      <c r="D2788" s="497"/>
      <c r="E2788" s="499">
        <f>2900+2900+2900</f>
        <v>8700</v>
      </c>
      <c r="F2788" s="263"/>
      <c r="G2788" s="275"/>
    </row>
    <row r="2789" spans="1:7" ht="17.45" customHeight="1">
      <c r="A2789" s="261" t="s">
        <v>8</v>
      </c>
      <c r="C2789" s="271" t="s">
        <v>1595</v>
      </c>
      <c r="D2789" s="497"/>
      <c r="E2789" s="499">
        <f>2300+5800+2500</f>
        <v>10600</v>
      </c>
      <c r="F2789" s="263"/>
      <c r="G2789" s="275"/>
    </row>
    <row r="2790" spans="1:7" ht="17.45" customHeight="1">
      <c r="A2790" s="261" t="s">
        <v>8</v>
      </c>
      <c r="C2790" s="271" t="s">
        <v>2822</v>
      </c>
      <c r="D2790" s="497"/>
      <c r="E2790" s="499">
        <f>1200+6000</f>
        <v>7200</v>
      </c>
      <c r="F2790" s="263"/>
      <c r="G2790" s="275"/>
    </row>
    <row r="2791" spans="1:7" ht="17.45" customHeight="1">
      <c r="A2791" s="261" t="s">
        <v>8</v>
      </c>
      <c r="C2791" s="271" t="s">
        <v>2821</v>
      </c>
      <c r="D2791" s="497"/>
      <c r="E2791" s="499">
        <v>6600</v>
      </c>
      <c r="F2791" s="263"/>
      <c r="G2791" s="273"/>
    </row>
    <row r="2792" spans="1:7" ht="17.45" customHeight="1">
      <c r="A2792" s="261" t="s">
        <v>8</v>
      </c>
      <c r="C2792" s="271" t="s">
        <v>1689</v>
      </c>
      <c r="D2792" s="497"/>
      <c r="E2792" s="497"/>
      <c r="F2792" s="263"/>
      <c r="G2792" s="275"/>
    </row>
    <row r="2793" spans="1:7" ht="17.45" customHeight="1">
      <c r="A2793" s="261" t="s">
        <v>8</v>
      </c>
      <c r="C2793" s="271" t="s">
        <v>1569</v>
      </c>
      <c r="D2793" s="497"/>
      <c r="E2793" s="497"/>
      <c r="F2793" s="263"/>
      <c r="G2793" s="275"/>
    </row>
    <row r="2794" spans="1:7" ht="17.45" customHeight="1">
      <c r="A2794" s="261" t="s">
        <v>8</v>
      </c>
      <c r="C2794" s="271" t="s">
        <v>1618</v>
      </c>
      <c r="D2794" s="497"/>
      <c r="E2794" s="499">
        <f>17580+18080+15240+34760</f>
        <v>85660</v>
      </c>
      <c r="F2794" s="263"/>
      <c r="G2794" s="275"/>
    </row>
    <row r="2795" spans="1:7" ht="17.45" customHeight="1">
      <c r="A2795" s="261" t="s">
        <v>8</v>
      </c>
      <c r="C2795" s="271" t="s">
        <v>2810</v>
      </c>
      <c r="D2795" s="497"/>
      <c r="E2795" s="499">
        <f>38100</f>
        <v>38100</v>
      </c>
      <c r="F2795" s="263"/>
      <c r="G2795" s="275"/>
    </row>
    <row r="2796" spans="1:7" ht="17.45" customHeight="1" thickBot="1">
      <c r="A2796" s="261" t="s">
        <v>8</v>
      </c>
      <c r="C2796" s="276" t="s">
        <v>2699</v>
      </c>
      <c r="D2796" s="502"/>
      <c r="E2796" s="503">
        <f>6000+49000+28000+35000</f>
        <v>118000</v>
      </c>
      <c r="F2796" s="277"/>
      <c r="G2796" s="282"/>
    </row>
    <row r="2797" spans="1:7" ht="17.45" customHeight="1">
      <c r="A2797" s="261" t="s">
        <v>8</v>
      </c>
      <c r="C2797" s="279" t="s">
        <v>2107</v>
      </c>
      <c r="D2797" s="504"/>
      <c r="E2797" s="505">
        <v>6200</v>
      </c>
      <c r="F2797" s="280"/>
      <c r="G2797" s="281"/>
    </row>
    <row r="2798" spans="1:7" ht="17.45" customHeight="1">
      <c r="A2798" s="261" t="s">
        <v>8</v>
      </c>
      <c r="C2798" s="271" t="s">
        <v>1606</v>
      </c>
      <c r="D2798" s="497"/>
      <c r="E2798" s="499">
        <f>9900+9900</f>
        <v>19800</v>
      </c>
      <c r="F2798" s="263"/>
      <c r="G2798" s="275"/>
    </row>
    <row r="2799" spans="1:7" ht="17.45" customHeight="1">
      <c r="A2799" s="261" t="s">
        <v>8</v>
      </c>
      <c r="C2799" s="271" t="s">
        <v>2978</v>
      </c>
      <c r="D2799" s="497"/>
      <c r="E2799" s="499">
        <v>11000</v>
      </c>
      <c r="F2799" s="263"/>
      <c r="G2799" s="275"/>
    </row>
    <row r="2800" spans="1:7" ht="17.45" customHeight="1">
      <c r="A2800" s="261" t="s">
        <v>8</v>
      </c>
      <c r="C2800" s="271" t="s">
        <v>2470</v>
      </c>
      <c r="D2800" s="497"/>
      <c r="E2800" s="499">
        <f>800+1300+1500+1200</f>
        <v>4800</v>
      </c>
      <c r="F2800" s="263"/>
      <c r="G2800" s="275"/>
    </row>
    <row r="2801" spans="1:7" ht="17.45" customHeight="1">
      <c r="A2801" s="261" t="s">
        <v>8</v>
      </c>
      <c r="C2801" s="271" t="s">
        <v>2423</v>
      </c>
      <c r="D2801" s="497"/>
      <c r="E2801" s="499">
        <f>2200+4900+1200+1000</f>
        <v>9300</v>
      </c>
      <c r="F2801" s="263"/>
      <c r="G2801" s="275"/>
    </row>
    <row r="2802" spans="1:7" ht="17.45" customHeight="1">
      <c r="A2802" s="261" t="s">
        <v>8</v>
      </c>
      <c r="C2802" s="271" t="s">
        <v>2979</v>
      </c>
      <c r="D2802" s="497"/>
      <c r="E2802" s="499">
        <f>90800-181600</f>
        <v>-90800</v>
      </c>
      <c r="F2802" s="263"/>
      <c r="G2802" s="275"/>
    </row>
    <row r="2803" spans="1:7" ht="17.45" customHeight="1">
      <c r="A2803" s="261" t="s">
        <v>8</v>
      </c>
      <c r="C2803" s="271" t="s">
        <v>2980</v>
      </c>
      <c r="D2803" s="497"/>
      <c r="E2803" s="499">
        <v>18610</v>
      </c>
      <c r="F2803" s="263"/>
      <c r="G2803" s="275"/>
    </row>
    <row r="2804" spans="1:7" ht="17.45" customHeight="1">
      <c r="A2804" s="261" t="s">
        <v>8</v>
      </c>
      <c r="C2804" s="271" t="s">
        <v>2981</v>
      </c>
      <c r="D2804" s="497"/>
      <c r="E2804" s="499">
        <v>124900</v>
      </c>
      <c r="F2804" s="263"/>
      <c r="G2804" s="275"/>
    </row>
    <row r="2805" spans="1:7" ht="17.45" customHeight="1">
      <c r="A2805" s="261" t="s">
        <v>8</v>
      </c>
      <c r="C2805" s="271" t="s">
        <v>2982</v>
      </c>
      <c r="D2805" s="497"/>
      <c r="E2805" s="499">
        <v>-5300</v>
      </c>
      <c r="F2805" s="263"/>
      <c r="G2805" s="275"/>
    </row>
    <row r="2806" spans="1:7" ht="17.45" customHeight="1">
      <c r="A2806" s="261" t="s">
        <v>8</v>
      </c>
      <c r="C2806" s="284" t="s">
        <v>2983</v>
      </c>
      <c r="D2806" s="497"/>
      <c r="E2806" s="499">
        <v>9600</v>
      </c>
      <c r="F2806" s="263"/>
      <c r="G2806" s="275"/>
    </row>
    <row r="2807" spans="1:7" ht="17.25" customHeight="1">
      <c r="A2807" s="261" t="s">
        <v>8</v>
      </c>
      <c r="C2807" s="271" t="s">
        <v>2984</v>
      </c>
      <c r="D2807" s="497"/>
      <c r="E2807" s="499">
        <v>23000</v>
      </c>
      <c r="F2807" s="263"/>
      <c r="G2807" s="275"/>
    </row>
    <row r="2808" spans="1:7" ht="17.45" customHeight="1">
      <c r="A2808" s="261" t="s">
        <v>8</v>
      </c>
      <c r="C2808" s="271" t="s">
        <v>2985</v>
      </c>
      <c r="D2808" s="497"/>
      <c r="E2808" s="499">
        <v>2200</v>
      </c>
      <c r="F2808" s="263"/>
      <c r="G2808" s="275"/>
    </row>
    <row r="2809" spans="1:7" ht="17.45" customHeight="1">
      <c r="A2809" s="261" t="s">
        <v>8</v>
      </c>
      <c r="C2809" s="271" t="s">
        <v>2986</v>
      </c>
      <c r="D2809" s="497"/>
      <c r="E2809" s="499">
        <f>30600+31100</f>
        <v>61700</v>
      </c>
      <c r="F2809" s="263"/>
      <c r="G2809" s="275"/>
    </row>
    <row r="2810" spans="1:7" ht="17.45" customHeight="1">
      <c r="A2810" s="261" t="s">
        <v>8</v>
      </c>
      <c r="C2810" s="271" t="s">
        <v>2987</v>
      </c>
      <c r="D2810" s="499">
        <v>37376</v>
      </c>
      <c r="E2810" s="497"/>
      <c r="F2810" s="263"/>
      <c r="G2810" s="275"/>
    </row>
    <row r="2811" spans="1:7" ht="17.45" customHeight="1">
      <c r="A2811" s="261" t="s">
        <v>8</v>
      </c>
      <c r="C2811" s="284" t="s">
        <v>2988</v>
      </c>
      <c r="D2811" s="497"/>
      <c r="E2811" s="499">
        <f>2000+2000</f>
        <v>4000</v>
      </c>
      <c r="F2811" s="263"/>
      <c r="G2811" s="275"/>
    </row>
    <row r="2812" spans="1:7" ht="17.45" customHeight="1">
      <c r="A2812" s="261" t="s">
        <v>8</v>
      </c>
      <c r="C2812" s="271" t="s">
        <v>2989</v>
      </c>
      <c r="D2812" s="497"/>
      <c r="E2812" s="499">
        <v>26000</v>
      </c>
      <c r="F2812" s="263"/>
      <c r="G2812" s="275"/>
    </row>
    <row r="2813" spans="1:7" ht="17.45" customHeight="1">
      <c r="A2813" s="261" t="s">
        <v>8</v>
      </c>
      <c r="C2813" s="271" t="s">
        <v>2990</v>
      </c>
      <c r="D2813" s="497"/>
      <c r="E2813" s="499">
        <v>3000</v>
      </c>
      <c r="F2813" s="263"/>
      <c r="G2813" s="275"/>
    </row>
    <row r="2814" spans="1:7" ht="17.45" customHeight="1">
      <c r="A2814" s="261" t="s">
        <v>8</v>
      </c>
      <c r="C2814" s="271" t="s">
        <v>2991</v>
      </c>
      <c r="D2814" s="497"/>
      <c r="E2814" s="499">
        <v>9300</v>
      </c>
      <c r="F2814" s="263"/>
      <c r="G2814" s="275"/>
    </row>
    <row r="2815" spans="1:7" ht="17.45" customHeight="1">
      <c r="A2815" s="261" t="s">
        <v>8</v>
      </c>
      <c r="C2815" s="271" t="s">
        <v>2992</v>
      </c>
      <c r="D2815" s="497"/>
      <c r="E2815" s="499">
        <v>23500</v>
      </c>
      <c r="F2815" s="263"/>
      <c r="G2815" s="275"/>
    </row>
    <row r="2816" spans="1:7" ht="17.45" customHeight="1">
      <c r="A2816" s="261" t="s">
        <v>8</v>
      </c>
      <c r="C2816" s="271" t="s">
        <v>2993</v>
      </c>
      <c r="D2816" s="497"/>
      <c r="E2816" s="499">
        <v>5000</v>
      </c>
      <c r="F2816" s="263"/>
      <c r="G2816" s="275"/>
    </row>
    <row r="2817" spans="1:7" ht="17.45" customHeight="1">
      <c r="A2817" s="261" t="s">
        <v>8</v>
      </c>
      <c r="C2817" s="271" t="s">
        <v>2994</v>
      </c>
      <c r="D2817" s="497"/>
      <c r="E2817" s="499">
        <v>5000</v>
      </c>
      <c r="F2817" s="263"/>
      <c r="G2817" s="275"/>
    </row>
    <row r="2818" spans="1:7" ht="17.45" customHeight="1">
      <c r="A2818" s="261" t="s">
        <v>8</v>
      </c>
      <c r="C2818" s="271" t="s">
        <v>2995</v>
      </c>
      <c r="D2818" s="497"/>
      <c r="E2818" s="499">
        <v>91421</v>
      </c>
      <c r="F2818" s="263"/>
      <c r="G2818" s="275"/>
    </row>
    <row r="2819" spans="1:7" ht="17.45" customHeight="1">
      <c r="A2819" s="261" t="s">
        <v>8</v>
      </c>
      <c r="C2819" s="271" t="s">
        <v>2996</v>
      </c>
      <c r="D2819" s="497"/>
      <c r="E2819" s="499">
        <v>33500</v>
      </c>
      <c r="F2819" s="263"/>
      <c r="G2819" s="275"/>
    </row>
    <row r="2820" spans="1:7" ht="17.45" customHeight="1">
      <c r="A2820" s="261" t="s">
        <v>8</v>
      </c>
      <c r="C2820" s="271" t="s">
        <v>2997</v>
      </c>
      <c r="D2820" s="499">
        <v>73090</v>
      </c>
      <c r="E2820" s="497"/>
      <c r="F2820" s="263"/>
      <c r="G2820" s="275" t="s">
        <v>2998</v>
      </c>
    </row>
    <row r="2821" spans="1:7" ht="17.45" customHeight="1">
      <c r="A2821" s="261" t="s">
        <v>8</v>
      </c>
      <c r="C2821" s="271" t="s">
        <v>2999</v>
      </c>
      <c r="D2821" s="497"/>
      <c r="E2821" s="499">
        <f>77500-77500+64600+59800</f>
        <v>124400</v>
      </c>
      <c r="F2821" s="263"/>
      <c r="G2821" s="275"/>
    </row>
    <row r="2822" spans="1:7" ht="17.45" customHeight="1">
      <c r="A2822" s="261" t="s">
        <v>8</v>
      </c>
      <c r="C2822" s="271" t="s">
        <v>3000</v>
      </c>
      <c r="D2822" s="497"/>
      <c r="E2822" s="499">
        <v>32000</v>
      </c>
      <c r="F2822" s="263"/>
      <c r="G2822" s="275"/>
    </row>
    <row r="2823" spans="1:7" ht="17.45" customHeight="1">
      <c r="A2823" s="261" t="s">
        <v>8</v>
      </c>
      <c r="C2823" s="271" t="s">
        <v>3001</v>
      </c>
      <c r="D2823" s="497"/>
      <c r="E2823" s="499">
        <v>137340</v>
      </c>
      <c r="F2823" s="263"/>
      <c r="G2823" s="275"/>
    </row>
    <row r="2824" spans="1:7" ht="17.45" customHeight="1">
      <c r="A2824" s="261" t="s">
        <v>8</v>
      </c>
      <c r="C2824" s="271" t="s">
        <v>3002</v>
      </c>
      <c r="D2824" s="497"/>
      <c r="E2824" s="499">
        <v>129070</v>
      </c>
      <c r="F2824" s="263"/>
      <c r="G2824" s="275"/>
    </row>
    <row r="2825" spans="1:7" ht="17.45" customHeight="1">
      <c r="A2825" s="261" t="s">
        <v>8</v>
      </c>
      <c r="C2825" s="271" t="s">
        <v>3003</v>
      </c>
      <c r="D2825" s="497"/>
      <c r="E2825" s="499">
        <v>2500</v>
      </c>
      <c r="F2825" s="263"/>
      <c r="G2825" s="275"/>
    </row>
    <row r="2826" spans="1:7" ht="17.45" customHeight="1">
      <c r="A2826" s="261" t="s">
        <v>8</v>
      </c>
      <c r="C2826" s="271" t="s">
        <v>3004</v>
      </c>
      <c r="D2826" s="497"/>
      <c r="E2826" s="499">
        <v>23030</v>
      </c>
      <c r="F2826" s="263"/>
      <c r="G2826" s="275"/>
    </row>
    <row r="2827" spans="1:7" ht="17.45" customHeight="1">
      <c r="A2827" s="261" t="s">
        <v>8</v>
      </c>
      <c r="C2827" s="271" t="s">
        <v>3005</v>
      </c>
      <c r="D2827" s="499">
        <v>1396</v>
      </c>
      <c r="E2827" s="497"/>
      <c r="F2827" s="263"/>
      <c r="G2827" s="275"/>
    </row>
    <row r="2828" spans="1:7" ht="17.45" customHeight="1">
      <c r="A2828" s="261"/>
      <c r="C2828" s="271" t="s">
        <v>3033</v>
      </c>
      <c r="D2828" s="497"/>
      <c r="E2828" s="499">
        <v>40000</v>
      </c>
      <c r="F2828" s="263"/>
      <c r="G2828" s="275"/>
    </row>
    <row r="2829" spans="1:7" ht="17.45" customHeight="1">
      <c r="A2829" s="261" t="s">
        <v>8</v>
      </c>
      <c r="C2829" s="271" t="s">
        <v>3006</v>
      </c>
      <c r="D2829" s="497"/>
      <c r="E2829" s="499">
        <v>10000</v>
      </c>
      <c r="F2829" s="263"/>
      <c r="G2829" s="275"/>
    </row>
    <row r="2830" spans="1:7" ht="17.45" customHeight="1">
      <c r="A2830" s="261" t="s">
        <v>8</v>
      </c>
      <c r="C2830" s="271" t="s">
        <v>3007</v>
      </c>
      <c r="D2830" s="497"/>
      <c r="E2830" s="497">
        <v>-1</v>
      </c>
      <c r="F2830" s="263"/>
      <c r="G2830" s="275"/>
    </row>
    <row r="2831" spans="1:7" ht="17.45" customHeight="1" thickBot="1">
      <c r="A2831" s="261" t="s">
        <v>8</v>
      </c>
      <c r="C2831" s="276" t="s">
        <v>1300</v>
      </c>
      <c r="D2831" s="502">
        <f>SUM(D2757:D2830)-SUM(E2757:E2830)</f>
        <v>1815971</v>
      </c>
      <c r="E2831" s="502">
        <f>SUM(E2757:E2830)-SUM(F2757:F2830)</f>
        <v>3078791</v>
      </c>
      <c r="F2831" s="277"/>
      <c r="G2831" s="283"/>
    </row>
    <row r="2833" spans="1:7" ht="12.75" thickBot="1"/>
    <row r="2834" spans="1:7" ht="17.45" customHeight="1">
      <c r="A2834" s="261" t="s">
        <v>8</v>
      </c>
      <c r="B2834" s="256" t="s">
        <v>3008</v>
      </c>
      <c r="C2834" s="268" t="s">
        <v>1268</v>
      </c>
      <c r="D2834" s="501">
        <v>0</v>
      </c>
      <c r="E2834" s="501"/>
      <c r="F2834" s="269"/>
      <c r="G2834" s="270"/>
    </row>
    <row r="2835" spans="1:7" ht="17.45" customHeight="1">
      <c r="A2835" s="261" t="s">
        <v>8</v>
      </c>
      <c r="B2835" s="257"/>
      <c r="C2835" s="271" t="s">
        <v>3047</v>
      </c>
      <c r="D2835" s="499">
        <v>2500000</v>
      </c>
      <c r="E2835" s="497"/>
      <c r="F2835" s="263"/>
      <c r="G2835" s="272"/>
    </row>
    <row r="2836" spans="1:7" ht="17.45" customHeight="1">
      <c r="A2836" s="261" t="s">
        <v>8</v>
      </c>
      <c r="B2836" s="257"/>
      <c r="C2836" s="271" t="s">
        <v>1269</v>
      </c>
      <c r="D2836" s="497"/>
      <c r="E2836" s="499">
        <v>316730</v>
      </c>
      <c r="F2836" s="263"/>
      <c r="G2836" s="272" t="s">
        <v>3048</v>
      </c>
    </row>
    <row r="2837" spans="1:7" ht="17.45" customHeight="1">
      <c r="A2837" s="261" t="s">
        <v>8</v>
      </c>
      <c r="C2837" s="271" t="s">
        <v>1270</v>
      </c>
      <c r="D2837" s="497"/>
      <c r="E2837" s="497"/>
      <c r="F2837" s="263"/>
      <c r="G2837" s="273" t="s">
        <v>2740</v>
      </c>
    </row>
    <row r="2838" spans="1:7" ht="17.45" customHeight="1">
      <c r="A2838" s="261" t="s">
        <v>8</v>
      </c>
      <c r="C2838" s="271" t="s">
        <v>1670</v>
      </c>
      <c r="D2838" s="497"/>
      <c r="E2838" s="497"/>
      <c r="F2838" s="263"/>
      <c r="G2838" s="274"/>
    </row>
    <row r="2839" spans="1:7" ht="17.45" customHeight="1">
      <c r="A2839" s="261" t="s">
        <v>8</v>
      </c>
      <c r="C2839" s="271" t="s">
        <v>1672</v>
      </c>
      <c r="D2839" s="497"/>
      <c r="E2839" s="499">
        <v>74200</v>
      </c>
      <c r="F2839" s="263"/>
      <c r="G2839" s="273" t="s">
        <v>2732</v>
      </c>
    </row>
    <row r="2840" spans="1:7" ht="17.45" customHeight="1">
      <c r="A2840" s="261" t="s">
        <v>8</v>
      </c>
      <c r="C2840" s="271" t="s">
        <v>1673</v>
      </c>
      <c r="D2840" s="497"/>
      <c r="E2840" s="497"/>
      <c r="F2840" s="263"/>
      <c r="G2840" s="274"/>
    </row>
    <row r="2841" spans="1:7" ht="17.45" customHeight="1">
      <c r="A2841" s="261" t="s">
        <v>8</v>
      </c>
      <c r="C2841" s="271" t="s">
        <v>1332</v>
      </c>
      <c r="D2841" s="497"/>
      <c r="E2841" s="499">
        <v>34650</v>
      </c>
      <c r="F2841" s="263"/>
      <c r="G2841" s="275"/>
    </row>
    <row r="2842" spans="1:7" ht="17.45" customHeight="1">
      <c r="A2842" s="261" t="s">
        <v>8</v>
      </c>
      <c r="C2842" s="271" t="s">
        <v>1271</v>
      </c>
      <c r="D2842" s="497"/>
      <c r="E2842" s="497"/>
      <c r="F2842" s="263"/>
      <c r="G2842" s="274"/>
    </row>
    <row r="2843" spans="1:7" ht="17.45" customHeight="1">
      <c r="A2843" s="261" t="s">
        <v>8</v>
      </c>
      <c r="C2843" s="271" t="s">
        <v>1272</v>
      </c>
      <c r="D2843" s="497"/>
      <c r="E2843" s="497"/>
      <c r="F2843" s="263"/>
      <c r="G2843" s="273"/>
    </row>
    <row r="2844" spans="1:7" ht="17.45" customHeight="1">
      <c r="A2844" s="261" t="s">
        <v>8</v>
      </c>
      <c r="C2844" s="271" t="s">
        <v>3009</v>
      </c>
      <c r="D2844" s="497"/>
      <c r="E2844" s="499">
        <f>20763+20763-132</f>
        <v>41394</v>
      </c>
      <c r="F2844" s="263"/>
      <c r="G2844" s="273" t="s">
        <v>2732</v>
      </c>
    </row>
    <row r="2845" spans="1:7" ht="17.45" customHeight="1">
      <c r="A2845" s="261" t="s">
        <v>8</v>
      </c>
      <c r="C2845" s="271" t="s">
        <v>3010</v>
      </c>
      <c r="D2845" s="497"/>
      <c r="E2845" s="499">
        <f>79322+79322</f>
        <v>158644</v>
      </c>
      <c r="F2845" s="263"/>
      <c r="G2845" s="273" t="s">
        <v>2732</v>
      </c>
    </row>
    <row r="2846" spans="1:7" ht="17.45" customHeight="1">
      <c r="A2846" s="261" t="s">
        <v>8</v>
      </c>
      <c r="C2846" s="271" t="s">
        <v>1273</v>
      </c>
      <c r="D2846" s="497"/>
      <c r="E2846" s="499">
        <v>29920</v>
      </c>
      <c r="F2846" s="263"/>
      <c r="G2846" s="273" t="s">
        <v>2732</v>
      </c>
    </row>
    <row r="2847" spans="1:7" ht="17.45" customHeight="1">
      <c r="A2847" s="261" t="s">
        <v>8</v>
      </c>
      <c r="C2847" s="271" t="s">
        <v>1274</v>
      </c>
      <c r="D2847" s="497"/>
      <c r="E2847" s="499">
        <f>9405+3757+3757</f>
        <v>16919</v>
      </c>
      <c r="F2847" s="263"/>
      <c r="G2847" s="273" t="s">
        <v>3035</v>
      </c>
    </row>
    <row r="2848" spans="1:7" ht="17.45" customHeight="1">
      <c r="A2848" s="261" t="s">
        <v>8</v>
      </c>
      <c r="C2848" s="271" t="s">
        <v>2168</v>
      </c>
      <c r="D2848" s="497"/>
      <c r="E2848" s="499">
        <v>18816</v>
      </c>
      <c r="F2848" s="263"/>
      <c r="G2848" s="273" t="s">
        <v>2732</v>
      </c>
    </row>
    <row r="2849" spans="1:7" ht="17.45" customHeight="1">
      <c r="A2849" s="261" t="s">
        <v>8</v>
      </c>
      <c r="C2849" s="271" t="s">
        <v>1517</v>
      </c>
      <c r="D2849" s="497"/>
      <c r="E2849" s="499">
        <f>23230+23230</f>
        <v>46460</v>
      </c>
      <c r="F2849" s="263"/>
      <c r="G2849" s="273" t="s">
        <v>2732</v>
      </c>
    </row>
    <row r="2850" spans="1:7" ht="17.45" customHeight="1">
      <c r="A2850" s="261" t="s">
        <v>8</v>
      </c>
      <c r="C2850" s="271" t="s">
        <v>1276</v>
      </c>
      <c r="D2850" s="497"/>
      <c r="E2850" s="499">
        <v>273940</v>
      </c>
      <c r="F2850" s="263"/>
      <c r="G2850" s="273" t="s">
        <v>2732</v>
      </c>
    </row>
    <row r="2851" spans="1:7" ht="17.45" customHeight="1">
      <c r="A2851" s="261" t="s">
        <v>8</v>
      </c>
      <c r="C2851" s="271" t="s">
        <v>1277</v>
      </c>
      <c r="D2851" s="497"/>
      <c r="E2851" s="499">
        <v>37390</v>
      </c>
      <c r="F2851" s="263"/>
      <c r="G2851" s="273" t="s">
        <v>2732</v>
      </c>
    </row>
    <row r="2852" spans="1:7" ht="17.45" customHeight="1">
      <c r="A2852" s="261" t="s">
        <v>8</v>
      </c>
      <c r="C2852" s="271" t="s">
        <v>1278</v>
      </c>
      <c r="D2852" s="497"/>
      <c r="E2852" s="499">
        <v>200000</v>
      </c>
      <c r="F2852" s="263"/>
      <c r="G2852" s="273"/>
    </row>
    <row r="2853" spans="1:7" ht="17.45" customHeight="1">
      <c r="A2853" s="261" t="s">
        <v>8</v>
      </c>
      <c r="C2853" s="285" t="s">
        <v>1413</v>
      </c>
      <c r="D2853" s="506"/>
      <c r="E2853" s="506"/>
      <c r="F2853" s="286"/>
      <c r="G2853" s="287"/>
    </row>
    <row r="2854" spans="1:7" ht="17.25" customHeight="1">
      <c r="A2854" s="261" t="s">
        <v>8</v>
      </c>
      <c r="C2854" s="338" t="s">
        <v>2661</v>
      </c>
      <c r="D2854" s="497"/>
      <c r="E2854" s="497"/>
      <c r="F2854" s="263"/>
      <c r="G2854" s="275"/>
    </row>
    <row r="2855" spans="1:7" ht="17.45" customHeight="1">
      <c r="A2855" s="261" t="s">
        <v>8</v>
      </c>
      <c r="C2855" s="339" t="s">
        <v>2647</v>
      </c>
      <c r="D2855" s="506"/>
      <c r="E2855" s="506"/>
      <c r="F2855" s="286"/>
      <c r="G2855" s="290"/>
    </row>
    <row r="2856" spans="1:7" ht="17.45" customHeight="1" thickBot="1">
      <c r="A2856" s="261" t="s">
        <v>8</v>
      </c>
      <c r="C2856" s="285" t="s">
        <v>1942</v>
      </c>
      <c r="D2856" s="506"/>
      <c r="E2856" s="507">
        <v>20000</v>
      </c>
      <c r="F2856" s="286"/>
      <c r="G2856" s="290"/>
    </row>
    <row r="2857" spans="1:7" ht="17.45" customHeight="1">
      <c r="A2857" s="261" t="s">
        <v>8</v>
      </c>
      <c r="C2857" s="268" t="s">
        <v>1280</v>
      </c>
      <c r="D2857" s="501"/>
      <c r="E2857" s="500">
        <f>50000*1</f>
        <v>50000</v>
      </c>
      <c r="F2857" s="269"/>
      <c r="G2857" s="288"/>
    </row>
    <row r="2858" spans="1:7" ht="17.45" customHeight="1">
      <c r="A2858" s="261" t="s">
        <v>8</v>
      </c>
      <c r="C2858" s="271" t="s">
        <v>1549</v>
      </c>
      <c r="D2858" s="497"/>
      <c r="E2858" s="497"/>
      <c r="F2858" s="263"/>
      <c r="G2858" s="275"/>
    </row>
    <row r="2859" spans="1:7" ht="17.45" customHeight="1">
      <c r="A2859" s="261" t="s">
        <v>8</v>
      </c>
      <c r="C2859" s="271" t="s">
        <v>1819</v>
      </c>
      <c r="D2859" s="497"/>
      <c r="E2859" s="497"/>
      <c r="F2859" s="263"/>
      <c r="G2859" s="275"/>
    </row>
    <row r="2860" spans="1:7" ht="17.45" customHeight="1">
      <c r="A2860" s="261" t="s">
        <v>8</v>
      </c>
      <c r="C2860" s="271" t="s">
        <v>391</v>
      </c>
      <c r="D2860" s="497"/>
      <c r="E2860" s="497"/>
      <c r="F2860" s="263"/>
      <c r="G2860" s="275"/>
    </row>
    <row r="2861" spans="1:7" ht="17.45" customHeight="1">
      <c r="A2861" s="261" t="s">
        <v>8</v>
      </c>
      <c r="C2861" s="271" t="s">
        <v>1934</v>
      </c>
      <c r="D2861" s="497"/>
      <c r="E2861" s="497"/>
      <c r="F2861" s="263"/>
      <c r="G2861" s="275"/>
    </row>
    <row r="2862" spans="1:7" ht="17.25" customHeight="1">
      <c r="A2862" s="261" t="s">
        <v>8</v>
      </c>
      <c r="C2862" s="271" t="s">
        <v>2202</v>
      </c>
      <c r="D2862" s="497"/>
      <c r="E2862" s="497"/>
      <c r="F2862" s="263"/>
      <c r="G2862" s="275"/>
    </row>
    <row r="2863" spans="1:7" ht="17.45" customHeight="1">
      <c r="A2863" s="261" t="s">
        <v>8</v>
      </c>
      <c r="C2863" s="271" t="s">
        <v>2654</v>
      </c>
      <c r="D2863" s="497"/>
      <c r="E2863" s="499">
        <v>60000</v>
      </c>
      <c r="F2863" s="263"/>
      <c r="G2863" s="275"/>
    </row>
    <row r="2864" spans="1:7" ht="17.45" customHeight="1">
      <c r="A2864" s="261" t="s">
        <v>8</v>
      </c>
      <c r="C2864" s="271" t="s">
        <v>1687</v>
      </c>
      <c r="D2864" s="497"/>
      <c r="E2864" s="497"/>
      <c r="F2864" s="263"/>
      <c r="G2864" s="275"/>
    </row>
    <row r="2865" spans="1:7" ht="17.45" customHeight="1">
      <c r="A2865" s="261" t="s">
        <v>8</v>
      </c>
      <c r="C2865" s="271" t="s">
        <v>1688</v>
      </c>
      <c r="D2865" s="497"/>
      <c r="E2865" s="499">
        <f>55000</f>
        <v>55000</v>
      </c>
      <c r="F2865" s="263"/>
      <c r="G2865" s="275"/>
    </row>
    <row r="2866" spans="1:7" ht="17.45" customHeight="1">
      <c r="A2866" s="261" t="s">
        <v>8</v>
      </c>
      <c r="C2866" s="271"/>
      <c r="D2866" s="497"/>
      <c r="E2866" s="497"/>
      <c r="F2866" s="263"/>
      <c r="G2866" s="275"/>
    </row>
    <row r="2867" spans="1:7" ht="17.45" customHeight="1">
      <c r="A2867" s="261" t="s">
        <v>8</v>
      </c>
      <c r="C2867" s="271" t="s">
        <v>1596</v>
      </c>
      <c r="D2867" s="497"/>
      <c r="E2867" s="499">
        <f>1300</f>
        <v>1300</v>
      </c>
      <c r="F2867" s="263"/>
      <c r="G2867" s="275"/>
    </row>
    <row r="2868" spans="1:7" ht="17.45" customHeight="1">
      <c r="A2868" s="261" t="s">
        <v>8</v>
      </c>
      <c r="C2868" s="271" t="s">
        <v>1595</v>
      </c>
      <c r="D2868" s="497"/>
      <c r="E2868" s="499">
        <f>1400</f>
        <v>1400</v>
      </c>
      <c r="F2868" s="263"/>
      <c r="G2868" s="275"/>
    </row>
    <row r="2869" spans="1:7" ht="17.45" customHeight="1">
      <c r="A2869" s="261" t="s">
        <v>8</v>
      </c>
      <c r="C2869" s="271" t="s">
        <v>2822</v>
      </c>
      <c r="D2869" s="497"/>
      <c r="E2869" s="499">
        <f>5200+4700+1900+3200+5200</f>
        <v>20200</v>
      </c>
      <c r="F2869" s="263"/>
      <c r="G2869" s="275"/>
    </row>
    <row r="2870" spans="1:7" ht="17.45" customHeight="1">
      <c r="A2870" s="261" t="s">
        <v>8</v>
      </c>
      <c r="C2870" s="271" t="s">
        <v>2821</v>
      </c>
      <c r="D2870" s="497"/>
      <c r="E2870" s="499">
        <v>5000</v>
      </c>
      <c r="F2870" s="263"/>
      <c r="G2870" s="273"/>
    </row>
    <row r="2871" spans="1:7" ht="17.45" customHeight="1">
      <c r="A2871" s="261" t="s">
        <v>8</v>
      </c>
      <c r="C2871" s="271" t="s">
        <v>1689</v>
      </c>
      <c r="D2871" s="497"/>
      <c r="E2871" s="497"/>
      <c r="F2871" s="263"/>
      <c r="G2871" s="275"/>
    </row>
    <row r="2872" spans="1:7" ht="17.45" customHeight="1">
      <c r="A2872" s="261" t="s">
        <v>8</v>
      </c>
      <c r="C2872" s="271" t="s">
        <v>1569</v>
      </c>
      <c r="D2872" s="497"/>
      <c r="E2872" s="497"/>
      <c r="F2872" s="263"/>
      <c r="G2872" s="275"/>
    </row>
    <row r="2873" spans="1:7" ht="17.45" customHeight="1">
      <c r="A2873" s="261" t="s">
        <v>8</v>
      </c>
      <c r="C2873" s="271" t="s">
        <v>1618</v>
      </c>
      <c r="D2873" s="497"/>
      <c r="E2873" s="499">
        <f>41070+6760+69910</f>
        <v>117740</v>
      </c>
      <c r="F2873" s="263"/>
      <c r="G2873" s="275"/>
    </row>
    <row r="2874" spans="1:7" ht="17.45" customHeight="1">
      <c r="A2874" s="261" t="s">
        <v>8</v>
      </c>
      <c r="C2874" s="271" t="s">
        <v>2810</v>
      </c>
      <c r="D2874" s="497"/>
      <c r="E2874" s="499">
        <f>27175</f>
        <v>27175</v>
      </c>
      <c r="F2874" s="263"/>
      <c r="G2874" s="275"/>
    </row>
    <row r="2875" spans="1:7" ht="17.45" customHeight="1" thickBot="1">
      <c r="A2875" s="261" t="s">
        <v>8</v>
      </c>
      <c r="C2875" s="276" t="s">
        <v>2699</v>
      </c>
      <c r="D2875" s="502"/>
      <c r="E2875" s="503">
        <f>19000+41000+27800+21000</f>
        <v>108800</v>
      </c>
      <c r="F2875" s="277"/>
      <c r="G2875" s="282"/>
    </row>
    <row r="2876" spans="1:7" ht="17.45" customHeight="1">
      <c r="A2876" s="261" t="s">
        <v>8</v>
      </c>
      <c r="C2876" s="279" t="s">
        <v>3012</v>
      </c>
      <c r="D2876" s="504"/>
      <c r="E2876" s="505">
        <v>2000</v>
      </c>
      <c r="F2876" s="280"/>
      <c r="G2876" s="281"/>
    </row>
    <row r="2877" spans="1:7" ht="17.45" customHeight="1">
      <c r="A2877" s="261" t="s">
        <v>8</v>
      </c>
      <c r="C2877" s="271" t="s">
        <v>3011</v>
      </c>
      <c r="D2877" s="497"/>
      <c r="E2877" s="499">
        <v>50000</v>
      </c>
      <c r="F2877" s="263"/>
      <c r="G2877" s="275"/>
    </row>
    <row r="2878" spans="1:7" ht="17.45" customHeight="1">
      <c r="A2878" s="261" t="s">
        <v>8</v>
      </c>
      <c r="C2878" s="271" t="s">
        <v>3013</v>
      </c>
      <c r="D2878" s="497"/>
      <c r="E2878" s="499">
        <f>13200+9900</f>
        <v>23100</v>
      </c>
      <c r="F2878" s="263"/>
      <c r="G2878" s="275"/>
    </row>
    <row r="2879" spans="1:7" ht="17.45" customHeight="1">
      <c r="A2879" s="261" t="s">
        <v>8</v>
      </c>
      <c r="C2879" s="271" t="s">
        <v>3014</v>
      </c>
      <c r="D2879" s="497"/>
      <c r="E2879" s="499">
        <f>2800+3400</f>
        <v>6200</v>
      </c>
      <c r="F2879" s="263"/>
      <c r="G2879" s="275"/>
    </row>
    <row r="2880" spans="1:7" ht="17.45" customHeight="1">
      <c r="A2880" s="261" t="s">
        <v>8</v>
      </c>
      <c r="C2880" s="271" t="s">
        <v>3015</v>
      </c>
      <c r="D2880" s="497"/>
      <c r="E2880" s="499">
        <v>10000</v>
      </c>
      <c r="F2880" s="263"/>
      <c r="G2880" s="275"/>
    </row>
    <row r="2881" spans="1:7" ht="17.45" customHeight="1">
      <c r="A2881" s="261" t="s">
        <v>8</v>
      </c>
      <c r="C2881" s="271" t="s">
        <v>3016</v>
      </c>
      <c r="D2881" s="497"/>
      <c r="E2881" s="499">
        <v>5600</v>
      </c>
      <c r="F2881" s="263"/>
      <c r="G2881" s="275"/>
    </row>
    <row r="2882" spans="1:7" ht="17.45" customHeight="1">
      <c r="A2882" s="261" t="s">
        <v>8</v>
      </c>
      <c r="C2882" s="271" t="s">
        <v>3017</v>
      </c>
      <c r="D2882" s="497"/>
      <c r="E2882" s="499">
        <v>400</v>
      </c>
      <c r="F2882" s="263"/>
      <c r="G2882" s="275"/>
    </row>
    <row r="2883" spans="1:7" ht="17.45" customHeight="1">
      <c r="A2883" s="261" t="s">
        <v>8</v>
      </c>
      <c r="C2883" s="271" t="s">
        <v>3018</v>
      </c>
      <c r="D2883" s="497"/>
      <c r="E2883" s="499">
        <v>34900</v>
      </c>
      <c r="F2883" s="263"/>
      <c r="G2883" s="275"/>
    </row>
    <row r="2884" spans="1:7" ht="17.45" customHeight="1">
      <c r="A2884" s="261" t="s">
        <v>8</v>
      </c>
      <c r="C2884" s="271" t="s">
        <v>3019</v>
      </c>
      <c r="D2884" s="497"/>
      <c r="E2884" s="499">
        <v>15900</v>
      </c>
      <c r="F2884" s="263"/>
      <c r="G2884" s="275"/>
    </row>
    <row r="2885" spans="1:7" ht="17.45" customHeight="1">
      <c r="A2885" s="261" t="s">
        <v>8</v>
      </c>
      <c r="C2885" s="284" t="s">
        <v>3020</v>
      </c>
      <c r="D2885" s="497"/>
      <c r="E2885" s="499">
        <v>9500</v>
      </c>
      <c r="F2885" s="263"/>
      <c r="G2885" s="275"/>
    </row>
    <row r="2886" spans="1:7" ht="17.25" customHeight="1">
      <c r="A2886" s="261" t="s">
        <v>8</v>
      </c>
      <c r="C2886" s="271" t="s">
        <v>3021</v>
      </c>
      <c r="D2886" s="497"/>
      <c r="E2886" s="499">
        <f>4100+4000-8100</f>
        <v>0</v>
      </c>
      <c r="F2886" s="263"/>
      <c r="G2886" s="275"/>
    </row>
    <row r="2887" spans="1:7" ht="17.45" customHeight="1">
      <c r="A2887" s="261" t="s">
        <v>8</v>
      </c>
      <c r="C2887" s="271" t="s">
        <v>3023</v>
      </c>
      <c r="D2887" s="497"/>
      <c r="E2887" s="499">
        <f>1100+1100+1200</f>
        <v>3400</v>
      </c>
      <c r="F2887" s="263"/>
      <c r="G2887" s="275"/>
    </row>
    <row r="2888" spans="1:7" ht="17.45" customHeight="1">
      <c r="A2888" s="261" t="s">
        <v>8</v>
      </c>
      <c r="C2888" s="271" t="s">
        <v>3024</v>
      </c>
      <c r="D2888" s="497"/>
      <c r="E2888" s="499">
        <v>1000</v>
      </c>
      <c r="F2888" s="263"/>
      <c r="G2888" s="275"/>
    </row>
    <row r="2889" spans="1:7" ht="17.45" customHeight="1">
      <c r="A2889" s="261" t="s">
        <v>8</v>
      </c>
      <c r="C2889" s="271" t="s">
        <v>3025</v>
      </c>
      <c r="D2889" s="499">
        <v>7300</v>
      </c>
      <c r="E2889" s="497"/>
      <c r="F2889" s="263"/>
      <c r="G2889" s="275" t="s">
        <v>2998</v>
      </c>
    </row>
    <row r="2890" spans="1:7" ht="17.45" customHeight="1">
      <c r="A2890" s="261" t="s">
        <v>8</v>
      </c>
      <c r="C2890" s="284" t="s">
        <v>3026</v>
      </c>
      <c r="D2890" s="497"/>
      <c r="E2890" s="499">
        <v>320000</v>
      </c>
      <c r="F2890" s="263"/>
      <c r="G2890" s="275" t="s">
        <v>3027</v>
      </c>
    </row>
    <row r="2891" spans="1:7" ht="17.45" customHeight="1">
      <c r="A2891" s="261" t="s">
        <v>8</v>
      </c>
      <c r="C2891" s="271" t="s">
        <v>3028</v>
      </c>
      <c r="D2891" s="497"/>
      <c r="E2891" s="499">
        <v>1000</v>
      </c>
      <c r="F2891" s="263"/>
      <c r="G2891" s="275"/>
    </row>
    <row r="2892" spans="1:7" ht="17.45" customHeight="1">
      <c r="A2892" s="261" t="s">
        <v>8</v>
      </c>
      <c r="C2892" s="271" t="s">
        <v>3029</v>
      </c>
      <c r="D2892" s="497"/>
      <c r="E2892" s="499">
        <v>9800</v>
      </c>
      <c r="F2892" s="263"/>
      <c r="G2892" s="275"/>
    </row>
    <row r="2893" spans="1:7" ht="17.45" customHeight="1">
      <c r="A2893" s="261" t="s">
        <v>8</v>
      </c>
      <c r="C2893" s="271" t="s">
        <v>3030</v>
      </c>
      <c r="D2893" s="497"/>
      <c r="E2893" s="499">
        <v>1600</v>
      </c>
      <c r="F2893" s="263"/>
      <c r="G2893" s="275"/>
    </row>
    <row r="2894" spans="1:7" ht="17.45" customHeight="1">
      <c r="A2894" s="261" t="s">
        <v>8</v>
      </c>
      <c r="C2894" s="271" t="s">
        <v>3031</v>
      </c>
      <c r="D2894" s="497"/>
      <c r="E2894" s="499">
        <v>17000</v>
      </c>
      <c r="F2894" s="263"/>
      <c r="G2894" s="275"/>
    </row>
    <row r="2895" spans="1:7" ht="17.45" customHeight="1">
      <c r="A2895" s="261" t="s">
        <v>8</v>
      </c>
      <c r="C2895" s="271" t="s">
        <v>3034</v>
      </c>
      <c r="D2895" s="497"/>
      <c r="E2895" s="499">
        <v>1202480</v>
      </c>
      <c r="F2895" s="263"/>
      <c r="G2895" s="275"/>
    </row>
    <row r="2896" spans="1:7" ht="17.45" customHeight="1">
      <c r="A2896" s="261" t="s">
        <v>8</v>
      </c>
      <c r="C2896" s="271" t="s">
        <v>3036</v>
      </c>
      <c r="D2896" s="497"/>
      <c r="E2896" s="499">
        <v>22000</v>
      </c>
      <c r="F2896" s="263"/>
      <c r="G2896" s="275"/>
    </row>
    <row r="2897" spans="1:7" ht="17.45" customHeight="1">
      <c r="A2897" s="261" t="s">
        <v>8</v>
      </c>
      <c r="C2897" s="271" t="s">
        <v>3037</v>
      </c>
      <c r="D2897" s="497"/>
      <c r="E2897" s="499">
        <v>20000</v>
      </c>
      <c r="F2897" s="263"/>
      <c r="G2897" s="275"/>
    </row>
    <row r="2898" spans="1:7" ht="17.45" customHeight="1">
      <c r="A2898" s="261" t="s">
        <v>8</v>
      </c>
      <c r="C2898" s="271" t="s">
        <v>3040</v>
      </c>
      <c r="D2898" s="497"/>
      <c r="E2898" s="499">
        <v>26000</v>
      </c>
      <c r="F2898" s="263"/>
      <c r="G2898" s="275"/>
    </row>
    <row r="2899" spans="1:7" ht="17.45" customHeight="1">
      <c r="A2899" s="261" t="s">
        <v>8</v>
      </c>
      <c r="C2899" s="271" t="s">
        <v>3042</v>
      </c>
      <c r="D2899" s="497"/>
      <c r="E2899" s="499">
        <v>300000</v>
      </c>
      <c r="F2899" s="263"/>
      <c r="G2899" s="275"/>
    </row>
    <row r="2900" spans="1:7" ht="17.45" customHeight="1">
      <c r="A2900" s="261" t="s">
        <v>8</v>
      </c>
      <c r="C2900" s="271" t="s">
        <v>3043</v>
      </c>
      <c r="D2900" s="497"/>
      <c r="E2900" s="499">
        <f>12000+10100</f>
        <v>22100</v>
      </c>
      <c r="F2900" s="263"/>
      <c r="G2900" s="275"/>
    </row>
    <row r="2901" spans="1:7" ht="17.45" customHeight="1">
      <c r="A2901" s="261" t="s">
        <v>8</v>
      </c>
      <c r="C2901" s="271" t="s">
        <v>3044</v>
      </c>
      <c r="D2901" s="497"/>
      <c r="E2901" s="499">
        <v>18000</v>
      </c>
      <c r="F2901" s="263"/>
      <c r="G2901" s="275"/>
    </row>
    <row r="2902" spans="1:7" ht="17.45" customHeight="1">
      <c r="A2902" s="261" t="s">
        <v>8</v>
      </c>
      <c r="C2902" s="271" t="s">
        <v>3045</v>
      </c>
      <c r="D2902" s="497"/>
      <c r="E2902" s="499">
        <v>36000</v>
      </c>
      <c r="F2902" s="263"/>
      <c r="G2902" s="275"/>
    </row>
    <row r="2903" spans="1:7" ht="17.45" customHeight="1">
      <c r="A2903" s="261" t="s">
        <v>8</v>
      </c>
      <c r="C2903" s="271" t="s">
        <v>3046</v>
      </c>
      <c r="D2903" s="497"/>
      <c r="E2903" s="499">
        <f>-64600</f>
        <v>-64600</v>
      </c>
      <c r="F2903" s="263"/>
      <c r="G2903" s="275"/>
    </row>
    <row r="2904" spans="1:7" ht="17.45" customHeight="1">
      <c r="A2904" s="261" t="s">
        <v>8</v>
      </c>
      <c r="C2904" s="271" t="s">
        <v>3049</v>
      </c>
      <c r="D2904" s="497"/>
      <c r="E2904" s="499">
        <f>1083220</f>
        <v>1083220</v>
      </c>
      <c r="F2904" s="263"/>
      <c r="G2904" s="275"/>
    </row>
    <row r="2905" spans="1:7" ht="17.45" customHeight="1">
      <c r="A2905" s="261" t="s">
        <v>8</v>
      </c>
      <c r="C2905" s="271" t="s">
        <v>3050</v>
      </c>
      <c r="D2905" s="497"/>
      <c r="E2905" s="499">
        <v>4000</v>
      </c>
      <c r="F2905" s="263"/>
      <c r="G2905" s="275"/>
    </row>
    <row r="2906" spans="1:7" ht="17.45" customHeight="1" thickBot="1">
      <c r="A2906" s="261" t="s">
        <v>8</v>
      </c>
      <c r="C2906" s="276" t="s">
        <v>1300</v>
      </c>
      <c r="D2906" s="502">
        <f>SUM(D2834:D2905)-SUM(E2834:E2905)</f>
        <v>-2388978</v>
      </c>
      <c r="E2906" s="502">
        <f>SUM(E2834:E2905)-SUM(F2834:F2905)</f>
        <v>4896278</v>
      </c>
      <c r="F2906" s="277"/>
      <c r="G2906" s="283"/>
    </row>
    <row r="2908" spans="1:7" ht="12.75" thickBot="1"/>
    <row r="2909" spans="1:7" ht="17.45" customHeight="1">
      <c r="A2909" s="261" t="s">
        <v>8</v>
      </c>
      <c r="B2909" s="256" t="s">
        <v>3051</v>
      </c>
      <c r="C2909" s="268" t="s">
        <v>1268</v>
      </c>
      <c r="D2909" s="500">
        <v>297300</v>
      </c>
      <c r="E2909" s="501"/>
      <c r="F2909" s="269"/>
      <c r="G2909" s="270"/>
    </row>
    <row r="2910" spans="1:7" ht="17.45" customHeight="1">
      <c r="A2910" s="261" t="s">
        <v>8</v>
      </c>
      <c r="B2910" s="257"/>
      <c r="C2910" s="271" t="s">
        <v>3047</v>
      </c>
      <c r="D2910" s="497"/>
      <c r="E2910" s="497"/>
      <c r="F2910" s="263"/>
      <c r="G2910" s="272"/>
    </row>
    <row r="2911" spans="1:7" ht="17.45" customHeight="1">
      <c r="A2911" s="261" t="s">
        <v>8</v>
      </c>
      <c r="B2911" s="257"/>
      <c r="C2911" s="271" t="s">
        <v>1269</v>
      </c>
      <c r="D2911" s="497"/>
      <c r="E2911" s="497"/>
      <c r="F2911" s="263"/>
      <c r="G2911" s="272" t="s">
        <v>3048</v>
      </c>
    </row>
    <row r="2912" spans="1:7" ht="17.45" customHeight="1">
      <c r="A2912" s="261" t="s">
        <v>8</v>
      </c>
      <c r="C2912" s="271" t="s">
        <v>1270</v>
      </c>
      <c r="D2912" s="497"/>
      <c r="E2912" s="497"/>
      <c r="F2912" s="263"/>
      <c r="G2912" s="273" t="s">
        <v>2740</v>
      </c>
    </row>
    <row r="2913" spans="1:7" ht="17.45" customHeight="1">
      <c r="A2913" s="261" t="s">
        <v>8</v>
      </c>
      <c r="C2913" s="271" t="s">
        <v>1670</v>
      </c>
      <c r="D2913" s="497"/>
      <c r="E2913" s="497"/>
      <c r="F2913" s="263"/>
      <c r="G2913" s="274"/>
    </row>
    <row r="2914" spans="1:7" ht="17.45" customHeight="1">
      <c r="A2914" s="261" t="s">
        <v>8</v>
      </c>
      <c r="C2914" s="271" t="s">
        <v>1672</v>
      </c>
      <c r="D2914" s="497"/>
      <c r="E2914" s="499">
        <v>69892</v>
      </c>
      <c r="F2914" s="263"/>
      <c r="G2914" s="273" t="s">
        <v>2732</v>
      </c>
    </row>
    <row r="2915" spans="1:7" ht="17.45" customHeight="1">
      <c r="A2915" s="261" t="s">
        <v>8</v>
      </c>
      <c r="C2915" s="271" t="s">
        <v>1673</v>
      </c>
      <c r="D2915" s="497"/>
      <c r="E2915" s="497"/>
      <c r="F2915" s="263"/>
      <c r="G2915" s="274"/>
    </row>
    <row r="2916" spans="1:7" ht="17.45" customHeight="1">
      <c r="A2916" s="261" t="s">
        <v>8</v>
      </c>
      <c r="C2916" s="271" t="s">
        <v>1332</v>
      </c>
      <c r="D2916" s="497"/>
      <c r="E2916" s="499">
        <v>34650</v>
      </c>
      <c r="F2916" s="263"/>
      <c r="G2916" s="275"/>
    </row>
    <row r="2917" spans="1:7" ht="17.45" customHeight="1">
      <c r="A2917" s="261" t="s">
        <v>8</v>
      </c>
      <c r="C2917" s="271" t="s">
        <v>1271</v>
      </c>
      <c r="D2917" s="497"/>
      <c r="E2917" s="497"/>
      <c r="F2917" s="263"/>
      <c r="G2917" s="274"/>
    </row>
    <row r="2918" spans="1:7" ht="17.45" customHeight="1">
      <c r="A2918" s="261" t="s">
        <v>8</v>
      </c>
      <c r="C2918" s="271" t="s">
        <v>1272</v>
      </c>
      <c r="D2918" s="497"/>
      <c r="E2918" s="497"/>
      <c r="F2918" s="263"/>
      <c r="G2918" s="273"/>
    </row>
    <row r="2919" spans="1:7" ht="17.45" customHeight="1">
      <c r="A2919" s="261" t="s">
        <v>8</v>
      </c>
      <c r="C2919" s="271" t="s">
        <v>3009</v>
      </c>
      <c r="D2919" s="497"/>
      <c r="E2919" s="499">
        <v>20763</v>
      </c>
      <c r="F2919" s="263"/>
      <c r="G2919" s="273" t="s">
        <v>2732</v>
      </c>
    </row>
    <row r="2920" spans="1:7" ht="17.45" customHeight="1">
      <c r="A2920" s="261" t="s">
        <v>8</v>
      </c>
      <c r="C2920" s="271" t="s">
        <v>3010</v>
      </c>
      <c r="D2920" s="497"/>
      <c r="E2920" s="499">
        <v>79322</v>
      </c>
      <c r="F2920" s="263"/>
      <c r="G2920" s="273" t="s">
        <v>2732</v>
      </c>
    </row>
    <row r="2921" spans="1:7" ht="17.45" customHeight="1">
      <c r="A2921" s="261" t="s">
        <v>8</v>
      </c>
      <c r="C2921" s="271" t="s">
        <v>1273</v>
      </c>
      <c r="D2921" s="497"/>
      <c r="E2921" s="499">
        <v>29920</v>
      </c>
      <c r="F2921" s="263"/>
      <c r="G2921" s="273" t="s">
        <v>2732</v>
      </c>
    </row>
    <row r="2922" spans="1:7" ht="17.45" customHeight="1">
      <c r="A2922" s="261" t="s">
        <v>8</v>
      </c>
      <c r="C2922" s="271" t="s">
        <v>1274</v>
      </c>
      <c r="D2922" s="497"/>
      <c r="E2922" s="499">
        <v>3757</v>
      </c>
      <c r="F2922" s="263"/>
      <c r="G2922" s="273" t="s">
        <v>3035</v>
      </c>
    </row>
    <row r="2923" spans="1:7" ht="17.45" customHeight="1">
      <c r="A2923" s="261" t="s">
        <v>8</v>
      </c>
      <c r="C2923" s="271" t="s">
        <v>2168</v>
      </c>
      <c r="D2923" s="497"/>
      <c r="E2923" s="499">
        <v>18816</v>
      </c>
      <c r="F2923" s="263"/>
      <c r="G2923" s="273" t="s">
        <v>2732</v>
      </c>
    </row>
    <row r="2924" spans="1:7" ht="17.45" customHeight="1">
      <c r="A2924" s="261" t="s">
        <v>8</v>
      </c>
      <c r="C2924" s="271" t="s">
        <v>1517</v>
      </c>
      <c r="D2924" s="497"/>
      <c r="E2924" s="499">
        <v>23230</v>
      </c>
      <c r="F2924" s="263"/>
      <c r="G2924" s="273" t="s">
        <v>2732</v>
      </c>
    </row>
    <row r="2925" spans="1:7" ht="17.45" customHeight="1">
      <c r="A2925" s="261" t="s">
        <v>8</v>
      </c>
      <c r="C2925" s="271" t="s">
        <v>1276</v>
      </c>
      <c r="D2925" s="497"/>
      <c r="E2925" s="499">
        <v>288530</v>
      </c>
      <c r="F2925" s="263"/>
      <c r="G2925" s="273" t="s">
        <v>2732</v>
      </c>
    </row>
    <row r="2926" spans="1:7" ht="17.45" customHeight="1">
      <c r="A2926" s="261" t="s">
        <v>8</v>
      </c>
      <c r="C2926" s="271" t="s">
        <v>1277</v>
      </c>
      <c r="D2926" s="497"/>
      <c r="E2926" s="499">
        <v>24228</v>
      </c>
      <c r="F2926" s="263"/>
      <c r="G2926" s="273" t="s">
        <v>2732</v>
      </c>
    </row>
    <row r="2927" spans="1:7" ht="17.45" customHeight="1">
      <c r="A2927" s="261" t="s">
        <v>8</v>
      </c>
      <c r="C2927" s="271" t="s">
        <v>1278</v>
      </c>
      <c r="D2927" s="497"/>
      <c r="E2927" s="499">
        <v>200000</v>
      </c>
      <c r="F2927" s="263"/>
      <c r="G2927" s="273"/>
    </row>
    <row r="2928" spans="1:7" ht="17.45" customHeight="1">
      <c r="A2928" s="261" t="s">
        <v>8</v>
      </c>
      <c r="C2928" s="285" t="s">
        <v>1413</v>
      </c>
      <c r="D2928" s="506"/>
      <c r="E2928" s="506"/>
      <c r="F2928" s="286"/>
      <c r="G2928" s="287"/>
    </row>
    <row r="2929" spans="1:7" ht="17.25" customHeight="1">
      <c r="A2929" s="261" t="s">
        <v>8</v>
      </c>
      <c r="C2929" s="338" t="s">
        <v>2661</v>
      </c>
      <c r="D2929" s="497"/>
      <c r="E2929" s="497"/>
      <c r="F2929" s="263"/>
      <c r="G2929" s="275"/>
    </row>
    <row r="2930" spans="1:7" ht="17.45" customHeight="1">
      <c r="A2930" s="261" t="s">
        <v>8</v>
      </c>
      <c r="C2930" s="339" t="s">
        <v>2647</v>
      </c>
      <c r="D2930" s="506"/>
      <c r="E2930" s="506"/>
      <c r="F2930" s="286"/>
      <c r="G2930" s="290"/>
    </row>
    <row r="2931" spans="1:7" ht="17.45" customHeight="1" thickBot="1">
      <c r="A2931" s="261" t="s">
        <v>8</v>
      </c>
      <c r="C2931" s="285" t="s">
        <v>1942</v>
      </c>
      <c r="D2931" s="506"/>
      <c r="E2931" s="507">
        <v>20000</v>
      </c>
      <c r="F2931" s="286"/>
      <c r="G2931" s="290"/>
    </row>
    <row r="2932" spans="1:7" ht="17.45" customHeight="1">
      <c r="A2932" s="261" t="s">
        <v>8</v>
      </c>
      <c r="C2932" s="268" t="s">
        <v>1280</v>
      </c>
      <c r="D2932" s="501"/>
      <c r="E2932" s="500">
        <f>50000*2</f>
        <v>100000</v>
      </c>
      <c r="F2932" s="269"/>
      <c r="G2932" s="288"/>
    </row>
    <row r="2933" spans="1:7" ht="17.45" customHeight="1">
      <c r="A2933" s="261" t="s">
        <v>8</v>
      </c>
      <c r="C2933" s="271" t="s">
        <v>1549</v>
      </c>
      <c r="D2933" s="497"/>
      <c r="E2933" s="497"/>
      <c r="F2933" s="263"/>
      <c r="G2933" s="275"/>
    </row>
    <row r="2934" spans="1:7" ht="17.45" customHeight="1">
      <c r="A2934" s="261" t="s">
        <v>8</v>
      </c>
      <c r="C2934" s="271" t="s">
        <v>1819</v>
      </c>
      <c r="D2934" s="497"/>
      <c r="E2934" s="497"/>
      <c r="F2934" s="263"/>
      <c r="G2934" s="275"/>
    </row>
    <row r="2935" spans="1:7" ht="17.45" customHeight="1">
      <c r="A2935" s="261" t="s">
        <v>8</v>
      </c>
      <c r="C2935" s="271" t="s">
        <v>391</v>
      </c>
      <c r="D2935" s="497"/>
      <c r="E2935" s="497"/>
      <c r="F2935" s="263"/>
      <c r="G2935" s="275"/>
    </row>
    <row r="2936" spans="1:7" ht="17.45" customHeight="1">
      <c r="A2936" s="261" t="s">
        <v>8</v>
      </c>
      <c r="C2936" s="271" t="s">
        <v>1934</v>
      </c>
      <c r="D2936" s="497"/>
      <c r="E2936" s="497"/>
      <c r="F2936" s="263"/>
      <c r="G2936" s="275"/>
    </row>
    <row r="2937" spans="1:7" ht="17.25" customHeight="1">
      <c r="A2937" s="261" t="s">
        <v>8</v>
      </c>
      <c r="C2937" s="271" t="s">
        <v>2202</v>
      </c>
      <c r="D2937" s="497"/>
      <c r="E2937" s="497"/>
      <c r="F2937" s="263"/>
      <c r="G2937" s="275"/>
    </row>
    <row r="2938" spans="1:7" ht="17.45" customHeight="1">
      <c r="A2938" s="261" t="s">
        <v>8</v>
      </c>
      <c r="C2938" s="271" t="s">
        <v>2654</v>
      </c>
      <c r="D2938" s="497"/>
      <c r="E2938" s="497"/>
      <c r="F2938" s="263"/>
      <c r="G2938" s="275"/>
    </row>
    <row r="2939" spans="1:7" ht="17.45" customHeight="1">
      <c r="A2939" s="261" t="s">
        <v>8</v>
      </c>
      <c r="C2939" s="271" t="s">
        <v>1687</v>
      </c>
      <c r="D2939" s="497"/>
      <c r="E2939" s="497"/>
      <c r="F2939" s="263"/>
      <c r="G2939" s="275"/>
    </row>
    <row r="2940" spans="1:7" ht="17.45" customHeight="1">
      <c r="A2940" s="261" t="s">
        <v>8</v>
      </c>
      <c r="C2940" s="271" t="s">
        <v>1688</v>
      </c>
      <c r="D2940" s="497"/>
      <c r="E2940" s="497"/>
      <c r="F2940" s="263"/>
      <c r="G2940" s="275"/>
    </row>
    <row r="2941" spans="1:7" ht="17.45" customHeight="1">
      <c r="A2941" s="261" t="s">
        <v>8</v>
      </c>
      <c r="C2941" s="271" t="s">
        <v>3065</v>
      </c>
      <c r="D2941" s="497"/>
      <c r="E2941" s="499">
        <f>10000+28000</f>
        <v>38000</v>
      </c>
      <c r="F2941" s="263"/>
      <c r="G2941" s="275"/>
    </row>
    <row r="2942" spans="1:7" ht="17.45" customHeight="1">
      <c r="A2942" s="261" t="s">
        <v>8</v>
      </c>
      <c r="C2942" s="271" t="s">
        <v>1596</v>
      </c>
      <c r="D2942" s="497"/>
      <c r="E2942" s="497"/>
      <c r="F2942" s="263"/>
      <c r="G2942" s="275"/>
    </row>
    <row r="2943" spans="1:7" ht="17.45" customHeight="1">
      <c r="A2943" s="261" t="s">
        <v>8</v>
      </c>
      <c r="C2943" s="271" t="s">
        <v>1595</v>
      </c>
      <c r="D2943" s="497"/>
      <c r="E2943" s="497"/>
      <c r="F2943" s="263"/>
      <c r="G2943" s="275"/>
    </row>
    <row r="2944" spans="1:7" ht="17.45" customHeight="1">
      <c r="A2944" s="261" t="s">
        <v>8</v>
      </c>
      <c r="C2944" s="271" t="s">
        <v>2822</v>
      </c>
      <c r="D2944" s="497"/>
      <c r="E2944" s="499">
        <f>5100+2600+2400+3800+16700+1000</f>
        <v>31600</v>
      </c>
      <c r="F2944" s="263"/>
      <c r="G2944" s="275"/>
    </row>
    <row r="2945" spans="1:7" ht="17.45" customHeight="1">
      <c r="A2945" s="261" t="s">
        <v>8</v>
      </c>
      <c r="C2945" s="271" t="s">
        <v>2821</v>
      </c>
      <c r="D2945" s="497"/>
      <c r="E2945" s="499">
        <v>4000</v>
      </c>
      <c r="F2945" s="263"/>
      <c r="G2945" s="273"/>
    </row>
    <row r="2946" spans="1:7" ht="17.45" customHeight="1">
      <c r="A2946" s="261" t="s">
        <v>8</v>
      </c>
      <c r="C2946" s="271" t="s">
        <v>1689</v>
      </c>
      <c r="D2946" s="497"/>
      <c r="E2946" s="497"/>
      <c r="F2946" s="263"/>
      <c r="G2946" s="275"/>
    </row>
    <row r="2947" spans="1:7" ht="17.45" customHeight="1">
      <c r="A2947" s="261" t="s">
        <v>8</v>
      </c>
      <c r="C2947" s="271" t="s">
        <v>1569</v>
      </c>
      <c r="D2947" s="497"/>
      <c r="E2947" s="497"/>
      <c r="F2947" s="263"/>
      <c r="G2947" s="275"/>
    </row>
    <row r="2948" spans="1:7" ht="17.45" customHeight="1">
      <c r="A2948" s="261" t="s">
        <v>8</v>
      </c>
      <c r="C2948" s="271" t="s">
        <v>1618</v>
      </c>
      <c r="D2948" s="497"/>
      <c r="E2948" s="499">
        <f>21440+10740+26720+52260</f>
        <v>111160</v>
      </c>
      <c r="F2948" s="263"/>
      <c r="G2948" s="275"/>
    </row>
    <row r="2949" spans="1:7" ht="17.45" customHeight="1">
      <c r="A2949" s="261" t="s">
        <v>8</v>
      </c>
      <c r="C2949" s="271" t="s">
        <v>2810</v>
      </c>
      <c r="D2949" s="497"/>
      <c r="E2949" s="497"/>
      <c r="F2949" s="263"/>
      <c r="G2949" s="275"/>
    </row>
    <row r="2950" spans="1:7" ht="17.45" customHeight="1" thickBot="1">
      <c r="A2950" s="261" t="s">
        <v>8</v>
      </c>
      <c r="C2950" s="276" t="s">
        <v>2699</v>
      </c>
      <c r="D2950" s="502"/>
      <c r="E2950" s="503">
        <f>13200+23000</f>
        <v>36200</v>
      </c>
      <c r="F2950" s="277"/>
      <c r="G2950" s="282"/>
    </row>
    <row r="2951" spans="1:7" ht="17.45" customHeight="1">
      <c r="A2951" s="261" t="s">
        <v>8</v>
      </c>
      <c r="C2951" s="279" t="s">
        <v>3052</v>
      </c>
      <c r="D2951" s="504"/>
      <c r="E2951" s="505">
        <v>17000</v>
      </c>
      <c r="F2951" s="280"/>
      <c r="G2951" s="281"/>
    </row>
    <row r="2952" spans="1:7" ht="17.45" customHeight="1">
      <c r="A2952" s="261" t="s">
        <v>8</v>
      </c>
      <c r="C2952" s="271" t="s">
        <v>3053</v>
      </c>
      <c r="D2952" s="497"/>
      <c r="E2952" s="499">
        <v>19000</v>
      </c>
      <c r="F2952" s="263"/>
      <c r="G2952" s="275"/>
    </row>
    <row r="2953" spans="1:7" ht="17.45" customHeight="1">
      <c r="A2953" s="261" t="s">
        <v>8</v>
      </c>
      <c r="C2953" s="271" t="s">
        <v>3049</v>
      </c>
      <c r="D2953" s="497"/>
      <c r="E2953" s="499">
        <f>-307350-680000</f>
        <v>-987350</v>
      </c>
      <c r="F2953" s="263"/>
      <c r="G2953" s="275"/>
    </row>
    <row r="2954" spans="1:7" ht="17.45" customHeight="1">
      <c r="A2954" s="261" t="s">
        <v>8</v>
      </c>
      <c r="C2954" s="271" t="s">
        <v>3041</v>
      </c>
      <c r="D2954" s="497"/>
      <c r="E2954" s="499">
        <f>9900+9900+9900+9900</f>
        <v>39600</v>
      </c>
      <c r="F2954" s="263"/>
      <c r="G2954" s="275"/>
    </row>
    <row r="2955" spans="1:7" ht="17.45" customHeight="1">
      <c r="A2955" s="261" t="s">
        <v>8</v>
      </c>
      <c r="C2955" s="271" t="s">
        <v>2997</v>
      </c>
      <c r="D2955" s="499">
        <f>1920+190</f>
        <v>2110</v>
      </c>
      <c r="E2955" s="497"/>
      <c r="F2955" s="263"/>
      <c r="G2955" s="275" t="s">
        <v>2998</v>
      </c>
    </row>
    <row r="2956" spans="1:7" ht="17.45" customHeight="1">
      <c r="A2956" s="261" t="s">
        <v>8</v>
      </c>
      <c r="C2956" s="271" t="s">
        <v>3054</v>
      </c>
      <c r="D2956" s="497"/>
      <c r="E2956" s="499">
        <v>54450</v>
      </c>
      <c r="F2956" s="263"/>
      <c r="G2956" s="275"/>
    </row>
    <row r="2957" spans="1:7" ht="17.45" customHeight="1">
      <c r="A2957" s="261" t="s">
        <v>8</v>
      </c>
      <c r="C2957" s="271" t="s">
        <v>3055</v>
      </c>
      <c r="D2957" s="497"/>
      <c r="E2957" s="499">
        <v>20100</v>
      </c>
      <c r="F2957" s="263"/>
      <c r="G2957" s="275"/>
    </row>
    <row r="2958" spans="1:7" ht="17.45" customHeight="1">
      <c r="A2958" s="261" t="s">
        <v>8</v>
      </c>
      <c r="C2958" s="271" t="s">
        <v>3056</v>
      </c>
      <c r="D2958" s="497"/>
      <c r="E2958" s="499">
        <v>67000</v>
      </c>
      <c r="F2958" s="263"/>
      <c r="G2958" s="275"/>
    </row>
    <row r="2959" spans="1:7" ht="17.45" customHeight="1">
      <c r="A2959" s="261" t="s">
        <v>8</v>
      </c>
      <c r="C2959" s="271" t="s">
        <v>3050</v>
      </c>
      <c r="D2959" s="497"/>
      <c r="E2959" s="499">
        <v>-4000</v>
      </c>
      <c r="F2959" s="263"/>
      <c r="G2959" s="275"/>
    </row>
    <row r="2960" spans="1:7" ht="17.45" customHeight="1">
      <c r="A2960" s="261" t="s">
        <v>8</v>
      </c>
      <c r="C2960" s="284" t="s">
        <v>3057</v>
      </c>
      <c r="D2960" s="497"/>
      <c r="E2960" s="499">
        <v>389000</v>
      </c>
      <c r="F2960" s="263"/>
      <c r="G2960" s="275" t="s">
        <v>3058</v>
      </c>
    </row>
    <row r="2961" spans="1:7" ht="17.25" customHeight="1">
      <c r="A2961" s="261" t="s">
        <v>8</v>
      </c>
      <c r="C2961" s="271" t="s">
        <v>3059</v>
      </c>
      <c r="D2961" s="497"/>
      <c r="E2961" s="499">
        <v>13500</v>
      </c>
      <c r="F2961" s="263"/>
      <c r="G2961" s="275"/>
    </row>
    <row r="2962" spans="1:7" ht="17.45" customHeight="1">
      <c r="A2962" s="261" t="s">
        <v>8</v>
      </c>
      <c r="C2962" s="271" t="s">
        <v>3061</v>
      </c>
      <c r="D2962" s="497"/>
      <c r="E2962" s="499">
        <f>1100+1200</f>
        <v>2300</v>
      </c>
      <c r="F2962" s="263"/>
      <c r="G2962" s="275"/>
    </row>
    <row r="2963" spans="1:7" ht="17.45" customHeight="1">
      <c r="A2963" s="261" t="s">
        <v>8</v>
      </c>
      <c r="C2963" s="271" t="s">
        <v>3062</v>
      </c>
      <c r="D2963" s="497"/>
      <c r="E2963" s="499">
        <v>3200</v>
      </c>
      <c r="F2963" s="263"/>
      <c r="G2963" s="275"/>
    </row>
    <row r="2964" spans="1:7" ht="17.45" customHeight="1">
      <c r="A2964" s="261" t="s">
        <v>8</v>
      </c>
      <c r="C2964" s="271" t="s">
        <v>3063</v>
      </c>
      <c r="D2964" s="497"/>
      <c r="E2964" s="499">
        <v>5100</v>
      </c>
      <c r="F2964" s="263"/>
      <c r="G2964" s="275"/>
    </row>
    <row r="2965" spans="1:7" ht="17.45" customHeight="1">
      <c r="A2965" s="261" t="s">
        <v>8</v>
      </c>
      <c r="C2965" s="284" t="s">
        <v>3064</v>
      </c>
      <c r="D2965" s="497"/>
      <c r="E2965" s="499">
        <v>4000</v>
      </c>
      <c r="F2965" s="263"/>
      <c r="G2965" s="275"/>
    </row>
    <row r="2966" spans="1:7" ht="17.45" customHeight="1">
      <c r="A2966" s="261" t="s">
        <v>8</v>
      </c>
      <c r="C2966" s="271" t="s">
        <v>3066</v>
      </c>
      <c r="D2966" s="497"/>
      <c r="E2966" s="499">
        <v>532280</v>
      </c>
      <c r="F2966" s="263"/>
      <c r="G2966" s="275"/>
    </row>
    <row r="2967" spans="1:7" ht="17.45" customHeight="1">
      <c r="A2967" s="261" t="s">
        <v>8</v>
      </c>
      <c r="C2967" s="271" t="s">
        <v>3067</v>
      </c>
      <c r="D2967" s="497"/>
      <c r="E2967" s="499">
        <v>3200</v>
      </c>
      <c r="F2967" s="263"/>
      <c r="G2967" s="275"/>
    </row>
    <row r="2968" spans="1:7" ht="17.45" customHeight="1">
      <c r="A2968" s="261" t="s">
        <v>8</v>
      </c>
      <c r="C2968" s="271" t="s">
        <v>3068</v>
      </c>
      <c r="D2968" s="497"/>
      <c r="E2968" s="499">
        <v>9800</v>
      </c>
      <c r="F2968" s="263"/>
      <c r="G2968" s="275"/>
    </row>
    <row r="2969" spans="1:7" ht="17.45" customHeight="1">
      <c r="A2969" s="261" t="s">
        <v>8</v>
      </c>
      <c r="C2969" s="271" t="s">
        <v>3069</v>
      </c>
      <c r="D2969" s="497"/>
      <c r="E2969" s="499">
        <f>1800-100</f>
        <v>1700</v>
      </c>
      <c r="F2969" s="263"/>
      <c r="G2969" s="275"/>
    </row>
    <row r="2970" spans="1:7" ht="17.45" customHeight="1">
      <c r="A2970" s="261" t="s">
        <v>8</v>
      </c>
      <c r="C2970" s="271" t="s">
        <v>3070</v>
      </c>
      <c r="D2970" s="497"/>
      <c r="E2970" s="499">
        <v>4600</v>
      </c>
      <c r="F2970" s="263"/>
      <c r="G2970" s="275"/>
    </row>
    <row r="2971" spans="1:7" ht="17.45" customHeight="1" thickBot="1">
      <c r="A2971" s="261" t="s">
        <v>8</v>
      </c>
      <c r="C2971" s="276" t="s">
        <v>1300</v>
      </c>
      <c r="D2971" s="502">
        <f>SUM(D2909:D2970)-SUM(E2909:E2970)</f>
        <v>-1029138</v>
      </c>
      <c r="E2971" s="502">
        <f>SUM(E2909:E2970)-SUM(F2909:F2970)</f>
        <v>1328548</v>
      </c>
      <c r="F2971" s="277"/>
      <c r="G2971" s="283"/>
    </row>
    <row r="2973" spans="1:7" ht="12.75" thickBot="1"/>
    <row r="2974" spans="1:7" ht="17.45" customHeight="1">
      <c r="A2974" s="261" t="s">
        <v>8</v>
      </c>
      <c r="B2974" s="256" t="s">
        <v>3071</v>
      </c>
      <c r="C2974" s="268" t="s">
        <v>1268</v>
      </c>
      <c r="D2974" s="501">
        <v>0</v>
      </c>
      <c r="E2974" s="501"/>
      <c r="F2974" s="269"/>
      <c r="G2974" s="270"/>
    </row>
    <row r="2975" spans="1:7" ht="17.45" customHeight="1">
      <c r="A2975" s="261" t="s">
        <v>8</v>
      </c>
      <c r="B2975" s="257"/>
      <c r="C2975" s="271" t="s">
        <v>3047</v>
      </c>
      <c r="D2975" s="499">
        <v>5129030</v>
      </c>
      <c r="E2975" s="497"/>
      <c r="F2975" s="263"/>
      <c r="G2975" s="272"/>
    </row>
    <row r="2976" spans="1:7" ht="17.45" customHeight="1">
      <c r="A2976" s="261" t="s">
        <v>8</v>
      </c>
      <c r="B2976" s="257"/>
      <c r="C2976" s="271" t="s">
        <v>1269</v>
      </c>
      <c r="D2976" s="497"/>
      <c r="E2976" s="499">
        <f>900000-78400</f>
        <v>821600</v>
      </c>
      <c r="F2976" s="263"/>
      <c r="G2976" s="272" t="s">
        <v>3087</v>
      </c>
    </row>
    <row r="2977" spans="1:7" ht="17.45" customHeight="1">
      <c r="A2977" s="261" t="s">
        <v>8</v>
      </c>
      <c r="C2977" s="271" t="s">
        <v>1270</v>
      </c>
      <c r="D2977" s="497"/>
      <c r="E2977" s="499">
        <v>30000</v>
      </c>
      <c r="F2977" s="263"/>
      <c r="G2977" s="273" t="s">
        <v>2740</v>
      </c>
    </row>
    <row r="2978" spans="1:7" ht="17.45" customHeight="1">
      <c r="A2978" s="261" t="s">
        <v>8</v>
      </c>
      <c r="C2978" s="271" t="s">
        <v>1670</v>
      </c>
      <c r="D2978" s="497"/>
      <c r="E2978" s="497"/>
      <c r="F2978" s="263"/>
      <c r="G2978" s="274"/>
    </row>
    <row r="2979" spans="1:7" ht="17.45" customHeight="1">
      <c r="A2979" s="261" t="s">
        <v>8</v>
      </c>
      <c r="C2979" s="271" t="s">
        <v>1672</v>
      </c>
      <c r="D2979" s="497"/>
      <c r="E2979" s="499">
        <v>69470</v>
      </c>
      <c r="F2979" s="263"/>
      <c r="G2979" s="273" t="s">
        <v>2732</v>
      </c>
    </row>
    <row r="2980" spans="1:7" ht="17.45" customHeight="1">
      <c r="A2980" s="261" t="s">
        <v>8</v>
      </c>
      <c r="C2980" s="271" t="s">
        <v>1673</v>
      </c>
      <c r="D2980" s="497"/>
      <c r="E2980" s="497"/>
      <c r="F2980" s="263"/>
      <c r="G2980" s="274"/>
    </row>
    <row r="2981" spans="1:7" ht="17.45" customHeight="1">
      <c r="A2981" s="261" t="s">
        <v>8</v>
      </c>
      <c r="C2981" s="271" t="s">
        <v>1332</v>
      </c>
      <c r="D2981" s="497"/>
      <c r="E2981" s="499">
        <v>34650</v>
      </c>
      <c r="F2981" s="263"/>
      <c r="G2981" s="275"/>
    </row>
    <row r="2982" spans="1:7" ht="17.45" customHeight="1">
      <c r="A2982" s="261" t="s">
        <v>8</v>
      </c>
      <c r="C2982" s="271" t="s">
        <v>1271</v>
      </c>
      <c r="D2982" s="497"/>
      <c r="E2982" s="497"/>
      <c r="F2982" s="263"/>
      <c r="G2982" s="274"/>
    </row>
    <row r="2983" spans="1:7" ht="17.45" customHeight="1">
      <c r="A2983" s="261" t="s">
        <v>8</v>
      </c>
      <c r="C2983" s="271" t="s">
        <v>1272</v>
      </c>
      <c r="D2983" s="497"/>
      <c r="E2983" s="497"/>
      <c r="F2983" s="263"/>
      <c r="G2983" s="273"/>
    </row>
    <row r="2984" spans="1:7" ht="17.45" customHeight="1">
      <c r="A2984" s="261" t="s">
        <v>8</v>
      </c>
      <c r="C2984" s="271" t="s">
        <v>3009</v>
      </c>
      <c r="D2984" s="497"/>
      <c r="E2984" s="499">
        <v>20763</v>
      </c>
      <c r="F2984" s="263"/>
      <c r="G2984" s="273" t="s">
        <v>2732</v>
      </c>
    </row>
    <row r="2985" spans="1:7" ht="17.45" customHeight="1">
      <c r="A2985" s="261" t="s">
        <v>8</v>
      </c>
      <c r="C2985" s="271" t="s">
        <v>3010</v>
      </c>
      <c r="D2985" s="497"/>
      <c r="E2985" s="499">
        <f>79290-395467+395467</f>
        <v>79290</v>
      </c>
      <c r="F2985" s="263"/>
      <c r="G2985" s="273" t="s">
        <v>2732</v>
      </c>
    </row>
    <row r="2986" spans="1:7" ht="17.45" customHeight="1">
      <c r="A2986" s="261" t="s">
        <v>8</v>
      </c>
      <c r="C2986" s="271" t="s">
        <v>1273</v>
      </c>
      <c r="D2986" s="497"/>
      <c r="E2986" s="499">
        <v>29920</v>
      </c>
      <c r="F2986" s="263"/>
      <c r="G2986" s="273" t="s">
        <v>2732</v>
      </c>
    </row>
    <row r="2987" spans="1:7" ht="17.45" customHeight="1">
      <c r="A2987" s="261" t="s">
        <v>8</v>
      </c>
      <c r="C2987" s="271" t="s">
        <v>1274</v>
      </c>
      <c r="D2987" s="497"/>
      <c r="E2987" s="499">
        <v>3757</v>
      </c>
      <c r="F2987" s="263"/>
      <c r="G2987" s="273"/>
    </row>
    <row r="2988" spans="1:7" ht="17.45" customHeight="1">
      <c r="A2988" s="261" t="s">
        <v>8</v>
      </c>
      <c r="C2988" s="271" t="s">
        <v>2168</v>
      </c>
      <c r="D2988" s="497"/>
      <c r="E2988" s="499">
        <v>18816</v>
      </c>
      <c r="F2988" s="263"/>
      <c r="G2988" s="273" t="s">
        <v>2732</v>
      </c>
    </row>
    <row r="2989" spans="1:7" ht="17.45" customHeight="1">
      <c r="A2989" s="261" t="s">
        <v>8</v>
      </c>
      <c r="C2989" s="271" t="s">
        <v>1517</v>
      </c>
      <c r="D2989" s="497"/>
      <c r="E2989" s="499">
        <v>23230</v>
      </c>
      <c r="F2989" s="263"/>
      <c r="G2989" s="273" t="s">
        <v>2732</v>
      </c>
    </row>
    <row r="2990" spans="1:7" ht="17.45" customHeight="1">
      <c r="A2990" s="261" t="s">
        <v>8</v>
      </c>
      <c r="C2990" s="271" t="s">
        <v>1276</v>
      </c>
      <c r="D2990" s="497"/>
      <c r="E2990" s="499">
        <v>344600</v>
      </c>
      <c r="F2990" s="263"/>
      <c r="G2990" s="273" t="s">
        <v>2732</v>
      </c>
    </row>
    <row r="2991" spans="1:7" ht="17.45" customHeight="1">
      <c r="A2991" s="261" t="s">
        <v>8</v>
      </c>
      <c r="C2991" s="271" t="s">
        <v>1277</v>
      </c>
      <c r="D2991" s="497"/>
      <c r="E2991" s="499">
        <v>20430</v>
      </c>
      <c r="F2991" s="263"/>
      <c r="G2991" s="273" t="s">
        <v>2732</v>
      </c>
    </row>
    <row r="2992" spans="1:7" ht="17.45" customHeight="1">
      <c r="A2992" s="261" t="s">
        <v>8</v>
      </c>
      <c r="C2992" s="271" t="s">
        <v>1278</v>
      </c>
      <c r="D2992" s="497"/>
      <c r="E2992" s="499">
        <v>200000</v>
      </c>
      <c r="F2992" s="263"/>
      <c r="G2992" s="273"/>
    </row>
    <row r="2993" spans="1:7" ht="17.45" customHeight="1">
      <c r="A2993" s="261" t="s">
        <v>8</v>
      </c>
      <c r="C2993" s="285" t="s">
        <v>1413</v>
      </c>
      <c r="D2993" s="506"/>
      <c r="E2993" s="506"/>
      <c r="F2993" s="286"/>
      <c r="G2993" s="287"/>
    </row>
    <row r="2994" spans="1:7" ht="17.25" customHeight="1">
      <c r="A2994" s="261" t="s">
        <v>8</v>
      </c>
      <c r="C2994" s="338" t="s">
        <v>2661</v>
      </c>
      <c r="D2994" s="497"/>
      <c r="E2994" s="497"/>
      <c r="F2994" s="263"/>
      <c r="G2994" s="275"/>
    </row>
    <row r="2995" spans="1:7" ht="17.45" customHeight="1">
      <c r="A2995" s="261" t="s">
        <v>8</v>
      </c>
      <c r="C2995" s="339" t="s">
        <v>2647</v>
      </c>
      <c r="D2995" s="506"/>
      <c r="E2995" s="506"/>
      <c r="F2995" s="286"/>
      <c r="G2995" s="290"/>
    </row>
    <row r="2996" spans="1:7" ht="17.45" customHeight="1" thickBot="1">
      <c r="A2996" s="261" t="s">
        <v>8</v>
      </c>
      <c r="C2996" s="285" t="s">
        <v>1942</v>
      </c>
      <c r="D2996" s="506"/>
      <c r="E2996" s="507">
        <v>20000</v>
      </c>
      <c r="F2996" s="286"/>
      <c r="G2996" s="290"/>
    </row>
    <row r="2997" spans="1:7" ht="17.45" customHeight="1">
      <c r="A2997" s="261" t="s">
        <v>8</v>
      </c>
      <c r="C2997" s="268" t="s">
        <v>1280</v>
      </c>
      <c r="D2997" s="501"/>
      <c r="E2997" s="500">
        <f>50000</f>
        <v>50000</v>
      </c>
      <c r="F2997" s="269"/>
      <c r="G2997" s="288"/>
    </row>
    <row r="2998" spans="1:7" ht="17.45" customHeight="1">
      <c r="A2998" s="261" t="s">
        <v>8</v>
      </c>
      <c r="C2998" s="271" t="s">
        <v>1549</v>
      </c>
      <c r="D2998" s="497"/>
      <c r="E2998" s="497"/>
      <c r="F2998" s="263"/>
      <c r="G2998" s="275"/>
    </row>
    <row r="2999" spans="1:7" ht="17.45" customHeight="1">
      <c r="A2999" s="261" t="s">
        <v>8</v>
      </c>
      <c r="C2999" s="271" t="s">
        <v>1819</v>
      </c>
      <c r="D2999" s="497"/>
      <c r="E2999" s="497"/>
      <c r="F2999" s="263"/>
      <c r="G2999" s="275"/>
    </row>
    <row r="3000" spans="1:7" ht="17.45" customHeight="1">
      <c r="A3000" s="261" t="s">
        <v>8</v>
      </c>
      <c r="C3000" s="271" t="s">
        <v>391</v>
      </c>
      <c r="D3000" s="497"/>
      <c r="E3000" s="497"/>
      <c r="F3000" s="263"/>
      <c r="G3000" s="275"/>
    </row>
    <row r="3001" spans="1:7" ht="17.45" customHeight="1">
      <c r="A3001" s="261" t="s">
        <v>8</v>
      </c>
      <c r="C3001" s="271" t="s">
        <v>1934</v>
      </c>
      <c r="D3001" s="497"/>
      <c r="E3001" s="499">
        <f>50000*1</f>
        <v>50000</v>
      </c>
      <c r="F3001" s="263"/>
      <c r="G3001" s="275"/>
    </row>
    <row r="3002" spans="1:7" ht="17.25" customHeight="1">
      <c r="A3002" s="261" t="s">
        <v>8</v>
      </c>
      <c r="C3002" s="271" t="s">
        <v>2202</v>
      </c>
      <c r="D3002" s="497"/>
      <c r="E3002" s="497"/>
      <c r="F3002" s="263"/>
      <c r="G3002" s="275"/>
    </row>
    <row r="3003" spans="1:7" ht="17.45" customHeight="1">
      <c r="A3003" s="261" t="s">
        <v>8</v>
      </c>
      <c r="C3003" s="271" t="s">
        <v>2654</v>
      </c>
      <c r="D3003" s="497"/>
      <c r="E3003" s="499">
        <v>60000</v>
      </c>
      <c r="F3003" s="263"/>
      <c r="G3003" s="275"/>
    </row>
    <row r="3004" spans="1:7" ht="17.45" customHeight="1">
      <c r="A3004" s="261" t="s">
        <v>8</v>
      </c>
      <c r="C3004" s="271" t="s">
        <v>1687</v>
      </c>
      <c r="D3004" s="497"/>
      <c r="E3004" s="497"/>
      <c r="F3004" s="263"/>
      <c r="G3004" s="275"/>
    </row>
    <row r="3005" spans="1:7" ht="17.45" customHeight="1">
      <c r="A3005" s="261" t="s">
        <v>8</v>
      </c>
      <c r="C3005" s="271" t="s">
        <v>1688</v>
      </c>
      <c r="D3005" s="497"/>
      <c r="E3005" s="499">
        <v>55000</v>
      </c>
      <c r="F3005" s="263"/>
      <c r="G3005" s="275"/>
    </row>
    <row r="3006" spans="1:7" ht="17.45" customHeight="1">
      <c r="A3006" s="261" t="s">
        <v>8</v>
      </c>
      <c r="C3006" s="271"/>
      <c r="D3006" s="497"/>
      <c r="E3006" s="497"/>
      <c r="F3006" s="263"/>
      <c r="G3006" s="275"/>
    </row>
    <row r="3007" spans="1:7" ht="17.45" customHeight="1">
      <c r="A3007" s="261" t="s">
        <v>8</v>
      </c>
      <c r="C3007" s="271" t="s">
        <v>1596</v>
      </c>
      <c r="D3007" s="497"/>
      <c r="E3007" s="499">
        <f>11600+2900</f>
        <v>14500</v>
      </c>
      <c r="F3007" s="263"/>
      <c r="G3007" s="275"/>
    </row>
    <row r="3008" spans="1:7" ht="17.45" customHeight="1">
      <c r="A3008" s="261" t="s">
        <v>8</v>
      </c>
      <c r="C3008" s="271" t="s">
        <v>1595</v>
      </c>
      <c r="D3008" s="497"/>
      <c r="E3008" s="499">
        <f>5700+4800</f>
        <v>10500</v>
      </c>
      <c r="F3008" s="263"/>
      <c r="G3008" s="275"/>
    </row>
    <row r="3009" spans="1:7" ht="17.45" customHeight="1">
      <c r="A3009" s="261" t="s">
        <v>8</v>
      </c>
      <c r="C3009" s="271" t="s">
        <v>2822</v>
      </c>
      <c r="D3009" s="497"/>
      <c r="E3009" s="499">
        <f>7600+5400+6900</f>
        <v>19900</v>
      </c>
      <c r="F3009" s="263"/>
      <c r="G3009" s="275"/>
    </row>
    <row r="3010" spans="1:7" ht="17.45" customHeight="1">
      <c r="A3010" s="261" t="s">
        <v>8</v>
      </c>
      <c r="C3010" s="271" t="s">
        <v>2821</v>
      </c>
      <c r="D3010" s="497"/>
      <c r="E3010" s="497"/>
      <c r="F3010" s="263"/>
      <c r="G3010" s="273"/>
    </row>
    <row r="3011" spans="1:7" ht="17.45" customHeight="1">
      <c r="A3011" s="261" t="s">
        <v>8</v>
      </c>
      <c r="C3011" s="271" t="s">
        <v>3081</v>
      </c>
      <c r="D3011" s="497"/>
      <c r="E3011" s="499">
        <v>72350</v>
      </c>
      <c r="F3011" s="263"/>
      <c r="G3011" s="275"/>
    </row>
    <row r="3012" spans="1:7" ht="17.45" customHeight="1">
      <c r="A3012" s="261" t="s">
        <v>8</v>
      </c>
      <c r="C3012" s="271" t="s">
        <v>1569</v>
      </c>
      <c r="D3012" s="497"/>
      <c r="E3012" s="497"/>
      <c r="F3012" s="263"/>
      <c r="G3012" s="275"/>
    </row>
    <row r="3013" spans="1:7" ht="17.45" customHeight="1">
      <c r="A3013" s="261" t="s">
        <v>8</v>
      </c>
      <c r="C3013" s="271" t="s">
        <v>1618</v>
      </c>
      <c r="D3013" s="497"/>
      <c r="E3013" s="499">
        <f>2780+3880+12040+8760+78100+16710+11860+11510+17990</f>
        <v>163630</v>
      </c>
      <c r="F3013" s="263"/>
      <c r="G3013" s="275"/>
    </row>
    <row r="3014" spans="1:7" ht="17.45" customHeight="1">
      <c r="A3014" s="261" t="s">
        <v>8</v>
      </c>
      <c r="C3014" s="271" t="s">
        <v>2810</v>
      </c>
      <c r="D3014" s="497"/>
      <c r="E3014" s="497"/>
      <c r="F3014" s="263"/>
      <c r="G3014" s="275"/>
    </row>
    <row r="3015" spans="1:7" ht="17.45" customHeight="1" thickBot="1">
      <c r="A3015" s="261" t="s">
        <v>8</v>
      </c>
      <c r="C3015" s="276" t="s">
        <v>2699</v>
      </c>
      <c r="D3015" s="502"/>
      <c r="E3015" s="503">
        <f>17000+23500+27000+19000</f>
        <v>86500</v>
      </c>
      <c r="F3015" s="277"/>
      <c r="G3015" s="282"/>
    </row>
    <row r="3016" spans="1:7" ht="17.45" customHeight="1">
      <c r="A3016" s="261" t="s">
        <v>8</v>
      </c>
      <c r="C3016" s="279" t="s">
        <v>3072</v>
      </c>
      <c r="D3016" s="504"/>
      <c r="E3016" s="505">
        <v>11700</v>
      </c>
      <c r="F3016" s="280"/>
      <c r="G3016" s="281"/>
    </row>
    <row r="3017" spans="1:7" ht="17.45" customHeight="1">
      <c r="A3017" s="261" t="s">
        <v>8</v>
      </c>
      <c r="C3017" s="271" t="s">
        <v>3073</v>
      </c>
      <c r="D3017" s="497"/>
      <c r="E3017" s="499">
        <f>1300</f>
        <v>1300</v>
      </c>
      <c r="F3017" s="263"/>
      <c r="G3017" s="275"/>
    </row>
    <row r="3018" spans="1:7" ht="17.45" customHeight="1">
      <c r="A3018" s="261" t="s">
        <v>8</v>
      </c>
      <c r="C3018" s="271" t="s">
        <v>3074</v>
      </c>
      <c r="D3018" s="497"/>
      <c r="E3018" s="499">
        <v>5200</v>
      </c>
      <c r="F3018" s="263"/>
      <c r="G3018" s="275"/>
    </row>
    <row r="3019" spans="1:7" ht="17.45" customHeight="1">
      <c r="A3019" s="261" t="s">
        <v>8</v>
      </c>
      <c r="C3019" s="271" t="s">
        <v>3068</v>
      </c>
      <c r="D3019" s="497"/>
      <c r="E3019" s="499">
        <f>9800+9800</f>
        <v>19600</v>
      </c>
      <c r="F3019" s="263"/>
      <c r="G3019" s="275"/>
    </row>
    <row r="3020" spans="1:7" ht="17.45" customHeight="1">
      <c r="A3020" s="261" t="s">
        <v>8</v>
      </c>
      <c r="C3020" s="271" t="s">
        <v>3075</v>
      </c>
      <c r="D3020" s="497"/>
      <c r="E3020" s="499">
        <v>17500</v>
      </c>
      <c r="F3020" s="263"/>
      <c r="G3020" s="275"/>
    </row>
    <row r="3021" spans="1:7" ht="17.45" customHeight="1">
      <c r="A3021" s="261" t="s">
        <v>8</v>
      </c>
      <c r="C3021" s="271" t="s">
        <v>3076</v>
      </c>
      <c r="D3021" s="497"/>
      <c r="E3021" s="499">
        <v>5200</v>
      </c>
      <c r="F3021" s="263"/>
      <c r="G3021" s="275"/>
    </row>
    <row r="3022" spans="1:7" ht="17.45" customHeight="1">
      <c r="A3022" s="261" t="s">
        <v>8</v>
      </c>
      <c r="C3022" s="271" t="s">
        <v>3077</v>
      </c>
      <c r="D3022" s="497"/>
      <c r="E3022" s="499">
        <v>30800</v>
      </c>
      <c r="F3022" s="263"/>
      <c r="G3022" s="275"/>
    </row>
    <row r="3023" spans="1:7" ht="17.45" customHeight="1">
      <c r="A3023" s="261" t="s">
        <v>8</v>
      </c>
      <c r="C3023" s="271" t="s">
        <v>3078</v>
      </c>
      <c r="D3023" s="497"/>
      <c r="E3023" s="499">
        <f>6600+9900</f>
        <v>16500</v>
      </c>
      <c r="F3023" s="263"/>
      <c r="G3023" s="275"/>
    </row>
    <row r="3024" spans="1:7" ht="17.45" customHeight="1">
      <c r="A3024" s="261" t="s">
        <v>8</v>
      </c>
      <c r="C3024" s="271" t="s">
        <v>3079</v>
      </c>
      <c r="D3024" s="497"/>
      <c r="E3024" s="499">
        <v>11620</v>
      </c>
      <c r="F3024" s="263"/>
      <c r="G3024" s="275"/>
    </row>
    <row r="3025" spans="1:7" ht="17.45" customHeight="1">
      <c r="A3025" s="261" t="s">
        <v>8</v>
      </c>
      <c r="C3025" s="284" t="s">
        <v>3080</v>
      </c>
      <c r="D3025" s="497"/>
      <c r="E3025" s="499">
        <v>5000</v>
      </c>
      <c r="F3025" s="263"/>
      <c r="G3025" s="275"/>
    </row>
    <row r="3026" spans="1:7" ht="17.25" customHeight="1">
      <c r="A3026" s="261" t="s">
        <v>8</v>
      </c>
      <c r="C3026" s="271" t="s">
        <v>3082</v>
      </c>
      <c r="D3026" s="497"/>
      <c r="E3026" s="499">
        <v>97200</v>
      </c>
      <c r="F3026" s="263"/>
      <c r="G3026" s="275"/>
    </row>
    <row r="3027" spans="1:7" ht="17.45" customHeight="1">
      <c r="A3027" s="261" t="s">
        <v>8</v>
      </c>
      <c r="C3027" s="271" t="s">
        <v>2290</v>
      </c>
      <c r="D3027" s="497"/>
      <c r="E3027" s="499">
        <v>1202480</v>
      </c>
      <c r="F3027" s="263"/>
      <c r="G3027" s="275"/>
    </row>
    <row r="3028" spans="1:7" ht="17.45" customHeight="1">
      <c r="A3028" s="261" t="s">
        <v>8</v>
      </c>
      <c r="C3028" s="284" t="s">
        <v>3026</v>
      </c>
      <c r="D3028" s="497"/>
      <c r="E3028" s="499">
        <v>320000</v>
      </c>
      <c r="F3028" s="263"/>
      <c r="G3028" s="275" t="s">
        <v>3027</v>
      </c>
    </row>
    <row r="3029" spans="1:7" ht="17.45" customHeight="1">
      <c r="A3029" s="261" t="s">
        <v>8</v>
      </c>
      <c r="C3029" s="271" t="s">
        <v>3083</v>
      </c>
      <c r="D3029" s="497"/>
      <c r="E3029" s="499">
        <v>32000</v>
      </c>
      <c r="F3029" s="263"/>
      <c r="G3029" s="275"/>
    </row>
    <row r="3030" spans="1:7" ht="17.45" customHeight="1">
      <c r="A3030" s="261" t="s">
        <v>8</v>
      </c>
      <c r="C3030" s="284" t="s">
        <v>3084</v>
      </c>
      <c r="D3030" s="497"/>
      <c r="E3030" s="499">
        <v>25700</v>
      </c>
      <c r="F3030" s="263"/>
      <c r="G3030" s="275"/>
    </row>
    <row r="3031" spans="1:7" ht="17.45" customHeight="1">
      <c r="A3031" s="261" t="s">
        <v>8</v>
      </c>
      <c r="C3031" s="271" t="s">
        <v>3085</v>
      </c>
      <c r="D3031" s="497"/>
      <c r="E3031" s="499">
        <v>9800</v>
      </c>
      <c r="F3031" s="263"/>
      <c r="G3031" s="275"/>
    </row>
    <row r="3032" spans="1:7" ht="17.45" customHeight="1">
      <c r="A3032" s="261" t="s">
        <v>8</v>
      </c>
      <c r="C3032" s="271" t="s">
        <v>3086</v>
      </c>
      <c r="D3032" s="497"/>
      <c r="E3032" s="499">
        <v>5000</v>
      </c>
      <c r="F3032" s="263"/>
      <c r="G3032" s="275"/>
    </row>
    <row r="3033" spans="1:7" ht="17.45" customHeight="1">
      <c r="A3033" s="261" t="s">
        <v>8</v>
      </c>
      <c r="C3033" s="271" t="s">
        <v>3088</v>
      </c>
      <c r="D3033" s="497"/>
      <c r="E3033" s="499">
        <v>9300</v>
      </c>
      <c r="F3033" s="263"/>
      <c r="G3033" s="275"/>
    </row>
    <row r="3034" spans="1:7" ht="17.45" customHeight="1">
      <c r="A3034" s="261" t="s">
        <v>8</v>
      </c>
      <c r="C3034" s="271" t="s">
        <v>3092</v>
      </c>
      <c r="D3034" s="497"/>
      <c r="E3034" s="499">
        <f>140200</f>
        <v>140200</v>
      </c>
      <c r="F3034" s="263"/>
      <c r="G3034" s="275"/>
    </row>
    <row r="3035" spans="1:7" ht="17.45" customHeight="1">
      <c r="A3035" s="261" t="s">
        <v>8</v>
      </c>
      <c r="C3035" s="271" t="s">
        <v>3093</v>
      </c>
      <c r="D3035" s="497"/>
      <c r="E3035" s="499">
        <f>142100+143200</f>
        <v>285300</v>
      </c>
      <c r="F3035" s="263"/>
      <c r="G3035" s="275"/>
    </row>
    <row r="3036" spans="1:7" ht="17.45" customHeight="1">
      <c r="A3036" s="261" t="s">
        <v>8</v>
      </c>
      <c r="C3036" s="271" t="s">
        <v>1602</v>
      </c>
      <c r="D3036" s="499">
        <v>841</v>
      </c>
      <c r="E3036" s="497"/>
      <c r="F3036" s="263"/>
      <c r="G3036" s="275"/>
    </row>
    <row r="3037" spans="1:7" ht="17.45" customHeight="1">
      <c r="A3037" s="261" t="s">
        <v>8</v>
      </c>
      <c r="C3037" s="271" t="s">
        <v>3094</v>
      </c>
      <c r="D3037" s="497"/>
      <c r="E3037" s="499">
        <v>3200</v>
      </c>
      <c r="F3037" s="263"/>
      <c r="G3037" s="275"/>
    </row>
    <row r="3038" spans="1:7" ht="17.45" customHeight="1">
      <c r="A3038" s="261" t="s">
        <v>8</v>
      </c>
      <c r="C3038" s="271" t="s">
        <v>3095</v>
      </c>
      <c r="D3038" s="497"/>
      <c r="E3038" s="499">
        <f>-100</f>
        <v>-100</v>
      </c>
      <c r="F3038" s="263"/>
      <c r="G3038" s="275"/>
    </row>
    <row r="3039" spans="1:7" ht="17.45" customHeight="1" thickBot="1">
      <c r="A3039" s="261" t="s">
        <v>8</v>
      </c>
      <c r="C3039" s="276" t="s">
        <v>1300</v>
      </c>
      <c r="D3039" s="502">
        <f>SUM(D2974:D3038)-SUM(E2974:E3038)</f>
        <v>576465</v>
      </c>
      <c r="E3039" s="502">
        <f>SUM(E2974:E3038)-SUM(F2974:F3038)</f>
        <v>4553406</v>
      </c>
      <c r="F3039" s="277"/>
      <c r="G3039" s="283"/>
    </row>
    <row r="3041" spans="1:7" ht="12.75" thickBot="1"/>
    <row r="3042" spans="1:7" ht="17.45" customHeight="1">
      <c r="A3042" s="261" t="s">
        <v>8</v>
      </c>
      <c r="B3042" s="256" t="s">
        <v>3096</v>
      </c>
      <c r="C3042" s="268" t="s">
        <v>1268</v>
      </c>
      <c r="D3042" s="500">
        <v>6692690</v>
      </c>
      <c r="E3042" s="501"/>
      <c r="F3042" s="269"/>
      <c r="G3042" s="270"/>
    </row>
    <row r="3043" spans="1:7" ht="17.45" customHeight="1">
      <c r="A3043" s="261" t="s">
        <v>8</v>
      </c>
      <c r="B3043" s="257"/>
      <c r="C3043" s="271" t="s">
        <v>3047</v>
      </c>
      <c r="D3043" s="497"/>
      <c r="E3043" s="497"/>
      <c r="F3043" s="263"/>
      <c r="G3043" s="272"/>
    </row>
    <row r="3044" spans="1:7" ht="17.45" customHeight="1">
      <c r="A3044" s="261" t="s">
        <v>8</v>
      </c>
      <c r="B3044" s="257"/>
      <c r="C3044" s="271" t="s">
        <v>1269</v>
      </c>
      <c r="D3044" s="497"/>
      <c r="E3044" s="499">
        <v>450000</v>
      </c>
      <c r="F3044" s="263"/>
      <c r="G3044" s="272"/>
    </row>
    <row r="3045" spans="1:7" ht="17.45" customHeight="1">
      <c r="A3045" s="261" t="s">
        <v>8</v>
      </c>
      <c r="C3045" s="271" t="s">
        <v>1270</v>
      </c>
      <c r="D3045" s="497"/>
      <c r="E3045" s="499">
        <v>862000</v>
      </c>
      <c r="F3045" s="263"/>
      <c r="G3045" s="273" t="s">
        <v>2740</v>
      </c>
    </row>
    <row r="3046" spans="1:7" ht="17.45" customHeight="1">
      <c r="A3046" s="261" t="s">
        <v>8</v>
      </c>
      <c r="C3046" s="271" t="s">
        <v>1670</v>
      </c>
      <c r="D3046" s="497"/>
      <c r="E3046" s="497"/>
      <c r="F3046" s="263"/>
      <c r="G3046" s="274"/>
    </row>
    <row r="3047" spans="1:7" ht="17.45" customHeight="1">
      <c r="A3047" s="261" t="s">
        <v>8</v>
      </c>
      <c r="C3047" s="271" t="s">
        <v>1672</v>
      </c>
      <c r="D3047" s="497"/>
      <c r="E3047" s="499">
        <v>79110</v>
      </c>
      <c r="F3047" s="263"/>
      <c r="G3047" s="273" t="s">
        <v>2732</v>
      </c>
    </row>
    <row r="3048" spans="1:7" ht="17.45" customHeight="1">
      <c r="A3048" s="261" t="s">
        <v>8</v>
      </c>
      <c r="C3048" s="271" t="s">
        <v>1673</v>
      </c>
      <c r="D3048" s="497"/>
      <c r="E3048" s="497"/>
      <c r="F3048" s="263"/>
      <c r="G3048" s="274"/>
    </row>
    <row r="3049" spans="1:7" ht="17.45" customHeight="1">
      <c r="A3049" s="261" t="s">
        <v>8</v>
      </c>
      <c r="C3049" s="271" t="s">
        <v>1332</v>
      </c>
      <c r="D3049" s="497"/>
      <c r="E3049" s="499">
        <v>34650</v>
      </c>
      <c r="F3049" s="263"/>
      <c r="G3049" s="275"/>
    </row>
    <row r="3050" spans="1:7" ht="17.45" customHeight="1">
      <c r="A3050" s="261" t="s">
        <v>8</v>
      </c>
      <c r="C3050" s="271" t="s">
        <v>1271</v>
      </c>
      <c r="D3050" s="497"/>
      <c r="E3050" s="497"/>
      <c r="F3050" s="263"/>
      <c r="G3050" s="274"/>
    </row>
    <row r="3051" spans="1:7" ht="17.45" customHeight="1">
      <c r="A3051" s="261" t="s">
        <v>8</v>
      </c>
      <c r="C3051" s="271" t="s">
        <v>1272</v>
      </c>
      <c r="D3051" s="497"/>
      <c r="E3051" s="497"/>
      <c r="F3051" s="263"/>
      <c r="G3051" s="273"/>
    </row>
    <row r="3052" spans="1:7" ht="17.45" customHeight="1">
      <c r="A3052" s="261" t="s">
        <v>8</v>
      </c>
      <c r="C3052" s="271" t="s">
        <v>3009</v>
      </c>
      <c r="D3052" s="497"/>
      <c r="E3052" s="499">
        <v>20763</v>
      </c>
      <c r="F3052" s="263"/>
      <c r="G3052" s="273" t="s">
        <v>2732</v>
      </c>
    </row>
    <row r="3053" spans="1:7" ht="17.45" customHeight="1">
      <c r="A3053" s="261" t="s">
        <v>8</v>
      </c>
      <c r="C3053" s="271" t="s">
        <v>3010</v>
      </c>
      <c r="D3053" s="497"/>
      <c r="E3053" s="499">
        <v>900</v>
      </c>
      <c r="F3053" s="263"/>
      <c r="G3053" s="273"/>
    </row>
    <row r="3054" spans="1:7" ht="17.45" customHeight="1">
      <c r="A3054" s="261" t="s">
        <v>8</v>
      </c>
      <c r="C3054" s="271" t="s">
        <v>1273</v>
      </c>
      <c r="D3054" s="497"/>
      <c r="E3054" s="499">
        <v>29920</v>
      </c>
      <c r="F3054" s="263"/>
      <c r="G3054" s="273" t="s">
        <v>2732</v>
      </c>
    </row>
    <row r="3055" spans="1:7" ht="17.45" customHeight="1">
      <c r="A3055" s="261" t="s">
        <v>8</v>
      </c>
      <c r="C3055" s="271" t="s">
        <v>1274</v>
      </c>
      <c r="D3055" s="497"/>
      <c r="E3055" s="499">
        <v>3757</v>
      </c>
      <c r="F3055" s="263"/>
      <c r="G3055" s="273"/>
    </row>
    <row r="3056" spans="1:7" ht="17.45" customHeight="1">
      <c r="A3056" s="261" t="s">
        <v>8</v>
      </c>
      <c r="C3056" s="271" t="s">
        <v>2168</v>
      </c>
      <c r="D3056" s="497"/>
      <c r="E3056" s="499">
        <v>18816</v>
      </c>
      <c r="F3056" s="263"/>
      <c r="G3056" s="273" t="s">
        <v>2732</v>
      </c>
    </row>
    <row r="3057" spans="1:7" ht="17.45" customHeight="1">
      <c r="A3057" s="261" t="s">
        <v>8</v>
      </c>
      <c r="C3057" s="271" t="s">
        <v>1517</v>
      </c>
      <c r="D3057" s="497"/>
      <c r="E3057" s="499">
        <v>23230</v>
      </c>
      <c r="F3057" s="263"/>
      <c r="G3057" s="273" t="s">
        <v>2732</v>
      </c>
    </row>
    <row r="3058" spans="1:7" ht="17.45" customHeight="1">
      <c r="A3058" s="261" t="s">
        <v>8</v>
      </c>
      <c r="C3058" s="271" t="s">
        <v>1276</v>
      </c>
      <c r="D3058" s="497"/>
      <c r="E3058" s="499">
        <f>402690-95800</f>
        <v>306890</v>
      </c>
      <c r="F3058" s="263"/>
      <c r="G3058" s="273" t="s">
        <v>3261</v>
      </c>
    </row>
    <row r="3059" spans="1:7" ht="17.45" customHeight="1">
      <c r="A3059" s="261" t="s">
        <v>8</v>
      </c>
      <c r="C3059" s="271" t="s">
        <v>1277</v>
      </c>
      <c r="D3059" s="497"/>
      <c r="E3059" s="499">
        <v>15840</v>
      </c>
      <c r="F3059" s="263"/>
      <c r="G3059" s="273" t="s">
        <v>2732</v>
      </c>
    </row>
    <row r="3060" spans="1:7" ht="17.45" customHeight="1">
      <c r="A3060" s="261" t="s">
        <v>8</v>
      </c>
      <c r="C3060" s="271" t="s">
        <v>1278</v>
      </c>
      <c r="D3060" s="497"/>
      <c r="E3060" s="499">
        <v>200000</v>
      </c>
      <c r="F3060" s="263"/>
      <c r="G3060" s="273"/>
    </row>
    <row r="3061" spans="1:7" ht="17.45" customHeight="1">
      <c r="A3061" s="261" t="s">
        <v>8</v>
      </c>
      <c r="C3061" s="285" t="s">
        <v>1413</v>
      </c>
      <c r="D3061" s="506"/>
      <c r="E3061" s="507">
        <v>1500000</v>
      </c>
      <c r="F3061" s="286"/>
      <c r="G3061" s="287"/>
    </row>
    <row r="3062" spans="1:7" ht="17.25" customHeight="1">
      <c r="A3062" s="261" t="s">
        <v>8</v>
      </c>
      <c r="C3062" s="338" t="s">
        <v>2661</v>
      </c>
      <c r="D3062" s="497"/>
      <c r="E3062" s="497"/>
      <c r="F3062" s="263"/>
      <c r="G3062" s="275"/>
    </row>
    <row r="3063" spans="1:7" ht="17.45" customHeight="1">
      <c r="A3063" s="261" t="s">
        <v>8</v>
      </c>
      <c r="C3063" s="339" t="s">
        <v>3248</v>
      </c>
      <c r="D3063" s="506"/>
      <c r="E3063" s="507">
        <v>3000000</v>
      </c>
      <c r="F3063" s="286"/>
      <c r="G3063" s="290"/>
    </row>
    <row r="3064" spans="1:7" ht="17.45" customHeight="1">
      <c r="A3064" s="261" t="s">
        <v>8</v>
      </c>
      <c r="C3064" s="339" t="s">
        <v>2647</v>
      </c>
      <c r="D3064" s="506"/>
      <c r="E3064" s="506"/>
      <c r="F3064" s="286"/>
      <c r="G3064" s="290"/>
    </row>
    <row r="3065" spans="1:7" ht="17.45" customHeight="1" thickBot="1">
      <c r="A3065" s="261" t="s">
        <v>8</v>
      </c>
      <c r="C3065" s="285" t="s">
        <v>1942</v>
      </c>
      <c r="D3065" s="506"/>
      <c r="E3065" s="507">
        <v>20000</v>
      </c>
      <c r="F3065" s="286"/>
      <c r="G3065" s="290"/>
    </row>
    <row r="3066" spans="1:7" ht="17.45" customHeight="1">
      <c r="A3066" s="261" t="s">
        <v>8</v>
      </c>
      <c r="C3066" s="268" t="s">
        <v>1280</v>
      </c>
      <c r="D3066" s="501"/>
      <c r="E3066" s="500">
        <v>50000</v>
      </c>
      <c r="F3066" s="269"/>
      <c r="G3066" s="288"/>
    </row>
    <row r="3067" spans="1:7" ht="17.45" customHeight="1">
      <c r="A3067" s="261" t="s">
        <v>8</v>
      </c>
      <c r="C3067" s="271" t="s">
        <v>1549</v>
      </c>
      <c r="D3067" s="497"/>
      <c r="E3067" s="497"/>
      <c r="F3067" s="263"/>
      <c r="G3067" s="275"/>
    </row>
    <row r="3068" spans="1:7" ht="17.45" customHeight="1">
      <c r="A3068" s="261" t="s">
        <v>8</v>
      </c>
      <c r="C3068" s="271" t="s">
        <v>1819</v>
      </c>
      <c r="D3068" s="497"/>
      <c r="E3068" s="497"/>
      <c r="F3068" s="263"/>
      <c r="G3068" s="275"/>
    </row>
    <row r="3069" spans="1:7" ht="17.45" customHeight="1">
      <c r="A3069" s="261" t="s">
        <v>8</v>
      </c>
      <c r="C3069" s="271" t="s">
        <v>391</v>
      </c>
      <c r="D3069" s="497"/>
      <c r="E3069" s="497"/>
      <c r="F3069" s="263"/>
      <c r="G3069" s="275"/>
    </row>
    <row r="3070" spans="1:7" ht="17.45" customHeight="1">
      <c r="A3070" s="261" t="s">
        <v>8</v>
      </c>
      <c r="C3070" s="271" t="s">
        <v>1934</v>
      </c>
      <c r="D3070" s="497"/>
      <c r="E3070" s="497"/>
      <c r="F3070" s="263"/>
      <c r="G3070" s="275"/>
    </row>
    <row r="3071" spans="1:7" ht="17.25" customHeight="1">
      <c r="A3071" s="261" t="s">
        <v>8</v>
      </c>
      <c r="C3071" s="271" t="s">
        <v>2202</v>
      </c>
      <c r="D3071" s="497"/>
      <c r="E3071" s="497"/>
      <c r="F3071" s="263"/>
      <c r="G3071" s="275"/>
    </row>
    <row r="3072" spans="1:7" ht="17.45" customHeight="1">
      <c r="A3072" s="261" t="s">
        <v>8</v>
      </c>
      <c r="C3072" s="271" t="s">
        <v>2654</v>
      </c>
      <c r="D3072" s="497"/>
      <c r="E3072" s="499">
        <v>36800</v>
      </c>
      <c r="F3072" s="263"/>
      <c r="G3072" s="275"/>
    </row>
    <row r="3073" spans="1:7" ht="17.45" customHeight="1">
      <c r="A3073" s="261" t="s">
        <v>8</v>
      </c>
      <c r="C3073" s="271" t="s">
        <v>1687</v>
      </c>
      <c r="D3073" s="497"/>
      <c r="E3073" s="497"/>
      <c r="F3073" s="263"/>
      <c r="G3073" s="275"/>
    </row>
    <row r="3074" spans="1:7" ht="17.45" customHeight="1">
      <c r="A3074" s="261" t="s">
        <v>8</v>
      </c>
      <c r="C3074" s="271" t="s">
        <v>1688</v>
      </c>
      <c r="D3074" s="497"/>
      <c r="E3074" s="497"/>
      <c r="F3074" s="263"/>
      <c r="G3074" s="275"/>
    </row>
    <row r="3075" spans="1:7" ht="17.45" customHeight="1">
      <c r="A3075" s="261" t="s">
        <v>8</v>
      </c>
      <c r="C3075" s="271"/>
      <c r="D3075" s="497"/>
      <c r="E3075" s="497"/>
      <c r="F3075" s="263"/>
      <c r="G3075" s="275"/>
    </row>
    <row r="3076" spans="1:7" ht="17.45" customHeight="1">
      <c r="A3076" s="261" t="s">
        <v>8</v>
      </c>
      <c r="C3076" s="271" t="s">
        <v>1596</v>
      </c>
      <c r="D3076" s="497"/>
      <c r="E3076" s="497"/>
      <c r="F3076" s="263"/>
      <c r="G3076" s="275"/>
    </row>
    <row r="3077" spans="1:7" ht="17.45" customHeight="1">
      <c r="A3077" s="261" t="s">
        <v>8</v>
      </c>
      <c r="C3077" s="271" t="s">
        <v>1595</v>
      </c>
      <c r="D3077" s="497"/>
      <c r="E3077" s="497"/>
      <c r="F3077" s="263"/>
      <c r="G3077" s="275"/>
    </row>
    <row r="3078" spans="1:7" ht="17.45" customHeight="1">
      <c r="A3078" s="261" t="s">
        <v>8</v>
      </c>
      <c r="C3078" s="271" t="s">
        <v>2822</v>
      </c>
      <c r="D3078" s="497"/>
      <c r="E3078" s="499">
        <f>3000+12620</f>
        <v>15620</v>
      </c>
      <c r="F3078" s="263"/>
      <c r="G3078" s="275"/>
    </row>
    <row r="3079" spans="1:7" ht="17.45" customHeight="1">
      <c r="A3079" s="261" t="s">
        <v>8</v>
      </c>
      <c r="C3079" s="271" t="s">
        <v>2821</v>
      </c>
      <c r="D3079" s="497"/>
      <c r="E3079" s="497"/>
      <c r="F3079" s="263"/>
      <c r="G3079" s="273"/>
    </row>
    <row r="3080" spans="1:7" ht="17.45" customHeight="1">
      <c r="A3080" s="261" t="s">
        <v>8</v>
      </c>
      <c r="C3080" s="271" t="s">
        <v>1689</v>
      </c>
      <c r="D3080" s="497"/>
      <c r="E3080" s="497"/>
      <c r="F3080" s="263"/>
      <c r="G3080" s="275"/>
    </row>
    <row r="3081" spans="1:7" ht="17.45" customHeight="1">
      <c r="A3081" s="261" t="s">
        <v>8</v>
      </c>
      <c r="C3081" s="271" t="s">
        <v>1569</v>
      </c>
      <c r="D3081" s="497"/>
      <c r="E3081" s="497"/>
      <c r="F3081" s="263"/>
      <c r="G3081" s="275"/>
    </row>
    <row r="3082" spans="1:7" ht="17.45" customHeight="1">
      <c r="A3082" s="261" t="s">
        <v>8</v>
      </c>
      <c r="C3082" s="271" t="s">
        <v>1618</v>
      </c>
      <c r="D3082" s="497"/>
      <c r="E3082" s="499">
        <f>35230+20260+5580+82800+12560+4980</f>
        <v>161410</v>
      </c>
      <c r="F3082" s="263"/>
      <c r="G3082" s="275"/>
    </row>
    <row r="3083" spans="1:7" ht="17.45" customHeight="1">
      <c r="A3083" s="261" t="s">
        <v>8</v>
      </c>
      <c r="C3083" s="271" t="s">
        <v>2810</v>
      </c>
      <c r="D3083" s="497"/>
      <c r="E3083" s="499">
        <f>43000</f>
        <v>43000</v>
      </c>
      <c r="F3083" s="263"/>
      <c r="G3083" s="275"/>
    </row>
    <row r="3084" spans="1:7" ht="17.45" customHeight="1" thickBot="1">
      <c r="A3084" s="261" t="s">
        <v>8</v>
      </c>
      <c r="C3084" s="276" t="s">
        <v>2699</v>
      </c>
      <c r="D3084" s="502"/>
      <c r="E3084" s="503">
        <f>20000+21000+13800+20000</f>
        <v>74800</v>
      </c>
      <c r="F3084" s="277"/>
      <c r="G3084" s="282"/>
    </row>
    <row r="3085" spans="1:7" ht="17.45" customHeight="1">
      <c r="A3085" s="261" t="s">
        <v>8</v>
      </c>
      <c r="C3085" s="279" t="s">
        <v>3097</v>
      </c>
      <c r="D3085" s="504"/>
      <c r="E3085" s="505">
        <v>7000</v>
      </c>
      <c r="F3085" s="280"/>
      <c r="G3085" s="281"/>
    </row>
    <row r="3086" spans="1:7" ht="17.45" customHeight="1">
      <c r="A3086" s="261" t="s">
        <v>8</v>
      </c>
      <c r="C3086" s="284" t="s">
        <v>3026</v>
      </c>
      <c r="D3086" s="497"/>
      <c r="E3086" s="499">
        <v>-160000</v>
      </c>
      <c r="F3086" s="263"/>
      <c r="G3086" s="275" t="s">
        <v>3027</v>
      </c>
    </row>
    <row r="3087" spans="1:7" ht="17.45" customHeight="1">
      <c r="A3087" s="261" t="s">
        <v>8</v>
      </c>
      <c r="C3087" s="271" t="s">
        <v>3098</v>
      </c>
      <c r="D3087" s="497"/>
      <c r="E3087" s="499">
        <f>79530+25700</f>
        <v>105230</v>
      </c>
      <c r="F3087" s="263"/>
      <c r="G3087" s="275"/>
    </row>
    <row r="3088" spans="1:7" ht="17.45" customHeight="1">
      <c r="A3088" s="261" t="s">
        <v>8</v>
      </c>
      <c r="C3088" s="271" t="s">
        <v>3099</v>
      </c>
      <c r="D3088" s="497"/>
      <c r="E3088" s="499">
        <v>10000</v>
      </c>
      <c r="F3088" s="263"/>
      <c r="G3088" s="275"/>
    </row>
    <row r="3089" spans="1:7" ht="17.45" customHeight="1">
      <c r="A3089" s="261" t="s">
        <v>8</v>
      </c>
      <c r="C3089" s="271" t="s">
        <v>3100</v>
      </c>
      <c r="D3089" s="497"/>
      <c r="E3089" s="499">
        <v>59400</v>
      </c>
      <c r="F3089" s="263"/>
      <c r="G3089" s="275"/>
    </row>
    <row r="3090" spans="1:7" ht="17.45" customHeight="1">
      <c r="A3090" s="261" t="s">
        <v>8</v>
      </c>
      <c r="C3090" s="271" t="s">
        <v>3101</v>
      </c>
      <c r="D3090" s="497"/>
      <c r="E3090" s="499">
        <f>1800-1800</f>
        <v>0</v>
      </c>
      <c r="F3090" s="263"/>
      <c r="G3090" s="275"/>
    </row>
    <row r="3091" spans="1:7" ht="17.45" customHeight="1">
      <c r="A3091" s="261" t="s">
        <v>8</v>
      </c>
      <c r="C3091" s="271" t="s">
        <v>3102</v>
      </c>
      <c r="D3091" s="497"/>
      <c r="E3091" s="499">
        <v>528174</v>
      </c>
      <c r="F3091" s="263"/>
      <c r="G3091" s="275"/>
    </row>
    <row r="3092" spans="1:7" ht="17.45" customHeight="1">
      <c r="A3092" s="261" t="s">
        <v>8</v>
      </c>
      <c r="C3092" s="271" t="s">
        <v>3166</v>
      </c>
      <c r="D3092" s="497"/>
      <c r="E3092" s="499">
        <v>200000</v>
      </c>
      <c r="F3092" s="263"/>
      <c r="G3092" s="275"/>
    </row>
    <row r="3093" spans="1:7" ht="17.45" customHeight="1">
      <c r="A3093" s="261" t="s">
        <v>8</v>
      </c>
      <c r="C3093" s="271" t="s">
        <v>3225</v>
      </c>
      <c r="D3093" s="497"/>
      <c r="E3093" s="499">
        <v>200000</v>
      </c>
      <c r="F3093" s="263"/>
      <c r="G3093" s="275"/>
    </row>
    <row r="3094" spans="1:7" ht="17.45" customHeight="1">
      <c r="A3094" s="261" t="s">
        <v>8</v>
      </c>
      <c r="C3094" s="284" t="s">
        <v>3226</v>
      </c>
      <c r="D3094" s="497"/>
      <c r="E3094" s="499">
        <v>200000</v>
      </c>
      <c r="F3094" s="263"/>
      <c r="G3094" s="275"/>
    </row>
    <row r="3095" spans="1:7" ht="17.25" customHeight="1">
      <c r="A3095" s="261" t="s">
        <v>8</v>
      </c>
      <c r="C3095" s="271" t="s">
        <v>3227</v>
      </c>
      <c r="D3095" s="499">
        <v>150000</v>
      </c>
      <c r="E3095" s="499">
        <v>150000</v>
      </c>
      <c r="F3095" s="263"/>
      <c r="G3095" s="275" t="s">
        <v>3027</v>
      </c>
    </row>
    <row r="3096" spans="1:7" ht="17.45" customHeight="1">
      <c r="A3096" s="261" t="s">
        <v>8</v>
      </c>
      <c r="C3096" s="271" t="s">
        <v>3228</v>
      </c>
      <c r="D3096" s="497"/>
      <c r="E3096" s="499">
        <v>17000</v>
      </c>
      <c r="F3096" s="263"/>
      <c r="G3096" s="275"/>
    </row>
    <row r="3097" spans="1:7" ht="17.45" customHeight="1">
      <c r="A3097" s="261" t="s">
        <v>8</v>
      </c>
      <c r="C3097" s="271" t="s">
        <v>3229</v>
      </c>
      <c r="D3097" s="497"/>
      <c r="E3097" s="499">
        <v>70000</v>
      </c>
      <c r="F3097" s="263"/>
      <c r="G3097" s="275"/>
    </row>
    <row r="3098" spans="1:7" ht="17.45" customHeight="1">
      <c r="A3098" s="261" t="s">
        <v>8</v>
      </c>
      <c r="C3098" s="271" t="s">
        <v>3230</v>
      </c>
      <c r="D3098" s="497"/>
      <c r="E3098" s="499">
        <v>20000</v>
      </c>
      <c r="F3098" s="263"/>
      <c r="G3098" s="275" t="s">
        <v>3027</v>
      </c>
    </row>
    <row r="3099" spans="1:7" ht="17.45" customHeight="1">
      <c r="A3099" s="261" t="s">
        <v>8</v>
      </c>
      <c r="C3099" s="284" t="s">
        <v>3231</v>
      </c>
      <c r="D3099" s="497"/>
      <c r="E3099" s="499">
        <v>6500</v>
      </c>
      <c r="F3099" s="263"/>
      <c r="G3099" s="275"/>
    </row>
    <row r="3100" spans="1:7" ht="17.45" customHeight="1">
      <c r="A3100" s="261" t="s">
        <v>8</v>
      </c>
      <c r="C3100" s="271" t="s">
        <v>3232</v>
      </c>
      <c r="D3100" s="497"/>
      <c r="E3100" s="499">
        <v>17600</v>
      </c>
      <c r="F3100" s="263"/>
      <c r="G3100" s="275"/>
    </row>
    <row r="3101" spans="1:7" ht="17.45" customHeight="1">
      <c r="A3101" s="261" t="s">
        <v>8</v>
      </c>
      <c r="C3101" s="271" t="s">
        <v>3233</v>
      </c>
      <c r="D3101" s="497"/>
      <c r="E3101" s="499">
        <v>46500</v>
      </c>
      <c r="F3101" s="263"/>
      <c r="G3101" s="275"/>
    </row>
    <row r="3102" spans="1:7" ht="17.45" customHeight="1">
      <c r="A3102" s="261" t="s">
        <v>8</v>
      </c>
      <c r="C3102" s="271" t="s">
        <v>3234</v>
      </c>
      <c r="D3102" s="497"/>
      <c r="E3102" s="499">
        <v>2000</v>
      </c>
      <c r="F3102" s="263"/>
      <c r="G3102" s="275"/>
    </row>
    <row r="3103" spans="1:7" ht="17.45" customHeight="1">
      <c r="A3103" s="261" t="s">
        <v>8</v>
      </c>
      <c r="C3103" s="271" t="s">
        <v>3235</v>
      </c>
      <c r="D3103" s="497"/>
      <c r="E3103" s="499">
        <v>12600</v>
      </c>
      <c r="F3103" s="263"/>
      <c r="G3103" s="275"/>
    </row>
    <row r="3104" spans="1:7" ht="17.45" customHeight="1">
      <c r="A3104" s="261" t="s">
        <v>8</v>
      </c>
      <c r="C3104" s="271" t="s">
        <v>3236</v>
      </c>
      <c r="D3104" s="497"/>
      <c r="E3104" s="499">
        <v>19900</v>
      </c>
      <c r="F3104" s="263"/>
      <c r="G3104" s="275"/>
    </row>
    <row r="3105" spans="1:7" ht="17.45" customHeight="1">
      <c r="A3105" s="261" t="s">
        <v>8</v>
      </c>
      <c r="C3105" s="271" t="s">
        <v>3237</v>
      </c>
      <c r="D3105" s="497"/>
      <c r="E3105" s="499">
        <v>7500</v>
      </c>
      <c r="F3105" s="263"/>
      <c r="G3105" s="275"/>
    </row>
    <row r="3106" spans="1:7" ht="17.45" customHeight="1">
      <c r="A3106" s="261" t="s">
        <v>8</v>
      </c>
      <c r="C3106" s="271" t="s">
        <v>2209</v>
      </c>
      <c r="D3106" s="497"/>
      <c r="E3106" s="499">
        <f>-143200-42000+6800</f>
        <v>-178400</v>
      </c>
      <c r="F3106" s="263"/>
      <c r="G3106" s="275"/>
    </row>
    <row r="3107" spans="1:7" ht="17.45" customHeight="1">
      <c r="A3107" s="261" t="s">
        <v>8</v>
      </c>
      <c r="C3107" s="271" t="s">
        <v>3238</v>
      </c>
      <c r="D3107" s="497"/>
      <c r="E3107" s="499">
        <f>4000+3000+3000</f>
        <v>10000</v>
      </c>
      <c r="F3107" s="263"/>
      <c r="G3107" s="275"/>
    </row>
    <row r="3108" spans="1:7" ht="17.45" customHeight="1">
      <c r="A3108" s="261" t="s">
        <v>8</v>
      </c>
      <c r="C3108" s="271" t="s">
        <v>3239</v>
      </c>
      <c r="D3108" s="497"/>
      <c r="E3108" s="499">
        <v>4900</v>
      </c>
      <c r="F3108" s="263"/>
      <c r="G3108" s="275"/>
    </row>
    <row r="3109" spans="1:7" ht="17.45" customHeight="1">
      <c r="A3109" s="261" t="s">
        <v>8</v>
      </c>
      <c r="C3109" s="271" t="s">
        <v>3240</v>
      </c>
      <c r="D3109" s="497"/>
      <c r="E3109" s="499">
        <v>50000</v>
      </c>
      <c r="F3109" s="263"/>
      <c r="G3109" s="275"/>
    </row>
    <row r="3110" spans="1:7" ht="17.45" customHeight="1">
      <c r="A3110" s="261" t="s">
        <v>8</v>
      </c>
      <c r="C3110" s="271" t="s">
        <v>3241</v>
      </c>
      <c r="D3110" s="497"/>
      <c r="E3110" s="499">
        <v>1000</v>
      </c>
      <c r="F3110" s="263"/>
      <c r="G3110" s="275"/>
    </row>
    <row r="3111" spans="1:7" ht="17.45" customHeight="1">
      <c r="A3111" s="261" t="s">
        <v>8</v>
      </c>
      <c r="C3111" s="271" t="s">
        <v>3242</v>
      </c>
      <c r="D3111" s="497"/>
      <c r="E3111" s="499">
        <v>2800</v>
      </c>
      <c r="F3111" s="263"/>
      <c r="G3111" s="275"/>
    </row>
    <row r="3112" spans="1:7" ht="17.45" customHeight="1">
      <c r="A3112" s="261" t="s">
        <v>8</v>
      </c>
      <c r="C3112" s="271" t="s">
        <v>3243</v>
      </c>
      <c r="D3112" s="497"/>
      <c r="E3112" s="499">
        <v>26000</v>
      </c>
      <c r="F3112" s="263"/>
      <c r="G3112" s="275"/>
    </row>
    <row r="3113" spans="1:7" ht="17.45" customHeight="1">
      <c r="A3113" s="261" t="s">
        <v>8</v>
      </c>
      <c r="C3113" s="271" t="s">
        <v>3244</v>
      </c>
      <c r="D3113" s="497"/>
      <c r="E3113" s="499">
        <f>103400+400+400-104200</f>
        <v>0</v>
      </c>
      <c r="F3113" s="263"/>
      <c r="G3113" s="275" t="s">
        <v>3262</v>
      </c>
    </row>
    <row r="3114" spans="1:7" ht="17.45" customHeight="1">
      <c r="A3114" s="261" t="s">
        <v>8</v>
      </c>
      <c r="C3114" s="271" t="s">
        <v>3245</v>
      </c>
      <c r="D3114" s="497"/>
      <c r="E3114" s="499">
        <v>1700</v>
      </c>
      <c r="F3114" s="263"/>
      <c r="G3114" s="275"/>
    </row>
    <row r="3115" spans="1:7" ht="17.45" customHeight="1">
      <c r="A3115" s="261" t="s">
        <v>8</v>
      </c>
      <c r="C3115" s="271" t="s">
        <v>3246</v>
      </c>
      <c r="D3115" s="497"/>
      <c r="E3115" s="499">
        <v>6600</v>
      </c>
      <c r="F3115" s="263"/>
      <c r="G3115" s="275"/>
    </row>
    <row r="3116" spans="1:7" ht="17.45" customHeight="1">
      <c r="A3116" s="261" t="s">
        <v>8</v>
      </c>
      <c r="C3116" s="271" t="s">
        <v>3247</v>
      </c>
      <c r="D3116" s="497"/>
      <c r="E3116" s="499">
        <v>15000</v>
      </c>
      <c r="F3116" s="263"/>
      <c r="G3116" s="275"/>
    </row>
    <row r="3117" spans="1:7" ht="17.45" customHeight="1">
      <c r="A3117" s="261" t="s">
        <v>8</v>
      </c>
      <c r="C3117" s="271" t="s">
        <v>3249</v>
      </c>
      <c r="D3117" s="497"/>
      <c r="E3117" s="499">
        <v>17000</v>
      </c>
      <c r="F3117" s="263"/>
      <c r="G3117" s="275" t="s">
        <v>3027</v>
      </c>
    </row>
    <row r="3118" spans="1:7" ht="17.45" customHeight="1">
      <c r="A3118" s="261" t="s">
        <v>8</v>
      </c>
      <c r="C3118" s="271" t="s">
        <v>3250</v>
      </c>
      <c r="D3118" s="497"/>
      <c r="E3118" s="499">
        <v>12000</v>
      </c>
      <c r="F3118" s="263"/>
      <c r="G3118" s="275"/>
    </row>
    <row r="3119" spans="1:7" ht="17.45" customHeight="1">
      <c r="A3119" s="261" t="s">
        <v>8</v>
      </c>
      <c r="C3119" s="271" t="s">
        <v>3251</v>
      </c>
      <c r="D3119" s="497"/>
      <c r="E3119" s="499">
        <v>24500</v>
      </c>
      <c r="F3119" s="263"/>
      <c r="G3119" s="275"/>
    </row>
    <row r="3120" spans="1:7" ht="17.45" customHeight="1">
      <c r="A3120" s="261" t="s">
        <v>8</v>
      </c>
      <c r="C3120" s="271" t="s">
        <v>3252</v>
      </c>
      <c r="D3120" s="499">
        <v>1266760</v>
      </c>
      <c r="E3120" s="499">
        <v>633380</v>
      </c>
      <c r="F3120" s="263"/>
      <c r="G3120" s="275"/>
    </row>
    <row r="3121" spans="1:7" ht="17.45" customHeight="1">
      <c r="A3121" s="261" t="s">
        <v>8</v>
      </c>
      <c r="C3121" s="271" t="s">
        <v>3253</v>
      </c>
      <c r="D3121" s="497"/>
      <c r="E3121" s="499">
        <v>1000</v>
      </c>
      <c r="F3121" s="263"/>
      <c r="G3121" s="275"/>
    </row>
    <row r="3122" spans="1:7" ht="17.45" customHeight="1">
      <c r="A3122" s="261" t="s">
        <v>8</v>
      </c>
      <c r="C3122" s="271" t="s">
        <v>3254</v>
      </c>
      <c r="D3122" s="497"/>
      <c r="E3122" s="499">
        <v>9700</v>
      </c>
      <c r="F3122" s="263"/>
      <c r="G3122" s="275"/>
    </row>
    <row r="3123" spans="1:7" ht="17.45" customHeight="1">
      <c r="A3123" s="261" t="s">
        <v>8</v>
      </c>
      <c r="C3123" s="271" t="s">
        <v>3255</v>
      </c>
      <c r="D3123" s="497"/>
      <c r="E3123" s="499">
        <v>50000</v>
      </c>
      <c r="F3123" s="263"/>
      <c r="G3123" s="275"/>
    </row>
    <row r="3124" spans="1:7" ht="17.45" customHeight="1">
      <c r="A3124" s="261" t="s">
        <v>8</v>
      </c>
      <c r="C3124" s="271" t="s">
        <v>3256</v>
      </c>
      <c r="D3124" s="497"/>
      <c r="E3124" s="499">
        <v>16200</v>
      </c>
      <c r="F3124" s="263"/>
      <c r="G3124" s="275"/>
    </row>
    <row r="3125" spans="1:7" ht="17.45" customHeight="1" thickBot="1">
      <c r="A3125" s="261" t="s">
        <v>8</v>
      </c>
      <c r="C3125" s="276" t="s">
        <v>1300</v>
      </c>
      <c r="D3125" s="502">
        <f>SUM(D3042:D3124)-SUM(E3042:E3124)</f>
        <v>-1060840</v>
      </c>
      <c r="E3125" s="502">
        <f>SUM(E3042:E3124)-SUM(F3042:F3124)</f>
        <v>9170290</v>
      </c>
      <c r="F3125" s="277"/>
      <c r="G3125" s="283"/>
    </row>
    <row r="3127" spans="1:7" ht="12.75" thickBot="1"/>
    <row r="3128" spans="1:7" ht="17.45" customHeight="1">
      <c r="A3128" s="261" t="s">
        <v>8</v>
      </c>
      <c r="B3128" s="256" t="s">
        <v>3263</v>
      </c>
      <c r="C3128" s="268" t="s">
        <v>1268</v>
      </c>
      <c r="D3128" s="500">
        <v>8478985</v>
      </c>
      <c r="E3128" s="501"/>
      <c r="F3128" s="269"/>
      <c r="G3128" s="270"/>
    </row>
    <row r="3129" spans="1:7" ht="17.45" customHeight="1">
      <c r="A3129" s="261" t="s">
        <v>8</v>
      </c>
      <c r="B3129" s="257"/>
      <c r="C3129" s="271" t="s">
        <v>3047</v>
      </c>
      <c r="D3129" s="497"/>
      <c r="E3129" s="497"/>
      <c r="F3129" s="263"/>
      <c r="G3129" s="272"/>
    </row>
    <row r="3130" spans="1:7" ht="17.45" customHeight="1">
      <c r="A3130" s="261" t="s">
        <v>8</v>
      </c>
      <c r="B3130" s="257"/>
      <c r="C3130" s="271" t="s">
        <v>1269</v>
      </c>
      <c r="D3130" s="497"/>
      <c r="E3130" s="499">
        <f>401000-112100</f>
        <v>288900</v>
      </c>
      <c r="F3130" s="263"/>
      <c r="G3130" s="272" t="s">
        <v>3283</v>
      </c>
    </row>
    <row r="3131" spans="1:7" ht="17.45" customHeight="1">
      <c r="A3131" s="261" t="s">
        <v>8</v>
      </c>
      <c r="C3131" s="271" t="s">
        <v>1270</v>
      </c>
      <c r="D3131" s="497"/>
      <c r="E3131" s="499">
        <v>1053000</v>
      </c>
      <c r="F3131" s="263"/>
      <c r="G3131" s="273" t="s">
        <v>2740</v>
      </c>
    </row>
    <row r="3132" spans="1:7" ht="17.45" customHeight="1">
      <c r="A3132" s="261" t="s">
        <v>8</v>
      </c>
      <c r="C3132" s="271" t="s">
        <v>1670</v>
      </c>
      <c r="D3132" s="497"/>
      <c r="E3132" s="497"/>
      <c r="F3132" s="263"/>
      <c r="G3132" s="274"/>
    </row>
    <row r="3133" spans="1:7" ht="17.45" customHeight="1">
      <c r="A3133" s="261" t="s">
        <v>8</v>
      </c>
      <c r="C3133" s="271" t="s">
        <v>1672</v>
      </c>
      <c r="D3133" s="497"/>
      <c r="E3133" s="499">
        <v>35721</v>
      </c>
      <c r="F3133" s="263"/>
      <c r="G3133" s="273" t="s">
        <v>2732</v>
      </c>
    </row>
    <row r="3134" spans="1:7" ht="17.45" customHeight="1">
      <c r="A3134" s="261" t="s">
        <v>8</v>
      </c>
      <c r="C3134" s="271" t="s">
        <v>1673</v>
      </c>
      <c r="D3134" s="497"/>
      <c r="E3134" s="497"/>
      <c r="F3134" s="263"/>
      <c r="G3134" s="274"/>
    </row>
    <row r="3135" spans="1:7" ht="17.45" customHeight="1">
      <c r="A3135" s="261" t="s">
        <v>8</v>
      </c>
      <c r="C3135" s="271" t="s">
        <v>1332</v>
      </c>
      <c r="D3135" s="497"/>
      <c r="E3135" s="499">
        <v>34650</v>
      </c>
      <c r="F3135" s="263"/>
      <c r="G3135" s="275"/>
    </row>
    <row r="3136" spans="1:7" ht="17.45" customHeight="1">
      <c r="A3136" s="261" t="s">
        <v>8</v>
      </c>
      <c r="C3136" s="271" t="s">
        <v>1271</v>
      </c>
      <c r="D3136" s="497"/>
      <c r="E3136" s="497"/>
      <c r="F3136" s="263"/>
      <c r="G3136" s="274"/>
    </row>
    <row r="3137" spans="1:7" ht="17.45" customHeight="1">
      <c r="A3137" s="261" t="s">
        <v>8</v>
      </c>
      <c r="C3137" s="271" t="s">
        <v>1272</v>
      </c>
      <c r="D3137" s="497"/>
      <c r="E3137" s="497"/>
      <c r="F3137" s="263"/>
      <c r="G3137" s="273"/>
    </row>
    <row r="3138" spans="1:7" ht="17.45" customHeight="1">
      <c r="A3138" s="261" t="s">
        <v>8</v>
      </c>
      <c r="C3138" s="271" t="s">
        <v>3009</v>
      </c>
      <c r="D3138" s="497"/>
      <c r="E3138" s="499">
        <v>20763</v>
      </c>
      <c r="F3138" s="263"/>
      <c r="G3138" s="273" t="s">
        <v>2732</v>
      </c>
    </row>
    <row r="3139" spans="1:7" ht="17.45" customHeight="1">
      <c r="A3139" s="261" t="s">
        <v>8</v>
      </c>
      <c r="C3139" s="271" t="s">
        <v>3010</v>
      </c>
      <c r="D3139" s="497"/>
      <c r="E3139" s="499">
        <v>900</v>
      </c>
      <c r="F3139" s="263"/>
      <c r="G3139" s="273"/>
    </row>
    <row r="3140" spans="1:7" ht="17.45" customHeight="1">
      <c r="A3140" s="261" t="s">
        <v>8</v>
      </c>
      <c r="C3140" s="271" t="s">
        <v>1273</v>
      </c>
      <c r="D3140" s="497"/>
      <c r="E3140" s="499">
        <v>29920</v>
      </c>
      <c r="F3140" s="263"/>
      <c r="G3140" s="273" t="s">
        <v>2732</v>
      </c>
    </row>
    <row r="3141" spans="1:7" ht="17.45" customHeight="1">
      <c r="A3141" s="261" t="s">
        <v>8</v>
      </c>
      <c r="C3141" s="271" t="s">
        <v>1274</v>
      </c>
      <c r="D3141" s="497"/>
      <c r="E3141" s="499">
        <v>3757</v>
      </c>
      <c r="F3141" s="263"/>
      <c r="G3141" s="273"/>
    </row>
    <row r="3142" spans="1:7" ht="17.45" customHeight="1">
      <c r="A3142" s="261" t="s">
        <v>8</v>
      </c>
      <c r="C3142" s="271" t="s">
        <v>2168</v>
      </c>
      <c r="D3142" s="497"/>
      <c r="E3142" s="499">
        <v>18816</v>
      </c>
      <c r="F3142" s="263"/>
      <c r="G3142" s="273" t="s">
        <v>2732</v>
      </c>
    </row>
    <row r="3143" spans="1:7" ht="17.45" customHeight="1">
      <c r="A3143" s="261" t="s">
        <v>8</v>
      </c>
      <c r="C3143" s="271" t="s">
        <v>1517</v>
      </c>
      <c r="D3143" s="497"/>
      <c r="E3143" s="499">
        <v>23230</v>
      </c>
      <c r="F3143" s="263"/>
      <c r="G3143" s="273" t="s">
        <v>2732</v>
      </c>
    </row>
    <row r="3144" spans="1:7" ht="17.45" customHeight="1">
      <c r="A3144" s="261" t="s">
        <v>8</v>
      </c>
      <c r="C3144" s="271" t="s">
        <v>1276</v>
      </c>
      <c r="D3144" s="497"/>
      <c r="E3144" s="499">
        <v>387950</v>
      </c>
      <c r="F3144" s="263"/>
      <c r="G3144" s="273" t="s">
        <v>2732</v>
      </c>
    </row>
    <row r="3145" spans="1:7" ht="17.45" customHeight="1">
      <c r="A3145" s="261" t="s">
        <v>8</v>
      </c>
      <c r="C3145" s="271" t="s">
        <v>1277</v>
      </c>
      <c r="D3145" s="497"/>
      <c r="E3145" s="499">
        <v>14886</v>
      </c>
      <c r="F3145" s="263"/>
      <c r="G3145" s="273" t="s">
        <v>2732</v>
      </c>
    </row>
    <row r="3146" spans="1:7" ht="17.45" customHeight="1">
      <c r="A3146" s="261" t="s">
        <v>8</v>
      </c>
      <c r="C3146" s="271" t="s">
        <v>1278</v>
      </c>
      <c r="D3146" s="497"/>
      <c r="E3146" s="499">
        <v>200000</v>
      </c>
      <c r="F3146" s="263"/>
      <c r="G3146" s="273"/>
    </row>
    <row r="3147" spans="1:7" ht="17.45" customHeight="1">
      <c r="A3147" s="261" t="s">
        <v>8</v>
      </c>
      <c r="C3147" s="285" t="s">
        <v>1413</v>
      </c>
      <c r="D3147" s="506"/>
      <c r="E3147" s="507">
        <f>1500000+1000000</f>
        <v>2500000</v>
      </c>
      <c r="F3147" s="286"/>
      <c r="G3147" s="287"/>
    </row>
    <row r="3148" spans="1:7" ht="17.25" customHeight="1">
      <c r="A3148" s="261" t="s">
        <v>8</v>
      </c>
      <c r="C3148" s="338" t="s">
        <v>2661</v>
      </c>
      <c r="D3148" s="497"/>
      <c r="E3148" s="497"/>
      <c r="F3148" s="263"/>
      <c r="G3148" s="275"/>
    </row>
    <row r="3149" spans="1:7" ht="17.45" customHeight="1">
      <c r="A3149" s="261" t="s">
        <v>8</v>
      </c>
      <c r="C3149" s="339" t="s">
        <v>3248</v>
      </c>
      <c r="D3149" s="506"/>
      <c r="E3149" s="507">
        <v>10000000</v>
      </c>
      <c r="F3149" s="286"/>
      <c r="G3149" s="290"/>
    </row>
    <row r="3150" spans="1:7" ht="17.45" customHeight="1">
      <c r="A3150" s="261" t="s">
        <v>8</v>
      </c>
      <c r="C3150" s="339" t="s">
        <v>2647</v>
      </c>
      <c r="D3150" s="506"/>
      <c r="E3150" s="507">
        <v>-10994947</v>
      </c>
      <c r="F3150" s="286"/>
      <c r="G3150" s="290"/>
    </row>
    <row r="3151" spans="1:7" ht="17.45" customHeight="1" thickBot="1">
      <c r="A3151" s="261" t="s">
        <v>8</v>
      </c>
      <c r="C3151" s="285" t="s">
        <v>1942</v>
      </c>
      <c r="D3151" s="506"/>
      <c r="E3151" s="507">
        <v>20000</v>
      </c>
      <c r="F3151" s="286"/>
      <c r="G3151" s="290"/>
    </row>
    <row r="3152" spans="1:7" ht="17.45" customHeight="1">
      <c r="A3152" s="261" t="s">
        <v>8</v>
      </c>
      <c r="C3152" s="268" t="s">
        <v>1280</v>
      </c>
      <c r="D3152" s="501"/>
      <c r="E3152" s="500">
        <f>50000+50000</f>
        <v>100000</v>
      </c>
      <c r="F3152" s="269"/>
      <c r="G3152" s="288"/>
    </row>
    <row r="3153" spans="1:7" ht="17.45" customHeight="1">
      <c r="A3153" s="261" t="s">
        <v>8</v>
      </c>
      <c r="C3153" s="271" t="s">
        <v>1549</v>
      </c>
      <c r="D3153" s="497"/>
      <c r="E3153" s="497"/>
      <c r="F3153" s="263"/>
      <c r="G3153" s="275"/>
    </row>
    <row r="3154" spans="1:7" ht="17.45" customHeight="1">
      <c r="A3154" s="261" t="s">
        <v>8</v>
      </c>
      <c r="C3154" s="271" t="s">
        <v>1819</v>
      </c>
      <c r="D3154" s="497"/>
      <c r="E3154" s="497"/>
      <c r="F3154" s="263"/>
      <c r="G3154" s="275"/>
    </row>
    <row r="3155" spans="1:7" ht="17.45" customHeight="1">
      <c r="A3155" s="261" t="s">
        <v>8</v>
      </c>
      <c r="C3155" s="271" t="s">
        <v>391</v>
      </c>
      <c r="D3155" s="497"/>
      <c r="E3155" s="497"/>
      <c r="F3155" s="263"/>
      <c r="G3155" s="275"/>
    </row>
    <row r="3156" spans="1:7" ht="17.45" customHeight="1">
      <c r="A3156" s="261" t="s">
        <v>8</v>
      </c>
      <c r="C3156" s="271" t="s">
        <v>1934</v>
      </c>
      <c r="D3156" s="497"/>
      <c r="E3156" s="497"/>
      <c r="F3156" s="263"/>
      <c r="G3156" s="275"/>
    </row>
    <row r="3157" spans="1:7" ht="17.25" customHeight="1">
      <c r="A3157" s="261" t="s">
        <v>8</v>
      </c>
      <c r="C3157" s="271" t="s">
        <v>2202</v>
      </c>
      <c r="D3157" s="497"/>
      <c r="E3157" s="497"/>
      <c r="F3157" s="263"/>
      <c r="G3157" s="275"/>
    </row>
    <row r="3158" spans="1:7" ht="17.45" customHeight="1">
      <c r="A3158" s="261" t="s">
        <v>8</v>
      </c>
      <c r="C3158" s="271" t="s">
        <v>2654</v>
      </c>
      <c r="D3158" s="497"/>
      <c r="E3158" s="499">
        <v>60000</v>
      </c>
      <c r="F3158" s="263"/>
      <c r="G3158" s="275"/>
    </row>
    <row r="3159" spans="1:7" ht="17.45" customHeight="1">
      <c r="A3159" s="261" t="s">
        <v>8</v>
      </c>
      <c r="C3159" s="271" t="s">
        <v>1687</v>
      </c>
      <c r="D3159" s="497"/>
      <c r="E3159" s="497"/>
      <c r="F3159" s="263"/>
      <c r="G3159" s="275"/>
    </row>
    <row r="3160" spans="1:7" ht="17.45" customHeight="1">
      <c r="A3160" s="261" t="s">
        <v>8</v>
      </c>
      <c r="C3160" s="271" t="s">
        <v>1688</v>
      </c>
      <c r="D3160" s="497"/>
      <c r="E3160" s="499">
        <f>55000</f>
        <v>55000</v>
      </c>
      <c r="F3160" s="263"/>
      <c r="G3160" s="275"/>
    </row>
    <row r="3161" spans="1:7" ht="17.45" customHeight="1">
      <c r="A3161" s="261" t="s">
        <v>8</v>
      </c>
      <c r="C3161" s="271"/>
      <c r="D3161" s="497"/>
      <c r="E3161" s="497"/>
      <c r="F3161" s="263"/>
      <c r="G3161" s="275"/>
    </row>
    <row r="3162" spans="1:7" ht="17.45" customHeight="1">
      <c r="A3162" s="261" t="s">
        <v>8</v>
      </c>
      <c r="C3162" s="271" t="s">
        <v>1596</v>
      </c>
      <c r="D3162" s="497"/>
      <c r="E3162" s="499">
        <f>39700+5500</f>
        <v>45200</v>
      </c>
      <c r="F3162" s="263"/>
      <c r="G3162" s="275"/>
    </row>
    <row r="3163" spans="1:7" ht="17.45" customHeight="1">
      <c r="A3163" s="261" t="s">
        <v>8</v>
      </c>
      <c r="C3163" s="271" t="s">
        <v>1595</v>
      </c>
      <c r="D3163" s="497"/>
      <c r="E3163" s="499">
        <f>3800+6200</f>
        <v>10000</v>
      </c>
      <c r="F3163" s="263"/>
      <c r="G3163" s="275"/>
    </row>
    <row r="3164" spans="1:7" ht="17.45" customHeight="1">
      <c r="A3164" s="261" t="s">
        <v>8</v>
      </c>
      <c r="C3164" s="271" t="s">
        <v>2822</v>
      </c>
      <c r="D3164" s="497"/>
      <c r="E3164" s="499">
        <f>7020</f>
        <v>7020</v>
      </c>
      <c r="F3164" s="263"/>
      <c r="G3164" s="275"/>
    </row>
    <row r="3165" spans="1:7" ht="17.45" customHeight="1">
      <c r="A3165" s="261" t="s">
        <v>8</v>
      </c>
      <c r="C3165" s="271" t="s">
        <v>2821</v>
      </c>
      <c r="D3165" s="497"/>
      <c r="E3165" s="497"/>
      <c r="F3165" s="263"/>
      <c r="G3165" s="273"/>
    </row>
    <row r="3166" spans="1:7" ht="17.45" customHeight="1">
      <c r="A3166" s="261" t="s">
        <v>8</v>
      </c>
      <c r="C3166" s="271" t="s">
        <v>1689</v>
      </c>
      <c r="D3166" s="497"/>
      <c r="E3166" s="497"/>
      <c r="F3166" s="263"/>
      <c r="G3166" s="275"/>
    </row>
    <row r="3167" spans="1:7" ht="17.45" customHeight="1">
      <c r="A3167" s="261" t="s">
        <v>8</v>
      </c>
      <c r="C3167" s="271" t="s">
        <v>1569</v>
      </c>
      <c r="D3167" s="497"/>
      <c r="E3167" s="499">
        <f>32460+49400</f>
        <v>81860</v>
      </c>
      <c r="F3167" s="263"/>
      <c r="G3167" s="275"/>
    </row>
    <row r="3168" spans="1:7" ht="17.45" customHeight="1">
      <c r="A3168" s="261" t="s">
        <v>8</v>
      </c>
      <c r="C3168" s="271" t="s">
        <v>1618</v>
      </c>
      <c r="D3168" s="497"/>
      <c r="E3168" s="499">
        <f>4230+23460+11940+12500</f>
        <v>52130</v>
      </c>
      <c r="F3168" s="263"/>
      <c r="G3168" s="275"/>
    </row>
    <row r="3169" spans="1:7" ht="17.45" customHeight="1">
      <c r="A3169" s="261" t="s">
        <v>8</v>
      </c>
      <c r="C3169" s="271" t="s">
        <v>2810</v>
      </c>
      <c r="D3169" s="497"/>
      <c r="E3169" s="499">
        <f>38800</f>
        <v>38800</v>
      </c>
      <c r="F3169" s="263"/>
      <c r="G3169" s="275"/>
    </row>
    <row r="3170" spans="1:7" ht="17.45" customHeight="1" thickBot="1">
      <c r="A3170" s="261" t="s">
        <v>8</v>
      </c>
      <c r="C3170" s="276" t="s">
        <v>2699</v>
      </c>
      <c r="D3170" s="502"/>
      <c r="E3170" s="503">
        <f>13400+16800+25500+19000+16000</f>
        <v>90700</v>
      </c>
      <c r="F3170" s="277"/>
      <c r="G3170" s="282"/>
    </row>
    <row r="3171" spans="1:7" ht="17.45" customHeight="1">
      <c r="A3171" s="261" t="s">
        <v>8</v>
      </c>
      <c r="C3171" s="279" t="s">
        <v>3296</v>
      </c>
      <c r="D3171" s="504"/>
      <c r="E3171" s="505">
        <v>7900</v>
      </c>
      <c r="F3171" s="280"/>
      <c r="G3171" s="281"/>
    </row>
    <row r="3172" spans="1:7" ht="17.45" customHeight="1">
      <c r="A3172" s="261" t="s">
        <v>8</v>
      </c>
      <c r="C3172" s="284" t="s">
        <v>3297</v>
      </c>
      <c r="D3172" s="497"/>
      <c r="E3172" s="499">
        <v>506700</v>
      </c>
      <c r="F3172" s="263"/>
      <c r="G3172" s="275"/>
    </row>
    <row r="3173" spans="1:7" ht="17.45" customHeight="1">
      <c r="A3173" s="261" t="s">
        <v>8</v>
      </c>
      <c r="C3173" s="271" t="s">
        <v>3298</v>
      </c>
      <c r="D3173" s="497"/>
      <c r="E3173" s="499">
        <v>5000</v>
      </c>
      <c r="F3173" s="263"/>
      <c r="G3173" s="275"/>
    </row>
    <row r="3174" spans="1:7" ht="17.45" customHeight="1">
      <c r="A3174" s="261" t="s">
        <v>8</v>
      </c>
      <c r="C3174" s="271" t="s">
        <v>3299</v>
      </c>
      <c r="D3174" s="497"/>
      <c r="E3174" s="499">
        <v>25000</v>
      </c>
      <c r="F3174" s="263"/>
      <c r="G3174" s="275"/>
    </row>
    <row r="3175" spans="1:7" ht="17.45" customHeight="1">
      <c r="A3175" s="261" t="s">
        <v>8</v>
      </c>
      <c r="C3175" s="271" t="s">
        <v>3300</v>
      </c>
      <c r="D3175" s="497"/>
      <c r="E3175" s="499">
        <f>2200-2200</f>
        <v>0</v>
      </c>
      <c r="F3175" s="263"/>
      <c r="G3175" s="275"/>
    </row>
    <row r="3176" spans="1:7" ht="17.45" customHeight="1">
      <c r="A3176" s="261" t="s">
        <v>8</v>
      </c>
      <c r="C3176" s="271" t="s">
        <v>3301</v>
      </c>
      <c r="D3176" s="497"/>
      <c r="E3176" s="499">
        <v>23400</v>
      </c>
      <c r="F3176" s="263"/>
      <c r="G3176" s="275"/>
    </row>
    <row r="3177" spans="1:7" ht="17.45" customHeight="1">
      <c r="A3177" s="261" t="s">
        <v>8</v>
      </c>
      <c r="C3177" s="271" t="s">
        <v>3302</v>
      </c>
      <c r="D3177" s="497"/>
      <c r="E3177" s="499">
        <f>52100-52100+400</f>
        <v>400</v>
      </c>
      <c r="F3177" s="263"/>
      <c r="G3177" s="275"/>
    </row>
    <row r="3178" spans="1:7" ht="17.45" customHeight="1">
      <c r="A3178" s="261" t="s">
        <v>8</v>
      </c>
      <c r="C3178" s="271" t="s">
        <v>3306</v>
      </c>
      <c r="D3178" s="497"/>
      <c r="E3178" s="499">
        <v>208341</v>
      </c>
      <c r="F3178" s="263"/>
      <c r="G3178" s="275" t="s">
        <v>3307</v>
      </c>
    </row>
    <row r="3179" spans="1:7" ht="17.45" customHeight="1">
      <c r="A3179" s="261" t="s">
        <v>8</v>
      </c>
      <c r="C3179" s="271" t="s">
        <v>3308</v>
      </c>
      <c r="D3179" s="497"/>
      <c r="E3179" s="499">
        <f>51700-51700</f>
        <v>0</v>
      </c>
      <c r="F3179" s="263"/>
      <c r="G3179" s="275" t="s">
        <v>3309</v>
      </c>
    </row>
    <row r="3180" spans="1:7" ht="17.45" customHeight="1">
      <c r="A3180" s="261" t="s">
        <v>8</v>
      </c>
      <c r="C3180" s="284" t="s">
        <v>3310</v>
      </c>
      <c r="D3180" s="497"/>
      <c r="E3180" s="499">
        <f>12500+12700</f>
        <v>25200</v>
      </c>
      <c r="F3180" s="263"/>
      <c r="G3180" s="275"/>
    </row>
    <row r="3181" spans="1:7" ht="17.25" customHeight="1">
      <c r="A3181" s="261" t="s">
        <v>8</v>
      </c>
      <c r="C3181" s="271" t="s">
        <v>3311</v>
      </c>
      <c r="D3181" s="497"/>
      <c r="E3181" s="499">
        <v>1700</v>
      </c>
      <c r="F3181" s="263"/>
      <c r="G3181" s="275"/>
    </row>
    <row r="3182" spans="1:7" ht="17.45" customHeight="1">
      <c r="A3182" s="261" t="s">
        <v>8</v>
      </c>
      <c r="C3182" s="271" t="s">
        <v>3312</v>
      </c>
      <c r="D3182" s="497"/>
      <c r="E3182" s="499">
        <v>50000</v>
      </c>
      <c r="F3182" s="263"/>
      <c r="G3182" s="275" t="s">
        <v>3027</v>
      </c>
    </row>
    <row r="3183" spans="1:7" ht="17.45" customHeight="1">
      <c r="A3183" s="261" t="s">
        <v>8</v>
      </c>
      <c r="C3183" s="271" t="s">
        <v>3313</v>
      </c>
      <c r="D3183" s="497"/>
      <c r="E3183" s="499">
        <v>21200</v>
      </c>
      <c r="F3183" s="263"/>
      <c r="G3183" s="275" t="s">
        <v>3309</v>
      </c>
    </row>
    <row r="3184" spans="1:7" ht="17.45" customHeight="1">
      <c r="A3184" s="261" t="s">
        <v>8</v>
      </c>
      <c r="C3184" s="271" t="s">
        <v>3314</v>
      </c>
      <c r="D3184" s="497"/>
      <c r="E3184" s="499">
        <v>34000</v>
      </c>
      <c r="F3184" s="263"/>
      <c r="G3184" s="275"/>
    </row>
    <row r="3185" spans="1:7" ht="17.45" customHeight="1">
      <c r="A3185" s="261" t="s">
        <v>8</v>
      </c>
      <c r="C3185" s="284" t="s">
        <v>3315</v>
      </c>
      <c r="D3185" s="497"/>
      <c r="E3185" s="499">
        <f>1300+2600</f>
        <v>3900</v>
      </c>
      <c r="F3185" s="263"/>
      <c r="G3185" s="275"/>
    </row>
    <row r="3186" spans="1:7" ht="17.45" customHeight="1">
      <c r="A3186" s="261" t="s">
        <v>8</v>
      </c>
      <c r="C3186" s="271" t="s">
        <v>3316</v>
      </c>
      <c r="D3186" s="497"/>
      <c r="E3186" s="499">
        <v>50000</v>
      </c>
      <c r="F3186" s="263"/>
      <c r="G3186" s="275"/>
    </row>
    <row r="3187" spans="1:7" ht="17.45" customHeight="1">
      <c r="A3187" s="261" t="s">
        <v>8</v>
      </c>
      <c r="C3187" s="271" t="s">
        <v>3317</v>
      </c>
      <c r="D3187" s="497"/>
      <c r="E3187" s="499">
        <v>1300</v>
      </c>
      <c r="F3187" s="263"/>
      <c r="G3187" s="275"/>
    </row>
    <row r="3188" spans="1:7" ht="17.45" customHeight="1">
      <c r="A3188" s="261" t="s">
        <v>8</v>
      </c>
      <c r="C3188" s="271" t="s">
        <v>3318</v>
      </c>
      <c r="D3188" s="497"/>
      <c r="E3188" s="499">
        <v>67000</v>
      </c>
      <c r="F3188" s="263"/>
      <c r="G3188" s="275" t="s">
        <v>3319</v>
      </c>
    </row>
    <row r="3189" spans="1:7" ht="17.45" customHeight="1">
      <c r="A3189" s="261" t="s">
        <v>8</v>
      </c>
      <c r="C3189" s="271" t="s">
        <v>3320</v>
      </c>
      <c r="D3189" s="497"/>
      <c r="E3189" s="499">
        <v>9800</v>
      </c>
      <c r="F3189" s="263"/>
      <c r="G3189" s="275"/>
    </row>
    <row r="3190" spans="1:7" ht="17.45" customHeight="1">
      <c r="A3190" s="261" t="s">
        <v>8</v>
      </c>
      <c r="C3190" s="271" t="s">
        <v>3323</v>
      </c>
      <c r="D3190" s="497"/>
      <c r="E3190" s="499">
        <v>525939</v>
      </c>
      <c r="F3190" s="263"/>
      <c r="G3190" s="275" t="s">
        <v>3321</v>
      </c>
    </row>
    <row r="3191" spans="1:7" ht="17.45" customHeight="1">
      <c r="A3191" s="261" t="s">
        <v>8</v>
      </c>
      <c r="C3191" s="271" t="s">
        <v>3322</v>
      </c>
      <c r="D3191" s="497"/>
      <c r="E3191" s="499">
        <v>17890</v>
      </c>
      <c r="F3191" s="263"/>
      <c r="G3191" s="275"/>
    </row>
    <row r="3192" spans="1:7" ht="17.45" customHeight="1">
      <c r="A3192" s="261" t="s">
        <v>8</v>
      </c>
      <c r="C3192" s="271" t="s">
        <v>3324</v>
      </c>
      <c r="D3192" s="497"/>
      <c r="E3192" s="499">
        <v>204862</v>
      </c>
      <c r="F3192" s="263"/>
      <c r="G3192" s="275" t="s">
        <v>3321</v>
      </c>
    </row>
    <row r="3193" spans="1:7" ht="17.45" customHeight="1">
      <c r="A3193" s="261" t="s">
        <v>8</v>
      </c>
      <c r="C3193" s="271" t="s">
        <v>3325</v>
      </c>
      <c r="D3193" s="497"/>
      <c r="E3193" s="499">
        <v>163370</v>
      </c>
      <c r="F3193" s="263"/>
      <c r="G3193" s="275" t="s">
        <v>3321</v>
      </c>
    </row>
    <row r="3194" spans="1:7" ht="17.45" customHeight="1">
      <c r="A3194" s="261" t="s">
        <v>8</v>
      </c>
      <c r="C3194" s="271" t="s">
        <v>3326</v>
      </c>
      <c r="D3194" s="497"/>
      <c r="E3194" s="499">
        <v>6000</v>
      </c>
      <c r="F3194" s="263"/>
      <c r="G3194" s="275"/>
    </row>
    <row r="3195" spans="1:7" ht="17.45" customHeight="1">
      <c r="A3195" s="261" t="s">
        <v>8</v>
      </c>
      <c r="C3195" s="271" t="s">
        <v>3327</v>
      </c>
      <c r="D3195" s="497"/>
      <c r="E3195" s="499">
        <v>5000</v>
      </c>
      <c r="F3195" s="263"/>
      <c r="G3195" s="275"/>
    </row>
    <row r="3196" spans="1:7" ht="17.45" customHeight="1">
      <c r="A3196" s="261" t="s">
        <v>8</v>
      </c>
      <c r="C3196" s="271" t="s">
        <v>3328</v>
      </c>
      <c r="D3196" s="497"/>
      <c r="E3196" s="499">
        <v>4500</v>
      </c>
      <c r="F3196" s="263"/>
      <c r="G3196" s="275"/>
    </row>
    <row r="3197" spans="1:7" ht="17.45" customHeight="1">
      <c r="A3197" s="261" t="s">
        <v>8</v>
      </c>
      <c r="C3197" s="271" t="s">
        <v>3329</v>
      </c>
      <c r="D3197" s="497"/>
      <c r="E3197" s="499">
        <v>13000</v>
      </c>
      <c r="F3197" s="263"/>
      <c r="G3197" s="275"/>
    </row>
    <row r="3198" spans="1:7" ht="17.45" customHeight="1" thickBot="1">
      <c r="A3198" s="261" t="s">
        <v>8</v>
      </c>
      <c r="C3198" s="276" t="s">
        <v>1300</v>
      </c>
      <c r="D3198" s="502">
        <f>SUM(D3128:D3197)-SUM(E3128:E3197)</f>
        <v>2319327</v>
      </c>
      <c r="E3198" s="502">
        <f>SUM(E3128:E3197)-SUM(F3128:F3197)</f>
        <v>6159658</v>
      </c>
      <c r="F3198" s="277"/>
      <c r="G3198" s="283"/>
    </row>
    <row r="3200" spans="1:7" ht="12.75" thickBot="1"/>
    <row r="3201" spans="1:7" ht="17.45" customHeight="1">
      <c r="A3201" s="261" t="s">
        <v>8</v>
      </c>
      <c r="B3201" s="256" t="s">
        <v>3330</v>
      </c>
      <c r="C3201" s="268" t="s">
        <v>1268</v>
      </c>
      <c r="D3201" s="500">
        <v>6642107</v>
      </c>
      <c r="E3201" s="501"/>
      <c r="F3201" s="269"/>
      <c r="G3201" s="270"/>
    </row>
    <row r="3202" spans="1:7" ht="17.45" customHeight="1">
      <c r="A3202" s="261" t="s">
        <v>8</v>
      </c>
      <c r="B3202" s="257"/>
      <c r="C3202" s="271" t="s">
        <v>2722</v>
      </c>
      <c r="D3202" s="499">
        <v>881760</v>
      </c>
      <c r="E3202" s="497"/>
      <c r="F3202" s="263"/>
      <c r="G3202" s="272"/>
    </row>
    <row r="3203" spans="1:7" ht="17.45" customHeight="1">
      <c r="A3203" s="261" t="s">
        <v>8</v>
      </c>
      <c r="B3203" s="257"/>
      <c r="C3203" s="271" t="s">
        <v>3047</v>
      </c>
      <c r="D3203" s="497"/>
      <c r="E3203" s="497"/>
      <c r="F3203" s="263"/>
      <c r="G3203" s="272"/>
    </row>
    <row r="3204" spans="1:7" ht="17.45" customHeight="1">
      <c r="A3204" s="261" t="s">
        <v>8</v>
      </c>
      <c r="B3204" s="257"/>
      <c r="C3204" s="271" t="s">
        <v>1269</v>
      </c>
      <c r="D3204" s="497"/>
      <c r="E3204" s="499">
        <v>422000</v>
      </c>
      <c r="F3204" s="263"/>
      <c r="G3204" s="272" t="s">
        <v>3331</v>
      </c>
    </row>
    <row r="3205" spans="1:7" ht="17.45" customHeight="1">
      <c r="A3205" s="261" t="s">
        <v>8</v>
      </c>
      <c r="C3205" s="271" t="s">
        <v>1270</v>
      </c>
      <c r="D3205" s="497"/>
      <c r="E3205" s="499">
        <f>815000+89000</f>
        <v>904000</v>
      </c>
      <c r="F3205" s="263"/>
      <c r="G3205" s="273" t="s">
        <v>2740</v>
      </c>
    </row>
    <row r="3206" spans="1:7" ht="17.45" customHeight="1">
      <c r="A3206" s="261" t="s">
        <v>8</v>
      </c>
      <c r="C3206" s="271" t="s">
        <v>1670</v>
      </c>
      <c r="D3206" s="497"/>
      <c r="E3206" s="497"/>
      <c r="F3206" s="263"/>
      <c r="G3206" s="274"/>
    </row>
    <row r="3207" spans="1:7" ht="17.45" customHeight="1">
      <c r="A3207" s="261" t="s">
        <v>8</v>
      </c>
      <c r="C3207" s="271" t="s">
        <v>1672</v>
      </c>
      <c r="D3207" s="497"/>
      <c r="E3207" s="499">
        <v>69270</v>
      </c>
      <c r="F3207" s="263"/>
      <c r="G3207" s="273" t="s">
        <v>2732</v>
      </c>
    </row>
    <row r="3208" spans="1:7" ht="17.45" customHeight="1">
      <c r="A3208" s="261" t="s">
        <v>8</v>
      </c>
      <c r="C3208" s="271" t="s">
        <v>1673</v>
      </c>
      <c r="D3208" s="497"/>
      <c r="E3208" s="497"/>
      <c r="F3208" s="263"/>
      <c r="G3208" s="274"/>
    </row>
    <row r="3209" spans="1:7" ht="17.45" customHeight="1">
      <c r="A3209" s="261" t="s">
        <v>8</v>
      </c>
      <c r="C3209" s="271" t="s">
        <v>1332</v>
      </c>
      <c r="D3209" s="497"/>
      <c r="E3209" s="499">
        <v>34650</v>
      </c>
      <c r="F3209" s="263"/>
      <c r="G3209" s="275"/>
    </row>
    <row r="3210" spans="1:7" ht="17.45" customHeight="1">
      <c r="A3210" s="261" t="s">
        <v>8</v>
      </c>
      <c r="C3210" s="271" t="s">
        <v>1271</v>
      </c>
      <c r="D3210" s="497"/>
      <c r="E3210" s="497"/>
      <c r="F3210" s="263"/>
      <c r="G3210" s="274"/>
    </row>
    <row r="3211" spans="1:7" ht="17.45" customHeight="1">
      <c r="A3211" s="261" t="s">
        <v>8</v>
      </c>
      <c r="C3211" s="271" t="s">
        <v>1272</v>
      </c>
      <c r="D3211" s="497"/>
      <c r="E3211" s="497"/>
      <c r="F3211" s="263"/>
      <c r="G3211" s="273"/>
    </row>
    <row r="3212" spans="1:7" ht="17.45" customHeight="1">
      <c r="A3212" s="261" t="s">
        <v>8</v>
      </c>
      <c r="C3212" s="271" t="s">
        <v>3009</v>
      </c>
      <c r="D3212" s="497"/>
      <c r="E3212" s="499">
        <v>20763</v>
      </c>
      <c r="F3212" s="263"/>
      <c r="G3212" s="273" t="s">
        <v>2732</v>
      </c>
    </row>
    <row r="3213" spans="1:7" ht="17.45" customHeight="1">
      <c r="A3213" s="261" t="s">
        <v>8</v>
      </c>
      <c r="C3213" s="271" t="s">
        <v>3010</v>
      </c>
      <c r="D3213" s="497"/>
      <c r="E3213" s="499">
        <v>900</v>
      </c>
      <c r="F3213" s="263"/>
      <c r="G3213" s="273"/>
    </row>
    <row r="3214" spans="1:7" ht="17.45" customHeight="1">
      <c r="A3214" s="261" t="s">
        <v>8</v>
      </c>
      <c r="C3214" s="271" t="s">
        <v>1273</v>
      </c>
      <c r="D3214" s="497"/>
      <c r="E3214" s="499">
        <v>29920</v>
      </c>
      <c r="F3214" s="263"/>
      <c r="G3214" s="273" t="s">
        <v>2732</v>
      </c>
    </row>
    <row r="3215" spans="1:7" ht="17.45" customHeight="1">
      <c r="A3215" s="261" t="s">
        <v>8</v>
      </c>
      <c r="C3215" s="271" t="s">
        <v>1274</v>
      </c>
      <c r="D3215" s="497"/>
      <c r="E3215" s="499">
        <v>3757</v>
      </c>
      <c r="F3215" s="263"/>
      <c r="G3215" s="273"/>
    </row>
    <row r="3216" spans="1:7" ht="17.45" customHeight="1">
      <c r="A3216" s="261" t="s">
        <v>8</v>
      </c>
      <c r="C3216" s="271" t="s">
        <v>2168</v>
      </c>
      <c r="D3216" s="497"/>
      <c r="E3216" s="499">
        <v>18816</v>
      </c>
      <c r="F3216" s="263"/>
      <c r="G3216" s="273" t="s">
        <v>2732</v>
      </c>
    </row>
    <row r="3217" spans="1:7" ht="17.45" customHeight="1">
      <c r="A3217" s="261" t="s">
        <v>8</v>
      </c>
      <c r="C3217" s="271" t="s">
        <v>1517</v>
      </c>
      <c r="D3217" s="497"/>
      <c r="E3217" s="499">
        <v>23230</v>
      </c>
      <c r="F3217" s="263"/>
      <c r="G3217" s="273" t="s">
        <v>2732</v>
      </c>
    </row>
    <row r="3218" spans="1:7" ht="17.45" customHeight="1">
      <c r="A3218" s="261" t="s">
        <v>8</v>
      </c>
      <c r="C3218" s="271" t="s">
        <v>1276</v>
      </c>
      <c r="D3218" s="497"/>
      <c r="E3218" s="499">
        <v>344550</v>
      </c>
      <c r="F3218" s="263"/>
      <c r="G3218" s="273" t="s">
        <v>2732</v>
      </c>
    </row>
    <row r="3219" spans="1:7" ht="17.45" customHeight="1">
      <c r="A3219" s="261" t="s">
        <v>8</v>
      </c>
      <c r="C3219" s="271" t="s">
        <v>1277</v>
      </c>
      <c r="D3219" s="497"/>
      <c r="E3219" s="499">
        <v>18630</v>
      </c>
      <c r="F3219" s="263"/>
      <c r="G3219" s="273" t="s">
        <v>2732</v>
      </c>
    </row>
    <row r="3220" spans="1:7" ht="17.45" customHeight="1">
      <c r="A3220" s="261" t="s">
        <v>8</v>
      </c>
      <c r="C3220" s="271" t="s">
        <v>1278</v>
      </c>
      <c r="D3220" s="497"/>
      <c r="E3220" s="499">
        <v>200000</v>
      </c>
      <c r="F3220" s="263"/>
      <c r="G3220" s="273"/>
    </row>
    <row r="3221" spans="1:7" ht="17.45" customHeight="1">
      <c r="A3221" s="261" t="s">
        <v>8</v>
      </c>
      <c r="C3221" s="285" t="s">
        <v>1413</v>
      </c>
      <c r="D3221" s="506"/>
      <c r="E3221" s="507">
        <f>1500000</f>
        <v>1500000</v>
      </c>
      <c r="F3221" s="286"/>
      <c r="G3221" s="287"/>
    </row>
    <row r="3222" spans="1:7" ht="17.25" customHeight="1">
      <c r="A3222" s="261" t="s">
        <v>8</v>
      </c>
      <c r="C3222" s="338" t="s">
        <v>2661</v>
      </c>
      <c r="D3222" s="497"/>
      <c r="E3222" s="497"/>
      <c r="F3222" s="263"/>
      <c r="G3222" s="275"/>
    </row>
    <row r="3223" spans="1:7" ht="17.45" customHeight="1">
      <c r="A3223" s="261" t="s">
        <v>8</v>
      </c>
      <c r="C3223" s="339" t="s">
        <v>3248</v>
      </c>
      <c r="D3223" s="506"/>
      <c r="E3223" s="506"/>
      <c r="F3223" s="286"/>
      <c r="G3223" s="290"/>
    </row>
    <row r="3224" spans="1:7" ht="17.45" customHeight="1">
      <c r="A3224" s="261" t="s">
        <v>8</v>
      </c>
      <c r="C3224" s="339" t="s">
        <v>2647</v>
      </c>
      <c r="D3224" s="506"/>
      <c r="E3224" s="506"/>
      <c r="F3224" s="286"/>
      <c r="G3224" s="290"/>
    </row>
    <row r="3225" spans="1:7" ht="17.45" customHeight="1" thickBot="1">
      <c r="A3225" s="261" t="s">
        <v>8</v>
      </c>
      <c r="C3225" s="285" t="s">
        <v>1942</v>
      </c>
      <c r="D3225" s="506"/>
      <c r="E3225" s="507">
        <v>20000</v>
      </c>
      <c r="F3225" s="286"/>
      <c r="G3225" s="290"/>
    </row>
    <row r="3226" spans="1:7" ht="17.45" customHeight="1">
      <c r="A3226" s="261" t="s">
        <v>8</v>
      </c>
      <c r="C3226" s="268" t="s">
        <v>1280</v>
      </c>
      <c r="D3226" s="501"/>
      <c r="E3226" s="500">
        <f>50000</f>
        <v>50000</v>
      </c>
      <c r="F3226" s="269"/>
      <c r="G3226" s="288"/>
    </row>
    <row r="3227" spans="1:7" ht="17.45" customHeight="1">
      <c r="A3227" s="261" t="s">
        <v>8</v>
      </c>
      <c r="C3227" s="271" t="s">
        <v>1549</v>
      </c>
      <c r="D3227" s="497"/>
      <c r="E3227" s="497"/>
      <c r="F3227" s="263"/>
      <c r="G3227" s="275"/>
    </row>
    <row r="3228" spans="1:7" ht="17.45" customHeight="1">
      <c r="A3228" s="261" t="s">
        <v>8</v>
      </c>
      <c r="C3228" s="271" t="s">
        <v>1819</v>
      </c>
      <c r="D3228" s="497"/>
      <c r="E3228" s="497"/>
      <c r="F3228" s="263"/>
      <c r="G3228" s="275"/>
    </row>
    <row r="3229" spans="1:7" ht="17.45" customHeight="1">
      <c r="A3229" s="261" t="s">
        <v>8</v>
      </c>
      <c r="C3229" s="271" t="s">
        <v>391</v>
      </c>
      <c r="D3229" s="497"/>
      <c r="E3229" s="497"/>
      <c r="F3229" s="263"/>
      <c r="G3229" s="275"/>
    </row>
    <row r="3230" spans="1:7" ht="17.45" customHeight="1">
      <c r="A3230" s="261" t="s">
        <v>8</v>
      </c>
      <c r="C3230" s="271" t="s">
        <v>1934</v>
      </c>
      <c r="D3230" s="497"/>
      <c r="E3230" s="497"/>
      <c r="F3230" s="263"/>
      <c r="G3230" s="275"/>
    </row>
    <row r="3231" spans="1:7" ht="17.25" customHeight="1">
      <c r="A3231" s="261" t="s">
        <v>8</v>
      </c>
      <c r="C3231" s="271" t="s">
        <v>2202</v>
      </c>
      <c r="D3231" s="497"/>
      <c r="E3231" s="497"/>
      <c r="F3231" s="263"/>
      <c r="G3231" s="275"/>
    </row>
    <row r="3232" spans="1:7" ht="17.45" customHeight="1">
      <c r="A3232" s="261" t="s">
        <v>8</v>
      </c>
      <c r="C3232" s="271" t="s">
        <v>2654</v>
      </c>
      <c r="D3232" s="497"/>
      <c r="E3232" s="499">
        <v>60000</v>
      </c>
      <c r="F3232" s="263"/>
      <c r="G3232" s="275"/>
    </row>
    <row r="3233" spans="1:7" ht="17.45" customHeight="1">
      <c r="A3233" s="261" t="s">
        <v>8</v>
      </c>
      <c r="C3233" s="271" t="s">
        <v>2097</v>
      </c>
      <c r="D3233" s="497"/>
      <c r="E3233" s="499">
        <v>10000</v>
      </c>
      <c r="F3233" s="263"/>
      <c r="G3233" s="275"/>
    </row>
    <row r="3234" spans="1:7" ht="17.45" customHeight="1">
      <c r="A3234" s="261" t="s">
        <v>8</v>
      </c>
      <c r="C3234" s="271" t="s">
        <v>1687</v>
      </c>
      <c r="D3234" s="497"/>
      <c r="E3234" s="497"/>
      <c r="F3234" s="263"/>
      <c r="G3234" s="275"/>
    </row>
    <row r="3235" spans="1:7" ht="17.45" customHeight="1">
      <c r="A3235" s="261" t="s">
        <v>8</v>
      </c>
      <c r="C3235" s="271" t="s">
        <v>1688</v>
      </c>
      <c r="D3235" s="497"/>
      <c r="E3235" s="499">
        <v>55000</v>
      </c>
      <c r="F3235" s="263"/>
      <c r="G3235" s="275"/>
    </row>
    <row r="3236" spans="1:7" ht="17.45" customHeight="1">
      <c r="A3236" s="261" t="s">
        <v>8</v>
      </c>
      <c r="C3236" s="271" t="s">
        <v>3367</v>
      </c>
      <c r="D3236" s="499">
        <v>1298</v>
      </c>
      <c r="E3236" s="497"/>
      <c r="F3236" s="263"/>
      <c r="G3236" s="275"/>
    </row>
    <row r="3237" spans="1:7" ht="17.45" customHeight="1">
      <c r="A3237" s="261" t="s">
        <v>8</v>
      </c>
      <c r="C3237" s="271" t="s">
        <v>1596</v>
      </c>
      <c r="D3237" s="497"/>
      <c r="E3237" s="497"/>
      <c r="F3237" s="263"/>
      <c r="G3237" s="275"/>
    </row>
    <row r="3238" spans="1:7" ht="17.45" customHeight="1">
      <c r="A3238" s="261" t="s">
        <v>8</v>
      </c>
      <c r="C3238" s="271" t="s">
        <v>1595</v>
      </c>
      <c r="D3238" s="497"/>
      <c r="E3238" s="497"/>
      <c r="F3238" s="263"/>
      <c r="G3238" s="275"/>
    </row>
    <row r="3239" spans="1:7" ht="17.45" customHeight="1">
      <c r="A3239" s="261" t="s">
        <v>8</v>
      </c>
      <c r="C3239" s="271" t="s">
        <v>2822</v>
      </c>
      <c r="D3239" s="497"/>
      <c r="E3239" s="499">
        <f>3100</f>
        <v>3100</v>
      </c>
      <c r="F3239" s="263"/>
      <c r="G3239" s="275"/>
    </row>
    <row r="3240" spans="1:7" ht="17.45" customHeight="1">
      <c r="A3240" s="261" t="s">
        <v>8</v>
      </c>
      <c r="C3240" s="271" t="s">
        <v>2821</v>
      </c>
      <c r="D3240" s="497"/>
      <c r="E3240" s="499">
        <v>9000</v>
      </c>
      <c r="F3240" s="263"/>
      <c r="G3240" s="273"/>
    </row>
    <row r="3241" spans="1:7" ht="17.45" customHeight="1">
      <c r="A3241" s="261" t="s">
        <v>8</v>
      </c>
      <c r="C3241" s="271" t="s">
        <v>1689</v>
      </c>
      <c r="D3241" s="497"/>
      <c r="E3241" s="497"/>
      <c r="F3241" s="263"/>
      <c r="G3241" s="275"/>
    </row>
    <row r="3242" spans="1:7" ht="17.45" customHeight="1">
      <c r="A3242" s="261" t="s">
        <v>8</v>
      </c>
      <c r="C3242" s="271" t="s">
        <v>1569</v>
      </c>
      <c r="D3242" s="497"/>
      <c r="E3242" s="499">
        <f>40490</f>
        <v>40490</v>
      </c>
      <c r="F3242" s="263"/>
      <c r="G3242" s="275"/>
    </row>
    <row r="3243" spans="1:7" ht="17.45" customHeight="1">
      <c r="A3243" s="261" t="s">
        <v>8</v>
      </c>
      <c r="C3243" s="271" t="s">
        <v>1618</v>
      </c>
      <c r="D3243" s="497"/>
      <c r="E3243" s="499">
        <f>42070+11360+5930+8730+21960</f>
        <v>90050</v>
      </c>
      <c r="F3243" s="263"/>
      <c r="G3243" s="275"/>
    </row>
    <row r="3244" spans="1:7" ht="17.45" customHeight="1">
      <c r="A3244" s="261" t="s">
        <v>8</v>
      </c>
      <c r="C3244" s="271" t="s">
        <v>2810</v>
      </c>
      <c r="D3244" s="497"/>
      <c r="E3244" s="499">
        <f>37600</f>
        <v>37600</v>
      </c>
      <c r="F3244" s="263"/>
      <c r="G3244" s="275"/>
    </row>
    <row r="3245" spans="1:7" ht="17.45" customHeight="1" thickBot="1">
      <c r="A3245" s="261" t="s">
        <v>8</v>
      </c>
      <c r="C3245" s="276" t="s">
        <v>2699</v>
      </c>
      <c r="D3245" s="502"/>
      <c r="E3245" s="503">
        <f>23400+24500</f>
        <v>47900</v>
      </c>
      <c r="F3245" s="277"/>
      <c r="G3245" s="282"/>
    </row>
    <row r="3246" spans="1:7" ht="17.45" customHeight="1">
      <c r="A3246" s="261" t="s">
        <v>8</v>
      </c>
      <c r="C3246" s="279" t="s">
        <v>3332</v>
      </c>
      <c r="D3246" s="504"/>
      <c r="E3246" s="505">
        <v>200000</v>
      </c>
      <c r="F3246" s="280"/>
      <c r="G3246" s="281"/>
    </row>
    <row r="3247" spans="1:7" ht="17.45" customHeight="1">
      <c r="A3247" s="261" t="s">
        <v>8</v>
      </c>
      <c r="C3247" s="284" t="s">
        <v>3333</v>
      </c>
      <c r="D3247" s="497"/>
      <c r="E3247" s="499">
        <v>50000</v>
      </c>
      <c r="F3247" s="263"/>
      <c r="G3247" s="275"/>
    </row>
    <row r="3248" spans="1:7" ht="17.45" customHeight="1">
      <c r="A3248" s="261" t="s">
        <v>8</v>
      </c>
      <c r="C3248" s="271" t="s">
        <v>3334</v>
      </c>
      <c r="D3248" s="497"/>
      <c r="E3248" s="499">
        <v>3000</v>
      </c>
      <c r="F3248" s="263"/>
      <c r="G3248" s="275" t="s">
        <v>3335</v>
      </c>
    </row>
    <row r="3249" spans="1:7" ht="17.45" customHeight="1">
      <c r="A3249" s="261" t="s">
        <v>8</v>
      </c>
      <c r="C3249" s="271" t="s">
        <v>3337</v>
      </c>
      <c r="D3249" s="497"/>
      <c r="E3249" s="499">
        <v>6400</v>
      </c>
      <c r="F3249" s="263"/>
      <c r="G3249" s="275" t="s">
        <v>3336</v>
      </c>
    </row>
    <row r="3250" spans="1:7" ht="17.45" customHeight="1">
      <c r="A3250" s="261" t="s">
        <v>8</v>
      </c>
      <c r="C3250" s="271" t="s">
        <v>3338</v>
      </c>
      <c r="D3250" s="497"/>
      <c r="E3250" s="499">
        <v>26000</v>
      </c>
      <c r="F3250" s="263"/>
      <c r="G3250" s="275" t="s">
        <v>3336</v>
      </c>
    </row>
    <row r="3251" spans="1:7" ht="17.45" customHeight="1">
      <c r="A3251" s="261" t="s">
        <v>8</v>
      </c>
      <c r="C3251" s="271" t="s">
        <v>3339</v>
      </c>
      <c r="D3251" s="497"/>
      <c r="E3251" s="499">
        <v>50000</v>
      </c>
      <c r="F3251" s="263"/>
      <c r="G3251" s="275"/>
    </row>
    <row r="3252" spans="1:7" ht="17.45" customHeight="1">
      <c r="A3252" s="261" t="s">
        <v>8</v>
      </c>
      <c r="C3252" s="271" t="s">
        <v>3340</v>
      </c>
      <c r="D3252" s="497"/>
      <c r="E3252" s="499">
        <f>12000+9400+6600</f>
        <v>28000</v>
      </c>
      <c r="F3252" s="263"/>
      <c r="G3252" s="275"/>
    </row>
    <row r="3253" spans="1:7" ht="17.45" customHeight="1">
      <c r="A3253" s="261" t="s">
        <v>8</v>
      </c>
      <c r="C3253" s="271" t="s">
        <v>3341</v>
      </c>
      <c r="D3253" s="497"/>
      <c r="E3253" s="499">
        <f>1591740-1591740</f>
        <v>0</v>
      </c>
      <c r="F3253" s="263"/>
      <c r="G3253" s="275" t="s">
        <v>3342</v>
      </c>
    </row>
    <row r="3254" spans="1:7" ht="17.45" customHeight="1">
      <c r="A3254" s="261" t="s">
        <v>8</v>
      </c>
      <c r="C3254" s="271" t="s">
        <v>3345</v>
      </c>
      <c r="D3254" s="497"/>
      <c r="E3254" s="499">
        <v>19000</v>
      </c>
      <c r="F3254" s="263"/>
      <c r="G3254" s="275"/>
    </row>
    <row r="3255" spans="1:7" ht="17.45" customHeight="1">
      <c r="A3255" s="261" t="s">
        <v>8</v>
      </c>
      <c r="C3255" s="284" t="s">
        <v>3346</v>
      </c>
      <c r="D3255" s="497"/>
      <c r="E3255" s="499">
        <v>3000</v>
      </c>
      <c r="F3255" s="263"/>
      <c r="G3255" s="275"/>
    </row>
    <row r="3256" spans="1:7" ht="17.25" customHeight="1">
      <c r="A3256" s="261" t="s">
        <v>8</v>
      </c>
      <c r="C3256" s="271" t="s">
        <v>3347</v>
      </c>
      <c r="D3256" s="497"/>
      <c r="E3256" s="499">
        <v>300000</v>
      </c>
      <c r="F3256" s="263"/>
      <c r="G3256" s="275"/>
    </row>
    <row r="3257" spans="1:7" ht="17.45" customHeight="1">
      <c r="A3257" s="261" t="s">
        <v>8</v>
      </c>
      <c r="C3257" s="271" t="s">
        <v>3348</v>
      </c>
      <c r="D3257" s="497"/>
      <c r="E3257" s="499">
        <v>4000</v>
      </c>
      <c r="F3257" s="263"/>
      <c r="G3257" s="275" t="s">
        <v>3351</v>
      </c>
    </row>
    <row r="3258" spans="1:7" ht="17.45" customHeight="1">
      <c r="A3258" s="261" t="s">
        <v>8</v>
      </c>
      <c r="C3258" s="271" t="s">
        <v>3349</v>
      </c>
      <c r="D3258" s="497"/>
      <c r="E3258" s="499">
        <v>1000</v>
      </c>
      <c r="F3258" s="263"/>
      <c r="G3258" s="275"/>
    </row>
    <row r="3259" spans="1:7" ht="17.45" customHeight="1">
      <c r="A3259" s="261" t="s">
        <v>8</v>
      </c>
      <c r="C3259" s="271" t="s">
        <v>3350</v>
      </c>
      <c r="D3259" s="497"/>
      <c r="E3259" s="499">
        <v>39900</v>
      </c>
      <c r="F3259" s="263"/>
      <c r="G3259" s="275" t="s">
        <v>3351</v>
      </c>
    </row>
    <row r="3260" spans="1:7" ht="17.45" customHeight="1">
      <c r="A3260" s="261" t="s">
        <v>8</v>
      </c>
      <c r="C3260" s="284" t="s">
        <v>3352</v>
      </c>
      <c r="D3260" s="497"/>
      <c r="E3260" s="499">
        <v>17500</v>
      </c>
      <c r="F3260" s="263"/>
      <c r="G3260" s="275"/>
    </row>
    <row r="3261" spans="1:7" ht="17.45" customHeight="1">
      <c r="A3261" s="261" t="s">
        <v>8</v>
      </c>
      <c r="C3261" s="271" t="s">
        <v>3353</v>
      </c>
      <c r="D3261" s="497"/>
      <c r="E3261" s="499">
        <v>14900</v>
      </c>
      <c r="F3261" s="263"/>
      <c r="G3261" s="275"/>
    </row>
    <row r="3262" spans="1:7" ht="17.45" customHeight="1">
      <c r="A3262" s="261" t="s">
        <v>8</v>
      </c>
      <c r="C3262" s="271" t="s">
        <v>3354</v>
      </c>
      <c r="D3262" s="497"/>
      <c r="E3262" s="499">
        <v>17500</v>
      </c>
      <c r="F3262" s="263"/>
      <c r="G3262" s="275"/>
    </row>
    <row r="3263" spans="1:7" ht="17.45" customHeight="1">
      <c r="A3263" s="261" t="s">
        <v>8</v>
      </c>
      <c r="C3263" s="271" t="s">
        <v>3355</v>
      </c>
      <c r="D3263" s="497"/>
      <c r="E3263" s="499">
        <v>11400</v>
      </c>
      <c r="F3263" s="263"/>
      <c r="G3263" s="275"/>
    </row>
    <row r="3264" spans="1:7" ht="17.45" customHeight="1">
      <c r="A3264" s="261" t="s">
        <v>8</v>
      </c>
      <c r="C3264" s="271" t="s">
        <v>1693</v>
      </c>
      <c r="D3264" s="497"/>
      <c r="E3264" s="499">
        <f>15700+8000+7200</f>
        <v>30900</v>
      </c>
      <c r="F3264" s="263"/>
      <c r="G3264" s="275"/>
    </row>
    <row r="3265" spans="1:7" ht="17.45" customHeight="1">
      <c r="A3265" s="261" t="s">
        <v>8</v>
      </c>
      <c r="C3265" s="271" t="s">
        <v>2971</v>
      </c>
      <c r="D3265" s="497"/>
      <c r="E3265" s="499">
        <v>52200</v>
      </c>
      <c r="F3265" s="263"/>
      <c r="G3265" s="275"/>
    </row>
    <row r="3266" spans="1:7" ht="17.45" customHeight="1">
      <c r="A3266" s="261" t="s">
        <v>8</v>
      </c>
      <c r="C3266" s="271" t="s">
        <v>2979</v>
      </c>
      <c r="D3266" s="497"/>
      <c r="E3266" s="499">
        <v>45400</v>
      </c>
      <c r="F3266" s="263"/>
      <c r="G3266" s="275"/>
    </row>
    <row r="3267" spans="1:7" ht="17.45" customHeight="1">
      <c r="A3267" s="261" t="s">
        <v>8</v>
      </c>
      <c r="C3267" s="271" t="s">
        <v>2089</v>
      </c>
      <c r="D3267" s="497"/>
      <c r="E3267" s="499">
        <v>16000</v>
      </c>
      <c r="F3267" s="263"/>
      <c r="G3267" s="275"/>
    </row>
    <row r="3268" spans="1:7" ht="17.45" customHeight="1">
      <c r="A3268" s="261" t="s">
        <v>8</v>
      </c>
      <c r="C3268" s="271" t="s">
        <v>3357</v>
      </c>
      <c r="D3268" s="497"/>
      <c r="E3268" s="499">
        <v>3000</v>
      </c>
      <c r="F3268" s="263"/>
      <c r="G3268" s="275" t="s">
        <v>3335</v>
      </c>
    </row>
    <row r="3269" spans="1:7" ht="17.45" customHeight="1">
      <c r="A3269" s="261" t="s">
        <v>8</v>
      </c>
      <c r="C3269" s="271" t="s">
        <v>3358</v>
      </c>
      <c r="D3269" s="497"/>
      <c r="E3269" s="499">
        <v>45600</v>
      </c>
      <c r="F3269" s="263"/>
      <c r="G3269" s="275"/>
    </row>
    <row r="3270" spans="1:7" ht="17.45" customHeight="1">
      <c r="A3270" s="261" t="s">
        <v>8</v>
      </c>
      <c r="C3270" s="271" t="s">
        <v>3359</v>
      </c>
      <c r="D3270" s="497"/>
      <c r="E3270" s="499">
        <v>45600</v>
      </c>
      <c r="F3270" s="263"/>
      <c r="G3270" s="275"/>
    </row>
    <row r="3271" spans="1:7" ht="17.45" customHeight="1">
      <c r="A3271" s="261" t="s">
        <v>8</v>
      </c>
      <c r="C3271" s="271" t="s">
        <v>3360</v>
      </c>
      <c r="D3271" s="497"/>
      <c r="E3271" s="499">
        <v>50000</v>
      </c>
      <c r="F3271" s="263"/>
      <c r="G3271" s="275" t="s">
        <v>3361</v>
      </c>
    </row>
    <row r="3272" spans="1:7" ht="17.45" customHeight="1">
      <c r="A3272" s="261" t="s">
        <v>8</v>
      </c>
      <c r="C3272" s="271" t="s">
        <v>3362</v>
      </c>
      <c r="D3272" s="497"/>
      <c r="E3272" s="499">
        <v>236920</v>
      </c>
      <c r="F3272" s="263"/>
      <c r="G3272" s="275" t="s">
        <v>1620</v>
      </c>
    </row>
    <row r="3273" spans="1:7" ht="17.45" customHeight="1">
      <c r="A3273" s="261" t="s">
        <v>8</v>
      </c>
      <c r="C3273" s="271" t="s">
        <v>3363</v>
      </c>
      <c r="D3273" s="497"/>
      <c r="E3273" s="499">
        <v>200000</v>
      </c>
      <c r="F3273" s="263"/>
      <c r="G3273" s="275"/>
    </row>
    <row r="3274" spans="1:7" ht="17.45" customHeight="1">
      <c r="A3274" s="261" t="s">
        <v>8</v>
      </c>
      <c r="C3274" s="271" t="s">
        <v>3299</v>
      </c>
      <c r="D3274" s="497"/>
      <c r="E3274" s="499">
        <v>47000</v>
      </c>
      <c r="F3274" s="263"/>
      <c r="G3274" s="275"/>
    </row>
    <row r="3275" spans="1:7" ht="17.45" customHeight="1">
      <c r="A3275" s="261" t="s">
        <v>8</v>
      </c>
      <c r="C3275" s="271" t="s">
        <v>3364</v>
      </c>
      <c r="D3275" s="497"/>
      <c r="E3275" s="499">
        <f>2978+13509</f>
        <v>16487</v>
      </c>
      <c r="F3275" s="263"/>
      <c r="G3275" s="275" t="s">
        <v>3335</v>
      </c>
    </row>
    <row r="3276" spans="1:7" ht="17.45" customHeight="1">
      <c r="A3276" s="261" t="s">
        <v>8</v>
      </c>
      <c r="C3276" s="271" t="s">
        <v>3365</v>
      </c>
      <c r="D3276" s="497"/>
      <c r="E3276" s="499">
        <v>129200</v>
      </c>
      <c r="F3276" s="263"/>
      <c r="G3276" s="275"/>
    </row>
    <row r="3277" spans="1:7" ht="17.45" customHeight="1">
      <c r="A3277" s="261" t="s">
        <v>8</v>
      </c>
      <c r="C3277" s="271" t="s">
        <v>3366</v>
      </c>
      <c r="D3277" s="497"/>
      <c r="E3277" s="499">
        <v>10000</v>
      </c>
      <c r="F3277" s="263"/>
      <c r="G3277" s="275"/>
    </row>
    <row r="3278" spans="1:7" ht="17.45" customHeight="1">
      <c r="A3278" s="261" t="s">
        <v>8</v>
      </c>
      <c r="C3278" s="271" t="s">
        <v>3368</v>
      </c>
      <c r="D3278" s="497"/>
      <c r="E3278" s="499">
        <v>17600</v>
      </c>
      <c r="F3278" s="263"/>
      <c r="G3278" s="275"/>
    </row>
    <row r="3279" spans="1:7" ht="17.45" customHeight="1">
      <c r="A3279" s="261" t="s">
        <v>8</v>
      </c>
      <c r="C3279" s="271" t="s">
        <v>3369</v>
      </c>
      <c r="D3279" s="497"/>
      <c r="E3279" s="499">
        <v>-2800</v>
      </c>
      <c r="F3279" s="263"/>
      <c r="G3279" s="275"/>
    </row>
    <row r="3280" spans="1:7" ht="17.45" customHeight="1">
      <c r="A3280" s="261" t="s">
        <v>8</v>
      </c>
      <c r="C3280" s="271" t="s">
        <v>3370</v>
      </c>
      <c r="D3280" s="497"/>
      <c r="E3280" s="499">
        <v>27000</v>
      </c>
      <c r="F3280" s="263"/>
      <c r="G3280" s="275"/>
    </row>
    <row r="3281" spans="1:7" ht="17.45" customHeight="1">
      <c r="A3281" s="261" t="s">
        <v>8</v>
      </c>
      <c r="C3281" s="271" t="s">
        <v>3371</v>
      </c>
      <c r="D3281" s="497"/>
      <c r="E3281" s="499">
        <v>17000</v>
      </c>
      <c r="F3281" s="263"/>
      <c r="G3281" s="275"/>
    </row>
    <row r="3282" spans="1:7" ht="17.45" customHeight="1" thickBot="1">
      <c r="A3282" s="261" t="s">
        <v>8</v>
      </c>
      <c r="C3282" s="276" t="s">
        <v>1300</v>
      </c>
      <c r="D3282" s="502">
        <f>SUM(D3201:D3281)-SUM(E3201:E3281)</f>
        <v>1732832</v>
      </c>
      <c r="E3282" s="502">
        <f>SUM(E3201:E3281)-SUM(F3201:F3281)</f>
        <v>5792333</v>
      </c>
      <c r="F3282" s="277"/>
      <c r="G3282" s="283"/>
    </row>
    <row r="3284" spans="1:7" ht="12.75" thickBot="1"/>
    <row r="3285" spans="1:7" ht="17.45" customHeight="1">
      <c r="A3285" s="261" t="s">
        <v>8</v>
      </c>
      <c r="B3285" s="256" t="s">
        <v>3372</v>
      </c>
      <c r="C3285" s="268" t="s">
        <v>1268</v>
      </c>
      <c r="D3285" s="500">
        <v>6544037</v>
      </c>
      <c r="E3285" s="501"/>
      <c r="F3285" s="269"/>
      <c r="G3285" s="270"/>
    </row>
    <row r="3286" spans="1:7" ht="17.45" customHeight="1">
      <c r="A3286" s="261" t="s">
        <v>8</v>
      </c>
      <c r="B3286" s="257"/>
      <c r="C3286" s="271" t="s">
        <v>2722</v>
      </c>
      <c r="D3286" s="497"/>
      <c r="E3286" s="497"/>
      <c r="F3286" s="263"/>
      <c r="G3286" s="272"/>
    </row>
    <row r="3287" spans="1:7" ht="17.45" customHeight="1">
      <c r="A3287" s="261" t="s">
        <v>8</v>
      </c>
      <c r="B3287" s="257"/>
      <c r="C3287" s="271" t="s">
        <v>3047</v>
      </c>
      <c r="D3287" s="497"/>
      <c r="E3287" s="497"/>
      <c r="F3287" s="263"/>
      <c r="G3287" s="272"/>
    </row>
    <row r="3288" spans="1:7" ht="17.45" customHeight="1">
      <c r="A3288" s="261" t="s">
        <v>8</v>
      </c>
      <c r="B3288" s="257"/>
      <c r="C3288" s="271" t="s">
        <v>1269</v>
      </c>
      <c r="D3288" s="497"/>
      <c r="E3288" s="499">
        <v>394000</v>
      </c>
      <c r="F3288" s="263"/>
      <c r="G3288" s="272" t="s">
        <v>3331</v>
      </c>
    </row>
    <row r="3289" spans="1:7" ht="17.45" customHeight="1">
      <c r="A3289" s="261" t="s">
        <v>8</v>
      </c>
      <c r="C3289" s="271" t="s">
        <v>1270</v>
      </c>
      <c r="D3289" s="497"/>
      <c r="E3289" s="499">
        <v>850000</v>
      </c>
      <c r="F3289" s="263"/>
      <c r="G3289" s="273" t="s">
        <v>2740</v>
      </c>
    </row>
    <row r="3290" spans="1:7" ht="17.45" customHeight="1">
      <c r="A3290" s="261" t="s">
        <v>8</v>
      </c>
      <c r="C3290" s="271" t="s">
        <v>1670</v>
      </c>
      <c r="D3290" s="497"/>
      <c r="E3290" s="497"/>
      <c r="F3290" s="263"/>
      <c r="G3290" s="274"/>
    </row>
    <row r="3291" spans="1:7" ht="17.45" customHeight="1">
      <c r="A3291" s="261" t="s">
        <v>8</v>
      </c>
      <c r="C3291" s="271" t="s">
        <v>1672</v>
      </c>
      <c r="D3291" s="497"/>
      <c r="E3291" s="499">
        <v>69998</v>
      </c>
      <c r="F3291" s="263"/>
      <c r="G3291" s="273" t="s">
        <v>2732</v>
      </c>
    </row>
    <row r="3292" spans="1:7" ht="17.45" customHeight="1">
      <c r="A3292" s="261" t="s">
        <v>8</v>
      </c>
      <c r="C3292" s="271" t="s">
        <v>1673</v>
      </c>
      <c r="D3292" s="497"/>
      <c r="E3292" s="497"/>
      <c r="F3292" s="263"/>
      <c r="G3292" s="274"/>
    </row>
    <row r="3293" spans="1:7" ht="17.45" customHeight="1">
      <c r="A3293" s="261" t="s">
        <v>8</v>
      </c>
      <c r="C3293" s="271" t="s">
        <v>1332</v>
      </c>
      <c r="D3293" s="497"/>
      <c r="E3293" s="499">
        <v>34650</v>
      </c>
      <c r="F3293" s="263"/>
      <c r="G3293" s="275"/>
    </row>
    <row r="3294" spans="1:7" ht="17.45" customHeight="1">
      <c r="A3294" s="261" t="s">
        <v>8</v>
      </c>
      <c r="C3294" s="271" t="s">
        <v>1271</v>
      </c>
      <c r="D3294" s="497"/>
      <c r="E3294" s="497"/>
      <c r="F3294" s="263"/>
      <c r="G3294" s="274"/>
    </row>
    <row r="3295" spans="1:7" ht="17.45" customHeight="1">
      <c r="A3295" s="261" t="s">
        <v>8</v>
      </c>
      <c r="C3295" s="271" t="s">
        <v>1272</v>
      </c>
      <c r="D3295" s="497"/>
      <c r="E3295" s="497"/>
      <c r="F3295" s="263"/>
      <c r="G3295" s="273"/>
    </row>
    <row r="3296" spans="1:7" ht="17.45" customHeight="1">
      <c r="A3296" s="261" t="s">
        <v>8</v>
      </c>
      <c r="C3296" s="271" t="s">
        <v>3009</v>
      </c>
      <c r="D3296" s="497"/>
      <c r="E3296" s="499">
        <v>20763</v>
      </c>
      <c r="F3296" s="263"/>
      <c r="G3296" s="273" t="s">
        <v>2732</v>
      </c>
    </row>
    <row r="3297" spans="1:7" ht="17.45" customHeight="1">
      <c r="A3297" s="261" t="s">
        <v>8</v>
      </c>
      <c r="C3297" s="271" t="s">
        <v>3010</v>
      </c>
      <c r="D3297" s="497"/>
      <c r="E3297" s="499">
        <v>900</v>
      </c>
      <c r="F3297" s="263"/>
      <c r="G3297" s="273"/>
    </row>
    <row r="3298" spans="1:7" ht="17.45" customHeight="1">
      <c r="A3298" s="261" t="s">
        <v>8</v>
      </c>
      <c r="C3298" s="271" t="s">
        <v>1273</v>
      </c>
      <c r="D3298" s="497"/>
      <c r="E3298" s="499">
        <v>29920</v>
      </c>
      <c r="F3298" s="263"/>
      <c r="G3298" s="273" t="s">
        <v>2732</v>
      </c>
    </row>
    <row r="3299" spans="1:7" ht="17.45" customHeight="1">
      <c r="A3299" s="261" t="s">
        <v>8</v>
      </c>
      <c r="C3299" s="271" t="s">
        <v>1274</v>
      </c>
      <c r="D3299" s="497"/>
      <c r="E3299" s="499">
        <v>3757</v>
      </c>
      <c r="F3299" s="263"/>
      <c r="G3299" s="273"/>
    </row>
    <row r="3300" spans="1:7" ht="17.45" customHeight="1">
      <c r="A3300" s="261" t="s">
        <v>8</v>
      </c>
      <c r="C3300" s="271" t="s">
        <v>2168</v>
      </c>
      <c r="D3300" s="497"/>
      <c r="E3300" s="499">
        <v>18816</v>
      </c>
      <c r="F3300" s="263"/>
      <c r="G3300" s="273" t="s">
        <v>2732</v>
      </c>
    </row>
    <row r="3301" spans="1:7" ht="17.45" customHeight="1">
      <c r="A3301" s="261" t="s">
        <v>8</v>
      </c>
      <c r="C3301" s="271" t="s">
        <v>1517</v>
      </c>
      <c r="D3301" s="497"/>
      <c r="E3301" s="499">
        <v>23230</v>
      </c>
      <c r="F3301" s="263"/>
      <c r="G3301" s="273" t="s">
        <v>2732</v>
      </c>
    </row>
    <row r="3302" spans="1:7" ht="17.45" customHeight="1">
      <c r="A3302" s="261" t="s">
        <v>8</v>
      </c>
      <c r="C3302" s="271" t="s">
        <v>1276</v>
      </c>
      <c r="D3302" s="497"/>
      <c r="E3302" s="499">
        <v>441650</v>
      </c>
      <c r="F3302" s="263"/>
      <c r="G3302" s="273" t="s">
        <v>2732</v>
      </c>
    </row>
    <row r="3303" spans="1:7" ht="17.45" customHeight="1">
      <c r="A3303" s="261" t="s">
        <v>8</v>
      </c>
      <c r="C3303" s="271" t="s">
        <v>1277</v>
      </c>
      <c r="D3303" s="497"/>
      <c r="E3303" s="499">
        <v>25182</v>
      </c>
      <c r="F3303" s="263"/>
      <c r="G3303" s="273" t="s">
        <v>2732</v>
      </c>
    </row>
    <row r="3304" spans="1:7" ht="17.45" customHeight="1">
      <c r="A3304" s="261" t="s">
        <v>8</v>
      </c>
      <c r="C3304" s="271" t="s">
        <v>1278</v>
      </c>
      <c r="D3304" s="497"/>
      <c r="E3304" s="499">
        <v>200000</v>
      </c>
      <c r="F3304" s="263"/>
      <c r="G3304" s="273"/>
    </row>
    <row r="3305" spans="1:7" ht="17.45" customHeight="1">
      <c r="A3305" s="261" t="s">
        <v>8</v>
      </c>
      <c r="C3305" s="285" t="s">
        <v>1413</v>
      </c>
      <c r="D3305" s="506"/>
      <c r="E3305" s="507">
        <f>1500000</f>
        <v>1500000</v>
      </c>
      <c r="F3305" s="286"/>
      <c r="G3305" s="287"/>
    </row>
    <row r="3306" spans="1:7" ht="17.25" customHeight="1">
      <c r="A3306" s="261" t="s">
        <v>8</v>
      </c>
      <c r="C3306" s="338" t="s">
        <v>2661</v>
      </c>
      <c r="D3306" s="497"/>
      <c r="E3306" s="497"/>
      <c r="F3306" s="263"/>
      <c r="G3306" s="275"/>
    </row>
    <row r="3307" spans="1:7" ht="17.45" customHeight="1">
      <c r="A3307" s="261" t="s">
        <v>8</v>
      </c>
      <c r="C3307" s="339" t="s">
        <v>3248</v>
      </c>
      <c r="D3307" s="506"/>
      <c r="E3307" s="507">
        <f>5000000+1000000</f>
        <v>6000000</v>
      </c>
      <c r="F3307" s="286"/>
      <c r="G3307" s="290"/>
    </row>
    <row r="3308" spans="1:7" ht="17.45" customHeight="1">
      <c r="A3308" s="261" t="s">
        <v>8</v>
      </c>
      <c r="C3308" s="339" t="s">
        <v>2647</v>
      </c>
      <c r="D3308" s="506"/>
      <c r="E3308" s="506"/>
      <c r="F3308" s="286"/>
      <c r="G3308" s="290"/>
    </row>
    <row r="3309" spans="1:7" ht="17.45" customHeight="1" thickBot="1">
      <c r="A3309" s="261" t="s">
        <v>8</v>
      </c>
      <c r="C3309" s="285" t="s">
        <v>1942</v>
      </c>
      <c r="D3309" s="506"/>
      <c r="E3309" s="507">
        <v>20000</v>
      </c>
      <c r="F3309" s="286"/>
      <c r="G3309" s="290"/>
    </row>
    <row r="3310" spans="1:7" ht="17.45" customHeight="1">
      <c r="A3310" s="261" t="s">
        <v>8</v>
      </c>
      <c r="C3310" s="268" t="s">
        <v>1280</v>
      </c>
      <c r="D3310" s="501"/>
      <c r="E3310" s="500">
        <f>50000+50000</f>
        <v>100000</v>
      </c>
      <c r="F3310" s="269"/>
      <c r="G3310" s="288"/>
    </row>
    <row r="3311" spans="1:7" ht="17.45" customHeight="1">
      <c r="A3311" s="261" t="s">
        <v>8</v>
      </c>
      <c r="C3311" s="271" t="s">
        <v>1549</v>
      </c>
      <c r="D3311" s="497"/>
      <c r="E3311" s="497"/>
      <c r="F3311" s="263"/>
      <c r="G3311" s="275"/>
    </row>
    <row r="3312" spans="1:7" ht="17.45" customHeight="1">
      <c r="A3312" s="261" t="s">
        <v>8</v>
      </c>
      <c r="C3312" s="271" t="s">
        <v>1819</v>
      </c>
      <c r="D3312" s="497"/>
      <c r="E3312" s="497"/>
      <c r="F3312" s="263"/>
      <c r="G3312" s="275"/>
    </row>
    <row r="3313" spans="1:7" ht="17.45" customHeight="1">
      <c r="A3313" s="261" t="s">
        <v>8</v>
      </c>
      <c r="C3313" s="271" t="s">
        <v>391</v>
      </c>
      <c r="D3313" s="497"/>
      <c r="E3313" s="497"/>
      <c r="F3313" s="263"/>
      <c r="G3313" s="275"/>
    </row>
    <row r="3314" spans="1:7" ht="17.45" customHeight="1">
      <c r="A3314" s="261" t="s">
        <v>8</v>
      </c>
      <c r="C3314" s="271" t="s">
        <v>1934</v>
      </c>
      <c r="D3314" s="497"/>
      <c r="E3314" s="497"/>
      <c r="F3314" s="263"/>
      <c r="G3314" s="275"/>
    </row>
    <row r="3315" spans="1:7" ht="17.25" customHeight="1">
      <c r="A3315" s="261" t="s">
        <v>8</v>
      </c>
      <c r="C3315" s="271" t="s">
        <v>2202</v>
      </c>
      <c r="D3315" s="497"/>
      <c r="E3315" s="497"/>
      <c r="F3315" s="263"/>
      <c r="G3315" s="275"/>
    </row>
    <row r="3316" spans="1:7" ht="17.45" customHeight="1">
      <c r="A3316" s="261" t="s">
        <v>8</v>
      </c>
      <c r="C3316" s="271" t="s">
        <v>2654</v>
      </c>
      <c r="D3316" s="497"/>
      <c r="E3316" s="497"/>
      <c r="F3316" s="263"/>
      <c r="G3316" s="275"/>
    </row>
    <row r="3317" spans="1:7" ht="17.45" customHeight="1">
      <c r="A3317" s="261" t="s">
        <v>8</v>
      </c>
      <c r="C3317" s="271" t="s">
        <v>2097</v>
      </c>
      <c r="D3317" s="497"/>
      <c r="E3317" s="497"/>
      <c r="F3317" s="263"/>
      <c r="G3317" s="275"/>
    </row>
    <row r="3318" spans="1:7" ht="17.45" customHeight="1">
      <c r="A3318" s="261" t="s">
        <v>8</v>
      </c>
      <c r="C3318" s="271" t="s">
        <v>1687</v>
      </c>
      <c r="D3318" s="497"/>
      <c r="E3318" s="497"/>
      <c r="F3318" s="263"/>
      <c r="G3318" s="275"/>
    </row>
    <row r="3319" spans="1:7" ht="17.45" customHeight="1">
      <c r="A3319" s="261" t="s">
        <v>8</v>
      </c>
      <c r="C3319" s="271" t="s">
        <v>1688</v>
      </c>
      <c r="D3319" s="497"/>
      <c r="E3319" s="499">
        <v>55000</v>
      </c>
      <c r="F3319" s="263"/>
      <c r="G3319" s="275"/>
    </row>
    <row r="3320" spans="1:7" ht="17.45" customHeight="1">
      <c r="A3320" s="261" t="s">
        <v>8</v>
      </c>
      <c r="C3320" s="271" t="s">
        <v>1602</v>
      </c>
      <c r="D3320" s="497"/>
      <c r="E3320" s="497"/>
      <c r="F3320" s="263"/>
      <c r="G3320" s="275"/>
    </row>
    <row r="3321" spans="1:7" ht="17.45" customHeight="1">
      <c r="A3321" s="261" t="s">
        <v>8</v>
      </c>
      <c r="C3321" s="271" t="s">
        <v>1596</v>
      </c>
      <c r="D3321" s="497"/>
      <c r="E3321" s="499">
        <v>1000</v>
      </c>
      <c r="F3321" s="263"/>
      <c r="G3321" s="275"/>
    </row>
    <row r="3322" spans="1:7" ht="17.45" customHeight="1">
      <c r="A3322" s="261" t="s">
        <v>8</v>
      </c>
      <c r="C3322" s="271" t="s">
        <v>1595</v>
      </c>
      <c r="D3322" s="497"/>
      <c r="E3322" s="499">
        <v>2500</v>
      </c>
      <c r="F3322" s="263"/>
      <c r="G3322" s="275"/>
    </row>
    <row r="3323" spans="1:7" ht="17.45" customHeight="1">
      <c r="A3323" s="261" t="s">
        <v>8</v>
      </c>
      <c r="C3323" s="271" t="s">
        <v>2822</v>
      </c>
      <c r="D3323" s="497"/>
      <c r="E3323" s="499">
        <v>4700</v>
      </c>
      <c r="F3323" s="263"/>
      <c r="G3323" s="275"/>
    </row>
    <row r="3324" spans="1:7" ht="17.45" customHeight="1">
      <c r="A3324" s="261" t="s">
        <v>8</v>
      </c>
      <c r="C3324" s="271" t="s">
        <v>2821</v>
      </c>
      <c r="D3324" s="497"/>
      <c r="E3324" s="499">
        <v>900</v>
      </c>
      <c r="F3324" s="263"/>
      <c r="G3324" s="273" t="s">
        <v>3373</v>
      </c>
    </row>
    <row r="3325" spans="1:7" ht="17.45" customHeight="1">
      <c r="A3325" s="261" t="s">
        <v>8</v>
      </c>
      <c r="C3325" s="271" t="s">
        <v>1689</v>
      </c>
      <c r="D3325" s="497"/>
      <c r="E3325" s="497"/>
      <c r="F3325" s="263"/>
      <c r="G3325" s="275"/>
    </row>
    <row r="3326" spans="1:7" ht="17.45" customHeight="1">
      <c r="A3326" s="261" t="s">
        <v>8</v>
      </c>
      <c r="C3326" s="271" t="s">
        <v>1569</v>
      </c>
      <c r="D3326" s="497"/>
      <c r="E3326" s="497"/>
      <c r="F3326" s="263"/>
      <c r="G3326" s="275"/>
    </row>
    <row r="3327" spans="1:7" ht="17.45" customHeight="1">
      <c r="A3327" s="261" t="s">
        <v>8</v>
      </c>
      <c r="C3327" s="271" t="s">
        <v>1618</v>
      </c>
      <c r="D3327" s="497"/>
      <c r="E3327" s="499">
        <f>81650+5580+35340+5580</f>
        <v>128150</v>
      </c>
      <c r="F3327" s="263"/>
      <c r="G3327" s="275"/>
    </row>
    <row r="3328" spans="1:7" ht="17.45" customHeight="1">
      <c r="A3328" s="261" t="s">
        <v>8</v>
      </c>
      <c r="C3328" s="271" t="s">
        <v>2810</v>
      </c>
      <c r="D3328" s="497"/>
      <c r="E3328" s="499">
        <v>38000</v>
      </c>
      <c r="F3328" s="263"/>
      <c r="G3328" s="275"/>
    </row>
    <row r="3329" spans="1:7" ht="17.45" customHeight="1" thickBot="1">
      <c r="A3329" s="261" t="s">
        <v>8</v>
      </c>
      <c r="C3329" s="276" t="s">
        <v>2699</v>
      </c>
      <c r="D3329" s="502"/>
      <c r="E3329" s="503">
        <f>12900+40200+25600</f>
        <v>78700</v>
      </c>
      <c r="F3329" s="277"/>
      <c r="G3329" s="282"/>
    </row>
    <row r="3330" spans="1:7" ht="17.45" customHeight="1">
      <c r="A3330" s="261" t="s">
        <v>8</v>
      </c>
      <c r="C3330" s="279" t="s">
        <v>3374</v>
      </c>
      <c r="D3330" s="504"/>
      <c r="E3330" s="505">
        <v>31000</v>
      </c>
      <c r="F3330" s="280"/>
      <c r="G3330" s="281"/>
    </row>
    <row r="3331" spans="1:7" ht="17.45" customHeight="1">
      <c r="A3331" s="261" t="s">
        <v>8</v>
      </c>
      <c r="C3331" s="284" t="s">
        <v>3375</v>
      </c>
      <c r="D3331" s="497"/>
      <c r="E3331" s="499">
        <v>4500</v>
      </c>
      <c r="F3331" s="263"/>
      <c r="G3331" s="275"/>
    </row>
    <row r="3332" spans="1:7" ht="17.45" customHeight="1">
      <c r="A3332" s="261" t="s">
        <v>8</v>
      </c>
      <c r="C3332" s="271" t="s">
        <v>3376</v>
      </c>
      <c r="D3332" s="497"/>
      <c r="E3332" s="499">
        <v>29400</v>
      </c>
      <c r="F3332" s="263"/>
      <c r="G3332" s="275"/>
    </row>
    <row r="3333" spans="1:7" ht="17.45" customHeight="1">
      <c r="A3333" s="261" t="s">
        <v>8</v>
      </c>
      <c r="C3333" s="271" t="s">
        <v>3364</v>
      </c>
      <c r="D3333" s="497"/>
      <c r="E3333" s="499">
        <v>42657</v>
      </c>
      <c r="F3333" s="263"/>
      <c r="G3333" s="275" t="s">
        <v>3335</v>
      </c>
    </row>
    <row r="3334" spans="1:7" ht="17.45" customHeight="1">
      <c r="A3334" s="261" t="s">
        <v>8</v>
      </c>
      <c r="C3334" s="271" t="s">
        <v>3377</v>
      </c>
      <c r="D3334" s="497"/>
      <c r="E3334" s="499">
        <f>9900+9900+9800</f>
        <v>29600</v>
      </c>
      <c r="F3334" s="263"/>
      <c r="G3334" s="275"/>
    </row>
    <row r="3335" spans="1:7" ht="17.45" customHeight="1">
      <c r="A3335" s="261" t="s">
        <v>8</v>
      </c>
      <c r="C3335" s="271" t="s">
        <v>3378</v>
      </c>
      <c r="D3335" s="497"/>
      <c r="E3335" s="499">
        <v>11100</v>
      </c>
      <c r="F3335" s="263"/>
      <c r="G3335" s="275"/>
    </row>
    <row r="3336" spans="1:7" ht="17.45" customHeight="1">
      <c r="A3336" s="261" t="s">
        <v>8</v>
      </c>
      <c r="C3336" s="271" t="s">
        <v>3379</v>
      </c>
      <c r="D3336" s="497"/>
      <c r="E3336" s="499">
        <v>3500</v>
      </c>
      <c r="F3336" s="263"/>
      <c r="G3336" s="275"/>
    </row>
    <row r="3337" spans="1:7" ht="17.45" customHeight="1">
      <c r="A3337" s="261" t="s">
        <v>8</v>
      </c>
      <c r="C3337" s="271" t="s">
        <v>3380</v>
      </c>
      <c r="D3337" s="497"/>
      <c r="E3337" s="499">
        <f>11000</f>
        <v>11000</v>
      </c>
      <c r="F3337" s="263"/>
      <c r="G3337" s="275"/>
    </row>
    <row r="3338" spans="1:7" ht="17.45" customHeight="1">
      <c r="A3338" s="261" t="s">
        <v>8</v>
      </c>
      <c r="C3338" s="271" t="s">
        <v>3381</v>
      </c>
      <c r="D3338" s="497"/>
      <c r="E3338" s="499">
        <f>3100</f>
        <v>3100</v>
      </c>
      <c r="F3338" s="263"/>
      <c r="G3338" s="275"/>
    </row>
    <row r="3339" spans="1:7" ht="17.45" customHeight="1">
      <c r="A3339" s="261" t="s">
        <v>8</v>
      </c>
      <c r="C3339" s="284" t="s">
        <v>3382</v>
      </c>
      <c r="D3339" s="497"/>
      <c r="E3339" s="499">
        <v>4500</v>
      </c>
      <c r="F3339" s="263"/>
      <c r="G3339" s="275"/>
    </row>
    <row r="3340" spans="1:7" ht="17.45" customHeight="1">
      <c r="A3340" s="261" t="s">
        <v>8</v>
      </c>
      <c r="C3340" s="271" t="s">
        <v>3383</v>
      </c>
      <c r="D3340" s="497"/>
      <c r="E3340" s="499">
        <v>197400</v>
      </c>
      <c r="F3340" s="263"/>
      <c r="G3340" s="275" t="s">
        <v>3384</v>
      </c>
    </row>
    <row r="3341" spans="1:7" ht="17.45" customHeight="1">
      <c r="A3341" s="261" t="s">
        <v>8</v>
      </c>
      <c r="C3341" s="271" t="s">
        <v>3385</v>
      </c>
      <c r="D3341" s="497"/>
      <c r="E3341" s="499">
        <v>10000</v>
      </c>
      <c r="F3341" s="263"/>
      <c r="G3341" s="275"/>
    </row>
    <row r="3342" spans="1:7" ht="17.45" customHeight="1">
      <c r="A3342" s="261" t="s">
        <v>8</v>
      </c>
      <c r="C3342" s="271" t="s">
        <v>3386</v>
      </c>
      <c r="D3342" s="497"/>
      <c r="E3342" s="499">
        <v>34700</v>
      </c>
      <c r="F3342" s="263"/>
      <c r="G3342" s="275"/>
    </row>
    <row r="3343" spans="1:7" ht="17.45" customHeight="1">
      <c r="A3343" s="261" t="s">
        <v>8</v>
      </c>
      <c r="C3343" s="284" t="s">
        <v>3387</v>
      </c>
      <c r="D3343" s="497"/>
      <c r="E3343" s="499">
        <f>12800+2600+2200+1800</f>
        <v>19400</v>
      </c>
      <c r="F3343" s="263"/>
      <c r="G3343" s="275"/>
    </row>
    <row r="3344" spans="1:7" ht="17.45" customHeight="1">
      <c r="A3344" s="261" t="s">
        <v>8</v>
      </c>
      <c r="C3344" s="271" t="s">
        <v>3389</v>
      </c>
      <c r="D3344" s="497"/>
      <c r="E3344" s="499">
        <f>72510-4700</f>
        <v>67810</v>
      </c>
      <c r="F3344" s="263"/>
      <c r="G3344" s="275" t="s">
        <v>3384</v>
      </c>
    </row>
    <row r="3345" spans="1:7" ht="17.45" customHeight="1">
      <c r="A3345" s="261" t="s">
        <v>8</v>
      </c>
      <c r="C3345" s="271" t="s">
        <v>3388</v>
      </c>
      <c r="D3345" s="497"/>
      <c r="E3345" s="499">
        <v>84800</v>
      </c>
      <c r="F3345" s="263"/>
      <c r="G3345" s="275" t="s">
        <v>3384</v>
      </c>
    </row>
    <row r="3346" spans="1:7" ht="17.45" customHeight="1">
      <c r="A3346" s="261" t="s">
        <v>8</v>
      </c>
      <c r="C3346" s="271" t="s">
        <v>3390</v>
      </c>
      <c r="D3346" s="497"/>
      <c r="E3346" s="499">
        <f>421400-348400</f>
        <v>73000</v>
      </c>
      <c r="F3346" s="263"/>
      <c r="G3346" s="275" t="s">
        <v>3384</v>
      </c>
    </row>
    <row r="3347" spans="1:7" ht="17.45" customHeight="1">
      <c r="A3347" s="261" t="s">
        <v>8</v>
      </c>
      <c r="C3347" s="271" t="s">
        <v>3391</v>
      </c>
      <c r="D3347" s="497"/>
      <c r="E3347" s="499">
        <v>348400</v>
      </c>
      <c r="F3347" s="263"/>
      <c r="G3347" s="275" t="s">
        <v>3384</v>
      </c>
    </row>
    <row r="3348" spans="1:7" ht="17.45" customHeight="1">
      <c r="A3348" s="261" t="s">
        <v>8</v>
      </c>
      <c r="C3348" s="271" t="s">
        <v>3392</v>
      </c>
      <c r="D3348" s="497"/>
      <c r="E3348" s="499">
        <v>19000</v>
      </c>
      <c r="F3348" s="263"/>
      <c r="G3348" s="275"/>
    </row>
    <row r="3349" spans="1:7" ht="17.45" customHeight="1">
      <c r="A3349" s="261" t="s">
        <v>8</v>
      </c>
      <c r="C3349" s="271" t="s">
        <v>3393</v>
      </c>
      <c r="D3349" s="497"/>
      <c r="E3349" s="499">
        <v>31000</v>
      </c>
      <c r="F3349" s="263"/>
      <c r="G3349" s="275"/>
    </row>
    <row r="3350" spans="1:7" ht="17.45" customHeight="1">
      <c r="A3350" s="261" t="s">
        <v>8</v>
      </c>
      <c r="C3350" s="271" t="s">
        <v>3394</v>
      </c>
      <c r="D3350" s="497"/>
      <c r="E3350" s="499">
        <v>3900</v>
      </c>
      <c r="F3350" s="263"/>
      <c r="G3350" s="275"/>
    </row>
    <row r="3351" spans="1:7" ht="17.45" customHeight="1">
      <c r="A3351" s="261" t="s">
        <v>8</v>
      </c>
      <c r="C3351" s="271" t="s">
        <v>3395</v>
      </c>
      <c r="D3351" s="497"/>
      <c r="E3351" s="499">
        <v>11800</v>
      </c>
      <c r="F3351" s="263"/>
      <c r="G3351" s="275"/>
    </row>
    <row r="3352" spans="1:7" ht="17.45" customHeight="1">
      <c r="A3352" s="261" t="s">
        <v>8</v>
      </c>
      <c r="C3352" s="271" t="s">
        <v>3396</v>
      </c>
      <c r="D3352" s="497"/>
      <c r="E3352" s="499">
        <v>49000</v>
      </c>
      <c r="F3352" s="263"/>
      <c r="G3352" s="275"/>
    </row>
    <row r="3353" spans="1:7" ht="17.45" customHeight="1">
      <c r="A3353" s="261" t="s">
        <v>8</v>
      </c>
      <c r="C3353" s="271" t="s">
        <v>3397</v>
      </c>
      <c r="D3353" s="497"/>
      <c r="E3353" s="499">
        <v>687280</v>
      </c>
      <c r="F3353" s="263"/>
      <c r="G3353" s="275"/>
    </row>
    <row r="3354" spans="1:7" ht="17.45" customHeight="1">
      <c r="A3354" s="261" t="s">
        <v>8</v>
      </c>
      <c r="C3354" s="271" t="s">
        <v>3398</v>
      </c>
      <c r="D3354" s="497"/>
      <c r="E3354" s="499">
        <v>251780</v>
      </c>
      <c r="F3354" s="263"/>
      <c r="G3354" s="275"/>
    </row>
    <row r="3355" spans="1:7" ht="17.45" customHeight="1">
      <c r="A3355" s="261" t="s">
        <v>8</v>
      </c>
      <c r="C3355" s="271" t="s">
        <v>3399</v>
      </c>
      <c r="D3355" s="497"/>
      <c r="E3355" s="499">
        <v>188100</v>
      </c>
      <c r="F3355" s="263"/>
      <c r="G3355" s="275" t="s">
        <v>3400</v>
      </c>
    </row>
    <row r="3356" spans="1:7" ht="17.45" customHeight="1">
      <c r="A3356" s="261" t="s">
        <v>8</v>
      </c>
      <c r="C3356" s="271" t="s">
        <v>3401</v>
      </c>
      <c r="D3356" s="497"/>
      <c r="E3356" s="499">
        <v>1000</v>
      </c>
      <c r="F3356" s="263"/>
      <c r="G3356" s="275"/>
    </row>
    <row r="3357" spans="1:7" ht="17.45" customHeight="1">
      <c r="A3357" s="261" t="s">
        <v>8</v>
      </c>
      <c r="C3357" s="271" t="s">
        <v>3402</v>
      </c>
      <c r="D3357" s="497"/>
      <c r="E3357" s="499">
        <v>100000</v>
      </c>
      <c r="F3357" s="263"/>
      <c r="G3357" s="275"/>
    </row>
    <row r="3358" spans="1:7" ht="17.45" customHeight="1">
      <c r="A3358" s="261" t="s">
        <v>8</v>
      </c>
      <c r="C3358" s="271" t="s">
        <v>3403</v>
      </c>
      <c r="D3358" s="497"/>
      <c r="E3358" s="499">
        <v>62870</v>
      </c>
      <c r="F3358" s="263"/>
      <c r="G3358" s="275"/>
    </row>
    <row r="3359" spans="1:7" ht="17.45" customHeight="1">
      <c r="A3359" s="261" t="s">
        <v>8</v>
      </c>
      <c r="C3359" s="271" t="s">
        <v>3404</v>
      </c>
      <c r="D3359" s="497"/>
      <c r="E3359" s="499">
        <v>133750</v>
      </c>
      <c r="F3359" s="263"/>
      <c r="G3359" s="275"/>
    </row>
    <row r="3360" spans="1:7" ht="17.45" customHeight="1">
      <c r="A3360" s="261" t="s">
        <v>8</v>
      </c>
      <c r="C3360" s="271" t="s">
        <v>3405</v>
      </c>
      <c r="D3360" s="497"/>
      <c r="E3360" s="499">
        <v>142270</v>
      </c>
      <c r="F3360" s="263"/>
      <c r="G3360" s="275"/>
    </row>
    <row r="3361" spans="1:7" ht="17.45" customHeight="1">
      <c r="A3361" s="261" t="s">
        <v>8</v>
      </c>
      <c r="C3361" s="271" t="s">
        <v>3406</v>
      </c>
      <c r="D3361" s="497"/>
      <c r="E3361" s="499">
        <v>9000</v>
      </c>
      <c r="F3361" s="263"/>
      <c r="G3361" s="275"/>
    </row>
    <row r="3362" spans="1:7" ht="17.45" customHeight="1">
      <c r="A3362" s="261" t="s">
        <v>8</v>
      </c>
      <c r="C3362" s="271" t="s">
        <v>3407</v>
      </c>
      <c r="D3362" s="497"/>
      <c r="E3362" s="499">
        <v>12000</v>
      </c>
      <c r="F3362" s="263"/>
      <c r="G3362" s="275"/>
    </row>
    <row r="3363" spans="1:7" ht="17.45" customHeight="1">
      <c r="A3363" s="261" t="s">
        <v>8</v>
      </c>
      <c r="C3363" s="271" t="s">
        <v>3408</v>
      </c>
      <c r="D3363" s="497"/>
      <c r="E3363" s="499">
        <v>5000</v>
      </c>
      <c r="F3363" s="263"/>
      <c r="G3363" s="275"/>
    </row>
    <row r="3364" spans="1:7" ht="17.45" customHeight="1">
      <c r="A3364" s="261" t="s">
        <v>8</v>
      </c>
      <c r="C3364" s="271" t="s">
        <v>3409</v>
      </c>
      <c r="D3364" s="497"/>
      <c r="E3364" s="499">
        <v>59650</v>
      </c>
      <c r="F3364" s="263"/>
      <c r="G3364" s="275"/>
    </row>
    <row r="3365" spans="1:7" ht="17.45" customHeight="1">
      <c r="A3365" s="261" t="s">
        <v>8</v>
      </c>
      <c r="C3365" s="271" t="s">
        <v>3410</v>
      </c>
      <c r="D3365" s="497"/>
      <c r="E3365" s="499">
        <f>10000+28000</f>
        <v>38000</v>
      </c>
      <c r="F3365" s="263"/>
      <c r="G3365" s="275"/>
    </row>
    <row r="3366" spans="1:7" ht="17.45" customHeight="1">
      <c r="A3366" s="261" t="s">
        <v>8</v>
      </c>
      <c r="C3366" s="271" t="s">
        <v>3411</v>
      </c>
      <c r="D3366" s="497"/>
      <c r="E3366" s="499">
        <v>24000</v>
      </c>
      <c r="F3366" s="263"/>
      <c r="G3366" s="275"/>
    </row>
    <row r="3367" spans="1:7" ht="17.45" customHeight="1">
      <c r="A3367" s="261" t="s">
        <v>8</v>
      </c>
      <c r="C3367" s="271" t="s">
        <v>3412</v>
      </c>
      <c r="D3367" s="497"/>
      <c r="E3367" s="499">
        <v>10000</v>
      </c>
      <c r="F3367" s="263"/>
      <c r="G3367" s="275"/>
    </row>
    <row r="3368" spans="1:7" ht="17.45" customHeight="1">
      <c r="A3368" s="261" t="s">
        <v>8</v>
      </c>
      <c r="C3368" s="271" t="s">
        <v>3413</v>
      </c>
      <c r="D3368" s="497"/>
      <c r="E3368" s="499">
        <v>19000</v>
      </c>
      <c r="F3368" s="263"/>
      <c r="G3368" s="275"/>
    </row>
    <row r="3369" spans="1:7" ht="17.45" customHeight="1">
      <c r="A3369" s="261" t="s">
        <v>8</v>
      </c>
      <c r="C3369" s="271" t="s">
        <v>3414</v>
      </c>
      <c r="D3369" s="497"/>
      <c r="E3369" s="499">
        <v>72000</v>
      </c>
      <c r="F3369" s="263"/>
      <c r="G3369" s="275" t="s">
        <v>3415</v>
      </c>
    </row>
    <row r="3370" spans="1:7" ht="17.45" customHeight="1">
      <c r="A3370" s="261" t="s">
        <v>8</v>
      </c>
      <c r="C3370" s="271" t="s">
        <v>3416</v>
      </c>
      <c r="D3370" s="497"/>
      <c r="E3370" s="499">
        <v>5000</v>
      </c>
      <c r="F3370" s="263"/>
      <c r="G3370" s="275"/>
    </row>
    <row r="3371" spans="1:7" ht="17.45" customHeight="1">
      <c r="A3371" s="261" t="s">
        <v>8</v>
      </c>
      <c r="C3371" s="271" t="s">
        <v>3417</v>
      </c>
      <c r="D3371" s="497"/>
      <c r="E3371" s="499">
        <v>7080</v>
      </c>
      <c r="F3371" s="263"/>
      <c r="G3371" s="275"/>
    </row>
    <row r="3372" spans="1:7" ht="17.45" customHeight="1">
      <c r="A3372" s="261" t="s">
        <v>8</v>
      </c>
      <c r="C3372" s="271" t="s">
        <v>3418</v>
      </c>
      <c r="D3372" s="497"/>
      <c r="E3372" s="499">
        <v>25000</v>
      </c>
      <c r="F3372" s="263"/>
      <c r="G3372" s="275"/>
    </row>
    <row r="3373" spans="1:7" ht="17.45" customHeight="1">
      <c r="A3373" s="261" t="s">
        <v>8</v>
      </c>
      <c r="C3373" s="271" t="s">
        <v>3419</v>
      </c>
      <c r="D3373" s="497"/>
      <c r="E3373" s="499">
        <v>2000</v>
      </c>
      <c r="F3373" s="263"/>
      <c r="G3373" s="275"/>
    </row>
    <row r="3374" spans="1:7" ht="17.45" customHeight="1">
      <c r="A3374" s="261" t="s">
        <v>8</v>
      </c>
      <c r="C3374" s="271" t="s">
        <v>3420</v>
      </c>
      <c r="D3374" s="497"/>
      <c r="E3374" s="499">
        <v>1100</v>
      </c>
      <c r="F3374" s="263"/>
      <c r="G3374" s="275"/>
    </row>
    <row r="3375" spans="1:7" ht="17.45" customHeight="1">
      <c r="A3375" s="261" t="s">
        <v>8</v>
      </c>
      <c r="C3375" s="271" t="s">
        <v>3421</v>
      </c>
      <c r="D3375" s="497"/>
      <c r="E3375" s="499">
        <v>3000</v>
      </c>
      <c r="F3375" s="263"/>
      <c r="G3375" s="275"/>
    </row>
    <row r="3376" spans="1:7" ht="17.45" customHeight="1">
      <c r="A3376" s="261" t="s">
        <v>8</v>
      </c>
      <c r="C3376" s="271" t="s">
        <v>3422</v>
      </c>
      <c r="D3376" s="497"/>
      <c r="E3376" s="499">
        <v>18000</v>
      </c>
      <c r="F3376" s="263"/>
      <c r="G3376" s="275"/>
    </row>
    <row r="3377" spans="1:7" ht="17.45" customHeight="1">
      <c r="A3377" s="261" t="s">
        <v>8</v>
      </c>
      <c r="C3377" s="271" t="s">
        <v>3423</v>
      </c>
      <c r="D3377" s="497"/>
      <c r="E3377" s="499">
        <v>12420</v>
      </c>
      <c r="F3377" s="263"/>
      <c r="G3377" s="275"/>
    </row>
    <row r="3378" spans="1:7" ht="17.45" customHeight="1">
      <c r="A3378" s="261" t="s">
        <v>8</v>
      </c>
      <c r="C3378" s="271" t="s">
        <v>3424</v>
      </c>
      <c r="D3378" s="497"/>
      <c r="E3378" s="499">
        <v>30620</v>
      </c>
      <c r="F3378" s="263"/>
      <c r="G3378" s="275"/>
    </row>
    <row r="3379" spans="1:7" ht="17.45" customHeight="1">
      <c r="A3379" s="261" t="s">
        <v>8</v>
      </c>
      <c r="C3379" s="271" t="s">
        <v>3436</v>
      </c>
      <c r="D3379" s="497"/>
      <c r="E3379" s="499">
        <v>52000</v>
      </c>
      <c r="F3379" s="263"/>
      <c r="G3379" s="275"/>
    </row>
    <row r="3380" spans="1:7" ht="17.45" customHeight="1">
      <c r="A3380" s="261" t="s">
        <v>8</v>
      </c>
      <c r="C3380" s="271" t="s">
        <v>3437</v>
      </c>
      <c r="D3380" s="497"/>
      <c r="E3380" s="499">
        <v>1000</v>
      </c>
      <c r="F3380" s="263"/>
      <c r="G3380" s="275"/>
    </row>
    <row r="3381" spans="1:7" ht="17.45" customHeight="1" thickBot="1">
      <c r="A3381" s="261" t="s">
        <v>8</v>
      </c>
      <c r="C3381" s="276" t="s">
        <v>1300</v>
      </c>
      <c r="D3381" s="502">
        <f>SUM(D3285:D3380)-SUM(E3285:E3380)</f>
        <v>-6591266</v>
      </c>
      <c r="E3381" s="502">
        <f>SUM(E3285:E3380)-SUM(F3285:F3380)</f>
        <v>13135303</v>
      </c>
      <c r="F3381" s="277"/>
      <c r="G3381" s="283"/>
    </row>
    <row r="3383" spans="1:7" ht="12.75" thickBot="1"/>
    <row r="3384" spans="1:7" ht="17.45" customHeight="1">
      <c r="A3384" s="261" t="s">
        <v>8</v>
      </c>
      <c r="B3384" s="256" t="s">
        <v>3438</v>
      </c>
      <c r="C3384" s="268" t="s">
        <v>1268</v>
      </c>
      <c r="D3384" s="501">
        <v>7832817</v>
      </c>
      <c r="E3384" s="501"/>
      <c r="F3384" s="269"/>
      <c r="G3384" s="270"/>
    </row>
    <row r="3385" spans="1:7" ht="17.45" customHeight="1">
      <c r="A3385" s="261" t="s">
        <v>8</v>
      </c>
      <c r="B3385" s="257"/>
      <c r="C3385" s="271" t="s">
        <v>2722</v>
      </c>
      <c r="D3385" s="497"/>
      <c r="E3385" s="497"/>
      <c r="F3385" s="263"/>
      <c r="G3385" s="272"/>
    </row>
    <row r="3386" spans="1:7" ht="17.45" customHeight="1">
      <c r="A3386" s="261" t="s">
        <v>8</v>
      </c>
      <c r="B3386" s="257"/>
      <c r="C3386" s="271" t="s">
        <v>3047</v>
      </c>
      <c r="D3386" s="497"/>
      <c r="E3386" s="497"/>
      <c r="F3386" s="263"/>
      <c r="G3386" s="272"/>
    </row>
    <row r="3387" spans="1:7" ht="17.45" customHeight="1">
      <c r="A3387" s="261" t="s">
        <v>8</v>
      </c>
      <c r="B3387" s="257"/>
      <c r="C3387" s="271" t="s">
        <v>1269</v>
      </c>
      <c r="D3387" s="497"/>
      <c r="E3387" s="499">
        <v>422000</v>
      </c>
      <c r="F3387" s="263"/>
      <c r="G3387" s="272" t="s">
        <v>3331</v>
      </c>
    </row>
    <row r="3388" spans="1:7" ht="17.45" customHeight="1">
      <c r="A3388" s="261" t="s">
        <v>8</v>
      </c>
      <c r="C3388" s="271" t="s">
        <v>1270</v>
      </c>
      <c r="D3388" s="497"/>
      <c r="E3388" s="499">
        <v>968000</v>
      </c>
      <c r="F3388" s="263"/>
      <c r="G3388" s="273" t="s">
        <v>2740</v>
      </c>
    </row>
    <row r="3389" spans="1:7" ht="17.45" customHeight="1">
      <c r="A3389" s="261" t="s">
        <v>8</v>
      </c>
      <c r="C3389" s="271" t="s">
        <v>1670</v>
      </c>
      <c r="D3389" s="497"/>
      <c r="E3389" s="497"/>
      <c r="F3389" s="263"/>
      <c r="G3389" s="274"/>
    </row>
    <row r="3390" spans="1:7" ht="17.45" customHeight="1">
      <c r="A3390" s="261" t="s">
        <v>8</v>
      </c>
      <c r="C3390" s="271" t="s">
        <v>1672</v>
      </c>
      <c r="D3390" s="497"/>
      <c r="E3390" s="499">
        <v>72240</v>
      </c>
      <c r="F3390" s="263"/>
      <c r="G3390" s="273" t="s">
        <v>2732</v>
      </c>
    </row>
    <row r="3391" spans="1:7" ht="17.45" customHeight="1">
      <c r="A3391" s="261" t="s">
        <v>8</v>
      </c>
      <c r="C3391" s="271" t="s">
        <v>1673</v>
      </c>
      <c r="D3391" s="497"/>
      <c r="E3391" s="497"/>
      <c r="F3391" s="263"/>
      <c r="G3391" s="274"/>
    </row>
    <row r="3392" spans="1:7" ht="17.45" customHeight="1">
      <c r="A3392" s="261" t="s">
        <v>8</v>
      </c>
      <c r="C3392" s="271" t="s">
        <v>1332</v>
      </c>
      <c r="D3392" s="497"/>
      <c r="E3392" s="499">
        <v>34650</v>
      </c>
      <c r="F3392" s="263"/>
      <c r="G3392" s="275"/>
    </row>
    <row r="3393" spans="1:7" ht="17.45" customHeight="1">
      <c r="A3393" s="261" t="s">
        <v>8</v>
      </c>
      <c r="C3393" s="271" t="s">
        <v>1271</v>
      </c>
      <c r="D3393" s="497"/>
      <c r="E3393" s="497"/>
      <c r="F3393" s="263"/>
      <c r="G3393" s="274"/>
    </row>
    <row r="3394" spans="1:7" ht="17.45" customHeight="1">
      <c r="A3394" s="261" t="s">
        <v>8</v>
      </c>
      <c r="C3394" s="271" t="s">
        <v>1272</v>
      </c>
      <c r="D3394" s="497"/>
      <c r="E3394" s="497"/>
      <c r="F3394" s="263"/>
      <c r="G3394" s="273"/>
    </row>
    <row r="3395" spans="1:7" ht="17.45" customHeight="1">
      <c r="A3395" s="261" t="s">
        <v>8</v>
      </c>
      <c r="C3395" s="271" t="s">
        <v>3009</v>
      </c>
      <c r="D3395" s="497"/>
      <c r="E3395" s="497"/>
      <c r="F3395" s="263"/>
      <c r="G3395" s="273" t="s">
        <v>2732</v>
      </c>
    </row>
    <row r="3396" spans="1:7" ht="17.45" customHeight="1">
      <c r="A3396" s="261" t="s">
        <v>8</v>
      </c>
      <c r="C3396" s="271" t="s">
        <v>3010</v>
      </c>
      <c r="D3396" s="497"/>
      <c r="E3396" s="499">
        <v>900</v>
      </c>
      <c r="F3396" s="263"/>
      <c r="G3396" s="273"/>
    </row>
    <row r="3397" spans="1:7" ht="17.45" customHeight="1">
      <c r="A3397" s="261" t="s">
        <v>8</v>
      </c>
      <c r="C3397" s="271" t="s">
        <v>1273</v>
      </c>
      <c r="D3397" s="497"/>
      <c r="E3397" s="499">
        <v>29920</v>
      </c>
      <c r="F3397" s="263"/>
      <c r="G3397" s="273" t="s">
        <v>2732</v>
      </c>
    </row>
    <row r="3398" spans="1:7" ht="17.45" customHeight="1">
      <c r="A3398" s="261" t="s">
        <v>8</v>
      </c>
      <c r="C3398" s="271" t="s">
        <v>1274</v>
      </c>
      <c r="D3398" s="497"/>
      <c r="E3398" s="499">
        <v>3757</v>
      </c>
      <c r="F3398" s="263"/>
      <c r="G3398" s="273"/>
    </row>
    <row r="3399" spans="1:7" ht="17.45" customHeight="1">
      <c r="A3399" s="261" t="s">
        <v>8</v>
      </c>
      <c r="C3399" s="271" t="s">
        <v>2168</v>
      </c>
      <c r="D3399" s="497"/>
      <c r="E3399" s="499">
        <v>18816</v>
      </c>
      <c r="F3399" s="263"/>
      <c r="G3399" s="273" t="s">
        <v>2732</v>
      </c>
    </row>
    <row r="3400" spans="1:7" ht="17.45" customHeight="1">
      <c r="A3400" s="261" t="s">
        <v>8</v>
      </c>
      <c r="C3400" s="271" t="s">
        <v>1517</v>
      </c>
      <c r="D3400" s="497"/>
      <c r="E3400" s="497"/>
      <c r="F3400" s="263"/>
      <c r="G3400" s="273" t="s">
        <v>2732</v>
      </c>
    </row>
    <row r="3401" spans="1:7" ht="17.45" customHeight="1">
      <c r="A3401" s="261" t="s">
        <v>8</v>
      </c>
      <c r="C3401" s="271" t="s">
        <v>1276</v>
      </c>
      <c r="D3401" s="497"/>
      <c r="E3401" s="499">
        <v>287660</v>
      </c>
      <c r="F3401" s="263"/>
      <c r="G3401" s="273" t="s">
        <v>2732</v>
      </c>
    </row>
    <row r="3402" spans="1:7" ht="17.45" customHeight="1">
      <c r="A3402" s="261" t="s">
        <v>8</v>
      </c>
      <c r="C3402" s="271" t="s">
        <v>1277</v>
      </c>
      <c r="D3402" s="497"/>
      <c r="E3402" s="499">
        <v>43920</v>
      </c>
      <c r="F3402" s="263"/>
      <c r="G3402" s="273" t="s">
        <v>2732</v>
      </c>
    </row>
    <row r="3403" spans="1:7" ht="17.45" customHeight="1">
      <c r="A3403" s="261" t="s">
        <v>8</v>
      </c>
      <c r="C3403" s="271" t="s">
        <v>1278</v>
      </c>
      <c r="D3403" s="497"/>
      <c r="E3403" s="499">
        <v>200000</v>
      </c>
      <c r="F3403" s="263"/>
      <c r="G3403" s="273"/>
    </row>
    <row r="3404" spans="1:7" ht="17.45" customHeight="1">
      <c r="A3404" s="261" t="s">
        <v>8</v>
      </c>
      <c r="C3404" s="285" t="s">
        <v>1413</v>
      </c>
      <c r="D3404" s="506"/>
      <c r="E3404" s="507">
        <f>1500000</f>
        <v>1500000</v>
      </c>
      <c r="F3404" s="286"/>
      <c r="G3404" s="287"/>
    </row>
    <row r="3405" spans="1:7" ht="17.25" customHeight="1">
      <c r="A3405" s="261" t="s">
        <v>8</v>
      </c>
      <c r="C3405" s="338" t="s">
        <v>2661</v>
      </c>
      <c r="D3405" s="497"/>
      <c r="E3405" s="497"/>
      <c r="F3405" s="263"/>
      <c r="G3405" s="275"/>
    </row>
    <row r="3406" spans="1:7" ht="17.45" customHeight="1">
      <c r="A3406" s="261" t="s">
        <v>8</v>
      </c>
      <c r="C3406" s="339" t="s">
        <v>3248</v>
      </c>
      <c r="D3406" s="506"/>
      <c r="E3406" s="507">
        <v>1000000</v>
      </c>
      <c r="F3406" s="286"/>
      <c r="G3406" s="290"/>
    </row>
    <row r="3407" spans="1:7" ht="17.45" customHeight="1">
      <c r="A3407" s="261" t="s">
        <v>8</v>
      </c>
      <c r="C3407" s="339" t="s">
        <v>2647</v>
      </c>
      <c r="D3407" s="506"/>
      <c r="E3407" s="506"/>
      <c r="F3407" s="286"/>
      <c r="G3407" s="290"/>
    </row>
    <row r="3408" spans="1:7" ht="17.45" customHeight="1" thickBot="1">
      <c r="A3408" s="261" t="s">
        <v>8</v>
      </c>
      <c r="C3408" s="285" t="s">
        <v>1942</v>
      </c>
      <c r="D3408" s="506"/>
      <c r="E3408" s="507">
        <v>20000</v>
      </c>
      <c r="F3408" s="286"/>
      <c r="G3408" s="290"/>
    </row>
    <row r="3409" spans="1:7" ht="17.45" customHeight="1">
      <c r="A3409" s="261" t="s">
        <v>8</v>
      </c>
      <c r="C3409" s="268" t="s">
        <v>1280</v>
      </c>
      <c r="D3409" s="501"/>
      <c r="E3409" s="500">
        <v>50000</v>
      </c>
      <c r="F3409" s="269"/>
      <c r="G3409" s="288"/>
    </row>
    <row r="3410" spans="1:7" ht="17.45" customHeight="1">
      <c r="A3410" s="261" t="s">
        <v>8</v>
      </c>
      <c r="C3410" s="271" t="s">
        <v>1549</v>
      </c>
      <c r="D3410" s="497"/>
      <c r="E3410" s="497"/>
      <c r="F3410" s="263"/>
      <c r="G3410" s="275"/>
    </row>
    <row r="3411" spans="1:7" ht="17.45" customHeight="1">
      <c r="A3411" s="261" t="s">
        <v>8</v>
      </c>
      <c r="C3411" s="271" t="s">
        <v>1819</v>
      </c>
      <c r="D3411" s="497"/>
      <c r="E3411" s="497"/>
      <c r="F3411" s="263"/>
      <c r="G3411" s="275"/>
    </row>
    <row r="3412" spans="1:7" ht="17.45" customHeight="1">
      <c r="A3412" s="261" t="s">
        <v>8</v>
      </c>
      <c r="C3412" s="271" t="s">
        <v>391</v>
      </c>
      <c r="D3412" s="497"/>
      <c r="E3412" s="497"/>
      <c r="F3412" s="263"/>
      <c r="G3412" s="275"/>
    </row>
    <row r="3413" spans="1:7" ht="17.45" customHeight="1">
      <c r="A3413" s="261" t="s">
        <v>8</v>
      </c>
      <c r="C3413" s="271" t="s">
        <v>1934</v>
      </c>
      <c r="D3413" s="497"/>
      <c r="E3413" s="497"/>
      <c r="F3413" s="263"/>
      <c r="G3413" s="275"/>
    </row>
    <row r="3414" spans="1:7" ht="17.25" customHeight="1">
      <c r="A3414" s="261" t="s">
        <v>8</v>
      </c>
      <c r="C3414" s="271" t="s">
        <v>2202</v>
      </c>
      <c r="D3414" s="497"/>
      <c r="E3414" s="497"/>
      <c r="F3414" s="263"/>
      <c r="G3414" s="275"/>
    </row>
    <row r="3415" spans="1:7" ht="17.45" customHeight="1">
      <c r="A3415" s="261" t="s">
        <v>8</v>
      </c>
      <c r="C3415" s="271" t="s">
        <v>2654</v>
      </c>
      <c r="D3415" s="497"/>
      <c r="E3415" s="497"/>
      <c r="F3415" s="263"/>
      <c r="G3415" s="275"/>
    </row>
    <row r="3416" spans="1:7" ht="17.45" customHeight="1">
      <c r="A3416" s="261" t="s">
        <v>8</v>
      </c>
      <c r="C3416" s="271" t="s">
        <v>2097</v>
      </c>
      <c r="D3416" s="497"/>
      <c r="E3416" s="497"/>
      <c r="F3416" s="263"/>
      <c r="G3416" s="275"/>
    </row>
    <row r="3417" spans="1:7" ht="17.45" customHeight="1">
      <c r="A3417" s="261" t="s">
        <v>8</v>
      </c>
      <c r="C3417" s="271" t="s">
        <v>1687</v>
      </c>
      <c r="D3417" s="497"/>
      <c r="E3417" s="497"/>
      <c r="F3417" s="263"/>
      <c r="G3417" s="275"/>
    </row>
    <row r="3418" spans="1:7" ht="17.45" customHeight="1">
      <c r="A3418" s="261" t="s">
        <v>8</v>
      </c>
      <c r="C3418" s="271" t="s">
        <v>1688</v>
      </c>
      <c r="D3418" s="497"/>
      <c r="E3418" s="497"/>
      <c r="F3418" s="263"/>
      <c r="G3418" s="275"/>
    </row>
    <row r="3419" spans="1:7" ht="17.45" customHeight="1">
      <c r="A3419" s="261" t="s">
        <v>8</v>
      </c>
      <c r="C3419" s="271" t="s">
        <v>1602</v>
      </c>
      <c r="D3419" s="497"/>
      <c r="E3419" s="497"/>
      <c r="F3419" s="263"/>
      <c r="G3419" s="275"/>
    </row>
    <row r="3420" spans="1:7" ht="17.45" customHeight="1">
      <c r="A3420" s="261" t="s">
        <v>8</v>
      </c>
      <c r="C3420" s="271" t="s">
        <v>1596</v>
      </c>
      <c r="D3420" s="497"/>
      <c r="E3420" s="497"/>
      <c r="F3420" s="263"/>
      <c r="G3420" s="275"/>
    </row>
    <row r="3421" spans="1:7" ht="17.45" customHeight="1">
      <c r="A3421" s="261" t="s">
        <v>8</v>
      </c>
      <c r="C3421" s="271" t="s">
        <v>1595</v>
      </c>
      <c r="D3421" s="497"/>
      <c r="E3421" s="497"/>
      <c r="F3421" s="263"/>
      <c r="G3421" s="275"/>
    </row>
    <row r="3422" spans="1:7" ht="17.45" customHeight="1">
      <c r="A3422" s="261" t="s">
        <v>8</v>
      </c>
      <c r="C3422" s="271" t="s">
        <v>2822</v>
      </c>
      <c r="D3422" s="497"/>
      <c r="E3422" s="499">
        <f>3200</f>
        <v>3200</v>
      </c>
      <c r="F3422" s="263"/>
      <c r="G3422" s="275"/>
    </row>
    <row r="3423" spans="1:7" ht="17.45" customHeight="1">
      <c r="A3423" s="261" t="s">
        <v>8</v>
      </c>
      <c r="C3423" s="271" t="s">
        <v>2821</v>
      </c>
      <c r="D3423" s="497"/>
      <c r="E3423" s="516">
        <v>9000</v>
      </c>
      <c r="F3423" s="263"/>
      <c r="G3423" s="273" t="s">
        <v>3373</v>
      </c>
    </row>
    <row r="3424" spans="1:7" ht="17.45" customHeight="1">
      <c r="A3424" s="261" t="s">
        <v>8</v>
      </c>
      <c r="C3424" s="271" t="s">
        <v>1689</v>
      </c>
      <c r="D3424" s="497"/>
      <c r="E3424" s="497"/>
      <c r="F3424" s="263"/>
      <c r="G3424" s="275"/>
    </row>
    <row r="3425" spans="1:7" ht="17.45" customHeight="1">
      <c r="A3425" s="261" t="s">
        <v>8</v>
      </c>
      <c r="C3425" s="271" t="s">
        <v>1569</v>
      </c>
      <c r="D3425" s="497"/>
      <c r="E3425" s="497"/>
      <c r="F3425" s="263"/>
      <c r="G3425" s="275"/>
    </row>
    <row r="3426" spans="1:7" ht="17.45" customHeight="1">
      <c r="A3426" s="261" t="s">
        <v>8</v>
      </c>
      <c r="C3426" s="271" t="s">
        <v>1618</v>
      </c>
      <c r="D3426" s="497"/>
      <c r="E3426" s="499">
        <f>3150+29880+47660+8460</f>
        <v>89150</v>
      </c>
      <c r="F3426" s="263"/>
      <c r="G3426" s="275"/>
    </row>
    <row r="3427" spans="1:7" ht="17.45" customHeight="1">
      <c r="A3427" s="261" t="s">
        <v>8</v>
      </c>
      <c r="C3427" s="271" t="s">
        <v>2810</v>
      </c>
      <c r="D3427" s="497"/>
      <c r="E3427" s="497"/>
      <c r="F3427" s="263"/>
      <c r="G3427" s="275"/>
    </row>
    <row r="3428" spans="1:7" ht="17.45" customHeight="1" thickBot="1">
      <c r="A3428" s="261" t="s">
        <v>8</v>
      </c>
      <c r="C3428" s="276" t="s">
        <v>2699</v>
      </c>
      <c r="D3428" s="502"/>
      <c r="E3428" s="503">
        <f>32000+27500+22000+23000+20800+13000+21000+12900</f>
        <v>172200</v>
      </c>
      <c r="F3428" s="277"/>
      <c r="G3428" s="282"/>
    </row>
    <row r="3429" spans="1:7" ht="17.45" customHeight="1">
      <c r="A3429" s="261" t="s">
        <v>8</v>
      </c>
      <c r="C3429" s="279" t="s">
        <v>3442</v>
      </c>
      <c r="D3429" s="504"/>
      <c r="E3429" s="505">
        <v>12500</v>
      </c>
      <c r="F3429" s="280"/>
      <c r="G3429" s="281"/>
    </row>
    <row r="3430" spans="1:7" ht="17.45" customHeight="1">
      <c r="A3430" s="261" t="s">
        <v>8</v>
      </c>
      <c r="C3430" s="284" t="s">
        <v>3443</v>
      </c>
      <c r="D3430" s="497"/>
      <c r="E3430" s="499">
        <f>129200+121100-129200+6500</f>
        <v>127600</v>
      </c>
      <c r="F3430" s="263"/>
      <c r="G3430" s="275"/>
    </row>
    <row r="3431" spans="1:7" ht="17.45" customHeight="1">
      <c r="A3431" s="261" t="s">
        <v>8</v>
      </c>
      <c r="C3431" s="271" t="s">
        <v>3444</v>
      </c>
      <c r="D3431" s="497"/>
      <c r="E3431" s="499">
        <f>130200+130200-130200+1200</f>
        <v>131400</v>
      </c>
      <c r="F3431" s="263"/>
      <c r="G3431" s="275"/>
    </row>
    <row r="3432" spans="1:7" ht="17.45" customHeight="1">
      <c r="A3432" s="261" t="s">
        <v>8</v>
      </c>
      <c r="C3432" s="271" t="s">
        <v>2654</v>
      </c>
      <c r="D3432" s="497"/>
      <c r="E3432" s="499">
        <v>60000</v>
      </c>
      <c r="F3432" s="263"/>
      <c r="G3432" s="275"/>
    </row>
    <row r="3433" spans="1:7" ht="17.45" customHeight="1">
      <c r="A3433" s="261" t="s">
        <v>8</v>
      </c>
      <c r="C3433" s="271" t="s">
        <v>3445</v>
      </c>
      <c r="D3433" s="497"/>
      <c r="E3433" s="499">
        <f>63650-63650</f>
        <v>0</v>
      </c>
      <c r="F3433" s="263"/>
      <c r="G3433" s="275"/>
    </row>
    <row r="3434" spans="1:7" ht="17.45" customHeight="1">
      <c r="A3434" s="261" t="s">
        <v>8</v>
      </c>
      <c r="C3434" s="271" t="s">
        <v>3446</v>
      </c>
      <c r="D3434" s="497"/>
      <c r="E3434" s="499">
        <v>300000</v>
      </c>
      <c r="F3434" s="263"/>
      <c r="G3434" s="275"/>
    </row>
    <row r="3435" spans="1:7" ht="17.45" customHeight="1">
      <c r="A3435" s="261" t="s">
        <v>8</v>
      </c>
      <c r="C3435" s="271" t="s">
        <v>3479</v>
      </c>
      <c r="D3435" s="497"/>
      <c r="E3435" s="499">
        <v>12000</v>
      </c>
      <c r="F3435" s="263"/>
      <c r="G3435" s="275"/>
    </row>
    <row r="3436" spans="1:7" ht="17.45" customHeight="1">
      <c r="A3436" s="261" t="s">
        <v>8</v>
      </c>
      <c r="C3436" s="271" t="s">
        <v>3480</v>
      </c>
      <c r="D3436" s="497"/>
      <c r="E3436" s="499">
        <v>50000</v>
      </c>
      <c r="F3436" s="263"/>
      <c r="G3436" s="275"/>
    </row>
    <row r="3437" spans="1:7" ht="17.45" customHeight="1">
      <c r="A3437" s="261" t="s">
        <v>8</v>
      </c>
      <c r="C3437" s="284" t="s">
        <v>3481</v>
      </c>
      <c r="D3437" s="497"/>
      <c r="E3437" s="499">
        <f>6600+12500+15800</f>
        <v>34900</v>
      </c>
      <c r="F3437" s="263"/>
      <c r="G3437" s="275"/>
    </row>
    <row r="3438" spans="1:7" ht="17.45" customHeight="1">
      <c r="A3438" s="261" t="s">
        <v>8</v>
      </c>
      <c r="C3438" s="271" t="s">
        <v>3482</v>
      </c>
      <c r="D3438" s="497"/>
      <c r="E3438" s="499">
        <v>2500</v>
      </c>
      <c r="F3438" s="263"/>
      <c r="G3438" s="275"/>
    </row>
    <row r="3439" spans="1:7" ht="17.45" customHeight="1">
      <c r="A3439" s="261" t="s">
        <v>8</v>
      </c>
      <c r="C3439" s="271" t="s">
        <v>3483</v>
      </c>
      <c r="D3439" s="497"/>
      <c r="E3439" s="499">
        <v>-188100</v>
      </c>
      <c r="F3439" s="263"/>
      <c r="G3439" s="275"/>
    </row>
    <row r="3440" spans="1:7" ht="17.45" customHeight="1">
      <c r="A3440" s="261" t="s">
        <v>8</v>
      </c>
      <c r="C3440" s="271" t="s">
        <v>3484</v>
      </c>
      <c r="D3440" s="497"/>
      <c r="E3440" s="499">
        <f>11200+12700</f>
        <v>23900</v>
      </c>
      <c r="F3440" s="263"/>
      <c r="G3440" s="275"/>
    </row>
    <row r="3441" spans="1:7" ht="17.45" customHeight="1">
      <c r="A3441" s="261" t="s">
        <v>8</v>
      </c>
      <c r="C3441" s="284" t="s">
        <v>3485</v>
      </c>
      <c r="D3441" s="497"/>
      <c r="E3441" s="499">
        <f>104200+104200</f>
        <v>208400</v>
      </c>
      <c r="F3441" s="263"/>
      <c r="G3441" s="275"/>
    </row>
    <row r="3442" spans="1:7" ht="17.45" customHeight="1">
      <c r="A3442" s="261" t="s">
        <v>8</v>
      </c>
      <c r="C3442" s="271" t="s">
        <v>3486</v>
      </c>
      <c r="D3442" s="497"/>
      <c r="E3442" s="499">
        <v>300000</v>
      </c>
      <c r="F3442" s="263"/>
      <c r="G3442" s="275"/>
    </row>
    <row r="3443" spans="1:7" ht="17.45" customHeight="1">
      <c r="A3443" s="261" t="s">
        <v>8</v>
      </c>
      <c r="C3443" s="271" t="s">
        <v>3487</v>
      </c>
      <c r="D3443" s="497"/>
      <c r="E3443" s="499">
        <v>8300</v>
      </c>
      <c r="F3443" s="263"/>
      <c r="G3443" s="275"/>
    </row>
    <row r="3444" spans="1:7" ht="17.45" customHeight="1">
      <c r="A3444" s="261" t="s">
        <v>8</v>
      </c>
      <c r="C3444" s="271" t="s">
        <v>3488</v>
      </c>
      <c r="D3444" s="497"/>
      <c r="E3444" s="499">
        <v>49000</v>
      </c>
      <c r="F3444" s="263"/>
      <c r="G3444" s="275"/>
    </row>
    <row r="3445" spans="1:7" ht="17.45" customHeight="1">
      <c r="A3445" s="261" t="s">
        <v>8</v>
      </c>
      <c r="C3445" s="271" t="s">
        <v>1981</v>
      </c>
      <c r="D3445" s="497"/>
      <c r="E3445" s="499">
        <f>-7080+13500</f>
        <v>6420</v>
      </c>
      <c r="F3445" s="263"/>
      <c r="G3445" s="275"/>
    </row>
    <row r="3446" spans="1:7" ht="17.45" customHeight="1">
      <c r="A3446" s="261" t="s">
        <v>8</v>
      </c>
      <c r="C3446" s="271" t="s">
        <v>3489</v>
      </c>
      <c r="D3446" s="497"/>
      <c r="E3446" s="499">
        <v>38000</v>
      </c>
      <c r="F3446" s="263"/>
      <c r="G3446" s="275"/>
    </row>
    <row r="3447" spans="1:7" ht="17.45" customHeight="1">
      <c r="A3447" s="261" t="s">
        <v>8</v>
      </c>
      <c r="C3447" s="271" t="s">
        <v>3490</v>
      </c>
      <c r="D3447" s="497"/>
      <c r="E3447" s="499">
        <v>26400</v>
      </c>
      <c r="F3447" s="263"/>
      <c r="G3447" s="275"/>
    </row>
    <row r="3448" spans="1:7" ht="17.45" customHeight="1">
      <c r="A3448" s="261" t="s">
        <v>8</v>
      </c>
      <c r="C3448" s="271" t="s">
        <v>3491</v>
      </c>
      <c r="D3448" s="497"/>
      <c r="E3448" s="499">
        <v>5900</v>
      </c>
      <c r="F3448" s="263"/>
      <c r="G3448" s="275"/>
    </row>
    <row r="3449" spans="1:7" ht="17.45" customHeight="1">
      <c r="A3449" s="261" t="s">
        <v>8</v>
      </c>
      <c r="C3449" s="271" t="s">
        <v>3492</v>
      </c>
      <c r="D3449" s="497"/>
      <c r="E3449" s="499">
        <v>22000</v>
      </c>
      <c r="F3449" s="263"/>
      <c r="G3449" s="275"/>
    </row>
    <row r="3450" spans="1:7" ht="17.45" customHeight="1">
      <c r="A3450" s="261" t="s">
        <v>8</v>
      </c>
      <c r="C3450" s="271" t="s">
        <v>3493</v>
      </c>
      <c r="D3450" s="497"/>
      <c r="E3450" s="499">
        <v>40000</v>
      </c>
      <c r="F3450" s="263"/>
      <c r="G3450" s="275"/>
    </row>
    <row r="3451" spans="1:7" ht="17.45" customHeight="1">
      <c r="A3451" s="261" t="s">
        <v>8</v>
      </c>
      <c r="C3451" s="271" t="s">
        <v>3494</v>
      </c>
      <c r="D3451" s="497"/>
      <c r="E3451" s="499">
        <v>29500</v>
      </c>
      <c r="F3451" s="263"/>
      <c r="G3451" s="275" t="s">
        <v>3495</v>
      </c>
    </row>
    <row r="3452" spans="1:7" ht="17.45" customHeight="1">
      <c r="A3452" s="261" t="s">
        <v>8</v>
      </c>
      <c r="C3452" s="271" t="s">
        <v>3495</v>
      </c>
      <c r="D3452" s="497"/>
      <c r="E3452" s="499">
        <f>8128+4434+288740+103745-30131</f>
        <v>374916</v>
      </c>
      <c r="F3452" s="263"/>
      <c r="G3452" s="275" t="s">
        <v>3495</v>
      </c>
    </row>
    <row r="3453" spans="1:7" ht="17.45" customHeight="1">
      <c r="A3453" s="261" t="s">
        <v>8</v>
      </c>
      <c r="C3453" s="271" t="s">
        <v>3496</v>
      </c>
      <c r="D3453" s="497"/>
      <c r="E3453" s="499">
        <v>117850</v>
      </c>
      <c r="F3453" s="263"/>
      <c r="G3453" s="275"/>
    </row>
    <row r="3454" spans="1:7" ht="17.45" customHeight="1">
      <c r="A3454" s="261" t="s">
        <v>8</v>
      </c>
      <c r="C3454" s="271" t="s">
        <v>3497</v>
      </c>
      <c r="D3454" s="497"/>
      <c r="E3454" s="499">
        <v>6000</v>
      </c>
      <c r="F3454" s="263"/>
      <c r="G3454" s="275"/>
    </row>
    <row r="3455" spans="1:7" ht="17.45" customHeight="1">
      <c r="A3455" s="261" t="s">
        <v>8</v>
      </c>
      <c r="C3455" s="271" t="s">
        <v>1583</v>
      </c>
      <c r="D3455" s="497"/>
      <c r="E3455" s="499">
        <v>189200</v>
      </c>
      <c r="F3455" s="263"/>
      <c r="G3455" s="275"/>
    </row>
    <row r="3456" spans="1:7" ht="17.45" customHeight="1">
      <c r="A3456" s="261" t="s">
        <v>8</v>
      </c>
      <c r="C3456" s="271" t="s">
        <v>3498</v>
      </c>
      <c r="D3456" s="497"/>
      <c r="E3456" s="499">
        <v>7300</v>
      </c>
      <c r="F3456" s="263"/>
      <c r="G3456" s="275"/>
    </row>
    <row r="3457" spans="1:7" ht="17.45" customHeight="1">
      <c r="A3457" s="261" t="s">
        <v>8</v>
      </c>
      <c r="C3457" s="271" t="s">
        <v>3499</v>
      </c>
      <c r="D3457" s="497"/>
      <c r="E3457" s="499">
        <v>15900</v>
      </c>
      <c r="F3457" s="263"/>
      <c r="G3457" s="275"/>
    </row>
    <row r="3458" spans="1:7" ht="17.45" customHeight="1">
      <c r="A3458" s="261" t="s">
        <v>8</v>
      </c>
      <c r="C3458" s="271" t="s">
        <v>3500</v>
      </c>
      <c r="D3458" s="497"/>
      <c r="E3458" s="499">
        <v>1100</v>
      </c>
      <c r="F3458" s="263"/>
      <c r="G3458" s="275"/>
    </row>
    <row r="3459" spans="1:7" ht="17.45" customHeight="1">
      <c r="A3459" s="261" t="s">
        <v>8</v>
      </c>
      <c r="C3459" s="271" t="s">
        <v>3501</v>
      </c>
      <c r="D3459" s="497"/>
      <c r="E3459" s="499">
        <v>1500</v>
      </c>
      <c r="F3459" s="263"/>
      <c r="G3459" s="275"/>
    </row>
    <row r="3460" spans="1:7" ht="17.45" customHeight="1">
      <c r="A3460" s="261" t="s">
        <v>8</v>
      </c>
      <c r="C3460" s="271" t="s">
        <v>3502</v>
      </c>
      <c r="D3460" s="497"/>
      <c r="E3460" s="499">
        <v>200000</v>
      </c>
      <c r="F3460" s="263"/>
      <c r="G3460" s="275"/>
    </row>
    <row r="3461" spans="1:7" ht="17.45" customHeight="1">
      <c r="A3461" s="261" t="s">
        <v>8</v>
      </c>
      <c r="C3461" s="271" t="s">
        <v>3503</v>
      </c>
      <c r="D3461" s="497"/>
      <c r="E3461" s="499">
        <v>200000</v>
      </c>
      <c r="F3461" s="263"/>
      <c r="G3461" s="275"/>
    </row>
    <row r="3462" spans="1:7" ht="17.45" customHeight="1">
      <c r="A3462" s="261" t="s">
        <v>8</v>
      </c>
      <c r="C3462" s="271" t="s">
        <v>3504</v>
      </c>
      <c r="D3462" s="497"/>
      <c r="E3462" s="499">
        <v>200000</v>
      </c>
      <c r="F3462" s="263"/>
      <c r="G3462" s="275"/>
    </row>
    <row r="3463" spans="1:7" ht="17.45" customHeight="1">
      <c r="A3463" s="261" t="s">
        <v>8</v>
      </c>
      <c r="C3463" s="271" t="s">
        <v>3505</v>
      </c>
      <c r="D3463" s="497"/>
      <c r="E3463" s="499">
        <v>50000</v>
      </c>
      <c r="F3463" s="263"/>
      <c r="G3463" s="275"/>
    </row>
    <row r="3464" spans="1:7" ht="17.45" customHeight="1">
      <c r="A3464" s="261" t="s">
        <v>8</v>
      </c>
      <c r="C3464" s="271" t="s">
        <v>3506</v>
      </c>
      <c r="D3464" s="497"/>
      <c r="E3464" s="499">
        <v>1500</v>
      </c>
      <c r="F3464" s="263"/>
      <c r="G3464" s="275"/>
    </row>
    <row r="3465" spans="1:7" ht="17.45" customHeight="1">
      <c r="A3465" s="261" t="s">
        <v>8</v>
      </c>
      <c r="C3465" s="271" t="s">
        <v>3507</v>
      </c>
      <c r="D3465" s="497"/>
      <c r="E3465" s="499">
        <v>121440</v>
      </c>
      <c r="F3465" s="263"/>
      <c r="G3465" s="275"/>
    </row>
    <row r="3466" spans="1:7" ht="17.45" customHeight="1">
      <c r="A3466" s="261" t="s">
        <v>8</v>
      </c>
      <c r="C3466" s="271" t="s">
        <v>3508</v>
      </c>
      <c r="D3466" s="497"/>
      <c r="E3466" s="499">
        <v>3000</v>
      </c>
      <c r="F3466" s="263"/>
      <c r="G3466" s="275"/>
    </row>
    <row r="3467" spans="1:7" ht="17.45" customHeight="1">
      <c r="A3467" s="261" t="s">
        <v>8</v>
      </c>
      <c r="C3467" s="271" t="s">
        <v>3509</v>
      </c>
      <c r="D3467" s="497"/>
      <c r="E3467" s="499">
        <v>18000</v>
      </c>
      <c r="F3467" s="263"/>
      <c r="G3467" s="275"/>
    </row>
    <row r="3468" spans="1:7" ht="17.45" customHeight="1">
      <c r="A3468" s="261" t="s">
        <v>8</v>
      </c>
      <c r="C3468" s="271" t="s">
        <v>3527</v>
      </c>
      <c r="D3468" s="497"/>
      <c r="E3468" s="499">
        <v>14800</v>
      </c>
      <c r="F3468" s="263"/>
      <c r="G3468" s="275"/>
    </row>
    <row r="3469" spans="1:7" ht="17.45" customHeight="1">
      <c r="A3469" s="261" t="s">
        <v>8</v>
      </c>
      <c r="C3469" s="271" t="s">
        <v>3528</v>
      </c>
      <c r="D3469" s="497"/>
      <c r="E3469" s="499">
        <v>500</v>
      </c>
      <c r="F3469" s="263"/>
      <c r="G3469" s="275"/>
    </row>
    <row r="3470" spans="1:7" ht="17.45" customHeight="1">
      <c r="A3470" s="261" t="s">
        <v>8</v>
      </c>
      <c r="C3470" s="271" t="s">
        <v>2968</v>
      </c>
      <c r="D3470" s="497"/>
      <c r="E3470" s="499">
        <v>26000</v>
      </c>
      <c r="F3470" s="263"/>
      <c r="G3470" s="275"/>
    </row>
    <row r="3471" spans="1:7" ht="17.45" customHeight="1">
      <c r="A3471" s="261" t="s">
        <v>8</v>
      </c>
      <c r="C3471" s="271" t="s">
        <v>3533</v>
      </c>
      <c r="D3471" s="497"/>
      <c r="E3471" s="499">
        <v>47000</v>
      </c>
      <c r="F3471" s="263"/>
      <c r="G3471" s="275"/>
    </row>
    <row r="3472" spans="1:7" ht="17.45" customHeight="1" thickBot="1">
      <c r="A3472" s="261" t="s">
        <v>8</v>
      </c>
      <c r="C3472" s="276" t="s">
        <v>1300</v>
      </c>
      <c r="D3472" s="502">
        <f>SUM(D3384:D3471)-SUM(E3384:E3471)</f>
        <v>10778</v>
      </c>
      <c r="E3472" s="502">
        <f>SUM(E3384:E3471)-SUM(F3384:F3471)</f>
        <v>7822039</v>
      </c>
      <c r="F3472" s="277"/>
      <c r="G3472" s="283"/>
    </row>
    <row r="3474" spans="1:7" ht="12.75" thickBot="1"/>
    <row r="3475" spans="1:7" ht="17.45" customHeight="1">
      <c r="A3475" s="261" t="s">
        <v>8</v>
      </c>
      <c r="B3475" s="256" t="s">
        <v>3530</v>
      </c>
      <c r="C3475" s="268" t="s">
        <v>1268</v>
      </c>
      <c r="D3475" s="500">
        <v>9381807</v>
      </c>
      <c r="E3475" s="501"/>
      <c r="F3475" s="269"/>
      <c r="G3475" s="270"/>
    </row>
    <row r="3476" spans="1:7" ht="17.45" customHeight="1">
      <c r="A3476" s="261" t="s">
        <v>8</v>
      </c>
      <c r="B3476" s="257"/>
      <c r="C3476" s="271" t="s">
        <v>2722</v>
      </c>
      <c r="D3476" s="497"/>
      <c r="E3476" s="497"/>
      <c r="F3476" s="263"/>
      <c r="G3476" s="272"/>
    </row>
    <row r="3477" spans="1:7" ht="17.45" customHeight="1">
      <c r="A3477" s="261" t="s">
        <v>8</v>
      </c>
      <c r="B3477" s="257"/>
      <c r="C3477" s="271" t="s">
        <v>3047</v>
      </c>
      <c r="D3477" s="497"/>
      <c r="E3477" s="497"/>
      <c r="F3477" s="263"/>
      <c r="G3477" s="272"/>
    </row>
    <row r="3478" spans="1:7" ht="17.45" customHeight="1">
      <c r="A3478" s="261" t="s">
        <v>8</v>
      </c>
      <c r="B3478" s="257"/>
      <c r="C3478" s="271" t="s">
        <v>1269</v>
      </c>
      <c r="D3478" s="497"/>
      <c r="E3478" s="499">
        <v>362000</v>
      </c>
      <c r="F3478" s="263"/>
      <c r="G3478" s="272" t="s">
        <v>3531</v>
      </c>
    </row>
    <row r="3479" spans="1:7" ht="17.45" customHeight="1">
      <c r="A3479" s="261" t="s">
        <v>8</v>
      </c>
      <c r="C3479" s="271" t="s">
        <v>1270</v>
      </c>
      <c r="D3479" s="497"/>
      <c r="E3479" s="499">
        <v>879000</v>
      </c>
      <c r="F3479" s="263"/>
      <c r="G3479" s="273" t="s">
        <v>3532</v>
      </c>
    </row>
    <row r="3480" spans="1:7" ht="17.45" customHeight="1">
      <c r="A3480" s="261" t="s">
        <v>8</v>
      </c>
      <c r="C3480" s="271" t="s">
        <v>1670</v>
      </c>
      <c r="D3480" s="497"/>
      <c r="E3480" s="497"/>
      <c r="F3480" s="263"/>
      <c r="G3480" s="274"/>
    </row>
    <row r="3481" spans="1:7" ht="17.45" customHeight="1">
      <c r="A3481" s="261" t="s">
        <v>8</v>
      </c>
      <c r="C3481" s="271" t="s">
        <v>1672</v>
      </c>
      <c r="D3481" s="497"/>
      <c r="E3481" s="499">
        <v>72200</v>
      </c>
      <c r="F3481" s="263"/>
      <c r="G3481" s="273" t="s">
        <v>2732</v>
      </c>
    </row>
    <row r="3482" spans="1:7" ht="17.45" customHeight="1">
      <c r="A3482" s="261" t="s">
        <v>8</v>
      </c>
      <c r="C3482" s="271" t="s">
        <v>1673</v>
      </c>
      <c r="D3482" s="497"/>
      <c r="E3482" s="497"/>
      <c r="F3482" s="263"/>
      <c r="G3482" s="274"/>
    </row>
    <row r="3483" spans="1:7" ht="17.45" customHeight="1">
      <c r="A3483" s="261" t="s">
        <v>8</v>
      </c>
      <c r="C3483" s="271" t="s">
        <v>1332</v>
      </c>
      <c r="D3483" s="497"/>
      <c r="E3483" s="499">
        <v>34650</v>
      </c>
      <c r="F3483" s="263"/>
      <c r="G3483" s="275"/>
    </row>
    <row r="3484" spans="1:7" ht="17.45" customHeight="1">
      <c r="A3484" s="261" t="s">
        <v>8</v>
      </c>
      <c r="C3484" s="271" t="s">
        <v>1271</v>
      </c>
      <c r="D3484" s="497"/>
      <c r="E3484" s="497"/>
      <c r="F3484" s="263"/>
      <c r="G3484" s="274"/>
    </row>
    <row r="3485" spans="1:7" ht="17.45" customHeight="1">
      <c r="A3485" s="261" t="s">
        <v>8</v>
      </c>
      <c r="C3485" s="271" t="s">
        <v>1272</v>
      </c>
      <c r="D3485" s="497"/>
      <c r="E3485" s="497"/>
      <c r="F3485" s="263"/>
      <c r="G3485" s="273"/>
    </row>
    <row r="3486" spans="1:7" ht="17.45" customHeight="1">
      <c r="A3486" s="261" t="s">
        <v>8</v>
      </c>
      <c r="C3486" s="271" t="s">
        <v>3009</v>
      </c>
      <c r="D3486" s="497"/>
      <c r="E3486" s="499">
        <f>20763*2</f>
        <v>41526</v>
      </c>
      <c r="F3486" s="263"/>
      <c r="G3486" s="273" t="s">
        <v>2732</v>
      </c>
    </row>
    <row r="3487" spans="1:7" ht="17.45" customHeight="1">
      <c r="A3487" s="261" t="s">
        <v>8</v>
      </c>
      <c r="C3487" s="271" t="s">
        <v>3010</v>
      </c>
      <c r="D3487" s="497"/>
      <c r="E3487" s="499">
        <v>900</v>
      </c>
      <c r="F3487" s="263"/>
      <c r="G3487" s="273"/>
    </row>
    <row r="3488" spans="1:7" ht="17.45" customHeight="1">
      <c r="A3488" s="261" t="s">
        <v>8</v>
      </c>
      <c r="C3488" s="271" t="s">
        <v>1273</v>
      </c>
      <c r="D3488" s="497"/>
      <c r="E3488" s="499">
        <v>29920</v>
      </c>
      <c r="F3488" s="263"/>
      <c r="G3488" s="273" t="s">
        <v>2732</v>
      </c>
    </row>
    <row r="3489" spans="1:7" ht="17.45" customHeight="1">
      <c r="A3489" s="261" t="s">
        <v>8</v>
      </c>
      <c r="C3489" s="271" t="s">
        <v>1274</v>
      </c>
      <c r="D3489" s="497"/>
      <c r="E3489" s="499">
        <v>3757</v>
      </c>
      <c r="F3489" s="263"/>
      <c r="G3489" s="273"/>
    </row>
    <row r="3490" spans="1:7" ht="17.45" customHeight="1">
      <c r="A3490" s="261" t="s">
        <v>8</v>
      </c>
      <c r="C3490" s="271" t="s">
        <v>2168</v>
      </c>
      <c r="D3490" s="497"/>
      <c r="E3490" s="499">
        <v>18816</v>
      </c>
      <c r="F3490" s="263"/>
      <c r="G3490" s="273" t="s">
        <v>2732</v>
      </c>
    </row>
    <row r="3491" spans="1:7" ht="17.45" customHeight="1">
      <c r="A3491" s="261" t="s">
        <v>8</v>
      </c>
      <c r="C3491" s="271" t="s">
        <v>1517</v>
      </c>
      <c r="D3491" s="497"/>
      <c r="E3491" s="499">
        <f>23230*2</f>
        <v>46460</v>
      </c>
      <c r="F3491" s="263"/>
      <c r="G3491" s="273" t="s">
        <v>2732</v>
      </c>
    </row>
    <row r="3492" spans="1:7" ht="17.45" customHeight="1">
      <c r="A3492" s="261" t="s">
        <v>8</v>
      </c>
      <c r="C3492" s="271" t="s">
        <v>1276</v>
      </c>
      <c r="D3492" s="497"/>
      <c r="E3492" s="499">
        <v>264370</v>
      </c>
      <c r="F3492" s="263"/>
      <c r="G3492" s="273" t="s">
        <v>2732</v>
      </c>
    </row>
    <row r="3493" spans="1:7" ht="17.45" customHeight="1">
      <c r="A3493" s="261" t="s">
        <v>8</v>
      </c>
      <c r="C3493" s="271" t="s">
        <v>1277</v>
      </c>
      <c r="D3493" s="497"/>
      <c r="E3493" s="499">
        <v>78180</v>
      </c>
      <c r="F3493" s="263"/>
      <c r="G3493" s="273" t="s">
        <v>2732</v>
      </c>
    </row>
    <row r="3494" spans="1:7" ht="17.45" customHeight="1">
      <c r="A3494" s="261" t="s">
        <v>8</v>
      </c>
      <c r="C3494" s="271" t="s">
        <v>1278</v>
      </c>
      <c r="D3494" s="497"/>
      <c r="E3494" s="499">
        <v>200000</v>
      </c>
      <c r="F3494" s="263"/>
      <c r="G3494" s="273"/>
    </row>
    <row r="3495" spans="1:7" ht="17.45" customHeight="1">
      <c r="A3495" s="261" t="s">
        <v>8</v>
      </c>
      <c r="C3495" s="285" t="s">
        <v>1413</v>
      </c>
      <c r="D3495" s="506"/>
      <c r="E3495" s="507">
        <f>1500000</f>
        <v>1500000</v>
      </c>
      <c r="F3495" s="286"/>
      <c r="G3495" s="287"/>
    </row>
    <row r="3496" spans="1:7" ht="17.25" customHeight="1">
      <c r="A3496" s="261" t="s">
        <v>8</v>
      </c>
      <c r="C3496" s="338" t="s">
        <v>2661</v>
      </c>
      <c r="D3496" s="497"/>
      <c r="E3496" s="497"/>
      <c r="F3496" s="263"/>
      <c r="G3496" s="275"/>
    </row>
    <row r="3497" spans="1:7" ht="17.45" customHeight="1">
      <c r="A3497" s="261" t="s">
        <v>8</v>
      </c>
      <c r="C3497" s="339" t="s">
        <v>3248</v>
      </c>
      <c r="D3497" s="506"/>
      <c r="E3497" s="507">
        <v>3000000</v>
      </c>
      <c r="F3497" s="286"/>
      <c r="G3497" s="290"/>
    </row>
    <row r="3498" spans="1:7" ht="17.45" customHeight="1">
      <c r="A3498" s="261" t="s">
        <v>8</v>
      </c>
      <c r="C3498" s="339" t="s">
        <v>2647</v>
      </c>
      <c r="D3498" s="506"/>
      <c r="E3498" s="506"/>
      <c r="F3498" s="286"/>
      <c r="G3498" s="290"/>
    </row>
    <row r="3499" spans="1:7" ht="17.45" customHeight="1" thickBot="1">
      <c r="A3499" s="261" t="s">
        <v>8</v>
      </c>
      <c r="C3499" s="285" t="s">
        <v>1942</v>
      </c>
      <c r="D3499" s="506"/>
      <c r="E3499" s="507">
        <v>20000</v>
      </c>
      <c r="F3499" s="286"/>
      <c r="G3499" s="290"/>
    </row>
    <row r="3500" spans="1:7" ht="17.45" customHeight="1">
      <c r="A3500" s="261" t="s">
        <v>8</v>
      </c>
      <c r="C3500" s="268" t="s">
        <v>1280</v>
      </c>
      <c r="D3500" s="501"/>
      <c r="E3500" s="500">
        <f>50000*2</f>
        <v>100000</v>
      </c>
      <c r="F3500" s="269"/>
      <c r="G3500" s="288"/>
    </row>
    <row r="3501" spans="1:7" ht="17.45" customHeight="1">
      <c r="A3501" s="261" t="s">
        <v>8</v>
      </c>
      <c r="C3501" s="271" t="s">
        <v>1549</v>
      </c>
      <c r="D3501" s="497"/>
      <c r="E3501" s="497"/>
      <c r="F3501" s="263"/>
      <c r="G3501" s="275"/>
    </row>
    <row r="3502" spans="1:7" ht="17.45" customHeight="1">
      <c r="A3502" s="261" t="s">
        <v>8</v>
      </c>
      <c r="C3502" s="271" t="s">
        <v>1819</v>
      </c>
      <c r="D3502" s="497"/>
      <c r="E3502" s="497"/>
      <c r="F3502" s="263"/>
      <c r="G3502" s="275"/>
    </row>
    <row r="3503" spans="1:7" ht="17.45" customHeight="1">
      <c r="A3503" s="261" t="s">
        <v>8</v>
      </c>
      <c r="C3503" s="271" t="s">
        <v>391</v>
      </c>
      <c r="D3503" s="497"/>
      <c r="E3503" s="497"/>
      <c r="F3503" s="263"/>
      <c r="G3503" s="275"/>
    </row>
    <row r="3504" spans="1:7" ht="17.45" customHeight="1">
      <c r="A3504" s="261" t="s">
        <v>8</v>
      </c>
      <c r="C3504" s="271" t="s">
        <v>1934</v>
      </c>
      <c r="D3504" s="497"/>
      <c r="E3504" s="497"/>
      <c r="F3504" s="263"/>
      <c r="G3504" s="275"/>
    </row>
    <row r="3505" spans="1:7" ht="17.25" customHeight="1">
      <c r="A3505" s="261" t="s">
        <v>8</v>
      </c>
      <c r="C3505" s="271" t="s">
        <v>2202</v>
      </c>
      <c r="D3505" s="497"/>
      <c r="E3505" s="497"/>
      <c r="F3505" s="263"/>
      <c r="G3505" s="275"/>
    </row>
    <row r="3506" spans="1:7" ht="17.45" customHeight="1">
      <c r="A3506" s="261" t="s">
        <v>8</v>
      </c>
      <c r="C3506" s="271" t="s">
        <v>2654</v>
      </c>
      <c r="D3506" s="497"/>
      <c r="E3506" s="497"/>
      <c r="F3506" s="263"/>
      <c r="G3506" s="275"/>
    </row>
    <row r="3507" spans="1:7" ht="17.45" customHeight="1">
      <c r="A3507" s="261" t="s">
        <v>8</v>
      </c>
      <c r="C3507" s="271" t="s">
        <v>2097</v>
      </c>
      <c r="D3507" s="497"/>
      <c r="E3507" s="497"/>
      <c r="F3507" s="263"/>
      <c r="G3507" s="275"/>
    </row>
    <row r="3508" spans="1:7" ht="17.45" customHeight="1">
      <c r="A3508" s="261" t="s">
        <v>8</v>
      </c>
      <c r="C3508" s="271" t="s">
        <v>1687</v>
      </c>
      <c r="D3508" s="497"/>
      <c r="E3508" s="497"/>
      <c r="F3508" s="263"/>
      <c r="G3508" s="275"/>
    </row>
    <row r="3509" spans="1:7" ht="17.45" customHeight="1">
      <c r="A3509" s="261" t="s">
        <v>8</v>
      </c>
      <c r="C3509" s="271" t="s">
        <v>1688</v>
      </c>
      <c r="D3509" s="497"/>
      <c r="E3509" s="499">
        <f>55000</f>
        <v>55000</v>
      </c>
      <c r="F3509" s="263"/>
      <c r="G3509" s="275"/>
    </row>
    <row r="3510" spans="1:7" ht="17.45" customHeight="1">
      <c r="A3510" s="261" t="s">
        <v>8</v>
      </c>
      <c r="C3510" s="271" t="s">
        <v>1602</v>
      </c>
      <c r="D3510" s="497"/>
      <c r="E3510" s="497"/>
      <c r="F3510" s="263"/>
      <c r="G3510" s="275"/>
    </row>
    <row r="3511" spans="1:7" ht="17.45" customHeight="1">
      <c r="A3511" s="261" t="s">
        <v>8</v>
      </c>
      <c r="C3511" s="271" t="s">
        <v>1596</v>
      </c>
      <c r="D3511" s="497"/>
      <c r="E3511" s="499">
        <f>4000+3500</f>
        <v>7500</v>
      </c>
      <c r="F3511" s="263"/>
      <c r="G3511" s="275"/>
    </row>
    <row r="3512" spans="1:7" ht="17.45" customHeight="1">
      <c r="A3512" s="261" t="s">
        <v>8</v>
      </c>
      <c r="C3512" s="271" t="s">
        <v>1595</v>
      </c>
      <c r="D3512" s="497"/>
      <c r="E3512" s="499">
        <f>4000+3200</f>
        <v>7200</v>
      </c>
      <c r="F3512" s="263"/>
      <c r="G3512" s="275"/>
    </row>
    <row r="3513" spans="1:7" ht="17.45" customHeight="1">
      <c r="A3513" s="261" t="s">
        <v>8</v>
      </c>
      <c r="C3513" s="271" t="s">
        <v>2822</v>
      </c>
      <c r="D3513" s="497"/>
      <c r="E3513" s="499">
        <f>5400+1900+1800+13600</f>
        <v>22700</v>
      </c>
      <c r="F3513" s="263"/>
      <c r="G3513" s="275"/>
    </row>
    <row r="3514" spans="1:7" ht="17.45" customHeight="1">
      <c r="A3514" s="261" t="s">
        <v>8</v>
      </c>
      <c r="C3514" s="271" t="s">
        <v>2821</v>
      </c>
      <c r="D3514" s="497"/>
      <c r="F3514" s="263"/>
      <c r="G3514" s="273" t="s">
        <v>3373</v>
      </c>
    </row>
    <row r="3515" spans="1:7" ht="17.45" customHeight="1">
      <c r="A3515" s="261" t="s">
        <v>8</v>
      </c>
      <c r="C3515" s="271" t="s">
        <v>1689</v>
      </c>
      <c r="D3515" s="497"/>
      <c r="E3515" s="497"/>
      <c r="F3515" s="263"/>
      <c r="G3515" s="275"/>
    </row>
    <row r="3516" spans="1:7" ht="17.45" customHeight="1">
      <c r="A3516" s="261" t="s">
        <v>8</v>
      </c>
      <c r="C3516" s="271" t="s">
        <v>1569</v>
      </c>
      <c r="D3516" s="497"/>
      <c r="E3516" s="499">
        <v>81300</v>
      </c>
      <c r="F3516" s="263"/>
      <c r="G3516" s="275"/>
    </row>
    <row r="3517" spans="1:7" ht="17.45" customHeight="1">
      <c r="A3517" s="261" t="s">
        <v>8</v>
      </c>
      <c r="C3517" s="271" t="s">
        <v>1618</v>
      </c>
      <c r="D3517" s="497"/>
      <c r="E3517" s="499">
        <f>5580+8460+9860+6330+19550+19980+2780</f>
        <v>72540</v>
      </c>
      <c r="F3517" s="263"/>
      <c r="G3517" s="275"/>
    </row>
    <row r="3518" spans="1:7" ht="17.45" customHeight="1">
      <c r="A3518" s="261" t="s">
        <v>8</v>
      </c>
      <c r="C3518" s="271" t="s">
        <v>2810</v>
      </c>
      <c r="D3518" s="497"/>
      <c r="E3518" s="499">
        <f>66300+56300</f>
        <v>122600</v>
      </c>
      <c r="F3518" s="263"/>
      <c r="G3518" s="275"/>
    </row>
    <row r="3519" spans="1:7" ht="17.45" customHeight="1" thickBot="1">
      <c r="A3519" s="261" t="s">
        <v>8</v>
      </c>
      <c r="C3519" s="276" t="s">
        <v>2699</v>
      </c>
      <c r="D3519" s="502"/>
      <c r="E3519" s="503">
        <f>23800+27500+8500+24000+20200</f>
        <v>104000</v>
      </c>
      <c r="F3519" s="277"/>
      <c r="G3519" s="282"/>
    </row>
    <row r="3520" spans="1:7" ht="17.45" customHeight="1">
      <c r="A3520" s="261" t="s">
        <v>8</v>
      </c>
      <c r="C3520" s="279" t="s">
        <v>3534</v>
      </c>
      <c r="D3520" s="504"/>
      <c r="E3520" s="505">
        <v>18000</v>
      </c>
      <c r="F3520" s="280"/>
      <c r="G3520" s="273" t="s">
        <v>2732</v>
      </c>
    </row>
    <row r="3521" spans="1:7" ht="17.45" customHeight="1">
      <c r="A3521" s="261" t="s">
        <v>8</v>
      </c>
      <c r="C3521" s="284" t="s">
        <v>3535</v>
      </c>
      <c r="D3521" s="497"/>
      <c r="E3521" s="499">
        <f>13100+12600+13500</f>
        <v>39200</v>
      </c>
      <c r="F3521" s="263"/>
      <c r="G3521" s="275"/>
    </row>
    <row r="3522" spans="1:7" ht="17.45" customHeight="1">
      <c r="A3522" s="261" t="s">
        <v>8</v>
      </c>
      <c r="C3522" s="271" t="s">
        <v>3536</v>
      </c>
      <c r="D3522" s="497"/>
      <c r="E3522" s="499">
        <f>-208400+1600</f>
        <v>-206800</v>
      </c>
      <c r="F3522" s="263"/>
      <c r="G3522" s="275"/>
    </row>
    <row r="3523" spans="1:7" ht="17.45" customHeight="1">
      <c r="A3523" s="261" t="s">
        <v>8</v>
      </c>
      <c r="C3523" s="271" t="s">
        <v>3537</v>
      </c>
      <c r="D3523" s="497"/>
      <c r="E3523" s="499">
        <f>570000-496000</f>
        <v>74000</v>
      </c>
      <c r="F3523" s="263"/>
      <c r="G3523" s="275"/>
    </row>
    <row r="3524" spans="1:7" ht="17.45" customHeight="1">
      <c r="A3524" s="261" t="s">
        <v>8</v>
      </c>
      <c r="C3524" s="271" t="s">
        <v>3538</v>
      </c>
      <c r="D3524" s="497"/>
      <c r="E3524" s="499">
        <v>30000</v>
      </c>
      <c r="F3524" s="263"/>
      <c r="G3524" s="275"/>
    </row>
    <row r="3525" spans="1:7" ht="17.45" customHeight="1">
      <c r="A3525" s="261" t="s">
        <v>8</v>
      </c>
      <c r="C3525" s="271" t="s">
        <v>3539</v>
      </c>
      <c r="D3525" s="497"/>
      <c r="E3525" s="499">
        <v>7600</v>
      </c>
      <c r="F3525" s="263"/>
      <c r="G3525" s="275"/>
    </row>
    <row r="3526" spans="1:7" ht="17.45" customHeight="1">
      <c r="A3526" s="261" t="s">
        <v>8</v>
      </c>
      <c r="C3526" s="271" t="s">
        <v>3540</v>
      </c>
      <c r="D3526" s="497"/>
      <c r="E3526" s="499">
        <v>6000</v>
      </c>
      <c r="F3526" s="263"/>
      <c r="G3526" s="275"/>
    </row>
    <row r="3527" spans="1:7" ht="17.45" customHeight="1">
      <c r="A3527" s="261" t="s">
        <v>8</v>
      </c>
      <c r="C3527" s="271" t="s">
        <v>3541</v>
      </c>
      <c r="D3527" s="497"/>
      <c r="E3527" s="499">
        <v>25500</v>
      </c>
      <c r="F3527" s="263"/>
      <c r="G3527" s="275"/>
    </row>
    <row r="3528" spans="1:7" ht="17.45" customHeight="1">
      <c r="A3528" s="261" t="s">
        <v>8</v>
      </c>
      <c r="C3528" s="284" t="s">
        <v>3542</v>
      </c>
      <c r="D3528" s="497"/>
      <c r="E3528" s="499">
        <v>13700</v>
      </c>
      <c r="F3528" s="263"/>
      <c r="G3528" s="275"/>
    </row>
    <row r="3529" spans="1:7" ht="17.45" customHeight="1">
      <c r="A3529" s="261" t="s">
        <v>8</v>
      </c>
      <c r="C3529" s="271" t="s">
        <v>3543</v>
      </c>
      <c r="D3529" s="497"/>
      <c r="E3529" s="499">
        <v>1000</v>
      </c>
      <c r="F3529" s="263"/>
      <c r="G3529" s="275"/>
    </row>
    <row r="3530" spans="1:7" ht="17.45" customHeight="1">
      <c r="A3530" s="261" t="s">
        <v>8</v>
      </c>
      <c r="C3530" s="271" t="s">
        <v>3544</v>
      </c>
      <c r="D3530" s="497"/>
      <c r="E3530" s="499">
        <v>14400</v>
      </c>
      <c r="F3530" s="263"/>
      <c r="G3530" s="275"/>
    </row>
    <row r="3531" spans="1:7" ht="17.45" customHeight="1">
      <c r="A3531" s="261" t="s">
        <v>8</v>
      </c>
      <c r="C3531" s="271" t="s">
        <v>3545</v>
      </c>
      <c r="D3531" s="499">
        <v>221780</v>
      </c>
      <c r="E3531" s="497"/>
      <c r="F3531" s="263"/>
      <c r="G3531" s="275"/>
    </row>
    <row r="3532" spans="1:7" ht="17.45" customHeight="1">
      <c r="A3532" s="261" t="s">
        <v>8</v>
      </c>
      <c r="C3532" s="271" t="s">
        <v>3546</v>
      </c>
      <c r="D3532" s="499">
        <v>16400</v>
      </c>
      <c r="E3532" s="497"/>
      <c r="F3532" s="263"/>
      <c r="G3532" s="275"/>
    </row>
    <row r="3533" spans="1:7" ht="17.45" customHeight="1">
      <c r="A3533" s="261" t="s">
        <v>8</v>
      </c>
      <c r="C3533" s="284" t="s">
        <v>3547</v>
      </c>
      <c r="D3533" s="497"/>
      <c r="E3533" s="499">
        <v>38000</v>
      </c>
      <c r="F3533" s="263"/>
      <c r="G3533" s="275"/>
    </row>
    <row r="3534" spans="1:7" ht="17.45" customHeight="1">
      <c r="A3534" s="261" t="s">
        <v>8</v>
      </c>
      <c r="C3534" s="271" t="s">
        <v>3548</v>
      </c>
      <c r="D3534" s="499">
        <v>40309</v>
      </c>
      <c r="E3534" s="497"/>
      <c r="F3534" s="263"/>
      <c r="G3534" s="275"/>
    </row>
    <row r="3535" spans="1:7" ht="17.45" customHeight="1">
      <c r="A3535" s="261" t="s">
        <v>8</v>
      </c>
      <c r="C3535" s="271" t="s">
        <v>3549</v>
      </c>
      <c r="D3535" s="499">
        <f>74991+61949</f>
        <v>136940</v>
      </c>
      <c r="E3535" s="497"/>
      <c r="F3535" s="263"/>
      <c r="G3535" s="275"/>
    </row>
    <row r="3536" spans="1:7" ht="17.45" customHeight="1">
      <c r="A3536" s="261" t="s">
        <v>8</v>
      </c>
      <c r="C3536" s="271" t="s">
        <v>3550</v>
      </c>
      <c r="D3536" s="497"/>
      <c r="E3536" s="499">
        <f>4000-4000</f>
        <v>0</v>
      </c>
      <c r="F3536" s="263"/>
      <c r="G3536" s="275"/>
    </row>
    <row r="3537" spans="1:7" ht="17.45" customHeight="1">
      <c r="A3537" s="261" t="s">
        <v>8</v>
      </c>
      <c r="C3537" s="271" t="s">
        <v>3551</v>
      </c>
      <c r="D3537" s="497"/>
      <c r="E3537" s="499">
        <v>18500</v>
      </c>
      <c r="F3537" s="263"/>
      <c r="G3537" s="275"/>
    </row>
    <row r="3538" spans="1:7" ht="17.45" customHeight="1">
      <c r="A3538" s="261" t="s">
        <v>8</v>
      </c>
      <c r="C3538" s="271" t="s">
        <v>3552</v>
      </c>
      <c r="D3538" s="497"/>
      <c r="E3538" s="499">
        <v>200000</v>
      </c>
      <c r="F3538" s="263"/>
      <c r="G3538" s="275"/>
    </row>
    <row r="3539" spans="1:7" ht="17.45" customHeight="1">
      <c r="A3539" s="261" t="s">
        <v>8</v>
      </c>
      <c r="C3539" s="271" t="s">
        <v>3553</v>
      </c>
      <c r="D3539" s="497"/>
      <c r="E3539" s="499">
        <v>4700</v>
      </c>
      <c r="F3539" s="263"/>
      <c r="G3539" s="275"/>
    </row>
    <row r="3540" spans="1:7" ht="17.45" customHeight="1">
      <c r="A3540" s="261" t="s">
        <v>8</v>
      </c>
      <c r="C3540" s="271" t="s">
        <v>3554</v>
      </c>
      <c r="D3540" s="497"/>
      <c r="E3540" s="499">
        <v>2900</v>
      </c>
      <c r="F3540" s="263"/>
      <c r="G3540" s="275"/>
    </row>
    <row r="3541" spans="1:7" ht="17.45" customHeight="1">
      <c r="A3541" s="261" t="s">
        <v>8</v>
      </c>
      <c r="C3541" s="271" t="s">
        <v>3555</v>
      </c>
      <c r="D3541" s="499">
        <v>672</v>
      </c>
      <c r="E3541" s="497"/>
      <c r="F3541" s="263"/>
      <c r="G3541" s="275"/>
    </row>
    <row r="3542" spans="1:7" ht="17.45" customHeight="1">
      <c r="A3542" s="261" t="s">
        <v>8</v>
      </c>
      <c r="C3542" s="271" t="s">
        <v>3556</v>
      </c>
      <c r="D3542" s="497"/>
      <c r="E3542" s="499">
        <v>1000</v>
      </c>
      <c r="F3542" s="263"/>
      <c r="G3542" s="275"/>
    </row>
    <row r="3543" spans="1:7" ht="17.45" customHeight="1">
      <c r="A3543" s="261" t="s">
        <v>8</v>
      </c>
      <c r="C3543" s="271" t="s">
        <v>3557</v>
      </c>
      <c r="D3543" s="497"/>
      <c r="E3543" s="499">
        <v>8000</v>
      </c>
      <c r="F3543" s="263"/>
      <c r="G3543" s="275"/>
    </row>
    <row r="3544" spans="1:7" ht="17.45" customHeight="1">
      <c r="A3544" s="261" t="s">
        <v>8</v>
      </c>
      <c r="C3544" s="271" t="s">
        <v>3558</v>
      </c>
      <c r="D3544" s="497"/>
      <c r="E3544" s="499">
        <v>518400</v>
      </c>
      <c r="F3544" s="263"/>
      <c r="G3544" s="275"/>
    </row>
    <row r="3545" spans="1:7" ht="17.45" customHeight="1" thickBot="1">
      <c r="A3545" s="261" t="s">
        <v>8</v>
      </c>
      <c r="C3545" s="276" t="s">
        <v>1300</v>
      </c>
      <c r="D3545" s="502">
        <f>SUM(D3475:D3544)-SUM(E3475:E3544)</f>
        <v>1859189</v>
      </c>
      <c r="E3545" s="502">
        <f>SUM(E3475:E3544)-SUM(F3475:F3544)</f>
        <v>7938719</v>
      </c>
      <c r="F3545" s="277"/>
      <c r="G3545" s="283"/>
    </row>
    <row r="3547" spans="1:7" ht="12.75" thickBot="1"/>
    <row r="3548" spans="1:7" ht="17.45" customHeight="1">
      <c r="A3548" s="261" t="s">
        <v>8</v>
      </c>
      <c r="B3548" s="256" t="s">
        <v>3559</v>
      </c>
      <c r="C3548" s="268" t="s">
        <v>1268</v>
      </c>
      <c r="D3548" s="500">
        <v>6725227</v>
      </c>
      <c r="E3548" s="501"/>
      <c r="F3548" s="269"/>
      <c r="G3548" s="270"/>
    </row>
    <row r="3549" spans="1:7" ht="17.45" customHeight="1">
      <c r="A3549" s="261" t="s">
        <v>8</v>
      </c>
      <c r="B3549" s="257"/>
      <c r="C3549" s="271" t="s">
        <v>2722</v>
      </c>
      <c r="D3549" s="497"/>
      <c r="E3549" s="497"/>
      <c r="F3549" s="263"/>
      <c r="G3549" s="272"/>
    </row>
    <row r="3550" spans="1:7" ht="17.45" customHeight="1">
      <c r="A3550" s="261" t="s">
        <v>8</v>
      </c>
      <c r="B3550" s="257"/>
      <c r="C3550" s="271" t="s">
        <v>3047</v>
      </c>
      <c r="D3550" s="497"/>
      <c r="E3550" s="497"/>
      <c r="F3550" s="263"/>
      <c r="G3550" s="272"/>
    </row>
    <row r="3551" spans="1:7" ht="17.45" customHeight="1">
      <c r="A3551" s="261" t="s">
        <v>8</v>
      </c>
      <c r="B3551" s="257"/>
      <c r="C3551" s="271" t="s">
        <v>1269</v>
      </c>
      <c r="D3551" s="497"/>
      <c r="E3551" s="499">
        <v>401000</v>
      </c>
      <c r="F3551" s="263"/>
      <c r="G3551" s="272" t="s">
        <v>3589</v>
      </c>
    </row>
    <row r="3552" spans="1:7" ht="17.45" customHeight="1">
      <c r="A3552" s="261" t="s">
        <v>8</v>
      </c>
      <c r="C3552" s="271" t="s">
        <v>1270</v>
      </c>
      <c r="D3552" s="497"/>
      <c r="E3552" s="499">
        <v>830000</v>
      </c>
      <c r="F3552" s="263"/>
      <c r="G3552" s="273" t="s">
        <v>3532</v>
      </c>
    </row>
    <row r="3553" spans="1:7" ht="17.45" customHeight="1">
      <c r="A3553" s="261" t="s">
        <v>8</v>
      </c>
      <c r="C3553" s="271" t="s">
        <v>1670</v>
      </c>
      <c r="D3553" s="497"/>
      <c r="E3553" s="497"/>
      <c r="F3553" s="263"/>
      <c r="G3553" s="274"/>
    </row>
    <row r="3554" spans="1:7" ht="17.45" customHeight="1">
      <c r="A3554" s="261" t="s">
        <v>8</v>
      </c>
      <c r="C3554" s="271" t="s">
        <v>1672</v>
      </c>
      <c r="D3554" s="497"/>
      <c r="E3554" s="499">
        <v>72200</v>
      </c>
      <c r="F3554" s="263"/>
      <c r="G3554" s="273" t="s">
        <v>2732</v>
      </c>
    </row>
    <row r="3555" spans="1:7" ht="17.45" customHeight="1">
      <c r="A3555" s="261" t="s">
        <v>8</v>
      </c>
      <c r="C3555" s="271" t="s">
        <v>1673</v>
      </c>
      <c r="D3555" s="497"/>
      <c r="E3555" s="497"/>
      <c r="F3555" s="263"/>
      <c r="G3555" s="274"/>
    </row>
    <row r="3556" spans="1:7" ht="17.45" customHeight="1">
      <c r="A3556" s="261" t="s">
        <v>8</v>
      </c>
      <c r="C3556" s="271" t="s">
        <v>1332</v>
      </c>
      <c r="D3556" s="497"/>
      <c r="E3556" s="499">
        <v>34650</v>
      </c>
      <c r="F3556" s="263"/>
      <c r="G3556" s="275"/>
    </row>
    <row r="3557" spans="1:7" ht="17.45" customHeight="1">
      <c r="A3557" s="261" t="s">
        <v>8</v>
      </c>
      <c r="C3557" s="271" t="s">
        <v>1271</v>
      </c>
      <c r="D3557" s="497"/>
      <c r="E3557" s="497"/>
      <c r="F3557" s="263"/>
      <c r="G3557" s="274"/>
    </row>
    <row r="3558" spans="1:7" ht="17.45" customHeight="1">
      <c r="A3558" s="261" t="s">
        <v>8</v>
      </c>
      <c r="C3558" s="271" t="s">
        <v>1272</v>
      </c>
      <c r="D3558" s="497"/>
      <c r="E3558" s="497"/>
      <c r="F3558" s="263"/>
      <c r="G3558" s="273"/>
    </row>
    <row r="3559" spans="1:7" ht="17.45" customHeight="1">
      <c r="A3559" s="261" t="s">
        <v>8</v>
      </c>
      <c r="C3559" s="271" t="s">
        <v>3009</v>
      </c>
      <c r="D3559" s="497"/>
      <c r="E3559" s="499">
        <v>21136</v>
      </c>
      <c r="F3559" s="263"/>
      <c r="G3559" s="273" t="s">
        <v>2732</v>
      </c>
    </row>
    <row r="3560" spans="1:7" ht="17.45" customHeight="1">
      <c r="A3560" s="261" t="s">
        <v>8</v>
      </c>
      <c r="C3560" s="271" t="s">
        <v>3010</v>
      </c>
      <c r="D3560" s="497"/>
      <c r="E3560" s="499">
        <v>900</v>
      </c>
      <c r="F3560" s="263"/>
      <c r="G3560" s="273"/>
    </row>
    <row r="3561" spans="1:7" ht="17.45" customHeight="1">
      <c r="A3561" s="261" t="s">
        <v>8</v>
      </c>
      <c r="C3561" s="271" t="s">
        <v>1273</v>
      </c>
      <c r="D3561" s="497"/>
      <c r="E3561" s="499">
        <v>29920</v>
      </c>
      <c r="F3561" s="263"/>
      <c r="G3561" s="273" t="s">
        <v>2732</v>
      </c>
    </row>
    <row r="3562" spans="1:7" ht="17.45" customHeight="1">
      <c r="A3562" s="261" t="s">
        <v>8</v>
      </c>
      <c r="C3562" s="271" t="s">
        <v>1274</v>
      </c>
      <c r="D3562" s="497"/>
      <c r="E3562" s="499">
        <v>3757</v>
      </c>
      <c r="F3562" s="263"/>
      <c r="G3562" s="273"/>
    </row>
    <row r="3563" spans="1:7" ht="17.45" customHeight="1">
      <c r="A3563" s="261" t="s">
        <v>8</v>
      </c>
      <c r="C3563" s="271" t="s">
        <v>2168</v>
      </c>
      <c r="D3563" s="497"/>
      <c r="E3563" s="499">
        <v>18816</v>
      </c>
      <c r="F3563" s="263"/>
      <c r="G3563" s="273" t="s">
        <v>2732</v>
      </c>
    </row>
    <row r="3564" spans="1:7" ht="17.45" customHeight="1">
      <c r="A3564" s="261" t="s">
        <v>8</v>
      </c>
      <c r="C3564" s="271" t="s">
        <v>1517</v>
      </c>
      <c r="D3564" s="497"/>
      <c r="E3564" s="499">
        <f>23230</f>
        <v>23230</v>
      </c>
      <c r="F3564" s="263"/>
      <c r="G3564" s="273" t="s">
        <v>2732</v>
      </c>
    </row>
    <row r="3565" spans="1:7" ht="17.45" customHeight="1">
      <c r="A3565" s="261" t="s">
        <v>8</v>
      </c>
      <c r="C3565" s="271" t="s">
        <v>1276</v>
      </c>
      <c r="D3565" s="497"/>
      <c r="E3565" s="499">
        <v>308070</v>
      </c>
      <c r="F3565" s="263"/>
      <c r="G3565" s="273" t="s">
        <v>2732</v>
      </c>
    </row>
    <row r="3566" spans="1:7" ht="17.45" customHeight="1">
      <c r="A3566" s="261" t="s">
        <v>8</v>
      </c>
      <c r="C3566" s="271" t="s">
        <v>1277</v>
      </c>
      <c r="D3566" s="497"/>
      <c r="E3566" s="499">
        <v>88610</v>
      </c>
      <c r="F3566" s="263"/>
      <c r="G3566" s="273" t="s">
        <v>2732</v>
      </c>
    </row>
    <row r="3567" spans="1:7" ht="17.45" customHeight="1">
      <c r="A3567" s="261" t="s">
        <v>8</v>
      </c>
      <c r="C3567" s="271" t="s">
        <v>1278</v>
      </c>
      <c r="D3567" s="497"/>
      <c r="E3567" s="499">
        <v>200000</v>
      </c>
      <c r="F3567" s="263"/>
      <c r="G3567" s="273"/>
    </row>
    <row r="3568" spans="1:7" ht="17.45" customHeight="1">
      <c r="A3568" s="261" t="s">
        <v>8</v>
      </c>
      <c r="C3568" s="285" t="s">
        <v>1413</v>
      </c>
      <c r="D3568" s="506"/>
      <c r="E3568" s="507">
        <f>1500000</f>
        <v>1500000</v>
      </c>
      <c r="F3568" s="286"/>
      <c r="G3568" s="287"/>
    </row>
    <row r="3569" spans="1:7" ht="17.25" customHeight="1">
      <c r="A3569" s="261" t="s">
        <v>8</v>
      </c>
      <c r="C3569" s="338" t="s">
        <v>2661</v>
      </c>
      <c r="D3569" s="497"/>
      <c r="E3569" s="497"/>
      <c r="F3569" s="263"/>
      <c r="G3569" s="275"/>
    </row>
    <row r="3570" spans="1:7" ht="17.45" customHeight="1">
      <c r="A3570" s="261" t="s">
        <v>8</v>
      </c>
      <c r="C3570" s="339" t="s">
        <v>3248</v>
      </c>
      <c r="D3570" s="506"/>
      <c r="E3570" s="506"/>
      <c r="F3570" s="286"/>
      <c r="G3570" s="290"/>
    </row>
    <row r="3571" spans="1:7" ht="17.45" customHeight="1">
      <c r="A3571" s="261" t="s">
        <v>8</v>
      </c>
      <c r="C3571" s="339" t="s">
        <v>2647</v>
      </c>
      <c r="D3571" s="506"/>
      <c r="E3571" s="506"/>
      <c r="F3571" s="286"/>
      <c r="G3571" s="290"/>
    </row>
    <row r="3572" spans="1:7" ht="17.45" customHeight="1" thickBot="1">
      <c r="A3572" s="261" t="s">
        <v>8</v>
      </c>
      <c r="C3572" s="285" t="s">
        <v>1942</v>
      </c>
      <c r="D3572" s="506"/>
      <c r="E3572" s="507">
        <v>20000</v>
      </c>
      <c r="F3572" s="286"/>
      <c r="G3572" s="290"/>
    </row>
    <row r="3573" spans="1:7" ht="17.45" customHeight="1">
      <c r="A3573" s="261" t="s">
        <v>8</v>
      </c>
      <c r="C3573" s="268" t="s">
        <v>1280</v>
      </c>
      <c r="D3573" s="501"/>
      <c r="E3573" s="500">
        <f>81000</f>
        <v>81000</v>
      </c>
      <c r="F3573" s="269"/>
      <c r="G3573" s="288"/>
    </row>
    <row r="3574" spans="1:7" ht="17.45" customHeight="1">
      <c r="A3574" s="261" t="s">
        <v>8</v>
      </c>
      <c r="C3574" s="271" t="s">
        <v>1549</v>
      </c>
      <c r="D3574" s="497"/>
      <c r="E3574" s="497"/>
      <c r="F3574" s="263"/>
      <c r="G3574" s="275"/>
    </row>
    <row r="3575" spans="1:7" ht="17.45" customHeight="1">
      <c r="A3575" s="261" t="s">
        <v>8</v>
      </c>
      <c r="C3575" s="271" t="s">
        <v>1819</v>
      </c>
      <c r="D3575" s="497"/>
      <c r="E3575" s="497"/>
      <c r="F3575" s="263"/>
      <c r="G3575" s="275"/>
    </row>
    <row r="3576" spans="1:7" ht="17.45" customHeight="1">
      <c r="A3576" s="261" t="s">
        <v>8</v>
      </c>
      <c r="C3576" s="271" t="s">
        <v>391</v>
      </c>
      <c r="D3576" s="497"/>
      <c r="E3576" s="497"/>
      <c r="F3576" s="263"/>
      <c r="G3576" s="275"/>
    </row>
    <row r="3577" spans="1:7" ht="17.45" customHeight="1">
      <c r="A3577" s="261" t="s">
        <v>8</v>
      </c>
      <c r="C3577" s="271" t="s">
        <v>1934</v>
      </c>
      <c r="D3577" s="497"/>
      <c r="E3577" s="497"/>
      <c r="F3577" s="263"/>
      <c r="G3577" s="275"/>
    </row>
    <row r="3578" spans="1:7" ht="17.25" customHeight="1">
      <c r="A3578" s="261" t="s">
        <v>8</v>
      </c>
      <c r="C3578" s="271" t="s">
        <v>2202</v>
      </c>
      <c r="D3578" s="497"/>
      <c r="E3578" s="497"/>
      <c r="F3578" s="263"/>
      <c r="G3578" s="275"/>
    </row>
    <row r="3579" spans="1:7" ht="17.45" customHeight="1">
      <c r="A3579" s="261" t="s">
        <v>8</v>
      </c>
      <c r="C3579" s="271" t="s">
        <v>2654</v>
      </c>
      <c r="D3579" s="497"/>
      <c r="E3579" s="497"/>
      <c r="F3579" s="263"/>
      <c r="G3579" s="275"/>
    </row>
    <row r="3580" spans="1:7" ht="17.45" customHeight="1">
      <c r="A3580" s="261" t="s">
        <v>8</v>
      </c>
      <c r="C3580" s="271" t="s">
        <v>2097</v>
      </c>
      <c r="D3580" s="497"/>
      <c r="E3580" s="497"/>
      <c r="F3580" s="263"/>
      <c r="G3580" s="275"/>
    </row>
    <row r="3581" spans="1:7" ht="17.45" customHeight="1">
      <c r="A3581" s="261" t="s">
        <v>8</v>
      </c>
      <c r="C3581" s="271" t="s">
        <v>1687</v>
      </c>
      <c r="D3581" s="497"/>
      <c r="E3581" s="497"/>
      <c r="F3581" s="263"/>
      <c r="G3581" s="275"/>
    </row>
    <row r="3582" spans="1:7" ht="17.45" customHeight="1">
      <c r="A3582" s="261" t="s">
        <v>8</v>
      </c>
      <c r="C3582" s="271" t="s">
        <v>1688</v>
      </c>
      <c r="D3582" s="497"/>
      <c r="E3582" s="499">
        <v>55000</v>
      </c>
      <c r="F3582" s="263"/>
      <c r="G3582" s="275"/>
    </row>
    <row r="3583" spans="1:7" ht="17.45" customHeight="1">
      <c r="A3583" s="261" t="s">
        <v>8</v>
      </c>
      <c r="C3583" s="271" t="s">
        <v>1602</v>
      </c>
      <c r="D3583" s="497"/>
      <c r="E3583" s="497"/>
      <c r="F3583" s="263"/>
      <c r="G3583" s="275"/>
    </row>
    <row r="3584" spans="1:7" ht="17.45" customHeight="1">
      <c r="A3584" s="261" t="s">
        <v>8</v>
      </c>
      <c r="C3584" s="271" t="s">
        <v>1596</v>
      </c>
      <c r="D3584" s="497"/>
      <c r="E3584" s="497"/>
      <c r="F3584" s="263"/>
      <c r="G3584" s="275"/>
    </row>
    <row r="3585" spans="1:7" ht="17.45" customHeight="1">
      <c r="A3585" s="261" t="s">
        <v>8</v>
      </c>
      <c r="C3585" s="271" t="s">
        <v>1595</v>
      </c>
      <c r="D3585" s="497"/>
      <c r="E3585" s="497"/>
      <c r="F3585" s="263"/>
      <c r="G3585" s="275"/>
    </row>
    <row r="3586" spans="1:7" ht="17.45" customHeight="1">
      <c r="A3586" s="261" t="s">
        <v>8</v>
      </c>
      <c r="C3586" s="271" t="s">
        <v>2822</v>
      </c>
      <c r="D3586" s="497"/>
      <c r="E3586" s="499">
        <f>4800+6000</f>
        <v>10800</v>
      </c>
      <c r="F3586" s="263"/>
      <c r="G3586" s="275"/>
    </row>
    <row r="3587" spans="1:7" ht="17.45" customHeight="1">
      <c r="A3587" s="261" t="s">
        <v>8</v>
      </c>
      <c r="C3587" s="271" t="s">
        <v>2821</v>
      </c>
      <c r="D3587" s="497"/>
      <c r="F3587" s="263"/>
      <c r="G3587" s="273" t="s">
        <v>3373</v>
      </c>
    </row>
    <row r="3588" spans="1:7" ht="17.45" customHeight="1">
      <c r="A3588" s="261" t="s">
        <v>8</v>
      </c>
      <c r="C3588" s="271" t="s">
        <v>1689</v>
      </c>
      <c r="D3588" s="497"/>
      <c r="E3588" s="497"/>
      <c r="F3588" s="263"/>
      <c r="G3588" s="275"/>
    </row>
    <row r="3589" spans="1:7" ht="17.45" customHeight="1">
      <c r="A3589" s="261" t="s">
        <v>8</v>
      </c>
      <c r="C3589" s="271" t="s">
        <v>1569</v>
      </c>
      <c r="D3589" s="497"/>
      <c r="E3589" s="499">
        <f>93340</f>
        <v>93340</v>
      </c>
      <c r="F3589" s="263"/>
      <c r="G3589" s="275"/>
    </row>
    <row r="3590" spans="1:7" ht="17.45" customHeight="1">
      <c r="A3590" s="261" t="s">
        <v>8</v>
      </c>
      <c r="C3590" s="271" t="s">
        <v>1618</v>
      </c>
      <c r="D3590" s="497"/>
      <c r="E3590" s="499">
        <f>2000+5280+9560+8680+5760+7560</f>
        <v>38840</v>
      </c>
      <c r="F3590" s="263"/>
      <c r="G3590" s="275"/>
    </row>
    <row r="3591" spans="1:7" ht="17.45" customHeight="1">
      <c r="A3591" s="261" t="s">
        <v>8</v>
      </c>
      <c r="C3591" s="271" t="s">
        <v>2810</v>
      </c>
      <c r="D3591" s="497"/>
      <c r="E3591" s="499">
        <f>38900</f>
        <v>38900</v>
      </c>
      <c r="F3591" s="263"/>
      <c r="G3591" s="275"/>
    </row>
    <row r="3592" spans="1:7" ht="17.45" customHeight="1" thickBot="1">
      <c r="A3592" s="261" t="s">
        <v>8</v>
      </c>
      <c r="C3592" s="276" t="s">
        <v>2699</v>
      </c>
      <c r="D3592" s="502"/>
      <c r="E3592" s="503">
        <f>8300+7000+23000+20000</f>
        <v>58300</v>
      </c>
      <c r="F3592" s="277"/>
      <c r="G3592" s="282"/>
    </row>
    <row r="3593" spans="1:7" ht="17.45" customHeight="1">
      <c r="A3593" s="261" t="s">
        <v>8</v>
      </c>
      <c r="C3593" s="279" t="s">
        <v>3560</v>
      </c>
      <c r="D3593" s="504"/>
      <c r="E3593" s="505">
        <v>9000</v>
      </c>
      <c r="F3593" s="280"/>
      <c r="G3593" s="273" t="s">
        <v>3561</v>
      </c>
    </row>
    <row r="3594" spans="1:7" ht="17.45" customHeight="1">
      <c r="A3594" s="261" t="s">
        <v>8</v>
      </c>
      <c r="C3594" s="284" t="s">
        <v>3562</v>
      </c>
      <c r="D3594" s="497"/>
      <c r="E3594" s="499">
        <v>24700</v>
      </c>
      <c r="F3594" s="263"/>
      <c r="G3594" s="275"/>
    </row>
    <row r="3595" spans="1:7" ht="17.45" customHeight="1">
      <c r="A3595" s="261" t="s">
        <v>8</v>
      </c>
      <c r="C3595" s="271" t="s">
        <v>3563</v>
      </c>
      <c r="D3595" s="497"/>
      <c r="E3595" s="499">
        <v>300000</v>
      </c>
      <c r="F3595" s="263"/>
      <c r="G3595" s="275"/>
    </row>
    <row r="3596" spans="1:7" ht="17.45" customHeight="1">
      <c r="A3596" s="261" t="s">
        <v>8</v>
      </c>
      <c r="C3596" s="271" t="s">
        <v>3564</v>
      </c>
      <c r="D3596" s="497"/>
      <c r="E3596" s="499">
        <f>59400*4</f>
        <v>237600</v>
      </c>
      <c r="F3596" s="263"/>
      <c r="G3596" s="275"/>
    </row>
    <row r="3597" spans="1:7" ht="17.45" customHeight="1">
      <c r="A3597" s="261" t="s">
        <v>8</v>
      </c>
      <c r="C3597" s="271" t="s">
        <v>3565</v>
      </c>
      <c r="D3597" s="497"/>
      <c r="E3597" s="499">
        <v>7700</v>
      </c>
      <c r="F3597" s="263"/>
      <c r="G3597" s="275"/>
    </row>
    <row r="3598" spans="1:7" ht="17.45" customHeight="1">
      <c r="A3598" s="261" t="s">
        <v>8</v>
      </c>
      <c r="C3598" s="271" t="s">
        <v>3566</v>
      </c>
      <c r="D3598" s="497"/>
      <c r="E3598" s="499">
        <v>7200</v>
      </c>
      <c r="F3598" s="263"/>
      <c r="G3598" s="275"/>
    </row>
    <row r="3599" spans="1:7" ht="17.45" customHeight="1">
      <c r="A3599" s="261" t="s">
        <v>8</v>
      </c>
      <c r="C3599" s="271" t="s">
        <v>3567</v>
      </c>
      <c r="D3599" s="497"/>
      <c r="E3599" s="499">
        <v>6000</v>
      </c>
      <c r="F3599" s="263"/>
      <c r="G3599" s="275"/>
    </row>
    <row r="3600" spans="1:7" ht="17.45" customHeight="1">
      <c r="A3600" s="261" t="s">
        <v>8</v>
      </c>
      <c r="C3600" s="271" t="s">
        <v>3568</v>
      </c>
      <c r="D3600" s="497"/>
      <c r="E3600" s="499">
        <v>4800</v>
      </c>
      <c r="F3600" s="263"/>
      <c r="G3600" s="275"/>
    </row>
    <row r="3601" spans="1:7" ht="17.45" customHeight="1">
      <c r="A3601" s="261" t="s">
        <v>8</v>
      </c>
      <c r="C3601" s="284" t="s">
        <v>3569</v>
      </c>
      <c r="D3601" s="497"/>
      <c r="E3601" s="499">
        <v>11000</v>
      </c>
      <c r="F3601" s="263"/>
      <c r="G3601" s="275"/>
    </row>
    <row r="3602" spans="1:7" ht="17.45" customHeight="1">
      <c r="A3602" s="261" t="s">
        <v>8</v>
      </c>
      <c r="C3602" s="271" t="s">
        <v>3570</v>
      </c>
      <c r="D3602" s="497"/>
      <c r="E3602" s="499">
        <f>9900+9900+9900</f>
        <v>29700</v>
      </c>
      <c r="F3602" s="263"/>
      <c r="G3602" s="275"/>
    </row>
    <row r="3603" spans="1:7" ht="17.45" customHeight="1">
      <c r="A3603" s="261" t="s">
        <v>8</v>
      </c>
      <c r="C3603" s="271" t="s">
        <v>3571</v>
      </c>
      <c r="D3603" s="497"/>
      <c r="E3603" s="499">
        <v>50000</v>
      </c>
      <c r="F3603" s="263"/>
      <c r="G3603" s="275"/>
    </row>
    <row r="3604" spans="1:7" ht="17.45" customHeight="1">
      <c r="A3604" s="261" t="s">
        <v>8</v>
      </c>
      <c r="C3604" s="271" t="s">
        <v>3572</v>
      </c>
      <c r="D3604" s="497"/>
      <c r="E3604" s="499">
        <v>3500</v>
      </c>
      <c r="F3604" s="263"/>
      <c r="G3604" s="275"/>
    </row>
    <row r="3605" spans="1:7" ht="17.45" customHeight="1">
      <c r="A3605" s="261" t="s">
        <v>8</v>
      </c>
      <c r="C3605" s="271" t="s">
        <v>3573</v>
      </c>
      <c r="D3605" s="497"/>
      <c r="E3605" s="499">
        <v>4700</v>
      </c>
      <c r="F3605" s="263"/>
      <c r="G3605" s="275"/>
    </row>
    <row r="3606" spans="1:7" ht="17.45" customHeight="1">
      <c r="A3606" s="261" t="s">
        <v>8</v>
      </c>
      <c r="C3606" s="284" t="s">
        <v>3574</v>
      </c>
      <c r="D3606" s="497"/>
      <c r="E3606" s="499">
        <v>6000</v>
      </c>
      <c r="F3606" s="263"/>
      <c r="G3606" s="275"/>
    </row>
    <row r="3607" spans="1:7" ht="17.45" customHeight="1">
      <c r="A3607" s="261" t="s">
        <v>8</v>
      </c>
      <c r="C3607" s="271" t="s">
        <v>3575</v>
      </c>
      <c r="D3607" s="497"/>
      <c r="E3607" s="499">
        <v>47290</v>
      </c>
      <c r="F3607" s="263"/>
      <c r="G3607" s="275"/>
    </row>
    <row r="3608" spans="1:7" ht="17.45" customHeight="1">
      <c r="A3608" s="261" t="s">
        <v>8</v>
      </c>
      <c r="C3608" s="271" t="s">
        <v>3576</v>
      </c>
      <c r="D3608" s="497"/>
      <c r="E3608" s="499">
        <v>42100</v>
      </c>
      <c r="F3608" s="263"/>
      <c r="G3608" s="275"/>
    </row>
    <row r="3609" spans="1:7" ht="17.45" customHeight="1">
      <c r="A3609" s="261" t="s">
        <v>8</v>
      </c>
      <c r="C3609" s="271" t="s">
        <v>3577</v>
      </c>
      <c r="D3609" s="497"/>
      <c r="E3609" s="499">
        <v>4000</v>
      </c>
      <c r="F3609" s="263"/>
      <c r="G3609" s="275"/>
    </row>
    <row r="3610" spans="1:7" ht="17.45" customHeight="1">
      <c r="A3610" s="261" t="s">
        <v>8</v>
      </c>
      <c r="C3610" s="271" t="s">
        <v>3578</v>
      </c>
      <c r="D3610" s="497"/>
      <c r="E3610" s="499">
        <v>6900</v>
      </c>
      <c r="F3610" s="263"/>
      <c r="G3610" s="275"/>
    </row>
    <row r="3611" spans="1:7" ht="17.45" customHeight="1">
      <c r="A3611" s="261" t="s">
        <v>8</v>
      </c>
      <c r="C3611" s="271" t="s">
        <v>3579</v>
      </c>
      <c r="D3611" s="497"/>
      <c r="E3611" s="499">
        <v>5000</v>
      </c>
      <c r="F3611" s="263"/>
      <c r="G3611" s="275"/>
    </row>
    <row r="3612" spans="1:7" ht="17.45" customHeight="1">
      <c r="A3612" s="261" t="s">
        <v>8</v>
      </c>
      <c r="C3612" s="271" t="s">
        <v>3580</v>
      </c>
      <c r="D3612" s="497"/>
      <c r="E3612" s="499">
        <v>11880</v>
      </c>
      <c r="F3612" s="263"/>
      <c r="G3612" s="275"/>
    </row>
    <row r="3613" spans="1:7" ht="17.45" customHeight="1">
      <c r="A3613" s="261" t="s">
        <v>8</v>
      </c>
      <c r="C3613" s="271" t="s">
        <v>3581</v>
      </c>
      <c r="D3613" s="497"/>
      <c r="E3613" s="499">
        <f>10400+10900</f>
        <v>21300</v>
      </c>
      <c r="F3613" s="263"/>
      <c r="G3613" s="275" t="s">
        <v>3583</v>
      </c>
    </row>
    <row r="3614" spans="1:7" ht="17.45" customHeight="1">
      <c r="A3614" s="261" t="s">
        <v>8</v>
      </c>
      <c r="C3614" s="271" t="s">
        <v>3582</v>
      </c>
      <c r="D3614" s="497"/>
      <c r="E3614" s="499">
        <v>50000</v>
      </c>
      <c r="F3614" s="263"/>
      <c r="G3614" s="275" t="s">
        <v>3583</v>
      </c>
    </row>
    <row r="3615" spans="1:7" ht="17.45" customHeight="1">
      <c r="A3615" s="261" t="s">
        <v>8</v>
      </c>
      <c r="C3615" s="271" t="s">
        <v>3584</v>
      </c>
      <c r="D3615" s="497"/>
      <c r="E3615" s="499">
        <v>10800</v>
      </c>
      <c r="F3615" s="263"/>
      <c r="G3615" s="275" t="s">
        <v>3583</v>
      </c>
    </row>
    <row r="3616" spans="1:7" ht="17.45" customHeight="1">
      <c r="A3616" s="261" t="s">
        <v>8</v>
      </c>
      <c r="C3616" s="271" t="s">
        <v>3585</v>
      </c>
      <c r="D3616" s="497"/>
      <c r="E3616" s="499">
        <v>30000</v>
      </c>
      <c r="F3616" s="263"/>
      <c r="G3616" s="275"/>
    </row>
    <row r="3617" spans="1:7" ht="17.45" customHeight="1">
      <c r="A3617" s="261" t="s">
        <v>8</v>
      </c>
      <c r="C3617" s="271" t="s">
        <v>3586</v>
      </c>
      <c r="D3617" s="497"/>
      <c r="E3617" s="499">
        <v>28000</v>
      </c>
      <c r="F3617" s="263"/>
      <c r="G3617" s="275"/>
    </row>
    <row r="3618" spans="1:7" ht="17.45" customHeight="1">
      <c r="A3618" s="261" t="s">
        <v>8</v>
      </c>
      <c r="C3618" s="271" t="s">
        <v>3587</v>
      </c>
      <c r="D3618" s="497"/>
      <c r="E3618" s="499">
        <v>6900</v>
      </c>
      <c r="F3618" s="263"/>
      <c r="G3618" s="275"/>
    </row>
    <row r="3619" spans="1:7" ht="17.25" customHeight="1" thickBot="1">
      <c r="A3619" s="261" t="s">
        <v>8</v>
      </c>
      <c r="C3619" s="276" t="s">
        <v>1300</v>
      </c>
      <c r="D3619" s="502">
        <f>SUM(D3548:D3618)-SUM(E3548:E3618)</f>
        <v>1830688</v>
      </c>
      <c r="E3619" s="502">
        <f>SUM(E3548:E3618)-SUM(F3548:F3618)</f>
        <v>4894539</v>
      </c>
      <c r="F3619" s="277"/>
      <c r="G3619" s="283"/>
    </row>
    <row r="3621" spans="1:7" ht="12.75" thickBot="1"/>
    <row r="3622" spans="1:7" ht="17.45" customHeight="1">
      <c r="A3622" s="261" t="s">
        <v>8</v>
      </c>
      <c r="B3622" s="256" t="s">
        <v>3588</v>
      </c>
      <c r="C3622" s="268" t="s">
        <v>1268</v>
      </c>
      <c r="D3622" s="500">
        <v>6689092</v>
      </c>
      <c r="E3622" s="501"/>
      <c r="F3622" s="269"/>
      <c r="G3622" s="270"/>
    </row>
    <row r="3623" spans="1:7" ht="17.45" customHeight="1">
      <c r="A3623" s="261" t="s">
        <v>8</v>
      </c>
      <c r="B3623" s="257"/>
      <c r="C3623" s="271" t="s">
        <v>1953</v>
      </c>
      <c r="D3623" s="499">
        <v>4752569</v>
      </c>
      <c r="E3623" s="497"/>
      <c r="F3623" s="263"/>
      <c r="G3623" s="272"/>
    </row>
    <row r="3624" spans="1:7" ht="17.45" customHeight="1">
      <c r="A3624" s="261" t="s">
        <v>8</v>
      </c>
      <c r="B3624" s="257"/>
      <c r="C3624" s="271" t="s">
        <v>2722</v>
      </c>
      <c r="D3624" s="497"/>
      <c r="E3624" s="497"/>
      <c r="F3624" s="263"/>
      <c r="G3624" s="272"/>
    </row>
    <row r="3625" spans="1:7" ht="17.45" customHeight="1">
      <c r="A3625" s="261" t="s">
        <v>8</v>
      </c>
      <c r="B3625" s="257"/>
      <c r="C3625" s="271" t="s">
        <v>3047</v>
      </c>
      <c r="D3625" s="497"/>
      <c r="E3625" s="497"/>
      <c r="F3625" s="263"/>
      <c r="G3625" s="272"/>
    </row>
    <row r="3626" spans="1:7" ht="17.45" customHeight="1">
      <c r="A3626" s="261" t="s">
        <v>8</v>
      </c>
      <c r="B3626" s="257"/>
      <c r="C3626" s="271" t="s">
        <v>1269</v>
      </c>
      <c r="D3626" s="497"/>
      <c r="E3626" s="499">
        <f>370000+1200</f>
        <v>371200</v>
      </c>
      <c r="F3626" s="263"/>
      <c r="G3626" s="272" t="s">
        <v>3603</v>
      </c>
    </row>
    <row r="3627" spans="1:7" ht="17.45" customHeight="1">
      <c r="A3627" s="261" t="s">
        <v>8</v>
      </c>
      <c r="C3627" s="271" t="s">
        <v>1270</v>
      </c>
      <c r="D3627" s="497"/>
      <c r="E3627" s="499">
        <f>833000+588000</f>
        <v>1421000</v>
      </c>
      <c r="F3627" s="263"/>
      <c r="G3627" s="273" t="s">
        <v>3532</v>
      </c>
    </row>
    <row r="3628" spans="1:7" ht="17.45" customHeight="1">
      <c r="A3628" s="261" t="s">
        <v>8</v>
      </c>
      <c r="C3628" s="271" t="s">
        <v>1670</v>
      </c>
      <c r="D3628" s="497"/>
      <c r="E3628" s="497"/>
      <c r="F3628" s="263"/>
      <c r="G3628" s="274"/>
    </row>
    <row r="3629" spans="1:7" ht="17.45" customHeight="1">
      <c r="A3629" s="261" t="s">
        <v>8</v>
      </c>
      <c r="C3629" s="271" t="s">
        <v>1672</v>
      </c>
      <c r="D3629" s="497"/>
      <c r="E3629" s="499">
        <v>73180</v>
      </c>
      <c r="F3629" s="263"/>
      <c r="G3629" s="273" t="s">
        <v>2732</v>
      </c>
    </row>
    <row r="3630" spans="1:7" ht="17.45" customHeight="1">
      <c r="A3630" s="261" t="s">
        <v>8</v>
      </c>
      <c r="C3630" s="271" t="s">
        <v>1673</v>
      </c>
      <c r="D3630" s="497"/>
      <c r="E3630" s="497"/>
      <c r="F3630" s="263"/>
      <c r="G3630" s="274"/>
    </row>
    <row r="3631" spans="1:7" ht="17.45" customHeight="1">
      <c r="A3631" s="261" t="s">
        <v>8</v>
      </c>
      <c r="C3631" s="271" t="s">
        <v>1332</v>
      </c>
      <c r="D3631" s="497"/>
      <c r="E3631" s="499">
        <v>34650</v>
      </c>
      <c r="F3631" s="263"/>
      <c r="G3631" s="275"/>
    </row>
    <row r="3632" spans="1:7" ht="17.45" customHeight="1">
      <c r="A3632" s="261" t="s">
        <v>8</v>
      </c>
      <c r="C3632" s="271" t="s">
        <v>1271</v>
      </c>
      <c r="D3632" s="497"/>
      <c r="E3632" s="497"/>
      <c r="F3632" s="263"/>
      <c r="G3632" s="274"/>
    </row>
    <row r="3633" spans="1:7" ht="17.45" customHeight="1">
      <c r="A3633" s="261" t="s">
        <v>8</v>
      </c>
      <c r="C3633" s="271" t="s">
        <v>1272</v>
      </c>
      <c r="D3633" s="497"/>
      <c r="E3633" s="497"/>
      <c r="F3633" s="263"/>
      <c r="G3633" s="273"/>
    </row>
    <row r="3634" spans="1:7" ht="17.45" customHeight="1">
      <c r="A3634" s="261" t="s">
        <v>8</v>
      </c>
      <c r="C3634" s="271" t="s">
        <v>3009</v>
      </c>
      <c r="D3634" s="497"/>
      <c r="E3634" s="499">
        <v>21136</v>
      </c>
      <c r="F3634" s="263"/>
      <c r="G3634" s="273" t="s">
        <v>2732</v>
      </c>
    </row>
    <row r="3635" spans="1:7" ht="17.45" customHeight="1">
      <c r="A3635" s="261" t="s">
        <v>8</v>
      </c>
      <c r="C3635" s="271" t="s">
        <v>3010</v>
      </c>
      <c r="D3635" s="497"/>
      <c r="E3635" s="499">
        <v>900</v>
      </c>
      <c r="F3635" s="263"/>
      <c r="G3635" s="273"/>
    </row>
    <row r="3636" spans="1:7" ht="17.45" customHeight="1">
      <c r="A3636" s="261" t="s">
        <v>8</v>
      </c>
      <c r="C3636" s="271" t="s">
        <v>1273</v>
      </c>
      <c r="D3636" s="497"/>
      <c r="E3636" s="499">
        <v>29920</v>
      </c>
      <c r="F3636" s="263"/>
      <c r="G3636" s="273" t="s">
        <v>2732</v>
      </c>
    </row>
    <row r="3637" spans="1:7" ht="17.45" customHeight="1">
      <c r="A3637" s="261" t="s">
        <v>8</v>
      </c>
      <c r="C3637" s="271" t="s">
        <v>1274</v>
      </c>
      <c r="D3637" s="497"/>
      <c r="E3637" s="499">
        <v>3757</v>
      </c>
      <c r="F3637" s="263"/>
      <c r="G3637" s="273"/>
    </row>
    <row r="3638" spans="1:7" ht="17.45" customHeight="1">
      <c r="A3638" s="261" t="s">
        <v>8</v>
      </c>
      <c r="C3638" s="271" t="s">
        <v>2168</v>
      </c>
      <c r="D3638" s="497"/>
      <c r="E3638" s="499">
        <v>18816</v>
      </c>
      <c r="F3638" s="263"/>
      <c r="G3638" s="273" t="s">
        <v>2732</v>
      </c>
    </row>
    <row r="3639" spans="1:7" ht="17.45" customHeight="1">
      <c r="A3639" s="261" t="s">
        <v>8</v>
      </c>
      <c r="C3639" s="271" t="s">
        <v>1517</v>
      </c>
      <c r="D3639" s="497"/>
      <c r="E3639" s="499">
        <f>23230</f>
        <v>23230</v>
      </c>
      <c r="F3639" s="263"/>
      <c r="G3639" s="273" t="s">
        <v>2732</v>
      </c>
    </row>
    <row r="3640" spans="1:7" ht="17.45" customHeight="1">
      <c r="A3640" s="261" t="s">
        <v>8</v>
      </c>
      <c r="C3640" s="271" t="s">
        <v>1276</v>
      </c>
      <c r="D3640" s="497"/>
      <c r="E3640" s="499">
        <v>492150</v>
      </c>
      <c r="F3640" s="263"/>
      <c r="G3640" s="273" t="s">
        <v>2732</v>
      </c>
    </row>
    <row r="3641" spans="1:7" ht="17.45" customHeight="1">
      <c r="A3641" s="261" t="s">
        <v>8</v>
      </c>
      <c r="C3641" s="271" t="s">
        <v>1277</v>
      </c>
      <c r="D3641" s="497"/>
      <c r="E3641" s="499">
        <v>57480</v>
      </c>
      <c r="F3641" s="263"/>
      <c r="G3641" s="273" t="s">
        <v>2732</v>
      </c>
    </row>
    <row r="3642" spans="1:7" ht="17.45" customHeight="1">
      <c r="A3642" s="261" t="s">
        <v>8</v>
      </c>
      <c r="C3642" s="271" t="s">
        <v>1278</v>
      </c>
      <c r="D3642" s="497"/>
      <c r="E3642" s="499">
        <v>200000</v>
      </c>
      <c r="F3642" s="263"/>
      <c r="G3642" s="273"/>
    </row>
    <row r="3643" spans="1:7" ht="17.45" customHeight="1">
      <c r="A3643" s="261" t="s">
        <v>8</v>
      </c>
      <c r="C3643" s="285" t="s">
        <v>1413</v>
      </c>
      <c r="D3643" s="506"/>
      <c r="E3643" s="507">
        <v>1800000</v>
      </c>
      <c r="F3643" s="286"/>
      <c r="G3643" s="287"/>
    </row>
    <row r="3644" spans="1:7" ht="17.25" customHeight="1">
      <c r="A3644" s="261" t="s">
        <v>8</v>
      </c>
      <c r="C3644" s="338" t="s">
        <v>2661</v>
      </c>
      <c r="D3644" s="497"/>
      <c r="E3644" s="497"/>
      <c r="F3644" s="263"/>
      <c r="G3644" s="275"/>
    </row>
    <row r="3645" spans="1:7" ht="17.45" customHeight="1">
      <c r="A3645" s="261" t="s">
        <v>8</v>
      </c>
      <c r="C3645" s="339" t="s">
        <v>3248</v>
      </c>
      <c r="D3645" s="506"/>
      <c r="E3645" s="507">
        <v>5000000</v>
      </c>
      <c r="F3645" s="286"/>
      <c r="G3645" s="290"/>
    </row>
    <row r="3646" spans="1:7" ht="17.45" customHeight="1">
      <c r="A3646" s="261" t="s">
        <v>8</v>
      </c>
      <c r="C3646" s="339" t="s">
        <v>2647</v>
      </c>
      <c r="D3646" s="506"/>
      <c r="E3646" s="506"/>
      <c r="F3646" s="286"/>
      <c r="G3646" s="290"/>
    </row>
    <row r="3647" spans="1:7" ht="17.45" customHeight="1" thickBot="1">
      <c r="A3647" s="261" t="s">
        <v>8</v>
      </c>
      <c r="C3647" s="285" t="s">
        <v>1942</v>
      </c>
      <c r="D3647" s="506"/>
      <c r="E3647" s="507">
        <v>20000</v>
      </c>
      <c r="F3647" s="286"/>
      <c r="G3647" s="290"/>
    </row>
    <row r="3648" spans="1:7" ht="17.45" customHeight="1">
      <c r="A3648" s="261" t="s">
        <v>8</v>
      </c>
      <c r="C3648" s="268" t="s">
        <v>1280</v>
      </c>
      <c r="D3648" s="501"/>
      <c r="E3648" s="500">
        <f>90000</f>
        <v>90000</v>
      </c>
      <c r="F3648" s="269"/>
      <c r="G3648" s="288"/>
    </row>
    <row r="3649" spans="1:7" ht="17.45" customHeight="1">
      <c r="A3649" s="261" t="s">
        <v>8</v>
      </c>
      <c r="C3649" s="271" t="s">
        <v>1549</v>
      </c>
      <c r="D3649" s="497"/>
      <c r="E3649" s="497"/>
      <c r="F3649" s="263"/>
      <c r="G3649" s="275"/>
    </row>
    <row r="3650" spans="1:7" ht="17.45" customHeight="1">
      <c r="A3650" s="261" t="s">
        <v>8</v>
      </c>
      <c r="C3650" s="271" t="s">
        <v>1819</v>
      </c>
      <c r="D3650" s="497"/>
      <c r="E3650" s="497"/>
      <c r="F3650" s="263"/>
      <c r="G3650" s="275"/>
    </row>
    <row r="3651" spans="1:7" ht="17.45" customHeight="1">
      <c r="A3651" s="261" t="s">
        <v>8</v>
      </c>
      <c r="C3651" s="271" t="s">
        <v>391</v>
      </c>
      <c r="D3651" s="497"/>
      <c r="E3651" s="497"/>
      <c r="F3651" s="263"/>
      <c r="G3651" s="275"/>
    </row>
    <row r="3652" spans="1:7" ht="17.45" customHeight="1">
      <c r="A3652" s="261" t="s">
        <v>8</v>
      </c>
      <c r="C3652" s="271" t="s">
        <v>1934</v>
      </c>
      <c r="D3652" s="497"/>
      <c r="E3652" s="497"/>
      <c r="F3652" s="263"/>
      <c r="G3652" s="275"/>
    </row>
    <row r="3653" spans="1:7" ht="17.25" customHeight="1">
      <c r="A3653" s="261" t="s">
        <v>8</v>
      </c>
      <c r="C3653" s="271" t="s">
        <v>2202</v>
      </c>
      <c r="D3653" s="497"/>
      <c r="E3653" s="497"/>
      <c r="F3653" s="263"/>
      <c r="G3653" s="275"/>
    </row>
    <row r="3654" spans="1:7" ht="17.45" customHeight="1">
      <c r="A3654" s="261" t="s">
        <v>8</v>
      </c>
      <c r="C3654" s="271" t="s">
        <v>2654</v>
      </c>
      <c r="D3654" s="497"/>
      <c r="E3654" s="497"/>
      <c r="F3654" s="263"/>
      <c r="G3654" s="275"/>
    </row>
    <row r="3655" spans="1:7" ht="17.45" customHeight="1">
      <c r="A3655" s="261" t="s">
        <v>8</v>
      </c>
      <c r="C3655" s="271" t="s">
        <v>2097</v>
      </c>
      <c r="D3655" s="497"/>
      <c r="E3655" s="497"/>
      <c r="F3655" s="263"/>
      <c r="G3655" s="275"/>
    </row>
    <row r="3656" spans="1:7" ht="17.45" customHeight="1">
      <c r="A3656" s="261" t="s">
        <v>8</v>
      </c>
      <c r="C3656" s="271" t="s">
        <v>1687</v>
      </c>
      <c r="D3656" s="497"/>
      <c r="E3656" s="497"/>
      <c r="F3656" s="263"/>
      <c r="G3656" s="275"/>
    </row>
    <row r="3657" spans="1:7" ht="17.45" customHeight="1">
      <c r="A3657" s="261" t="s">
        <v>8</v>
      </c>
      <c r="C3657" s="271" t="s">
        <v>1688</v>
      </c>
      <c r="D3657" s="497"/>
      <c r="E3657" s="499">
        <v>55000</v>
      </c>
      <c r="F3657" s="263"/>
      <c r="G3657" s="275"/>
    </row>
    <row r="3658" spans="1:7" ht="17.45" customHeight="1">
      <c r="A3658" s="261" t="s">
        <v>8</v>
      </c>
      <c r="C3658" s="271" t="s">
        <v>1602</v>
      </c>
      <c r="D3658" s="497"/>
      <c r="E3658" s="497"/>
      <c r="F3658" s="263"/>
      <c r="G3658" s="275"/>
    </row>
    <row r="3659" spans="1:7" ht="17.45" customHeight="1">
      <c r="A3659" s="261" t="s">
        <v>8</v>
      </c>
      <c r="C3659" s="271" t="s">
        <v>1596</v>
      </c>
      <c r="D3659" s="497"/>
      <c r="E3659" s="497"/>
      <c r="F3659" s="263"/>
      <c r="G3659" s="275"/>
    </row>
    <row r="3660" spans="1:7" ht="17.45" customHeight="1">
      <c r="A3660" s="261" t="s">
        <v>8</v>
      </c>
      <c r="C3660" s="271" t="s">
        <v>1595</v>
      </c>
      <c r="D3660" s="497"/>
      <c r="E3660" s="497"/>
      <c r="F3660" s="263"/>
      <c r="G3660" s="275"/>
    </row>
    <row r="3661" spans="1:7" ht="17.45" customHeight="1">
      <c r="A3661" s="261" t="s">
        <v>8</v>
      </c>
      <c r="C3661" s="271" t="s">
        <v>2822</v>
      </c>
      <c r="D3661" s="497"/>
      <c r="E3661" s="499">
        <f>3600+8000</f>
        <v>11600</v>
      </c>
      <c r="F3661" s="263"/>
      <c r="G3661" s="275"/>
    </row>
    <row r="3662" spans="1:7" ht="17.45" customHeight="1">
      <c r="A3662" s="261" t="s">
        <v>8</v>
      </c>
      <c r="C3662" s="271" t="s">
        <v>2821</v>
      </c>
      <c r="D3662" s="497"/>
      <c r="F3662" s="263"/>
      <c r="G3662" s="273" t="s">
        <v>3373</v>
      </c>
    </row>
    <row r="3663" spans="1:7" ht="17.45" customHeight="1">
      <c r="A3663" s="261" t="s">
        <v>8</v>
      </c>
      <c r="C3663" s="271" t="s">
        <v>1689</v>
      </c>
      <c r="D3663" s="497"/>
      <c r="E3663" s="497"/>
      <c r="F3663" s="263"/>
      <c r="G3663" s="275"/>
    </row>
    <row r="3664" spans="1:7" ht="17.45" customHeight="1">
      <c r="A3664" s="261" t="s">
        <v>8</v>
      </c>
      <c r="C3664" s="271" t="s">
        <v>1569</v>
      </c>
      <c r="D3664" s="497"/>
      <c r="E3664" s="499">
        <f>128850+156170</f>
        <v>285020</v>
      </c>
      <c r="F3664" s="263"/>
      <c r="G3664" s="275"/>
    </row>
    <row r="3665" spans="1:7" ht="17.45" customHeight="1">
      <c r="A3665" s="261" t="s">
        <v>8</v>
      </c>
      <c r="C3665" s="271" t="s">
        <v>1618</v>
      </c>
      <c r="D3665" s="497"/>
      <c r="E3665" s="499">
        <f>5280+5880+10260+21240+5760+5760+5680</f>
        <v>59860</v>
      </c>
      <c r="F3665" s="263"/>
      <c r="G3665" s="275"/>
    </row>
    <row r="3666" spans="1:7" ht="17.45" customHeight="1">
      <c r="A3666" s="261" t="s">
        <v>8</v>
      </c>
      <c r="C3666" s="271" t="s">
        <v>2810</v>
      </c>
      <c r="D3666" s="497"/>
      <c r="E3666" s="499">
        <f>43000</f>
        <v>43000</v>
      </c>
      <c r="F3666" s="263"/>
      <c r="G3666" s="275"/>
    </row>
    <row r="3667" spans="1:7" ht="17.45" customHeight="1" thickBot="1">
      <c r="A3667" s="261" t="s">
        <v>8</v>
      </c>
      <c r="C3667" s="276" t="s">
        <v>2699</v>
      </c>
      <c r="D3667" s="502"/>
      <c r="E3667" s="503">
        <f>25300</f>
        <v>25300</v>
      </c>
      <c r="F3667" s="277"/>
      <c r="G3667" s="282"/>
    </row>
    <row r="3668" spans="1:7" ht="17.45" customHeight="1">
      <c r="A3668" s="261" t="s">
        <v>8</v>
      </c>
      <c r="C3668" s="279" t="s">
        <v>3590</v>
      </c>
      <c r="D3668" s="504"/>
      <c r="E3668" s="505">
        <v>8000</v>
      </c>
      <c r="F3668" s="280"/>
      <c r="G3668" s="273"/>
    </row>
    <row r="3669" spans="1:7" ht="17.45" customHeight="1">
      <c r="A3669" s="261" t="s">
        <v>8</v>
      </c>
      <c r="C3669" s="284" t="s">
        <v>3591</v>
      </c>
      <c r="D3669" s="497"/>
      <c r="E3669" s="499">
        <f>3700</f>
        <v>3700</v>
      </c>
      <c r="F3669" s="263"/>
      <c r="G3669" s="275"/>
    </row>
    <row r="3670" spans="1:7" ht="17.45" customHeight="1">
      <c r="A3670" s="261" t="s">
        <v>8</v>
      </c>
      <c r="C3670" s="271" t="s">
        <v>3592</v>
      </c>
      <c r="D3670" s="497"/>
      <c r="E3670" s="499">
        <f>11400</f>
        <v>11400</v>
      </c>
      <c r="F3670" s="263"/>
      <c r="G3670" s="275"/>
    </row>
    <row r="3671" spans="1:7" ht="17.45" customHeight="1">
      <c r="A3671" s="261" t="s">
        <v>8</v>
      </c>
      <c r="C3671" s="271" t="s">
        <v>3593</v>
      </c>
      <c r="D3671" s="497"/>
      <c r="E3671" s="499">
        <v>10800</v>
      </c>
      <c r="F3671" s="263"/>
      <c r="G3671" s="275"/>
    </row>
    <row r="3672" spans="1:7" ht="17.45" customHeight="1">
      <c r="A3672" s="261" t="s">
        <v>8</v>
      </c>
      <c r="C3672" s="271" t="s">
        <v>3594</v>
      </c>
      <c r="D3672" s="497"/>
      <c r="E3672" s="499">
        <f>34000+21000</f>
        <v>55000</v>
      </c>
      <c r="F3672" s="263"/>
      <c r="G3672" s="275"/>
    </row>
    <row r="3673" spans="1:7" ht="17.45" customHeight="1">
      <c r="A3673" s="261" t="s">
        <v>8</v>
      </c>
      <c r="C3673" s="271" t="s">
        <v>3595</v>
      </c>
      <c r="D3673" s="497"/>
      <c r="E3673" s="499">
        <v>16700</v>
      </c>
      <c r="F3673" s="263"/>
      <c r="G3673" s="275"/>
    </row>
    <row r="3674" spans="1:7" ht="17.45" customHeight="1">
      <c r="A3674" s="261" t="s">
        <v>8</v>
      </c>
      <c r="C3674" s="271" t="s">
        <v>3597</v>
      </c>
      <c r="D3674" s="497"/>
      <c r="E3674" s="499">
        <v>3300</v>
      </c>
      <c r="F3674" s="263"/>
      <c r="G3674" s="275"/>
    </row>
    <row r="3675" spans="1:7" ht="17.45" customHeight="1">
      <c r="A3675" s="261" t="s">
        <v>8</v>
      </c>
      <c r="C3675" s="271" t="s">
        <v>3598</v>
      </c>
      <c r="D3675" s="499">
        <v>30000</v>
      </c>
      <c r="E3675" s="497"/>
      <c r="F3675" s="263"/>
      <c r="G3675" s="275"/>
    </row>
    <row r="3676" spans="1:7" ht="17.45" customHeight="1">
      <c r="A3676" s="261" t="s">
        <v>8</v>
      </c>
      <c r="C3676" s="284" t="s">
        <v>3599</v>
      </c>
      <c r="D3676" s="497"/>
      <c r="E3676" s="499">
        <v>3200</v>
      </c>
      <c r="F3676" s="263"/>
      <c r="G3676" s="275"/>
    </row>
    <row r="3677" spans="1:7" ht="17.45" customHeight="1">
      <c r="A3677" s="261" t="s">
        <v>8</v>
      </c>
      <c r="C3677" s="271" t="s">
        <v>3600</v>
      </c>
      <c r="D3677" s="497"/>
      <c r="E3677" s="499">
        <f>9900+9900</f>
        <v>19800</v>
      </c>
      <c r="F3677" s="263"/>
      <c r="G3677" s="275"/>
    </row>
    <row r="3678" spans="1:7" ht="17.45" customHeight="1">
      <c r="A3678" s="261" t="s">
        <v>8</v>
      </c>
      <c r="C3678" s="271" t="s">
        <v>3601</v>
      </c>
      <c r="D3678" s="497"/>
      <c r="E3678" s="499">
        <v>14560</v>
      </c>
      <c r="F3678" s="263"/>
      <c r="G3678" s="275"/>
    </row>
    <row r="3679" spans="1:7" ht="17.45" customHeight="1">
      <c r="A3679" s="261" t="s">
        <v>8</v>
      </c>
      <c r="C3679" s="271" t="s">
        <v>3602</v>
      </c>
      <c r="D3679" s="497"/>
      <c r="E3679" s="499">
        <v>12200</v>
      </c>
      <c r="F3679" s="263"/>
      <c r="G3679" s="275"/>
    </row>
    <row r="3680" spans="1:7" ht="17.45" customHeight="1">
      <c r="A3680" s="261" t="s">
        <v>8</v>
      </c>
      <c r="C3680" s="271" t="s">
        <v>3604</v>
      </c>
      <c r="D3680" s="497"/>
      <c r="E3680" s="499">
        <v>38000</v>
      </c>
      <c r="F3680" s="263"/>
      <c r="G3680" s="275"/>
    </row>
    <row r="3681" spans="1:7" ht="17.45" customHeight="1">
      <c r="A3681" s="261" t="s">
        <v>8</v>
      </c>
      <c r="C3681" s="284" t="s">
        <v>3605</v>
      </c>
      <c r="D3681" s="497"/>
      <c r="E3681" s="499">
        <v>400000</v>
      </c>
      <c r="F3681" s="263"/>
      <c r="G3681" s="275"/>
    </row>
    <row r="3682" spans="1:7" ht="17.45" customHeight="1">
      <c r="A3682" s="261" t="s">
        <v>8</v>
      </c>
      <c r="C3682" s="271" t="s">
        <v>3606</v>
      </c>
      <c r="D3682" s="497"/>
      <c r="E3682" s="499">
        <v>50000</v>
      </c>
      <c r="F3682" s="263"/>
      <c r="G3682" s="275"/>
    </row>
    <row r="3683" spans="1:7" ht="17.45" customHeight="1">
      <c r="A3683" s="261" t="s">
        <v>8</v>
      </c>
      <c r="C3683" s="271" t="s">
        <v>3607</v>
      </c>
      <c r="D3683" s="497"/>
      <c r="E3683" s="499">
        <v>24555</v>
      </c>
      <c r="F3683" s="263"/>
      <c r="G3683" s="275"/>
    </row>
    <row r="3684" spans="1:7" ht="17.45" customHeight="1">
      <c r="A3684" s="261" t="s">
        <v>8</v>
      </c>
      <c r="C3684" s="271" t="s">
        <v>3608</v>
      </c>
      <c r="D3684" s="497"/>
      <c r="E3684" s="499">
        <v>10200</v>
      </c>
      <c r="F3684" s="263"/>
      <c r="G3684" s="275"/>
    </row>
    <row r="3685" spans="1:7" ht="17.45" customHeight="1">
      <c r="A3685" s="261" t="s">
        <v>8</v>
      </c>
      <c r="C3685" s="271" t="s">
        <v>3609</v>
      </c>
      <c r="D3685" s="497"/>
      <c r="E3685" s="499">
        <v>1000</v>
      </c>
      <c r="F3685" s="263"/>
      <c r="G3685" s="275"/>
    </row>
    <row r="3686" spans="1:7" ht="17.45" customHeight="1">
      <c r="A3686" s="261" t="s">
        <v>8</v>
      </c>
      <c r="C3686" s="271" t="s">
        <v>3610</v>
      </c>
      <c r="D3686" s="497"/>
      <c r="E3686" s="499">
        <v>27000</v>
      </c>
      <c r="F3686" s="263"/>
      <c r="G3686" s="275"/>
    </row>
    <row r="3687" spans="1:7" ht="17.45" customHeight="1">
      <c r="A3687" s="261" t="s">
        <v>8</v>
      </c>
      <c r="C3687" s="271" t="s">
        <v>3611</v>
      </c>
      <c r="D3687" s="497"/>
      <c r="E3687" s="499">
        <f>15620+14010</f>
        <v>29630</v>
      </c>
      <c r="F3687" s="263"/>
      <c r="G3687" s="275"/>
    </row>
    <row r="3688" spans="1:7" ht="17.45" customHeight="1">
      <c r="A3688" s="261" t="s">
        <v>8</v>
      </c>
      <c r="C3688" s="271" t="s">
        <v>3612</v>
      </c>
      <c r="D3688" s="497"/>
      <c r="E3688" s="499">
        <v>1500</v>
      </c>
      <c r="F3688" s="263"/>
      <c r="G3688" s="275"/>
    </row>
    <row r="3689" spans="1:7" ht="17.45" customHeight="1">
      <c r="A3689" s="261" t="s">
        <v>8</v>
      </c>
      <c r="C3689" s="271" t="s">
        <v>3613</v>
      </c>
      <c r="D3689" s="497"/>
      <c r="E3689" s="499">
        <v>16500</v>
      </c>
      <c r="F3689" s="263"/>
      <c r="G3689" s="275"/>
    </row>
    <row r="3690" spans="1:7" ht="17.45" customHeight="1">
      <c r="A3690" s="261" t="s">
        <v>8</v>
      </c>
      <c r="C3690" s="271" t="s">
        <v>3614</v>
      </c>
      <c r="D3690" s="497"/>
      <c r="E3690" s="499">
        <v>2200</v>
      </c>
      <c r="F3690" s="263"/>
      <c r="G3690" s="275"/>
    </row>
    <row r="3691" spans="1:7" ht="17.45" customHeight="1">
      <c r="A3691" s="261" t="s">
        <v>8</v>
      </c>
      <c r="C3691" s="271" t="s">
        <v>3615</v>
      </c>
      <c r="D3691" s="497"/>
      <c r="E3691" s="499">
        <v>100000</v>
      </c>
      <c r="F3691" s="263"/>
      <c r="G3691" s="275"/>
    </row>
    <row r="3692" spans="1:7" ht="17.45" customHeight="1" thickBot="1">
      <c r="A3692" s="261" t="s">
        <v>8</v>
      </c>
      <c r="C3692" s="276" t="s">
        <v>1300</v>
      </c>
      <c r="D3692" s="502">
        <f>SUM(D3622:D3691)-SUM(E3622:E3691)</f>
        <v>475217</v>
      </c>
      <c r="E3692" s="502">
        <f>SUM(E3622:E3691)-SUM(F3622:F3691)</f>
        <v>10996444</v>
      </c>
      <c r="F3692" s="277"/>
      <c r="G3692" s="283"/>
    </row>
    <row r="3694" spans="1:7" ht="12.75" thickBot="1"/>
    <row r="3695" spans="1:7" ht="17.45" customHeight="1">
      <c r="A3695" s="261" t="s">
        <v>8</v>
      </c>
      <c r="B3695" s="256" t="s">
        <v>3616</v>
      </c>
      <c r="C3695" s="268" t="s">
        <v>1268</v>
      </c>
      <c r="D3695" s="500">
        <v>8261378</v>
      </c>
      <c r="E3695" s="501"/>
      <c r="F3695" s="269"/>
      <c r="G3695" s="270"/>
    </row>
    <row r="3696" spans="1:7" ht="17.45" customHeight="1">
      <c r="A3696" s="261" t="s">
        <v>8</v>
      </c>
      <c r="B3696" s="257"/>
      <c r="C3696" s="271" t="s">
        <v>1953</v>
      </c>
      <c r="D3696" s="497"/>
      <c r="E3696" s="497"/>
      <c r="F3696" s="263"/>
      <c r="G3696" s="272"/>
    </row>
    <row r="3697" spans="1:7" ht="17.45" customHeight="1">
      <c r="A3697" s="261" t="s">
        <v>8</v>
      </c>
      <c r="B3697" s="257"/>
      <c r="C3697" s="271" t="s">
        <v>2722</v>
      </c>
      <c r="D3697" s="497"/>
      <c r="E3697" s="497"/>
      <c r="F3697" s="263"/>
      <c r="G3697" s="272"/>
    </row>
    <row r="3698" spans="1:7" ht="17.45" customHeight="1">
      <c r="A3698" s="261" t="s">
        <v>8</v>
      </c>
      <c r="B3698" s="257"/>
      <c r="C3698" s="271" t="s">
        <v>3047</v>
      </c>
      <c r="D3698" s="497"/>
      <c r="E3698" s="497"/>
      <c r="F3698" s="263"/>
      <c r="G3698" s="272"/>
    </row>
    <row r="3699" spans="1:7" ht="17.45" customHeight="1">
      <c r="A3699" s="261" t="s">
        <v>8</v>
      </c>
      <c r="B3699" s="257"/>
      <c r="C3699" s="271" t="s">
        <v>1269</v>
      </c>
      <c r="D3699" s="497"/>
      <c r="E3699" s="499">
        <v>346000</v>
      </c>
      <c r="F3699" s="263"/>
      <c r="G3699" s="272" t="s">
        <v>3603</v>
      </c>
    </row>
    <row r="3700" spans="1:7" ht="17.45" customHeight="1">
      <c r="A3700" s="261" t="s">
        <v>8</v>
      </c>
      <c r="C3700" s="271" t="s">
        <v>1270</v>
      </c>
      <c r="D3700" s="497"/>
      <c r="E3700" s="499">
        <v>1059000</v>
      </c>
      <c r="F3700" s="263"/>
      <c r="G3700" s="273" t="s">
        <v>3532</v>
      </c>
    </row>
    <row r="3701" spans="1:7" ht="17.45" customHeight="1">
      <c r="A3701" s="261" t="s">
        <v>8</v>
      </c>
      <c r="C3701" s="271" t="s">
        <v>1670</v>
      </c>
      <c r="D3701" s="497"/>
      <c r="E3701" s="497"/>
      <c r="F3701" s="263"/>
      <c r="G3701" s="274"/>
    </row>
    <row r="3702" spans="1:7" ht="17.45" customHeight="1">
      <c r="A3702" s="261" t="s">
        <v>8</v>
      </c>
      <c r="C3702" s="271" t="s">
        <v>1672</v>
      </c>
      <c r="D3702" s="497"/>
      <c r="E3702" s="499">
        <v>73300</v>
      </c>
      <c r="F3702" s="263"/>
      <c r="G3702" s="273" t="s">
        <v>2732</v>
      </c>
    </row>
    <row r="3703" spans="1:7" ht="17.45" customHeight="1">
      <c r="A3703" s="261" t="s">
        <v>8</v>
      </c>
      <c r="C3703" s="271" t="s">
        <v>1673</v>
      </c>
      <c r="D3703" s="497"/>
      <c r="E3703" s="497"/>
      <c r="F3703" s="263"/>
      <c r="G3703" s="274"/>
    </row>
    <row r="3704" spans="1:7" ht="17.45" customHeight="1">
      <c r="A3704" s="261" t="s">
        <v>8</v>
      </c>
      <c r="C3704" s="271" t="s">
        <v>1332</v>
      </c>
      <c r="D3704" s="497"/>
      <c r="E3704" s="499">
        <v>34650</v>
      </c>
      <c r="F3704" s="263"/>
      <c r="G3704" s="275"/>
    </row>
    <row r="3705" spans="1:7" ht="17.45" customHeight="1">
      <c r="A3705" s="261" t="s">
        <v>8</v>
      </c>
      <c r="C3705" s="271" t="s">
        <v>1271</v>
      </c>
      <c r="D3705" s="497"/>
      <c r="E3705" s="497"/>
      <c r="F3705" s="263"/>
      <c r="G3705" s="274"/>
    </row>
    <row r="3706" spans="1:7" ht="17.45" customHeight="1">
      <c r="A3706" s="261" t="s">
        <v>8</v>
      </c>
      <c r="C3706" s="271" t="s">
        <v>1272</v>
      </c>
      <c r="D3706" s="497"/>
      <c r="E3706" s="497"/>
      <c r="F3706" s="263"/>
      <c r="G3706" s="273"/>
    </row>
    <row r="3707" spans="1:7" ht="17.45" customHeight="1">
      <c r="A3707" s="261" t="s">
        <v>8</v>
      </c>
      <c r="C3707" s="271" t="s">
        <v>3009</v>
      </c>
      <c r="D3707" s="497"/>
      <c r="E3707" s="499">
        <v>21136</v>
      </c>
      <c r="F3707" s="263"/>
      <c r="G3707" s="273" t="s">
        <v>2732</v>
      </c>
    </row>
    <row r="3708" spans="1:7" ht="17.45" customHeight="1">
      <c r="A3708" s="261" t="s">
        <v>8</v>
      </c>
      <c r="C3708" s="271" t="s">
        <v>3010</v>
      </c>
      <c r="D3708" s="497"/>
      <c r="E3708" s="499">
        <v>900</v>
      </c>
      <c r="F3708" s="263"/>
      <c r="G3708" s="273"/>
    </row>
    <row r="3709" spans="1:7" ht="17.45" customHeight="1">
      <c r="A3709" s="261" t="s">
        <v>8</v>
      </c>
      <c r="C3709" s="271" t="s">
        <v>1273</v>
      </c>
      <c r="D3709" s="497"/>
      <c r="E3709" s="499">
        <v>29920</v>
      </c>
      <c r="F3709" s="263"/>
      <c r="G3709" s="273" t="s">
        <v>2732</v>
      </c>
    </row>
    <row r="3710" spans="1:7" ht="17.45" customHeight="1">
      <c r="A3710" s="261" t="s">
        <v>8</v>
      </c>
      <c r="C3710" s="271" t="s">
        <v>1274</v>
      </c>
      <c r="D3710" s="497"/>
      <c r="E3710" s="497">
        <v>3757</v>
      </c>
      <c r="F3710" s="263"/>
      <c r="G3710" s="273"/>
    </row>
    <row r="3711" spans="1:7" ht="17.45" customHeight="1">
      <c r="A3711" s="261" t="s">
        <v>8</v>
      </c>
      <c r="C3711" s="271" t="s">
        <v>2168</v>
      </c>
      <c r="D3711" s="497"/>
      <c r="E3711" s="499">
        <v>18816</v>
      </c>
      <c r="F3711" s="263"/>
      <c r="G3711" s="273" t="s">
        <v>2732</v>
      </c>
    </row>
    <row r="3712" spans="1:7" ht="17.45" customHeight="1">
      <c r="A3712" s="261" t="s">
        <v>8</v>
      </c>
      <c r="C3712" s="271" t="s">
        <v>1517</v>
      </c>
      <c r="D3712" s="497"/>
      <c r="E3712" s="499">
        <f>23230</f>
        <v>23230</v>
      </c>
      <c r="F3712" s="263"/>
      <c r="G3712" s="273" t="s">
        <v>2732</v>
      </c>
    </row>
    <row r="3713" spans="1:7" ht="17.45" customHeight="1">
      <c r="A3713" s="261" t="s">
        <v>8</v>
      </c>
      <c r="C3713" s="271" t="s">
        <v>1276</v>
      </c>
      <c r="D3713" s="497"/>
      <c r="E3713" s="499">
        <v>301550</v>
      </c>
      <c r="F3713" s="263"/>
      <c r="G3713" s="273" t="s">
        <v>2732</v>
      </c>
    </row>
    <row r="3714" spans="1:7" ht="17.45" customHeight="1">
      <c r="A3714" s="261" t="s">
        <v>8</v>
      </c>
      <c r="C3714" s="271" t="s">
        <v>1277</v>
      </c>
      <c r="D3714" s="497"/>
      <c r="E3714" s="499">
        <v>54450</v>
      </c>
      <c r="F3714" s="263"/>
      <c r="G3714" s="273" t="s">
        <v>2732</v>
      </c>
    </row>
    <row r="3715" spans="1:7" ht="17.45" customHeight="1">
      <c r="A3715" s="261" t="s">
        <v>8</v>
      </c>
      <c r="C3715" s="271" t="s">
        <v>1278</v>
      </c>
      <c r="D3715" s="497"/>
      <c r="E3715" s="499">
        <v>200000</v>
      </c>
      <c r="F3715" s="263"/>
      <c r="G3715" s="273"/>
    </row>
    <row r="3716" spans="1:7" ht="17.45" customHeight="1">
      <c r="A3716" s="261" t="s">
        <v>8</v>
      </c>
      <c r="C3716" s="285" t="s">
        <v>1413</v>
      </c>
      <c r="D3716" s="506"/>
      <c r="E3716" s="507">
        <v>1800000</v>
      </c>
      <c r="F3716" s="286"/>
      <c r="G3716" s="287"/>
    </row>
    <row r="3717" spans="1:7" ht="17.25" customHeight="1">
      <c r="A3717" s="261" t="s">
        <v>8</v>
      </c>
      <c r="C3717" s="338" t="s">
        <v>2661</v>
      </c>
      <c r="D3717" s="497"/>
      <c r="E3717" s="497"/>
      <c r="F3717" s="263"/>
      <c r="G3717" s="275"/>
    </row>
    <row r="3718" spans="1:7" ht="17.45" customHeight="1">
      <c r="A3718" s="261" t="s">
        <v>8</v>
      </c>
      <c r="C3718" s="339" t="s">
        <v>3248</v>
      </c>
      <c r="D3718" s="506"/>
      <c r="E3718" s="507">
        <v>5000000</v>
      </c>
      <c r="F3718" s="286"/>
      <c r="G3718" s="290"/>
    </row>
    <row r="3719" spans="1:7" ht="17.45" customHeight="1">
      <c r="A3719" s="261" t="s">
        <v>8</v>
      </c>
      <c r="C3719" s="339" t="s">
        <v>2647</v>
      </c>
      <c r="D3719" s="506"/>
      <c r="E3719" s="506"/>
      <c r="F3719" s="286"/>
      <c r="G3719" s="290"/>
    </row>
    <row r="3720" spans="1:7" ht="17.45" customHeight="1" thickBot="1">
      <c r="A3720" s="261" t="s">
        <v>8</v>
      </c>
      <c r="C3720" s="285" t="s">
        <v>1942</v>
      </c>
      <c r="D3720" s="506"/>
      <c r="E3720" s="506">
        <v>20000</v>
      </c>
      <c r="F3720" s="286"/>
      <c r="G3720" s="290"/>
    </row>
    <row r="3721" spans="1:7" ht="17.45" customHeight="1">
      <c r="A3721" s="261" t="s">
        <v>8</v>
      </c>
      <c r="C3721" s="268" t="s">
        <v>1280</v>
      </c>
      <c r="D3721" s="501"/>
      <c r="E3721" s="500">
        <v>83000</v>
      </c>
      <c r="F3721" s="269"/>
      <c r="G3721" s="288"/>
    </row>
    <row r="3722" spans="1:7" ht="17.45" customHeight="1">
      <c r="A3722" s="261" t="s">
        <v>8</v>
      </c>
      <c r="C3722" s="271" t="s">
        <v>1549</v>
      </c>
      <c r="D3722" s="497"/>
      <c r="E3722" s="497"/>
      <c r="F3722" s="263"/>
      <c r="G3722" s="275"/>
    </row>
    <row r="3723" spans="1:7" ht="17.45" customHeight="1">
      <c r="A3723" s="261" t="s">
        <v>8</v>
      </c>
      <c r="C3723" s="271" t="s">
        <v>1819</v>
      </c>
      <c r="D3723" s="497"/>
      <c r="E3723" s="497"/>
      <c r="F3723" s="263"/>
      <c r="G3723" s="275"/>
    </row>
    <row r="3724" spans="1:7" ht="17.45" customHeight="1">
      <c r="A3724" s="261" t="s">
        <v>8</v>
      </c>
      <c r="C3724" s="271" t="s">
        <v>391</v>
      </c>
      <c r="D3724" s="497"/>
      <c r="E3724" s="497"/>
      <c r="F3724" s="263"/>
      <c r="G3724" s="275"/>
    </row>
    <row r="3725" spans="1:7" ht="17.45" customHeight="1">
      <c r="A3725" s="261" t="s">
        <v>8</v>
      </c>
      <c r="C3725" s="271" t="s">
        <v>1934</v>
      </c>
      <c r="D3725" s="497"/>
      <c r="E3725" s="497"/>
      <c r="F3725" s="263"/>
      <c r="G3725" s="275"/>
    </row>
    <row r="3726" spans="1:7" ht="17.25" customHeight="1">
      <c r="A3726" s="261" t="s">
        <v>8</v>
      </c>
      <c r="C3726" s="271" t="s">
        <v>2202</v>
      </c>
      <c r="D3726" s="497"/>
      <c r="E3726" s="497"/>
      <c r="F3726" s="263"/>
      <c r="G3726" s="275"/>
    </row>
    <row r="3727" spans="1:7" ht="17.45" customHeight="1">
      <c r="A3727" s="261" t="s">
        <v>8</v>
      </c>
      <c r="C3727" s="271" t="s">
        <v>2654</v>
      </c>
      <c r="D3727" s="497"/>
      <c r="E3727" s="497"/>
      <c r="F3727" s="263"/>
      <c r="G3727" s="275"/>
    </row>
    <row r="3728" spans="1:7" ht="17.45" customHeight="1">
      <c r="A3728" s="261" t="s">
        <v>8</v>
      </c>
      <c r="C3728" s="271" t="s">
        <v>2097</v>
      </c>
      <c r="D3728" s="497"/>
      <c r="E3728" s="497"/>
      <c r="F3728" s="263"/>
      <c r="G3728" s="275"/>
    </row>
    <row r="3729" spans="1:7" ht="17.45" customHeight="1">
      <c r="A3729" s="261" t="s">
        <v>8</v>
      </c>
      <c r="C3729" s="271" t="s">
        <v>1687</v>
      </c>
      <c r="D3729" s="497"/>
      <c r="E3729" s="497"/>
      <c r="F3729" s="263"/>
      <c r="G3729" s="275"/>
    </row>
    <row r="3730" spans="1:7" ht="17.45" customHeight="1">
      <c r="A3730" s="261" t="s">
        <v>8</v>
      </c>
      <c r="C3730" s="271" t="s">
        <v>1688</v>
      </c>
      <c r="D3730" s="497"/>
      <c r="E3730" s="497"/>
      <c r="F3730" s="263"/>
      <c r="G3730" s="275"/>
    </row>
    <row r="3731" spans="1:7" ht="17.45" customHeight="1">
      <c r="A3731" s="261" t="s">
        <v>8</v>
      </c>
      <c r="C3731" s="271" t="s">
        <v>1602</v>
      </c>
      <c r="D3731" s="497"/>
      <c r="E3731" s="497"/>
      <c r="F3731" s="263"/>
      <c r="G3731" s="275"/>
    </row>
    <row r="3732" spans="1:7" ht="17.45" customHeight="1">
      <c r="A3732" s="261" t="s">
        <v>8</v>
      </c>
      <c r="C3732" s="271" t="s">
        <v>1596</v>
      </c>
      <c r="D3732" s="497"/>
      <c r="E3732" s="499">
        <f>3500</f>
        <v>3500</v>
      </c>
      <c r="F3732" s="263"/>
      <c r="G3732" s="275"/>
    </row>
    <row r="3733" spans="1:7" ht="17.45" customHeight="1">
      <c r="A3733" s="261" t="s">
        <v>8</v>
      </c>
      <c r="C3733" s="271" t="s">
        <v>1595</v>
      </c>
      <c r="D3733" s="497"/>
      <c r="E3733" s="499">
        <f>3500</f>
        <v>3500</v>
      </c>
      <c r="F3733" s="263"/>
      <c r="G3733" s="275"/>
    </row>
    <row r="3734" spans="1:7" ht="17.45" customHeight="1">
      <c r="A3734" s="261" t="s">
        <v>8</v>
      </c>
      <c r="C3734" s="271" t="s">
        <v>2822</v>
      </c>
      <c r="D3734" s="497"/>
      <c r="E3734" s="497"/>
      <c r="F3734" s="263"/>
      <c r="G3734" s="275"/>
    </row>
    <row r="3735" spans="1:7" ht="17.45" customHeight="1">
      <c r="A3735" s="261" t="s">
        <v>8</v>
      </c>
      <c r="C3735" s="271" t="s">
        <v>2821</v>
      </c>
      <c r="D3735" s="497"/>
      <c r="F3735" s="263"/>
      <c r="G3735" s="273" t="s">
        <v>3373</v>
      </c>
    </row>
    <row r="3736" spans="1:7" ht="17.45" customHeight="1">
      <c r="A3736" s="261" t="s">
        <v>8</v>
      </c>
      <c r="C3736" s="271" t="s">
        <v>1689</v>
      </c>
      <c r="D3736" s="497"/>
      <c r="E3736" s="497"/>
      <c r="F3736" s="263"/>
      <c r="G3736" s="275"/>
    </row>
    <row r="3737" spans="1:7" ht="17.45" customHeight="1">
      <c r="A3737" s="261" t="s">
        <v>8</v>
      </c>
      <c r="C3737" s="271" t="s">
        <v>1569</v>
      </c>
      <c r="D3737" s="497"/>
      <c r="E3737" s="499">
        <f>64780</f>
        <v>64780</v>
      </c>
      <c r="F3737" s="263"/>
      <c r="G3737" s="275"/>
    </row>
    <row r="3738" spans="1:7" ht="17.45" customHeight="1">
      <c r="A3738" s="261" t="s">
        <v>8</v>
      </c>
      <c r="C3738" s="271" t="s">
        <v>1618</v>
      </c>
      <c r="D3738" s="497"/>
      <c r="E3738" s="499">
        <f>11440+50000</f>
        <v>61440</v>
      </c>
      <c r="F3738" s="263"/>
      <c r="G3738" s="275"/>
    </row>
    <row r="3739" spans="1:7" ht="17.45" customHeight="1">
      <c r="A3739" s="261" t="s">
        <v>8</v>
      </c>
      <c r="C3739" s="271" t="s">
        <v>2810</v>
      </c>
      <c r="D3739" s="497"/>
      <c r="E3739" s="499">
        <f>26000</f>
        <v>26000</v>
      </c>
      <c r="F3739" s="263"/>
      <c r="G3739" s="275"/>
    </row>
    <row r="3740" spans="1:7" ht="17.45" customHeight="1" thickBot="1">
      <c r="A3740" s="261" t="s">
        <v>8</v>
      </c>
      <c r="C3740" s="276" t="s">
        <v>2699</v>
      </c>
      <c r="D3740" s="502"/>
      <c r="E3740" s="503">
        <f>11200</f>
        <v>11200</v>
      </c>
      <c r="F3740" s="277"/>
      <c r="G3740" s="282"/>
    </row>
    <row r="3741" spans="1:7" ht="17.45" customHeight="1">
      <c r="A3741" s="261" t="s">
        <v>8</v>
      </c>
      <c r="C3741" s="279" t="s">
        <v>3617</v>
      </c>
      <c r="D3741" s="504"/>
      <c r="E3741" s="505">
        <v>30000</v>
      </c>
      <c r="F3741" s="280"/>
      <c r="G3741" s="273"/>
    </row>
    <row r="3742" spans="1:7" ht="17.45" customHeight="1">
      <c r="A3742" s="261" t="s">
        <v>8</v>
      </c>
      <c r="C3742" s="284" t="s">
        <v>3618</v>
      </c>
      <c r="D3742" s="497"/>
      <c r="E3742" s="499">
        <v>15000</v>
      </c>
      <c r="F3742" s="263"/>
      <c r="G3742" s="275"/>
    </row>
    <row r="3743" spans="1:7" ht="17.45" customHeight="1">
      <c r="A3743" s="261" t="s">
        <v>8</v>
      </c>
      <c r="C3743" s="271" t="s">
        <v>3619</v>
      </c>
      <c r="D3743" s="497"/>
      <c r="E3743" s="499">
        <v>4000</v>
      </c>
      <c r="F3743" s="263"/>
      <c r="G3743" s="275"/>
    </row>
    <row r="3744" spans="1:7" ht="17.45" customHeight="1">
      <c r="A3744" s="261" t="s">
        <v>8</v>
      </c>
      <c r="C3744" s="271" t="s">
        <v>3620</v>
      </c>
      <c r="D3744" s="497"/>
      <c r="E3744" s="499">
        <v>13500</v>
      </c>
      <c r="F3744" s="263"/>
      <c r="G3744" s="275"/>
    </row>
    <row r="3745" spans="1:7" ht="17.45" customHeight="1">
      <c r="A3745" s="261" t="s">
        <v>8</v>
      </c>
      <c r="C3745" s="271" t="s">
        <v>3621</v>
      </c>
      <c r="D3745" s="497"/>
      <c r="E3745" s="499">
        <f>8000+6540</f>
        <v>14540</v>
      </c>
      <c r="F3745" s="263"/>
      <c r="G3745" s="275"/>
    </row>
    <row r="3746" spans="1:7" ht="17.45" customHeight="1">
      <c r="A3746" s="261" t="s">
        <v>8</v>
      </c>
      <c r="C3746" s="271" t="s">
        <v>3622</v>
      </c>
      <c r="D3746" s="497"/>
      <c r="E3746" s="499">
        <v>28500</v>
      </c>
      <c r="F3746" s="263"/>
      <c r="G3746" s="275"/>
    </row>
    <row r="3747" spans="1:7" ht="17.45" customHeight="1">
      <c r="A3747" s="261" t="s">
        <v>8</v>
      </c>
      <c r="C3747" s="271" t="s">
        <v>3623</v>
      </c>
      <c r="D3747" s="497"/>
      <c r="E3747" s="499">
        <v>13100</v>
      </c>
      <c r="F3747" s="263"/>
      <c r="G3747" s="275"/>
    </row>
    <row r="3748" spans="1:7" ht="17.45" customHeight="1">
      <c r="A3748" s="261" t="s">
        <v>8</v>
      </c>
      <c r="C3748" s="271" t="s">
        <v>3624</v>
      </c>
      <c r="D3748" s="497"/>
      <c r="E3748" s="499">
        <v>1400</v>
      </c>
      <c r="F3748" s="263"/>
      <c r="G3748" s="275"/>
    </row>
    <row r="3749" spans="1:7" ht="17.45" customHeight="1">
      <c r="A3749" s="261" t="s">
        <v>8</v>
      </c>
      <c r="C3749" s="284" t="s">
        <v>3625</v>
      </c>
      <c r="D3749" s="497"/>
      <c r="E3749" s="499">
        <f>10700+13300</f>
        <v>24000</v>
      </c>
      <c r="F3749" s="263"/>
      <c r="G3749" s="275"/>
    </row>
    <row r="3750" spans="1:7" ht="17.45" customHeight="1">
      <c r="A3750" s="261" t="s">
        <v>8</v>
      </c>
      <c r="C3750" s="271" t="s">
        <v>3626</v>
      </c>
      <c r="D3750" s="497"/>
      <c r="E3750" s="499">
        <v>1500</v>
      </c>
      <c r="F3750" s="263"/>
      <c r="G3750" s="275"/>
    </row>
    <row r="3751" spans="1:7" ht="17.45" customHeight="1">
      <c r="A3751" s="261" t="s">
        <v>8</v>
      </c>
      <c r="C3751" s="271" t="s">
        <v>3627</v>
      </c>
      <c r="D3751" s="497"/>
      <c r="E3751" s="499">
        <v>3750</v>
      </c>
      <c r="F3751" s="263"/>
      <c r="G3751" s="275"/>
    </row>
    <row r="3752" spans="1:7" ht="17.45" customHeight="1">
      <c r="A3752" s="261" t="s">
        <v>8</v>
      </c>
      <c r="C3752" s="271" t="s">
        <v>3628</v>
      </c>
      <c r="D3752" s="497"/>
      <c r="E3752" s="499">
        <v>34600</v>
      </c>
      <c r="F3752" s="263"/>
      <c r="G3752" s="275"/>
    </row>
    <row r="3753" spans="1:7" ht="17.45" customHeight="1">
      <c r="A3753" s="261" t="s">
        <v>8</v>
      </c>
      <c r="C3753" s="271" t="s">
        <v>3629</v>
      </c>
      <c r="D3753" s="497"/>
      <c r="E3753" s="499">
        <f>104200+48900</f>
        <v>153100</v>
      </c>
      <c r="F3753" s="263"/>
      <c r="G3753" s="275"/>
    </row>
    <row r="3754" spans="1:7" ht="17.45" customHeight="1">
      <c r="A3754" s="261" t="s">
        <v>8</v>
      </c>
      <c r="C3754" s="284" t="s">
        <v>3630</v>
      </c>
      <c r="D3754" s="497"/>
      <c r="E3754" s="499">
        <v>1300</v>
      </c>
      <c r="F3754" s="263"/>
      <c r="G3754" s="275"/>
    </row>
    <row r="3755" spans="1:7" ht="17.45" customHeight="1">
      <c r="A3755" s="261" t="s">
        <v>8</v>
      </c>
      <c r="C3755" s="271" t="s">
        <v>3631</v>
      </c>
      <c r="D3755" s="497"/>
      <c r="E3755" s="499">
        <v>1800</v>
      </c>
      <c r="F3755" s="263"/>
      <c r="G3755" s="275"/>
    </row>
    <row r="3756" spans="1:7" ht="17.45" customHeight="1">
      <c r="A3756" s="261" t="s">
        <v>8</v>
      </c>
      <c r="C3756" s="271" t="s">
        <v>3644</v>
      </c>
      <c r="D3756" s="497"/>
      <c r="E3756" s="499">
        <v>27000</v>
      </c>
      <c r="F3756" s="263"/>
      <c r="G3756" s="275"/>
    </row>
    <row r="3757" spans="1:7" ht="17.45" customHeight="1">
      <c r="A3757" s="261" t="s">
        <v>8</v>
      </c>
      <c r="C3757" s="271" t="s">
        <v>3645</v>
      </c>
      <c r="D3757" s="497"/>
      <c r="E3757" s="499">
        <v>12800</v>
      </c>
      <c r="F3757" s="263"/>
      <c r="G3757" s="275"/>
    </row>
    <row r="3758" spans="1:7" ht="17.45" customHeight="1">
      <c r="A3758" s="261" t="s">
        <v>8</v>
      </c>
      <c r="C3758" s="271" t="s">
        <v>3646</v>
      </c>
      <c r="D3758" s="497"/>
      <c r="E3758" s="499">
        <v>13200</v>
      </c>
      <c r="F3758" s="263"/>
      <c r="G3758" s="275"/>
    </row>
    <row r="3759" spans="1:7" ht="17.45" customHeight="1">
      <c r="A3759" s="261" t="s">
        <v>8</v>
      </c>
      <c r="C3759" s="271" t="s">
        <v>3647</v>
      </c>
      <c r="D3759" s="497"/>
      <c r="E3759" s="499">
        <v>4000</v>
      </c>
      <c r="F3759" s="263"/>
      <c r="G3759" s="275"/>
    </row>
    <row r="3760" spans="1:7" ht="17.45" customHeight="1">
      <c r="A3760" s="261" t="s">
        <v>8</v>
      </c>
      <c r="C3760" s="271"/>
      <c r="D3760" s="497"/>
      <c r="E3760" s="497"/>
      <c r="F3760" s="263"/>
      <c r="G3760" s="275"/>
    </row>
    <row r="3761" spans="1:7" ht="17.45" customHeight="1">
      <c r="A3761" s="261" t="s">
        <v>8</v>
      </c>
      <c r="C3761" s="271"/>
      <c r="D3761" s="497"/>
      <c r="E3761" s="497"/>
      <c r="F3761" s="263"/>
      <c r="G3761" s="275"/>
    </row>
    <row r="3762" spans="1:7" ht="17.45" customHeight="1">
      <c r="A3762" s="261" t="s">
        <v>8</v>
      </c>
      <c r="C3762" s="271"/>
      <c r="D3762" s="497"/>
      <c r="E3762" s="497"/>
      <c r="F3762" s="263"/>
      <c r="G3762" s="275"/>
    </row>
    <row r="3763" spans="1:7" ht="17.45" customHeight="1">
      <c r="A3763" s="261" t="s">
        <v>8</v>
      </c>
      <c r="C3763" s="271"/>
      <c r="D3763" s="497"/>
      <c r="E3763" s="497"/>
      <c r="F3763" s="263"/>
      <c r="G3763" s="275"/>
    </row>
    <row r="3764" spans="1:7" ht="17.45" customHeight="1">
      <c r="A3764" s="261" t="s">
        <v>8</v>
      </c>
      <c r="C3764" s="271"/>
      <c r="D3764" s="497"/>
      <c r="E3764" s="497"/>
      <c r="F3764" s="263"/>
      <c r="G3764" s="275"/>
    </row>
    <row r="3765" spans="1:7" ht="17.45" customHeight="1">
      <c r="A3765" s="261" t="s">
        <v>8</v>
      </c>
      <c r="C3765" s="271"/>
      <c r="D3765" s="497"/>
      <c r="E3765" s="497"/>
      <c r="F3765" s="263"/>
      <c r="G3765" s="275"/>
    </row>
    <row r="3766" spans="1:7" ht="17.45" customHeight="1">
      <c r="A3766" s="261" t="s">
        <v>8</v>
      </c>
      <c r="C3766" s="271"/>
      <c r="D3766" s="497"/>
      <c r="E3766" s="497"/>
      <c r="F3766" s="263"/>
      <c r="G3766" s="275"/>
    </row>
    <row r="3767" spans="1:7" ht="17.45" customHeight="1">
      <c r="A3767" s="261" t="s">
        <v>8</v>
      </c>
      <c r="C3767" s="271"/>
      <c r="D3767" s="497"/>
      <c r="E3767" s="497"/>
      <c r="F3767" s="263"/>
      <c r="G3767" s="275"/>
    </row>
    <row r="3768" spans="1:7" ht="17.45" customHeight="1">
      <c r="A3768" s="261" t="s">
        <v>8</v>
      </c>
      <c r="C3768" s="271"/>
      <c r="D3768" s="497"/>
      <c r="E3768" s="497"/>
      <c r="F3768" s="263"/>
      <c r="G3768" s="275"/>
    </row>
    <row r="3769" spans="1:7" ht="17.45" customHeight="1">
      <c r="A3769" s="261" t="s">
        <v>8</v>
      </c>
      <c r="C3769" s="271"/>
      <c r="D3769" s="497"/>
      <c r="E3769" s="497"/>
      <c r="F3769" s="263"/>
      <c r="G3769" s="275"/>
    </row>
    <row r="3770" spans="1:7" ht="17.45" customHeight="1">
      <c r="A3770" s="261" t="s">
        <v>8</v>
      </c>
      <c r="C3770" s="271"/>
      <c r="D3770" s="497"/>
      <c r="E3770" s="497"/>
      <c r="F3770" s="263"/>
      <c r="G3770" s="275"/>
    </row>
    <row r="3771" spans="1:7" ht="17.45" customHeight="1">
      <c r="A3771" s="261" t="s">
        <v>8</v>
      </c>
      <c r="C3771" s="271"/>
      <c r="D3771" s="497"/>
      <c r="E3771" s="497"/>
      <c r="F3771" s="263"/>
      <c r="G3771" s="275"/>
    </row>
    <row r="3772" spans="1:7" ht="17.45" customHeight="1">
      <c r="A3772" s="261" t="s">
        <v>8</v>
      </c>
      <c r="C3772" s="271"/>
      <c r="D3772" s="497"/>
      <c r="E3772" s="497"/>
      <c r="F3772" s="263"/>
      <c r="G3772" s="275"/>
    </row>
    <row r="3773" spans="1:7" ht="17.45" customHeight="1">
      <c r="A3773" s="261" t="s">
        <v>8</v>
      </c>
      <c r="C3773" s="271"/>
      <c r="D3773" s="497"/>
      <c r="E3773" s="497"/>
      <c r="F3773" s="263"/>
      <c r="G3773" s="275"/>
    </row>
    <row r="3774" spans="1:7" ht="17.45" customHeight="1">
      <c r="A3774" s="261" t="s">
        <v>8</v>
      </c>
      <c r="C3774" s="271"/>
      <c r="D3774" s="497"/>
      <c r="E3774" s="497"/>
      <c r="F3774" s="263"/>
      <c r="G3774" s="275"/>
    </row>
    <row r="3775" spans="1:7" ht="17.45" customHeight="1">
      <c r="A3775" s="261" t="s">
        <v>8</v>
      </c>
      <c r="C3775" s="271"/>
      <c r="D3775" s="497"/>
      <c r="E3775" s="497"/>
      <c r="F3775" s="263"/>
      <c r="G3775" s="275"/>
    </row>
    <row r="3776" spans="1:7" ht="17.45" customHeight="1">
      <c r="A3776" s="261" t="s">
        <v>8</v>
      </c>
      <c r="C3776" s="271"/>
      <c r="D3776" s="497"/>
      <c r="E3776" s="497"/>
      <c r="F3776" s="263"/>
      <c r="G3776" s="275"/>
    </row>
    <row r="3777" spans="1:7" ht="17.45" customHeight="1">
      <c r="A3777" s="261" t="s">
        <v>8</v>
      </c>
      <c r="C3777" s="271"/>
      <c r="D3777" s="497"/>
      <c r="E3777" s="497"/>
      <c r="F3777" s="263"/>
      <c r="G3777" s="275"/>
    </row>
    <row r="3778" spans="1:7" ht="17.45" customHeight="1">
      <c r="A3778" s="261" t="s">
        <v>8</v>
      </c>
      <c r="C3778" s="271"/>
      <c r="D3778" s="497"/>
      <c r="E3778" s="497"/>
      <c r="F3778" s="263"/>
      <c r="G3778" s="275"/>
    </row>
    <row r="3779" spans="1:7" ht="17.45" customHeight="1">
      <c r="A3779" s="261" t="s">
        <v>8</v>
      </c>
      <c r="C3779" s="271"/>
      <c r="D3779" s="497"/>
      <c r="E3779" s="497"/>
      <c r="F3779" s="263"/>
      <c r="G3779" s="275"/>
    </row>
    <row r="3780" spans="1:7" ht="17.45" customHeight="1">
      <c r="A3780" s="261" t="s">
        <v>8</v>
      </c>
      <c r="C3780" s="271"/>
      <c r="D3780" s="497"/>
      <c r="E3780" s="497"/>
      <c r="F3780" s="263"/>
      <c r="G3780" s="275"/>
    </row>
    <row r="3781" spans="1:7" ht="17.45" customHeight="1">
      <c r="A3781" s="261" t="s">
        <v>8</v>
      </c>
      <c r="C3781" s="271"/>
      <c r="D3781" s="497"/>
      <c r="E3781" s="497"/>
      <c r="F3781" s="263"/>
      <c r="G3781" s="275"/>
    </row>
    <row r="3782" spans="1:7" ht="17.45" customHeight="1">
      <c r="A3782" s="261" t="s">
        <v>8</v>
      </c>
      <c r="C3782" s="271"/>
      <c r="D3782" s="497"/>
      <c r="E3782" s="497"/>
      <c r="F3782" s="263"/>
      <c r="G3782" s="275"/>
    </row>
    <row r="3783" spans="1:7" ht="17.45" customHeight="1">
      <c r="A3783" s="261" t="s">
        <v>8</v>
      </c>
      <c r="C3783" s="271"/>
      <c r="D3783" s="497"/>
      <c r="E3783" s="497"/>
      <c r="F3783" s="263"/>
      <c r="G3783" s="275"/>
    </row>
    <row r="3784" spans="1:7" ht="17.45" customHeight="1">
      <c r="A3784" s="261" t="s">
        <v>8</v>
      </c>
      <c r="C3784" s="271"/>
      <c r="D3784" s="497"/>
      <c r="E3784" s="497"/>
      <c r="F3784" s="263"/>
      <c r="G3784" s="275"/>
    </row>
    <row r="3785" spans="1:7" ht="17.45" customHeight="1">
      <c r="A3785" s="261" t="s">
        <v>8</v>
      </c>
      <c r="C3785" s="271"/>
      <c r="D3785" s="497"/>
      <c r="E3785" s="497"/>
      <c r="F3785" s="263"/>
      <c r="G3785" s="275"/>
    </row>
    <row r="3786" spans="1:7" ht="17.45" customHeight="1">
      <c r="A3786" s="261" t="s">
        <v>8</v>
      </c>
      <c r="C3786" s="271"/>
      <c r="D3786" s="497"/>
      <c r="E3786" s="497"/>
      <c r="F3786" s="263"/>
      <c r="G3786" s="275"/>
    </row>
    <row r="3787" spans="1:7" ht="17.45" customHeight="1">
      <c r="A3787" s="261" t="s">
        <v>8</v>
      </c>
      <c r="C3787" s="271"/>
      <c r="D3787" s="497"/>
      <c r="E3787" s="497"/>
      <c r="F3787" s="263"/>
      <c r="G3787" s="275"/>
    </row>
    <row r="3788" spans="1:7" ht="17.45" customHeight="1">
      <c r="A3788" s="261" t="s">
        <v>8</v>
      </c>
      <c r="C3788" s="271"/>
      <c r="D3788" s="497"/>
      <c r="E3788" s="497"/>
      <c r="F3788" s="263"/>
      <c r="G3788" s="275"/>
    </row>
    <row r="3789" spans="1:7" ht="17.45" customHeight="1">
      <c r="A3789" s="261" t="s">
        <v>8</v>
      </c>
      <c r="C3789" s="271"/>
      <c r="D3789" s="497"/>
      <c r="E3789" s="497"/>
      <c r="F3789" s="263"/>
      <c r="G3789" s="275"/>
    </row>
    <row r="3790" spans="1:7" ht="17.45" customHeight="1">
      <c r="A3790" s="261" t="s">
        <v>8</v>
      </c>
      <c r="C3790" s="271"/>
      <c r="D3790" s="497"/>
      <c r="E3790" s="497"/>
      <c r="F3790" s="263"/>
      <c r="G3790" s="275"/>
    </row>
    <row r="3791" spans="1:7" ht="17.45" customHeight="1">
      <c r="A3791" s="261" t="s">
        <v>8</v>
      </c>
      <c r="C3791" s="271"/>
      <c r="D3791" s="497"/>
      <c r="E3791" s="497"/>
      <c r="F3791" s="263"/>
      <c r="G3791" s="275"/>
    </row>
    <row r="3792" spans="1:7" ht="17.45" customHeight="1" thickBot="1">
      <c r="A3792" s="261" t="s">
        <v>8</v>
      </c>
      <c r="C3792" s="276" t="s">
        <v>1300</v>
      </c>
      <c r="D3792" s="502">
        <f>SUM(D3695:D3791)-SUM(E3695:E3791)</f>
        <v>-1375841</v>
      </c>
      <c r="E3792" s="502">
        <f>SUM(E3695:E3791)-SUM(F3695:F3791)</f>
        <v>9637219</v>
      </c>
      <c r="F3792" s="277"/>
      <c r="G3792" s="283"/>
    </row>
  </sheetData>
  <autoFilter ref="A1:H1" xr:uid="{00000000-0001-0000-0400-000000000000}"/>
  <phoneticPr fontId="5" type="noConversion"/>
  <pageMargins left="0.7" right="0.7" top="0.75" bottom="0.75" header="0.3" footer="0.3"/>
  <pageSetup paperSize="9" orientation="portrait" horizontalDpi="3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831A-7561-4A49-9E88-869D918F3DA0}">
  <dimension ref="C2:H41"/>
  <sheetViews>
    <sheetView zoomScaleNormal="100" workbookViewId="0">
      <selection activeCell="E3" sqref="E3"/>
    </sheetView>
  </sheetViews>
  <sheetFormatPr defaultRowHeight="17.25" customHeight="1"/>
  <cols>
    <col min="1" max="2" width="9" style="255"/>
    <col min="3" max="3" width="12.875" style="255" bestFit="1" customWidth="1"/>
    <col min="4" max="4" width="14.25" style="26" customWidth="1"/>
    <col min="5" max="5" width="14.25" style="293" customWidth="1"/>
    <col min="6" max="6" width="20.5" style="26" customWidth="1"/>
    <col min="7" max="7" width="15.5" style="26" bestFit="1" customWidth="1"/>
    <col min="8" max="8" width="18.875" style="255" customWidth="1"/>
    <col min="9" max="16384" width="9" style="255"/>
  </cols>
  <sheetData>
    <row r="2" spans="4:7" ht="17.25" customHeight="1">
      <c r="D2" s="293" t="s">
        <v>67</v>
      </c>
      <c r="E2" s="293">
        <f>SUM(E3:E31)</f>
        <v>60000000</v>
      </c>
      <c r="F2" s="26" t="s">
        <v>3428</v>
      </c>
      <c r="G2" s="26" t="s">
        <v>3429</v>
      </c>
    </row>
    <row r="3" spans="4:7" ht="17.25" customHeight="1">
      <c r="D3" s="257">
        <v>46175</v>
      </c>
      <c r="E3" s="293">
        <v>2000000</v>
      </c>
      <c r="F3" s="26" t="s">
        <v>3426</v>
      </c>
      <c r="G3" s="26" t="s">
        <v>3430</v>
      </c>
    </row>
    <row r="4" spans="4:7" ht="17.25" customHeight="1">
      <c r="D4" s="257">
        <v>46174</v>
      </c>
      <c r="E4" s="293">
        <v>3000000</v>
      </c>
      <c r="F4" s="26" t="s">
        <v>3426</v>
      </c>
      <c r="G4" s="26" t="s">
        <v>3430</v>
      </c>
    </row>
    <row r="5" spans="4:7" ht="17.25" customHeight="1">
      <c r="D5" s="257">
        <v>46146</v>
      </c>
      <c r="E5" s="293">
        <v>5000000</v>
      </c>
      <c r="F5" s="26" t="s">
        <v>3426</v>
      </c>
      <c r="G5" s="26" t="s">
        <v>3632</v>
      </c>
    </row>
    <row r="6" spans="4:7" ht="17.25" customHeight="1">
      <c r="D6" s="257">
        <v>46078</v>
      </c>
      <c r="E6" s="293">
        <v>3000000</v>
      </c>
      <c r="F6" s="26" t="s">
        <v>3426</v>
      </c>
      <c r="G6" s="26" t="s">
        <v>3430</v>
      </c>
    </row>
    <row r="7" spans="4:7" ht="17.25" customHeight="1">
      <c r="D7" s="257">
        <v>46049</v>
      </c>
      <c r="E7" s="293">
        <v>1000000</v>
      </c>
      <c r="F7" s="26" t="s">
        <v>3426</v>
      </c>
      <c r="G7" s="26" t="s">
        <v>3430</v>
      </c>
    </row>
    <row r="8" spans="4:7" ht="17.25" customHeight="1">
      <c r="D8" s="257">
        <v>46038</v>
      </c>
      <c r="E8" s="293">
        <v>1000000</v>
      </c>
      <c r="F8" s="26" t="s">
        <v>3425</v>
      </c>
      <c r="G8" s="26" t="s">
        <v>3430</v>
      </c>
    </row>
    <row r="9" spans="4:7" ht="17.25" customHeight="1">
      <c r="D9" s="257">
        <v>46027</v>
      </c>
      <c r="E9" s="293">
        <v>5000000</v>
      </c>
      <c r="F9" s="26" t="s">
        <v>3426</v>
      </c>
      <c r="G9" s="26" t="s">
        <v>3430</v>
      </c>
    </row>
    <row r="10" spans="4:7" ht="17.25" customHeight="1">
      <c r="D10" s="257">
        <v>45960</v>
      </c>
      <c r="E10" s="293">
        <v>5000000</v>
      </c>
      <c r="F10" s="26" t="s">
        <v>3427</v>
      </c>
      <c r="G10" s="26" t="s">
        <v>3430</v>
      </c>
    </row>
    <row r="11" spans="4:7" ht="17.25" customHeight="1">
      <c r="D11" s="257">
        <v>45958</v>
      </c>
      <c r="E11" s="293">
        <v>5000000</v>
      </c>
      <c r="F11" s="26" t="s">
        <v>3427</v>
      </c>
      <c r="G11" s="26" t="s">
        <v>3430</v>
      </c>
    </row>
    <row r="12" spans="4:7" ht="17.25" customHeight="1">
      <c r="D12" s="257">
        <v>45944</v>
      </c>
      <c r="E12" s="293">
        <v>3000000</v>
      </c>
      <c r="F12" s="26" t="s">
        <v>3425</v>
      </c>
      <c r="G12" s="26" t="s">
        <v>3430</v>
      </c>
    </row>
    <row r="13" spans="4:7" ht="17.25" customHeight="1">
      <c r="D13" s="257">
        <v>45944</v>
      </c>
      <c r="E13" s="293">
        <v>2000000</v>
      </c>
      <c r="F13" s="26" t="s">
        <v>3425</v>
      </c>
      <c r="G13" s="26" t="s">
        <v>3440</v>
      </c>
    </row>
    <row r="14" spans="4:7" ht="17.25" customHeight="1">
      <c r="D14" s="257">
        <v>45833</v>
      </c>
      <c r="E14" s="293">
        <v>5000000</v>
      </c>
      <c r="F14" s="26" t="s">
        <v>3425</v>
      </c>
      <c r="G14" s="26" t="s">
        <v>3440</v>
      </c>
    </row>
    <row r="15" spans="4:7" ht="17.25" customHeight="1">
      <c r="D15" s="257">
        <v>44354</v>
      </c>
      <c r="E15" s="293">
        <v>1000000</v>
      </c>
      <c r="F15" s="26" t="s">
        <v>3425</v>
      </c>
      <c r="G15" s="26" t="s">
        <v>3441</v>
      </c>
    </row>
    <row r="16" spans="4:7" ht="17.25" customHeight="1">
      <c r="D16" s="257">
        <v>44340</v>
      </c>
      <c r="E16" s="293">
        <v>1000000</v>
      </c>
      <c r="F16" s="26" t="s">
        <v>3425</v>
      </c>
      <c r="G16" s="26" t="s">
        <v>3441</v>
      </c>
    </row>
    <row r="17" spans="3:8" ht="17.25" customHeight="1">
      <c r="D17" s="257">
        <v>44306</v>
      </c>
      <c r="E17" s="293">
        <v>1000000</v>
      </c>
      <c r="F17" s="26" t="s">
        <v>3425</v>
      </c>
      <c r="G17" s="26" t="s">
        <v>3441</v>
      </c>
    </row>
    <row r="18" spans="3:8" ht="17.25" customHeight="1">
      <c r="C18" s="495"/>
      <c r="D18" s="257">
        <v>44302</v>
      </c>
      <c r="E18" s="293">
        <v>1000000</v>
      </c>
      <c r="F18" s="26" t="s">
        <v>3425</v>
      </c>
      <c r="G18" s="26" t="s">
        <v>3441</v>
      </c>
    </row>
    <row r="19" spans="3:8" ht="17.25" customHeight="1">
      <c r="C19" s="495"/>
      <c r="D19" s="257">
        <v>44300</v>
      </c>
      <c r="E19" s="293">
        <v>500000</v>
      </c>
      <c r="F19" s="26" t="s">
        <v>3425</v>
      </c>
      <c r="G19" s="26" t="s">
        <v>3441</v>
      </c>
    </row>
    <row r="20" spans="3:8" ht="17.25" customHeight="1">
      <c r="C20" s="495"/>
      <c r="D20" s="257">
        <v>44281</v>
      </c>
      <c r="E20" s="293">
        <v>300000</v>
      </c>
      <c r="F20" s="26" t="s">
        <v>3425</v>
      </c>
    </row>
    <row r="21" spans="3:8" ht="17.25" customHeight="1">
      <c r="C21" s="494"/>
      <c r="D21" s="257">
        <v>44273</v>
      </c>
      <c r="E21" s="293">
        <v>200000</v>
      </c>
      <c r="F21" s="26" t="s">
        <v>3425</v>
      </c>
      <c r="H21" s="255" t="s">
        <v>3434</v>
      </c>
    </row>
    <row r="22" spans="3:8" ht="17.25" customHeight="1">
      <c r="C22" s="494"/>
      <c r="D22" s="257">
        <v>44233</v>
      </c>
      <c r="E22" s="293">
        <v>1000000</v>
      </c>
      <c r="F22" s="26" t="s">
        <v>3425</v>
      </c>
      <c r="H22" s="255" t="s">
        <v>3433</v>
      </c>
    </row>
    <row r="23" spans="3:8" ht="17.25" customHeight="1">
      <c r="C23" s="494"/>
      <c r="D23" s="257">
        <v>44224</v>
      </c>
      <c r="E23" s="293">
        <v>500000</v>
      </c>
      <c r="F23" s="26" t="s">
        <v>3425</v>
      </c>
    </row>
    <row r="24" spans="3:8" ht="17.25" customHeight="1">
      <c r="D24" s="257">
        <v>44223</v>
      </c>
      <c r="E24" s="293">
        <v>497000</v>
      </c>
      <c r="F24" s="26" t="s">
        <v>3425</v>
      </c>
    </row>
    <row r="25" spans="3:8" ht="17.25" customHeight="1">
      <c r="D25" s="257">
        <v>44218</v>
      </c>
      <c r="E25" s="293">
        <v>3000</v>
      </c>
      <c r="F25" s="26" t="s">
        <v>3425</v>
      </c>
    </row>
    <row r="26" spans="3:8" ht="17.25" customHeight="1">
      <c r="D26" s="257">
        <v>44218</v>
      </c>
      <c r="E26" s="293">
        <v>1000000</v>
      </c>
      <c r="F26" s="26" t="s">
        <v>3425</v>
      </c>
      <c r="G26" s="26" t="s">
        <v>3432</v>
      </c>
    </row>
    <row r="27" spans="3:8" ht="17.25" customHeight="1">
      <c r="D27" s="257">
        <v>44174</v>
      </c>
      <c r="E27" s="293">
        <v>3000000</v>
      </c>
      <c r="F27" s="26" t="s">
        <v>3425</v>
      </c>
      <c r="G27" s="26" t="s">
        <v>3431</v>
      </c>
    </row>
    <row r="28" spans="3:8" ht="17.25" customHeight="1">
      <c r="D28" s="257">
        <v>44172</v>
      </c>
      <c r="E28" s="293">
        <v>1000000</v>
      </c>
      <c r="F28" s="26" t="s">
        <v>3425</v>
      </c>
      <c r="G28" s="26" t="s">
        <v>3432</v>
      </c>
    </row>
    <row r="29" spans="3:8" ht="17.25" customHeight="1">
      <c r="D29" s="257">
        <v>44169</v>
      </c>
      <c r="E29" s="293">
        <v>1000000</v>
      </c>
      <c r="F29" s="26" t="s">
        <v>3425</v>
      </c>
      <c r="G29" s="26" t="s">
        <v>3432</v>
      </c>
    </row>
    <row r="30" spans="3:8" ht="17.25" customHeight="1">
      <c r="D30" s="257">
        <v>44168</v>
      </c>
      <c r="E30" s="293">
        <v>2000000</v>
      </c>
      <c r="F30" s="26" t="s">
        <v>3425</v>
      </c>
      <c r="G30" s="26" t="s">
        <v>3432</v>
      </c>
    </row>
    <row r="31" spans="3:8" ht="17.25" customHeight="1">
      <c r="D31" s="257">
        <v>44166</v>
      </c>
      <c r="E31" s="293">
        <v>5000000</v>
      </c>
      <c r="F31" s="26" t="s">
        <v>3425</v>
      </c>
      <c r="G31" s="26" t="s">
        <v>3432</v>
      </c>
    </row>
    <row r="32" spans="3:8" ht="17.25" customHeight="1">
      <c r="D32" s="257"/>
    </row>
    <row r="33" spans="4:4" ht="17.25" customHeight="1">
      <c r="D33" s="257"/>
    </row>
    <row r="34" spans="4:4" ht="17.25" customHeight="1">
      <c r="D34" s="257"/>
    </row>
    <row r="35" spans="4:4" ht="17.25" customHeight="1">
      <c r="D35" s="257"/>
    </row>
    <row r="36" spans="4:4" ht="17.25" customHeight="1">
      <c r="D36" s="257"/>
    </row>
    <row r="37" spans="4:4" ht="17.25" customHeight="1">
      <c r="D37" s="257"/>
    </row>
    <row r="38" spans="4:4" ht="17.25" customHeight="1">
      <c r="D38" s="257"/>
    </row>
    <row r="39" spans="4:4" ht="17.25" customHeight="1">
      <c r="D39" s="257"/>
    </row>
    <row r="40" spans="4:4" ht="17.25" customHeight="1">
      <c r="D40" s="257"/>
    </row>
    <row r="41" spans="4:4" ht="17.25" customHeight="1">
      <c r="D41" s="257"/>
    </row>
  </sheetData>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B073-3A1C-46CE-ACE7-022B7D7E2C37}">
  <dimension ref="A1:BB289"/>
  <sheetViews>
    <sheetView zoomScale="70" zoomScaleNormal="70" workbookViewId="0">
      <pane ySplit="3" topLeftCell="A74" activePane="bottomLeft" state="frozen"/>
      <selection activeCell="E8" sqref="E8"/>
      <selection pane="bottomLeft" activeCell="F69" sqref="F69"/>
    </sheetView>
  </sheetViews>
  <sheetFormatPr defaultColWidth="9" defaultRowHeight="14.25" outlineLevelRow="1"/>
  <cols>
    <col min="1" max="2" width="20.75" style="3" customWidth="1"/>
    <col min="3" max="3" width="15.25" style="3" customWidth="1"/>
    <col min="4" max="4" width="11.75" style="5" customWidth="1" collapsed="1"/>
    <col min="5" max="5" width="8.375" style="5" customWidth="1"/>
    <col min="6" max="6" width="11.75" style="5" customWidth="1" collapsed="1"/>
    <col min="7" max="7" width="8.375" style="5" customWidth="1"/>
    <col min="8" max="8" width="11.75" style="5" customWidth="1"/>
    <col min="9" max="9" width="8.375" style="5" customWidth="1"/>
    <col min="10" max="10" width="11.75" style="331" customWidth="1"/>
    <col min="11" max="11" width="8.375" style="331" customWidth="1"/>
    <col min="12" max="54" width="9" style="331"/>
    <col min="55" max="16384" width="9" style="326"/>
  </cols>
  <sheetData>
    <row r="1" spans="1:29" ht="20.25" customHeight="1">
      <c r="A1" s="320">
        <v>45772</v>
      </c>
      <c r="B1" s="320"/>
      <c r="C1" s="204"/>
      <c r="D1" s="218"/>
      <c r="E1" s="218"/>
      <c r="F1" s="218"/>
      <c r="G1" s="218"/>
      <c r="H1" s="218"/>
      <c r="I1" s="218"/>
    </row>
    <row r="2" spans="1:29" ht="20.25" customHeight="1">
      <c r="A2" s="204"/>
      <c r="B2" s="204"/>
      <c r="C2" s="204"/>
      <c r="D2" s="218"/>
      <c r="E2" s="218"/>
      <c r="F2" s="218"/>
      <c r="G2" s="218"/>
      <c r="H2" s="218"/>
      <c r="I2" s="218"/>
    </row>
    <row r="3" spans="1:29" ht="20.25" customHeight="1">
      <c r="A3" s="59" t="s">
        <v>279</v>
      </c>
      <c r="B3" s="59" t="s">
        <v>280</v>
      </c>
      <c r="C3" s="59" t="s">
        <v>281</v>
      </c>
      <c r="D3" s="189" t="s">
        <v>2875</v>
      </c>
      <c r="E3" s="198" t="s">
        <v>2400</v>
      </c>
      <c r="F3" s="189" t="s">
        <v>2876</v>
      </c>
      <c r="G3" s="198" t="s">
        <v>2400</v>
      </c>
      <c r="H3" s="189" t="s">
        <v>2877</v>
      </c>
      <c r="I3" s="198" t="s">
        <v>2400</v>
      </c>
      <c r="J3" s="189" t="s">
        <v>2878</v>
      </c>
      <c r="K3" s="198" t="s">
        <v>2400</v>
      </c>
    </row>
    <row r="4" spans="1:29" ht="20.25" customHeight="1">
      <c r="A4" s="546" t="s">
        <v>301</v>
      </c>
      <c r="B4" s="191"/>
      <c r="C4" s="327" t="s">
        <v>2596</v>
      </c>
      <c r="D4" s="193">
        <v>59959046</v>
      </c>
      <c r="E4" s="196">
        <v>0.99999999999999989</v>
      </c>
      <c r="F4" s="193">
        <v>85718180</v>
      </c>
      <c r="G4" s="196">
        <v>1</v>
      </c>
      <c r="H4" s="193">
        <v>80158602</v>
      </c>
      <c r="I4" s="196">
        <v>0.99999999999999989</v>
      </c>
      <c r="J4" s="193">
        <v>28419910</v>
      </c>
      <c r="K4" s="196">
        <v>0.99999999999999989</v>
      </c>
    </row>
    <row r="5" spans="1:29" ht="20.25" customHeight="1">
      <c r="A5" s="547"/>
      <c r="B5" s="538" t="s">
        <v>2597</v>
      </c>
      <c r="C5" s="539"/>
      <c r="D5" s="190">
        <v>54906327</v>
      </c>
      <c r="E5" s="197">
        <v>0.91573049711297938</v>
      </c>
      <c r="F5" s="190">
        <v>68978995</v>
      </c>
      <c r="G5" s="197">
        <v>0.80471838062824008</v>
      </c>
      <c r="H5" s="190">
        <v>73228148</v>
      </c>
      <c r="I5" s="197">
        <v>0.91354073265898528</v>
      </c>
      <c r="J5" s="190">
        <v>26632983</v>
      </c>
      <c r="K5" s="197">
        <v>0.93712411474913182</v>
      </c>
    </row>
    <row r="6" spans="1:29" ht="20.25" customHeight="1">
      <c r="A6" s="548"/>
      <c r="B6" s="538" t="s">
        <v>2598</v>
      </c>
      <c r="C6" s="539"/>
      <c r="D6" s="190">
        <v>0</v>
      </c>
      <c r="E6" s="197">
        <v>0</v>
      </c>
      <c r="F6" s="190">
        <v>3712987</v>
      </c>
      <c r="G6" s="197">
        <v>4.3316213666692409E-2</v>
      </c>
      <c r="H6" s="190">
        <v>1645849</v>
      </c>
      <c r="I6" s="197">
        <v>2.0532406490821782E-2</v>
      </c>
      <c r="J6" s="190">
        <v>0</v>
      </c>
      <c r="K6" s="197">
        <v>0</v>
      </c>
    </row>
    <row r="7" spans="1:29" ht="20.25" customHeight="1">
      <c r="A7" s="548"/>
      <c r="B7" s="538" t="s">
        <v>2599</v>
      </c>
      <c r="C7" s="539"/>
      <c r="D7" s="190">
        <v>0</v>
      </c>
      <c r="E7" s="197">
        <v>0</v>
      </c>
      <c r="F7" s="190">
        <v>309000</v>
      </c>
      <c r="G7" s="197">
        <v>3.6048362202743922E-3</v>
      </c>
      <c r="H7" s="190">
        <v>0</v>
      </c>
      <c r="I7" s="197">
        <v>0</v>
      </c>
      <c r="J7" s="190">
        <v>0</v>
      </c>
      <c r="K7" s="197">
        <v>0</v>
      </c>
      <c r="R7" s="345"/>
      <c r="S7" s="345"/>
      <c r="T7" s="345"/>
      <c r="U7" s="345"/>
      <c r="V7" s="345"/>
      <c r="W7" s="345"/>
      <c r="X7" s="345"/>
      <c r="Y7" s="345"/>
      <c r="Z7" s="345"/>
      <c r="AA7" s="345"/>
      <c r="AB7" s="345"/>
      <c r="AC7" s="345"/>
    </row>
    <row r="8" spans="1:29" ht="20.25" customHeight="1">
      <c r="A8" s="547"/>
      <c r="B8" s="538" t="s">
        <v>42</v>
      </c>
      <c r="C8" s="539"/>
      <c r="D8" s="190">
        <v>573670</v>
      </c>
      <c r="E8" s="197">
        <v>9.5676972578916612E-3</v>
      </c>
      <c r="F8" s="190">
        <v>577720</v>
      </c>
      <c r="G8" s="197">
        <v>6.7397604568832422E-3</v>
      </c>
      <c r="H8" s="190">
        <v>1413340</v>
      </c>
      <c r="I8" s="197">
        <v>1.7631794526556239E-2</v>
      </c>
      <c r="J8" s="190">
        <v>-230270</v>
      </c>
      <c r="K8" s="197">
        <v>-8.1024183398188104E-3</v>
      </c>
      <c r="R8" s="345"/>
      <c r="S8" s="345"/>
      <c r="T8" s="345"/>
      <c r="U8" s="345"/>
      <c r="V8" s="345"/>
      <c r="W8" s="345"/>
      <c r="X8" s="345"/>
      <c r="Y8" s="345"/>
      <c r="Z8" s="345"/>
      <c r="AA8" s="345"/>
      <c r="AB8" s="345"/>
      <c r="AC8" s="345"/>
    </row>
    <row r="9" spans="1:29" ht="20.25" customHeight="1">
      <c r="A9" s="548"/>
      <c r="B9" s="545" t="s">
        <v>2880</v>
      </c>
      <c r="C9" s="539"/>
      <c r="D9" s="190">
        <v>0</v>
      </c>
      <c r="E9" s="197">
        <v>0</v>
      </c>
      <c r="F9" s="190">
        <v>0</v>
      </c>
      <c r="G9" s="197">
        <v>0</v>
      </c>
      <c r="H9" s="190">
        <v>0</v>
      </c>
      <c r="I9" s="197">
        <v>0</v>
      </c>
      <c r="J9" s="190">
        <v>230270</v>
      </c>
      <c r="K9" s="197">
        <v>8.1024183398188104E-3</v>
      </c>
      <c r="R9" s="345"/>
      <c r="S9" s="345"/>
      <c r="T9" s="345"/>
      <c r="U9" s="345"/>
      <c r="V9" s="345"/>
      <c r="W9" s="345"/>
      <c r="X9" s="345"/>
      <c r="Y9" s="345"/>
      <c r="Z9" s="345"/>
      <c r="AA9" s="345"/>
      <c r="AB9" s="345"/>
      <c r="AC9" s="345"/>
    </row>
    <row r="10" spans="1:29" ht="20.25" customHeight="1">
      <c r="A10" s="547"/>
      <c r="B10" s="669" t="s">
        <v>2815</v>
      </c>
      <c r="C10" s="539"/>
      <c r="D10" s="190">
        <v>3289</v>
      </c>
      <c r="E10" s="197">
        <v>5.485410825248954E-5</v>
      </c>
      <c r="F10" s="190">
        <v>4986</v>
      </c>
      <c r="G10" s="197">
        <v>5.8167357263068346E-5</v>
      </c>
      <c r="H10" s="190">
        <v>6975</v>
      </c>
      <c r="I10" s="197">
        <v>8.7014990605749343E-5</v>
      </c>
      <c r="J10" s="190">
        <v>111843</v>
      </c>
      <c r="K10" s="197">
        <v>3.9353748833124381E-3</v>
      </c>
      <c r="R10" s="345"/>
      <c r="S10" s="345"/>
      <c r="T10" s="345"/>
      <c r="U10" s="345"/>
      <c r="V10" s="345"/>
      <c r="W10" s="345"/>
      <c r="X10" s="345"/>
      <c r="Y10" s="345"/>
      <c r="Z10" s="345"/>
      <c r="AA10" s="345"/>
      <c r="AB10" s="345"/>
      <c r="AC10" s="345"/>
    </row>
    <row r="11" spans="1:29" ht="20.25" customHeight="1">
      <c r="A11" s="548"/>
      <c r="B11" s="538" t="s">
        <v>2782</v>
      </c>
      <c r="C11" s="539"/>
      <c r="D11" s="190">
        <v>0</v>
      </c>
      <c r="E11" s="197">
        <v>0</v>
      </c>
      <c r="F11" s="190">
        <v>0</v>
      </c>
      <c r="G11" s="197">
        <v>0</v>
      </c>
      <c r="H11" s="190">
        <v>111500</v>
      </c>
      <c r="I11" s="197">
        <v>1.3909923229449535E-3</v>
      </c>
      <c r="J11" s="190">
        <v>0</v>
      </c>
      <c r="K11" s="197">
        <v>0</v>
      </c>
      <c r="R11" s="345"/>
      <c r="S11" s="345"/>
      <c r="T11" s="345"/>
      <c r="U11" s="345"/>
      <c r="V11" s="345"/>
      <c r="W11" s="345"/>
      <c r="X11" s="345"/>
      <c r="Y11" s="345"/>
      <c r="Z11" s="345"/>
      <c r="AA11" s="345"/>
      <c r="AB11" s="345"/>
      <c r="AC11" s="345"/>
    </row>
    <row r="12" spans="1:29" ht="20.25" customHeight="1">
      <c r="A12" s="548"/>
      <c r="B12" s="545" t="s">
        <v>2881</v>
      </c>
      <c r="C12" s="539"/>
      <c r="D12" s="190">
        <v>0</v>
      </c>
      <c r="E12" s="197">
        <v>0</v>
      </c>
      <c r="F12" s="190">
        <v>0</v>
      </c>
      <c r="G12" s="197">
        <v>0</v>
      </c>
      <c r="H12" s="190">
        <v>0</v>
      </c>
      <c r="I12" s="197">
        <v>0</v>
      </c>
      <c r="J12" s="190">
        <v>1995000</v>
      </c>
      <c r="K12" s="197">
        <v>7.0197266634553029E-2</v>
      </c>
      <c r="R12" s="345"/>
      <c r="S12" s="345"/>
      <c r="T12" s="345"/>
      <c r="U12" s="345"/>
      <c r="V12" s="345"/>
      <c r="W12" s="345"/>
      <c r="X12" s="345"/>
      <c r="Y12" s="345"/>
      <c r="Z12" s="345"/>
      <c r="AA12" s="345"/>
      <c r="AB12" s="345"/>
      <c r="AC12" s="345"/>
    </row>
    <row r="13" spans="1:29" ht="20.25" customHeight="1">
      <c r="A13" s="548"/>
      <c r="B13" s="538" t="s">
        <v>2784</v>
      </c>
      <c r="C13" s="539"/>
      <c r="D13" s="190">
        <v>0</v>
      </c>
      <c r="E13" s="197">
        <v>0</v>
      </c>
      <c r="F13" s="190">
        <v>0</v>
      </c>
      <c r="G13" s="197">
        <v>0</v>
      </c>
      <c r="H13" s="190">
        <v>2462349</v>
      </c>
      <c r="I13" s="197">
        <v>3.0718462380369359E-2</v>
      </c>
      <c r="J13" s="190">
        <v>-3319915.9999999981</v>
      </c>
      <c r="K13" s="197">
        <v>-0.11681655571745295</v>
      </c>
      <c r="R13" s="345"/>
      <c r="S13" s="345"/>
      <c r="T13" s="345"/>
      <c r="U13" s="345"/>
      <c r="V13" s="345"/>
      <c r="W13" s="345"/>
      <c r="X13" s="345"/>
      <c r="Y13" s="345"/>
      <c r="Z13" s="345"/>
      <c r="AA13" s="345"/>
      <c r="AB13" s="345"/>
      <c r="AC13" s="345"/>
    </row>
    <row r="14" spans="1:29" ht="20.25" customHeight="1">
      <c r="A14" s="548"/>
      <c r="B14" s="538" t="s">
        <v>2600</v>
      </c>
      <c r="C14" s="539"/>
      <c r="D14" s="190">
        <v>0</v>
      </c>
      <c r="E14" s="197">
        <v>0</v>
      </c>
      <c r="F14" s="190">
        <v>10530000</v>
      </c>
      <c r="G14" s="197">
        <v>0.12284441876857395</v>
      </c>
      <c r="H14" s="190">
        <v>0</v>
      </c>
      <c r="I14" s="197">
        <v>0</v>
      </c>
      <c r="J14" s="190">
        <v>0</v>
      </c>
      <c r="K14" s="197">
        <v>0</v>
      </c>
      <c r="R14" s="345"/>
      <c r="S14" s="345"/>
      <c r="T14" s="345"/>
      <c r="U14" s="345"/>
      <c r="V14" s="345"/>
      <c r="W14" s="345"/>
      <c r="X14" s="345"/>
      <c r="Y14" s="345"/>
      <c r="Z14" s="345"/>
      <c r="AA14" s="345"/>
      <c r="AB14" s="345"/>
      <c r="AC14" s="345"/>
    </row>
    <row r="15" spans="1:29" ht="20.25" customHeight="1">
      <c r="A15" s="548"/>
      <c r="B15" s="543" t="s">
        <v>2785</v>
      </c>
      <c r="C15" s="544"/>
      <c r="D15" s="190">
        <v>0</v>
      </c>
      <c r="E15" s="197">
        <v>0</v>
      </c>
      <c r="F15" s="190">
        <v>0</v>
      </c>
      <c r="G15" s="197">
        <v>0</v>
      </c>
      <c r="H15" s="190">
        <v>0</v>
      </c>
      <c r="I15" s="197">
        <v>0</v>
      </c>
      <c r="J15" s="190">
        <v>3000000</v>
      </c>
      <c r="K15" s="197">
        <v>0.10555979945045568</v>
      </c>
      <c r="R15" s="345"/>
      <c r="S15" s="345"/>
      <c r="T15" s="345"/>
      <c r="U15" s="345"/>
      <c r="V15" s="345"/>
      <c r="W15" s="345"/>
      <c r="X15" s="345"/>
      <c r="Y15" s="345"/>
      <c r="Z15" s="345"/>
      <c r="AA15" s="345"/>
      <c r="AB15" s="345"/>
      <c r="AC15" s="345"/>
    </row>
    <row r="16" spans="1:29" ht="20.25" customHeight="1">
      <c r="A16" s="547"/>
      <c r="B16" s="538" t="s">
        <v>2601</v>
      </c>
      <c r="C16" s="539"/>
      <c r="D16" s="190">
        <v>270500</v>
      </c>
      <c r="E16" s="197">
        <v>4.5114126732436668E-3</v>
      </c>
      <c r="F16" s="190">
        <v>276100</v>
      </c>
      <c r="G16" s="197">
        <v>3.2210203249765684E-3</v>
      </c>
      <c r="H16" s="190">
        <v>0</v>
      </c>
      <c r="I16" s="197">
        <v>0</v>
      </c>
      <c r="J16" s="190">
        <v>0</v>
      </c>
      <c r="K16" s="197">
        <v>0</v>
      </c>
      <c r="R16" s="345"/>
      <c r="S16" s="345"/>
      <c r="T16" s="345"/>
      <c r="U16" s="345"/>
      <c r="V16" s="345"/>
      <c r="W16" s="345"/>
      <c r="X16" s="345"/>
      <c r="Y16" s="345"/>
      <c r="Z16" s="345"/>
      <c r="AA16" s="345"/>
      <c r="AB16" s="345"/>
      <c r="AC16" s="345"/>
    </row>
    <row r="17" spans="1:29" ht="20.25" customHeight="1">
      <c r="A17" s="547"/>
      <c r="B17" s="538" t="s">
        <v>302</v>
      </c>
      <c r="C17" s="539"/>
      <c r="D17" s="190">
        <v>300000</v>
      </c>
      <c r="E17" s="197">
        <v>5.0034151644107209E-3</v>
      </c>
      <c r="F17" s="190">
        <v>0</v>
      </c>
      <c r="G17" s="197">
        <v>0</v>
      </c>
      <c r="H17" s="190">
        <v>0</v>
      </c>
      <c r="I17" s="197">
        <v>0</v>
      </c>
      <c r="J17" s="190">
        <v>0</v>
      </c>
      <c r="K17" s="197">
        <v>0</v>
      </c>
      <c r="R17" s="345"/>
      <c r="S17" s="345"/>
      <c r="T17" s="345"/>
      <c r="U17" s="345"/>
      <c r="V17" s="345"/>
      <c r="W17" s="345"/>
      <c r="X17" s="345"/>
      <c r="Y17" s="345"/>
      <c r="Z17" s="345"/>
      <c r="AA17" s="345"/>
      <c r="AB17" s="345"/>
      <c r="AC17" s="345"/>
    </row>
    <row r="18" spans="1:29" ht="20.25" customHeight="1">
      <c r="A18" s="548"/>
      <c r="B18" s="538" t="s">
        <v>2602</v>
      </c>
      <c r="C18" s="539"/>
      <c r="D18" s="190">
        <v>0</v>
      </c>
      <c r="E18" s="197">
        <v>0</v>
      </c>
      <c r="F18" s="190">
        <v>122800</v>
      </c>
      <c r="G18" s="197">
        <v>1.4326015788016031E-3</v>
      </c>
      <c r="H18" s="190">
        <v>995341</v>
      </c>
      <c r="I18" s="197">
        <v>1.2417145199213928E-2</v>
      </c>
      <c r="J18" s="190">
        <v>0</v>
      </c>
      <c r="K18" s="197">
        <v>0</v>
      </c>
      <c r="R18" s="345"/>
      <c r="S18" s="345"/>
      <c r="T18" s="345"/>
      <c r="U18" s="345"/>
      <c r="V18" s="345"/>
      <c r="W18" s="345"/>
      <c r="X18" s="345"/>
      <c r="Y18" s="345"/>
      <c r="Z18" s="345"/>
      <c r="AA18" s="345"/>
      <c r="AB18" s="345"/>
      <c r="AC18" s="345"/>
    </row>
    <row r="19" spans="1:29" ht="20.25" customHeight="1">
      <c r="A19" s="548"/>
      <c r="B19" s="538" t="s">
        <v>2603</v>
      </c>
      <c r="C19" s="539"/>
      <c r="D19" s="190">
        <v>0</v>
      </c>
      <c r="E19" s="197">
        <v>0</v>
      </c>
      <c r="F19" s="190">
        <v>1205592</v>
      </c>
      <c r="G19" s="197">
        <v>1.4064600998294645E-2</v>
      </c>
      <c r="H19" s="190">
        <v>295100</v>
      </c>
      <c r="I19" s="197">
        <v>3.6814514305027425E-3</v>
      </c>
      <c r="J19" s="190">
        <v>0</v>
      </c>
      <c r="K19" s="197">
        <v>0</v>
      </c>
    </row>
    <row r="20" spans="1:29" ht="20.25" customHeight="1">
      <c r="A20" s="547"/>
      <c r="B20" s="538" t="s">
        <v>2882</v>
      </c>
      <c r="C20" s="539"/>
      <c r="D20" s="190">
        <v>3905260</v>
      </c>
      <c r="E20" s="197">
        <v>6.5132123683222048E-2</v>
      </c>
      <c r="F20" s="190">
        <v>0</v>
      </c>
      <c r="G20" s="197">
        <v>0</v>
      </c>
      <c r="H20" s="190">
        <v>0</v>
      </c>
      <c r="I20" s="197">
        <v>0</v>
      </c>
      <c r="J20" s="190">
        <v>0</v>
      </c>
      <c r="K20" s="197">
        <v>0</v>
      </c>
    </row>
    <row r="21" spans="1:29" ht="20.25" customHeight="1">
      <c r="A21" s="525" t="s">
        <v>304</v>
      </c>
      <c r="B21" s="195"/>
      <c r="C21" s="63" t="s">
        <v>305</v>
      </c>
      <c r="D21" s="193">
        <v>48702662</v>
      </c>
      <c r="E21" s="196">
        <v>0.87784182828993307</v>
      </c>
      <c r="F21" s="193">
        <v>63370547</v>
      </c>
      <c r="G21" s="196">
        <v>0.86126209456644121</v>
      </c>
      <c r="H21" s="193">
        <v>53271229</v>
      </c>
      <c r="I21" s="196">
        <v>0.69829713678431327</v>
      </c>
      <c r="J21" s="193">
        <v>11437027</v>
      </c>
      <c r="K21" s="196">
        <v>0.43317620427870424</v>
      </c>
    </row>
    <row r="22" spans="1:29" ht="20.25" customHeight="1">
      <c r="A22" s="525"/>
      <c r="B22" s="555" t="s">
        <v>306</v>
      </c>
      <c r="C22" s="65" t="s">
        <v>307</v>
      </c>
      <c r="D22" s="190">
        <v>4546100</v>
      </c>
      <c r="E22" s="196">
        <v>8.1941244517370823E-2</v>
      </c>
      <c r="F22" s="190">
        <v>5174957</v>
      </c>
      <c r="G22" s="196">
        <v>7.0332268160968645E-2</v>
      </c>
      <c r="H22" s="190">
        <v>5115500</v>
      </c>
      <c r="I22" s="196">
        <v>6.7055689727379006E-2</v>
      </c>
      <c r="J22" s="190">
        <v>1596400</v>
      </c>
      <c r="K22" s="196">
        <v>6.0463483430661082E-2</v>
      </c>
    </row>
    <row r="23" spans="1:29" ht="20.25" hidden="1" customHeight="1" outlineLevel="1">
      <c r="A23" s="525"/>
      <c r="B23" s="528"/>
      <c r="C23" s="30" t="s">
        <v>308</v>
      </c>
      <c r="D23" s="190">
        <v>4542100</v>
      </c>
      <c r="E23" s="197">
        <v>8.1869146460119668E-2</v>
      </c>
      <c r="F23" s="190">
        <v>5131027</v>
      </c>
      <c r="G23" s="197">
        <v>6.9735220390269997E-2</v>
      </c>
      <c r="H23" s="190">
        <v>5115500</v>
      </c>
      <c r="I23" s="197">
        <v>6.7055689727379006E-2</v>
      </c>
      <c r="J23" s="190">
        <v>1596400</v>
      </c>
      <c r="K23" s="197">
        <v>6.0463483430661082E-2</v>
      </c>
    </row>
    <row r="24" spans="1:29" ht="20.25" hidden="1" customHeight="1" outlineLevel="1">
      <c r="A24" s="526"/>
      <c r="B24" s="531"/>
      <c r="C24" s="30" t="s">
        <v>2604</v>
      </c>
      <c r="D24" s="190">
        <v>4000</v>
      </c>
      <c r="E24" s="197">
        <v>7.2098057251156669E-5</v>
      </c>
      <c r="F24" s="190">
        <v>43930</v>
      </c>
      <c r="G24" s="197">
        <v>5.9704777069864593E-4</v>
      </c>
      <c r="H24" s="190">
        <v>0</v>
      </c>
      <c r="I24" s="197">
        <v>0</v>
      </c>
      <c r="J24" s="190">
        <v>0</v>
      </c>
      <c r="K24" s="197">
        <v>0</v>
      </c>
    </row>
    <row r="25" spans="1:29" ht="20.25" customHeight="1" collapsed="1">
      <c r="A25" s="525"/>
      <c r="B25" s="527" t="s">
        <v>309</v>
      </c>
      <c r="C25" s="65" t="s">
        <v>307</v>
      </c>
      <c r="D25" s="190">
        <v>7082600</v>
      </c>
      <c r="E25" s="196">
        <v>0.12766042507176054</v>
      </c>
      <c r="F25" s="190">
        <v>10087000</v>
      </c>
      <c r="G25" s="196">
        <v>0.13709130123007604</v>
      </c>
      <c r="H25" s="190">
        <v>10034000</v>
      </c>
      <c r="I25" s="196">
        <v>0.13152903738139399</v>
      </c>
      <c r="J25" s="190">
        <v>3300000</v>
      </c>
      <c r="K25" s="196">
        <v>0.1249871556760095</v>
      </c>
    </row>
    <row r="26" spans="1:29" ht="20.25" hidden="1" customHeight="1" outlineLevel="1">
      <c r="A26" s="526"/>
      <c r="B26" s="528"/>
      <c r="C26" s="30" t="s">
        <v>310</v>
      </c>
      <c r="D26" s="190">
        <v>7082600</v>
      </c>
      <c r="E26" s="197">
        <v>0.12766042507176054</v>
      </c>
      <c r="F26" s="190">
        <v>9287000</v>
      </c>
      <c r="G26" s="197">
        <v>0.12621858972179203</v>
      </c>
      <c r="H26" s="190">
        <v>9634000</v>
      </c>
      <c r="I26" s="197">
        <v>0.12628570322227922</v>
      </c>
      <c r="J26" s="190">
        <v>3300000</v>
      </c>
      <c r="K26" s="197">
        <v>0.1249871556760095</v>
      </c>
    </row>
    <row r="27" spans="1:29" ht="20.25" hidden="1" customHeight="1" outlineLevel="1">
      <c r="A27" s="525"/>
      <c r="B27" s="529"/>
      <c r="C27" s="30" t="s">
        <v>2605</v>
      </c>
      <c r="D27" s="190">
        <v>0</v>
      </c>
      <c r="E27" s="197">
        <v>0</v>
      </c>
      <c r="F27" s="190">
        <v>800000</v>
      </c>
      <c r="G27" s="197">
        <v>1.0872711508284014E-2</v>
      </c>
      <c r="H27" s="190">
        <v>400000</v>
      </c>
      <c r="I27" s="197">
        <v>5.2433341591147688E-3</v>
      </c>
      <c r="J27" s="190">
        <v>0</v>
      </c>
      <c r="K27" s="197">
        <v>0</v>
      </c>
    </row>
    <row r="28" spans="1:29" ht="20.25" customHeight="1" collapsed="1">
      <c r="A28" s="525"/>
      <c r="B28" s="527" t="s">
        <v>311</v>
      </c>
      <c r="C28" s="65" t="s">
        <v>307</v>
      </c>
      <c r="D28" s="190">
        <v>2628892</v>
      </c>
      <c r="E28" s="196">
        <v>4.7384501480776942E-2</v>
      </c>
      <c r="F28" s="190">
        <v>2372877</v>
      </c>
      <c r="G28" s="196">
        <v>3.2249508832053062E-2</v>
      </c>
      <c r="H28" s="190">
        <v>1872782</v>
      </c>
      <c r="I28" s="196">
        <v>2.4549054582938188E-2</v>
      </c>
      <c r="J28" s="190">
        <v>123697</v>
      </c>
      <c r="K28" s="196">
        <v>4.6850109683804087E-3</v>
      </c>
    </row>
    <row r="29" spans="1:29" ht="20.25" hidden="1" customHeight="1" outlineLevel="1">
      <c r="A29" s="525"/>
      <c r="B29" s="530"/>
      <c r="C29" s="30" t="s">
        <v>312</v>
      </c>
      <c r="D29" s="190">
        <v>89920</v>
      </c>
      <c r="E29" s="197">
        <v>1.6207643270060017E-3</v>
      </c>
      <c r="F29" s="190">
        <v>83960</v>
      </c>
      <c r="G29" s="197">
        <v>1.1410910727944073E-3</v>
      </c>
      <c r="H29" s="190">
        <v>88620</v>
      </c>
      <c r="I29" s="197">
        <v>1.161660682951877E-3</v>
      </c>
      <c r="J29" s="190">
        <v>-900</v>
      </c>
      <c r="K29" s="197">
        <v>-3.4087406093457141E-5</v>
      </c>
    </row>
    <row r="30" spans="1:29" ht="20.25" hidden="1" customHeight="1" outlineLevel="1">
      <c r="A30" s="525"/>
      <c r="B30" s="530"/>
      <c r="C30" s="30" t="s">
        <v>313</v>
      </c>
      <c r="D30" s="190">
        <v>251760</v>
      </c>
      <c r="E30" s="197">
        <v>4.5378517233878E-3</v>
      </c>
      <c r="F30" s="190">
        <v>323280</v>
      </c>
      <c r="G30" s="197">
        <v>4.39366272049757E-3</v>
      </c>
      <c r="H30" s="190">
        <v>359040</v>
      </c>
      <c r="I30" s="197">
        <v>4.7064167412214164E-3</v>
      </c>
      <c r="J30" s="190">
        <v>59840</v>
      </c>
      <c r="K30" s="197">
        <v>2.2664337562583055E-3</v>
      </c>
    </row>
    <row r="31" spans="1:29" ht="20.25" hidden="1" customHeight="1" outlineLevel="1">
      <c r="A31" s="525"/>
      <c r="B31" s="530"/>
      <c r="C31" s="30" t="s">
        <v>314</v>
      </c>
      <c r="D31" s="190">
        <v>222600</v>
      </c>
      <c r="E31" s="197">
        <v>4.0122568860268687E-3</v>
      </c>
      <c r="F31" s="190">
        <v>177135</v>
      </c>
      <c r="G31" s="197">
        <v>2.4074221912748612E-3</v>
      </c>
      <c r="H31" s="190">
        <v>112860</v>
      </c>
      <c r="I31" s="197">
        <v>1.4794067329942321E-3</v>
      </c>
      <c r="J31" s="190">
        <v>9405</v>
      </c>
      <c r="K31" s="197">
        <v>3.5621339367662708E-4</v>
      </c>
    </row>
    <row r="32" spans="1:29" ht="20.25" hidden="1" customHeight="1" outlineLevel="1">
      <c r="A32" s="525"/>
      <c r="B32" s="530"/>
      <c r="C32" s="30" t="s">
        <v>315</v>
      </c>
      <c r="D32" s="190">
        <v>317400</v>
      </c>
      <c r="E32" s="197">
        <v>5.7209808428792816E-3</v>
      </c>
      <c r="F32" s="190">
        <v>317400</v>
      </c>
      <c r="G32" s="197">
        <v>4.3137482909116828E-3</v>
      </c>
      <c r="H32" s="190">
        <v>264500</v>
      </c>
      <c r="I32" s="197">
        <v>3.4671547127146408E-3</v>
      </c>
      <c r="J32" s="190">
        <v>0</v>
      </c>
      <c r="K32" s="197">
        <v>0</v>
      </c>
    </row>
    <row r="33" spans="1:11" ht="20.25" hidden="1" customHeight="1" outlineLevel="1">
      <c r="A33" s="525"/>
      <c r="B33" s="530"/>
      <c r="C33" s="30" t="s">
        <v>316</v>
      </c>
      <c r="D33" s="190">
        <v>107322</v>
      </c>
      <c r="E33" s="197">
        <v>1.9344269250771589E-3</v>
      </c>
      <c r="F33" s="190">
        <v>504552</v>
      </c>
      <c r="G33" s="197">
        <v>6.8573104211596446E-3</v>
      </c>
      <c r="H33" s="190">
        <v>481322</v>
      </c>
      <c r="I33" s="197">
        <v>6.309330210333597E-3</v>
      </c>
      <c r="J33" s="190">
        <v>107322</v>
      </c>
      <c r="K33" s="197">
        <v>4.0648095519577859E-3</v>
      </c>
    </row>
    <row r="34" spans="1:11" ht="20.25" hidden="1" customHeight="1" outlineLevel="1">
      <c r="A34" s="525"/>
      <c r="B34" s="529"/>
      <c r="C34" s="30" t="s">
        <v>317</v>
      </c>
      <c r="D34" s="190">
        <v>1639890</v>
      </c>
      <c r="E34" s="197">
        <v>2.9558220776399826E-2</v>
      </c>
      <c r="F34" s="190">
        <v>966550</v>
      </c>
      <c r="G34" s="197">
        <v>1.3136274135414893E-2</v>
      </c>
      <c r="H34" s="190">
        <v>566440</v>
      </c>
      <c r="I34" s="197">
        <v>7.4250855027224241E-3</v>
      </c>
      <c r="J34" s="190">
        <v>-51970</v>
      </c>
      <c r="K34" s="197">
        <v>-1.9683583274188528E-3</v>
      </c>
    </row>
    <row r="35" spans="1:11" ht="20.25" customHeight="1" collapsed="1">
      <c r="A35" s="525"/>
      <c r="B35" s="527" t="s">
        <v>2606</v>
      </c>
      <c r="C35" s="65" t="s">
        <v>307</v>
      </c>
      <c r="D35" s="190">
        <v>6009540</v>
      </c>
      <c r="E35" s="196">
        <v>0.108319039743279</v>
      </c>
      <c r="F35" s="190">
        <v>6077960</v>
      </c>
      <c r="G35" s="196">
        <v>8.2604882048612396E-2</v>
      </c>
      <c r="H35" s="190">
        <v>5549260</v>
      </c>
      <c r="I35" s="196">
        <v>7.2741561289523068E-2</v>
      </c>
      <c r="J35" s="190">
        <v>934250</v>
      </c>
      <c r="K35" s="196">
        <v>3.5384621269791472E-2</v>
      </c>
    </row>
    <row r="36" spans="1:11" ht="20.25" hidden="1" customHeight="1" outlineLevel="1">
      <c r="A36" s="525"/>
      <c r="B36" s="530"/>
      <c r="C36" s="30" t="s">
        <v>318</v>
      </c>
      <c r="D36" s="190">
        <v>3152640</v>
      </c>
      <c r="E36" s="197">
        <v>5.6824804803071637E-2</v>
      </c>
      <c r="F36" s="190">
        <v>3499690</v>
      </c>
      <c r="G36" s="197">
        <v>4.7563899673033101E-2</v>
      </c>
      <c r="H36" s="190">
        <v>3579710</v>
      </c>
      <c r="I36" s="197">
        <v>4.6924039306811827E-2</v>
      </c>
      <c r="J36" s="190">
        <v>507540</v>
      </c>
      <c r="K36" s="197">
        <v>1.9223024542970261E-2</v>
      </c>
    </row>
    <row r="37" spans="1:11" ht="20.25" hidden="1" customHeight="1" outlineLevel="1">
      <c r="A37" s="525"/>
      <c r="B37" s="530"/>
      <c r="C37" s="30" t="s">
        <v>319</v>
      </c>
      <c r="D37" s="190">
        <v>368000</v>
      </c>
      <c r="E37" s="197">
        <v>6.6330212671064127E-3</v>
      </c>
      <c r="F37" s="190">
        <v>337920</v>
      </c>
      <c r="G37" s="197">
        <v>4.5926333410991676E-3</v>
      </c>
      <c r="H37" s="190">
        <v>349720</v>
      </c>
      <c r="I37" s="197">
        <v>4.5842470553140429E-3</v>
      </c>
      <c r="J37" s="190">
        <v>68160</v>
      </c>
      <c r="K37" s="197">
        <v>2.5815528881444872E-3</v>
      </c>
    </row>
    <row r="38" spans="1:11" ht="20.25" hidden="1" customHeight="1" outlineLevel="1">
      <c r="A38" s="526"/>
      <c r="B38" s="530"/>
      <c r="C38" s="30" t="s">
        <v>320</v>
      </c>
      <c r="D38" s="190">
        <v>468930</v>
      </c>
      <c r="E38" s="197">
        <v>8.452235496696223E-3</v>
      </c>
      <c r="F38" s="190">
        <v>512910</v>
      </c>
      <c r="G38" s="197">
        <v>6.970903074642442E-3</v>
      </c>
      <c r="H38" s="190">
        <v>502610</v>
      </c>
      <c r="I38" s="197">
        <v>6.5883804542816848E-3</v>
      </c>
      <c r="J38" s="190">
        <v>103950</v>
      </c>
      <c r="K38" s="197">
        <v>3.937095403794299E-3</v>
      </c>
    </row>
    <row r="39" spans="1:11" ht="20.25" hidden="1" customHeight="1" outlineLevel="1">
      <c r="A39" s="526"/>
      <c r="B39" s="530"/>
      <c r="C39" s="30" t="s">
        <v>2607</v>
      </c>
      <c r="D39" s="190">
        <v>1028050</v>
      </c>
      <c r="E39" s="197">
        <v>1.8530101939262904E-2</v>
      </c>
      <c r="F39" s="190">
        <v>992760</v>
      </c>
      <c r="G39" s="197">
        <v>1.3492491346205048E-2</v>
      </c>
      <c r="H39" s="190">
        <v>883130</v>
      </c>
      <c r="I39" s="197">
        <v>1.1576364239847564E-2</v>
      </c>
      <c r="J39" s="190">
        <v>254600</v>
      </c>
      <c r="K39" s="197">
        <v>9.6429484348824306E-3</v>
      </c>
    </row>
    <row r="40" spans="1:11" ht="20.25" hidden="1" customHeight="1" outlineLevel="1">
      <c r="A40" s="526"/>
      <c r="B40" s="530"/>
      <c r="C40" s="30" t="s">
        <v>2608</v>
      </c>
      <c r="D40" s="190">
        <v>679800</v>
      </c>
      <c r="E40" s="197">
        <v>1.2253064829834076E-2</v>
      </c>
      <c r="F40" s="190">
        <v>396550</v>
      </c>
      <c r="G40" s="197">
        <v>5.3894671857625323E-3</v>
      </c>
      <c r="H40" s="190">
        <v>0</v>
      </c>
      <c r="I40" s="197">
        <v>0</v>
      </c>
      <c r="J40" s="190">
        <v>0</v>
      </c>
      <c r="K40" s="197">
        <v>0</v>
      </c>
    </row>
    <row r="41" spans="1:11" ht="20.25" hidden="1" customHeight="1" outlineLevel="1">
      <c r="A41" s="525"/>
      <c r="B41" s="529"/>
      <c r="C41" s="30" t="s">
        <v>2609</v>
      </c>
      <c r="D41" s="190">
        <v>312120</v>
      </c>
      <c r="E41" s="197">
        <v>5.6258114073077549E-3</v>
      </c>
      <c r="F41" s="190">
        <v>338130</v>
      </c>
      <c r="G41" s="197">
        <v>4.5954874278700923E-3</v>
      </c>
      <c r="H41" s="190">
        <v>234090</v>
      </c>
      <c r="I41" s="197">
        <v>3.0685302332679409E-3</v>
      </c>
      <c r="J41" s="190">
        <v>0</v>
      </c>
      <c r="K41" s="197">
        <v>0</v>
      </c>
    </row>
    <row r="42" spans="1:11" ht="20.25" customHeight="1" collapsed="1">
      <c r="A42" s="525"/>
      <c r="B42" s="527" t="s">
        <v>2610</v>
      </c>
      <c r="C42" s="65" t="s">
        <v>307</v>
      </c>
      <c r="D42" s="190">
        <v>15000</v>
      </c>
      <c r="E42" s="196">
        <v>2.7036771469183749E-4</v>
      </c>
      <c r="F42" s="190">
        <v>15000</v>
      </c>
      <c r="G42" s="196">
        <v>2.0386334078032527E-4</v>
      </c>
      <c r="H42" s="190">
        <v>0</v>
      </c>
      <c r="I42" s="196">
        <v>0</v>
      </c>
      <c r="J42" s="190">
        <v>18000</v>
      </c>
      <c r="K42" s="196">
        <v>6.8174812186914274E-4</v>
      </c>
    </row>
    <row r="43" spans="1:11" ht="20.25" hidden="1" customHeight="1" outlineLevel="1">
      <c r="A43" s="525"/>
      <c r="B43" s="529"/>
      <c r="C43" s="30" t="s">
        <v>321</v>
      </c>
      <c r="D43" s="190">
        <v>15000</v>
      </c>
      <c r="E43" s="197">
        <v>2.7036771469183749E-4</v>
      </c>
      <c r="F43" s="190">
        <v>15000</v>
      </c>
      <c r="G43" s="197">
        <v>2.0386334078032527E-4</v>
      </c>
      <c r="H43" s="190">
        <v>0</v>
      </c>
      <c r="I43" s="197">
        <v>0</v>
      </c>
      <c r="J43" s="190">
        <v>18000</v>
      </c>
      <c r="K43" s="197">
        <v>6.8174812186914274E-4</v>
      </c>
    </row>
    <row r="44" spans="1:11" ht="20.25" customHeight="1" collapsed="1">
      <c r="A44" s="525"/>
      <c r="B44" s="527" t="s">
        <v>322</v>
      </c>
      <c r="C44" s="65" t="s">
        <v>307</v>
      </c>
      <c r="D44" s="190">
        <v>7371923</v>
      </c>
      <c r="E44" s="196">
        <v>0.13287533162627965</v>
      </c>
      <c r="F44" s="190">
        <v>6074950</v>
      </c>
      <c r="G44" s="196">
        <v>8.2563973471562468E-2</v>
      </c>
      <c r="H44" s="190">
        <v>2816980</v>
      </c>
      <c r="I44" s="196">
        <v>3.692591864885781E-2</v>
      </c>
      <c r="J44" s="190">
        <v>120000</v>
      </c>
      <c r="K44" s="196">
        <v>4.5449874791276181E-3</v>
      </c>
    </row>
    <row r="45" spans="1:11" ht="20.25" hidden="1" customHeight="1" outlineLevel="1">
      <c r="A45" s="525"/>
      <c r="B45" s="528"/>
      <c r="C45" s="30" t="s">
        <v>323</v>
      </c>
      <c r="D45" s="190">
        <v>3354900</v>
      </c>
      <c r="E45" s="197">
        <v>6.0470443067976373E-2</v>
      </c>
      <c r="F45" s="190">
        <v>2154370</v>
      </c>
      <c r="G45" s="197">
        <v>2.9279804365127289E-2</v>
      </c>
      <c r="H45" s="190">
        <v>2232420</v>
      </c>
      <c r="I45" s="197">
        <v>2.9263310108727483E-2</v>
      </c>
      <c r="J45" s="190">
        <v>0</v>
      </c>
      <c r="K45" s="197">
        <v>0</v>
      </c>
    </row>
    <row r="46" spans="1:11" ht="20.25" hidden="1" customHeight="1" outlineLevel="1">
      <c r="A46" s="526"/>
      <c r="B46" s="528"/>
      <c r="C46" s="30" t="s">
        <v>2611</v>
      </c>
      <c r="D46" s="190">
        <v>0</v>
      </c>
      <c r="E46" s="197">
        <v>0</v>
      </c>
      <c r="F46" s="190">
        <v>3681280</v>
      </c>
      <c r="G46" s="197">
        <v>5.0031869276519716E-2</v>
      </c>
      <c r="H46" s="190">
        <v>0</v>
      </c>
      <c r="I46" s="197">
        <v>0</v>
      </c>
      <c r="J46" s="190">
        <v>0</v>
      </c>
      <c r="K46" s="197">
        <v>0</v>
      </c>
    </row>
    <row r="47" spans="1:11" ht="20.25" hidden="1" customHeight="1" outlineLevel="1">
      <c r="A47" s="525"/>
      <c r="B47" s="528"/>
      <c r="C47" s="30" t="s">
        <v>324</v>
      </c>
      <c r="D47" s="190">
        <v>5750</v>
      </c>
      <c r="E47" s="197">
        <v>1.036409572985377E-4</v>
      </c>
      <c r="F47" s="190">
        <v>5200</v>
      </c>
      <c r="G47" s="197">
        <v>7.0672624803846089E-5</v>
      </c>
      <c r="H47" s="190">
        <v>5200</v>
      </c>
      <c r="I47" s="197">
        <v>6.8163344068491991E-5</v>
      </c>
      <c r="J47" s="190">
        <v>0</v>
      </c>
      <c r="K47" s="197">
        <v>0</v>
      </c>
    </row>
    <row r="48" spans="1:11" ht="20.25" hidden="1" customHeight="1" outlineLevel="1">
      <c r="A48" s="525"/>
      <c r="B48" s="528"/>
      <c r="C48" s="30" t="s">
        <v>325</v>
      </c>
      <c r="D48" s="190">
        <v>354864</v>
      </c>
      <c r="E48" s="197">
        <v>6.396251247093615E-3</v>
      </c>
      <c r="F48" s="190">
        <v>634510</v>
      </c>
      <c r="G48" s="197">
        <v>8.6235552239016123E-3</v>
      </c>
      <c r="H48" s="190">
        <v>547360</v>
      </c>
      <c r="I48" s="197">
        <v>7.1749784633326494E-3</v>
      </c>
      <c r="J48" s="190">
        <v>0</v>
      </c>
      <c r="K48" s="197">
        <v>0</v>
      </c>
    </row>
    <row r="49" spans="1:11" ht="20.25" hidden="1" customHeight="1" outlineLevel="1">
      <c r="A49" s="525"/>
      <c r="B49" s="528"/>
      <c r="C49" s="30" t="s">
        <v>303</v>
      </c>
      <c r="D49" s="190">
        <v>3584409</v>
      </c>
      <c r="E49" s="197">
        <v>6.4607231323390302E-2</v>
      </c>
      <c r="F49" s="190">
        <v>-400410</v>
      </c>
      <c r="G49" s="197">
        <v>-5.4419280187900029E-3</v>
      </c>
      <c r="H49" s="190">
        <v>0</v>
      </c>
      <c r="I49" s="197">
        <v>0</v>
      </c>
      <c r="J49" s="190">
        <v>0</v>
      </c>
      <c r="K49" s="197">
        <v>0</v>
      </c>
    </row>
    <row r="50" spans="1:11" ht="20.25" hidden="1" customHeight="1" outlineLevel="1">
      <c r="A50" s="525"/>
      <c r="B50" s="531"/>
      <c r="C50" s="30" t="s">
        <v>326</v>
      </c>
      <c r="D50" s="190">
        <v>72000</v>
      </c>
      <c r="E50" s="197">
        <v>1.29776503052082E-3</v>
      </c>
      <c r="F50" s="190">
        <v>0</v>
      </c>
      <c r="G50" s="197">
        <v>0</v>
      </c>
      <c r="H50" s="190">
        <v>32000</v>
      </c>
      <c r="I50" s="197">
        <v>4.1946673272918154E-4</v>
      </c>
      <c r="J50" s="190">
        <v>120000</v>
      </c>
      <c r="K50" s="197">
        <v>4.5449874791276181E-3</v>
      </c>
    </row>
    <row r="51" spans="1:11" ht="20.25" customHeight="1" collapsed="1">
      <c r="A51" s="525"/>
      <c r="B51" s="527" t="s">
        <v>327</v>
      </c>
      <c r="C51" s="65" t="s">
        <v>307</v>
      </c>
      <c r="D51" s="190">
        <v>5368200</v>
      </c>
      <c r="E51" s="196">
        <v>9.6759197733914795E-2</v>
      </c>
      <c r="F51" s="190">
        <v>4125450</v>
      </c>
      <c r="G51" s="196">
        <v>5.6068534614812857E-2</v>
      </c>
      <c r="H51" s="190">
        <v>1754705</v>
      </c>
      <c r="I51" s="196">
        <v>2.3001261664173701E-2</v>
      </c>
      <c r="J51" s="190">
        <v>839080</v>
      </c>
      <c r="K51" s="196">
        <v>3.1780067449886679E-2</v>
      </c>
    </row>
    <row r="52" spans="1:11" ht="20.25" hidden="1" customHeight="1" outlineLevel="1">
      <c r="A52" s="525"/>
      <c r="B52" s="530"/>
      <c r="C52" s="30" t="s">
        <v>328</v>
      </c>
      <c r="D52" s="190">
        <v>3594500</v>
      </c>
      <c r="E52" s="197">
        <v>6.4789116697320653E-2</v>
      </c>
      <c r="F52" s="190">
        <v>2738450</v>
      </c>
      <c r="G52" s="197">
        <v>3.7217971037325451E-2</v>
      </c>
      <c r="H52" s="190">
        <v>1586705</v>
      </c>
      <c r="I52" s="197">
        <v>2.0799061317345498E-2</v>
      </c>
      <c r="J52" s="190">
        <v>388100</v>
      </c>
      <c r="K52" s="197">
        <v>1.4699247005411906E-2</v>
      </c>
    </row>
    <row r="53" spans="1:11" ht="20.25" hidden="1" customHeight="1" outlineLevel="1">
      <c r="A53" s="525"/>
      <c r="B53" s="530"/>
      <c r="C53" s="30" t="s">
        <v>329</v>
      </c>
      <c r="D53" s="190">
        <v>295000</v>
      </c>
      <c r="E53" s="197">
        <v>5.3172317222728036E-3</v>
      </c>
      <c r="F53" s="190">
        <v>1387000</v>
      </c>
      <c r="G53" s="197">
        <v>1.8850563577487409E-2</v>
      </c>
      <c r="H53" s="190">
        <v>114000</v>
      </c>
      <c r="I53" s="197">
        <v>1.4943502353477092E-3</v>
      </c>
      <c r="J53" s="190">
        <v>450980</v>
      </c>
      <c r="K53" s="197">
        <v>1.7080820444474776E-2</v>
      </c>
    </row>
    <row r="54" spans="1:11" ht="20.25" hidden="1" customHeight="1" outlineLevel="1">
      <c r="A54" s="525"/>
      <c r="B54" s="530"/>
      <c r="C54" s="30" t="s">
        <v>330</v>
      </c>
      <c r="D54" s="190">
        <v>1350000</v>
      </c>
      <c r="E54" s="197">
        <v>2.4333094322265374E-2</v>
      </c>
      <c r="F54" s="190">
        <v>0</v>
      </c>
      <c r="G54" s="197">
        <v>0</v>
      </c>
      <c r="H54" s="190">
        <v>0</v>
      </c>
      <c r="I54" s="197">
        <v>0</v>
      </c>
      <c r="J54" s="190">
        <v>0</v>
      </c>
      <c r="K54" s="197">
        <v>0</v>
      </c>
    </row>
    <row r="55" spans="1:11" ht="20.25" hidden="1" customHeight="1" outlineLevel="1">
      <c r="A55" s="525"/>
      <c r="B55" s="530"/>
      <c r="C55" s="30" t="s">
        <v>331</v>
      </c>
      <c r="D55" s="190">
        <v>54000</v>
      </c>
      <c r="E55" s="197">
        <v>9.7332377289061501E-4</v>
      </c>
      <c r="F55" s="190">
        <v>0</v>
      </c>
      <c r="G55" s="197">
        <v>0</v>
      </c>
      <c r="H55" s="190">
        <v>54000</v>
      </c>
      <c r="I55" s="197">
        <v>7.0785011148049378E-4</v>
      </c>
      <c r="J55" s="190">
        <v>0</v>
      </c>
      <c r="K55" s="197">
        <v>0</v>
      </c>
    </row>
    <row r="56" spans="1:11" ht="20.25" hidden="1" customHeight="1" outlineLevel="1">
      <c r="A56" s="525"/>
      <c r="B56" s="529"/>
      <c r="C56" s="30" t="s">
        <v>332</v>
      </c>
      <c r="D56" s="190">
        <v>74700</v>
      </c>
      <c r="E56" s="197">
        <v>1.3464312191653507E-3</v>
      </c>
      <c r="F56" s="190">
        <v>0</v>
      </c>
      <c r="G56" s="197">
        <v>0</v>
      </c>
      <c r="H56" s="190">
        <v>0</v>
      </c>
      <c r="I56" s="197">
        <v>0</v>
      </c>
      <c r="J56" s="190">
        <v>0</v>
      </c>
      <c r="K56" s="197">
        <v>0</v>
      </c>
    </row>
    <row r="57" spans="1:11" ht="20.25" customHeight="1" collapsed="1">
      <c r="A57" s="525"/>
      <c r="B57" s="527" t="s">
        <v>333</v>
      </c>
      <c r="C57" s="65" t="s">
        <v>307</v>
      </c>
      <c r="D57" s="190">
        <v>1938478</v>
      </c>
      <c r="E57" s="196">
        <v>3.4940124456026914E-2</v>
      </c>
      <c r="F57" s="190">
        <v>1406910</v>
      </c>
      <c r="G57" s="196">
        <v>1.9121158185149825E-2</v>
      </c>
      <c r="H57" s="190">
        <v>1946340</v>
      </c>
      <c r="I57" s="196">
        <v>2.55132775181286E-2</v>
      </c>
      <c r="J57" s="190">
        <v>509581</v>
      </c>
      <c r="K57" s="196">
        <v>1.9300327205011094E-2</v>
      </c>
    </row>
    <row r="58" spans="1:11" ht="20.25" hidden="1" customHeight="1" outlineLevel="1">
      <c r="A58" s="525"/>
      <c r="B58" s="530"/>
      <c r="C58" s="30" t="s">
        <v>334</v>
      </c>
      <c r="D58" s="190">
        <v>209480</v>
      </c>
      <c r="E58" s="197">
        <v>3.7757752582430744E-3</v>
      </c>
      <c r="F58" s="190">
        <v>0</v>
      </c>
      <c r="G58" s="197">
        <v>0</v>
      </c>
      <c r="H58" s="190">
        <v>0</v>
      </c>
      <c r="I58" s="197">
        <v>0</v>
      </c>
      <c r="J58" s="190">
        <v>0</v>
      </c>
      <c r="K58" s="197">
        <v>0</v>
      </c>
    </row>
    <row r="59" spans="1:11" ht="20.25" hidden="1" customHeight="1" outlineLevel="1">
      <c r="A59" s="525"/>
      <c r="B59" s="530"/>
      <c r="C59" s="30" t="s">
        <v>2612</v>
      </c>
      <c r="D59" s="190">
        <v>452480</v>
      </c>
      <c r="E59" s="197">
        <v>8.1557322362508424E-3</v>
      </c>
      <c r="F59" s="190">
        <v>777380</v>
      </c>
      <c r="G59" s="197">
        <v>1.0565285590387283E-2</v>
      </c>
      <c r="H59" s="190">
        <v>255270</v>
      </c>
      <c r="I59" s="197">
        <v>3.3461647769930675E-3</v>
      </c>
      <c r="J59" s="190">
        <v>48290</v>
      </c>
      <c r="K59" s="197">
        <v>1.8289787113922725E-3</v>
      </c>
    </row>
    <row r="60" spans="1:11" ht="20.25" hidden="1" customHeight="1" outlineLevel="1">
      <c r="A60" s="525"/>
      <c r="B60" s="530"/>
      <c r="C60" s="30" t="s">
        <v>2613</v>
      </c>
      <c r="D60" s="190">
        <v>0</v>
      </c>
      <c r="E60" s="197">
        <v>0</v>
      </c>
      <c r="F60" s="190">
        <v>151430</v>
      </c>
      <c r="G60" s="197">
        <v>2.0580683796243104E-3</v>
      </c>
      <c r="H60" s="190">
        <v>59150</v>
      </c>
      <c r="I60" s="197">
        <v>7.7535803877909644E-4</v>
      </c>
      <c r="J60" s="190">
        <v>0</v>
      </c>
      <c r="K60" s="197">
        <v>0</v>
      </c>
    </row>
    <row r="61" spans="1:11" ht="20.25" hidden="1" customHeight="1" outlineLevel="1">
      <c r="A61" s="525"/>
      <c r="B61" s="530"/>
      <c r="C61" s="30" t="s">
        <v>335</v>
      </c>
      <c r="D61" s="190">
        <v>806828</v>
      </c>
      <c r="E61" s="197">
        <v>1.4542682833959058E-2</v>
      </c>
      <c r="F61" s="190">
        <v>341400</v>
      </c>
      <c r="G61" s="197">
        <v>4.6399296361602027E-3</v>
      </c>
      <c r="H61" s="190">
        <v>1153250</v>
      </c>
      <c r="I61" s="197">
        <v>1.5117187797497768E-2</v>
      </c>
      <c r="J61" s="190">
        <v>281211</v>
      </c>
      <c r="K61" s="197">
        <v>1.065083728327464E-2</v>
      </c>
    </row>
    <row r="62" spans="1:11" ht="20.25" hidden="1" customHeight="1" outlineLevel="1">
      <c r="A62" s="525"/>
      <c r="B62" s="530"/>
      <c r="C62" s="30" t="s">
        <v>336</v>
      </c>
      <c r="D62" s="190">
        <v>56500</v>
      </c>
      <c r="E62" s="197">
        <v>1.018385058672588E-3</v>
      </c>
      <c r="F62" s="190">
        <v>0</v>
      </c>
      <c r="G62" s="197">
        <v>0</v>
      </c>
      <c r="H62" s="190">
        <v>0</v>
      </c>
      <c r="I62" s="197">
        <v>0</v>
      </c>
      <c r="J62" s="190">
        <v>0</v>
      </c>
      <c r="K62" s="197">
        <v>0</v>
      </c>
    </row>
    <row r="63" spans="1:11" ht="20.25" hidden="1" customHeight="1" outlineLevel="1">
      <c r="A63" s="525"/>
      <c r="B63" s="530"/>
      <c r="C63" s="30" t="s">
        <v>337</v>
      </c>
      <c r="D63" s="190">
        <v>272680</v>
      </c>
      <c r="E63" s="197">
        <v>4.9149245628113498E-3</v>
      </c>
      <c r="F63" s="190">
        <v>0</v>
      </c>
      <c r="G63" s="197">
        <v>0</v>
      </c>
      <c r="H63" s="190">
        <v>0</v>
      </c>
      <c r="I63" s="197">
        <v>0</v>
      </c>
      <c r="J63" s="190">
        <v>0</v>
      </c>
      <c r="K63" s="197">
        <v>0</v>
      </c>
    </row>
    <row r="64" spans="1:11" ht="20.25" hidden="1" customHeight="1" outlineLevel="1">
      <c r="A64" s="525"/>
      <c r="B64" s="530"/>
      <c r="C64" s="30" t="s">
        <v>338</v>
      </c>
      <c r="D64" s="190">
        <v>41410</v>
      </c>
      <c r="E64" s="197">
        <v>7.4639513769259936E-4</v>
      </c>
      <c r="F64" s="190">
        <v>0</v>
      </c>
      <c r="G64" s="197">
        <v>0</v>
      </c>
      <c r="H64" s="190">
        <v>51780</v>
      </c>
      <c r="I64" s="197">
        <v>6.7874960689740687E-4</v>
      </c>
      <c r="J64" s="190">
        <v>45920</v>
      </c>
      <c r="K64" s="197">
        <v>1.739215208679502E-3</v>
      </c>
    </row>
    <row r="65" spans="1:11" ht="20.25" hidden="1" customHeight="1" outlineLevel="1">
      <c r="A65" s="525"/>
      <c r="B65" s="530"/>
      <c r="C65" s="30" t="s">
        <v>339</v>
      </c>
      <c r="D65" s="190">
        <v>0</v>
      </c>
      <c r="E65" s="197">
        <v>0</v>
      </c>
      <c r="F65" s="190">
        <v>28600</v>
      </c>
      <c r="G65" s="197">
        <v>3.886994364211535E-4</v>
      </c>
      <c r="H65" s="190">
        <v>199460</v>
      </c>
      <c r="I65" s="197">
        <v>2.6145885784425796E-3</v>
      </c>
      <c r="J65" s="190">
        <v>52760</v>
      </c>
      <c r="K65" s="197">
        <v>1.9982794949897761E-3</v>
      </c>
    </row>
    <row r="66" spans="1:11" ht="20.25" hidden="1" customHeight="1" outlineLevel="1">
      <c r="A66" s="525"/>
      <c r="B66" s="530"/>
      <c r="C66" s="30" t="s">
        <v>340</v>
      </c>
      <c r="D66" s="190">
        <v>0</v>
      </c>
      <c r="E66" s="197">
        <v>0</v>
      </c>
      <c r="F66" s="190">
        <v>56800</v>
      </c>
      <c r="G66" s="197">
        <v>7.7196251708816499E-4</v>
      </c>
      <c r="H66" s="190">
        <v>0</v>
      </c>
      <c r="I66" s="197">
        <v>0</v>
      </c>
      <c r="J66" s="190">
        <v>34000</v>
      </c>
      <c r="K66" s="197">
        <v>1.2877464524194918E-3</v>
      </c>
    </row>
    <row r="67" spans="1:11" ht="20.25" hidden="1" customHeight="1" outlineLevel="1">
      <c r="A67" s="526"/>
      <c r="B67" s="530"/>
      <c r="C67" s="30" t="s">
        <v>341</v>
      </c>
      <c r="D67" s="190">
        <v>99100</v>
      </c>
      <c r="E67" s="197">
        <v>1.7862293683974064E-3</v>
      </c>
      <c r="F67" s="190">
        <v>51300</v>
      </c>
      <c r="G67" s="197">
        <v>6.9721262546871242E-4</v>
      </c>
      <c r="H67" s="190">
        <v>94250</v>
      </c>
      <c r="I67" s="197">
        <v>1.2354606112414174E-3</v>
      </c>
      <c r="J67" s="190">
        <v>47400</v>
      </c>
      <c r="K67" s="197">
        <v>1.7952700542554093E-3</v>
      </c>
    </row>
    <row r="68" spans="1:11" ht="20.25" hidden="1" customHeight="1" outlineLevel="1">
      <c r="A68" s="525"/>
      <c r="B68" s="529"/>
      <c r="C68" s="30" t="s">
        <v>2614</v>
      </c>
      <c r="D68" s="190">
        <v>0</v>
      </c>
      <c r="E68" s="197">
        <v>0</v>
      </c>
      <c r="F68" s="190">
        <v>0</v>
      </c>
      <c r="G68" s="197">
        <v>0</v>
      </c>
      <c r="H68" s="190">
        <v>133180</v>
      </c>
      <c r="I68" s="197">
        <v>1.7457681082772623E-3</v>
      </c>
      <c r="J68" s="190">
        <v>0</v>
      </c>
      <c r="K68" s="197">
        <v>0</v>
      </c>
    </row>
    <row r="69" spans="1:11" ht="20.25" customHeight="1" collapsed="1">
      <c r="A69" s="525"/>
      <c r="B69" s="527" t="s">
        <v>342</v>
      </c>
      <c r="C69" s="65" t="s">
        <v>307</v>
      </c>
      <c r="D69" s="190">
        <v>3294510</v>
      </c>
      <c r="E69" s="196">
        <v>5.9381942648627034E-2</v>
      </c>
      <c r="F69" s="190">
        <v>1941857</v>
      </c>
      <c r="G69" s="196">
        <v>2.639156368917734E-2</v>
      </c>
      <c r="H69" s="190">
        <v>2419477</v>
      </c>
      <c r="I69" s="196">
        <v>3.1715316003231311E-2</v>
      </c>
      <c r="J69" s="190">
        <v>893580</v>
      </c>
      <c r="K69" s="196">
        <v>3.3844249263323814E-2</v>
      </c>
    </row>
    <row r="70" spans="1:11" ht="20.25" hidden="1" customHeight="1" outlineLevel="1">
      <c r="A70" s="525"/>
      <c r="B70" s="528"/>
      <c r="C70" s="30" t="s">
        <v>343</v>
      </c>
      <c r="D70" s="190">
        <v>490100</v>
      </c>
      <c r="E70" s="197">
        <v>8.8338144646979699E-3</v>
      </c>
      <c r="F70" s="190">
        <v>99400</v>
      </c>
      <c r="G70" s="197">
        <v>1.3509344049042887E-3</v>
      </c>
      <c r="H70" s="190">
        <v>152400</v>
      </c>
      <c r="I70" s="197">
        <v>1.9977103146227269E-3</v>
      </c>
      <c r="J70" s="190">
        <v>187400</v>
      </c>
      <c r="K70" s="197">
        <v>7.0977554465709641E-3</v>
      </c>
    </row>
    <row r="71" spans="1:11" ht="20.25" hidden="1" customHeight="1" outlineLevel="1">
      <c r="A71" s="525"/>
      <c r="B71" s="528"/>
      <c r="C71" s="30" t="s">
        <v>344</v>
      </c>
      <c r="D71" s="190">
        <v>267900</v>
      </c>
      <c r="E71" s="197">
        <v>4.8287673843962174E-3</v>
      </c>
      <c r="F71" s="190">
        <v>326360</v>
      </c>
      <c r="G71" s="197">
        <v>4.4355226598044636E-3</v>
      </c>
      <c r="H71" s="190">
        <v>226400</v>
      </c>
      <c r="I71" s="197">
        <v>2.9677271340589591E-3</v>
      </c>
      <c r="J71" s="190">
        <v>19100</v>
      </c>
      <c r="K71" s="197">
        <v>7.2341050709447921E-4</v>
      </c>
    </row>
    <row r="72" spans="1:11" ht="20.25" hidden="1" customHeight="1" outlineLevel="1">
      <c r="A72" s="526"/>
      <c r="B72" s="528"/>
      <c r="C72" s="30" t="s">
        <v>2615</v>
      </c>
      <c r="D72" s="190">
        <v>0</v>
      </c>
      <c r="E72" s="197">
        <v>0</v>
      </c>
      <c r="F72" s="190">
        <v>25550</v>
      </c>
      <c r="G72" s="197">
        <v>3.4724722379582071E-4</v>
      </c>
      <c r="H72" s="190">
        <v>27000</v>
      </c>
      <c r="I72" s="197">
        <v>3.5392505574024689E-4</v>
      </c>
      <c r="J72" s="190">
        <v>0</v>
      </c>
      <c r="K72" s="197">
        <v>0</v>
      </c>
    </row>
    <row r="73" spans="1:11" ht="20.25" hidden="1" customHeight="1" outlineLevel="1">
      <c r="A73" s="525"/>
      <c r="B73" s="531"/>
      <c r="C73" s="30" t="s">
        <v>345</v>
      </c>
      <c r="D73" s="190">
        <v>2536510</v>
      </c>
      <c r="E73" s="197">
        <v>4.571936079953285E-2</v>
      </c>
      <c r="F73" s="190">
        <v>1490547</v>
      </c>
      <c r="G73" s="197">
        <v>2.0257859400672765E-2</v>
      </c>
      <c r="H73" s="190">
        <v>2013677</v>
      </c>
      <c r="I73" s="197">
        <v>2.6395953498809376E-2</v>
      </c>
      <c r="J73" s="190">
        <v>687080</v>
      </c>
      <c r="K73" s="197">
        <v>2.6023083309658367E-2</v>
      </c>
    </row>
    <row r="74" spans="1:11" ht="20.25" customHeight="1" collapsed="1">
      <c r="A74" s="525"/>
      <c r="B74" s="527" t="s">
        <v>346</v>
      </c>
      <c r="C74" s="65" t="s">
        <v>307</v>
      </c>
      <c r="D74" s="190">
        <v>595792</v>
      </c>
      <c r="E74" s="196">
        <v>1.0738861431445281E-2</v>
      </c>
      <c r="F74" s="190">
        <v>1061585</v>
      </c>
      <c r="G74" s="196">
        <v>1.4427884308152106E-2</v>
      </c>
      <c r="H74" s="190">
        <v>1776400</v>
      </c>
      <c r="I74" s="196">
        <v>2.3285647000628684E-2</v>
      </c>
      <c r="J74" s="190">
        <v>69020</v>
      </c>
      <c r="K74" s="196">
        <v>2.6141252984115682E-3</v>
      </c>
    </row>
    <row r="75" spans="1:11" ht="20.25" hidden="1" customHeight="1" outlineLevel="1">
      <c r="A75" s="525"/>
      <c r="B75" s="530"/>
      <c r="C75" s="30" t="s">
        <v>347</v>
      </c>
      <c r="D75" s="190">
        <v>42000</v>
      </c>
      <c r="E75" s="197">
        <v>7.5702960113714494E-4</v>
      </c>
      <c r="F75" s="190">
        <v>0</v>
      </c>
      <c r="G75" s="197">
        <v>0</v>
      </c>
      <c r="H75" s="190">
        <v>0</v>
      </c>
      <c r="I75" s="197">
        <v>0</v>
      </c>
      <c r="J75" s="190">
        <v>0</v>
      </c>
      <c r="K75" s="197">
        <v>0</v>
      </c>
    </row>
    <row r="76" spans="1:11" ht="20.25" hidden="1" customHeight="1" outlineLevel="1">
      <c r="A76" s="526"/>
      <c r="B76" s="530"/>
      <c r="C76" s="30" t="s">
        <v>2616</v>
      </c>
      <c r="D76" s="190">
        <v>0</v>
      </c>
      <c r="E76" s="197">
        <v>0</v>
      </c>
      <c r="F76" s="190">
        <v>0</v>
      </c>
      <c r="G76" s="197">
        <v>0</v>
      </c>
      <c r="H76" s="190">
        <v>100000</v>
      </c>
      <c r="I76" s="197">
        <v>1.3108335397786922E-3</v>
      </c>
      <c r="J76" s="190">
        <v>0</v>
      </c>
      <c r="K76" s="197">
        <v>0</v>
      </c>
    </row>
    <row r="77" spans="1:11" ht="20.25" hidden="1" customHeight="1" outlineLevel="1">
      <c r="A77" s="526"/>
      <c r="B77" s="530"/>
      <c r="C77" s="30" t="s">
        <v>2786</v>
      </c>
      <c r="D77" s="190">
        <v>0</v>
      </c>
      <c r="E77" s="197">
        <v>0</v>
      </c>
      <c r="F77" s="190">
        <v>0</v>
      </c>
      <c r="G77" s="197">
        <v>0</v>
      </c>
      <c r="H77" s="190">
        <v>840000</v>
      </c>
      <c r="I77" s="197">
        <v>1.1011001734141015E-2</v>
      </c>
      <c r="J77" s="190">
        <v>-100000</v>
      </c>
      <c r="K77" s="197">
        <v>-3.7874895659396821E-3</v>
      </c>
    </row>
    <row r="78" spans="1:11" ht="20.25" hidden="1" customHeight="1" outlineLevel="1">
      <c r="A78" s="526"/>
      <c r="B78" s="530"/>
      <c r="C78" s="30" t="s">
        <v>2617</v>
      </c>
      <c r="D78" s="190">
        <v>0</v>
      </c>
      <c r="E78" s="197">
        <v>0</v>
      </c>
      <c r="F78" s="190">
        <v>210000</v>
      </c>
      <c r="G78" s="197">
        <v>2.8540867709245538E-3</v>
      </c>
      <c r="H78" s="190">
        <v>230000</v>
      </c>
      <c r="I78" s="197">
        <v>3.0149171414909923E-3</v>
      </c>
      <c r="J78" s="190">
        <v>0</v>
      </c>
      <c r="K78" s="197">
        <v>0</v>
      </c>
    </row>
    <row r="79" spans="1:11" ht="20.25" hidden="1" customHeight="1" outlineLevel="1">
      <c r="A79" s="525"/>
      <c r="B79" s="530"/>
      <c r="C79" s="30" t="s">
        <v>348</v>
      </c>
      <c r="D79" s="190">
        <v>204662</v>
      </c>
      <c r="E79" s="197">
        <v>3.6889331482840562E-3</v>
      </c>
      <c r="F79" s="190">
        <v>197065</v>
      </c>
      <c r="G79" s="197">
        <v>2.6782886167249866E-3</v>
      </c>
      <c r="H79" s="190">
        <v>177150</v>
      </c>
      <c r="I79" s="197">
        <v>2.3221416157179534E-3</v>
      </c>
      <c r="J79" s="190">
        <v>0</v>
      </c>
      <c r="K79" s="197">
        <v>0</v>
      </c>
    </row>
    <row r="80" spans="1:11" ht="20.25" hidden="1" customHeight="1" outlineLevel="1">
      <c r="A80" s="525"/>
      <c r="B80" s="529"/>
      <c r="C80" s="30" t="s">
        <v>2618</v>
      </c>
      <c r="D80" s="190">
        <v>349130</v>
      </c>
      <c r="E80" s="197">
        <v>6.2928986820240812E-3</v>
      </c>
      <c r="F80" s="190">
        <v>654520</v>
      </c>
      <c r="G80" s="197">
        <v>8.8955089205025664E-3</v>
      </c>
      <c r="H80" s="190">
        <v>429250</v>
      </c>
      <c r="I80" s="197">
        <v>5.6267529695000363E-3</v>
      </c>
      <c r="J80" s="190">
        <v>169020</v>
      </c>
      <c r="K80" s="197">
        <v>6.4016148643512502E-3</v>
      </c>
    </row>
    <row r="81" spans="1:11" ht="20.25" customHeight="1" collapsed="1">
      <c r="A81" s="525"/>
      <c r="B81" s="527" t="s">
        <v>349</v>
      </c>
      <c r="C81" s="65" t="s">
        <v>307</v>
      </c>
      <c r="D81" s="190">
        <v>507000</v>
      </c>
      <c r="E81" s="196">
        <v>9.1384287565841067E-3</v>
      </c>
      <c r="F81" s="190">
        <v>790000</v>
      </c>
      <c r="G81" s="196">
        <v>1.0736802614430463E-2</v>
      </c>
      <c r="H81" s="190">
        <v>731000</v>
      </c>
      <c r="I81" s="196">
        <v>9.5821931757822405E-3</v>
      </c>
      <c r="J81" s="190">
        <v>185000</v>
      </c>
      <c r="K81" s="196">
        <v>7.0068556969884116E-3</v>
      </c>
    </row>
    <row r="82" spans="1:11" ht="20.25" hidden="1" customHeight="1" outlineLevel="1">
      <c r="A82" s="525"/>
      <c r="B82" s="531"/>
      <c r="C82" s="30" t="s">
        <v>350</v>
      </c>
      <c r="D82" s="190">
        <v>507000</v>
      </c>
      <c r="E82" s="197">
        <v>9.1384287565841067E-3</v>
      </c>
      <c r="F82" s="190">
        <v>790000</v>
      </c>
      <c r="G82" s="197">
        <v>1.0736802614430463E-2</v>
      </c>
      <c r="H82" s="190">
        <v>731000</v>
      </c>
      <c r="I82" s="197">
        <v>9.5821931757822405E-3</v>
      </c>
      <c r="J82" s="190">
        <v>185000</v>
      </c>
      <c r="K82" s="197">
        <v>7.0068556969884116E-3</v>
      </c>
    </row>
    <row r="83" spans="1:11" ht="20.25" customHeight="1" collapsed="1">
      <c r="A83" s="525"/>
      <c r="B83" s="527" t="s">
        <v>351</v>
      </c>
      <c r="C83" s="65" t="s">
        <v>307</v>
      </c>
      <c r="D83" s="190">
        <v>433670</v>
      </c>
      <c r="E83" s="196">
        <v>7.8166911220272778E-3</v>
      </c>
      <c r="F83" s="190">
        <v>1117135</v>
      </c>
      <c r="G83" s="196">
        <v>1.5182858213508576E-2</v>
      </c>
      <c r="H83" s="190">
        <v>439448</v>
      </c>
      <c r="I83" s="196">
        <v>5.7604317738866673E-3</v>
      </c>
      <c r="J83" s="190">
        <v>396919</v>
      </c>
      <c r="K83" s="196">
        <v>1.5033265710232127E-2</v>
      </c>
    </row>
    <row r="84" spans="1:11" ht="20.25" hidden="1" customHeight="1" outlineLevel="1">
      <c r="A84" s="525"/>
      <c r="B84" s="528"/>
      <c r="C84" s="30" t="s">
        <v>352</v>
      </c>
      <c r="D84" s="190">
        <v>184670</v>
      </c>
      <c r="E84" s="197">
        <v>3.3285870581427754E-3</v>
      </c>
      <c r="F84" s="190">
        <v>286135</v>
      </c>
      <c r="G84" s="197">
        <v>3.8888291342785578E-3</v>
      </c>
      <c r="H84" s="190">
        <v>132800</v>
      </c>
      <c r="I84" s="197">
        <v>1.7407869408261032E-3</v>
      </c>
      <c r="J84" s="190">
        <v>247800</v>
      </c>
      <c r="K84" s="197">
        <v>9.3853991443985322E-3</v>
      </c>
    </row>
    <row r="85" spans="1:11" ht="20.25" hidden="1" customHeight="1" outlineLevel="1">
      <c r="A85" s="525"/>
      <c r="B85" s="531"/>
      <c r="C85" s="30" t="s">
        <v>1928</v>
      </c>
      <c r="D85" s="190">
        <v>249000</v>
      </c>
      <c r="E85" s="197">
        <v>4.4881040638845024E-3</v>
      </c>
      <c r="F85" s="190">
        <v>831000</v>
      </c>
      <c r="G85" s="197">
        <v>1.1294029079230019E-2</v>
      </c>
      <c r="H85" s="190">
        <v>306648</v>
      </c>
      <c r="I85" s="197">
        <v>4.0196448330605643E-3</v>
      </c>
      <c r="J85" s="190">
        <v>149119</v>
      </c>
      <c r="K85" s="197">
        <v>5.647866565833594E-3</v>
      </c>
    </row>
    <row r="86" spans="1:11" ht="20.25" customHeight="1" collapsed="1">
      <c r="A86" s="525"/>
      <c r="B86" s="527" t="s">
        <v>353</v>
      </c>
      <c r="C86" s="65" t="s">
        <v>307</v>
      </c>
      <c r="D86" s="190">
        <v>498400</v>
      </c>
      <c r="E86" s="196">
        <v>8.9834179334941193E-3</v>
      </c>
      <c r="F86" s="190">
        <v>230200</v>
      </c>
      <c r="G86" s="196">
        <v>3.1286227365087248E-3</v>
      </c>
      <c r="H86" s="190">
        <v>1428220</v>
      </c>
      <c r="I86" s="196">
        <v>1.8721586781827237E-2</v>
      </c>
      <c r="J86" s="190">
        <v>232800</v>
      </c>
      <c r="K86" s="196">
        <v>8.8172757095075806E-3</v>
      </c>
    </row>
    <row r="87" spans="1:11" ht="20.25" hidden="1" customHeight="1" outlineLevel="1">
      <c r="A87" s="525"/>
      <c r="B87" s="528"/>
      <c r="C87" s="30" t="s">
        <v>354</v>
      </c>
      <c r="D87" s="190">
        <v>220000</v>
      </c>
      <c r="E87" s="197">
        <v>3.9653931488136162E-3</v>
      </c>
      <c r="F87" s="190">
        <v>0</v>
      </c>
      <c r="G87" s="197">
        <v>0</v>
      </c>
      <c r="H87" s="190">
        <v>130000</v>
      </c>
      <c r="I87" s="197">
        <v>1.7040836017122999E-3</v>
      </c>
      <c r="J87" s="190">
        <v>0</v>
      </c>
      <c r="K87" s="197">
        <v>0</v>
      </c>
    </row>
    <row r="88" spans="1:11" ht="20.25" hidden="1" customHeight="1" outlineLevel="1">
      <c r="A88" s="525"/>
      <c r="B88" s="531"/>
      <c r="C88" s="30" t="s">
        <v>2440</v>
      </c>
      <c r="D88" s="190">
        <v>278400</v>
      </c>
      <c r="E88" s="197">
        <v>5.018024784680504E-3</v>
      </c>
      <c r="F88" s="190">
        <v>230200</v>
      </c>
      <c r="G88" s="197">
        <v>3.1286227365087248E-3</v>
      </c>
      <c r="H88" s="190">
        <v>1298220</v>
      </c>
      <c r="I88" s="197">
        <v>1.7017503180114937E-2</v>
      </c>
      <c r="J88" s="190">
        <v>232800</v>
      </c>
      <c r="K88" s="197">
        <v>8.8172757095075806E-3</v>
      </c>
    </row>
    <row r="89" spans="1:11" ht="20.25" customHeight="1" collapsed="1">
      <c r="A89" s="525"/>
      <c r="B89" s="527" t="s">
        <v>355</v>
      </c>
      <c r="C89" s="65" t="s">
        <v>307</v>
      </c>
      <c r="D89" s="190">
        <v>311530</v>
      </c>
      <c r="E89" s="196">
        <v>5.6151769438632093E-3</v>
      </c>
      <c r="F89" s="190">
        <v>63300</v>
      </c>
      <c r="G89" s="196">
        <v>8.6030329809297259E-4</v>
      </c>
      <c r="H89" s="190">
        <v>0</v>
      </c>
      <c r="I89" s="196">
        <v>0</v>
      </c>
      <c r="J89" s="190">
        <v>0</v>
      </c>
      <c r="K89" s="196">
        <v>0</v>
      </c>
    </row>
    <row r="90" spans="1:11" ht="20.25" hidden="1" customHeight="1" outlineLevel="1">
      <c r="A90" s="525"/>
      <c r="B90" s="531"/>
      <c r="C90" s="30" t="s">
        <v>356</v>
      </c>
      <c r="D90" s="190">
        <v>311530</v>
      </c>
      <c r="E90" s="197">
        <v>5.6151769438632093E-3</v>
      </c>
      <c r="F90" s="190">
        <v>63300</v>
      </c>
      <c r="G90" s="197">
        <v>8.6030329809297259E-4</v>
      </c>
      <c r="H90" s="190">
        <v>0</v>
      </c>
      <c r="I90" s="197">
        <v>0</v>
      </c>
      <c r="J90" s="190">
        <v>0</v>
      </c>
      <c r="K90" s="197">
        <v>0</v>
      </c>
    </row>
    <row r="91" spans="1:11" ht="20.25" customHeight="1" collapsed="1">
      <c r="A91" s="525"/>
      <c r="B91" s="527" t="s">
        <v>2619</v>
      </c>
      <c r="C91" s="65" t="s">
        <v>307</v>
      </c>
      <c r="D91" s="190">
        <v>248300</v>
      </c>
      <c r="E91" s="196">
        <v>4.47548690386555E-3</v>
      </c>
      <c r="F91" s="190">
        <v>299820</v>
      </c>
      <c r="G91" s="196">
        <v>4.0748204555171412E-3</v>
      </c>
      <c r="H91" s="190">
        <v>1463250</v>
      </c>
      <c r="I91" s="196">
        <v>1.9180771770811712E-2</v>
      </c>
      <c r="J91" s="190">
        <v>126300</v>
      </c>
      <c r="K91" s="196">
        <v>4.7835993217818177E-3</v>
      </c>
    </row>
    <row r="92" spans="1:11" ht="20.25" hidden="1" customHeight="1" outlineLevel="1">
      <c r="A92" s="525"/>
      <c r="B92" s="530"/>
      <c r="C92" s="30" t="s">
        <v>357</v>
      </c>
      <c r="D92" s="190">
        <v>35000</v>
      </c>
      <c r="E92" s="197">
        <v>6.3085800094762076E-4</v>
      </c>
      <c r="F92" s="190">
        <v>0</v>
      </c>
      <c r="G92" s="197">
        <v>0</v>
      </c>
      <c r="H92" s="190">
        <v>0</v>
      </c>
      <c r="I92" s="197">
        <v>0</v>
      </c>
      <c r="J92" s="190">
        <v>0</v>
      </c>
      <c r="K92" s="197">
        <v>0</v>
      </c>
    </row>
    <row r="93" spans="1:11" ht="20.25" hidden="1" customHeight="1" outlineLevel="1">
      <c r="A93" s="525"/>
      <c r="B93" s="530"/>
      <c r="C93" s="30" t="s">
        <v>358</v>
      </c>
      <c r="D93" s="190">
        <v>21000</v>
      </c>
      <c r="E93" s="197">
        <v>3.7851480056857247E-4</v>
      </c>
      <c r="F93" s="190">
        <v>0</v>
      </c>
      <c r="G93" s="197">
        <v>0</v>
      </c>
      <c r="H93" s="190">
        <v>0</v>
      </c>
      <c r="I93" s="197">
        <v>0</v>
      </c>
      <c r="J93" s="190">
        <v>0</v>
      </c>
      <c r="K93" s="197">
        <v>0</v>
      </c>
    </row>
    <row r="94" spans="1:11" ht="20.25" hidden="1" customHeight="1" outlineLevel="1">
      <c r="A94" s="525"/>
      <c r="B94" s="530"/>
      <c r="C94" s="30" t="s">
        <v>359</v>
      </c>
      <c r="D94" s="190">
        <v>13900</v>
      </c>
      <c r="E94" s="197">
        <v>2.5054074894776941E-4</v>
      </c>
      <c r="F94" s="190">
        <v>0</v>
      </c>
      <c r="G94" s="197">
        <v>0</v>
      </c>
      <c r="H94" s="190">
        <v>0</v>
      </c>
      <c r="I94" s="197">
        <v>0</v>
      </c>
      <c r="J94" s="190">
        <v>0</v>
      </c>
      <c r="K94" s="197">
        <v>0</v>
      </c>
    </row>
    <row r="95" spans="1:11" ht="20.25" hidden="1" customHeight="1" outlineLevel="1">
      <c r="A95" s="525"/>
      <c r="B95" s="530"/>
      <c r="C95" s="30" t="s">
        <v>360</v>
      </c>
      <c r="D95" s="190">
        <v>125400</v>
      </c>
      <c r="E95" s="197">
        <v>2.2602740948237613E-3</v>
      </c>
      <c r="F95" s="190">
        <v>0</v>
      </c>
      <c r="G95" s="197">
        <v>0</v>
      </c>
      <c r="H95" s="190">
        <v>70750</v>
      </c>
      <c r="I95" s="197">
        <v>9.2741472939342478E-4</v>
      </c>
      <c r="J95" s="190">
        <v>0</v>
      </c>
      <c r="K95" s="197">
        <v>0</v>
      </c>
    </row>
    <row r="96" spans="1:11" ht="20.25" hidden="1" customHeight="1" outlineLevel="1">
      <c r="A96" s="525"/>
      <c r="B96" s="530"/>
      <c r="C96" s="30" t="s">
        <v>361</v>
      </c>
      <c r="D96" s="190">
        <v>31000</v>
      </c>
      <c r="E96" s="197">
        <v>5.5875994369646411E-4</v>
      </c>
      <c r="F96" s="190">
        <v>86200</v>
      </c>
      <c r="G96" s="197">
        <v>1.1715346650176025E-3</v>
      </c>
      <c r="H96" s="190">
        <v>0</v>
      </c>
      <c r="I96" s="197">
        <v>0</v>
      </c>
      <c r="J96" s="190">
        <v>21000</v>
      </c>
      <c r="K96" s="197">
        <v>7.9537280884733321E-4</v>
      </c>
    </row>
    <row r="97" spans="1:11" ht="20.25" hidden="1" customHeight="1" outlineLevel="1">
      <c r="A97" s="526"/>
      <c r="B97" s="530"/>
      <c r="C97" s="30" t="s">
        <v>2787</v>
      </c>
      <c r="D97" s="190">
        <v>22000</v>
      </c>
      <c r="E97" s="197">
        <v>3.9653931488136166E-4</v>
      </c>
      <c r="F97" s="190">
        <v>28000</v>
      </c>
      <c r="G97" s="197">
        <v>3.8054490278994048E-4</v>
      </c>
      <c r="H97" s="190">
        <v>34000</v>
      </c>
      <c r="I97" s="197">
        <v>4.4568340352475538E-4</v>
      </c>
      <c r="J97" s="190">
        <v>0</v>
      </c>
      <c r="K97" s="197">
        <v>0</v>
      </c>
    </row>
    <row r="98" spans="1:11" ht="20.25" hidden="1" customHeight="1" outlineLevel="1">
      <c r="A98" s="526"/>
      <c r="B98" s="530"/>
      <c r="C98" s="30" t="s">
        <v>2620</v>
      </c>
      <c r="D98" s="190">
        <v>0</v>
      </c>
      <c r="E98" s="197">
        <v>0</v>
      </c>
      <c r="F98" s="190">
        <v>43000</v>
      </c>
      <c r="G98" s="197">
        <v>5.8440824357026576E-4</v>
      </c>
      <c r="H98" s="190">
        <v>0</v>
      </c>
      <c r="I98" s="197">
        <v>0</v>
      </c>
      <c r="J98" s="190">
        <v>0</v>
      </c>
      <c r="K98" s="197">
        <v>0</v>
      </c>
    </row>
    <row r="99" spans="1:11" ht="20.25" hidden="1" customHeight="1" outlineLevel="1">
      <c r="A99" s="526"/>
      <c r="B99" s="530"/>
      <c r="C99" s="30" t="s">
        <v>2621</v>
      </c>
      <c r="D99" s="190">
        <v>0</v>
      </c>
      <c r="E99" s="197">
        <v>0</v>
      </c>
      <c r="F99" s="190">
        <v>0</v>
      </c>
      <c r="G99" s="197">
        <v>0</v>
      </c>
      <c r="H99" s="190">
        <v>1254500</v>
      </c>
      <c r="I99" s="197">
        <v>1.6444406756523693E-2</v>
      </c>
      <c r="J99" s="190">
        <v>0</v>
      </c>
      <c r="K99" s="197">
        <v>0</v>
      </c>
    </row>
    <row r="100" spans="1:11" ht="20.25" hidden="1" customHeight="1" outlineLevel="1">
      <c r="A100" s="525"/>
      <c r="B100" s="529"/>
      <c r="C100" s="30" t="s">
        <v>380</v>
      </c>
      <c r="D100" s="190">
        <v>0</v>
      </c>
      <c r="E100" s="197">
        <v>0</v>
      </c>
      <c r="F100" s="190">
        <v>142620</v>
      </c>
      <c r="G100" s="197">
        <v>1.9383326441393327E-3</v>
      </c>
      <c r="H100" s="190">
        <v>104000</v>
      </c>
      <c r="I100" s="197">
        <v>1.3632668813698399E-3</v>
      </c>
      <c r="J100" s="190">
        <v>105300</v>
      </c>
      <c r="K100" s="197">
        <v>3.9882265129344849E-3</v>
      </c>
    </row>
    <row r="101" spans="1:11" ht="20.25" customHeight="1" collapsed="1">
      <c r="A101" s="525"/>
      <c r="B101" s="527" t="s">
        <v>362</v>
      </c>
      <c r="C101" s="65" t="s">
        <v>307</v>
      </c>
      <c r="D101" s="190">
        <v>441800</v>
      </c>
      <c r="E101" s="196">
        <v>7.9632304233902534E-3</v>
      </c>
      <c r="F101" s="190">
        <v>814300</v>
      </c>
      <c r="G101" s="196">
        <v>1.1067061226494592E-2</v>
      </c>
      <c r="H101" s="190">
        <v>504300</v>
      </c>
      <c r="I101" s="196">
        <v>6.6105335411039447E-3</v>
      </c>
      <c r="J101" s="190">
        <v>-2200</v>
      </c>
      <c r="K101" s="196">
        <v>-8.3324770450673004E-5</v>
      </c>
    </row>
    <row r="102" spans="1:11" ht="20.25" hidden="1" customHeight="1" outlineLevel="1">
      <c r="A102" s="525"/>
      <c r="B102" s="528"/>
      <c r="C102" s="30" t="s">
        <v>363</v>
      </c>
      <c r="D102" s="190">
        <v>258700</v>
      </c>
      <c r="E102" s="197">
        <v>4.6629418527185575E-3</v>
      </c>
      <c r="F102" s="190">
        <v>10000</v>
      </c>
      <c r="G102" s="197">
        <v>1.3590889385355016E-4</v>
      </c>
      <c r="H102" s="190">
        <v>0</v>
      </c>
      <c r="I102" s="197">
        <v>0</v>
      </c>
      <c r="J102" s="190">
        <v>0</v>
      </c>
      <c r="K102" s="197">
        <v>0</v>
      </c>
    </row>
    <row r="103" spans="1:11" ht="20.25" hidden="1" customHeight="1" outlineLevel="1">
      <c r="A103" s="526"/>
      <c r="B103" s="528"/>
      <c r="C103" s="30" t="s">
        <v>364</v>
      </c>
      <c r="D103" s="190">
        <v>183100</v>
      </c>
      <c r="E103" s="197">
        <v>3.3002885706716963E-3</v>
      </c>
      <c r="F103" s="190">
        <v>786700</v>
      </c>
      <c r="G103" s="197">
        <v>1.0691952679458792E-2</v>
      </c>
      <c r="H103" s="190">
        <v>412000</v>
      </c>
      <c r="I103" s="197">
        <v>5.4006341838882116E-3</v>
      </c>
      <c r="J103" s="190">
        <v>-2200</v>
      </c>
      <c r="K103" s="197">
        <v>-8.3324770450673004E-5</v>
      </c>
    </row>
    <row r="104" spans="1:11" ht="20.25" hidden="1" customHeight="1" outlineLevel="1">
      <c r="A104" s="526"/>
      <c r="B104" s="528"/>
      <c r="C104" s="30" t="s">
        <v>2622</v>
      </c>
      <c r="D104" s="190">
        <v>0</v>
      </c>
      <c r="E104" s="197">
        <v>0</v>
      </c>
      <c r="F104" s="190">
        <v>8200</v>
      </c>
      <c r="G104" s="197">
        <v>1.1144529295991115E-4</v>
      </c>
      <c r="H104" s="190">
        <v>47600</v>
      </c>
      <c r="I104" s="197">
        <v>6.2395676493465755E-4</v>
      </c>
      <c r="J104" s="190">
        <v>0</v>
      </c>
      <c r="K104" s="197">
        <v>0</v>
      </c>
    </row>
    <row r="105" spans="1:11" ht="20.25" hidden="1" customHeight="1" outlineLevel="1">
      <c r="A105" s="525"/>
      <c r="B105" s="531"/>
      <c r="C105" s="30" t="s">
        <v>2623</v>
      </c>
      <c r="D105" s="190">
        <v>0</v>
      </c>
      <c r="E105" s="197">
        <v>0</v>
      </c>
      <c r="F105" s="190">
        <v>9400</v>
      </c>
      <c r="G105" s="197">
        <v>1.2775436022233717E-4</v>
      </c>
      <c r="H105" s="190">
        <v>44700</v>
      </c>
      <c r="I105" s="197">
        <v>5.8594259228107542E-4</v>
      </c>
      <c r="J105" s="190">
        <v>0</v>
      </c>
      <c r="K105" s="197">
        <v>0</v>
      </c>
    </row>
    <row r="106" spans="1:11" ht="20.25" customHeight="1" collapsed="1">
      <c r="A106" s="525"/>
      <c r="B106" s="527" t="s">
        <v>365</v>
      </c>
      <c r="C106" s="65" t="s">
        <v>307</v>
      </c>
      <c r="D106" s="190">
        <v>270500</v>
      </c>
      <c r="E106" s="196">
        <v>4.8756311216094691E-3</v>
      </c>
      <c r="F106" s="190">
        <v>913384</v>
      </c>
      <c r="G106" s="196">
        <v>1.2413700910353107E-2</v>
      </c>
      <c r="H106" s="190">
        <v>909726</v>
      </c>
      <c r="I106" s="196">
        <v>1.1924993528087105E-2</v>
      </c>
      <c r="J106" s="190">
        <v>0</v>
      </c>
      <c r="K106" s="196">
        <v>0</v>
      </c>
    </row>
    <row r="107" spans="1:11" ht="20.25" hidden="1" customHeight="1" outlineLevel="1">
      <c r="A107" s="525"/>
      <c r="B107" s="529"/>
      <c r="C107" s="30" t="s">
        <v>2601</v>
      </c>
      <c r="D107" s="190">
        <v>270500</v>
      </c>
      <c r="E107" s="197">
        <v>4.8756311216094691E-3</v>
      </c>
      <c r="F107" s="190">
        <v>913384</v>
      </c>
      <c r="G107" s="197">
        <v>1.2413700910353107E-2</v>
      </c>
      <c r="H107" s="190">
        <v>909726</v>
      </c>
      <c r="I107" s="197">
        <v>1.1924993528087105E-2</v>
      </c>
      <c r="J107" s="190">
        <v>0</v>
      </c>
      <c r="K107" s="197">
        <v>0</v>
      </c>
    </row>
    <row r="108" spans="1:11" ht="20.25" customHeight="1" collapsed="1">
      <c r="A108" s="526"/>
      <c r="B108" s="527" t="s">
        <v>2102</v>
      </c>
      <c r="C108" s="65" t="s">
        <v>307</v>
      </c>
      <c r="D108" s="190">
        <v>460000</v>
      </c>
      <c r="E108" s="196">
        <v>8.2912765838830168E-3</v>
      </c>
      <c r="F108" s="190">
        <v>3789000</v>
      </c>
      <c r="G108" s="196">
        <v>5.1495879881110165E-2</v>
      </c>
      <c r="H108" s="190">
        <v>3106300</v>
      </c>
      <c r="I108" s="196">
        <v>4.0718422246145518E-2</v>
      </c>
      <c r="J108" s="190">
        <v>180000</v>
      </c>
      <c r="K108" s="196">
        <v>6.817481218691428E-3</v>
      </c>
    </row>
    <row r="109" spans="1:11" ht="20.25" hidden="1" customHeight="1" outlineLevel="1">
      <c r="A109" s="526"/>
      <c r="B109" s="528"/>
      <c r="C109" s="30" t="s">
        <v>366</v>
      </c>
      <c r="D109" s="190">
        <v>40000</v>
      </c>
      <c r="E109" s="197">
        <v>7.2098057251156666E-4</v>
      </c>
      <c r="F109" s="190">
        <v>0</v>
      </c>
      <c r="G109" s="197">
        <v>0</v>
      </c>
      <c r="H109" s="190">
        <v>0</v>
      </c>
      <c r="I109" s="197">
        <v>0</v>
      </c>
      <c r="J109" s="190">
        <v>0</v>
      </c>
      <c r="K109" s="197">
        <v>0</v>
      </c>
    </row>
    <row r="110" spans="1:11" ht="20.25" hidden="1" customHeight="1" outlineLevel="1">
      <c r="A110" s="526"/>
      <c r="B110" s="528"/>
      <c r="C110" s="30" t="s">
        <v>367</v>
      </c>
      <c r="D110" s="190">
        <v>420000</v>
      </c>
      <c r="E110" s="197">
        <v>7.5702960113714496E-3</v>
      </c>
      <c r="F110" s="190">
        <v>939000</v>
      </c>
      <c r="G110" s="197">
        <v>1.2761845132848362E-2</v>
      </c>
      <c r="H110" s="190">
        <v>38000</v>
      </c>
      <c r="I110" s="197">
        <v>4.9811674511590306E-4</v>
      </c>
      <c r="J110" s="190">
        <v>0</v>
      </c>
      <c r="K110" s="197">
        <v>0</v>
      </c>
    </row>
    <row r="111" spans="1:11" ht="20.25" hidden="1" customHeight="1" outlineLevel="1">
      <c r="A111" s="526"/>
      <c r="B111" s="528"/>
      <c r="C111" s="30" t="s">
        <v>2624</v>
      </c>
      <c r="D111" s="190">
        <v>0</v>
      </c>
      <c r="E111" s="197">
        <v>0</v>
      </c>
      <c r="F111" s="190">
        <v>0</v>
      </c>
      <c r="G111" s="197">
        <v>0</v>
      </c>
      <c r="H111" s="190">
        <v>1000000</v>
      </c>
      <c r="I111" s="197">
        <v>1.3108335397786922E-2</v>
      </c>
      <c r="J111" s="190">
        <v>0</v>
      </c>
      <c r="K111" s="197">
        <v>0</v>
      </c>
    </row>
    <row r="112" spans="1:11" ht="20.25" hidden="1" customHeight="1" outlineLevel="1">
      <c r="A112" s="526"/>
      <c r="B112" s="528"/>
      <c r="C112" s="30" t="s">
        <v>2625</v>
      </c>
      <c r="D112" s="190">
        <v>0</v>
      </c>
      <c r="E112" s="197">
        <v>0</v>
      </c>
      <c r="F112" s="190">
        <v>2850000</v>
      </c>
      <c r="G112" s="197">
        <v>3.87340347482618E-2</v>
      </c>
      <c r="H112" s="190">
        <v>1800000</v>
      </c>
      <c r="I112" s="197">
        <v>2.3595003716016461E-2</v>
      </c>
      <c r="J112" s="190">
        <v>0</v>
      </c>
      <c r="K112" s="197">
        <v>0</v>
      </c>
    </row>
    <row r="113" spans="1:11" ht="20.25" hidden="1" customHeight="1" outlineLevel="1">
      <c r="A113" s="526"/>
      <c r="B113" s="528"/>
      <c r="C113" s="30" t="s">
        <v>2626</v>
      </c>
      <c r="D113" s="190">
        <v>0</v>
      </c>
      <c r="E113" s="197">
        <v>0</v>
      </c>
      <c r="F113" s="190">
        <v>0</v>
      </c>
      <c r="G113" s="197">
        <v>0</v>
      </c>
      <c r="H113" s="190">
        <v>240000</v>
      </c>
      <c r="I113" s="197">
        <v>3.1460004954688612E-3</v>
      </c>
      <c r="J113" s="190">
        <v>180000</v>
      </c>
      <c r="K113" s="197">
        <v>6.817481218691428E-3</v>
      </c>
    </row>
    <row r="114" spans="1:11" ht="20.25" hidden="1" customHeight="1" outlineLevel="1">
      <c r="A114" s="526"/>
      <c r="B114" s="528"/>
      <c r="C114" s="30" t="s">
        <v>2627</v>
      </c>
      <c r="D114" s="190">
        <v>0</v>
      </c>
      <c r="E114" s="197">
        <v>0</v>
      </c>
      <c r="F114" s="190">
        <v>0</v>
      </c>
      <c r="G114" s="197">
        <v>0</v>
      </c>
      <c r="H114" s="190">
        <v>28300</v>
      </c>
      <c r="I114" s="197">
        <v>3.7096589175736989E-4</v>
      </c>
      <c r="J114" s="190">
        <v>0</v>
      </c>
      <c r="K114" s="197">
        <v>0</v>
      </c>
    </row>
    <row r="115" spans="1:11" ht="20.25" customHeight="1" collapsed="1">
      <c r="A115" s="525"/>
      <c r="B115" s="527" t="s">
        <v>2103</v>
      </c>
      <c r="C115" s="65" t="s">
        <v>307</v>
      </c>
      <c r="D115" s="190">
        <v>552110</v>
      </c>
      <c r="E115" s="196">
        <v>9.951514597234026E-3</v>
      </c>
      <c r="F115" s="190">
        <v>1630120</v>
      </c>
      <c r="G115" s="196">
        <v>2.2154780604854922E-2</v>
      </c>
      <c r="H115" s="190">
        <v>861746</v>
      </c>
      <c r="I115" s="196">
        <v>1.129605559570129E-2</v>
      </c>
      <c r="J115" s="190">
        <v>0</v>
      </c>
      <c r="K115" s="196">
        <v>0</v>
      </c>
    </row>
    <row r="116" spans="1:11" ht="20.25" hidden="1" customHeight="1" outlineLevel="1">
      <c r="A116" s="525"/>
      <c r="B116" s="528"/>
      <c r="C116" s="30" t="s">
        <v>368</v>
      </c>
      <c r="D116" s="190">
        <v>532110</v>
      </c>
      <c r="E116" s="197">
        <v>9.5910243109782432E-3</v>
      </c>
      <c r="F116" s="190">
        <v>430120</v>
      </c>
      <c r="G116" s="197">
        <v>5.8457133424289001E-3</v>
      </c>
      <c r="H116" s="190">
        <v>478726</v>
      </c>
      <c r="I116" s="197">
        <v>6.2753009716409423E-3</v>
      </c>
      <c r="J116" s="190">
        <v>0</v>
      </c>
      <c r="K116" s="197">
        <v>0</v>
      </c>
    </row>
    <row r="117" spans="1:11" ht="20.25" hidden="1" customHeight="1" outlineLevel="1">
      <c r="A117" s="526"/>
      <c r="B117" s="528"/>
      <c r="C117" s="30" t="s">
        <v>2010</v>
      </c>
      <c r="D117" s="190">
        <v>0</v>
      </c>
      <c r="E117" s="197">
        <v>0</v>
      </c>
      <c r="F117" s="190">
        <v>0</v>
      </c>
      <c r="G117" s="197">
        <v>0</v>
      </c>
      <c r="H117" s="190">
        <v>224220</v>
      </c>
      <c r="I117" s="197">
        <v>2.9391509628917839E-3</v>
      </c>
      <c r="J117" s="190">
        <v>0</v>
      </c>
      <c r="K117" s="197">
        <v>0</v>
      </c>
    </row>
    <row r="118" spans="1:11" ht="20.25" hidden="1" customHeight="1" outlineLevel="1">
      <c r="A118" s="526"/>
      <c r="B118" s="528"/>
      <c r="C118" s="30" t="s">
        <v>369</v>
      </c>
      <c r="D118" s="190">
        <v>20000</v>
      </c>
      <c r="E118" s="197">
        <v>3.6049028625578333E-4</v>
      </c>
      <c r="F118" s="190">
        <v>0</v>
      </c>
      <c r="G118" s="197">
        <v>0</v>
      </c>
      <c r="H118" s="190">
        <v>40000</v>
      </c>
      <c r="I118" s="197">
        <v>5.243334159114769E-4</v>
      </c>
      <c r="J118" s="190">
        <v>0</v>
      </c>
      <c r="K118" s="197">
        <v>0</v>
      </c>
    </row>
    <row r="119" spans="1:11" ht="20.25" hidden="1" customHeight="1" outlineLevel="1">
      <c r="A119" s="526"/>
      <c r="B119" s="528"/>
      <c r="C119" s="30" t="s">
        <v>2628</v>
      </c>
      <c r="D119" s="190">
        <v>0</v>
      </c>
      <c r="E119" s="197">
        <v>0</v>
      </c>
      <c r="F119" s="190">
        <v>1200000</v>
      </c>
      <c r="G119" s="197">
        <v>1.6309067262426022E-2</v>
      </c>
      <c r="H119" s="190">
        <v>0</v>
      </c>
      <c r="I119" s="197">
        <v>0</v>
      </c>
      <c r="J119" s="190">
        <v>0</v>
      </c>
      <c r="K119" s="197">
        <v>0</v>
      </c>
    </row>
    <row r="120" spans="1:11" ht="20.25" hidden="1" customHeight="1" outlineLevel="1">
      <c r="A120" s="525"/>
      <c r="B120" s="531"/>
      <c r="C120" s="30" t="s">
        <v>2629</v>
      </c>
      <c r="D120" s="190">
        <v>0</v>
      </c>
      <c r="E120" s="197">
        <v>0</v>
      </c>
      <c r="F120" s="190">
        <v>0</v>
      </c>
      <c r="G120" s="197">
        <v>0</v>
      </c>
      <c r="H120" s="190">
        <v>118800</v>
      </c>
      <c r="I120" s="197">
        <v>1.5572702452570865E-3</v>
      </c>
      <c r="J120" s="190">
        <v>0</v>
      </c>
      <c r="K120" s="197">
        <v>0</v>
      </c>
    </row>
    <row r="121" spans="1:11" ht="20.25" customHeight="1" collapsed="1">
      <c r="A121" s="525"/>
      <c r="B121" s="527" t="s">
        <v>370</v>
      </c>
      <c r="C121" s="65" t="s">
        <v>307</v>
      </c>
      <c r="D121" s="190">
        <v>5106000</v>
      </c>
      <c r="E121" s="196">
        <v>9.2033170081101484E-2</v>
      </c>
      <c r="F121" s="190">
        <v>6371900</v>
      </c>
      <c r="G121" s="196">
        <v>8.6599788074543632E-2</v>
      </c>
      <c r="H121" s="190">
        <v>6719883</v>
      </c>
      <c r="I121" s="196">
        <v>8.8086480197886577E-2</v>
      </c>
      <c r="J121" s="190">
        <v>1654200</v>
      </c>
      <c r="K121" s="196">
        <v>6.2652652399774217E-2</v>
      </c>
    </row>
    <row r="122" spans="1:11" ht="20.25" hidden="1" customHeight="1" outlineLevel="1">
      <c r="A122" s="525"/>
      <c r="B122" s="528"/>
      <c r="C122" s="30" t="s">
        <v>371</v>
      </c>
      <c r="D122" s="190">
        <v>4706000</v>
      </c>
      <c r="E122" s="197">
        <v>8.4823364355985822E-2</v>
      </c>
      <c r="F122" s="190">
        <v>6171900</v>
      </c>
      <c r="G122" s="197">
        <v>8.3881610197472631E-2</v>
      </c>
      <c r="H122" s="190">
        <v>6119883</v>
      </c>
      <c r="I122" s="197">
        <v>8.0221478959214429E-2</v>
      </c>
      <c r="J122" s="190">
        <v>1654200</v>
      </c>
      <c r="K122" s="197">
        <v>6.2652652399774217E-2</v>
      </c>
    </row>
    <row r="123" spans="1:11" ht="20.25" hidden="1" customHeight="1" outlineLevel="1">
      <c r="A123" s="525"/>
      <c r="B123" s="531"/>
      <c r="C123" s="30" t="s">
        <v>372</v>
      </c>
      <c r="D123" s="190">
        <v>400000</v>
      </c>
      <c r="E123" s="197">
        <v>7.2098057251156668E-3</v>
      </c>
      <c r="F123" s="190">
        <v>200000</v>
      </c>
      <c r="G123" s="197">
        <v>2.7181778770710035E-3</v>
      </c>
      <c r="H123" s="190">
        <v>600000</v>
      </c>
      <c r="I123" s="197">
        <v>7.8650012386721532E-3</v>
      </c>
      <c r="J123" s="190">
        <v>0</v>
      </c>
      <c r="K123" s="197">
        <v>0</v>
      </c>
    </row>
    <row r="124" spans="1:11" ht="20.25" customHeight="1" collapsed="1">
      <c r="A124" s="525"/>
      <c r="B124" s="527" t="s">
        <v>373</v>
      </c>
      <c r="C124" s="65" t="s">
        <v>307</v>
      </c>
      <c r="D124" s="190">
        <v>727667</v>
      </c>
      <c r="E124" s="196">
        <v>1.3115844256444355E-2</v>
      </c>
      <c r="F124" s="190">
        <v>850000</v>
      </c>
      <c r="G124" s="196">
        <v>1.1552255977551764E-2</v>
      </c>
      <c r="H124" s="190">
        <v>900000</v>
      </c>
      <c r="I124" s="196">
        <v>1.1797501858008231E-2</v>
      </c>
      <c r="J124" s="190">
        <v>200000</v>
      </c>
      <c r="K124" s="196">
        <v>7.5749791318793641E-3</v>
      </c>
    </row>
    <row r="125" spans="1:11" ht="20.25" hidden="1" customHeight="1" outlineLevel="1">
      <c r="A125" s="525"/>
      <c r="B125" s="528"/>
      <c r="C125" s="30" t="s">
        <v>374</v>
      </c>
      <c r="D125" s="190">
        <v>550000</v>
      </c>
      <c r="E125" s="197">
        <v>9.9134828720340417E-3</v>
      </c>
      <c r="F125" s="190">
        <v>850000</v>
      </c>
      <c r="G125" s="197">
        <v>1.1552255977551764E-2</v>
      </c>
      <c r="H125" s="190">
        <v>900000</v>
      </c>
      <c r="I125" s="197">
        <v>1.1797501858008231E-2</v>
      </c>
      <c r="J125" s="190">
        <v>200000</v>
      </c>
      <c r="K125" s="197">
        <v>7.5749791318793641E-3</v>
      </c>
    </row>
    <row r="126" spans="1:11" ht="20.25" hidden="1" customHeight="1" outlineLevel="1">
      <c r="A126" s="525"/>
      <c r="B126" s="531"/>
      <c r="C126" s="30" t="s">
        <v>375</v>
      </c>
      <c r="D126" s="190">
        <v>177667</v>
      </c>
      <c r="E126" s="197">
        <v>3.202361384410313E-3</v>
      </c>
      <c r="F126" s="190">
        <v>0</v>
      </c>
      <c r="G126" s="197">
        <v>0</v>
      </c>
      <c r="H126" s="190">
        <v>0</v>
      </c>
      <c r="I126" s="197">
        <v>0</v>
      </c>
      <c r="J126" s="190">
        <v>0</v>
      </c>
      <c r="K126" s="197">
        <v>0</v>
      </c>
    </row>
    <row r="127" spans="1:11" ht="20.25" customHeight="1" collapsed="1">
      <c r="A127" s="526"/>
      <c r="B127" s="527" t="s">
        <v>2630</v>
      </c>
      <c r="C127" s="65" t="s">
        <v>307</v>
      </c>
      <c r="D127" s="190">
        <v>0</v>
      </c>
      <c r="E127" s="196">
        <v>0</v>
      </c>
      <c r="F127" s="190">
        <v>1234072</v>
      </c>
      <c r="G127" s="196">
        <v>1.6772136045563837E-2</v>
      </c>
      <c r="H127" s="190">
        <v>1344492</v>
      </c>
      <c r="I127" s="196">
        <v>1.7624052075641335E-2</v>
      </c>
      <c r="J127" s="190">
        <v>0</v>
      </c>
      <c r="K127" s="196">
        <v>0</v>
      </c>
    </row>
    <row r="128" spans="1:11" ht="20.25" hidden="1" customHeight="1" outlineLevel="1">
      <c r="A128" s="526"/>
      <c r="B128" s="528"/>
      <c r="C128" s="30" t="s">
        <v>2631</v>
      </c>
      <c r="D128" s="190">
        <v>0</v>
      </c>
      <c r="E128" s="197">
        <v>0</v>
      </c>
      <c r="F128" s="190">
        <v>1150072</v>
      </c>
      <c r="G128" s="197">
        <v>1.5630501337194017E-2</v>
      </c>
      <c r="H128" s="190">
        <v>1344492</v>
      </c>
      <c r="I128" s="197">
        <v>1.7624052075641335E-2</v>
      </c>
      <c r="J128" s="190">
        <v>0</v>
      </c>
      <c r="K128" s="197">
        <v>0</v>
      </c>
    </row>
    <row r="129" spans="1:11" ht="20.25" hidden="1" customHeight="1" outlineLevel="1">
      <c r="A129" s="526"/>
      <c r="B129" s="529"/>
      <c r="C129" s="30" t="s">
        <v>2632</v>
      </c>
      <c r="D129" s="190">
        <v>0</v>
      </c>
      <c r="E129" s="197">
        <v>0</v>
      </c>
      <c r="F129" s="190">
        <v>84000</v>
      </c>
      <c r="G129" s="197">
        <v>1.1416347083698214E-3</v>
      </c>
      <c r="H129" s="190">
        <v>0</v>
      </c>
      <c r="I129" s="197">
        <v>0</v>
      </c>
      <c r="J129" s="190">
        <v>0</v>
      </c>
      <c r="K129" s="197">
        <v>0</v>
      </c>
    </row>
    <row r="130" spans="1:11" ht="20.25" customHeight="1" collapsed="1">
      <c r="A130" s="525"/>
      <c r="B130" s="527" t="s">
        <v>376</v>
      </c>
      <c r="C130" s="65" t="s">
        <v>307</v>
      </c>
      <c r="D130" s="190">
        <v>294650</v>
      </c>
      <c r="E130" s="196">
        <v>5.3109231422633282E-3</v>
      </c>
      <c r="F130" s="190">
        <v>6928770</v>
      </c>
      <c r="G130" s="196">
        <v>9.4168146646566281E-2</v>
      </c>
      <c r="H130" s="190">
        <v>1577420</v>
      </c>
      <c r="I130" s="196">
        <v>2.0677350423177043E-2</v>
      </c>
      <c r="J130" s="190">
        <v>60400</v>
      </c>
      <c r="K130" s="196">
        <v>2.2876436978275677E-3</v>
      </c>
    </row>
    <row r="131" spans="1:11" ht="20.25" hidden="1" customHeight="1" outlineLevel="1">
      <c r="A131" s="525"/>
      <c r="B131" s="528"/>
      <c r="C131" s="30" t="s">
        <v>377</v>
      </c>
      <c r="D131" s="190">
        <v>0</v>
      </c>
      <c r="E131" s="197">
        <v>0</v>
      </c>
      <c r="F131" s="190">
        <v>0</v>
      </c>
      <c r="G131" s="197">
        <v>0</v>
      </c>
      <c r="H131" s="190">
        <v>0</v>
      </c>
      <c r="I131" s="197">
        <v>0</v>
      </c>
      <c r="J131" s="190">
        <v>0</v>
      </c>
      <c r="K131" s="197">
        <v>0</v>
      </c>
    </row>
    <row r="132" spans="1:11" ht="20.25" hidden="1" customHeight="1" outlineLevel="1">
      <c r="A132" s="525"/>
      <c r="B132" s="528"/>
      <c r="C132" s="30" t="s">
        <v>378</v>
      </c>
      <c r="D132" s="190">
        <v>83000</v>
      </c>
      <c r="E132" s="197">
        <v>1.4960346879615007E-3</v>
      </c>
      <c r="F132" s="190">
        <v>0</v>
      </c>
      <c r="G132" s="197">
        <v>0</v>
      </c>
      <c r="H132" s="190">
        <v>0</v>
      </c>
      <c r="I132" s="197">
        <v>0</v>
      </c>
      <c r="J132" s="190">
        <v>0</v>
      </c>
      <c r="K132" s="197">
        <v>0</v>
      </c>
    </row>
    <row r="133" spans="1:11" ht="20.25" hidden="1" customHeight="1" outlineLevel="1">
      <c r="A133" s="525"/>
      <c r="B133" s="528"/>
      <c r="C133" s="30" t="s">
        <v>2633</v>
      </c>
      <c r="D133" s="190">
        <v>21000</v>
      </c>
      <c r="E133" s="197">
        <v>3.7851480056857247E-4</v>
      </c>
      <c r="F133" s="190">
        <v>44000</v>
      </c>
      <c r="G133" s="197">
        <v>5.9799913295562079E-4</v>
      </c>
      <c r="H133" s="190">
        <v>650000</v>
      </c>
      <c r="I133" s="197">
        <v>8.5204180085614988E-3</v>
      </c>
      <c r="J133" s="190">
        <v>0</v>
      </c>
      <c r="K133" s="197">
        <v>0</v>
      </c>
    </row>
    <row r="134" spans="1:11" ht="20.25" hidden="1" customHeight="1" outlineLevel="1">
      <c r="A134" s="525"/>
      <c r="B134" s="528"/>
      <c r="C134" s="30" t="s">
        <v>379</v>
      </c>
      <c r="D134" s="190">
        <v>180000</v>
      </c>
      <c r="E134" s="197">
        <v>3.2444125763020498E-3</v>
      </c>
      <c r="F134" s="190">
        <v>0</v>
      </c>
      <c r="G134" s="197">
        <v>0</v>
      </c>
      <c r="H134" s="190">
        <v>364000</v>
      </c>
      <c r="I134" s="197">
        <v>4.7714340847944394E-3</v>
      </c>
      <c r="J134" s="190">
        <v>0</v>
      </c>
      <c r="K134" s="197">
        <v>0</v>
      </c>
    </row>
    <row r="135" spans="1:11" ht="20.25" hidden="1" customHeight="1" outlineLevel="1">
      <c r="A135" s="526"/>
      <c r="B135" s="528"/>
      <c r="C135" s="30" t="s">
        <v>2634</v>
      </c>
      <c r="D135" s="190">
        <v>0</v>
      </c>
      <c r="E135" s="197">
        <v>0</v>
      </c>
      <c r="F135" s="190">
        <v>20000</v>
      </c>
      <c r="G135" s="197">
        <v>2.7181778770710033E-4</v>
      </c>
      <c r="H135" s="190">
        <v>240000</v>
      </c>
      <c r="I135" s="197">
        <v>3.1460004954688612E-3</v>
      </c>
      <c r="J135" s="190">
        <v>60000</v>
      </c>
      <c r="K135" s="197">
        <v>2.2724937395638091E-3</v>
      </c>
    </row>
    <row r="136" spans="1:11" ht="20.25" hidden="1" customHeight="1" outlineLevel="1">
      <c r="A136" s="525"/>
      <c r="B136" s="531"/>
      <c r="C136" s="30" t="s">
        <v>380</v>
      </c>
      <c r="D136" s="190">
        <v>10650</v>
      </c>
      <c r="E136" s="197">
        <v>1.9196107743120461E-4</v>
      </c>
      <c r="F136" s="190">
        <v>6864770</v>
      </c>
      <c r="G136" s="197">
        <v>9.3298329725903559E-2</v>
      </c>
      <c r="H136" s="190">
        <v>323420</v>
      </c>
      <c r="I136" s="197">
        <v>4.2394978343522462E-3</v>
      </c>
      <c r="J136" s="190">
        <v>400</v>
      </c>
      <c r="K136" s="197">
        <v>1.5149958263758729E-5</v>
      </c>
    </row>
    <row r="137" spans="1:11" ht="20.25" customHeight="1" collapsed="1">
      <c r="A137" s="556" t="s">
        <v>381</v>
      </c>
      <c r="B137" s="67"/>
      <c r="C137" s="328" t="s">
        <v>2635</v>
      </c>
      <c r="D137" s="193">
        <v>11225415</v>
      </c>
      <c r="E137" s="196">
        <v>0.20233265333449821</v>
      </c>
      <c r="F137" s="193">
        <v>17845888</v>
      </c>
      <c r="G137" s="196">
        <v>0.24254148979143447</v>
      </c>
      <c r="H137" s="193">
        <v>18592896</v>
      </c>
      <c r="I137" s="196">
        <v>0.24372191678417088</v>
      </c>
      <c r="J137" s="193">
        <v>8200000</v>
      </c>
      <c r="K137" s="196">
        <v>0.31057414440705394</v>
      </c>
    </row>
    <row r="138" spans="1:11" ht="20.25" customHeight="1">
      <c r="A138" s="557"/>
      <c r="B138" s="538" t="s">
        <v>2879</v>
      </c>
      <c r="C138" s="539"/>
      <c r="D138" s="190">
        <v>11225415</v>
      </c>
      <c r="E138" s="197">
        <v>0.20233265333449821</v>
      </c>
      <c r="F138" s="190">
        <v>17845888</v>
      </c>
      <c r="G138" s="197">
        <v>0.24254148979143447</v>
      </c>
      <c r="H138" s="190">
        <v>18592896</v>
      </c>
      <c r="I138" s="197">
        <v>0.24372191678417088</v>
      </c>
      <c r="J138" s="190">
        <v>8200000</v>
      </c>
      <c r="K138" s="197">
        <v>0.31057414440705394</v>
      </c>
    </row>
    <row r="139" spans="1:11" ht="20.25" customHeight="1">
      <c r="A139" s="540" t="s">
        <v>2788</v>
      </c>
      <c r="B139" s="332"/>
      <c r="C139" s="346" t="s">
        <v>2789</v>
      </c>
      <c r="D139" s="193">
        <v>0</v>
      </c>
      <c r="E139" s="196">
        <v>0</v>
      </c>
      <c r="F139" s="193">
        <v>0</v>
      </c>
      <c r="G139" s="196">
        <v>0</v>
      </c>
      <c r="H139" s="193">
        <v>5000000</v>
      </c>
      <c r="I139" s="196">
        <v>6.5541676988934608E-2</v>
      </c>
      <c r="J139" s="193">
        <v>5000000</v>
      </c>
      <c r="K139" s="196">
        <v>0.18937447829698409</v>
      </c>
    </row>
    <row r="140" spans="1:11" ht="20.25" customHeight="1">
      <c r="A140" s="542"/>
      <c r="B140" s="538" t="s">
        <v>2790</v>
      </c>
      <c r="C140" s="539"/>
      <c r="D140" s="190">
        <v>0</v>
      </c>
      <c r="E140" s="197">
        <v>0</v>
      </c>
      <c r="F140" s="190">
        <v>0</v>
      </c>
      <c r="G140" s="197">
        <v>0</v>
      </c>
      <c r="H140" s="190">
        <v>5000000</v>
      </c>
      <c r="I140" s="197">
        <v>6.5541676988934608E-2</v>
      </c>
      <c r="J140" s="190">
        <v>5000000</v>
      </c>
      <c r="K140" s="197">
        <v>0.18937447829698409</v>
      </c>
    </row>
    <row r="141" spans="1:11" ht="20.25" customHeight="1">
      <c r="A141" s="536" t="s">
        <v>2791</v>
      </c>
      <c r="B141" s="335"/>
      <c r="C141" s="347" t="s">
        <v>2792</v>
      </c>
      <c r="D141" s="193">
        <v>0</v>
      </c>
      <c r="E141" s="196">
        <v>0</v>
      </c>
      <c r="F141" s="193">
        <v>0</v>
      </c>
      <c r="G141" s="196">
        <v>0</v>
      </c>
      <c r="H141" s="193">
        <v>2000200</v>
      </c>
      <c r="I141" s="196">
        <v>2.6219292462653403E-2</v>
      </c>
      <c r="J141" s="193">
        <v>0</v>
      </c>
      <c r="K141" s="196">
        <v>0</v>
      </c>
    </row>
    <row r="142" spans="1:11" ht="20.25" customHeight="1">
      <c r="A142" s="537"/>
      <c r="B142" s="538" t="s">
        <v>2793</v>
      </c>
      <c r="C142" s="539"/>
      <c r="D142" s="190">
        <v>0</v>
      </c>
      <c r="E142" s="197">
        <v>0</v>
      </c>
      <c r="F142" s="190">
        <v>0</v>
      </c>
      <c r="G142" s="197">
        <v>0</v>
      </c>
      <c r="H142" s="190">
        <v>2000200</v>
      </c>
      <c r="I142" s="197">
        <v>2.6219292462653403E-2</v>
      </c>
      <c r="J142" s="190">
        <v>0</v>
      </c>
      <c r="K142" s="197">
        <v>0</v>
      </c>
    </row>
    <row r="143" spans="1:11">
      <c r="A143" s="204"/>
      <c r="B143" s="204"/>
      <c r="C143" s="204"/>
      <c r="D143" s="218"/>
      <c r="E143" s="218"/>
      <c r="F143" s="218"/>
      <c r="G143" s="218"/>
      <c r="H143" s="218"/>
      <c r="I143" s="218"/>
    </row>
    <row r="144" spans="1:11">
      <c r="A144" s="204"/>
      <c r="B144" s="204"/>
      <c r="C144" s="204"/>
      <c r="D144" s="218"/>
      <c r="E144" s="218"/>
      <c r="F144" s="218"/>
      <c r="G144" s="218"/>
      <c r="H144" s="218"/>
      <c r="I144" s="218"/>
    </row>
    <row r="145" spans="1:9">
      <c r="A145" s="204"/>
      <c r="B145" s="204"/>
      <c r="C145" s="204"/>
      <c r="D145" s="218"/>
      <c r="E145" s="218"/>
      <c r="F145" s="218"/>
      <c r="G145" s="218"/>
      <c r="H145" s="218"/>
      <c r="I145" s="218"/>
    </row>
    <row r="146" spans="1:9">
      <c r="A146" s="204"/>
      <c r="B146" s="204"/>
      <c r="C146" s="204"/>
      <c r="D146" s="218"/>
      <c r="E146" s="218"/>
      <c r="F146" s="218"/>
      <c r="G146" s="218"/>
      <c r="H146" s="218"/>
      <c r="I146" s="218"/>
    </row>
    <row r="147" spans="1:9" s="331" customFormat="1">
      <c r="A147" s="204"/>
      <c r="B147" s="204"/>
      <c r="C147" s="204"/>
      <c r="D147" s="218"/>
      <c r="E147" s="218"/>
      <c r="F147" s="218"/>
      <c r="G147" s="218"/>
      <c r="H147" s="218"/>
      <c r="I147" s="218"/>
    </row>
    <row r="148" spans="1:9" s="331" customFormat="1">
      <c r="A148" s="204"/>
      <c r="B148" s="204"/>
      <c r="C148" s="204"/>
      <c r="D148" s="218"/>
      <c r="E148" s="218"/>
      <c r="F148" s="218"/>
      <c r="G148" s="218"/>
      <c r="H148" s="218"/>
      <c r="I148" s="218"/>
    </row>
    <row r="149" spans="1:9" s="331" customFormat="1">
      <c r="A149" s="204"/>
      <c r="B149" s="204"/>
      <c r="C149" s="204"/>
      <c r="D149" s="218"/>
      <c r="E149" s="218"/>
      <c r="F149" s="218"/>
      <c r="G149" s="218"/>
      <c r="H149" s="218"/>
      <c r="I149" s="218"/>
    </row>
    <row r="150" spans="1:9" s="331" customFormat="1">
      <c r="A150" s="204"/>
      <c r="B150" s="204"/>
      <c r="C150" s="204"/>
      <c r="D150" s="218"/>
      <c r="E150" s="218"/>
      <c r="F150" s="218"/>
      <c r="G150" s="218"/>
      <c r="H150" s="218"/>
      <c r="I150" s="218"/>
    </row>
    <row r="151" spans="1:9" s="331" customFormat="1">
      <c r="A151" s="204"/>
      <c r="B151" s="204"/>
      <c r="C151" s="204"/>
      <c r="D151" s="218"/>
      <c r="E151" s="218"/>
      <c r="F151" s="218"/>
      <c r="G151" s="218"/>
      <c r="H151" s="218"/>
      <c r="I151" s="218"/>
    </row>
    <row r="152" spans="1:9" s="331" customFormat="1">
      <c r="A152" s="204"/>
      <c r="B152" s="204"/>
      <c r="C152" s="204"/>
      <c r="D152" s="218"/>
      <c r="E152" s="218"/>
      <c r="F152" s="218"/>
      <c r="G152" s="218"/>
      <c r="H152" s="218"/>
      <c r="I152" s="218"/>
    </row>
    <row r="153" spans="1:9" s="331" customFormat="1">
      <c r="A153" s="204"/>
      <c r="B153" s="204"/>
      <c r="C153" s="204"/>
      <c r="D153" s="218"/>
      <c r="E153" s="218"/>
      <c r="F153" s="218"/>
      <c r="G153" s="218"/>
      <c r="H153" s="218"/>
      <c r="I153" s="218"/>
    </row>
    <row r="154" spans="1:9" s="331" customFormat="1">
      <c r="A154" s="204"/>
      <c r="B154" s="204"/>
      <c r="C154" s="204"/>
      <c r="D154" s="218"/>
      <c r="E154" s="218"/>
      <c r="F154" s="218"/>
      <c r="G154" s="218"/>
      <c r="H154" s="218"/>
      <c r="I154" s="218"/>
    </row>
    <row r="155" spans="1:9" s="331" customFormat="1">
      <c r="A155" s="204"/>
      <c r="B155" s="204"/>
      <c r="C155" s="204"/>
      <c r="D155" s="218"/>
      <c r="E155" s="218"/>
      <c r="F155" s="218"/>
      <c r="G155" s="218"/>
      <c r="H155" s="218"/>
      <c r="I155" s="218"/>
    </row>
    <row r="156" spans="1:9" s="331" customFormat="1">
      <c r="A156" s="204"/>
      <c r="B156" s="204"/>
      <c r="C156" s="204"/>
      <c r="D156" s="218"/>
      <c r="E156" s="218"/>
      <c r="F156" s="218"/>
      <c r="G156" s="218"/>
      <c r="H156" s="218"/>
      <c r="I156" s="218"/>
    </row>
    <row r="157" spans="1:9" s="331" customFormat="1">
      <c r="A157" s="204"/>
      <c r="B157" s="204"/>
      <c r="C157" s="204"/>
      <c r="D157" s="218"/>
      <c r="E157" s="218"/>
      <c r="F157" s="218"/>
      <c r="G157" s="218"/>
      <c r="H157" s="218"/>
      <c r="I157" s="218"/>
    </row>
    <row r="158" spans="1:9" s="331" customFormat="1">
      <c r="A158" s="204"/>
      <c r="B158" s="204"/>
      <c r="C158" s="204"/>
      <c r="D158" s="218"/>
      <c r="E158" s="218"/>
      <c r="F158" s="218"/>
      <c r="G158" s="218"/>
      <c r="H158" s="218"/>
      <c r="I158" s="218"/>
    </row>
    <row r="159" spans="1:9" s="331" customFormat="1">
      <c r="A159" s="204"/>
      <c r="B159" s="204"/>
      <c r="C159" s="204"/>
      <c r="D159" s="218"/>
      <c r="E159" s="218"/>
      <c r="F159" s="218"/>
      <c r="G159" s="218"/>
      <c r="H159" s="218"/>
      <c r="I159" s="218"/>
    </row>
    <row r="160" spans="1:9" s="331" customFormat="1">
      <c r="A160" s="204"/>
      <c r="B160" s="204"/>
      <c r="C160" s="204"/>
      <c r="D160" s="218"/>
      <c r="E160" s="218"/>
      <c r="F160" s="218"/>
      <c r="G160" s="218"/>
      <c r="H160" s="218"/>
      <c r="I160" s="218"/>
    </row>
    <row r="161" spans="1:9" s="331" customFormat="1">
      <c r="A161" s="204"/>
      <c r="B161" s="204"/>
      <c r="C161" s="204"/>
      <c r="D161" s="218"/>
      <c r="E161" s="218"/>
      <c r="F161" s="218"/>
      <c r="G161" s="218"/>
      <c r="H161" s="218"/>
      <c r="I161" s="218"/>
    </row>
    <row r="162" spans="1:9" s="331" customFormat="1">
      <c r="A162" s="204"/>
      <c r="B162" s="204"/>
      <c r="C162" s="204"/>
      <c r="D162" s="218"/>
      <c r="E162" s="218"/>
      <c r="F162" s="218"/>
      <c r="G162" s="218"/>
      <c r="H162" s="218"/>
      <c r="I162" s="218"/>
    </row>
    <row r="163" spans="1:9" s="331" customFormat="1">
      <c r="A163" s="204"/>
      <c r="B163" s="204"/>
      <c r="C163" s="204"/>
      <c r="D163" s="218"/>
      <c r="E163" s="218"/>
      <c r="F163" s="218"/>
      <c r="G163" s="218"/>
      <c r="H163" s="218"/>
      <c r="I163" s="218"/>
    </row>
    <row r="164" spans="1:9" s="331" customFormat="1">
      <c r="A164" s="204"/>
      <c r="B164" s="204"/>
      <c r="C164" s="204"/>
      <c r="D164" s="218"/>
      <c r="E164" s="218"/>
      <c r="F164" s="218"/>
      <c r="G164" s="218"/>
      <c r="H164" s="218"/>
      <c r="I164" s="218"/>
    </row>
    <row r="165" spans="1:9" s="331" customFormat="1">
      <c r="A165" s="204"/>
      <c r="B165" s="204"/>
      <c r="C165" s="204"/>
      <c r="D165" s="218"/>
      <c r="E165" s="218"/>
      <c r="F165" s="218"/>
      <c r="G165" s="218"/>
      <c r="H165" s="218"/>
      <c r="I165" s="218"/>
    </row>
    <row r="166" spans="1:9" s="331" customFormat="1">
      <c r="A166" s="204"/>
      <c r="B166" s="204"/>
      <c r="C166" s="204"/>
      <c r="D166" s="218"/>
      <c r="E166" s="218"/>
      <c r="F166" s="218"/>
      <c r="G166" s="218"/>
      <c r="H166" s="218"/>
      <c r="I166" s="218"/>
    </row>
    <row r="167" spans="1:9" s="331" customFormat="1">
      <c r="A167" s="204"/>
      <c r="B167" s="204"/>
      <c r="C167" s="204"/>
      <c r="D167" s="218"/>
      <c r="E167" s="218"/>
      <c r="F167" s="218"/>
      <c r="G167" s="218"/>
      <c r="H167" s="218"/>
      <c r="I167" s="218"/>
    </row>
    <row r="168" spans="1:9" s="331" customFormat="1">
      <c r="A168" s="204"/>
      <c r="B168" s="204"/>
      <c r="C168" s="204"/>
      <c r="D168" s="218"/>
      <c r="E168" s="218"/>
      <c r="F168" s="218"/>
      <c r="G168" s="218"/>
      <c r="H168" s="218"/>
      <c r="I168" s="218"/>
    </row>
    <row r="169" spans="1:9" s="331" customFormat="1">
      <c r="A169" s="204"/>
      <c r="B169" s="204"/>
      <c r="C169" s="204"/>
      <c r="D169" s="218"/>
      <c r="E169" s="218"/>
      <c r="F169" s="218"/>
      <c r="G169" s="218"/>
      <c r="H169" s="218"/>
      <c r="I169" s="218"/>
    </row>
    <row r="170" spans="1:9" s="331" customFormat="1">
      <c r="A170" s="204"/>
      <c r="B170" s="204"/>
      <c r="C170" s="204"/>
      <c r="D170" s="218"/>
      <c r="E170" s="218"/>
      <c r="F170" s="218"/>
      <c r="G170" s="218"/>
      <c r="H170" s="218"/>
      <c r="I170" s="218"/>
    </row>
    <row r="171" spans="1:9" s="331" customFormat="1">
      <c r="A171" s="204"/>
      <c r="B171" s="204"/>
      <c r="C171" s="204"/>
      <c r="D171" s="218"/>
      <c r="E171" s="218"/>
      <c r="F171" s="218"/>
      <c r="G171" s="218"/>
      <c r="H171" s="218"/>
      <c r="I171" s="218"/>
    </row>
    <row r="172" spans="1:9" s="331" customFormat="1">
      <c r="A172" s="204"/>
      <c r="B172" s="204"/>
      <c r="C172" s="204"/>
      <c r="D172" s="218"/>
      <c r="E172" s="218"/>
      <c r="F172" s="218"/>
      <c r="G172" s="218"/>
      <c r="H172" s="218"/>
      <c r="I172" s="218"/>
    </row>
    <row r="173" spans="1:9" s="331" customFormat="1">
      <c r="A173" s="204"/>
      <c r="B173" s="204"/>
      <c r="C173" s="204"/>
      <c r="D173" s="218"/>
      <c r="E173" s="218"/>
      <c r="F173" s="218"/>
      <c r="G173" s="218"/>
      <c r="H173" s="218"/>
      <c r="I173" s="218"/>
    </row>
    <row r="174" spans="1:9" s="331" customFormat="1">
      <c r="A174" s="204"/>
      <c r="B174" s="204"/>
      <c r="C174" s="204"/>
      <c r="D174" s="218"/>
      <c r="E174" s="218"/>
      <c r="F174" s="218"/>
      <c r="G174" s="218"/>
      <c r="H174" s="218"/>
      <c r="I174" s="218"/>
    </row>
    <row r="175" spans="1:9" s="331" customFormat="1">
      <c r="A175" s="204"/>
      <c r="B175" s="204"/>
      <c r="C175" s="204"/>
      <c r="D175" s="218"/>
      <c r="E175" s="218"/>
      <c r="F175" s="218"/>
      <c r="G175" s="218"/>
      <c r="H175" s="218"/>
      <c r="I175" s="218"/>
    </row>
    <row r="176" spans="1:9" s="331" customFormat="1">
      <c r="A176" s="204"/>
      <c r="B176" s="204"/>
      <c r="C176" s="204"/>
      <c r="D176" s="218"/>
      <c r="E176" s="218"/>
      <c r="F176" s="218"/>
      <c r="G176" s="218"/>
      <c r="H176" s="218"/>
      <c r="I176" s="218"/>
    </row>
    <row r="177" spans="1:9" s="331" customFormat="1">
      <c r="A177" s="204"/>
      <c r="B177" s="204"/>
      <c r="C177" s="204"/>
      <c r="D177" s="218"/>
      <c r="E177" s="218"/>
      <c r="F177" s="218"/>
      <c r="G177" s="218"/>
      <c r="H177" s="218"/>
      <c r="I177" s="218"/>
    </row>
    <row r="178" spans="1:9" s="331" customFormat="1">
      <c r="A178" s="204"/>
      <c r="B178" s="204"/>
      <c r="C178" s="204"/>
      <c r="D178" s="218"/>
      <c r="E178" s="218"/>
      <c r="F178" s="218"/>
      <c r="G178" s="218"/>
      <c r="H178" s="218"/>
      <c r="I178" s="218"/>
    </row>
    <row r="179" spans="1:9" s="331" customFormat="1">
      <c r="A179" s="204"/>
      <c r="B179" s="204"/>
      <c r="C179" s="204"/>
      <c r="D179" s="218"/>
      <c r="E179" s="218"/>
      <c r="F179" s="218"/>
      <c r="G179" s="218"/>
      <c r="H179" s="218"/>
      <c r="I179" s="218"/>
    </row>
    <row r="180" spans="1:9" s="331" customFormat="1">
      <c r="A180" s="204"/>
      <c r="B180" s="204"/>
      <c r="C180" s="204"/>
      <c r="D180" s="218"/>
      <c r="E180" s="218"/>
      <c r="F180" s="218"/>
      <c r="G180" s="218"/>
      <c r="H180" s="218"/>
      <c r="I180" s="218"/>
    </row>
    <row r="181" spans="1:9" s="331" customFormat="1">
      <c r="A181" s="204"/>
      <c r="B181" s="204"/>
      <c r="C181" s="204"/>
      <c r="D181" s="218"/>
      <c r="E181" s="218"/>
      <c r="F181" s="218"/>
      <c r="G181" s="218"/>
      <c r="H181" s="218"/>
      <c r="I181" s="218"/>
    </row>
    <row r="182" spans="1:9" s="331" customFormat="1">
      <c r="A182" s="204"/>
      <c r="B182" s="204"/>
      <c r="C182" s="204"/>
      <c r="D182" s="218"/>
      <c r="E182" s="218"/>
      <c r="F182" s="218"/>
      <c r="G182" s="218"/>
      <c r="H182" s="218"/>
      <c r="I182" s="218"/>
    </row>
    <row r="183" spans="1:9" s="331" customFormat="1">
      <c r="A183" s="204"/>
      <c r="B183" s="204"/>
      <c r="C183" s="204"/>
      <c r="D183" s="218"/>
      <c r="E183" s="218"/>
      <c r="F183" s="218"/>
      <c r="G183" s="218"/>
      <c r="H183" s="218"/>
      <c r="I183" s="218"/>
    </row>
    <row r="184" spans="1:9" s="331" customFormat="1">
      <c r="A184" s="204"/>
      <c r="B184" s="204"/>
      <c r="C184" s="204"/>
      <c r="D184" s="218"/>
      <c r="E184" s="218"/>
      <c r="F184" s="218"/>
      <c r="G184" s="218"/>
      <c r="H184" s="218"/>
      <c r="I184" s="218"/>
    </row>
    <row r="185" spans="1:9" s="331" customFormat="1">
      <c r="A185" s="204"/>
      <c r="B185" s="204"/>
      <c r="C185" s="204"/>
      <c r="D185" s="218"/>
      <c r="E185" s="218"/>
      <c r="F185" s="218"/>
      <c r="G185" s="218"/>
      <c r="H185" s="218"/>
      <c r="I185" s="218"/>
    </row>
    <row r="186" spans="1:9" s="331" customFormat="1">
      <c r="A186" s="204"/>
      <c r="B186" s="204"/>
      <c r="C186" s="204"/>
      <c r="D186" s="218"/>
      <c r="E186" s="218"/>
      <c r="F186" s="218"/>
      <c r="G186" s="218"/>
      <c r="H186" s="218"/>
      <c r="I186" s="218"/>
    </row>
    <row r="187" spans="1:9" s="331" customFormat="1">
      <c r="A187" s="204"/>
      <c r="B187" s="204"/>
      <c r="C187" s="204"/>
      <c r="D187" s="218"/>
      <c r="E187" s="218"/>
      <c r="F187" s="218"/>
      <c r="G187" s="218"/>
      <c r="H187" s="218"/>
      <c r="I187" s="218"/>
    </row>
    <row r="188" spans="1:9" s="331" customFormat="1">
      <c r="A188" s="204"/>
      <c r="B188" s="204"/>
      <c r="C188" s="204"/>
      <c r="D188" s="218"/>
      <c r="E188" s="218"/>
      <c r="F188" s="218"/>
      <c r="G188" s="218"/>
      <c r="H188" s="218"/>
      <c r="I188" s="218"/>
    </row>
    <row r="189" spans="1:9" s="331" customFormat="1">
      <c r="A189" s="204"/>
      <c r="B189" s="204"/>
      <c r="C189" s="204"/>
      <c r="D189" s="218"/>
      <c r="E189" s="218"/>
      <c r="F189" s="218"/>
      <c r="G189" s="218"/>
      <c r="H189" s="218"/>
      <c r="I189" s="218"/>
    </row>
    <row r="190" spans="1:9" s="331" customFormat="1">
      <c r="A190" s="204"/>
      <c r="B190" s="204"/>
      <c r="C190" s="204"/>
      <c r="D190" s="218"/>
      <c r="E190" s="218"/>
      <c r="F190" s="218"/>
      <c r="G190" s="218"/>
      <c r="H190" s="218"/>
      <c r="I190" s="218"/>
    </row>
    <row r="191" spans="1:9" s="331" customFormat="1">
      <c r="A191" s="204"/>
      <c r="B191" s="204"/>
      <c r="C191" s="204"/>
      <c r="D191" s="218"/>
      <c r="E191" s="218"/>
      <c r="F191" s="218"/>
      <c r="G191" s="218"/>
      <c r="H191" s="218"/>
      <c r="I191" s="218"/>
    </row>
    <row r="192" spans="1:9" s="331" customFormat="1">
      <c r="A192" s="204"/>
      <c r="B192" s="204"/>
      <c r="C192" s="204"/>
      <c r="D192" s="218"/>
      <c r="E192" s="218"/>
      <c r="F192" s="218"/>
      <c r="G192" s="218"/>
      <c r="H192" s="218"/>
      <c r="I192" s="218"/>
    </row>
    <row r="193" spans="1:9" s="331" customFormat="1">
      <c r="A193" s="204"/>
      <c r="B193" s="204"/>
      <c r="C193" s="204"/>
      <c r="D193" s="218"/>
      <c r="E193" s="218"/>
      <c r="F193" s="218"/>
      <c r="G193" s="218"/>
      <c r="H193" s="218"/>
      <c r="I193" s="218"/>
    </row>
    <row r="194" spans="1:9" s="331" customFormat="1">
      <c r="A194" s="204"/>
      <c r="B194" s="204"/>
      <c r="C194" s="204"/>
      <c r="D194" s="218"/>
      <c r="E194" s="218"/>
      <c r="F194" s="218"/>
      <c r="G194" s="218"/>
      <c r="H194" s="218"/>
      <c r="I194" s="218"/>
    </row>
    <row r="195" spans="1:9" s="331" customFormat="1">
      <c r="A195" s="204"/>
      <c r="B195" s="204"/>
      <c r="C195" s="204"/>
      <c r="D195" s="218"/>
      <c r="E195" s="218"/>
      <c r="F195" s="218"/>
      <c r="G195" s="218"/>
      <c r="H195" s="218"/>
      <c r="I195" s="218"/>
    </row>
    <row r="196" spans="1:9" s="331" customFormat="1">
      <c r="A196" s="204"/>
      <c r="B196" s="204"/>
      <c r="C196" s="204"/>
      <c r="D196" s="218"/>
      <c r="E196" s="218"/>
      <c r="F196" s="218"/>
      <c r="G196" s="218"/>
      <c r="H196" s="218"/>
      <c r="I196" s="218"/>
    </row>
    <row r="197" spans="1:9" s="331" customFormat="1">
      <c r="A197" s="204"/>
      <c r="B197" s="204"/>
      <c r="C197" s="204"/>
      <c r="D197" s="218"/>
      <c r="E197" s="218"/>
      <c r="F197" s="218"/>
      <c r="G197" s="218"/>
      <c r="H197" s="218"/>
      <c r="I197" s="218"/>
    </row>
    <row r="198" spans="1:9" s="331" customFormat="1">
      <c r="A198" s="204"/>
      <c r="B198" s="204"/>
      <c r="C198" s="204"/>
      <c r="D198" s="218"/>
      <c r="E198" s="218"/>
      <c r="F198" s="218"/>
      <c r="G198" s="218"/>
      <c r="H198" s="218"/>
      <c r="I198" s="218"/>
    </row>
    <row r="199" spans="1:9" s="331" customFormat="1">
      <c r="A199" s="204"/>
      <c r="B199" s="204"/>
      <c r="C199" s="204"/>
      <c r="D199" s="218"/>
      <c r="E199" s="218"/>
      <c r="F199" s="218"/>
      <c r="G199" s="218"/>
      <c r="H199" s="218"/>
      <c r="I199" s="218"/>
    </row>
    <row r="200" spans="1:9" s="331" customFormat="1">
      <c r="A200" s="204"/>
      <c r="B200" s="204"/>
      <c r="C200" s="204"/>
      <c r="D200" s="218"/>
      <c r="E200" s="218"/>
      <c r="F200" s="218"/>
      <c r="G200" s="218"/>
      <c r="H200" s="218"/>
      <c r="I200" s="218"/>
    </row>
    <row r="201" spans="1:9" s="331" customFormat="1">
      <c r="A201" s="204"/>
      <c r="B201" s="204"/>
      <c r="C201" s="204"/>
      <c r="D201" s="218"/>
      <c r="E201" s="218"/>
      <c r="F201" s="218"/>
      <c r="G201" s="218"/>
      <c r="H201" s="218"/>
      <c r="I201" s="218"/>
    </row>
    <row r="202" spans="1:9" s="331" customFormat="1">
      <c r="A202" s="204"/>
      <c r="B202" s="204"/>
      <c r="C202" s="204"/>
      <c r="D202" s="218"/>
      <c r="E202" s="218"/>
      <c r="F202" s="218"/>
      <c r="G202" s="218"/>
      <c r="H202" s="218"/>
      <c r="I202" s="218"/>
    </row>
    <row r="203" spans="1:9" s="331" customFormat="1">
      <c r="A203" s="204"/>
      <c r="B203" s="204"/>
      <c r="C203" s="204"/>
      <c r="D203" s="218"/>
      <c r="E203" s="218"/>
      <c r="F203" s="218"/>
      <c r="G203" s="218"/>
      <c r="H203" s="218"/>
      <c r="I203" s="218"/>
    </row>
    <row r="204" spans="1:9" s="331" customFormat="1">
      <c r="A204" s="204"/>
      <c r="B204" s="204"/>
      <c r="C204" s="204"/>
      <c r="D204" s="218"/>
      <c r="E204" s="218"/>
      <c r="F204" s="218"/>
      <c r="G204" s="218"/>
      <c r="H204" s="218"/>
      <c r="I204" s="218"/>
    </row>
    <row r="205" spans="1:9" s="331" customFormat="1">
      <c r="A205" s="204"/>
      <c r="B205" s="204"/>
      <c r="C205" s="204"/>
      <c r="D205" s="218"/>
      <c r="E205" s="218"/>
      <c r="F205" s="218"/>
      <c r="G205" s="218"/>
      <c r="H205" s="218"/>
      <c r="I205" s="218"/>
    </row>
    <row r="206" spans="1:9" s="331" customFormat="1">
      <c r="A206" s="204"/>
      <c r="B206" s="204"/>
      <c r="C206" s="204"/>
      <c r="D206" s="218"/>
      <c r="E206" s="218"/>
      <c r="F206" s="218"/>
      <c r="G206" s="218"/>
      <c r="H206" s="218"/>
      <c r="I206" s="218"/>
    </row>
    <row r="207" spans="1:9" s="331" customFormat="1">
      <c r="A207" s="204"/>
      <c r="B207" s="204"/>
      <c r="C207" s="204"/>
      <c r="D207" s="218"/>
      <c r="E207" s="218"/>
      <c r="F207" s="218"/>
      <c r="G207" s="218"/>
      <c r="H207" s="218"/>
      <c r="I207" s="218"/>
    </row>
    <row r="208" spans="1:9" s="331" customFormat="1">
      <c r="A208" s="204"/>
      <c r="B208" s="204"/>
      <c r="C208" s="204"/>
      <c r="D208" s="218"/>
      <c r="E208" s="218"/>
      <c r="F208" s="218"/>
      <c r="G208" s="218"/>
      <c r="H208" s="218"/>
      <c r="I208" s="218"/>
    </row>
    <row r="209" spans="1:9" s="331" customFormat="1">
      <c r="A209" s="204"/>
      <c r="B209" s="204"/>
      <c r="C209" s="204"/>
      <c r="D209" s="218"/>
      <c r="E209" s="218"/>
      <c r="F209" s="218"/>
      <c r="G209" s="218"/>
      <c r="H209" s="218"/>
      <c r="I209" s="218"/>
    </row>
    <row r="210" spans="1:9" s="331" customFormat="1">
      <c r="A210" s="204"/>
      <c r="B210" s="204"/>
      <c r="C210" s="204"/>
      <c r="D210" s="218"/>
      <c r="E210" s="218"/>
      <c r="F210" s="218"/>
      <c r="G210" s="218"/>
      <c r="H210" s="218"/>
      <c r="I210" s="218"/>
    </row>
    <row r="211" spans="1:9" s="331" customFormat="1">
      <c r="A211" s="204"/>
      <c r="B211" s="204"/>
      <c r="C211" s="204"/>
      <c r="D211" s="218"/>
      <c r="E211" s="218"/>
      <c r="F211" s="218"/>
      <c r="G211" s="218"/>
      <c r="H211" s="218"/>
      <c r="I211" s="218"/>
    </row>
    <row r="212" spans="1:9" s="331" customFormat="1">
      <c r="A212" s="204"/>
      <c r="B212" s="204"/>
      <c r="C212" s="204"/>
      <c r="D212" s="218"/>
      <c r="E212" s="218"/>
      <c r="F212" s="218"/>
      <c r="G212" s="218"/>
      <c r="H212" s="218"/>
      <c r="I212" s="218"/>
    </row>
    <row r="213" spans="1:9" s="331" customFormat="1">
      <c r="A213" s="204"/>
      <c r="B213" s="204"/>
      <c r="C213" s="204"/>
      <c r="D213" s="218"/>
      <c r="E213" s="218"/>
      <c r="F213" s="218"/>
      <c r="G213" s="218"/>
      <c r="H213" s="218"/>
      <c r="I213" s="218"/>
    </row>
    <row r="214" spans="1:9" s="331" customFormat="1">
      <c r="A214" s="204"/>
      <c r="B214" s="204"/>
      <c r="C214" s="204"/>
      <c r="D214" s="218"/>
      <c r="E214" s="218"/>
      <c r="F214" s="218"/>
      <c r="G214" s="218"/>
      <c r="H214" s="218"/>
      <c r="I214" s="218"/>
    </row>
    <row r="215" spans="1:9" s="331" customFormat="1">
      <c r="A215" s="204"/>
      <c r="B215" s="204"/>
      <c r="C215" s="204"/>
      <c r="D215" s="218"/>
      <c r="E215" s="218"/>
      <c r="F215" s="218"/>
      <c r="G215" s="218"/>
      <c r="H215" s="218"/>
      <c r="I215" s="218"/>
    </row>
    <row r="216" spans="1:9" s="331" customFormat="1">
      <c r="A216" s="204"/>
      <c r="B216" s="204"/>
      <c r="C216" s="204"/>
      <c r="D216" s="218"/>
      <c r="E216" s="218"/>
      <c r="F216" s="218"/>
      <c r="G216" s="218"/>
      <c r="H216" s="218"/>
      <c r="I216" s="218"/>
    </row>
    <row r="217" spans="1:9" s="331" customFormat="1">
      <c r="A217" s="204"/>
      <c r="B217" s="204"/>
      <c r="C217" s="204"/>
      <c r="D217" s="218"/>
      <c r="E217" s="218"/>
      <c r="F217" s="218"/>
      <c r="G217" s="218"/>
      <c r="H217" s="218"/>
      <c r="I217" s="218"/>
    </row>
    <row r="218" spans="1:9" s="331" customFormat="1">
      <c r="A218" s="204"/>
      <c r="B218" s="204"/>
      <c r="C218" s="204"/>
      <c r="D218" s="218"/>
      <c r="E218" s="218"/>
      <c r="F218" s="218"/>
      <c r="G218" s="218"/>
      <c r="H218" s="218"/>
      <c r="I218" s="218"/>
    </row>
    <row r="219" spans="1:9" s="331" customFormat="1">
      <c r="A219" s="204"/>
      <c r="B219" s="204"/>
      <c r="C219" s="204"/>
      <c r="D219" s="218"/>
      <c r="E219" s="218"/>
      <c r="F219" s="218"/>
      <c r="G219" s="218"/>
      <c r="H219" s="218"/>
      <c r="I219" s="218"/>
    </row>
    <row r="220" spans="1:9" s="331" customFormat="1">
      <c r="A220" s="204"/>
      <c r="B220" s="204"/>
      <c r="C220" s="204"/>
      <c r="D220" s="218"/>
      <c r="E220" s="218"/>
      <c r="F220" s="218"/>
      <c r="G220" s="218"/>
      <c r="H220" s="218"/>
      <c r="I220" s="218"/>
    </row>
    <row r="221" spans="1:9" s="331" customFormat="1">
      <c r="A221" s="204"/>
      <c r="B221" s="204"/>
      <c r="C221" s="204"/>
      <c r="D221" s="218"/>
      <c r="E221" s="218"/>
      <c r="F221" s="218"/>
      <c r="G221" s="218"/>
      <c r="H221" s="218"/>
      <c r="I221" s="218"/>
    </row>
    <row r="222" spans="1:9" s="331" customFormat="1">
      <c r="A222" s="204"/>
      <c r="B222" s="204"/>
      <c r="C222" s="204"/>
      <c r="D222" s="218"/>
      <c r="E222" s="218"/>
      <c r="F222" s="218"/>
      <c r="G222" s="218"/>
      <c r="H222" s="218"/>
      <c r="I222" s="218"/>
    </row>
    <row r="223" spans="1:9" s="331" customFormat="1">
      <c r="A223" s="204"/>
      <c r="B223" s="204"/>
      <c r="C223" s="204"/>
      <c r="D223" s="218"/>
      <c r="E223" s="218"/>
      <c r="F223" s="218"/>
      <c r="G223" s="218"/>
      <c r="H223" s="218"/>
      <c r="I223" s="218"/>
    </row>
    <row r="224" spans="1:9" s="331" customFormat="1">
      <c r="A224" s="204"/>
      <c r="B224" s="204"/>
      <c r="C224" s="204"/>
      <c r="D224" s="218"/>
      <c r="E224" s="218"/>
      <c r="F224" s="218"/>
      <c r="G224" s="218"/>
      <c r="H224" s="218"/>
      <c r="I224" s="218"/>
    </row>
    <row r="225" spans="1:9" s="331" customFormat="1">
      <c r="A225" s="204"/>
      <c r="B225" s="204"/>
      <c r="C225" s="204"/>
      <c r="D225" s="218"/>
      <c r="E225" s="218"/>
      <c r="F225" s="218"/>
      <c r="G225" s="218"/>
      <c r="H225" s="218"/>
      <c r="I225" s="218"/>
    </row>
    <row r="226" spans="1:9" s="331" customFormat="1">
      <c r="A226" s="204"/>
      <c r="B226" s="204"/>
      <c r="C226" s="204"/>
      <c r="D226" s="218"/>
      <c r="E226" s="218"/>
      <c r="F226" s="218"/>
      <c r="G226" s="218"/>
      <c r="H226" s="218"/>
      <c r="I226" s="218"/>
    </row>
    <row r="227" spans="1:9" s="331" customFormat="1">
      <c r="A227" s="204"/>
      <c r="B227" s="204"/>
      <c r="C227" s="204"/>
      <c r="D227" s="218"/>
      <c r="E227" s="218"/>
      <c r="F227" s="218"/>
      <c r="G227" s="218"/>
      <c r="H227" s="218"/>
      <c r="I227" s="218"/>
    </row>
    <row r="228" spans="1:9" s="331" customFormat="1">
      <c r="A228" s="204"/>
      <c r="B228" s="204"/>
      <c r="C228" s="204"/>
      <c r="D228" s="218"/>
      <c r="E228" s="218"/>
      <c r="F228" s="218"/>
      <c r="G228" s="218"/>
      <c r="H228" s="218"/>
      <c r="I228" s="218"/>
    </row>
    <row r="229" spans="1:9" s="331" customFormat="1">
      <c r="A229" s="204"/>
      <c r="B229" s="204"/>
      <c r="C229" s="204"/>
      <c r="D229" s="218"/>
      <c r="E229" s="218"/>
      <c r="F229" s="218"/>
      <c r="G229" s="218"/>
      <c r="H229" s="218"/>
      <c r="I229" s="218"/>
    </row>
    <row r="230" spans="1:9" s="331" customFormat="1">
      <c r="A230" s="204"/>
      <c r="B230" s="204"/>
      <c r="C230" s="204"/>
      <c r="D230" s="218"/>
      <c r="E230" s="218"/>
      <c r="F230" s="218"/>
      <c r="G230" s="218"/>
      <c r="H230" s="218"/>
      <c r="I230" s="218"/>
    </row>
    <row r="231" spans="1:9" s="331" customFormat="1">
      <c r="A231" s="204"/>
      <c r="B231" s="204"/>
      <c r="C231" s="204"/>
      <c r="D231" s="218"/>
      <c r="E231" s="218"/>
      <c r="F231" s="218"/>
      <c r="G231" s="218"/>
      <c r="H231" s="218"/>
      <c r="I231" s="218"/>
    </row>
    <row r="232" spans="1:9" s="331" customFormat="1">
      <c r="A232" s="204"/>
      <c r="B232" s="204"/>
      <c r="C232" s="204"/>
      <c r="D232" s="218"/>
      <c r="E232" s="218"/>
      <c r="F232" s="218"/>
      <c r="G232" s="218"/>
      <c r="H232" s="218"/>
      <c r="I232" s="218"/>
    </row>
    <row r="233" spans="1:9" s="331" customFormat="1">
      <c r="A233" s="204"/>
      <c r="B233" s="204"/>
      <c r="C233" s="204"/>
      <c r="D233" s="218"/>
      <c r="E233" s="218"/>
      <c r="F233" s="218"/>
      <c r="G233" s="218"/>
      <c r="H233" s="218"/>
      <c r="I233" s="218"/>
    </row>
    <row r="234" spans="1:9" s="331" customFormat="1">
      <c r="A234" s="204"/>
      <c r="B234" s="204"/>
      <c r="C234" s="204"/>
      <c r="D234" s="218"/>
      <c r="E234" s="218"/>
      <c r="F234" s="218"/>
      <c r="G234" s="218"/>
      <c r="H234" s="218"/>
      <c r="I234" s="218"/>
    </row>
    <row r="235" spans="1:9" s="331" customFormat="1">
      <c r="A235" s="204"/>
      <c r="B235" s="204"/>
      <c r="C235" s="204"/>
      <c r="D235" s="218"/>
      <c r="E235" s="218"/>
      <c r="F235" s="218"/>
      <c r="G235" s="218"/>
      <c r="H235" s="218"/>
      <c r="I235" s="218"/>
    </row>
    <row r="236" spans="1:9" s="331" customFormat="1">
      <c r="A236" s="204"/>
      <c r="B236" s="204"/>
      <c r="C236" s="204"/>
      <c r="D236" s="218"/>
      <c r="E236" s="218"/>
      <c r="F236" s="218"/>
      <c r="G236" s="218"/>
      <c r="H236" s="218"/>
      <c r="I236" s="218"/>
    </row>
    <row r="237" spans="1:9" s="331" customFormat="1">
      <c r="A237" s="204"/>
      <c r="B237" s="204"/>
      <c r="C237" s="204"/>
      <c r="D237" s="218"/>
      <c r="E237" s="218"/>
      <c r="F237" s="218"/>
      <c r="G237" s="218"/>
      <c r="H237" s="218"/>
      <c r="I237" s="218"/>
    </row>
    <row r="238" spans="1:9" s="331" customFormat="1">
      <c r="A238" s="204"/>
      <c r="B238" s="204"/>
      <c r="C238" s="204"/>
      <c r="D238" s="218"/>
      <c r="E238" s="218"/>
      <c r="F238" s="218"/>
      <c r="G238" s="218"/>
      <c r="H238" s="218"/>
      <c r="I238" s="218"/>
    </row>
    <row r="239" spans="1:9" s="331" customFormat="1">
      <c r="A239" s="204"/>
      <c r="B239" s="204"/>
      <c r="C239" s="204"/>
      <c r="D239" s="218"/>
      <c r="E239" s="218"/>
      <c r="F239" s="218"/>
      <c r="G239" s="218"/>
      <c r="H239" s="218"/>
      <c r="I239" s="218"/>
    </row>
    <row r="240" spans="1:9" s="331" customFormat="1">
      <c r="A240" s="204"/>
      <c r="B240" s="204"/>
      <c r="C240" s="204"/>
      <c r="D240" s="218"/>
      <c r="E240" s="218"/>
      <c r="F240" s="218"/>
      <c r="G240" s="218"/>
      <c r="H240" s="218"/>
      <c r="I240" s="218"/>
    </row>
    <row r="241" spans="1:9" s="331" customFormat="1">
      <c r="A241" s="204"/>
      <c r="B241" s="204"/>
      <c r="C241" s="204"/>
      <c r="D241" s="218"/>
      <c r="E241" s="218"/>
      <c r="F241" s="218"/>
      <c r="G241" s="218"/>
      <c r="H241" s="218"/>
      <c r="I241" s="218"/>
    </row>
    <row r="242" spans="1:9" s="331" customFormat="1">
      <c r="A242" s="204"/>
      <c r="B242" s="204"/>
      <c r="C242" s="204"/>
      <c r="D242" s="218"/>
      <c r="E242" s="218"/>
      <c r="F242" s="218"/>
      <c r="G242" s="218"/>
      <c r="H242" s="218"/>
      <c r="I242" s="218"/>
    </row>
    <row r="243" spans="1:9" s="331" customFormat="1">
      <c r="A243" s="204"/>
      <c r="B243" s="204"/>
      <c r="C243" s="204"/>
      <c r="D243" s="218"/>
      <c r="E243" s="218"/>
      <c r="F243" s="218"/>
      <c r="G243" s="218"/>
      <c r="H243" s="218"/>
      <c r="I243" s="218"/>
    </row>
    <row r="244" spans="1:9" s="331" customFormat="1">
      <c r="A244" s="204"/>
      <c r="B244" s="204"/>
      <c r="C244" s="204"/>
      <c r="D244" s="218"/>
      <c r="E244" s="218"/>
      <c r="F244" s="218"/>
      <c r="G244" s="218"/>
      <c r="H244" s="218"/>
      <c r="I244" s="218"/>
    </row>
    <row r="245" spans="1:9" s="331" customFormat="1">
      <c r="A245" s="204"/>
      <c r="B245" s="204"/>
      <c r="C245" s="204"/>
      <c r="D245" s="218"/>
      <c r="E245" s="218"/>
      <c r="F245" s="218"/>
      <c r="G245" s="218"/>
      <c r="H245" s="218"/>
      <c r="I245" s="218"/>
    </row>
    <row r="246" spans="1:9" s="331" customFormat="1">
      <c r="A246" s="204"/>
      <c r="B246" s="204"/>
      <c r="C246" s="204"/>
      <c r="D246" s="218"/>
      <c r="E246" s="218"/>
      <c r="F246" s="218"/>
      <c r="G246" s="218"/>
      <c r="H246" s="218"/>
      <c r="I246" s="218"/>
    </row>
    <row r="247" spans="1:9" s="331" customFormat="1">
      <c r="A247" s="204"/>
      <c r="B247" s="204"/>
      <c r="C247" s="204"/>
      <c r="D247" s="218"/>
      <c r="E247" s="218"/>
      <c r="F247" s="218"/>
      <c r="G247" s="218"/>
      <c r="H247" s="218"/>
      <c r="I247" s="218"/>
    </row>
    <row r="248" spans="1:9" s="331" customFormat="1">
      <c r="A248" s="204"/>
      <c r="B248" s="204"/>
      <c r="C248" s="204"/>
      <c r="D248" s="218"/>
      <c r="E248" s="218"/>
      <c r="F248" s="218"/>
      <c r="G248" s="218"/>
      <c r="H248" s="218"/>
      <c r="I248" s="218"/>
    </row>
    <row r="249" spans="1:9" s="331" customFormat="1">
      <c r="A249" s="204"/>
      <c r="B249" s="204"/>
      <c r="C249" s="204"/>
      <c r="D249" s="218"/>
      <c r="E249" s="218"/>
      <c r="F249" s="218"/>
      <c r="G249" s="218"/>
      <c r="H249" s="218"/>
      <c r="I249" s="218"/>
    </row>
    <row r="250" spans="1:9" s="331" customFormat="1">
      <c r="A250" s="204"/>
      <c r="B250" s="204"/>
      <c r="C250" s="204"/>
      <c r="D250" s="218"/>
      <c r="E250" s="218"/>
      <c r="F250" s="218"/>
      <c r="G250" s="218"/>
      <c r="H250" s="218"/>
      <c r="I250" s="218"/>
    </row>
    <row r="251" spans="1:9" s="331" customFormat="1">
      <c r="A251" s="204"/>
      <c r="B251" s="204"/>
      <c r="C251" s="204"/>
      <c r="D251" s="218"/>
      <c r="E251" s="218"/>
      <c r="F251" s="218"/>
      <c r="G251" s="218"/>
      <c r="H251" s="218"/>
      <c r="I251" s="218"/>
    </row>
    <row r="252" spans="1:9" s="331" customFormat="1">
      <c r="A252" s="204"/>
      <c r="B252" s="204"/>
      <c r="C252" s="204"/>
      <c r="D252" s="218"/>
      <c r="E252" s="218"/>
      <c r="F252" s="218"/>
      <c r="G252" s="218"/>
      <c r="H252" s="218"/>
      <c r="I252" s="218"/>
    </row>
    <row r="253" spans="1:9" s="331" customFormat="1">
      <c r="A253" s="204"/>
      <c r="B253" s="204"/>
      <c r="C253" s="204"/>
      <c r="D253" s="218"/>
      <c r="E253" s="218"/>
      <c r="F253" s="218"/>
      <c r="G253" s="218"/>
      <c r="H253" s="218"/>
      <c r="I253" s="218"/>
    </row>
    <row r="254" spans="1:9" s="331" customFormat="1">
      <c r="A254" s="204"/>
      <c r="B254" s="204"/>
      <c r="C254" s="204"/>
      <c r="D254" s="218"/>
      <c r="E254" s="218"/>
      <c r="F254" s="218"/>
      <c r="G254" s="218"/>
      <c r="H254" s="218"/>
      <c r="I254" s="218"/>
    </row>
    <row r="255" spans="1:9" s="331" customFormat="1">
      <c r="A255" s="204"/>
      <c r="B255" s="204"/>
      <c r="C255" s="204"/>
      <c r="D255" s="218"/>
      <c r="E255" s="218"/>
      <c r="F255" s="218"/>
      <c r="G255" s="218"/>
      <c r="H255" s="218"/>
      <c r="I255" s="218"/>
    </row>
    <row r="256" spans="1:9" s="331" customFormat="1">
      <c r="A256" s="204"/>
      <c r="B256" s="204"/>
      <c r="C256" s="204"/>
      <c r="D256" s="218"/>
      <c r="E256" s="218"/>
      <c r="F256" s="218"/>
      <c r="G256" s="218"/>
      <c r="H256" s="218"/>
      <c r="I256" s="218"/>
    </row>
    <row r="257" spans="1:9" s="331" customFormat="1">
      <c r="A257" s="204"/>
      <c r="B257" s="204"/>
      <c r="C257" s="204"/>
      <c r="D257" s="218"/>
      <c r="E257" s="218"/>
      <c r="F257" s="218"/>
      <c r="G257" s="218"/>
      <c r="H257" s="218"/>
      <c r="I257" s="218"/>
    </row>
    <row r="258" spans="1:9" s="331" customFormat="1">
      <c r="A258" s="204"/>
      <c r="B258" s="204"/>
      <c r="C258" s="204"/>
      <c r="D258" s="218"/>
      <c r="E258" s="218"/>
      <c r="F258" s="218"/>
      <c r="G258" s="218"/>
      <c r="H258" s="218"/>
      <c r="I258" s="218"/>
    </row>
    <row r="259" spans="1:9" s="331" customFormat="1">
      <c r="A259" s="204"/>
      <c r="B259" s="204"/>
      <c r="C259" s="204"/>
      <c r="D259" s="218"/>
      <c r="E259" s="218"/>
      <c r="F259" s="218"/>
      <c r="G259" s="218"/>
      <c r="H259" s="218"/>
      <c r="I259" s="218"/>
    </row>
    <row r="260" spans="1:9" s="331" customFormat="1">
      <c r="A260" s="204"/>
      <c r="B260" s="204"/>
      <c r="C260" s="204"/>
      <c r="D260" s="218"/>
      <c r="E260" s="218"/>
      <c r="F260" s="218"/>
      <c r="G260" s="218"/>
      <c r="H260" s="218"/>
      <c r="I260" s="218"/>
    </row>
    <row r="261" spans="1:9" s="331" customFormat="1">
      <c r="A261" s="204"/>
      <c r="B261" s="204"/>
      <c r="C261" s="204"/>
      <c r="D261" s="218"/>
      <c r="E261" s="218"/>
      <c r="F261" s="218"/>
      <c r="G261" s="218"/>
      <c r="H261" s="218"/>
      <c r="I261" s="218"/>
    </row>
    <row r="262" spans="1:9" s="331" customFormat="1">
      <c r="A262" s="204"/>
      <c r="B262" s="204"/>
      <c r="C262" s="204"/>
      <c r="D262" s="218"/>
      <c r="E262" s="218"/>
      <c r="F262" s="218"/>
      <c r="G262" s="218"/>
      <c r="H262" s="218"/>
      <c r="I262" s="218"/>
    </row>
    <row r="263" spans="1:9" s="331" customFormat="1">
      <c r="A263" s="204"/>
      <c r="B263" s="204"/>
      <c r="C263" s="204"/>
      <c r="D263" s="218"/>
      <c r="E263" s="218"/>
      <c r="F263" s="218"/>
      <c r="G263" s="218"/>
      <c r="H263" s="218"/>
      <c r="I263" s="218"/>
    </row>
    <row r="264" spans="1:9" s="331" customFormat="1">
      <c r="A264" s="204"/>
      <c r="B264" s="204"/>
      <c r="C264" s="204"/>
      <c r="D264" s="218"/>
      <c r="E264" s="218"/>
      <c r="F264" s="218"/>
      <c r="G264" s="218"/>
      <c r="H264" s="218"/>
      <c r="I264" s="218"/>
    </row>
    <row r="265" spans="1:9" s="331" customFormat="1">
      <c r="A265" s="204"/>
      <c r="B265" s="204"/>
      <c r="C265" s="204"/>
      <c r="D265" s="218"/>
      <c r="E265" s="218"/>
      <c r="F265" s="218"/>
      <c r="G265" s="218"/>
      <c r="H265" s="218"/>
      <c r="I265" s="218"/>
    </row>
    <row r="266" spans="1:9" s="331" customFormat="1">
      <c r="A266" s="204"/>
      <c r="B266" s="204"/>
      <c r="C266" s="204"/>
      <c r="D266" s="218"/>
      <c r="E266" s="218"/>
      <c r="F266" s="218"/>
      <c r="G266" s="218"/>
      <c r="H266" s="218"/>
      <c r="I266" s="218"/>
    </row>
    <row r="267" spans="1:9" s="331" customFormat="1">
      <c r="A267" s="204"/>
      <c r="B267" s="204"/>
      <c r="C267" s="204"/>
      <c r="D267" s="218"/>
      <c r="E267" s="218"/>
      <c r="F267" s="218"/>
      <c r="G267" s="218"/>
      <c r="H267" s="218"/>
      <c r="I267" s="218"/>
    </row>
    <row r="268" spans="1:9" s="331" customFormat="1">
      <c r="A268" s="204"/>
      <c r="B268" s="204"/>
      <c r="C268" s="204"/>
      <c r="D268" s="218"/>
      <c r="E268" s="218"/>
      <c r="F268" s="218"/>
      <c r="G268" s="218"/>
      <c r="H268" s="218"/>
      <c r="I268" s="218"/>
    </row>
    <row r="269" spans="1:9" s="331" customFormat="1">
      <c r="A269" s="204"/>
      <c r="B269" s="204"/>
      <c r="C269" s="204"/>
      <c r="D269" s="218"/>
      <c r="E269" s="218"/>
      <c r="F269" s="218"/>
      <c r="G269" s="218"/>
      <c r="H269" s="218"/>
      <c r="I269" s="218"/>
    </row>
    <row r="270" spans="1:9" s="331" customFormat="1">
      <c r="A270" s="204"/>
      <c r="B270" s="204"/>
      <c r="C270" s="204"/>
      <c r="D270" s="218"/>
      <c r="E270" s="218"/>
      <c r="F270" s="218"/>
      <c r="G270" s="218"/>
      <c r="H270" s="218"/>
      <c r="I270" s="218"/>
    </row>
    <row r="271" spans="1:9" s="331" customFormat="1">
      <c r="A271" s="204"/>
      <c r="B271" s="204"/>
      <c r="C271" s="204"/>
      <c r="D271" s="218"/>
      <c r="E271" s="218"/>
      <c r="F271" s="218"/>
      <c r="G271" s="218"/>
      <c r="H271" s="218"/>
      <c r="I271" s="218"/>
    </row>
    <row r="272" spans="1:9" s="331" customFormat="1">
      <c r="A272" s="204"/>
      <c r="B272" s="204"/>
      <c r="C272" s="204"/>
      <c r="D272" s="218"/>
      <c r="E272" s="218"/>
      <c r="F272" s="218"/>
      <c r="G272" s="218"/>
      <c r="H272" s="218"/>
      <c r="I272" s="218"/>
    </row>
    <row r="273" spans="1:9" s="331" customFormat="1">
      <c r="A273" s="204"/>
      <c r="B273" s="204"/>
      <c r="C273" s="204"/>
      <c r="D273" s="218"/>
      <c r="E273" s="218"/>
      <c r="F273" s="218"/>
      <c r="G273" s="218"/>
      <c r="H273" s="218"/>
      <c r="I273" s="218"/>
    </row>
    <row r="274" spans="1:9" s="331" customFormat="1">
      <c r="A274" s="204"/>
      <c r="B274" s="204"/>
      <c r="C274" s="204"/>
      <c r="D274" s="218"/>
      <c r="E274" s="218"/>
      <c r="F274" s="218"/>
      <c r="G274" s="218"/>
      <c r="H274" s="218"/>
      <c r="I274" s="218"/>
    </row>
    <row r="275" spans="1:9" s="331" customFormat="1">
      <c r="A275" s="204"/>
      <c r="B275" s="204"/>
      <c r="C275" s="204"/>
      <c r="D275" s="218"/>
      <c r="E275" s="218"/>
      <c r="F275" s="218"/>
      <c r="G275" s="218"/>
      <c r="H275" s="218"/>
      <c r="I275" s="218"/>
    </row>
    <row r="276" spans="1:9" s="331" customFormat="1">
      <c r="A276" s="204"/>
      <c r="B276" s="204"/>
      <c r="C276" s="204"/>
      <c r="D276" s="218"/>
      <c r="E276" s="218"/>
      <c r="F276" s="218"/>
      <c r="G276" s="218"/>
      <c r="H276" s="218"/>
      <c r="I276" s="218"/>
    </row>
    <row r="277" spans="1:9" s="331" customFormat="1">
      <c r="A277" s="204"/>
      <c r="B277" s="204"/>
      <c r="C277" s="204"/>
      <c r="D277" s="218"/>
      <c r="E277" s="218"/>
      <c r="F277" s="218"/>
      <c r="G277" s="218"/>
      <c r="H277" s="218"/>
      <c r="I277" s="218"/>
    </row>
    <row r="278" spans="1:9" s="331" customFormat="1">
      <c r="A278" s="204"/>
      <c r="B278" s="204"/>
      <c r="C278" s="204"/>
      <c r="D278" s="218"/>
      <c r="E278" s="218"/>
      <c r="F278" s="218"/>
      <c r="G278" s="218"/>
      <c r="H278" s="218"/>
      <c r="I278" s="218"/>
    </row>
    <row r="279" spans="1:9" s="331" customFormat="1">
      <c r="A279" s="204"/>
      <c r="B279" s="204"/>
      <c r="C279" s="204"/>
      <c r="D279" s="218"/>
      <c r="E279" s="218"/>
      <c r="F279" s="218"/>
      <c r="G279" s="218"/>
      <c r="H279" s="218"/>
      <c r="I279" s="218"/>
    </row>
    <row r="280" spans="1:9" s="331" customFormat="1">
      <c r="A280" s="204"/>
      <c r="B280" s="204"/>
      <c r="C280" s="204"/>
      <c r="D280" s="218"/>
      <c r="E280" s="218"/>
      <c r="F280" s="218"/>
      <c r="G280" s="218"/>
      <c r="H280" s="218"/>
      <c r="I280" s="218"/>
    </row>
    <row r="281" spans="1:9" s="331" customFormat="1">
      <c r="A281" s="204"/>
      <c r="B281" s="204"/>
      <c r="C281" s="204"/>
      <c r="D281" s="218"/>
      <c r="E281" s="218"/>
      <c r="F281" s="218"/>
      <c r="G281" s="218"/>
      <c r="H281" s="218"/>
      <c r="I281" s="218"/>
    </row>
    <row r="282" spans="1:9" s="331" customFormat="1">
      <c r="A282" s="204"/>
      <c r="B282" s="204"/>
      <c r="C282" s="204"/>
      <c r="D282" s="218"/>
      <c r="E282" s="218"/>
      <c r="F282" s="218"/>
      <c r="G282" s="218"/>
      <c r="H282" s="218"/>
      <c r="I282" s="218"/>
    </row>
    <row r="283" spans="1:9" s="331" customFormat="1">
      <c r="A283" s="204"/>
      <c r="B283" s="204"/>
      <c r="C283" s="204"/>
      <c r="D283" s="218"/>
      <c r="E283" s="218"/>
      <c r="F283" s="218"/>
      <c r="G283" s="218"/>
      <c r="H283" s="218"/>
      <c r="I283" s="218"/>
    </row>
    <row r="284" spans="1:9" s="331" customFormat="1">
      <c r="A284" s="204"/>
      <c r="B284" s="204"/>
      <c r="C284" s="204"/>
      <c r="D284" s="218"/>
      <c r="E284" s="218"/>
      <c r="F284" s="218"/>
      <c r="G284" s="218"/>
      <c r="H284" s="218"/>
      <c r="I284" s="218"/>
    </row>
    <row r="285" spans="1:9" s="331" customFormat="1">
      <c r="A285" s="204"/>
      <c r="B285" s="204"/>
      <c r="C285" s="204"/>
      <c r="D285" s="218"/>
      <c r="E285" s="218"/>
      <c r="F285" s="218"/>
      <c r="G285" s="218"/>
      <c r="H285" s="218"/>
      <c r="I285" s="218"/>
    </row>
    <row r="286" spans="1:9" s="331" customFormat="1">
      <c r="A286" s="204"/>
      <c r="B286" s="204"/>
      <c r="C286" s="204"/>
      <c r="D286" s="218"/>
      <c r="E286" s="218"/>
      <c r="F286" s="218"/>
      <c r="G286" s="218"/>
      <c r="H286" s="218"/>
      <c r="I286" s="218"/>
    </row>
    <row r="287" spans="1:9" s="331" customFormat="1">
      <c r="A287" s="204"/>
      <c r="B287" s="204"/>
      <c r="C287" s="204"/>
      <c r="D287" s="218"/>
      <c r="E287" s="218"/>
      <c r="F287" s="218"/>
      <c r="G287" s="218"/>
      <c r="H287" s="218"/>
      <c r="I287" s="218"/>
    </row>
    <row r="288" spans="1:9" s="331" customFormat="1">
      <c r="A288" s="204"/>
      <c r="B288" s="204"/>
      <c r="C288" s="204"/>
      <c r="D288" s="218"/>
      <c r="E288" s="218"/>
      <c r="F288" s="218"/>
      <c r="G288" s="218"/>
      <c r="H288" s="218"/>
      <c r="I288" s="218"/>
    </row>
    <row r="289" spans="1:9" s="331" customFormat="1">
      <c r="A289" s="204"/>
      <c r="B289" s="204"/>
      <c r="C289" s="204"/>
      <c r="D289" s="218"/>
      <c r="E289" s="218"/>
      <c r="F289" s="218"/>
      <c r="G289" s="218"/>
      <c r="H289" s="218"/>
      <c r="I289" s="218"/>
    </row>
  </sheetData>
  <mergeCells count="47">
    <mergeCell ref="A4:A20"/>
    <mergeCell ref="B20:C20"/>
    <mergeCell ref="A21:A136"/>
    <mergeCell ref="B25:B27"/>
    <mergeCell ref="B28:B34"/>
    <mergeCell ref="B35:B41"/>
    <mergeCell ref="B42:B43"/>
    <mergeCell ref="B44:B50"/>
    <mergeCell ref="B51:B56"/>
    <mergeCell ref="B57:B68"/>
    <mergeCell ref="B69:B73"/>
    <mergeCell ref="B74:B80"/>
    <mergeCell ref="B81:B82"/>
    <mergeCell ref="B127:B129"/>
    <mergeCell ref="B130:B136"/>
    <mergeCell ref="B18:C18"/>
    <mergeCell ref="A137:A138"/>
    <mergeCell ref="B138:C138"/>
    <mergeCell ref="A139:A140"/>
    <mergeCell ref="B140:C140"/>
    <mergeCell ref="A141:A142"/>
    <mergeCell ref="B142:C142"/>
    <mergeCell ref="B19:C19"/>
    <mergeCell ref="B124:B126"/>
    <mergeCell ref="B22:B24"/>
    <mergeCell ref="B121:B123"/>
    <mergeCell ref="B91:B100"/>
    <mergeCell ref="B101:B105"/>
    <mergeCell ref="B106:B107"/>
    <mergeCell ref="B108:B114"/>
    <mergeCell ref="B115:B120"/>
    <mergeCell ref="B83:B85"/>
    <mergeCell ref="B86:B88"/>
    <mergeCell ref="B89:B90"/>
    <mergeCell ref="B16:C16"/>
    <mergeCell ref="B17:C17"/>
    <mergeCell ref="B5:C5"/>
    <mergeCell ref="B6:C6"/>
    <mergeCell ref="B7:C7"/>
    <mergeCell ref="B8:C8"/>
    <mergeCell ref="B9:C9"/>
    <mergeCell ref="B10:C10"/>
    <mergeCell ref="B11:C11"/>
    <mergeCell ref="B12:C12"/>
    <mergeCell ref="B13:C13"/>
    <mergeCell ref="B14:C14"/>
    <mergeCell ref="B15:C15"/>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C092-3E27-49F1-BBDD-4F7FDF339BB4}">
  <sheetPr>
    <pageSetUpPr fitToPage="1"/>
  </sheetPr>
  <dimension ref="A1:P23"/>
  <sheetViews>
    <sheetView topLeftCell="C1" zoomScale="85" zoomScaleNormal="85" workbookViewId="0">
      <selection activeCell="J10" sqref="J10"/>
    </sheetView>
  </sheetViews>
  <sheetFormatPr defaultColWidth="8.75" defaultRowHeight="13.5"/>
  <cols>
    <col min="1" max="1" width="8.75" style="479"/>
    <col min="2" max="3" width="14.125" style="479" customWidth="1"/>
    <col min="4" max="4" width="18.625" style="479" customWidth="1"/>
    <col min="5" max="5" width="14.25" style="487" customWidth="1"/>
    <col min="6" max="6" width="18.625" style="479" customWidth="1"/>
    <col min="7" max="7" width="14.25" style="487" customWidth="1"/>
    <col min="8" max="8" width="18.625" style="479" customWidth="1"/>
    <col min="9" max="9" width="8.75" style="479"/>
    <col min="10" max="16" width="18.625" style="479" customWidth="1"/>
    <col min="17" max="20" width="14.375" style="479" customWidth="1"/>
    <col min="21" max="16384" width="8.75" style="479"/>
  </cols>
  <sheetData>
    <row r="1" spans="1:16" ht="24" customHeight="1">
      <c r="A1" s="675" t="s">
        <v>154</v>
      </c>
      <c r="B1" s="685"/>
      <c r="C1" s="676"/>
      <c r="D1" s="681" t="s">
        <v>234</v>
      </c>
      <c r="E1" s="682"/>
      <c r="F1" s="681" t="s">
        <v>1048</v>
      </c>
      <c r="G1" s="682"/>
      <c r="H1" s="683" t="s">
        <v>1061</v>
      </c>
      <c r="J1" s="480" t="s">
        <v>154</v>
      </c>
      <c r="K1" s="480" t="s">
        <v>234</v>
      </c>
      <c r="L1" s="480" t="s">
        <v>1048</v>
      </c>
    </row>
    <row r="2" spans="1:16" ht="24" customHeight="1">
      <c r="A2" s="679"/>
      <c r="B2" s="686"/>
      <c r="C2" s="680"/>
      <c r="D2" s="480" t="s">
        <v>2429</v>
      </c>
      <c r="E2" s="481" t="s">
        <v>153</v>
      </c>
      <c r="F2" s="480" t="s">
        <v>2429</v>
      </c>
      <c r="G2" s="481" t="s">
        <v>153</v>
      </c>
      <c r="H2" s="684"/>
      <c r="J2" s="480" t="s">
        <v>3292</v>
      </c>
      <c r="K2" s="480">
        <f>D3+D4+D9</f>
        <v>73500000</v>
      </c>
      <c r="L2" s="480">
        <f>F3+F4+F5+F6+F7+F8+F9+F13</f>
        <v>190000000</v>
      </c>
    </row>
    <row r="3" spans="1:16" ht="24" customHeight="1">
      <c r="A3" s="674" t="s">
        <v>3266</v>
      </c>
      <c r="B3" s="675" t="s">
        <v>3267</v>
      </c>
      <c r="C3" s="676"/>
      <c r="D3" s="480">
        <v>4500000</v>
      </c>
      <c r="E3" s="481" t="s">
        <v>3264</v>
      </c>
      <c r="F3" s="488">
        <v>20000000</v>
      </c>
      <c r="G3" s="489" t="s">
        <v>506</v>
      </c>
      <c r="H3" s="484">
        <f t="shared" ref="H3:H8" si="0">SUM(D3:F3)</f>
        <v>24500000</v>
      </c>
      <c r="J3" s="480" t="s">
        <v>3293</v>
      </c>
      <c r="K3" s="480">
        <v>173000000</v>
      </c>
      <c r="L3" s="480">
        <v>0</v>
      </c>
      <c r="M3" s="491" t="s">
        <v>3295</v>
      </c>
    </row>
    <row r="4" spans="1:16" ht="24" customHeight="1">
      <c r="A4" s="674"/>
      <c r="B4" s="677"/>
      <c r="C4" s="678"/>
      <c r="D4" s="480">
        <v>1000000</v>
      </c>
      <c r="E4" s="481" t="s">
        <v>3265</v>
      </c>
      <c r="F4" s="488">
        <v>18000000</v>
      </c>
      <c r="G4" s="489" t="s">
        <v>3287</v>
      </c>
      <c r="H4" s="484">
        <f t="shared" si="0"/>
        <v>19000000</v>
      </c>
      <c r="J4" s="480" t="s">
        <v>3278</v>
      </c>
      <c r="K4" s="480">
        <v>80000000</v>
      </c>
      <c r="L4" s="480">
        <v>50000000</v>
      </c>
      <c r="M4" s="491" t="s">
        <v>3295</v>
      </c>
    </row>
    <row r="5" spans="1:16" ht="24" customHeight="1">
      <c r="A5" s="674"/>
      <c r="B5" s="677"/>
      <c r="C5" s="678"/>
      <c r="D5" s="482">
        <v>172632730</v>
      </c>
      <c r="E5" s="483" t="s">
        <v>3293</v>
      </c>
      <c r="F5" s="488">
        <v>7000000</v>
      </c>
      <c r="G5" s="489" t="s">
        <v>3286</v>
      </c>
      <c r="H5" s="484">
        <f t="shared" si="0"/>
        <v>179632730</v>
      </c>
      <c r="J5" s="480" t="s">
        <v>3294</v>
      </c>
      <c r="K5" s="480">
        <v>0</v>
      </c>
      <c r="L5" s="480">
        <v>0</v>
      </c>
      <c r="M5" s="491" t="s">
        <v>3295</v>
      </c>
    </row>
    <row r="6" spans="1:16" ht="24" customHeight="1">
      <c r="A6" s="674"/>
      <c r="B6" s="677"/>
      <c r="C6" s="678"/>
      <c r="D6" s="480">
        <v>0</v>
      </c>
      <c r="E6" s="481" t="s">
        <v>2</v>
      </c>
      <c r="F6" s="488">
        <v>100000000</v>
      </c>
      <c r="G6" s="489" t="s">
        <v>3289</v>
      </c>
      <c r="H6" s="484">
        <f t="shared" si="0"/>
        <v>100000000</v>
      </c>
      <c r="J6" s="490" t="s">
        <v>1061</v>
      </c>
      <c r="K6" s="490">
        <f>SUM(K2:K5)</f>
        <v>326500000</v>
      </c>
      <c r="L6" s="490">
        <f>SUM(L2:L5)</f>
        <v>240000000</v>
      </c>
    </row>
    <row r="7" spans="1:16" ht="24" customHeight="1">
      <c r="A7" s="674"/>
      <c r="B7" s="677"/>
      <c r="C7" s="678"/>
      <c r="D7" s="480">
        <v>0</v>
      </c>
      <c r="E7" s="481" t="s">
        <v>2</v>
      </c>
      <c r="F7" s="488">
        <v>10000000</v>
      </c>
      <c r="G7" s="489" t="s">
        <v>3284</v>
      </c>
      <c r="H7" s="484">
        <f t="shared" si="0"/>
        <v>10000000</v>
      </c>
      <c r="J7" s="490" t="s">
        <v>3641</v>
      </c>
      <c r="K7" s="670">
        <f>K6+L6</f>
        <v>566500000</v>
      </c>
      <c r="L7" s="670"/>
    </row>
    <row r="8" spans="1:16" ht="24" customHeight="1">
      <c r="A8" s="674"/>
      <c r="B8" s="679"/>
      <c r="C8" s="680"/>
      <c r="D8" s="480">
        <v>0</v>
      </c>
      <c r="E8" s="481" t="s">
        <v>2</v>
      </c>
      <c r="F8" s="488">
        <v>10000000</v>
      </c>
      <c r="G8" s="489" t="s">
        <v>3285</v>
      </c>
      <c r="H8" s="484">
        <f t="shared" si="0"/>
        <v>10000000</v>
      </c>
      <c r="J8" s="490" t="s">
        <v>3642</v>
      </c>
      <c r="K8" s="670">
        <v>640000000</v>
      </c>
      <c r="L8" s="670"/>
    </row>
    <row r="9" spans="1:16" ht="24" customHeight="1">
      <c r="A9" s="674"/>
      <c r="B9" s="674" t="s">
        <v>3268</v>
      </c>
      <c r="C9" s="674"/>
      <c r="D9" s="480">
        <v>68000000</v>
      </c>
      <c r="E9" s="481" t="s">
        <v>3248</v>
      </c>
      <c r="F9" s="488">
        <v>16000000</v>
      </c>
      <c r="G9" s="489" t="s">
        <v>3288</v>
      </c>
      <c r="H9" s="484">
        <f t="shared" ref="H9:H23" si="1">SUM(D9:F9)</f>
        <v>84000000</v>
      </c>
    </row>
    <row r="10" spans="1:16" ht="24" customHeight="1">
      <c r="A10" s="674"/>
      <c r="B10" s="674" t="s">
        <v>3269</v>
      </c>
      <c r="C10" s="480" t="s">
        <v>3270</v>
      </c>
      <c r="D10" s="480">
        <v>0</v>
      </c>
      <c r="E10" s="481" t="s">
        <v>2</v>
      </c>
      <c r="F10" s="488">
        <v>0</v>
      </c>
      <c r="G10" s="489" t="s">
        <v>2</v>
      </c>
      <c r="H10" s="484">
        <f t="shared" si="1"/>
        <v>0</v>
      </c>
    </row>
    <row r="11" spans="1:16" ht="24" customHeight="1">
      <c r="A11" s="674"/>
      <c r="B11" s="674"/>
      <c r="C11" s="480" t="s">
        <v>3271</v>
      </c>
      <c r="D11" s="480">
        <v>0</v>
      </c>
      <c r="E11" s="481" t="s">
        <v>2</v>
      </c>
      <c r="F11" s="488">
        <v>0</v>
      </c>
      <c r="G11" s="489" t="s">
        <v>2</v>
      </c>
      <c r="H11" s="484">
        <f t="shared" si="1"/>
        <v>0</v>
      </c>
    </row>
    <row r="12" spans="1:16" ht="24" customHeight="1">
      <c r="A12" s="674"/>
      <c r="B12" s="674"/>
      <c r="C12" s="480" t="s">
        <v>3272</v>
      </c>
      <c r="D12" s="480">
        <v>0</v>
      </c>
      <c r="E12" s="481" t="s">
        <v>2</v>
      </c>
      <c r="F12" s="488">
        <v>0</v>
      </c>
      <c r="G12" s="489" t="s">
        <v>2</v>
      </c>
      <c r="H12" s="484">
        <f t="shared" si="1"/>
        <v>0</v>
      </c>
      <c r="J12" s="518" t="s">
        <v>3633</v>
      </c>
      <c r="K12" s="518" t="s">
        <v>3634</v>
      </c>
      <c r="L12" s="518" t="s">
        <v>3637</v>
      </c>
      <c r="M12" s="518" t="s">
        <v>3635</v>
      </c>
      <c r="N12" s="518" t="s">
        <v>3636</v>
      </c>
      <c r="O12" s="520" t="s">
        <v>3638</v>
      </c>
      <c r="P12" s="520" t="s">
        <v>3639</v>
      </c>
    </row>
    <row r="13" spans="1:16" ht="24" customHeight="1">
      <c r="A13" s="674"/>
      <c r="B13" s="674" t="s">
        <v>3273</v>
      </c>
      <c r="C13" s="674"/>
      <c r="D13" s="480">
        <v>0</v>
      </c>
      <c r="E13" s="481" t="s">
        <v>2</v>
      </c>
      <c r="F13" s="488">
        <v>9000000</v>
      </c>
      <c r="G13" s="489" t="s">
        <v>2647</v>
      </c>
      <c r="H13" s="484">
        <f t="shared" si="1"/>
        <v>9000000</v>
      </c>
      <c r="J13" s="518">
        <v>2700000000</v>
      </c>
      <c r="K13" s="518">
        <f>J13*0.0055</f>
        <v>14850000</v>
      </c>
      <c r="L13" s="518">
        <v>149460000</v>
      </c>
      <c r="M13" s="518">
        <f>L13+K13</f>
        <v>164310000</v>
      </c>
      <c r="N13" s="518">
        <f>J13-M13</f>
        <v>2535690000</v>
      </c>
      <c r="O13" s="518">
        <v>3305600000</v>
      </c>
      <c r="P13" s="520">
        <f>O13-N13</f>
        <v>769910000</v>
      </c>
    </row>
    <row r="14" spans="1:16" ht="24" customHeight="1">
      <c r="A14" s="674"/>
      <c r="B14" s="674" t="s">
        <v>3274</v>
      </c>
      <c r="C14" s="674"/>
      <c r="D14" s="482">
        <v>2740000000</v>
      </c>
      <c r="E14" s="483" t="s">
        <v>3640</v>
      </c>
      <c r="F14" s="488">
        <v>0</v>
      </c>
      <c r="G14" s="489" t="s">
        <v>2</v>
      </c>
      <c r="H14" s="484">
        <f t="shared" si="1"/>
        <v>2740000000</v>
      </c>
      <c r="J14" s="518">
        <v>2750000000</v>
      </c>
      <c r="K14" s="518">
        <f t="shared" ref="K14:K21" si="2">J14*0.0055</f>
        <v>15125000</v>
      </c>
      <c r="L14" s="518">
        <v>156500000</v>
      </c>
      <c r="M14" s="518">
        <f t="shared" ref="M14:M21" si="3">L14+K14</f>
        <v>171625000</v>
      </c>
      <c r="N14" s="518">
        <f t="shared" ref="N14:N21" si="4">J14-M14</f>
        <v>2578375000</v>
      </c>
      <c r="O14" s="518">
        <v>3305600000</v>
      </c>
      <c r="P14" s="520">
        <f t="shared" ref="P14:P21" si="5">O14-N14</f>
        <v>727225000</v>
      </c>
    </row>
    <row r="15" spans="1:16" ht="24" customHeight="1">
      <c r="A15" s="674" t="s">
        <v>3275</v>
      </c>
      <c r="B15" s="674" t="s">
        <v>3276</v>
      </c>
      <c r="C15" s="480" t="s">
        <v>3277</v>
      </c>
      <c r="D15" s="482">
        <v>150000000</v>
      </c>
      <c r="E15" s="483" t="s">
        <v>506</v>
      </c>
      <c r="F15" s="480">
        <v>0</v>
      </c>
      <c r="G15" s="481" t="s">
        <v>2</v>
      </c>
      <c r="H15" s="484">
        <f t="shared" si="1"/>
        <v>150000000</v>
      </c>
      <c r="J15" s="518">
        <v>2800000000</v>
      </c>
      <c r="K15" s="518">
        <f t="shared" si="2"/>
        <v>15400000</v>
      </c>
      <c r="L15" s="518">
        <v>163580000</v>
      </c>
      <c r="M15" s="518">
        <f t="shared" si="3"/>
        <v>178980000</v>
      </c>
      <c r="N15" s="518">
        <f t="shared" si="4"/>
        <v>2621020000</v>
      </c>
      <c r="O15" s="518">
        <v>3305600000</v>
      </c>
      <c r="P15" s="520">
        <f t="shared" si="5"/>
        <v>684580000</v>
      </c>
    </row>
    <row r="16" spans="1:16" ht="24" customHeight="1">
      <c r="A16" s="674"/>
      <c r="B16" s="674"/>
      <c r="C16" s="480" t="s">
        <v>3278</v>
      </c>
      <c r="D16" s="482">
        <v>80000000</v>
      </c>
      <c r="E16" s="483" t="s">
        <v>3290</v>
      </c>
      <c r="F16" s="482">
        <v>50000000</v>
      </c>
      <c r="G16" s="483" t="s">
        <v>3290</v>
      </c>
      <c r="H16" s="484">
        <f t="shared" si="1"/>
        <v>130000000</v>
      </c>
      <c r="J16" s="518">
        <v>2850000000</v>
      </c>
      <c r="K16" s="518">
        <f t="shared" si="2"/>
        <v>15675000</v>
      </c>
      <c r="L16" s="518">
        <v>170680000</v>
      </c>
      <c r="M16" s="518">
        <f t="shared" si="3"/>
        <v>186355000</v>
      </c>
      <c r="N16" s="518">
        <f t="shared" si="4"/>
        <v>2663645000</v>
      </c>
      <c r="O16" s="518">
        <v>3305600000</v>
      </c>
      <c r="P16" s="520">
        <f t="shared" si="5"/>
        <v>641955000</v>
      </c>
    </row>
    <row r="17" spans="1:16" ht="24" customHeight="1">
      <c r="A17" s="674"/>
      <c r="B17" s="674"/>
      <c r="C17" s="480" t="s">
        <v>3279</v>
      </c>
      <c r="D17" s="480">
        <v>0</v>
      </c>
      <c r="E17" s="481" t="s">
        <v>2</v>
      </c>
      <c r="F17" s="480">
        <v>0</v>
      </c>
      <c r="G17" s="481" t="s">
        <v>2</v>
      </c>
      <c r="H17" s="484">
        <f t="shared" si="1"/>
        <v>0</v>
      </c>
      <c r="J17" s="519">
        <v>2900000000</v>
      </c>
      <c r="K17" s="519">
        <f t="shared" si="2"/>
        <v>15950000</v>
      </c>
      <c r="L17" s="519">
        <v>177810000</v>
      </c>
      <c r="M17" s="519">
        <f t="shared" si="3"/>
        <v>193760000</v>
      </c>
      <c r="N17" s="519">
        <f t="shared" si="4"/>
        <v>2706240000</v>
      </c>
      <c r="O17" s="519">
        <v>3305600000</v>
      </c>
      <c r="P17" s="521">
        <f t="shared" si="5"/>
        <v>599360000</v>
      </c>
    </row>
    <row r="18" spans="1:16" ht="24" customHeight="1">
      <c r="A18" s="674"/>
      <c r="B18" s="674" t="s">
        <v>3280</v>
      </c>
      <c r="C18" s="674"/>
      <c r="D18" s="480">
        <v>0</v>
      </c>
      <c r="E18" s="481" t="s">
        <v>2</v>
      </c>
      <c r="F18" s="480">
        <v>0</v>
      </c>
      <c r="G18" s="481" t="s">
        <v>2</v>
      </c>
      <c r="H18" s="484">
        <f t="shared" si="1"/>
        <v>0</v>
      </c>
      <c r="J18" s="519">
        <v>2950000000</v>
      </c>
      <c r="K18" s="519">
        <f t="shared" si="2"/>
        <v>16224999.999999998</v>
      </c>
      <c r="L18" s="519">
        <v>184960000</v>
      </c>
      <c r="M18" s="519">
        <f t="shared" si="3"/>
        <v>201185000</v>
      </c>
      <c r="N18" s="519">
        <f t="shared" si="4"/>
        <v>2748815000</v>
      </c>
      <c r="O18" s="519">
        <v>3305600000</v>
      </c>
      <c r="P18" s="521">
        <f t="shared" si="5"/>
        <v>556785000</v>
      </c>
    </row>
    <row r="19" spans="1:16" ht="24" customHeight="1">
      <c r="A19" s="674"/>
      <c r="B19" s="674" t="s">
        <v>3281</v>
      </c>
      <c r="C19" s="674"/>
      <c r="D19" s="482">
        <v>50000000</v>
      </c>
      <c r="E19" s="483" t="s">
        <v>3291</v>
      </c>
      <c r="F19" s="482">
        <v>50000000</v>
      </c>
      <c r="G19" s="483" t="s">
        <v>3291</v>
      </c>
      <c r="H19" s="484">
        <f t="shared" si="1"/>
        <v>100000000</v>
      </c>
      <c r="J19" s="519">
        <v>3000000000</v>
      </c>
      <c r="K19" s="519">
        <f t="shared" si="2"/>
        <v>16499999.999999998</v>
      </c>
      <c r="L19" s="519">
        <v>182180000</v>
      </c>
      <c r="M19" s="519">
        <f t="shared" si="3"/>
        <v>198680000</v>
      </c>
      <c r="N19" s="519">
        <f t="shared" si="4"/>
        <v>2801320000</v>
      </c>
      <c r="O19" s="519">
        <v>3305600000</v>
      </c>
      <c r="P19" s="521">
        <f t="shared" si="5"/>
        <v>504280000</v>
      </c>
    </row>
    <row r="20" spans="1:16" ht="24" customHeight="1">
      <c r="A20" s="674"/>
      <c r="B20" s="674" t="s">
        <v>3282</v>
      </c>
      <c r="C20" s="480" t="s">
        <v>3270</v>
      </c>
      <c r="D20" s="480">
        <v>0</v>
      </c>
      <c r="E20" s="481" t="s">
        <v>2</v>
      </c>
      <c r="F20" s="480">
        <v>0</v>
      </c>
      <c r="G20" s="481" t="s">
        <v>2</v>
      </c>
      <c r="H20" s="484">
        <f t="shared" si="1"/>
        <v>0</v>
      </c>
      <c r="J20" s="518">
        <v>3050000000</v>
      </c>
      <c r="K20" s="518">
        <f t="shared" si="2"/>
        <v>16774999.999999998</v>
      </c>
      <c r="L20" s="518">
        <v>199740000</v>
      </c>
      <c r="M20" s="518">
        <f t="shared" si="3"/>
        <v>216515000</v>
      </c>
      <c r="N20" s="518">
        <f t="shared" si="4"/>
        <v>2833485000</v>
      </c>
      <c r="O20" s="518">
        <v>3305600000</v>
      </c>
      <c r="P20" s="520">
        <f t="shared" si="5"/>
        <v>472115000</v>
      </c>
    </row>
    <row r="21" spans="1:16" ht="24" customHeight="1">
      <c r="A21" s="674"/>
      <c r="B21" s="674"/>
      <c r="C21" s="480" t="s">
        <v>3271</v>
      </c>
      <c r="D21" s="480">
        <v>0</v>
      </c>
      <c r="E21" s="481" t="s">
        <v>2</v>
      </c>
      <c r="F21" s="480">
        <v>0</v>
      </c>
      <c r="G21" s="481" t="s">
        <v>2</v>
      </c>
      <c r="H21" s="484">
        <f t="shared" ref="H21" si="6">SUM(D21:F21)</f>
        <v>0</v>
      </c>
      <c r="J21" s="518">
        <v>3100000000</v>
      </c>
      <c r="K21" s="518">
        <f t="shared" si="2"/>
        <v>17050000</v>
      </c>
      <c r="L21" s="518">
        <v>207320000</v>
      </c>
      <c r="M21" s="518">
        <f t="shared" si="3"/>
        <v>224370000</v>
      </c>
      <c r="N21" s="518">
        <f t="shared" si="4"/>
        <v>2875630000</v>
      </c>
      <c r="O21" s="518">
        <v>3305600000</v>
      </c>
      <c r="P21" s="520">
        <f t="shared" si="5"/>
        <v>429970000</v>
      </c>
    </row>
    <row r="22" spans="1:16" ht="24" customHeight="1">
      <c r="A22" s="674"/>
      <c r="B22" s="674"/>
      <c r="C22" s="480" t="s">
        <v>3272</v>
      </c>
      <c r="D22" s="480">
        <v>0</v>
      </c>
      <c r="E22" s="481" t="s">
        <v>2</v>
      </c>
      <c r="F22" s="480">
        <v>0</v>
      </c>
      <c r="G22" s="481" t="s">
        <v>2</v>
      </c>
      <c r="H22" s="484">
        <f t="shared" si="1"/>
        <v>0</v>
      </c>
    </row>
    <row r="23" spans="1:16" ht="24" customHeight="1">
      <c r="A23" s="671" t="s">
        <v>1061</v>
      </c>
      <c r="B23" s="672"/>
      <c r="C23" s="673"/>
      <c r="D23" s="484">
        <f>SUM(D3:D22)</f>
        <v>3266132730</v>
      </c>
      <c r="E23" s="485" t="s">
        <v>2</v>
      </c>
      <c r="F23" s="484">
        <f>SUM(F3:F22)</f>
        <v>290000000</v>
      </c>
      <c r="G23" s="485"/>
      <c r="H23" s="486">
        <f t="shared" si="1"/>
        <v>3556132730</v>
      </c>
    </row>
  </sheetData>
  <mergeCells count="18">
    <mergeCell ref="D1:E1"/>
    <mergeCell ref="F1:G1"/>
    <mergeCell ref="H1:H2"/>
    <mergeCell ref="B9:C9"/>
    <mergeCell ref="A1:C2"/>
    <mergeCell ref="K7:L7"/>
    <mergeCell ref="A23:C23"/>
    <mergeCell ref="A3:A14"/>
    <mergeCell ref="A15:A22"/>
    <mergeCell ref="B10:B12"/>
    <mergeCell ref="B15:B17"/>
    <mergeCell ref="B20:B22"/>
    <mergeCell ref="B18:C18"/>
    <mergeCell ref="B19:C19"/>
    <mergeCell ref="B13:C13"/>
    <mergeCell ref="B14:C14"/>
    <mergeCell ref="B3:C8"/>
    <mergeCell ref="K8:L8"/>
  </mergeCells>
  <phoneticPr fontId="5" type="noConversion"/>
  <pageMargins left="0.7" right="0.7" top="0.75" bottom="0.75" header="0.3" footer="0.3"/>
  <pageSetup paperSize="9" scale="83" fitToHeight="0" orientation="landscape"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2CDD-E22C-4B93-93E9-49490E4179CB}">
  <dimension ref="A1:P55"/>
  <sheetViews>
    <sheetView zoomScaleNormal="100" workbookViewId="0">
      <pane ySplit="2" topLeftCell="A3" activePane="bottomLeft" state="frozen"/>
      <selection activeCell="E8" sqref="E8"/>
      <selection pane="bottomLeft" activeCell="D30" sqref="D30"/>
    </sheetView>
  </sheetViews>
  <sheetFormatPr defaultColWidth="9" defaultRowHeight="17.25" customHeight="1"/>
  <cols>
    <col min="1" max="2" width="9" style="220"/>
    <col min="3" max="4" width="16.375" style="220" customWidth="1"/>
    <col min="5" max="5" width="9" style="220"/>
    <col min="6" max="8" width="10.75" style="475" customWidth="1"/>
    <col min="9" max="12" width="12.25" style="475" customWidth="1"/>
    <col min="13" max="13" width="13.125" style="475" bestFit="1" customWidth="1"/>
    <col min="14" max="14" width="13.125" style="475" customWidth="1"/>
    <col min="15" max="16" width="12.125" style="220" customWidth="1"/>
    <col min="17" max="16384" width="9" style="220"/>
  </cols>
  <sheetData>
    <row r="1" spans="1:16" ht="17.25" customHeight="1">
      <c r="A1" s="687" t="s">
        <v>3181</v>
      </c>
      <c r="B1" s="687" t="s">
        <v>3113</v>
      </c>
      <c r="C1" s="687" t="s">
        <v>3103</v>
      </c>
      <c r="D1" s="687"/>
      <c r="E1" s="687" t="s">
        <v>3104</v>
      </c>
      <c r="F1" s="688" t="s">
        <v>3105</v>
      </c>
      <c r="G1" s="688"/>
      <c r="H1" s="688" t="s">
        <v>3193</v>
      </c>
      <c r="I1" s="688" t="s">
        <v>3194</v>
      </c>
      <c r="J1" s="688"/>
      <c r="K1" s="688"/>
      <c r="L1" s="688"/>
      <c r="M1" s="688" t="s">
        <v>3188</v>
      </c>
      <c r="N1" s="688"/>
      <c r="O1" s="687" t="s">
        <v>3106</v>
      </c>
      <c r="P1" s="687" t="s">
        <v>3107</v>
      </c>
    </row>
    <row r="2" spans="1:16" ht="17.25" customHeight="1">
      <c r="A2" s="687"/>
      <c r="B2" s="687"/>
      <c r="C2" s="220" t="s">
        <v>3190</v>
      </c>
      <c r="D2" s="220" t="s">
        <v>3191</v>
      </c>
      <c r="E2" s="687"/>
      <c r="F2" s="220" t="s">
        <v>3190</v>
      </c>
      <c r="G2" s="220" t="s">
        <v>3191</v>
      </c>
      <c r="H2" s="688"/>
      <c r="I2" s="475" t="s">
        <v>3108</v>
      </c>
      <c r="J2" s="475" t="s">
        <v>3120</v>
      </c>
      <c r="K2" s="475" t="s">
        <v>3182</v>
      </c>
      <c r="L2" s="475" t="s">
        <v>3183</v>
      </c>
      <c r="M2" s="475" t="s">
        <v>3189</v>
      </c>
      <c r="N2" s="475" t="s">
        <v>3120</v>
      </c>
      <c r="O2" s="687"/>
      <c r="P2" s="687"/>
    </row>
    <row r="3" spans="1:16" ht="17.25" customHeight="1">
      <c r="A3" s="476">
        <f>ROW()-ROW($A$2)</f>
        <v>1</v>
      </c>
      <c r="B3" s="476" t="s">
        <v>3112</v>
      </c>
      <c r="C3" s="476" t="s">
        <v>3128</v>
      </c>
      <c r="D3" s="476" t="s">
        <v>3110</v>
      </c>
      <c r="E3" s="476" t="s">
        <v>3114</v>
      </c>
      <c r="F3" s="477">
        <v>2100</v>
      </c>
      <c r="G3" s="477">
        <v>5007</v>
      </c>
      <c r="H3" s="477">
        <v>213</v>
      </c>
      <c r="I3" s="477">
        <v>1832</v>
      </c>
      <c r="J3" s="477">
        <v>1358</v>
      </c>
      <c r="K3" s="477">
        <f>IFERROR(ROUNDDOWN(IF(J3="","",J3*0.3),0),"")</f>
        <v>407</v>
      </c>
      <c r="L3" s="477">
        <f>IFERROR(ROUNDDOWN(IF(K3="","",K3*0.25),0),"")</f>
        <v>101</v>
      </c>
      <c r="M3" s="477"/>
      <c r="N3" s="477" t="str">
        <f>IF(M3="","",M3*34)</f>
        <v/>
      </c>
      <c r="O3" s="476"/>
      <c r="P3" s="476"/>
    </row>
    <row r="4" spans="1:16" ht="17.25" customHeight="1">
      <c r="A4" s="476">
        <f>ROW()-ROW($A$2)</f>
        <v>2</v>
      </c>
      <c r="B4" s="476" t="s">
        <v>3112</v>
      </c>
      <c r="C4" s="476" t="s">
        <v>3109</v>
      </c>
      <c r="D4" s="476" t="s">
        <v>3111</v>
      </c>
      <c r="E4" s="476" t="s">
        <v>3114</v>
      </c>
      <c r="F4" s="477">
        <v>1490</v>
      </c>
      <c r="G4" s="477">
        <v>2091</v>
      </c>
      <c r="H4" s="477">
        <v>0</v>
      </c>
      <c r="I4" s="477">
        <v>506</v>
      </c>
      <c r="J4" s="477">
        <v>50</v>
      </c>
      <c r="K4" s="477">
        <f t="shared" ref="K4:K55" si="0">IFERROR(ROUNDDOWN(IF(J4="","",J4*0.3),0),"")</f>
        <v>15</v>
      </c>
      <c r="L4" s="477">
        <f t="shared" ref="L4:L55" si="1">IFERROR(ROUNDDOWN(IF(K4="","",K4*0.25),0),"")</f>
        <v>3</v>
      </c>
      <c r="M4" s="477">
        <v>8484</v>
      </c>
      <c r="N4" s="477">
        <f t="shared" ref="N4:N55" si="2">IF(M4="","",M4*34)</f>
        <v>288456</v>
      </c>
      <c r="O4" s="476"/>
      <c r="P4" s="476"/>
    </row>
    <row r="5" spans="1:16" ht="17.25" customHeight="1">
      <c r="A5" s="220">
        <f t="shared" ref="A5:A55" si="3">ROW()-ROW($A$2)</f>
        <v>3</v>
      </c>
      <c r="B5" s="220" t="s">
        <v>3112</v>
      </c>
      <c r="C5" s="220" t="s">
        <v>3122</v>
      </c>
      <c r="D5" s="220" t="s">
        <v>3187</v>
      </c>
      <c r="E5" s="220" t="s">
        <v>3114</v>
      </c>
      <c r="F5" s="475">
        <v>1260</v>
      </c>
      <c r="G5" s="475">
        <v>1739</v>
      </c>
      <c r="H5" s="475">
        <v>208</v>
      </c>
      <c r="I5" s="475">
        <v>309</v>
      </c>
      <c r="J5" s="475">
        <v>309</v>
      </c>
      <c r="K5" s="475">
        <f t="shared" si="0"/>
        <v>92</v>
      </c>
      <c r="L5" s="475">
        <f t="shared" si="1"/>
        <v>23</v>
      </c>
      <c r="N5" s="475" t="str">
        <f t="shared" si="2"/>
        <v/>
      </c>
    </row>
    <row r="6" spans="1:16" ht="17.25" customHeight="1">
      <c r="A6" s="220">
        <f t="shared" si="3"/>
        <v>4</v>
      </c>
      <c r="B6" s="220" t="s">
        <v>3112</v>
      </c>
      <c r="C6" s="220" t="s">
        <v>3123</v>
      </c>
      <c r="D6" s="220" t="s">
        <v>3187</v>
      </c>
      <c r="E6" s="220" t="s">
        <v>3114</v>
      </c>
      <c r="F6" s="475">
        <v>435</v>
      </c>
      <c r="G6" s="475">
        <v>558</v>
      </c>
      <c r="K6" s="475" t="str">
        <f t="shared" si="0"/>
        <v/>
      </c>
      <c r="L6" s="475" t="str">
        <f t="shared" si="1"/>
        <v/>
      </c>
      <c r="N6" s="475" t="str">
        <f t="shared" si="2"/>
        <v/>
      </c>
    </row>
    <row r="7" spans="1:16" ht="17.25" customHeight="1">
      <c r="A7" s="220">
        <f t="shared" si="3"/>
        <v>5</v>
      </c>
      <c r="B7" s="220" t="s">
        <v>3129</v>
      </c>
      <c r="C7" s="220" t="s">
        <v>3124</v>
      </c>
      <c r="D7" s="220" t="s">
        <v>3184</v>
      </c>
      <c r="E7" s="220" t="s">
        <v>3114</v>
      </c>
      <c r="F7" s="475">
        <v>1572</v>
      </c>
      <c r="G7" s="475">
        <v>2056</v>
      </c>
      <c r="H7" s="475">
        <v>258</v>
      </c>
      <c r="I7" s="475">
        <v>215</v>
      </c>
      <c r="J7" s="475">
        <v>40</v>
      </c>
      <c r="K7" s="475">
        <f t="shared" si="0"/>
        <v>12</v>
      </c>
      <c r="L7" s="475">
        <f t="shared" si="1"/>
        <v>3</v>
      </c>
      <c r="N7" s="475" t="str">
        <f t="shared" si="2"/>
        <v/>
      </c>
    </row>
    <row r="8" spans="1:16" ht="17.25" customHeight="1">
      <c r="A8" s="220">
        <f t="shared" si="3"/>
        <v>6</v>
      </c>
      <c r="B8" s="220" t="s">
        <v>3129</v>
      </c>
      <c r="C8" s="220" t="s">
        <v>3125</v>
      </c>
      <c r="D8" s="220" t="s">
        <v>3185</v>
      </c>
      <c r="E8" s="220" t="s">
        <v>3114</v>
      </c>
      <c r="F8" s="475">
        <v>1212</v>
      </c>
      <c r="G8" s="475">
        <v>1828</v>
      </c>
      <c r="H8" s="475">
        <v>285</v>
      </c>
      <c r="K8" s="475" t="str">
        <f t="shared" si="0"/>
        <v/>
      </c>
      <c r="L8" s="475" t="str">
        <f t="shared" si="1"/>
        <v/>
      </c>
      <c r="N8" s="475" t="str">
        <f t="shared" si="2"/>
        <v/>
      </c>
    </row>
    <row r="9" spans="1:16" ht="17.25" customHeight="1">
      <c r="A9" s="220">
        <f t="shared" si="3"/>
        <v>7</v>
      </c>
      <c r="B9" s="220" t="s">
        <v>3129</v>
      </c>
      <c r="C9" s="220" t="s">
        <v>3121</v>
      </c>
      <c r="D9" s="220" t="s">
        <v>3192</v>
      </c>
      <c r="E9" s="220" t="s">
        <v>3114</v>
      </c>
      <c r="F9" s="475">
        <v>324</v>
      </c>
      <c r="G9" s="475">
        <v>432</v>
      </c>
      <c r="H9" s="475">
        <v>45</v>
      </c>
      <c r="K9" s="475" t="str">
        <f t="shared" si="0"/>
        <v/>
      </c>
      <c r="L9" s="475" t="str">
        <f t="shared" si="1"/>
        <v/>
      </c>
      <c r="N9" s="475" t="str">
        <f t="shared" si="2"/>
        <v/>
      </c>
    </row>
    <row r="10" spans="1:16" ht="17.25" customHeight="1">
      <c r="A10" s="220">
        <f t="shared" si="3"/>
        <v>8</v>
      </c>
      <c r="B10" s="220" t="s">
        <v>3129</v>
      </c>
      <c r="C10" s="220" t="s">
        <v>3126</v>
      </c>
      <c r="D10" s="220" t="s">
        <v>3195</v>
      </c>
      <c r="E10" s="220" t="s">
        <v>3114</v>
      </c>
      <c r="F10" s="475">
        <v>396</v>
      </c>
      <c r="G10" s="475">
        <v>468</v>
      </c>
      <c r="K10" s="475" t="str">
        <f t="shared" si="0"/>
        <v/>
      </c>
      <c r="L10" s="475" t="str">
        <f t="shared" si="1"/>
        <v/>
      </c>
      <c r="N10" s="475" t="str">
        <f t="shared" si="2"/>
        <v/>
      </c>
    </row>
    <row r="11" spans="1:16" ht="17.25" customHeight="1">
      <c r="A11" s="220">
        <f t="shared" si="3"/>
        <v>9</v>
      </c>
      <c r="B11" s="220" t="s">
        <v>3129</v>
      </c>
      <c r="C11" s="220" t="s">
        <v>3127</v>
      </c>
      <c r="D11" s="220" t="s">
        <v>3187</v>
      </c>
      <c r="E11" s="220" t="s">
        <v>3114</v>
      </c>
      <c r="F11" s="475">
        <v>411</v>
      </c>
      <c r="G11" s="475">
        <v>629</v>
      </c>
      <c r="K11" s="475" t="str">
        <f t="shared" si="0"/>
        <v/>
      </c>
      <c r="L11" s="475" t="str">
        <f t="shared" si="1"/>
        <v/>
      </c>
      <c r="N11" s="475" t="str">
        <f t="shared" si="2"/>
        <v/>
      </c>
    </row>
    <row r="12" spans="1:16" ht="17.25" customHeight="1">
      <c r="A12" s="220">
        <f t="shared" si="3"/>
        <v>10</v>
      </c>
      <c r="B12" s="220" t="s">
        <v>3129</v>
      </c>
      <c r="C12" s="220" t="s">
        <v>3134</v>
      </c>
      <c r="D12" s="220" t="s">
        <v>3187</v>
      </c>
      <c r="E12" s="220" t="s">
        <v>3114</v>
      </c>
      <c r="F12" s="475">
        <v>450</v>
      </c>
      <c r="G12" s="475">
        <v>575</v>
      </c>
      <c r="K12" s="475" t="str">
        <f t="shared" si="0"/>
        <v/>
      </c>
      <c r="L12" s="475" t="str">
        <f t="shared" si="1"/>
        <v/>
      </c>
      <c r="N12" s="475" t="str">
        <f t="shared" si="2"/>
        <v/>
      </c>
    </row>
    <row r="13" spans="1:16" ht="17.25" customHeight="1">
      <c r="A13" s="220">
        <f t="shared" si="3"/>
        <v>11</v>
      </c>
      <c r="B13" s="220" t="s">
        <v>3135</v>
      </c>
      <c r="C13" s="220" t="s">
        <v>3136</v>
      </c>
      <c r="D13" s="220" t="s">
        <v>3187</v>
      </c>
      <c r="E13" s="220" t="s">
        <v>3114</v>
      </c>
      <c r="F13" s="475">
        <v>1233</v>
      </c>
      <c r="G13" s="475">
        <v>1634</v>
      </c>
      <c r="K13" s="475" t="str">
        <f t="shared" si="0"/>
        <v/>
      </c>
      <c r="L13" s="475" t="str">
        <f t="shared" si="1"/>
        <v/>
      </c>
      <c r="N13" s="475" t="str">
        <f t="shared" si="2"/>
        <v/>
      </c>
    </row>
    <row r="14" spans="1:16" ht="17.25" customHeight="1">
      <c r="A14" s="220">
        <f t="shared" si="3"/>
        <v>12</v>
      </c>
      <c r="B14" s="220" t="s">
        <v>3135</v>
      </c>
      <c r="C14" s="220" t="s">
        <v>3137</v>
      </c>
      <c r="D14" s="220" t="s">
        <v>3186</v>
      </c>
      <c r="E14" s="220" t="s">
        <v>3114</v>
      </c>
      <c r="F14" s="475">
        <v>1924</v>
      </c>
      <c r="G14" s="475">
        <v>2571</v>
      </c>
      <c r="H14" s="475">
        <v>313</v>
      </c>
      <c r="K14" s="475" t="str">
        <f t="shared" si="0"/>
        <v/>
      </c>
      <c r="L14" s="475" t="str">
        <f t="shared" si="1"/>
        <v/>
      </c>
      <c r="N14" s="475" t="str">
        <f t="shared" si="2"/>
        <v/>
      </c>
    </row>
    <row r="15" spans="1:16" ht="17.25" customHeight="1">
      <c r="A15" s="220">
        <f t="shared" si="3"/>
        <v>13</v>
      </c>
      <c r="B15" s="220" t="s">
        <v>3135</v>
      </c>
      <c r="C15" s="220" t="s">
        <v>3138</v>
      </c>
      <c r="D15" s="220" t="s">
        <v>3187</v>
      </c>
      <c r="E15" s="220" t="s">
        <v>3114</v>
      </c>
      <c r="F15" s="475">
        <v>3934</v>
      </c>
      <c r="G15" s="475">
        <v>5175</v>
      </c>
      <c r="K15" s="475" t="str">
        <f t="shared" si="0"/>
        <v/>
      </c>
      <c r="L15" s="475" t="str">
        <f t="shared" si="1"/>
        <v/>
      </c>
      <c r="N15" s="475" t="str">
        <f t="shared" si="2"/>
        <v/>
      </c>
    </row>
    <row r="16" spans="1:16" ht="17.25" customHeight="1">
      <c r="A16" s="220">
        <f t="shared" si="3"/>
        <v>14</v>
      </c>
      <c r="B16" s="220" t="s">
        <v>3135</v>
      </c>
      <c r="C16" s="220" t="s">
        <v>3139</v>
      </c>
      <c r="D16" s="220" t="s">
        <v>3187</v>
      </c>
      <c r="E16" s="220" t="s">
        <v>3114</v>
      </c>
      <c r="F16" s="475">
        <v>1340</v>
      </c>
      <c r="G16" s="475">
        <v>1790</v>
      </c>
      <c r="K16" s="475" t="str">
        <f t="shared" si="0"/>
        <v/>
      </c>
      <c r="L16" s="475" t="str">
        <f t="shared" si="1"/>
        <v/>
      </c>
      <c r="N16" s="475" t="str">
        <f t="shared" si="2"/>
        <v/>
      </c>
    </row>
    <row r="17" spans="1:14" ht="17.25" customHeight="1">
      <c r="A17" s="220">
        <f t="shared" si="3"/>
        <v>15</v>
      </c>
      <c r="B17" s="220" t="s">
        <v>3135</v>
      </c>
      <c r="C17" s="220" t="s">
        <v>3140</v>
      </c>
      <c r="D17" s="220" t="s">
        <v>3187</v>
      </c>
      <c r="E17" s="220" t="s">
        <v>3114</v>
      </c>
      <c r="F17" s="475">
        <v>1233</v>
      </c>
      <c r="G17" s="475">
        <v>1540</v>
      </c>
      <c r="K17" s="475" t="str">
        <f t="shared" si="0"/>
        <v/>
      </c>
      <c r="L17" s="475" t="str">
        <f t="shared" si="1"/>
        <v/>
      </c>
      <c r="N17" s="475" t="str">
        <f t="shared" si="2"/>
        <v/>
      </c>
    </row>
    <row r="18" spans="1:14" ht="17.25" customHeight="1">
      <c r="A18" s="220">
        <f t="shared" si="3"/>
        <v>16</v>
      </c>
      <c r="B18" s="220" t="s">
        <v>3147</v>
      </c>
      <c r="C18" s="220" t="s">
        <v>3149</v>
      </c>
      <c r="D18" s="220" t="s">
        <v>3187</v>
      </c>
      <c r="E18" s="220" t="s">
        <v>3114</v>
      </c>
      <c r="F18" s="475">
        <v>1584</v>
      </c>
      <c r="G18" s="475">
        <v>2473</v>
      </c>
      <c r="H18" s="475">
        <v>343</v>
      </c>
      <c r="K18" s="475" t="str">
        <f t="shared" si="0"/>
        <v/>
      </c>
      <c r="L18" s="475" t="str">
        <f t="shared" si="1"/>
        <v/>
      </c>
      <c r="N18" s="475" t="str">
        <f t="shared" si="2"/>
        <v/>
      </c>
    </row>
    <row r="19" spans="1:14" ht="17.25" customHeight="1">
      <c r="A19" s="220">
        <f t="shared" si="3"/>
        <v>17</v>
      </c>
      <c r="B19" s="220" t="s">
        <v>3147</v>
      </c>
      <c r="C19" s="220" t="s">
        <v>3150</v>
      </c>
      <c r="D19" s="220" t="s">
        <v>3187</v>
      </c>
      <c r="E19" s="220" t="s">
        <v>3114</v>
      </c>
      <c r="F19" s="475">
        <v>192</v>
      </c>
      <c r="G19" s="475">
        <v>700</v>
      </c>
      <c r="K19" s="475" t="str">
        <f t="shared" si="0"/>
        <v/>
      </c>
      <c r="L19" s="475" t="str">
        <f t="shared" si="1"/>
        <v/>
      </c>
      <c r="N19" s="475" t="str">
        <f t="shared" si="2"/>
        <v/>
      </c>
    </row>
    <row r="20" spans="1:14" ht="17.25" customHeight="1">
      <c r="A20" s="220">
        <f t="shared" si="3"/>
        <v>18</v>
      </c>
      <c r="B20" s="220" t="s">
        <v>3147</v>
      </c>
      <c r="C20" s="220" t="s">
        <v>3151</v>
      </c>
      <c r="D20" s="220" t="s">
        <v>3187</v>
      </c>
      <c r="E20" s="220" t="s">
        <v>3114</v>
      </c>
      <c r="F20" s="475">
        <v>866</v>
      </c>
      <c r="G20" s="475">
        <v>1788</v>
      </c>
      <c r="H20" s="475">
        <v>246</v>
      </c>
      <c r="K20" s="475" t="str">
        <f t="shared" si="0"/>
        <v/>
      </c>
      <c r="L20" s="475" t="str">
        <f t="shared" si="1"/>
        <v/>
      </c>
      <c r="N20" s="475" t="str">
        <f t="shared" si="2"/>
        <v/>
      </c>
    </row>
    <row r="21" spans="1:14" ht="17.25" customHeight="1">
      <c r="A21" s="220">
        <f t="shared" si="3"/>
        <v>19</v>
      </c>
      <c r="B21" s="220" t="s">
        <v>3147</v>
      </c>
      <c r="C21" s="220" t="s">
        <v>3152</v>
      </c>
      <c r="D21" s="220" t="s">
        <v>3187</v>
      </c>
      <c r="E21" s="220" t="s">
        <v>3114</v>
      </c>
      <c r="F21" s="475">
        <v>576</v>
      </c>
      <c r="G21" s="475">
        <v>912</v>
      </c>
      <c r="H21" s="475">
        <v>144</v>
      </c>
      <c r="K21" s="475" t="str">
        <f t="shared" si="0"/>
        <v/>
      </c>
      <c r="L21" s="475" t="str">
        <f t="shared" si="1"/>
        <v/>
      </c>
      <c r="N21" s="475" t="str">
        <f t="shared" si="2"/>
        <v/>
      </c>
    </row>
    <row r="22" spans="1:14" ht="17.25" customHeight="1">
      <c r="A22" s="220">
        <f t="shared" si="3"/>
        <v>20</v>
      </c>
      <c r="B22" s="220" t="s">
        <v>3147</v>
      </c>
      <c r="C22" s="220" t="s">
        <v>3153</v>
      </c>
      <c r="D22" s="220" t="s">
        <v>3216</v>
      </c>
      <c r="E22" s="220" t="s">
        <v>3114</v>
      </c>
      <c r="F22" s="475">
        <v>588</v>
      </c>
      <c r="G22" s="475">
        <v>992</v>
      </c>
      <c r="K22" s="475" t="str">
        <f t="shared" si="0"/>
        <v/>
      </c>
      <c r="L22" s="475" t="str">
        <f t="shared" si="1"/>
        <v/>
      </c>
      <c r="N22" s="475" t="str">
        <f t="shared" si="2"/>
        <v/>
      </c>
    </row>
    <row r="23" spans="1:14" ht="17.25" customHeight="1">
      <c r="A23" s="220">
        <f t="shared" si="3"/>
        <v>21</v>
      </c>
      <c r="B23" s="220" t="s">
        <v>3156</v>
      </c>
      <c r="C23" s="220" t="s">
        <v>3157</v>
      </c>
      <c r="D23" s="220" t="s">
        <v>3196</v>
      </c>
      <c r="E23" s="220" t="s">
        <v>3119</v>
      </c>
      <c r="F23" s="475">
        <v>0</v>
      </c>
      <c r="G23" s="475">
        <v>1540</v>
      </c>
      <c r="H23" s="475">
        <v>262</v>
      </c>
      <c r="I23" s="475">
        <v>393</v>
      </c>
      <c r="K23" s="475" t="str">
        <f t="shared" si="0"/>
        <v/>
      </c>
      <c r="L23" s="475" t="str">
        <f t="shared" si="1"/>
        <v/>
      </c>
      <c r="N23" s="475" t="str">
        <f t="shared" si="2"/>
        <v/>
      </c>
    </row>
    <row r="24" spans="1:14" ht="17.25" customHeight="1">
      <c r="A24" s="220">
        <f t="shared" si="3"/>
        <v>22</v>
      </c>
      <c r="B24" s="220" t="s">
        <v>3156</v>
      </c>
      <c r="C24" s="220" t="s">
        <v>3158</v>
      </c>
      <c r="D24" s="220" t="s">
        <v>3198</v>
      </c>
      <c r="E24" s="220" t="s">
        <v>3119</v>
      </c>
      <c r="F24" s="475">
        <v>0</v>
      </c>
      <c r="G24" s="475">
        <v>1515</v>
      </c>
      <c r="H24" s="475">
        <v>266</v>
      </c>
      <c r="I24" s="475">
        <v>419</v>
      </c>
      <c r="K24" s="475" t="str">
        <f t="shared" si="0"/>
        <v/>
      </c>
      <c r="L24" s="475" t="str">
        <f t="shared" si="1"/>
        <v/>
      </c>
      <c r="N24" s="475" t="str">
        <f t="shared" si="2"/>
        <v/>
      </c>
    </row>
    <row r="25" spans="1:14" ht="17.25" customHeight="1">
      <c r="A25" s="220">
        <f t="shared" si="3"/>
        <v>23</v>
      </c>
      <c r="B25" s="220" t="s">
        <v>3154</v>
      </c>
      <c r="C25" s="220" t="s">
        <v>3155</v>
      </c>
      <c r="D25" s="220" t="s">
        <v>3197</v>
      </c>
      <c r="E25" s="220" t="s">
        <v>3119</v>
      </c>
      <c r="F25" s="475">
        <v>0</v>
      </c>
      <c r="G25" s="475">
        <v>2992</v>
      </c>
      <c r="H25" s="475">
        <v>531</v>
      </c>
      <c r="K25" s="475" t="str">
        <f t="shared" si="0"/>
        <v/>
      </c>
      <c r="L25" s="475" t="str">
        <f t="shared" si="1"/>
        <v/>
      </c>
      <c r="N25" s="475" t="str">
        <f t="shared" si="2"/>
        <v/>
      </c>
    </row>
    <row r="26" spans="1:14" ht="17.25" customHeight="1">
      <c r="A26" s="220">
        <f t="shared" si="3"/>
        <v>24</v>
      </c>
      <c r="B26" s="220" t="s">
        <v>3154</v>
      </c>
      <c r="C26" s="220" t="s">
        <v>3159</v>
      </c>
      <c r="D26" s="220" t="s">
        <v>3199</v>
      </c>
      <c r="E26" s="220" t="s">
        <v>3119</v>
      </c>
      <c r="F26" s="475">
        <v>0</v>
      </c>
      <c r="G26" s="475">
        <v>404</v>
      </c>
      <c r="H26" s="475">
        <v>105</v>
      </c>
      <c r="K26" s="475" t="str">
        <f t="shared" si="0"/>
        <v/>
      </c>
      <c r="L26" s="475" t="str">
        <f t="shared" si="1"/>
        <v/>
      </c>
      <c r="N26" s="475" t="str">
        <f t="shared" si="2"/>
        <v/>
      </c>
    </row>
    <row r="27" spans="1:14" ht="17.25" customHeight="1">
      <c r="A27" s="220">
        <f t="shared" si="3"/>
        <v>25</v>
      </c>
      <c r="B27" s="220" t="s">
        <v>3154</v>
      </c>
      <c r="C27" s="220" t="s">
        <v>3160</v>
      </c>
      <c r="D27" s="220" t="s">
        <v>3200</v>
      </c>
      <c r="E27" s="220" t="s">
        <v>3119</v>
      </c>
      <c r="F27" s="475">
        <v>0</v>
      </c>
      <c r="G27" s="475">
        <v>1012</v>
      </c>
      <c r="H27" s="475">
        <v>174</v>
      </c>
      <c r="K27" s="475" t="str">
        <f t="shared" si="0"/>
        <v/>
      </c>
      <c r="L27" s="475" t="str">
        <f t="shared" si="1"/>
        <v/>
      </c>
      <c r="N27" s="475" t="str">
        <f t="shared" si="2"/>
        <v/>
      </c>
    </row>
    <row r="28" spans="1:14" ht="17.25" customHeight="1">
      <c r="A28" s="220">
        <f t="shared" si="3"/>
        <v>26</v>
      </c>
      <c r="B28" s="220" t="s">
        <v>3154</v>
      </c>
      <c r="C28" s="220" t="s">
        <v>3161</v>
      </c>
      <c r="D28" s="220" t="s">
        <v>3201</v>
      </c>
      <c r="E28" s="220" t="s">
        <v>3119</v>
      </c>
      <c r="F28" s="475">
        <v>0</v>
      </c>
      <c r="G28" s="475">
        <v>842</v>
      </c>
      <c r="H28" s="475">
        <v>149</v>
      </c>
      <c r="K28" s="475" t="str">
        <f t="shared" si="0"/>
        <v/>
      </c>
      <c r="L28" s="475" t="str">
        <f t="shared" si="1"/>
        <v/>
      </c>
      <c r="N28" s="475" t="str">
        <f t="shared" si="2"/>
        <v/>
      </c>
    </row>
    <row r="29" spans="1:14" ht="17.25" customHeight="1">
      <c r="A29" s="220">
        <f t="shared" si="3"/>
        <v>27</v>
      </c>
      <c r="B29" s="220" t="s">
        <v>3154</v>
      </c>
      <c r="C29" s="220" t="s">
        <v>3162</v>
      </c>
      <c r="D29" s="220" t="s">
        <v>3202</v>
      </c>
      <c r="E29" s="220" t="s">
        <v>3119</v>
      </c>
      <c r="F29" s="475">
        <v>0</v>
      </c>
      <c r="G29" s="475">
        <v>623</v>
      </c>
      <c r="H29" s="475">
        <v>108</v>
      </c>
      <c r="K29" s="475" t="str">
        <f t="shared" si="0"/>
        <v/>
      </c>
      <c r="L29" s="475" t="str">
        <f t="shared" si="1"/>
        <v/>
      </c>
      <c r="N29" s="475" t="str">
        <f t="shared" si="2"/>
        <v/>
      </c>
    </row>
    <row r="30" spans="1:14" ht="17.25" customHeight="1">
      <c r="A30" s="220">
        <f t="shared" si="3"/>
        <v>28</v>
      </c>
      <c r="B30" s="220" t="s">
        <v>3154</v>
      </c>
      <c r="C30" s="220" t="s">
        <v>3163</v>
      </c>
      <c r="D30" s="220" t="s">
        <v>3203</v>
      </c>
      <c r="E30" s="220" t="s">
        <v>3119</v>
      </c>
      <c r="F30" s="475">
        <v>0</v>
      </c>
      <c r="G30" s="475">
        <v>1499</v>
      </c>
      <c r="H30" s="475">
        <v>262</v>
      </c>
      <c r="K30" s="475" t="str">
        <f t="shared" si="0"/>
        <v/>
      </c>
      <c r="L30" s="475" t="str">
        <f t="shared" si="1"/>
        <v/>
      </c>
      <c r="N30" s="475" t="str">
        <f t="shared" si="2"/>
        <v/>
      </c>
    </row>
    <row r="31" spans="1:14" ht="17.25" customHeight="1">
      <c r="A31" s="220">
        <f t="shared" si="3"/>
        <v>29</v>
      </c>
      <c r="B31" s="220" t="s">
        <v>3154</v>
      </c>
      <c r="C31" s="220" t="s">
        <v>3164</v>
      </c>
      <c r="D31" s="220" t="s">
        <v>3199</v>
      </c>
      <c r="E31" s="220" t="s">
        <v>3119</v>
      </c>
      <c r="F31" s="475">
        <v>0</v>
      </c>
      <c r="G31" s="475">
        <v>576</v>
      </c>
      <c r="H31" s="475">
        <v>98</v>
      </c>
      <c r="K31" s="475" t="str">
        <f t="shared" si="0"/>
        <v/>
      </c>
      <c r="L31" s="475" t="str">
        <f t="shared" si="1"/>
        <v/>
      </c>
      <c r="N31" s="475" t="str">
        <f t="shared" si="2"/>
        <v/>
      </c>
    </row>
    <row r="32" spans="1:14" ht="17.25" customHeight="1">
      <c r="A32" s="220">
        <f t="shared" si="3"/>
        <v>30</v>
      </c>
      <c r="B32" s="220" t="s">
        <v>3154</v>
      </c>
      <c r="C32" s="220" t="s">
        <v>3165</v>
      </c>
      <c r="D32" s="220" t="s">
        <v>3204</v>
      </c>
      <c r="E32" s="220" t="s">
        <v>3119</v>
      </c>
      <c r="F32" s="475">
        <v>0</v>
      </c>
      <c r="G32" s="475">
        <v>987</v>
      </c>
      <c r="H32" s="475">
        <v>172</v>
      </c>
      <c r="I32" s="475">
        <v>293</v>
      </c>
      <c r="K32" s="475" t="str">
        <f t="shared" si="0"/>
        <v/>
      </c>
      <c r="L32" s="475" t="str">
        <f t="shared" si="1"/>
        <v/>
      </c>
      <c r="N32" s="475" t="str">
        <f t="shared" si="2"/>
        <v/>
      </c>
    </row>
    <row r="33" spans="1:14" ht="17.25" customHeight="1">
      <c r="A33" s="220">
        <f t="shared" si="3"/>
        <v>31</v>
      </c>
      <c r="B33" s="220" t="s">
        <v>3115</v>
      </c>
      <c r="C33" s="220" t="s">
        <v>3116</v>
      </c>
      <c r="D33" s="220" t="s">
        <v>3208</v>
      </c>
      <c r="E33" s="220" t="s">
        <v>3114</v>
      </c>
      <c r="F33" s="475">
        <v>493</v>
      </c>
      <c r="G33" s="475">
        <v>843</v>
      </c>
      <c r="I33" s="475">
        <v>159</v>
      </c>
      <c r="K33" s="475" t="str">
        <f t="shared" si="0"/>
        <v/>
      </c>
      <c r="L33" s="475" t="str">
        <f t="shared" si="1"/>
        <v/>
      </c>
      <c r="N33" s="475" t="str">
        <f t="shared" si="2"/>
        <v/>
      </c>
    </row>
    <row r="34" spans="1:14" ht="17.25" customHeight="1">
      <c r="A34" s="220">
        <f t="shared" si="3"/>
        <v>32</v>
      </c>
      <c r="B34" s="220" t="s">
        <v>3115</v>
      </c>
      <c r="C34" s="220" t="s">
        <v>3130</v>
      </c>
      <c r="D34" s="220" t="s">
        <v>3187</v>
      </c>
      <c r="E34" s="220" t="s">
        <v>3114</v>
      </c>
      <c r="F34" s="475">
        <v>481</v>
      </c>
      <c r="G34" s="475">
        <v>998</v>
      </c>
      <c r="K34" s="475" t="str">
        <f t="shared" si="0"/>
        <v/>
      </c>
      <c r="L34" s="475" t="str">
        <f t="shared" si="1"/>
        <v/>
      </c>
      <c r="N34" s="475" t="str">
        <f t="shared" si="2"/>
        <v/>
      </c>
    </row>
    <row r="35" spans="1:14" ht="17.25" customHeight="1">
      <c r="A35" s="220">
        <f t="shared" si="3"/>
        <v>33</v>
      </c>
      <c r="B35" s="220" t="s">
        <v>3115</v>
      </c>
      <c r="C35" s="220" t="s">
        <v>3131</v>
      </c>
      <c r="D35" s="220" t="s">
        <v>3187</v>
      </c>
      <c r="E35" s="220" t="s">
        <v>3114</v>
      </c>
      <c r="G35" s="475">
        <v>1005</v>
      </c>
      <c r="K35" s="475" t="str">
        <f t="shared" si="0"/>
        <v/>
      </c>
      <c r="L35" s="475" t="str">
        <f t="shared" si="1"/>
        <v/>
      </c>
      <c r="N35" s="475" t="str">
        <f t="shared" si="2"/>
        <v/>
      </c>
    </row>
    <row r="36" spans="1:14" ht="17.25" customHeight="1">
      <c r="A36" s="220">
        <f t="shared" si="3"/>
        <v>34</v>
      </c>
      <c r="B36" s="220" t="s">
        <v>3115</v>
      </c>
      <c r="C36" s="220" t="s">
        <v>3167</v>
      </c>
      <c r="D36" s="220" t="s">
        <v>3205</v>
      </c>
      <c r="E36" s="220" t="s">
        <v>3119</v>
      </c>
      <c r="F36" s="475">
        <v>0</v>
      </c>
      <c r="G36" s="475">
        <v>2369</v>
      </c>
      <c r="H36" s="475">
        <v>379</v>
      </c>
      <c r="I36" s="475">
        <v>547</v>
      </c>
      <c r="J36" s="475">
        <v>34</v>
      </c>
      <c r="K36" s="475">
        <f t="shared" si="0"/>
        <v>10</v>
      </c>
      <c r="L36" s="475">
        <f t="shared" si="1"/>
        <v>2</v>
      </c>
      <c r="N36" s="475" t="str">
        <f t="shared" si="2"/>
        <v/>
      </c>
    </row>
    <row r="37" spans="1:14" ht="17.25" customHeight="1">
      <c r="A37" s="220">
        <f t="shared" si="3"/>
        <v>35</v>
      </c>
      <c r="B37" s="220" t="s">
        <v>3115</v>
      </c>
      <c r="C37" s="220" t="s">
        <v>3168</v>
      </c>
      <c r="D37" s="220" t="s">
        <v>3206</v>
      </c>
      <c r="E37" s="220" t="s">
        <v>3119</v>
      </c>
      <c r="F37" s="475">
        <v>0</v>
      </c>
      <c r="G37" s="475">
        <v>492</v>
      </c>
      <c r="H37" s="475">
        <v>52</v>
      </c>
      <c r="I37" s="475">
        <v>134</v>
      </c>
      <c r="K37" s="475" t="str">
        <f t="shared" si="0"/>
        <v/>
      </c>
      <c r="L37" s="475" t="str">
        <f t="shared" si="1"/>
        <v/>
      </c>
      <c r="N37" s="475" t="str">
        <f t="shared" si="2"/>
        <v/>
      </c>
    </row>
    <row r="38" spans="1:14" ht="17.25" customHeight="1">
      <c r="A38" s="220">
        <f t="shared" si="3"/>
        <v>36</v>
      </c>
      <c r="B38" s="220" t="s">
        <v>3115</v>
      </c>
      <c r="C38" s="220" t="s">
        <v>3169</v>
      </c>
      <c r="D38" s="220" t="s">
        <v>3207</v>
      </c>
      <c r="E38" s="220" t="s">
        <v>3119</v>
      </c>
      <c r="F38" s="475">
        <v>0</v>
      </c>
      <c r="G38" s="475">
        <v>1691</v>
      </c>
      <c r="H38" s="475">
        <v>248</v>
      </c>
      <c r="I38" s="475">
        <v>321</v>
      </c>
      <c r="K38" s="475" t="str">
        <f t="shared" si="0"/>
        <v/>
      </c>
      <c r="L38" s="475" t="str">
        <f t="shared" si="1"/>
        <v/>
      </c>
      <c r="N38" s="475" t="str">
        <f t="shared" si="2"/>
        <v/>
      </c>
    </row>
    <row r="39" spans="1:14" ht="17.25" customHeight="1">
      <c r="A39" s="220">
        <f t="shared" si="3"/>
        <v>37</v>
      </c>
      <c r="B39" s="220" t="s">
        <v>3118</v>
      </c>
      <c r="C39" s="220" t="s">
        <v>3132</v>
      </c>
      <c r="D39" s="220" t="s">
        <v>3187</v>
      </c>
      <c r="E39" s="220" t="s">
        <v>3114</v>
      </c>
      <c r="F39" s="475">
        <v>2390</v>
      </c>
      <c r="G39" s="475">
        <v>2800</v>
      </c>
      <c r="K39" s="475" t="str">
        <f t="shared" si="0"/>
        <v/>
      </c>
      <c r="L39" s="475" t="str">
        <f t="shared" si="1"/>
        <v/>
      </c>
      <c r="N39" s="475" t="str">
        <f t="shared" si="2"/>
        <v/>
      </c>
    </row>
    <row r="40" spans="1:14" ht="17.25" customHeight="1">
      <c r="A40" s="220">
        <f t="shared" si="3"/>
        <v>38</v>
      </c>
      <c r="B40" s="220" t="s">
        <v>3118</v>
      </c>
      <c r="C40" s="220" t="s">
        <v>3133</v>
      </c>
      <c r="D40" s="220" t="s">
        <v>3187</v>
      </c>
      <c r="E40" s="220" t="s">
        <v>3114</v>
      </c>
      <c r="F40" s="475">
        <v>615</v>
      </c>
      <c r="G40" s="475">
        <v>857</v>
      </c>
      <c r="H40" s="475">
        <v>94</v>
      </c>
      <c r="K40" s="475" t="str">
        <f t="shared" si="0"/>
        <v/>
      </c>
      <c r="L40" s="475" t="str">
        <f t="shared" si="1"/>
        <v/>
      </c>
      <c r="N40" s="475" t="str">
        <f t="shared" si="2"/>
        <v/>
      </c>
    </row>
    <row r="41" spans="1:14" ht="17.25" customHeight="1">
      <c r="A41" s="220">
        <f t="shared" si="3"/>
        <v>39</v>
      </c>
      <c r="B41" s="220" t="s">
        <v>3118</v>
      </c>
      <c r="C41" s="220" t="s">
        <v>3117</v>
      </c>
      <c r="D41" s="220" t="s">
        <v>3187</v>
      </c>
      <c r="E41" s="220" t="s">
        <v>3114</v>
      </c>
      <c r="F41" s="475">
        <v>997</v>
      </c>
      <c r="G41" s="475">
        <v>1161</v>
      </c>
      <c r="H41" s="475">
        <v>0</v>
      </c>
      <c r="I41" s="475">
        <v>56</v>
      </c>
      <c r="J41" s="475">
        <v>0</v>
      </c>
      <c r="K41" s="475">
        <f t="shared" si="0"/>
        <v>0</v>
      </c>
      <c r="L41" s="475">
        <f t="shared" si="1"/>
        <v>0</v>
      </c>
      <c r="N41" s="475" t="str">
        <f t="shared" si="2"/>
        <v/>
      </c>
    </row>
    <row r="42" spans="1:14" ht="17.25" customHeight="1">
      <c r="A42" s="220">
        <f t="shared" si="3"/>
        <v>40</v>
      </c>
      <c r="B42" s="220" t="s">
        <v>3141</v>
      </c>
      <c r="C42" s="220" t="s">
        <v>3142</v>
      </c>
      <c r="D42" s="220" t="s">
        <v>3209</v>
      </c>
      <c r="E42" s="220" t="s">
        <v>3114</v>
      </c>
      <c r="F42" s="475">
        <v>3930</v>
      </c>
      <c r="G42" s="475">
        <v>6387</v>
      </c>
      <c r="H42" s="475">
        <v>785</v>
      </c>
      <c r="K42" s="475" t="str">
        <f t="shared" si="0"/>
        <v/>
      </c>
      <c r="L42" s="475" t="str">
        <f t="shared" si="1"/>
        <v/>
      </c>
      <c r="N42" s="475" t="str">
        <f t="shared" si="2"/>
        <v/>
      </c>
    </row>
    <row r="43" spans="1:14" ht="17.25" customHeight="1">
      <c r="A43" s="220">
        <f t="shared" si="3"/>
        <v>41</v>
      </c>
      <c r="B43" s="220" t="s">
        <v>3141</v>
      </c>
      <c r="C43" s="220" t="s">
        <v>3143</v>
      </c>
      <c r="D43" s="220" t="s">
        <v>3210</v>
      </c>
      <c r="E43" s="220" t="s">
        <v>3114</v>
      </c>
      <c r="F43" s="475">
        <v>1842</v>
      </c>
      <c r="G43" s="475">
        <v>2680</v>
      </c>
      <c r="K43" s="475" t="str">
        <f t="shared" si="0"/>
        <v/>
      </c>
      <c r="L43" s="475" t="str">
        <f t="shared" si="1"/>
        <v/>
      </c>
      <c r="N43" s="475" t="str">
        <f t="shared" si="2"/>
        <v/>
      </c>
    </row>
    <row r="44" spans="1:14" ht="17.25" customHeight="1">
      <c r="A44" s="220">
        <f t="shared" si="3"/>
        <v>42</v>
      </c>
      <c r="B44" s="220" t="s">
        <v>3141</v>
      </c>
      <c r="C44" s="220" t="s">
        <v>3144</v>
      </c>
      <c r="D44" s="220" t="s">
        <v>3217</v>
      </c>
      <c r="E44" s="220" t="s">
        <v>3114</v>
      </c>
      <c r="F44" s="475">
        <v>555</v>
      </c>
      <c r="G44" s="475">
        <v>825</v>
      </c>
      <c r="K44" s="475" t="str">
        <f t="shared" si="0"/>
        <v/>
      </c>
      <c r="L44" s="475" t="str">
        <f t="shared" si="1"/>
        <v/>
      </c>
      <c r="N44" s="475" t="str">
        <f t="shared" si="2"/>
        <v/>
      </c>
    </row>
    <row r="45" spans="1:14" ht="17.25" customHeight="1">
      <c r="A45" s="220">
        <f t="shared" si="3"/>
        <v>43</v>
      </c>
      <c r="B45" s="220" t="s">
        <v>3141</v>
      </c>
      <c r="C45" s="220" t="s">
        <v>3145</v>
      </c>
      <c r="D45" s="220" t="s">
        <v>3187</v>
      </c>
      <c r="E45" s="220" t="s">
        <v>3114</v>
      </c>
      <c r="F45" s="475">
        <v>3522</v>
      </c>
      <c r="G45" s="475">
        <v>5165</v>
      </c>
      <c r="K45" s="475" t="str">
        <f t="shared" si="0"/>
        <v/>
      </c>
      <c r="L45" s="475" t="str">
        <f t="shared" si="1"/>
        <v/>
      </c>
      <c r="N45" s="475" t="str">
        <f t="shared" si="2"/>
        <v/>
      </c>
    </row>
    <row r="46" spans="1:14" ht="17.25" customHeight="1">
      <c r="A46" s="220">
        <f t="shared" si="3"/>
        <v>44</v>
      </c>
      <c r="B46" s="220" t="s">
        <v>3146</v>
      </c>
      <c r="C46" s="220" t="s">
        <v>3148</v>
      </c>
      <c r="D46" s="220" t="s">
        <v>3211</v>
      </c>
      <c r="E46" s="220" t="s">
        <v>3114</v>
      </c>
      <c r="F46" s="475">
        <v>660</v>
      </c>
      <c r="G46" s="475">
        <v>1685</v>
      </c>
      <c r="K46" s="475" t="str">
        <f t="shared" si="0"/>
        <v/>
      </c>
      <c r="L46" s="475" t="str">
        <f t="shared" si="1"/>
        <v/>
      </c>
      <c r="N46" s="475" t="str">
        <f t="shared" si="2"/>
        <v/>
      </c>
    </row>
    <row r="47" spans="1:14" ht="17.25" customHeight="1">
      <c r="A47" s="220">
        <f t="shared" si="3"/>
        <v>45</v>
      </c>
      <c r="B47" s="220" t="s">
        <v>3146</v>
      </c>
      <c r="C47" s="220" t="s">
        <v>3180</v>
      </c>
      <c r="D47" s="220" t="s">
        <v>3187</v>
      </c>
      <c r="E47" s="220" t="s">
        <v>3114</v>
      </c>
      <c r="F47" s="475">
        <v>1326</v>
      </c>
      <c r="G47" s="475">
        <v>1903</v>
      </c>
      <c r="H47" s="475">
        <v>257</v>
      </c>
      <c r="K47" s="475" t="str">
        <f t="shared" si="0"/>
        <v/>
      </c>
      <c r="L47" s="475" t="str">
        <f t="shared" si="1"/>
        <v/>
      </c>
      <c r="N47" s="475" t="str">
        <f t="shared" si="2"/>
        <v/>
      </c>
    </row>
    <row r="48" spans="1:14" ht="17.25" customHeight="1">
      <c r="A48" s="220">
        <f t="shared" si="3"/>
        <v>46</v>
      </c>
      <c r="B48" s="220" t="s">
        <v>3170</v>
      </c>
      <c r="C48" s="220" t="s">
        <v>3171</v>
      </c>
      <c r="D48" s="220" t="s">
        <v>3212</v>
      </c>
      <c r="E48" s="220" t="s">
        <v>3119</v>
      </c>
      <c r="F48" s="475">
        <v>0</v>
      </c>
      <c r="G48" s="475">
        <v>1537</v>
      </c>
      <c r="K48" s="475" t="str">
        <f t="shared" si="0"/>
        <v/>
      </c>
      <c r="L48" s="475" t="str">
        <f t="shared" si="1"/>
        <v/>
      </c>
      <c r="N48" s="475" t="str">
        <f t="shared" si="2"/>
        <v/>
      </c>
    </row>
    <row r="49" spans="1:14" ht="17.25" customHeight="1">
      <c r="A49" s="220">
        <f t="shared" si="3"/>
        <v>47</v>
      </c>
      <c r="B49" s="220" t="s">
        <v>3170</v>
      </c>
      <c r="C49" s="220" t="s">
        <v>3172</v>
      </c>
      <c r="D49" s="220" t="s">
        <v>3213</v>
      </c>
      <c r="E49" s="220" t="s">
        <v>3119</v>
      </c>
      <c r="F49" s="475">
        <v>0</v>
      </c>
      <c r="G49" s="475">
        <v>5970</v>
      </c>
      <c r="K49" s="475" t="str">
        <f t="shared" si="0"/>
        <v/>
      </c>
      <c r="L49" s="475" t="str">
        <f t="shared" si="1"/>
        <v/>
      </c>
      <c r="N49" s="475" t="str">
        <f t="shared" si="2"/>
        <v/>
      </c>
    </row>
    <row r="50" spans="1:14" ht="17.25" customHeight="1">
      <c r="A50" s="220">
        <f t="shared" si="3"/>
        <v>48</v>
      </c>
      <c r="B50" s="220" t="s">
        <v>3170</v>
      </c>
      <c r="C50" s="220" t="s">
        <v>3173</v>
      </c>
      <c r="D50" s="220" t="s">
        <v>3214</v>
      </c>
      <c r="E50" s="220" t="s">
        <v>3119</v>
      </c>
      <c r="F50" s="475">
        <v>0</v>
      </c>
      <c r="G50" s="475">
        <v>2360</v>
      </c>
      <c r="K50" s="475" t="str">
        <f t="shared" si="0"/>
        <v/>
      </c>
      <c r="L50" s="475" t="str">
        <f t="shared" si="1"/>
        <v/>
      </c>
      <c r="N50" s="475" t="str">
        <f t="shared" si="2"/>
        <v/>
      </c>
    </row>
    <row r="51" spans="1:14" ht="17.25" customHeight="1">
      <c r="A51" s="220">
        <f t="shared" si="3"/>
        <v>49</v>
      </c>
      <c r="B51" s="220" t="s">
        <v>3170</v>
      </c>
      <c r="C51" s="220" t="s">
        <v>3174</v>
      </c>
      <c r="D51" s="220" t="s">
        <v>3215</v>
      </c>
      <c r="E51" s="220" t="s">
        <v>3119</v>
      </c>
      <c r="F51" s="475">
        <v>0</v>
      </c>
      <c r="G51" s="475">
        <v>2401</v>
      </c>
      <c r="K51" s="475" t="str">
        <f t="shared" si="0"/>
        <v/>
      </c>
      <c r="L51" s="475" t="str">
        <f t="shared" si="1"/>
        <v/>
      </c>
      <c r="N51" s="475" t="str">
        <f t="shared" si="2"/>
        <v/>
      </c>
    </row>
    <row r="52" spans="1:14" ht="17.25" customHeight="1">
      <c r="A52" s="220">
        <f t="shared" si="3"/>
        <v>50</v>
      </c>
      <c r="B52" s="220" t="s">
        <v>3175</v>
      </c>
      <c r="C52" s="220" t="s">
        <v>3176</v>
      </c>
      <c r="D52" s="220" t="s">
        <v>3187</v>
      </c>
      <c r="E52" s="220" t="s">
        <v>3119</v>
      </c>
      <c r="F52" s="475">
        <v>0</v>
      </c>
      <c r="G52" s="475">
        <v>3014</v>
      </c>
      <c r="K52" s="475" t="str">
        <f t="shared" si="0"/>
        <v/>
      </c>
      <c r="L52" s="475" t="str">
        <f t="shared" si="1"/>
        <v/>
      </c>
      <c r="N52" s="475" t="str">
        <f t="shared" si="2"/>
        <v/>
      </c>
    </row>
    <row r="53" spans="1:14" ht="17.25" customHeight="1">
      <c r="A53" s="220">
        <f t="shared" si="3"/>
        <v>51</v>
      </c>
      <c r="B53" s="220" t="s">
        <v>3175</v>
      </c>
      <c r="C53" s="220" t="s">
        <v>3177</v>
      </c>
      <c r="D53" s="220" t="s">
        <v>3187</v>
      </c>
      <c r="E53" s="220" t="s">
        <v>3119</v>
      </c>
      <c r="F53" s="475">
        <v>0</v>
      </c>
      <c r="G53" s="475">
        <v>2609</v>
      </c>
      <c r="K53" s="475" t="str">
        <f t="shared" si="0"/>
        <v/>
      </c>
      <c r="L53" s="475" t="str">
        <f t="shared" si="1"/>
        <v/>
      </c>
      <c r="N53" s="475" t="str">
        <f t="shared" si="2"/>
        <v/>
      </c>
    </row>
    <row r="54" spans="1:14" ht="17.25" customHeight="1">
      <c r="A54" s="220">
        <f t="shared" si="3"/>
        <v>52</v>
      </c>
      <c r="B54" s="220" t="s">
        <v>3175</v>
      </c>
      <c r="C54" s="220" t="s">
        <v>3178</v>
      </c>
      <c r="D54" s="220" t="s">
        <v>3187</v>
      </c>
      <c r="E54" s="220" t="s">
        <v>3119</v>
      </c>
      <c r="F54" s="475">
        <v>0</v>
      </c>
      <c r="G54" s="475">
        <v>2213</v>
      </c>
      <c r="K54" s="475" t="str">
        <f t="shared" si="0"/>
        <v/>
      </c>
      <c r="L54" s="475" t="str">
        <f t="shared" si="1"/>
        <v/>
      </c>
      <c r="N54" s="475" t="str">
        <f t="shared" si="2"/>
        <v/>
      </c>
    </row>
    <row r="55" spans="1:14" ht="17.25" customHeight="1">
      <c r="A55" s="220">
        <f t="shared" si="3"/>
        <v>53</v>
      </c>
      <c r="B55" s="220" t="s">
        <v>3175</v>
      </c>
      <c r="C55" s="220" t="s">
        <v>3179</v>
      </c>
      <c r="D55" s="220" t="s">
        <v>3187</v>
      </c>
      <c r="E55" s="220" t="s">
        <v>3119</v>
      </c>
      <c r="F55" s="475">
        <v>0</v>
      </c>
      <c r="G55" s="475">
        <v>1592</v>
      </c>
      <c r="K55" s="475" t="str">
        <f t="shared" si="0"/>
        <v/>
      </c>
      <c r="L55" s="475" t="str">
        <f t="shared" si="1"/>
        <v/>
      </c>
      <c r="N55" s="475" t="str">
        <f t="shared" si="2"/>
        <v/>
      </c>
    </row>
  </sheetData>
  <autoFilter ref="A2:P55" xr:uid="{B26A2CDD-E22C-4B93-93E9-49490E4179CB}"/>
  <mergeCells count="10">
    <mergeCell ref="P1:P2"/>
    <mergeCell ref="A1:A2"/>
    <mergeCell ref="F1:G1"/>
    <mergeCell ref="I1:L1"/>
    <mergeCell ref="B1:B2"/>
    <mergeCell ref="C1:D1"/>
    <mergeCell ref="E1:E2"/>
    <mergeCell ref="M1:N1"/>
    <mergeCell ref="O1:O2"/>
    <mergeCell ref="H1:H2"/>
  </mergeCells>
  <phoneticPr fontId="5"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AC78-6C1B-4F93-AC77-5A69EB54E088}">
  <dimension ref="A1:M50"/>
  <sheetViews>
    <sheetView zoomScaleNormal="100" workbookViewId="0">
      <pane ySplit="2" topLeftCell="A24" activePane="bottomLeft" state="frozen"/>
      <selection activeCell="E8" sqref="E8"/>
      <selection pane="bottomLeft" activeCell="D34" sqref="D34"/>
    </sheetView>
  </sheetViews>
  <sheetFormatPr defaultColWidth="9" defaultRowHeight="19.5" customHeight="1"/>
  <cols>
    <col min="1" max="1" width="11.125" style="26" bestFit="1" customWidth="1"/>
    <col min="2" max="6" width="10" style="26" customWidth="1"/>
    <col min="7" max="7" width="4.75" style="255" customWidth="1"/>
    <col min="8" max="8" width="11.125" style="255" customWidth="1"/>
    <col min="9" max="9" width="9" style="255"/>
    <col min="10" max="10" width="22.875" style="255" customWidth="1"/>
    <col min="11" max="11" width="4.75" style="255" customWidth="1"/>
    <col min="12" max="12" width="9" style="255"/>
    <col min="13" max="13" width="11.125" style="255" customWidth="1"/>
    <col min="14" max="16384" width="9" style="255"/>
  </cols>
  <sheetData>
    <row r="1" spans="1:13" ht="19.5" customHeight="1">
      <c r="A1" s="689" t="s">
        <v>2434</v>
      </c>
      <c r="B1" s="689"/>
      <c r="C1" s="689"/>
      <c r="D1" s="689"/>
      <c r="E1" s="689"/>
      <c r="F1" s="689"/>
      <c r="H1" s="690" t="s">
        <v>2428</v>
      </c>
      <c r="I1" s="690"/>
      <c r="J1" s="690"/>
      <c r="L1" s="323" t="s">
        <v>2401</v>
      </c>
      <c r="M1" s="324">
        <v>2757326</v>
      </c>
    </row>
    <row r="2" spans="1:13" ht="19.5" customHeight="1">
      <c r="A2" s="318" t="s">
        <v>449</v>
      </c>
      <c r="B2" s="318" t="s">
        <v>234</v>
      </c>
      <c r="C2" s="318" t="s">
        <v>756</v>
      </c>
      <c r="D2" s="318" t="s">
        <v>797</v>
      </c>
      <c r="E2" s="318" t="s">
        <v>1718</v>
      </c>
      <c r="F2" s="318" t="s">
        <v>1719</v>
      </c>
      <c r="H2" s="318" t="s">
        <v>492</v>
      </c>
      <c r="I2" s="318" t="s">
        <v>2429</v>
      </c>
      <c r="J2" s="318" t="s">
        <v>2430</v>
      </c>
      <c r="L2" s="323" t="s">
        <v>2433</v>
      </c>
      <c r="M2" s="325">
        <v>46073</v>
      </c>
    </row>
    <row r="3" spans="1:13" ht="19.5" customHeight="1">
      <c r="A3" s="319">
        <v>45292</v>
      </c>
      <c r="B3" s="317">
        <v>45306</v>
      </c>
      <c r="C3" s="317">
        <v>45306</v>
      </c>
      <c r="D3" s="317">
        <v>45306</v>
      </c>
      <c r="E3" s="317">
        <v>45306</v>
      </c>
      <c r="F3" s="317">
        <v>45306</v>
      </c>
      <c r="H3" s="321">
        <v>45345</v>
      </c>
      <c r="I3" s="322">
        <v>9000</v>
      </c>
      <c r="J3" s="318" t="s">
        <v>2431</v>
      </c>
    </row>
    <row r="4" spans="1:13" ht="19.5" customHeight="1">
      <c r="A4" s="319">
        <v>45323</v>
      </c>
      <c r="B4" s="317">
        <v>45337</v>
      </c>
      <c r="C4" s="317">
        <v>45337</v>
      </c>
      <c r="D4" s="317">
        <v>45343</v>
      </c>
      <c r="E4" s="317">
        <v>45337</v>
      </c>
      <c r="F4" s="317">
        <v>45332</v>
      </c>
      <c r="H4" s="321">
        <v>45454</v>
      </c>
      <c r="I4" s="322">
        <v>9000</v>
      </c>
      <c r="J4" s="318" t="s">
        <v>2432</v>
      </c>
    </row>
    <row r="5" spans="1:13" ht="19.5" customHeight="1">
      <c r="A5" s="319">
        <v>45352</v>
      </c>
      <c r="B5" s="317">
        <v>45366</v>
      </c>
      <c r="C5" s="317">
        <v>45372</v>
      </c>
      <c r="D5" s="317">
        <v>45370</v>
      </c>
      <c r="E5" s="317">
        <v>45366</v>
      </c>
      <c r="F5" s="317">
        <v>45359</v>
      </c>
      <c r="H5" s="321">
        <v>45535</v>
      </c>
      <c r="I5" s="322">
        <v>9000</v>
      </c>
      <c r="J5" s="318" t="s">
        <v>2444</v>
      </c>
    </row>
    <row r="6" spans="1:13" ht="19.5" customHeight="1">
      <c r="A6" s="319">
        <v>45383</v>
      </c>
      <c r="B6" s="317">
        <v>45397</v>
      </c>
      <c r="C6" s="317">
        <v>45397</v>
      </c>
      <c r="D6" s="317">
        <v>45397</v>
      </c>
      <c r="E6" s="317">
        <v>45397</v>
      </c>
      <c r="F6" s="317">
        <v>45390</v>
      </c>
      <c r="H6" s="321">
        <v>45621</v>
      </c>
      <c r="I6" s="322">
        <v>9000</v>
      </c>
      <c r="J6" s="318" t="s">
        <v>2667</v>
      </c>
    </row>
    <row r="7" spans="1:13" ht="19.5" customHeight="1">
      <c r="A7" s="319">
        <v>45413</v>
      </c>
      <c r="B7" s="317">
        <v>45428</v>
      </c>
      <c r="C7" s="317">
        <v>45427</v>
      </c>
      <c r="D7" s="317">
        <v>45516</v>
      </c>
      <c r="E7" s="317">
        <v>45428</v>
      </c>
      <c r="F7" s="317">
        <v>45419</v>
      </c>
      <c r="H7" s="321">
        <v>45711</v>
      </c>
      <c r="I7" s="322">
        <v>9000</v>
      </c>
      <c r="J7" s="318" t="s">
        <v>2874</v>
      </c>
    </row>
    <row r="8" spans="1:13" ht="19.5" customHeight="1">
      <c r="A8" s="319">
        <v>45444</v>
      </c>
      <c r="B8" s="317">
        <v>45460</v>
      </c>
      <c r="C8" s="317">
        <v>45471</v>
      </c>
      <c r="D8" s="317">
        <v>45455</v>
      </c>
      <c r="E8" s="317">
        <v>45460</v>
      </c>
      <c r="F8" s="317">
        <v>45452</v>
      </c>
      <c r="H8" s="321"/>
      <c r="I8" s="322"/>
      <c r="J8" s="318"/>
    </row>
    <row r="9" spans="1:13" ht="19.5" customHeight="1">
      <c r="A9" s="319">
        <v>45474</v>
      </c>
      <c r="B9" s="317">
        <v>45488</v>
      </c>
      <c r="C9" s="317">
        <v>45488</v>
      </c>
      <c r="D9" s="317">
        <v>45516</v>
      </c>
      <c r="E9" s="317">
        <v>45488</v>
      </c>
      <c r="F9" s="317">
        <v>45482</v>
      </c>
      <c r="H9" s="321"/>
      <c r="I9" s="322"/>
      <c r="J9" s="318"/>
    </row>
    <row r="10" spans="1:13" ht="19.5" customHeight="1">
      <c r="A10" s="319">
        <v>45505</v>
      </c>
      <c r="B10" s="317">
        <v>45520</v>
      </c>
      <c r="C10" s="317">
        <v>45532</v>
      </c>
      <c r="D10" s="317">
        <v>45516</v>
      </c>
      <c r="E10" s="317">
        <v>45520</v>
      </c>
      <c r="F10" s="317">
        <v>45512</v>
      </c>
      <c r="H10" s="321"/>
      <c r="I10" s="322"/>
      <c r="J10" s="318"/>
    </row>
    <row r="11" spans="1:13" ht="19.5" customHeight="1">
      <c r="A11" s="319">
        <v>45536</v>
      </c>
      <c r="B11" s="317">
        <v>45554</v>
      </c>
      <c r="C11" s="317">
        <v>45562</v>
      </c>
      <c r="D11" s="317">
        <v>45555</v>
      </c>
      <c r="E11" s="317">
        <v>45554</v>
      </c>
      <c r="F11" s="317">
        <v>45543</v>
      </c>
      <c r="H11" s="321"/>
      <c r="I11" s="322"/>
      <c r="J11" s="318"/>
    </row>
    <row r="12" spans="1:13" ht="19.5" customHeight="1">
      <c r="A12" s="319">
        <v>45566</v>
      </c>
      <c r="B12" s="317">
        <v>45580</v>
      </c>
      <c r="C12" s="317">
        <v>45604</v>
      </c>
      <c r="D12" s="317">
        <v>45604</v>
      </c>
      <c r="E12" s="317">
        <v>45580</v>
      </c>
      <c r="F12" s="317">
        <v>45572</v>
      </c>
      <c r="H12" s="321"/>
      <c r="I12" s="322"/>
      <c r="J12" s="318"/>
    </row>
    <row r="13" spans="1:13" ht="19.5" customHeight="1">
      <c r="A13" s="319">
        <v>45597</v>
      </c>
      <c r="B13" s="317">
        <v>45611</v>
      </c>
      <c r="C13" s="317">
        <v>45604</v>
      </c>
      <c r="D13" s="317">
        <v>45604</v>
      </c>
      <c r="E13" s="317">
        <v>45611</v>
      </c>
      <c r="F13" s="317">
        <v>45606</v>
      </c>
      <c r="H13" s="321"/>
      <c r="I13" s="322"/>
      <c r="J13" s="318"/>
    </row>
    <row r="14" spans="1:13" ht="19.5" customHeight="1">
      <c r="A14" s="319">
        <v>45627</v>
      </c>
      <c r="B14" s="317">
        <v>45642</v>
      </c>
      <c r="C14" s="317">
        <v>45657</v>
      </c>
      <c r="D14" s="317">
        <v>45637</v>
      </c>
      <c r="E14" s="317">
        <v>45642</v>
      </c>
      <c r="F14" s="317">
        <v>45635</v>
      </c>
      <c r="H14" s="321"/>
      <c r="I14" s="322"/>
      <c r="J14" s="318"/>
    </row>
    <row r="15" spans="1:13" ht="19.5" customHeight="1">
      <c r="A15" s="319">
        <v>45658</v>
      </c>
      <c r="B15" s="317">
        <v>45672</v>
      </c>
      <c r="C15" s="317">
        <v>45687</v>
      </c>
      <c r="D15" s="317">
        <v>45660</v>
      </c>
      <c r="E15" s="317">
        <v>45672</v>
      </c>
      <c r="F15" s="317">
        <v>45663</v>
      </c>
      <c r="H15" s="321"/>
      <c r="I15" s="322"/>
      <c r="J15" s="318"/>
    </row>
    <row r="16" spans="1:13" ht="19.5" customHeight="1">
      <c r="A16" s="319">
        <v>45689</v>
      </c>
      <c r="B16" s="317">
        <v>45705</v>
      </c>
      <c r="C16" s="317">
        <v>45689</v>
      </c>
      <c r="D16" s="317">
        <v>45693</v>
      </c>
      <c r="E16" s="317">
        <v>45705</v>
      </c>
      <c r="F16" s="317">
        <v>45698</v>
      </c>
      <c r="H16" s="321"/>
      <c r="I16" s="322"/>
      <c r="J16" s="318"/>
    </row>
    <row r="17" spans="1:10" ht="19.5" customHeight="1">
      <c r="A17" s="319">
        <v>45717</v>
      </c>
      <c r="B17" s="317">
        <v>45733</v>
      </c>
      <c r="C17" s="317">
        <v>45733</v>
      </c>
      <c r="D17" s="317">
        <v>45722</v>
      </c>
      <c r="E17" s="317">
        <v>45733</v>
      </c>
      <c r="F17" s="317">
        <v>45725</v>
      </c>
      <c r="H17" s="321"/>
      <c r="I17" s="322"/>
      <c r="J17" s="318"/>
    </row>
    <row r="18" spans="1:10" ht="19.5" customHeight="1">
      <c r="A18" s="319">
        <v>45748</v>
      </c>
      <c r="B18" s="317">
        <v>45762</v>
      </c>
      <c r="C18" s="317">
        <v>45763</v>
      </c>
      <c r="D18" s="317">
        <v>45806</v>
      </c>
      <c r="E18" s="317">
        <v>45762</v>
      </c>
      <c r="F18" s="317">
        <v>45756</v>
      </c>
      <c r="H18" s="321"/>
      <c r="I18" s="322"/>
      <c r="J18" s="318"/>
    </row>
    <row r="19" spans="1:10" ht="19.5" customHeight="1">
      <c r="A19" s="319">
        <v>45778</v>
      </c>
      <c r="B19" s="317">
        <v>45792</v>
      </c>
      <c r="C19" s="317">
        <v>45792</v>
      </c>
      <c r="D19" s="317">
        <v>45806</v>
      </c>
      <c r="E19" s="317">
        <v>45792</v>
      </c>
      <c r="F19" s="317">
        <v>45784</v>
      </c>
      <c r="H19" s="321"/>
      <c r="I19" s="322"/>
      <c r="J19" s="318"/>
    </row>
    <row r="20" spans="1:10" ht="19.5" customHeight="1">
      <c r="A20" s="319">
        <v>45809</v>
      </c>
      <c r="B20" s="317">
        <v>45824</v>
      </c>
      <c r="C20" s="317">
        <v>45824</v>
      </c>
      <c r="D20" s="317">
        <v>45806</v>
      </c>
      <c r="E20" s="317">
        <v>45824</v>
      </c>
      <c r="F20" s="317">
        <v>45816</v>
      </c>
      <c r="H20" s="321"/>
      <c r="I20" s="322"/>
      <c r="J20" s="318"/>
    </row>
    <row r="21" spans="1:10" ht="19.5" customHeight="1">
      <c r="A21" s="319">
        <v>45839</v>
      </c>
      <c r="B21" s="317">
        <v>45853</v>
      </c>
      <c r="C21" s="317">
        <v>45853</v>
      </c>
      <c r="D21" s="317">
        <v>45916</v>
      </c>
      <c r="E21" s="317">
        <v>45853</v>
      </c>
      <c r="F21" s="317">
        <v>45846</v>
      </c>
      <c r="H21" s="321"/>
      <c r="I21" s="322"/>
      <c r="J21" s="318"/>
    </row>
    <row r="22" spans="1:10" ht="19.5" customHeight="1">
      <c r="A22" s="319">
        <v>45870</v>
      </c>
      <c r="B22" s="317">
        <v>45887</v>
      </c>
      <c r="C22" s="317">
        <v>45890</v>
      </c>
      <c r="D22" s="317">
        <v>45916</v>
      </c>
      <c r="E22" s="317">
        <v>45887</v>
      </c>
      <c r="F22" s="317">
        <v>45875</v>
      </c>
      <c r="H22" s="321"/>
      <c r="I22" s="322"/>
      <c r="J22" s="318"/>
    </row>
    <row r="23" spans="1:10" ht="19.5" customHeight="1">
      <c r="A23" s="319">
        <v>45901</v>
      </c>
      <c r="B23" s="317">
        <v>45915</v>
      </c>
      <c r="C23" s="317">
        <v>45916</v>
      </c>
      <c r="D23" s="317">
        <v>45916</v>
      </c>
      <c r="E23" s="317">
        <v>45915</v>
      </c>
      <c r="F23" s="317">
        <v>45905</v>
      </c>
      <c r="H23" s="321"/>
      <c r="I23" s="322"/>
      <c r="J23" s="318"/>
    </row>
    <row r="24" spans="1:10" ht="19.5" customHeight="1">
      <c r="A24" s="319">
        <v>45931</v>
      </c>
      <c r="B24" s="317">
        <v>45945</v>
      </c>
      <c r="C24" s="317">
        <v>45945</v>
      </c>
      <c r="D24" s="317">
        <v>45916</v>
      </c>
      <c r="E24" s="317">
        <v>45945</v>
      </c>
      <c r="F24" s="317">
        <v>45940</v>
      </c>
      <c r="H24" s="321"/>
      <c r="I24" s="322"/>
      <c r="J24" s="318"/>
    </row>
    <row r="25" spans="1:10" ht="19.5" customHeight="1">
      <c r="A25" s="319">
        <v>45962</v>
      </c>
      <c r="B25" s="317">
        <v>45978</v>
      </c>
      <c r="C25" s="317">
        <v>45978</v>
      </c>
      <c r="D25" s="317">
        <v>45945</v>
      </c>
      <c r="E25" s="317">
        <v>45978</v>
      </c>
      <c r="F25" s="317">
        <v>45970</v>
      </c>
      <c r="H25" s="321"/>
      <c r="I25" s="322"/>
      <c r="J25" s="318"/>
    </row>
    <row r="26" spans="1:10" ht="19.5" customHeight="1">
      <c r="A26" s="319">
        <v>45992</v>
      </c>
      <c r="B26" s="317">
        <v>46006</v>
      </c>
      <c r="C26" s="317">
        <v>46006</v>
      </c>
      <c r="D26" s="317">
        <v>45945</v>
      </c>
      <c r="E26" s="317">
        <v>46006</v>
      </c>
      <c r="F26" s="317">
        <v>45999</v>
      </c>
      <c r="H26" s="321"/>
      <c r="I26" s="322"/>
      <c r="J26" s="318"/>
    </row>
    <row r="27" spans="1:10" ht="19.5" customHeight="1">
      <c r="A27" s="319">
        <v>46023</v>
      </c>
      <c r="B27" s="317">
        <v>46037</v>
      </c>
      <c r="C27" s="317">
        <v>46037</v>
      </c>
      <c r="D27" s="317">
        <v>45945</v>
      </c>
      <c r="E27" s="317">
        <v>46037</v>
      </c>
      <c r="F27" s="317">
        <v>46031</v>
      </c>
      <c r="H27" s="321"/>
      <c r="I27" s="322"/>
      <c r="J27" s="318"/>
    </row>
    <row r="28" spans="1:10" ht="19.5" customHeight="1">
      <c r="A28" s="319">
        <v>46054</v>
      </c>
      <c r="B28" s="317">
        <v>46072</v>
      </c>
      <c r="C28" s="317">
        <v>46072</v>
      </c>
      <c r="D28" s="317">
        <v>45945</v>
      </c>
      <c r="E28" s="317">
        <v>46072</v>
      </c>
      <c r="F28" s="317">
        <v>46062</v>
      </c>
      <c r="H28" s="321"/>
      <c r="I28" s="322"/>
      <c r="J28" s="318"/>
    </row>
    <row r="29" spans="1:10" ht="19.5" customHeight="1">
      <c r="A29" s="319">
        <v>46082</v>
      </c>
      <c r="B29" s="317"/>
      <c r="C29" s="317"/>
      <c r="D29" s="317">
        <v>45945</v>
      </c>
      <c r="E29" s="317"/>
      <c r="F29" s="317"/>
      <c r="H29" s="321"/>
      <c r="I29" s="322"/>
      <c r="J29" s="318"/>
    </row>
    <row r="30" spans="1:10" ht="19.5" customHeight="1">
      <c r="A30" s="319">
        <v>46113</v>
      </c>
      <c r="B30" s="317"/>
      <c r="C30" s="317"/>
      <c r="D30" s="317">
        <v>45945</v>
      </c>
      <c r="E30" s="317"/>
      <c r="F30" s="317"/>
      <c r="H30" s="321"/>
      <c r="I30" s="322"/>
      <c r="J30" s="318"/>
    </row>
    <row r="31" spans="1:10" ht="19.5" customHeight="1">
      <c r="A31" s="319">
        <v>46143</v>
      </c>
      <c r="B31" s="317"/>
      <c r="C31" s="317"/>
      <c r="D31" s="317">
        <v>45945</v>
      </c>
      <c r="E31" s="317"/>
      <c r="F31" s="317"/>
      <c r="H31" s="321"/>
      <c r="I31" s="322"/>
      <c r="J31" s="318"/>
    </row>
    <row r="32" spans="1:10" ht="19.5" customHeight="1">
      <c r="A32" s="319">
        <v>46174</v>
      </c>
      <c r="B32" s="317"/>
      <c r="C32" s="317"/>
      <c r="D32" s="317">
        <v>45945</v>
      </c>
      <c r="E32" s="317"/>
      <c r="F32" s="317"/>
      <c r="H32" s="321"/>
      <c r="I32" s="322"/>
      <c r="J32" s="318"/>
    </row>
    <row r="33" spans="1:10" ht="19.5" customHeight="1">
      <c r="A33" s="319">
        <v>46204</v>
      </c>
      <c r="B33" s="317"/>
      <c r="C33" s="317"/>
      <c r="D33" s="317">
        <v>45945</v>
      </c>
      <c r="E33" s="317"/>
      <c r="F33" s="317"/>
      <c r="H33" s="321"/>
      <c r="I33" s="322"/>
      <c r="J33" s="318"/>
    </row>
    <row r="34" spans="1:10" ht="19.5" customHeight="1">
      <c r="A34" s="319">
        <v>46235</v>
      </c>
      <c r="B34" s="317"/>
      <c r="C34" s="317"/>
      <c r="D34" s="317">
        <v>45945</v>
      </c>
      <c r="E34" s="317"/>
      <c r="F34" s="317"/>
      <c r="H34" s="321"/>
      <c r="I34" s="322"/>
      <c r="J34" s="318"/>
    </row>
    <row r="35" spans="1:10" ht="19.5" customHeight="1">
      <c r="A35" s="319">
        <v>46266</v>
      </c>
      <c r="B35" s="317"/>
      <c r="C35" s="317"/>
      <c r="D35" s="317">
        <v>45945</v>
      </c>
      <c r="E35" s="317"/>
      <c r="F35" s="317"/>
      <c r="H35" s="321"/>
      <c r="I35" s="322"/>
      <c r="J35" s="318"/>
    </row>
    <row r="36" spans="1:10" ht="19.5" customHeight="1">
      <c r="A36" s="319">
        <v>46296</v>
      </c>
      <c r="B36" s="317"/>
      <c r="C36" s="317"/>
      <c r="D36" s="317">
        <v>45945</v>
      </c>
      <c r="E36" s="317"/>
      <c r="F36" s="317"/>
      <c r="H36" s="321"/>
      <c r="I36" s="322"/>
      <c r="J36" s="318"/>
    </row>
    <row r="37" spans="1:10" ht="19.5" customHeight="1">
      <c r="A37" s="319">
        <v>46327</v>
      </c>
      <c r="B37" s="317"/>
      <c r="C37" s="317"/>
      <c r="D37" s="317">
        <v>45945</v>
      </c>
      <c r="E37" s="317"/>
      <c r="F37" s="317"/>
      <c r="H37" s="321"/>
      <c r="I37" s="322"/>
      <c r="J37" s="318"/>
    </row>
    <row r="38" spans="1:10" ht="19.5" customHeight="1">
      <c r="A38" s="319">
        <v>46357</v>
      </c>
      <c r="B38" s="317"/>
      <c r="C38" s="317"/>
      <c r="D38" s="317">
        <v>45945</v>
      </c>
      <c r="E38" s="317"/>
      <c r="F38" s="317"/>
      <c r="H38" s="321"/>
      <c r="I38" s="322"/>
      <c r="J38" s="318"/>
    </row>
    <row r="39" spans="1:10" ht="19.5" customHeight="1">
      <c r="A39" s="319">
        <v>46388</v>
      </c>
      <c r="B39" s="317"/>
      <c r="C39" s="317"/>
      <c r="D39" s="317"/>
      <c r="E39" s="317"/>
      <c r="F39" s="317"/>
      <c r="H39" s="321"/>
      <c r="I39" s="322"/>
      <c r="J39" s="318"/>
    </row>
    <row r="40" spans="1:10" ht="19.5" customHeight="1">
      <c r="A40" s="319">
        <v>46419</v>
      </c>
      <c r="B40" s="317"/>
      <c r="C40" s="317"/>
      <c r="D40" s="317"/>
      <c r="E40" s="317"/>
      <c r="F40" s="317"/>
      <c r="H40" s="321"/>
      <c r="I40" s="322"/>
      <c r="J40" s="318"/>
    </row>
    <row r="41" spans="1:10" ht="19.5" customHeight="1">
      <c r="A41" s="319">
        <v>46447</v>
      </c>
      <c r="B41" s="317"/>
      <c r="C41" s="317"/>
      <c r="D41" s="317"/>
      <c r="E41" s="317"/>
      <c r="F41" s="317"/>
      <c r="H41" s="321"/>
      <c r="I41" s="322"/>
      <c r="J41" s="318"/>
    </row>
    <row r="42" spans="1:10" ht="19.5" customHeight="1">
      <c r="A42" s="319">
        <v>46478</v>
      </c>
      <c r="B42" s="317"/>
      <c r="C42" s="317"/>
      <c r="D42" s="317"/>
      <c r="E42" s="317"/>
      <c r="F42" s="317"/>
      <c r="H42" s="321"/>
      <c r="I42" s="322"/>
      <c r="J42" s="318"/>
    </row>
    <row r="43" spans="1:10" ht="19.5" customHeight="1">
      <c r="A43" s="319">
        <v>46508</v>
      </c>
      <c r="B43" s="317"/>
      <c r="C43" s="317"/>
      <c r="D43" s="317"/>
      <c r="E43" s="317"/>
      <c r="F43" s="317"/>
      <c r="H43" s="321"/>
      <c r="I43" s="322"/>
      <c r="J43" s="318"/>
    </row>
    <row r="44" spans="1:10" ht="19.5" customHeight="1">
      <c r="A44" s="319">
        <v>46539</v>
      </c>
      <c r="B44" s="317"/>
      <c r="C44" s="317"/>
      <c r="D44" s="317"/>
      <c r="E44" s="317"/>
      <c r="F44" s="317"/>
      <c r="H44" s="321"/>
      <c r="I44" s="322"/>
      <c r="J44" s="318"/>
    </row>
    <row r="45" spans="1:10" ht="19.5" customHeight="1">
      <c r="A45" s="319">
        <v>46569</v>
      </c>
      <c r="B45" s="317"/>
      <c r="C45" s="317"/>
      <c r="D45" s="317"/>
      <c r="E45" s="317"/>
      <c r="F45" s="317"/>
      <c r="H45" s="321"/>
      <c r="I45" s="322"/>
      <c r="J45" s="318"/>
    </row>
    <row r="46" spans="1:10" ht="19.5" customHeight="1">
      <c r="A46" s="319">
        <v>46600</v>
      </c>
      <c r="B46" s="317"/>
      <c r="C46" s="317"/>
      <c r="D46" s="317"/>
      <c r="E46" s="317"/>
      <c r="F46" s="317"/>
      <c r="H46" s="321"/>
      <c r="I46" s="322"/>
      <c r="J46" s="318"/>
    </row>
    <row r="47" spans="1:10" ht="19.5" customHeight="1">
      <c r="A47" s="319">
        <v>46631</v>
      </c>
      <c r="B47" s="317"/>
      <c r="C47" s="317"/>
      <c r="D47" s="317"/>
      <c r="E47" s="317"/>
      <c r="F47" s="317"/>
      <c r="H47" s="321"/>
      <c r="I47" s="322"/>
      <c r="J47" s="318"/>
    </row>
    <row r="48" spans="1:10" ht="19.5" customHeight="1">
      <c r="A48" s="319">
        <v>46661</v>
      </c>
      <c r="B48" s="317"/>
      <c r="C48" s="317"/>
      <c r="D48" s="317"/>
      <c r="E48" s="317"/>
      <c r="F48" s="317"/>
      <c r="H48" s="321"/>
      <c r="I48" s="322"/>
      <c r="J48" s="318"/>
    </row>
    <row r="49" spans="1:10" ht="19.5" customHeight="1">
      <c r="A49" s="319">
        <v>46692</v>
      </c>
      <c r="B49" s="317"/>
      <c r="C49" s="317"/>
      <c r="D49" s="317"/>
      <c r="E49" s="317"/>
      <c r="F49" s="317"/>
      <c r="H49" s="321"/>
      <c r="I49" s="322"/>
      <c r="J49" s="318"/>
    </row>
    <row r="50" spans="1:10" ht="19.5" customHeight="1">
      <c r="A50" s="319">
        <v>46722</v>
      </c>
      <c r="B50" s="317"/>
      <c r="C50" s="317"/>
      <c r="D50" s="317"/>
      <c r="E50" s="317"/>
      <c r="F50" s="317"/>
      <c r="H50" s="321"/>
      <c r="I50" s="322"/>
      <c r="J50" s="318"/>
    </row>
  </sheetData>
  <mergeCells count="2">
    <mergeCell ref="A1:F1"/>
    <mergeCell ref="H1:J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7541-8FB5-47D3-AD99-0DA19079E5E2}">
  <dimension ref="A1:J146"/>
  <sheetViews>
    <sheetView zoomScale="70" zoomScaleNormal="70" workbookViewId="0">
      <pane xSplit="2" ySplit="1" topLeftCell="C12" activePane="bottomRight" state="frozen"/>
      <selection activeCell="E8" sqref="E8"/>
      <selection pane="topRight" activeCell="E8" sqref="E8"/>
      <selection pane="bottomLeft" activeCell="E8" sqref="E8"/>
      <selection pane="bottomRight" activeCell="E8" sqref="E8"/>
    </sheetView>
  </sheetViews>
  <sheetFormatPr defaultColWidth="9" defaultRowHeight="12"/>
  <cols>
    <col min="1" max="2" width="9" style="255"/>
    <col min="3" max="5" width="24.75" style="26" customWidth="1"/>
    <col min="6" max="6" width="17.125" style="293" customWidth="1"/>
    <col min="7" max="7" width="24.75" style="26" customWidth="1"/>
    <col min="8" max="9" width="17.125" style="293" customWidth="1"/>
    <col min="10" max="10" width="64" style="26" customWidth="1"/>
    <col min="11" max="16384" width="9" style="255"/>
  </cols>
  <sheetData>
    <row r="1" spans="1:10" ht="18" customHeight="1">
      <c r="A1" s="694" t="s">
        <v>1905</v>
      </c>
      <c r="B1" s="695"/>
      <c r="C1" s="297" t="s">
        <v>234</v>
      </c>
      <c r="D1" s="294" t="s">
        <v>1048</v>
      </c>
      <c r="E1" s="694" t="s">
        <v>2295</v>
      </c>
      <c r="F1" s="695"/>
      <c r="G1" s="694" t="s">
        <v>2296</v>
      </c>
      <c r="H1" s="695"/>
      <c r="I1" s="300" t="s">
        <v>2358</v>
      </c>
      <c r="J1" s="300" t="s">
        <v>153</v>
      </c>
    </row>
    <row r="2" spans="1:10" ht="21.75" customHeight="1">
      <c r="A2" s="691">
        <v>2024</v>
      </c>
      <c r="B2" s="304" t="s">
        <v>2299</v>
      </c>
      <c r="C2" s="305">
        <v>34</v>
      </c>
      <c r="D2" s="305">
        <v>32</v>
      </c>
      <c r="E2" s="309" t="s">
        <v>2323</v>
      </c>
      <c r="F2" s="306" t="s">
        <v>2358</v>
      </c>
      <c r="G2" s="309" t="s">
        <v>2</v>
      </c>
      <c r="H2" s="306" t="s">
        <v>2358</v>
      </c>
      <c r="I2" s="306" t="s">
        <v>1061</v>
      </c>
      <c r="J2" s="304" t="s">
        <v>2328</v>
      </c>
    </row>
    <row r="3" spans="1:10" ht="30.75" customHeight="1">
      <c r="A3" s="692"/>
      <c r="B3" s="295" t="s">
        <v>2291</v>
      </c>
      <c r="C3" s="298"/>
      <c r="D3" s="298"/>
      <c r="E3" s="302"/>
      <c r="F3" s="307">
        <v>7500000</v>
      </c>
      <c r="G3" s="302"/>
      <c r="H3" s="307">
        <v>0</v>
      </c>
      <c r="I3" s="307">
        <f>H3+F3</f>
        <v>7500000</v>
      </c>
      <c r="J3" s="295"/>
    </row>
    <row r="4" spans="1:10" ht="30.75" customHeight="1">
      <c r="A4" s="692"/>
      <c r="B4" s="295" t="s">
        <v>2292</v>
      </c>
      <c r="C4" s="298"/>
      <c r="D4" s="298"/>
      <c r="E4" s="302"/>
      <c r="F4" s="307">
        <v>7500000</v>
      </c>
      <c r="G4" s="302"/>
      <c r="H4" s="307">
        <v>0</v>
      </c>
      <c r="I4" s="307">
        <f t="shared" ref="I4:I6" si="0">H4+F4</f>
        <v>7500000</v>
      </c>
      <c r="J4" s="295"/>
    </row>
    <row r="5" spans="1:10" ht="30.75" customHeight="1">
      <c r="A5" s="692"/>
      <c r="B5" s="295" t="s">
        <v>2293</v>
      </c>
      <c r="C5" s="298"/>
      <c r="D5" s="298"/>
      <c r="E5" s="302"/>
      <c r="F5" s="307">
        <v>7500000</v>
      </c>
      <c r="G5" s="302"/>
      <c r="H5" s="307">
        <v>0</v>
      </c>
      <c r="I5" s="307">
        <f t="shared" si="0"/>
        <v>7500000</v>
      </c>
      <c r="J5" s="295"/>
    </row>
    <row r="6" spans="1:10" ht="30.75" customHeight="1">
      <c r="A6" s="693"/>
      <c r="B6" s="296" t="s">
        <v>2294</v>
      </c>
      <c r="C6" s="299" t="s">
        <v>2302</v>
      </c>
      <c r="D6" s="299"/>
      <c r="E6" s="303"/>
      <c r="F6" s="307">
        <v>7500000</v>
      </c>
      <c r="G6" s="303"/>
      <c r="H6" s="308">
        <v>0</v>
      </c>
      <c r="I6" s="308">
        <f t="shared" si="0"/>
        <v>7500000</v>
      </c>
      <c r="J6" s="296"/>
    </row>
    <row r="7" spans="1:10" ht="21.75" customHeight="1">
      <c r="A7" s="691">
        <v>2025</v>
      </c>
      <c r="B7" s="304" t="s">
        <v>2299</v>
      </c>
      <c r="C7" s="305">
        <v>35</v>
      </c>
      <c r="D7" s="305">
        <v>33</v>
      </c>
      <c r="E7" s="309" t="s">
        <v>2324</v>
      </c>
      <c r="F7" s="306"/>
      <c r="G7" s="309">
        <v>0</v>
      </c>
      <c r="H7" s="306"/>
      <c r="I7" s="306"/>
      <c r="J7" s="304" t="s">
        <v>2329</v>
      </c>
    </row>
    <row r="8" spans="1:10" ht="30.75" customHeight="1">
      <c r="A8" s="692"/>
      <c r="B8" s="295" t="s">
        <v>2291</v>
      </c>
      <c r="C8" s="298"/>
      <c r="D8" s="298"/>
      <c r="E8" s="302"/>
      <c r="F8" s="307">
        <v>7500000</v>
      </c>
      <c r="G8" s="302" t="s">
        <v>2297</v>
      </c>
      <c r="H8" s="307"/>
      <c r="I8" s="307">
        <f>H8+F8</f>
        <v>7500000</v>
      </c>
      <c r="J8" s="295"/>
    </row>
    <row r="9" spans="1:10" ht="30.75" customHeight="1">
      <c r="A9" s="692"/>
      <c r="B9" s="295" t="s">
        <v>2292</v>
      </c>
      <c r="C9" s="298"/>
      <c r="D9" s="298"/>
      <c r="E9" s="302"/>
      <c r="F9" s="307">
        <v>7500000</v>
      </c>
      <c r="G9" s="302"/>
      <c r="H9" s="307"/>
      <c r="I9" s="307">
        <f t="shared" ref="I9:I11" si="1">H9+F9</f>
        <v>7500000</v>
      </c>
      <c r="J9" s="295"/>
    </row>
    <row r="10" spans="1:10" ht="30.75" customHeight="1">
      <c r="A10" s="692"/>
      <c r="B10" s="295" t="s">
        <v>2293</v>
      </c>
      <c r="C10" s="298"/>
      <c r="D10" s="298"/>
      <c r="E10" s="302"/>
      <c r="F10" s="307">
        <v>7500000</v>
      </c>
      <c r="G10" s="302"/>
      <c r="H10" s="307"/>
      <c r="I10" s="307">
        <f t="shared" si="1"/>
        <v>7500000</v>
      </c>
      <c r="J10" s="295"/>
    </row>
    <row r="11" spans="1:10" ht="30.75" customHeight="1">
      <c r="A11" s="693"/>
      <c r="B11" s="296" t="s">
        <v>2294</v>
      </c>
      <c r="C11" s="299" t="s">
        <v>2302</v>
      </c>
      <c r="D11" s="299"/>
      <c r="E11" s="303" t="s">
        <v>2305</v>
      </c>
      <c r="F11" s="307">
        <v>7500000</v>
      </c>
      <c r="G11" s="303"/>
      <c r="H11" s="308"/>
      <c r="I11" s="308">
        <f t="shared" si="1"/>
        <v>7500000</v>
      </c>
      <c r="J11" s="301" t="s">
        <v>2357</v>
      </c>
    </row>
    <row r="12" spans="1:10" ht="21.75" customHeight="1">
      <c r="A12" s="691">
        <v>2026</v>
      </c>
      <c r="B12" s="304" t="s">
        <v>2299</v>
      </c>
      <c r="C12" s="305">
        <v>36</v>
      </c>
      <c r="D12" s="305">
        <v>34</v>
      </c>
      <c r="E12" s="309" t="s">
        <v>2311</v>
      </c>
      <c r="F12" s="306"/>
      <c r="G12" s="309">
        <v>1</v>
      </c>
      <c r="H12" s="306"/>
      <c r="I12" s="306"/>
      <c r="J12" s="304" t="s">
        <v>2330</v>
      </c>
    </row>
    <row r="13" spans="1:10" ht="30.75" customHeight="1">
      <c r="A13" s="692"/>
      <c r="B13" s="295" t="s">
        <v>2291</v>
      </c>
      <c r="C13" s="298"/>
      <c r="D13" s="298"/>
      <c r="E13" s="302" t="s">
        <v>2359</v>
      </c>
      <c r="F13" s="307">
        <v>3750000</v>
      </c>
      <c r="G13" s="302"/>
      <c r="H13" s="307"/>
      <c r="I13" s="307">
        <f>H13+F13</f>
        <v>3750000</v>
      </c>
      <c r="J13" s="295"/>
    </row>
    <row r="14" spans="1:10" ht="30.75" customHeight="1">
      <c r="A14" s="692"/>
      <c r="B14" s="295" t="s">
        <v>2292</v>
      </c>
      <c r="C14" s="298"/>
      <c r="D14" s="298"/>
      <c r="E14" s="302"/>
      <c r="F14" s="307">
        <v>2250000</v>
      </c>
      <c r="G14" s="302"/>
      <c r="H14" s="307"/>
      <c r="I14" s="307">
        <f t="shared" ref="I14:I16" si="2">H14+F14</f>
        <v>2250000</v>
      </c>
      <c r="J14" s="295"/>
    </row>
    <row r="15" spans="1:10" ht="30.75" customHeight="1">
      <c r="A15" s="692"/>
      <c r="B15" s="295" t="s">
        <v>2293</v>
      </c>
      <c r="C15" s="298"/>
      <c r="D15" s="298"/>
      <c r="E15" s="302"/>
      <c r="F15" s="307">
        <v>2750000</v>
      </c>
      <c r="G15" s="302"/>
      <c r="H15" s="307"/>
      <c r="I15" s="307">
        <f t="shared" si="2"/>
        <v>2750000</v>
      </c>
      <c r="J15" s="295"/>
    </row>
    <row r="16" spans="1:10" ht="30.75" customHeight="1">
      <c r="A16" s="693"/>
      <c r="B16" s="296" t="s">
        <v>2294</v>
      </c>
      <c r="C16" s="299" t="s">
        <v>2302</v>
      </c>
      <c r="D16" s="299"/>
      <c r="E16" s="303"/>
      <c r="F16" s="308">
        <v>2250000</v>
      </c>
      <c r="G16" s="303"/>
      <c r="H16" s="308"/>
      <c r="I16" s="308">
        <f t="shared" si="2"/>
        <v>2250000</v>
      </c>
      <c r="J16" s="296"/>
    </row>
    <row r="17" spans="1:10" ht="21.75" customHeight="1">
      <c r="A17" s="691">
        <v>2027</v>
      </c>
      <c r="B17" s="304" t="s">
        <v>2299</v>
      </c>
      <c r="C17" s="305">
        <v>37</v>
      </c>
      <c r="D17" s="305">
        <v>35</v>
      </c>
      <c r="E17" s="309" t="s">
        <v>2312</v>
      </c>
      <c r="F17" s="306"/>
      <c r="G17" s="309" t="s">
        <v>2325</v>
      </c>
      <c r="H17" s="306"/>
      <c r="I17" s="306"/>
      <c r="J17" s="304" t="s">
        <v>2331</v>
      </c>
    </row>
    <row r="18" spans="1:10" ht="30.75" customHeight="1">
      <c r="A18" s="692"/>
      <c r="B18" s="295" t="s">
        <v>2291</v>
      </c>
      <c r="C18" s="298"/>
      <c r="D18" s="298"/>
      <c r="E18" s="302"/>
      <c r="F18" s="307">
        <v>2750000</v>
      </c>
      <c r="G18" s="302"/>
      <c r="H18" s="307"/>
      <c r="I18" s="307">
        <f>H18+F18</f>
        <v>2750000</v>
      </c>
      <c r="J18" s="295"/>
    </row>
    <row r="19" spans="1:10" ht="30.75" customHeight="1">
      <c r="A19" s="692"/>
      <c r="B19" s="295" t="s">
        <v>2292</v>
      </c>
      <c r="C19" s="298"/>
      <c r="D19" s="298"/>
      <c r="E19" s="302"/>
      <c r="F19" s="307">
        <v>2250000</v>
      </c>
      <c r="G19" s="302"/>
      <c r="H19" s="307"/>
      <c r="I19" s="307">
        <f t="shared" ref="I19:I21" si="3">H19+F19</f>
        <v>2250000</v>
      </c>
      <c r="J19" s="295"/>
    </row>
    <row r="20" spans="1:10" ht="30.75" customHeight="1">
      <c r="A20" s="692"/>
      <c r="B20" s="295" t="s">
        <v>2293</v>
      </c>
      <c r="C20" s="298"/>
      <c r="D20" s="298"/>
      <c r="E20" s="302"/>
      <c r="F20" s="307">
        <v>2750000</v>
      </c>
      <c r="G20" s="302"/>
      <c r="H20" s="307"/>
      <c r="I20" s="307">
        <f t="shared" si="3"/>
        <v>2750000</v>
      </c>
      <c r="J20" s="295"/>
    </row>
    <row r="21" spans="1:10" ht="30.75" customHeight="1">
      <c r="A21" s="693"/>
      <c r="B21" s="296" t="s">
        <v>2294</v>
      </c>
      <c r="C21" s="299" t="s">
        <v>2303</v>
      </c>
      <c r="D21" s="299"/>
      <c r="E21" s="303"/>
      <c r="F21" s="307">
        <v>2250000</v>
      </c>
      <c r="G21" s="303"/>
      <c r="H21" s="308"/>
      <c r="I21" s="308">
        <f t="shared" si="3"/>
        <v>2250000</v>
      </c>
      <c r="J21" s="296"/>
    </row>
    <row r="22" spans="1:10" ht="21.75" customHeight="1">
      <c r="A22" s="691">
        <v>2028</v>
      </c>
      <c r="B22" s="304" t="s">
        <v>2299</v>
      </c>
      <c r="C22" s="305">
        <v>38</v>
      </c>
      <c r="D22" s="305">
        <v>36</v>
      </c>
      <c r="E22" s="309" t="s">
        <v>2313</v>
      </c>
      <c r="F22" s="306"/>
      <c r="G22" s="309" t="s">
        <v>2326</v>
      </c>
      <c r="H22" s="306"/>
      <c r="I22" s="306"/>
      <c r="J22" s="304" t="s">
        <v>2332</v>
      </c>
    </row>
    <row r="23" spans="1:10" ht="30.75" customHeight="1">
      <c r="A23" s="692"/>
      <c r="B23" s="295" t="s">
        <v>2291</v>
      </c>
      <c r="C23" s="298"/>
      <c r="D23" s="298"/>
      <c r="E23" s="302"/>
      <c r="F23" s="307">
        <v>2750000</v>
      </c>
      <c r="G23" s="302"/>
      <c r="H23" s="307"/>
      <c r="I23" s="307">
        <f>H23+F23</f>
        <v>2750000</v>
      </c>
      <c r="J23" s="295"/>
    </row>
    <row r="24" spans="1:10" ht="30.75" customHeight="1">
      <c r="A24" s="692"/>
      <c r="B24" s="295" t="s">
        <v>2292</v>
      </c>
      <c r="C24" s="298"/>
      <c r="D24" s="298"/>
      <c r="E24" s="302"/>
      <c r="F24" s="307">
        <v>2250000</v>
      </c>
      <c r="G24" s="302"/>
      <c r="H24" s="307"/>
      <c r="I24" s="307">
        <f t="shared" ref="I24:I26" si="4">H24+F24</f>
        <v>2250000</v>
      </c>
      <c r="J24" s="295"/>
    </row>
    <row r="25" spans="1:10" ht="30.75" customHeight="1">
      <c r="A25" s="692"/>
      <c r="B25" s="295" t="s">
        <v>2293</v>
      </c>
      <c r="C25" s="298"/>
      <c r="D25" s="298"/>
      <c r="E25" s="302"/>
      <c r="F25" s="307">
        <v>2750000</v>
      </c>
      <c r="G25" s="302"/>
      <c r="H25" s="307"/>
      <c r="I25" s="307">
        <f t="shared" si="4"/>
        <v>2750000</v>
      </c>
      <c r="J25" s="295"/>
    </row>
    <row r="26" spans="1:10" ht="30.75" customHeight="1">
      <c r="A26" s="693"/>
      <c r="B26" s="296" t="s">
        <v>2294</v>
      </c>
      <c r="C26" s="299"/>
      <c r="D26" s="299"/>
      <c r="E26" s="303"/>
      <c r="F26" s="307">
        <v>2250000</v>
      </c>
      <c r="G26" s="303"/>
      <c r="H26" s="308"/>
      <c r="I26" s="308">
        <f t="shared" si="4"/>
        <v>2250000</v>
      </c>
      <c r="J26" s="296"/>
    </row>
    <row r="27" spans="1:10" ht="21.75" customHeight="1">
      <c r="A27" s="691">
        <v>2029</v>
      </c>
      <c r="B27" s="304" t="s">
        <v>2299</v>
      </c>
      <c r="C27" s="305">
        <v>39</v>
      </c>
      <c r="D27" s="305">
        <v>37</v>
      </c>
      <c r="E27" s="309" t="s">
        <v>2314</v>
      </c>
      <c r="F27" s="306"/>
      <c r="G27" s="309" t="s">
        <v>2327</v>
      </c>
      <c r="H27" s="306"/>
      <c r="I27" s="306"/>
      <c r="J27" s="304" t="s">
        <v>2333</v>
      </c>
    </row>
    <row r="28" spans="1:10" ht="30.75" customHeight="1">
      <c r="A28" s="692"/>
      <c r="B28" s="295" t="s">
        <v>2291</v>
      </c>
      <c r="C28" s="298"/>
      <c r="D28" s="298"/>
      <c r="E28" s="302"/>
      <c r="F28" s="307">
        <v>2750000</v>
      </c>
      <c r="G28" s="302" t="s">
        <v>2310</v>
      </c>
      <c r="H28" s="307">
        <v>6000000</v>
      </c>
      <c r="I28" s="307">
        <f t="shared" ref="I28:I91" si="5">H28+F28</f>
        <v>8750000</v>
      </c>
      <c r="J28" s="295"/>
    </row>
    <row r="29" spans="1:10" ht="30.75" customHeight="1">
      <c r="A29" s="692"/>
      <c r="B29" s="295" t="s">
        <v>2292</v>
      </c>
      <c r="C29" s="298"/>
      <c r="D29" s="298"/>
      <c r="E29" s="302"/>
      <c r="F29" s="307">
        <v>2250000</v>
      </c>
      <c r="G29" s="302"/>
      <c r="H29" s="307">
        <v>6000000</v>
      </c>
      <c r="I29" s="307">
        <f t="shared" si="5"/>
        <v>8250000</v>
      </c>
      <c r="J29" s="295"/>
    </row>
    <row r="30" spans="1:10" ht="30.75" customHeight="1">
      <c r="A30" s="692"/>
      <c r="B30" s="295" t="s">
        <v>2293</v>
      </c>
      <c r="C30" s="298"/>
      <c r="D30" s="298"/>
      <c r="E30" s="302"/>
      <c r="F30" s="307">
        <v>2750000</v>
      </c>
      <c r="G30" s="302"/>
      <c r="H30" s="307">
        <v>6000000</v>
      </c>
      <c r="I30" s="307">
        <f t="shared" si="5"/>
        <v>8750000</v>
      </c>
      <c r="J30" s="295"/>
    </row>
    <row r="31" spans="1:10" ht="30.75" customHeight="1">
      <c r="A31" s="693"/>
      <c r="B31" s="296" t="s">
        <v>2294</v>
      </c>
      <c r="C31" s="299"/>
      <c r="D31" s="299"/>
      <c r="E31" s="303"/>
      <c r="F31" s="307">
        <v>2250000</v>
      </c>
      <c r="G31" s="303"/>
      <c r="H31" s="307">
        <v>6000000</v>
      </c>
      <c r="I31" s="308">
        <f t="shared" si="5"/>
        <v>8250000</v>
      </c>
      <c r="J31" s="296"/>
    </row>
    <row r="32" spans="1:10" ht="21.75" customHeight="1">
      <c r="A32" s="691">
        <v>2030</v>
      </c>
      <c r="B32" s="304" t="s">
        <v>2299</v>
      </c>
      <c r="C32" s="305">
        <v>40</v>
      </c>
      <c r="D32" s="305">
        <v>38</v>
      </c>
      <c r="E32" s="309" t="s">
        <v>2315</v>
      </c>
      <c r="F32" s="306"/>
      <c r="G32" s="309" t="s">
        <v>2323</v>
      </c>
      <c r="H32" s="306"/>
      <c r="I32" s="306"/>
      <c r="J32" s="304" t="s">
        <v>2334</v>
      </c>
    </row>
    <row r="33" spans="1:10" ht="30.75" customHeight="1">
      <c r="A33" s="692"/>
      <c r="B33" s="295" t="s">
        <v>2291</v>
      </c>
      <c r="C33" s="298"/>
      <c r="D33" s="298"/>
      <c r="E33" s="302"/>
      <c r="F33" s="307">
        <v>2750000</v>
      </c>
      <c r="G33" s="302"/>
      <c r="H33" s="307">
        <v>6000000</v>
      </c>
      <c r="I33" s="307">
        <f t="shared" ref="I33" si="6">H33+F33</f>
        <v>8750000</v>
      </c>
      <c r="J33" s="295"/>
    </row>
    <row r="34" spans="1:10" ht="30.75" customHeight="1">
      <c r="A34" s="692"/>
      <c r="B34" s="295" t="s">
        <v>2292</v>
      </c>
      <c r="C34" s="298"/>
      <c r="D34" s="298"/>
      <c r="E34" s="302"/>
      <c r="F34" s="307">
        <v>2250000</v>
      </c>
      <c r="G34" s="302"/>
      <c r="H34" s="307">
        <v>6000000</v>
      </c>
      <c r="I34" s="307">
        <f t="shared" si="5"/>
        <v>8250000</v>
      </c>
      <c r="J34" s="295"/>
    </row>
    <row r="35" spans="1:10" ht="30.75" customHeight="1">
      <c r="A35" s="692"/>
      <c r="B35" s="295" t="s">
        <v>2293</v>
      </c>
      <c r="C35" s="298"/>
      <c r="D35" s="298"/>
      <c r="E35" s="302"/>
      <c r="F35" s="307">
        <v>2750000</v>
      </c>
      <c r="G35" s="302"/>
      <c r="H35" s="307">
        <v>6000000</v>
      </c>
      <c r="I35" s="307">
        <f t="shared" si="5"/>
        <v>8750000</v>
      </c>
      <c r="J35" s="295"/>
    </row>
    <row r="36" spans="1:10" ht="30.75" customHeight="1">
      <c r="A36" s="693"/>
      <c r="B36" s="296" t="s">
        <v>2294</v>
      </c>
      <c r="C36" s="299" t="s">
        <v>2298</v>
      </c>
      <c r="D36" s="299"/>
      <c r="E36" s="303"/>
      <c r="F36" s="307">
        <v>2250000</v>
      </c>
      <c r="G36" s="303"/>
      <c r="H36" s="307">
        <v>6000000</v>
      </c>
      <c r="I36" s="308">
        <f t="shared" si="5"/>
        <v>8250000</v>
      </c>
      <c r="J36" s="296"/>
    </row>
    <row r="37" spans="1:10" ht="21.75" customHeight="1">
      <c r="A37" s="691">
        <v>2031</v>
      </c>
      <c r="B37" s="304" t="s">
        <v>2299</v>
      </c>
      <c r="C37" s="305">
        <v>41</v>
      </c>
      <c r="D37" s="305">
        <v>39</v>
      </c>
      <c r="E37" s="309" t="s">
        <v>2316</v>
      </c>
      <c r="F37" s="306"/>
      <c r="G37" s="309" t="s">
        <v>2324</v>
      </c>
      <c r="H37" s="306"/>
      <c r="I37" s="306"/>
      <c r="J37" s="304" t="s">
        <v>2335</v>
      </c>
    </row>
    <row r="38" spans="1:10" ht="30.75" customHeight="1">
      <c r="A38" s="692"/>
      <c r="B38" s="295" t="s">
        <v>2291</v>
      </c>
      <c r="C38" s="298"/>
      <c r="D38" s="298"/>
      <c r="E38" s="302"/>
      <c r="F38" s="307">
        <v>2750000</v>
      </c>
      <c r="G38" s="302"/>
      <c r="H38" s="307">
        <v>6000000</v>
      </c>
      <c r="I38" s="307">
        <f t="shared" ref="I38" si="7">H38+F38</f>
        <v>8750000</v>
      </c>
      <c r="J38" s="295"/>
    </row>
    <row r="39" spans="1:10" ht="30.75" customHeight="1">
      <c r="A39" s="692"/>
      <c r="B39" s="295" t="s">
        <v>2292</v>
      </c>
      <c r="C39" s="298"/>
      <c r="D39" s="298"/>
      <c r="E39" s="302"/>
      <c r="F39" s="307">
        <v>2250000</v>
      </c>
      <c r="G39" s="302"/>
      <c r="H39" s="307">
        <v>6000000</v>
      </c>
      <c r="I39" s="307">
        <f t="shared" si="5"/>
        <v>8250000</v>
      </c>
      <c r="J39" s="295"/>
    </row>
    <row r="40" spans="1:10" ht="30.75" customHeight="1">
      <c r="A40" s="692"/>
      <c r="B40" s="295" t="s">
        <v>2293</v>
      </c>
      <c r="C40" s="298"/>
      <c r="D40" s="298"/>
      <c r="E40" s="302"/>
      <c r="F40" s="307">
        <v>2750000</v>
      </c>
      <c r="G40" s="302"/>
      <c r="H40" s="307">
        <v>6000000</v>
      </c>
      <c r="I40" s="307">
        <f t="shared" si="5"/>
        <v>8750000</v>
      </c>
      <c r="J40" s="295"/>
    </row>
    <row r="41" spans="1:10" ht="30.75" customHeight="1">
      <c r="A41" s="693"/>
      <c r="B41" s="296" t="s">
        <v>2294</v>
      </c>
      <c r="C41" s="299" t="s">
        <v>2298</v>
      </c>
      <c r="D41" s="299"/>
      <c r="E41" s="303" t="s">
        <v>2309</v>
      </c>
      <c r="F41" s="307">
        <v>2250000</v>
      </c>
      <c r="G41" s="303" t="s">
        <v>2305</v>
      </c>
      <c r="H41" s="307">
        <v>6000000</v>
      </c>
      <c r="I41" s="308">
        <f t="shared" si="5"/>
        <v>8250000</v>
      </c>
      <c r="J41" s="296"/>
    </row>
    <row r="42" spans="1:10" ht="21.75" customHeight="1">
      <c r="A42" s="691">
        <v>2032</v>
      </c>
      <c r="B42" s="304" t="s">
        <v>2299</v>
      </c>
      <c r="C42" s="305">
        <v>42</v>
      </c>
      <c r="D42" s="305">
        <v>40</v>
      </c>
      <c r="E42" s="309" t="s">
        <v>2317</v>
      </c>
      <c r="F42" s="306"/>
      <c r="G42" s="309" t="s">
        <v>2311</v>
      </c>
      <c r="H42" s="306"/>
      <c r="I42" s="306"/>
      <c r="J42" s="304" t="s">
        <v>2336</v>
      </c>
    </row>
    <row r="43" spans="1:10" ht="30.75" customHeight="1">
      <c r="A43" s="692"/>
      <c r="B43" s="295" t="s">
        <v>2291</v>
      </c>
      <c r="C43" s="298"/>
      <c r="D43" s="298"/>
      <c r="E43" s="302" t="s">
        <v>2304</v>
      </c>
      <c r="F43" s="307">
        <v>4500000</v>
      </c>
      <c r="G43" s="302" t="s">
        <v>2359</v>
      </c>
      <c r="H43" s="307">
        <v>3750000</v>
      </c>
      <c r="I43" s="307">
        <f t="shared" ref="I43" si="8">H43+F43</f>
        <v>8250000</v>
      </c>
      <c r="J43" s="295"/>
    </row>
    <row r="44" spans="1:10" ht="30.75" customHeight="1">
      <c r="A44" s="692"/>
      <c r="B44" s="295" t="s">
        <v>2292</v>
      </c>
      <c r="C44" s="298"/>
      <c r="D44" s="298"/>
      <c r="E44" s="302"/>
      <c r="F44" s="307">
        <v>4500000</v>
      </c>
      <c r="G44" s="302"/>
      <c r="H44" s="307">
        <v>2250000</v>
      </c>
      <c r="I44" s="307">
        <f t="shared" si="5"/>
        <v>6750000</v>
      </c>
      <c r="J44" s="295"/>
    </row>
    <row r="45" spans="1:10" ht="30.75" customHeight="1">
      <c r="A45" s="692"/>
      <c r="B45" s="295" t="s">
        <v>2293</v>
      </c>
      <c r="C45" s="298"/>
      <c r="D45" s="298"/>
      <c r="E45" s="302"/>
      <c r="F45" s="307">
        <v>4500000</v>
      </c>
      <c r="G45" s="302"/>
      <c r="H45" s="307">
        <v>2750000</v>
      </c>
      <c r="I45" s="307">
        <f t="shared" si="5"/>
        <v>7250000</v>
      </c>
      <c r="J45" s="295"/>
    </row>
    <row r="46" spans="1:10" ht="30.75" customHeight="1">
      <c r="A46" s="693"/>
      <c r="B46" s="296" t="s">
        <v>2294</v>
      </c>
      <c r="C46" s="299" t="s">
        <v>2298</v>
      </c>
      <c r="D46" s="299"/>
      <c r="E46" s="303"/>
      <c r="F46" s="307">
        <v>4500000</v>
      </c>
      <c r="G46" s="303"/>
      <c r="H46" s="308">
        <v>2250000</v>
      </c>
      <c r="I46" s="308">
        <f t="shared" si="5"/>
        <v>6750000</v>
      </c>
      <c r="J46" s="296"/>
    </row>
    <row r="47" spans="1:10" ht="21.75" customHeight="1">
      <c r="A47" s="691">
        <v>2033</v>
      </c>
      <c r="B47" s="304" t="s">
        <v>2299</v>
      </c>
      <c r="C47" s="305">
        <v>43</v>
      </c>
      <c r="D47" s="305">
        <v>41</v>
      </c>
      <c r="E47" s="309" t="s">
        <v>2318</v>
      </c>
      <c r="F47" s="306"/>
      <c r="G47" s="309" t="s">
        <v>2312</v>
      </c>
      <c r="H47" s="306"/>
      <c r="I47" s="306"/>
      <c r="J47" s="304" t="s">
        <v>2337</v>
      </c>
    </row>
    <row r="48" spans="1:10" ht="30.75" customHeight="1">
      <c r="A48" s="692"/>
      <c r="B48" s="295" t="s">
        <v>2291</v>
      </c>
      <c r="C48" s="298"/>
      <c r="D48" s="298"/>
      <c r="E48" s="302"/>
      <c r="F48" s="307">
        <v>4500000</v>
      </c>
      <c r="G48" s="302"/>
      <c r="H48" s="307">
        <v>2750000</v>
      </c>
      <c r="I48" s="307">
        <f t="shared" ref="I48" si="9">H48+F48</f>
        <v>7250000</v>
      </c>
      <c r="J48" s="295"/>
    </row>
    <row r="49" spans="1:10" ht="30.75" customHeight="1">
      <c r="A49" s="692"/>
      <c r="B49" s="295" t="s">
        <v>2292</v>
      </c>
      <c r="C49" s="298"/>
      <c r="D49" s="298"/>
      <c r="E49" s="302"/>
      <c r="F49" s="307">
        <v>4500000</v>
      </c>
      <c r="G49" s="302"/>
      <c r="H49" s="307">
        <v>2250000</v>
      </c>
      <c r="I49" s="307">
        <f t="shared" si="5"/>
        <v>6750000</v>
      </c>
      <c r="J49" s="295"/>
    </row>
    <row r="50" spans="1:10" ht="30.75" customHeight="1">
      <c r="A50" s="692"/>
      <c r="B50" s="295" t="s">
        <v>2293</v>
      </c>
      <c r="C50" s="298"/>
      <c r="D50" s="298"/>
      <c r="E50" s="302"/>
      <c r="F50" s="307">
        <v>4500000</v>
      </c>
      <c r="G50" s="302"/>
      <c r="H50" s="307">
        <v>2750000</v>
      </c>
      <c r="I50" s="307">
        <f t="shared" si="5"/>
        <v>7250000</v>
      </c>
      <c r="J50" s="295"/>
    </row>
    <row r="51" spans="1:10" ht="30.75" customHeight="1">
      <c r="A51" s="693"/>
      <c r="B51" s="296" t="s">
        <v>2294</v>
      </c>
      <c r="C51" s="299" t="s">
        <v>2298</v>
      </c>
      <c r="D51" s="299"/>
      <c r="E51" s="303"/>
      <c r="F51" s="307">
        <v>4500000</v>
      </c>
      <c r="G51" s="303"/>
      <c r="H51" s="307">
        <v>2250000</v>
      </c>
      <c r="I51" s="308">
        <f t="shared" si="5"/>
        <v>6750000</v>
      </c>
      <c r="J51" s="296"/>
    </row>
    <row r="52" spans="1:10" ht="21.75" customHeight="1">
      <c r="A52" s="691">
        <v>2034</v>
      </c>
      <c r="B52" s="304" t="s">
        <v>2299</v>
      </c>
      <c r="C52" s="305">
        <v>44</v>
      </c>
      <c r="D52" s="305">
        <v>42</v>
      </c>
      <c r="E52" s="309" t="s">
        <v>2319</v>
      </c>
      <c r="F52" s="306"/>
      <c r="G52" s="309" t="s">
        <v>2313</v>
      </c>
      <c r="H52" s="306"/>
      <c r="I52" s="306"/>
      <c r="J52" s="304" t="s">
        <v>2338</v>
      </c>
    </row>
    <row r="53" spans="1:10" ht="30.75" customHeight="1">
      <c r="A53" s="692"/>
      <c r="B53" s="295" t="s">
        <v>2291</v>
      </c>
      <c r="C53" s="298"/>
      <c r="D53" s="298"/>
      <c r="E53" s="302"/>
      <c r="F53" s="307">
        <v>4500000</v>
      </c>
      <c r="G53" s="302"/>
      <c r="H53" s="307">
        <v>2750000</v>
      </c>
      <c r="I53" s="307">
        <f t="shared" ref="I53" si="10">H53+F53</f>
        <v>7250000</v>
      </c>
      <c r="J53" s="295"/>
    </row>
    <row r="54" spans="1:10" ht="30.75" customHeight="1">
      <c r="A54" s="692"/>
      <c r="B54" s="295" t="s">
        <v>2292</v>
      </c>
      <c r="C54" s="298"/>
      <c r="D54" s="298"/>
      <c r="E54" s="302"/>
      <c r="F54" s="307">
        <v>4500000</v>
      </c>
      <c r="G54" s="302"/>
      <c r="H54" s="307">
        <v>2250000</v>
      </c>
      <c r="I54" s="307">
        <f t="shared" si="5"/>
        <v>6750000</v>
      </c>
      <c r="J54" s="295"/>
    </row>
    <row r="55" spans="1:10" ht="30.75" customHeight="1">
      <c r="A55" s="692"/>
      <c r="B55" s="295" t="s">
        <v>2293</v>
      </c>
      <c r="C55" s="298"/>
      <c r="D55" s="298"/>
      <c r="E55" s="302"/>
      <c r="F55" s="307">
        <v>4500000</v>
      </c>
      <c r="G55" s="302"/>
      <c r="H55" s="307">
        <v>2750000</v>
      </c>
      <c r="I55" s="307">
        <f t="shared" si="5"/>
        <v>7250000</v>
      </c>
      <c r="J55" s="295"/>
    </row>
    <row r="56" spans="1:10" ht="30.75" customHeight="1">
      <c r="A56" s="693"/>
      <c r="B56" s="296" t="s">
        <v>2294</v>
      </c>
      <c r="C56" s="299" t="s">
        <v>2298</v>
      </c>
      <c r="D56" s="299"/>
      <c r="E56" s="303" t="s">
        <v>2308</v>
      </c>
      <c r="F56" s="307">
        <v>4500000</v>
      </c>
      <c r="G56" s="303"/>
      <c r="H56" s="307">
        <v>2250000</v>
      </c>
      <c r="I56" s="308">
        <f t="shared" si="5"/>
        <v>6750000</v>
      </c>
      <c r="J56" s="296"/>
    </row>
    <row r="57" spans="1:10" ht="21.75" customHeight="1">
      <c r="A57" s="691">
        <v>2035</v>
      </c>
      <c r="B57" s="304" t="s">
        <v>2299</v>
      </c>
      <c r="C57" s="305">
        <v>45</v>
      </c>
      <c r="D57" s="305">
        <v>43</v>
      </c>
      <c r="E57" s="309" t="s">
        <v>2320</v>
      </c>
      <c r="F57" s="306"/>
      <c r="G57" s="309" t="s">
        <v>2314</v>
      </c>
      <c r="H57" s="306"/>
      <c r="I57" s="306"/>
      <c r="J57" s="304" t="s">
        <v>2339</v>
      </c>
    </row>
    <row r="58" spans="1:10" ht="30.75" customHeight="1">
      <c r="A58" s="692"/>
      <c r="B58" s="295" t="s">
        <v>2291</v>
      </c>
      <c r="C58" s="298"/>
      <c r="D58" s="298"/>
      <c r="E58" s="302" t="s">
        <v>2307</v>
      </c>
      <c r="F58" s="307">
        <v>6000000</v>
      </c>
      <c r="G58" s="302"/>
      <c r="H58" s="307">
        <v>2750000</v>
      </c>
      <c r="I58" s="307">
        <f t="shared" ref="I58" si="11">H58+F58</f>
        <v>8750000</v>
      </c>
      <c r="J58" s="295"/>
    </row>
    <row r="59" spans="1:10" ht="30.75" customHeight="1">
      <c r="A59" s="692"/>
      <c r="B59" s="295" t="s">
        <v>2292</v>
      </c>
      <c r="C59" s="298"/>
      <c r="D59" s="298"/>
      <c r="E59" s="302"/>
      <c r="F59" s="307">
        <v>6000000</v>
      </c>
      <c r="G59" s="302"/>
      <c r="H59" s="307">
        <v>2250000</v>
      </c>
      <c r="I59" s="307">
        <f t="shared" si="5"/>
        <v>8250000</v>
      </c>
      <c r="J59" s="295"/>
    </row>
    <row r="60" spans="1:10" ht="30.75" customHeight="1">
      <c r="A60" s="692"/>
      <c r="B60" s="295" t="s">
        <v>2293</v>
      </c>
      <c r="C60" s="298"/>
      <c r="D60" s="298"/>
      <c r="E60" s="302"/>
      <c r="F60" s="307">
        <v>6000000</v>
      </c>
      <c r="G60" s="302"/>
      <c r="H60" s="307">
        <v>2750000</v>
      </c>
      <c r="I60" s="307">
        <f t="shared" si="5"/>
        <v>8750000</v>
      </c>
      <c r="J60" s="295"/>
    </row>
    <row r="61" spans="1:10" ht="30.75" customHeight="1">
      <c r="A61" s="693"/>
      <c r="B61" s="296" t="s">
        <v>2294</v>
      </c>
      <c r="C61" s="299"/>
      <c r="D61" s="299"/>
      <c r="E61" s="303"/>
      <c r="F61" s="307">
        <v>6000000</v>
      </c>
      <c r="G61" s="303"/>
      <c r="H61" s="307">
        <v>2250000</v>
      </c>
      <c r="I61" s="308">
        <f t="shared" si="5"/>
        <v>8250000</v>
      </c>
      <c r="J61" s="296"/>
    </row>
    <row r="62" spans="1:10" ht="21.75" customHeight="1">
      <c r="A62" s="691">
        <v>2036</v>
      </c>
      <c r="B62" s="304" t="s">
        <v>2299</v>
      </c>
      <c r="C62" s="305">
        <v>46</v>
      </c>
      <c r="D62" s="305">
        <v>44</v>
      </c>
      <c r="E62" s="309" t="s">
        <v>2321</v>
      </c>
      <c r="F62" s="306"/>
      <c r="G62" s="309" t="s">
        <v>2315</v>
      </c>
      <c r="H62" s="306"/>
      <c r="I62" s="306"/>
      <c r="J62" s="304" t="s">
        <v>2340</v>
      </c>
    </row>
    <row r="63" spans="1:10" ht="30.75" customHeight="1">
      <c r="A63" s="692"/>
      <c r="B63" s="295" t="s">
        <v>2291</v>
      </c>
      <c r="C63" s="298"/>
      <c r="D63" s="298"/>
      <c r="E63" s="302"/>
      <c r="F63" s="307">
        <v>6000000</v>
      </c>
      <c r="G63" s="302"/>
      <c r="H63" s="307">
        <v>2750000</v>
      </c>
      <c r="I63" s="307">
        <f t="shared" ref="I63" si="12">H63+F63</f>
        <v>8750000</v>
      </c>
      <c r="J63" s="295"/>
    </row>
    <row r="64" spans="1:10" ht="30.75" customHeight="1">
      <c r="A64" s="692"/>
      <c r="B64" s="295" t="s">
        <v>2292</v>
      </c>
      <c r="C64" s="298"/>
      <c r="D64" s="298"/>
      <c r="E64" s="302"/>
      <c r="F64" s="307">
        <v>6000000</v>
      </c>
      <c r="G64" s="302"/>
      <c r="H64" s="307">
        <v>2250000</v>
      </c>
      <c r="I64" s="307">
        <f t="shared" si="5"/>
        <v>8250000</v>
      </c>
      <c r="J64" s="295"/>
    </row>
    <row r="65" spans="1:10" ht="30.75" customHeight="1">
      <c r="A65" s="692"/>
      <c r="B65" s="295" t="s">
        <v>2293</v>
      </c>
      <c r="C65" s="298"/>
      <c r="D65" s="298"/>
      <c r="E65" s="302"/>
      <c r="F65" s="307">
        <v>6000000</v>
      </c>
      <c r="G65" s="302"/>
      <c r="H65" s="307">
        <v>2750000</v>
      </c>
      <c r="I65" s="307">
        <f t="shared" si="5"/>
        <v>8750000</v>
      </c>
      <c r="J65" s="295"/>
    </row>
    <row r="66" spans="1:10" ht="30.75" customHeight="1">
      <c r="A66" s="693"/>
      <c r="B66" s="296" t="s">
        <v>2294</v>
      </c>
      <c r="C66" s="299" t="s">
        <v>2301</v>
      </c>
      <c r="D66" s="299"/>
      <c r="E66" s="303"/>
      <c r="F66" s="307">
        <v>6000000</v>
      </c>
      <c r="G66" s="303"/>
      <c r="H66" s="307">
        <v>2250000</v>
      </c>
      <c r="I66" s="308">
        <f t="shared" si="5"/>
        <v>8250000</v>
      </c>
      <c r="J66" s="296"/>
    </row>
    <row r="67" spans="1:10" ht="21.75" customHeight="1">
      <c r="A67" s="691">
        <v>2037</v>
      </c>
      <c r="B67" s="304" t="s">
        <v>2299</v>
      </c>
      <c r="C67" s="305">
        <v>47</v>
      </c>
      <c r="D67" s="305">
        <v>45</v>
      </c>
      <c r="E67" s="309" t="s">
        <v>2322</v>
      </c>
      <c r="F67" s="306"/>
      <c r="G67" s="309" t="s">
        <v>2316</v>
      </c>
      <c r="H67" s="306"/>
      <c r="I67" s="306"/>
      <c r="J67" s="304" t="s">
        <v>2341</v>
      </c>
    </row>
    <row r="68" spans="1:10" ht="30.75" customHeight="1">
      <c r="A68" s="692"/>
      <c r="B68" s="295" t="s">
        <v>2291</v>
      </c>
      <c r="C68" s="298"/>
      <c r="D68" s="298"/>
      <c r="E68" s="302"/>
      <c r="F68" s="307">
        <v>6000000</v>
      </c>
      <c r="G68" s="302"/>
      <c r="H68" s="307">
        <v>2750000</v>
      </c>
      <c r="I68" s="307">
        <f t="shared" ref="I68" si="13">H68+F68</f>
        <v>8750000</v>
      </c>
      <c r="J68" s="295"/>
    </row>
    <row r="69" spans="1:10" ht="30.75" customHeight="1">
      <c r="A69" s="692"/>
      <c r="B69" s="295" t="s">
        <v>2292</v>
      </c>
      <c r="C69" s="298"/>
      <c r="D69" s="298"/>
      <c r="E69" s="302"/>
      <c r="F69" s="307">
        <v>6000000</v>
      </c>
      <c r="G69" s="302"/>
      <c r="H69" s="307">
        <v>2250000</v>
      </c>
      <c r="I69" s="307">
        <f t="shared" si="5"/>
        <v>8250000</v>
      </c>
      <c r="J69" s="295"/>
    </row>
    <row r="70" spans="1:10" ht="30.75" customHeight="1">
      <c r="A70" s="692"/>
      <c r="B70" s="295" t="s">
        <v>2293</v>
      </c>
      <c r="C70" s="298"/>
      <c r="D70" s="298"/>
      <c r="E70" s="302"/>
      <c r="F70" s="307">
        <v>6000000</v>
      </c>
      <c r="G70" s="302"/>
      <c r="H70" s="307">
        <v>2750000</v>
      </c>
      <c r="I70" s="307">
        <f t="shared" si="5"/>
        <v>8750000</v>
      </c>
      <c r="J70" s="295"/>
    </row>
    <row r="71" spans="1:10" ht="30.75" customHeight="1">
      <c r="A71" s="693"/>
      <c r="B71" s="296" t="s">
        <v>2294</v>
      </c>
      <c r="C71" s="299" t="s">
        <v>2301</v>
      </c>
      <c r="D71" s="299"/>
      <c r="E71" s="303" t="s">
        <v>2300</v>
      </c>
      <c r="F71" s="307">
        <v>6000000</v>
      </c>
      <c r="G71" s="303" t="s">
        <v>2309</v>
      </c>
      <c r="H71" s="307">
        <v>2250000</v>
      </c>
      <c r="I71" s="308">
        <f t="shared" si="5"/>
        <v>8250000</v>
      </c>
      <c r="J71" s="296"/>
    </row>
    <row r="72" spans="1:10" ht="21.75" customHeight="1">
      <c r="A72" s="691">
        <v>2038</v>
      </c>
      <c r="B72" s="304" t="s">
        <v>2299</v>
      </c>
      <c r="C72" s="305">
        <v>48</v>
      </c>
      <c r="D72" s="305">
        <v>46</v>
      </c>
      <c r="E72" s="309">
        <v>19</v>
      </c>
      <c r="F72" s="306"/>
      <c r="G72" s="309" t="s">
        <v>2317</v>
      </c>
      <c r="H72" s="306"/>
      <c r="I72" s="306"/>
      <c r="J72" s="304" t="s">
        <v>2342</v>
      </c>
    </row>
    <row r="73" spans="1:10" ht="30.75" customHeight="1">
      <c r="A73" s="692"/>
      <c r="B73" s="295" t="s">
        <v>2291</v>
      </c>
      <c r="C73" s="298"/>
      <c r="D73" s="298"/>
      <c r="E73" s="302" t="s">
        <v>2306</v>
      </c>
      <c r="F73" s="307"/>
      <c r="G73" s="302" t="s">
        <v>2304</v>
      </c>
      <c r="H73" s="307">
        <v>4500000</v>
      </c>
      <c r="I73" s="307">
        <f t="shared" ref="I73" si="14">H73+F73</f>
        <v>4500000</v>
      </c>
      <c r="J73" s="295"/>
    </row>
    <row r="74" spans="1:10" ht="30.75" customHeight="1">
      <c r="A74" s="692"/>
      <c r="B74" s="295" t="s">
        <v>2292</v>
      </c>
      <c r="C74" s="298"/>
      <c r="D74" s="298"/>
      <c r="E74" s="302"/>
      <c r="F74" s="307"/>
      <c r="G74" s="302"/>
      <c r="H74" s="307">
        <v>4500000</v>
      </c>
      <c r="I74" s="307">
        <f t="shared" si="5"/>
        <v>4500000</v>
      </c>
      <c r="J74" s="295"/>
    </row>
    <row r="75" spans="1:10" ht="30.75" customHeight="1">
      <c r="A75" s="692"/>
      <c r="B75" s="295" t="s">
        <v>2293</v>
      </c>
      <c r="C75" s="298"/>
      <c r="D75" s="298"/>
      <c r="E75" s="302"/>
      <c r="F75" s="307"/>
      <c r="G75" s="302"/>
      <c r="H75" s="307">
        <v>4500000</v>
      </c>
      <c r="I75" s="307">
        <f t="shared" si="5"/>
        <v>4500000</v>
      </c>
      <c r="J75" s="295"/>
    </row>
    <row r="76" spans="1:10" ht="30.75" customHeight="1">
      <c r="A76" s="693"/>
      <c r="B76" s="296" t="s">
        <v>2294</v>
      </c>
      <c r="C76" s="299" t="s">
        <v>2301</v>
      </c>
      <c r="D76" s="299"/>
      <c r="E76" s="303"/>
      <c r="F76" s="308"/>
      <c r="G76" s="303"/>
      <c r="H76" s="307">
        <v>4500000</v>
      </c>
      <c r="I76" s="308">
        <f t="shared" si="5"/>
        <v>4500000</v>
      </c>
      <c r="J76" s="296"/>
    </row>
    <row r="77" spans="1:10" ht="21.75" customHeight="1">
      <c r="A77" s="691">
        <v>2039</v>
      </c>
      <c r="B77" s="304" t="s">
        <v>2299</v>
      </c>
      <c r="C77" s="305">
        <v>49</v>
      </c>
      <c r="D77" s="305">
        <v>47</v>
      </c>
      <c r="E77" s="309">
        <v>20</v>
      </c>
      <c r="F77" s="306"/>
      <c r="G77" s="309" t="s">
        <v>2318</v>
      </c>
      <c r="H77" s="306"/>
      <c r="I77" s="306"/>
      <c r="J77" s="304" t="s">
        <v>2343</v>
      </c>
    </row>
    <row r="78" spans="1:10" ht="30.75" customHeight="1">
      <c r="A78" s="692"/>
      <c r="B78" s="295" t="s">
        <v>2291</v>
      </c>
      <c r="C78" s="298"/>
      <c r="D78" s="298"/>
      <c r="E78" s="302"/>
      <c r="F78" s="307"/>
      <c r="G78" s="302"/>
      <c r="H78" s="307">
        <v>4500000</v>
      </c>
      <c r="I78" s="307">
        <f t="shared" ref="I78" si="15">H78+F78</f>
        <v>4500000</v>
      </c>
      <c r="J78" s="295"/>
    </row>
    <row r="79" spans="1:10" ht="30.75" customHeight="1">
      <c r="A79" s="692"/>
      <c r="B79" s="295" t="s">
        <v>2292</v>
      </c>
      <c r="C79" s="298"/>
      <c r="D79" s="298"/>
      <c r="E79" s="302"/>
      <c r="F79" s="307"/>
      <c r="G79" s="302"/>
      <c r="H79" s="307">
        <v>4500000</v>
      </c>
      <c r="I79" s="307">
        <f t="shared" si="5"/>
        <v>4500000</v>
      </c>
      <c r="J79" s="295"/>
    </row>
    <row r="80" spans="1:10" ht="30.75" customHeight="1">
      <c r="A80" s="692"/>
      <c r="B80" s="295" t="s">
        <v>2293</v>
      </c>
      <c r="C80" s="298"/>
      <c r="D80" s="298"/>
      <c r="E80" s="302"/>
      <c r="F80" s="307"/>
      <c r="G80" s="302"/>
      <c r="H80" s="307">
        <v>4500000</v>
      </c>
      <c r="I80" s="307">
        <f t="shared" si="5"/>
        <v>4500000</v>
      </c>
      <c r="J80" s="295"/>
    </row>
    <row r="81" spans="1:10" ht="30.75" customHeight="1">
      <c r="A81" s="693"/>
      <c r="B81" s="296" t="s">
        <v>2294</v>
      </c>
      <c r="C81" s="299" t="s">
        <v>2301</v>
      </c>
      <c r="D81" s="299"/>
      <c r="E81" s="303"/>
      <c r="F81" s="308"/>
      <c r="G81" s="303"/>
      <c r="H81" s="307">
        <v>4500000</v>
      </c>
      <c r="I81" s="308">
        <f t="shared" si="5"/>
        <v>4500000</v>
      </c>
      <c r="J81" s="296"/>
    </row>
    <row r="82" spans="1:10" ht="21.75" customHeight="1">
      <c r="A82" s="691">
        <v>2040</v>
      </c>
      <c r="B82" s="304" t="s">
        <v>2299</v>
      </c>
      <c r="C82" s="305">
        <v>50</v>
      </c>
      <c r="D82" s="305">
        <v>48</v>
      </c>
      <c r="E82" s="309">
        <v>21</v>
      </c>
      <c r="F82" s="306"/>
      <c r="G82" s="309" t="s">
        <v>2319</v>
      </c>
      <c r="H82" s="306"/>
      <c r="I82" s="306"/>
      <c r="J82" s="304" t="s">
        <v>2344</v>
      </c>
    </row>
    <row r="83" spans="1:10" ht="30.75" customHeight="1">
      <c r="A83" s="692"/>
      <c r="B83" s="295" t="s">
        <v>2291</v>
      </c>
      <c r="C83" s="298"/>
      <c r="D83" s="298"/>
      <c r="E83" s="302"/>
      <c r="F83" s="307"/>
      <c r="G83" s="302"/>
      <c r="H83" s="307">
        <v>4500000</v>
      </c>
      <c r="I83" s="307">
        <f t="shared" ref="I83" si="16">H83+F83</f>
        <v>4500000</v>
      </c>
      <c r="J83" s="295"/>
    </row>
    <row r="84" spans="1:10" ht="30.75" customHeight="1">
      <c r="A84" s="692"/>
      <c r="B84" s="295" t="s">
        <v>2292</v>
      </c>
      <c r="C84" s="298"/>
      <c r="D84" s="298"/>
      <c r="E84" s="302"/>
      <c r="F84" s="307"/>
      <c r="G84" s="302"/>
      <c r="H84" s="307">
        <v>4500000</v>
      </c>
      <c r="I84" s="307">
        <f t="shared" si="5"/>
        <v>4500000</v>
      </c>
      <c r="J84" s="295"/>
    </row>
    <row r="85" spans="1:10" ht="30.75" customHeight="1">
      <c r="A85" s="692"/>
      <c r="B85" s="295" t="s">
        <v>2293</v>
      </c>
      <c r="C85" s="298"/>
      <c r="D85" s="298"/>
      <c r="E85" s="302"/>
      <c r="F85" s="307"/>
      <c r="G85" s="302"/>
      <c r="H85" s="307">
        <v>4500000</v>
      </c>
      <c r="I85" s="307">
        <f t="shared" si="5"/>
        <v>4500000</v>
      </c>
      <c r="J85" s="295"/>
    </row>
    <row r="86" spans="1:10" ht="30.75" customHeight="1">
      <c r="A86" s="693"/>
      <c r="B86" s="296" t="s">
        <v>2294</v>
      </c>
      <c r="C86" s="299" t="s">
        <v>2301</v>
      </c>
      <c r="D86" s="299"/>
      <c r="E86" s="303"/>
      <c r="F86" s="308"/>
      <c r="G86" s="303" t="s">
        <v>2308</v>
      </c>
      <c r="H86" s="307">
        <v>4500000</v>
      </c>
      <c r="I86" s="308">
        <f t="shared" si="5"/>
        <v>4500000</v>
      </c>
      <c r="J86" s="296"/>
    </row>
    <row r="87" spans="1:10" ht="21.75" customHeight="1">
      <c r="A87" s="691">
        <v>2041</v>
      </c>
      <c r="B87" s="304" t="s">
        <v>2299</v>
      </c>
      <c r="C87" s="305">
        <v>51</v>
      </c>
      <c r="D87" s="305">
        <v>49</v>
      </c>
      <c r="E87" s="309">
        <v>22</v>
      </c>
      <c r="F87" s="306"/>
      <c r="G87" s="309" t="s">
        <v>2320</v>
      </c>
      <c r="H87" s="306"/>
      <c r="I87" s="306"/>
      <c r="J87" s="304" t="s">
        <v>2345</v>
      </c>
    </row>
    <row r="88" spans="1:10" ht="30.75" customHeight="1">
      <c r="A88" s="692"/>
      <c r="B88" s="295" t="s">
        <v>2291</v>
      </c>
      <c r="C88" s="298"/>
      <c r="D88" s="298"/>
      <c r="E88" s="302"/>
      <c r="F88" s="307"/>
      <c r="G88" s="302" t="s">
        <v>2307</v>
      </c>
      <c r="H88" s="307">
        <v>6000000</v>
      </c>
      <c r="I88" s="307">
        <f t="shared" ref="I88" si="17">H88+F88</f>
        <v>6000000</v>
      </c>
      <c r="J88" s="295"/>
    </row>
    <row r="89" spans="1:10" ht="30.75" customHeight="1">
      <c r="A89" s="692"/>
      <c r="B89" s="295" t="s">
        <v>2292</v>
      </c>
      <c r="C89" s="298"/>
      <c r="D89" s="298"/>
      <c r="E89" s="302"/>
      <c r="F89" s="307"/>
      <c r="G89" s="302"/>
      <c r="H89" s="307">
        <v>6000000</v>
      </c>
      <c r="I89" s="307">
        <f t="shared" si="5"/>
        <v>6000000</v>
      </c>
      <c r="J89" s="295"/>
    </row>
    <row r="90" spans="1:10" ht="30.75" customHeight="1">
      <c r="A90" s="692"/>
      <c r="B90" s="295" t="s">
        <v>2293</v>
      </c>
      <c r="C90" s="298"/>
      <c r="D90" s="298"/>
      <c r="E90" s="302"/>
      <c r="F90" s="307"/>
      <c r="G90" s="302"/>
      <c r="H90" s="307">
        <v>6000000</v>
      </c>
      <c r="I90" s="307">
        <f t="shared" si="5"/>
        <v>6000000</v>
      </c>
      <c r="J90" s="295"/>
    </row>
    <row r="91" spans="1:10" ht="30.75" customHeight="1">
      <c r="A91" s="693"/>
      <c r="B91" s="296" t="s">
        <v>2294</v>
      </c>
      <c r="C91" s="299"/>
      <c r="D91" s="299"/>
      <c r="E91" s="303"/>
      <c r="F91" s="308"/>
      <c r="G91" s="303"/>
      <c r="H91" s="307">
        <v>6000000</v>
      </c>
      <c r="I91" s="308">
        <f t="shared" si="5"/>
        <v>6000000</v>
      </c>
      <c r="J91" s="296"/>
    </row>
    <row r="92" spans="1:10" ht="21.75" customHeight="1">
      <c r="A92" s="691">
        <v>2042</v>
      </c>
      <c r="B92" s="304" t="s">
        <v>2299</v>
      </c>
      <c r="C92" s="305">
        <v>52</v>
      </c>
      <c r="D92" s="305">
        <v>50</v>
      </c>
      <c r="E92" s="309">
        <v>23</v>
      </c>
      <c r="F92" s="306"/>
      <c r="G92" s="309" t="s">
        <v>2321</v>
      </c>
      <c r="H92" s="306"/>
      <c r="I92" s="306"/>
      <c r="J92" s="304" t="s">
        <v>2346</v>
      </c>
    </row>
    <row r="93" spans="1:10" ht="30.75" customHeight="1">
      <c r="A93" s="692"/>
      <c r="B93" s="295" t="s">
        <v>2291</v>
      </c>
      <c r="C93" s="298"/>
      <c r="D93" s="298"/>
      <c r="E93" s="302"/>
      <c r="F93" s="307"/>
      <c r="G93" s="302"/>
      <c r="H93" s="307">
        <v>6000000</v>
      </c>
      <c r="I93" s="307">
        <f t="shared" ref="I93:I146" si="18">H93+F93</f>
        <v>6000000</v>
      </c>
      <c r="J93" s="295"/>
    </row>
    <row r="94" spans="1:10" ht="30.75" customHeight="1">
      <c r="A94" s="692"/>
      <c r="B94" s="295" t="s">
        <v>2292</v>
      </c>
      <c r="C94" s="298"/>
      <c r="D94" s="298"/>
      <c r="E94" s="302"/>
      <c r="F94" s="307"/>
      <c r="G94" s="302"/>
      <c r="H94" s="307">
        <v>6000000</v>
      </c>
      <c r="I94" s="307">
        <f t="shared" si="18"/>
        <v>6000000</v>
      </c>
      <c r="J94" s="295"/>
    </row>
    <row r="95" spans="1:10" ht="30.75" customHeight="1">
      <c r="A95" s="692"/>
      <c r="B95" s="295" t="s">
        <v>2293</v>
      </c>
      <c r="C95" s="298"/>
      <c r="D95" s="298"/>
      <c r="E95" s="302"/>
      <c r="F95" s="307"/>
      <c r="G95" s="302"/>
      <c r="H95" s="307">
        <v>6000000</v>
      </c>
      <c r="I95" s="307">
        <f t="shared" si="18"/>
        <v>6000000</v>
      </c>
      <c r="J95" s="295"/>
    </row>
    <row r="96" spans="1:10" ht="30.75" customHeight="1">
      <c r="A96" s="693"/>
      <c r="B96" s="296" t="s">
        <v>2294</v>
      </c>
      <c r="C96" s="299"/>
      <c r="D96" s="299"/>
      <c r="E96" s="303"/>
      <c r="F96" s="308"/>
      <c r="G96" s="303"/>
      <c r="H96" s="307">
        <v>6000000</v>
      </c>
      <c r="I96" s="308">
        <f t="shared" si="18"/>
        <v>6000000</v>
      </c>
      <c r="J96" s="296"/>
    </row>
    <row r="97" spans="1:10" ht="21.75" customHeight="1">
      <c r="A97" s="691">
        <v>2043</v>
      </c>
      <c r="B97" s="304" t="s">
        <v>2299</v>
      </c>
      <c r="C97" s="305">
        <v>53</v>
      </c>
      <c r="D97" s="305">
        <v>51</v>
      </c>
      <c r="E97" s="309">
        <v>24</v>
      </c>
      <c r="F97" s="306"/>
      <c r="G97" s="309" t="s">
        <v>2322</v>
      </c>
      <c r="H97" s="306"/>
      <c r="I97" s="306"/>
      <c r="J97" s="304" t="s">
        <v>2347</v>
      </c>
    </row>
    <row r="98" spans="1:10" ht="30.75" customHeight="1">
      <c r="A98" s="692"/>
      <c r="B98" s="295" t="s">
        <v>2291</v>
      </c>
      <c r="C98" s="298"/>
      <c r="D98" s="298"/>
      <c r="E98" s="302"/>
      <c r="F98" s="307"/>
      <c r="G98" s="302"/>
      <c r="H98" s="307">
        <v>6000000</v>
      </c>
      <c r="I98" s="307">
        <f t="shared" ref="I98" si="19">H98+F98</f>
        <v>6000000</v>
      </c>
      <c r="J98" s="295"/>
    </row>
    <row r="99" spans="1:10" ht="30.75" customHeight="1">
      <c r="A99" s="692"/>
      <c r="B99" s="295" t="s">
        <v>2292</v>
      </c>
      <c r="C99" s="298"/>
      <c r="D99" s="298"/>
      <c r="E99" s="302"/>
      <c r="F99" s="307"/>
      <c r="G99" s="302"/>
      <c r="H99" s="307">
        <v>6000000</v>
      </c>
      <c r="I99" s="307">
        <f t="shared" si="18"/>
        <v>6000000</v>
      </c>
      <c r="J99" s="295"/>
    </row>
    <row r="100" spans="1:10" ht="30.75" customHeight="1">
      <c r="A100" s="692"/>
      <c r="B100" s="295" t="s">
        <v>2293</v>
      </c>
      <c r="C100" s="298"/>
      <c r="D100" s="298"/>
      <c r="E100" s="302"/>
      <c r="F100" s="307"/>
      <c r="G100" s="302"/>
      <c r="H100" s="307">
        <v>6000000</v>
      </c>
      <c r="I100" s="307">
        <f t="shared" si="18"/>
        <v>6000000</v>
      </c>
      <c r="J100" s="295"/>
    </row>
    <row r="101" spans="1:10" ht="30.75" customHeight="1">
      <c r="A101" s="693"/>
      <c r="B101" s="296" t="s">
        <v>2294</v>
      </c>
      <c r="C101" s="299"/>
      <c r="D101" s="299"/>
      <c r="E101" s="303"/>
      <c r="F101" s="308"/>
      <c r="G101" s="303" t="s">
        <v>2300</v>
      </c>
      <c r="H101" s="307">
        <v>6000000</v>
      </c>
      <c r="I101" s="308">
        <f t="shared" si="18"/>
        <v>6000000</v>
      </c>
      <c r="J101" s="296"/>
    </row>
    <row r="102" spans="1:10" ht="21.75" customHeight="1">
      <c r="A102" s="691">
        <v>2044</v>
      </c>
      <c r="B102" s="304" t="s">
        <v>2299</v>
      </c>
      <c r="C102" s="305">
        <v>54</v>
      </c>
      <c r="D102" s="305">
        <v>52</v>
      </c>
      <c r="E102" s="309">
        <v>25</v>
      </c>
      <c r="F102" s="306"/>
      <c r="G102" s="309">
        <v>19</v>
      </c>
      <c r="H102" s="306"/>
      <c r="I102" s="306"/>
      <c r="J102" s="304" t="s">
        <v>2348</v>
      </c>
    </row>
    <row r="103" spans="1:10" ht="30.75" customHeight="1">
      <c r="A103" s="692"/>
      <c r="B103" s="295" t="s">
        <v>2291</v>
      </c>
      <c r="C103" s="298"/>
      <c r="D103" s="298"/>
      <c r="E103" s="302"/>
      <c r="F103" s="307"/>
      <c r="G103" s="302" t="s">
        <v>2306</v>
      </c>
      <c r="H103" s="307"/>
      <c r="I103" s="307">
        <f t="shared" ref="I103" si="20">H103+F103</f>
        <v>0</v>
      </c>
      <c r="J103" s="295"/>
    </row>
    <row r="104" spans="1:10" ht="30.75" customHeight="1">
      <c r="A104" s="692"/>
      <c r="B104" s="295" t="s">
        <v>2292</v>
      </c>
      <c r="C104" s="298"/>
      <c r="D104" s="298"/>
      <c r="E104" s="302"/>
      <c r="F104" s="307"/>
      <c r="G104" s="302"/>
      <c r="H104" s="307"/>
      <c r="I104" s="307">
        <f t="shared" si="18"/>
        <v>0</v>
      </c>
      <c r="J104" s="295"/>
    </row>
    <row r="105" spans="1:10" ht="30.75" customHeight="1">
      <c r="A105" s="692"/>
      <c r="B105" s="295" t="s">
        <v>2293</v>
      </c>
      <c r="C105" s="298"/>
      <c r="D105" s="298"/>
      <c r="E105" s="302"/>
      <c r="F105" s="307"/>
      <c r="G105" s="302"/>
      <c r="H105" s="307"/>
      <c r="I105" s="307">
        <f t="shared" si="18"/>
        <v>0</v>
      </c>
      <c r="J105" s="295"/>
    </row>
    <row r="106" spans="1:10" ht="30.75" customHeight="1">
      <c r="A106" s="693"/>
      <c r="B106" s="296" t="s">
        <v>2294</v>
      </c>
      <c r="C106" s="299"/>
      <c r="D106" s="299"/>
      <c r="E106" s="303"/>
      <c r="F106" s="308"/>
      <c r="G106" s="303"/>
      <c r="H106" s="308"/>
      <c r="I106" s="308">
        <f t="shared" si="18"/>
        <v>0</v>
      </c>
      <c r="J106" s="296"/>
    </row>
    <row r="107" spans="1:10" ht="21.75" customHeight="1">
      <c r="A107" s="691">
        <v>2045</v>
      </c>
      <c r="B107" s="304" t="s">
        <v>2299</v>
      </c>
      <c r="C107" s="305">
        <v>55</v>
      </c>
      <c r="D107" s="305">
        <v>53</v>
      </c>
      <c r="E107" s="309">
        <v>26</v>
      </c>
      <c r="F107" s="306"/>
      <c r="G107" s="309">
        <v>20</v>
      </c>
      <c r="H107" s="306"/>
      <c r="I107" s="306"/>
      <c r="J107" s="304" t="s">
        <v>2349</v>
      </c>
    </row>
    <row r="108" spans="1:10" ht="30.75" customHeight="1">
      <c r="A108" s="692"/>
      <c r="B108" s="295" t="s">
        <v>2291</v>
      </c>
      <c r="C108" s="298"/>
      <c r="D108" s="298"/>
      <c r="E108" s="302"/>
      <c r="F108" s="307"/>
      <c r="G108" s="302"/>
      <c r="H108" s="307"/>
      <c r="I108" s="307">
        <f t="shared" ref="I108" si="21">H108+F108</f>
        <v>0</v>
      </c>
      <c r="J108" s="295"/>
    </row>
    <row r="109" spans="1:10" ht="30.75" customHeight="1">
      <c r="A109" s="692"/>
      <c r="B109" s="295" t="s">
        <v>2292</v>
      </c>
      <c r="C109" s="298"/>
      <c r="D109" s="298"/>
      <c r="E109" s="302"/>
      <c r="F109" s="307"/>
      <c r="G109" s="302"/>
      <c r="H109" s="307"/>
      <c r="I109" s="307">
        <f t="shared" si="18"/>
        <v>0</v>
      </c>
      <c r="J109" s="295"/>
    </row>
    <row r="110" spans="1:10" ht="30.75" customHeight="1">
      <c r="A110" s="692"/>
      <c r="B110" s="295" t="s">
        <v>2293</v>
      </c>
      <c r="C110" s="298"/>
      <c r="D110" s="298"/>
      <c r="E110" s="302"/>
      <c r="F110" s="307"/>
      <c r="G110" s="302"/>
      <c r="H110" s="307"/>
      <c r="I110" s="307">
        <f t="shared" si="18"/>
        <v>0</v>
      </c>
      <c r="J110" s="295"/>
    </row>
    <row r="111" spans="1:10" ht="30.75" customHeight="1">
      <c r="A111" s="693"/>
      <c r="B111" s="296" t="s">
        <v>2294</v>
      </c>
      <c r="C111" s="299"/>
      <c r="D111" s="299"/>
      <c r="E111" s="303"/>
      <c r="F111" s="308"/>
      <c r="G111" s="303"/>
      <c r="H111" s="308"/>
      <c r="I111" s="308">
        <f t="shared" si="18"/>
        <v>0</v>
      </c>
      <c r="J111" s="296"/>
    </row>
    <row r="112" spans="1:10" ht="21.75" customHeight="1">
      <c r="A112" s="691">
        <v>2046</v>
      </c>
      <c r="B112" s="304" t="s">
        <v>2299</v>
      </c>
      <c r="C112" s="305">
        <v>56</v>
      </c>
      <c r="D112" s="305">
        <v>54</v>
      </c>
      <c r="E112" s="309">
        <v>27</v>
      </c>
      <c r="F112" s="306"/>
      <c r="G112" s="309">
        <v>21</v>
      </c>
      <c r="H112" s="306"/>
      <c r="I112" s="306"/>
      <c r="J112" s="304" t="s">
        <v>2350</v>
      </c>
    </row>
    <row r="113" spans="1:10" ht="30.75" customHeight="1">
      <c r="A113" s="692"/>
      <c r="B113" s="295" t="s">
        <v>2291</v>
      </c>
      <c r="C113" s="298"/>
      <c r="D113" s="298"/>
      <c r="E113" s="302"/>
      <c r="F113" s="307"/>
      <c r="G113" s="302"/>
      <c r="H113" s="307"/>
      <c r="I113" s="307">
        <f t="shared" ref="I113" si="22">H113+F113</f>
        <v>0</v>
      </c>
      <c r="J113" s="295"/>
    </row>
    <row r="114" spans="1:10" ht="30.75" customHeight="1">
      <c r="A114" s="692"/>
      <c r="B114" s="295" t="s">
        <v>2292</v>
      </c>
      <c r="C114" s="298"/>
      <c r="D114" s="298"/>
      <c r="E114" s="302"/>
      <c r="F114" s="307"/>
      <c r="G114" s="302"/>
      <c r="H114" s="307"/>
      <c r="I114" s="307">
        <f t="shared" si="18"/>
        <v>0</v>
      </c>
      <c r="J114" s="295"/>
    </row>
    <row r="115" spans="1:10" ht="30.75" customHeight="1">
      <c r="A115" s="692"/>
      <c r="B115" s="295" t="s">
        <v>2293</v>
      </c>
      <c r="C115" s="298"/>
      <c r="D115" s="298"/>
      <c r="E115" s="302"/>
      <c r="F115" s="307"/>
      <c r="G115" s="302"/>
      <c r="H115" s="307"/>
      <c r="I115" s="307">
        <f t="shared" si="18"/>
        <v>0</v>
      </c>
      <c r="J115" s="295"/>
    </row>
    <row r="116" spans="1:10" ht="30.75" customHeight="1">
      <c r="A116" s="693"/>
      <c r="B116" s="296" t="s">
        <v>2294</v>
      </c>
      <c r="C116" s="299"/>
      <c r="D116" s="299"/>
      <c r="E116" s="303"/>
      <c r="F116" s="308"/>
      <c r="G116" s="303"/>
      <c r="H116" s="308"/>
      <c r="I116" s="308">
        <f t="shared" si="18"/>
        <v>0</v>
      </c>
      <c r="J116" s="296"/>
    </row>
    <row r="117" spans="1:10" ht="21.75" customHeight="1">
      <c r="A117" s="691">
        <v>2047</v>
      </c>
      <c r="B117" s="304" t="s">
        <v>2299</v>
      </c>
      <c r="C117" s="305">
        <v>57</v>
      </c>
      <c r="D117" s="305">
        <v>55</v>
      </c>
      <c r="E117" s="309">
        <v>28</v>
      </c>
      <c r="F117" s="306"/>
      <c r="G117" s="309">
        <v>22</v>
      </c>
      <c r="H117" s="306"/>
      <c r="I117" s="306"/>
      <c r="J117" s="304" t="s">
        <v>2351</v>
      </c>
    </row>
    <row r="118" spans="1:10" ht="30.75" customHeight="1">
      <c r="A118" s="692"/>
      <c r="B118" s="295" t="s">
        <v>2291</v>
      </c>
      <c r="C118" s="298"/>
      <c r="D118" s="298"/>
      <c r="E118" s="302"/>
      <c r="F118" s="307"/>
      <c r="G118" s="302"/>
      <c r="H118" s="307"/>
      <c r="I118" s="307">
        <f t="shared" ref="I118" si="23">H118+F118</f>
        <v>0</v>
      </c>
      <c r="J118" s="295"/>
    </row>
    <row r="119" spans="1:10" ht="30.75" customHeight="1">
      <c r="A119" s="692"/>
      <c r="B119" s="295" t="s">
        <v>2292</v>
      </c>
      <c r="C119" s="298"/>
      <c r="D119" s="298"/>
      <c r="E119" s="302"/>
      <c r="F119" s="307"/>
      <c r="G119" s="302"/>
      <c r="H119" s="307"/>
      <c r="I119" s="307">
        <f t="shared" si="18"/>
        <v>0</v>
      </c>
      <c r="J119" s="295"/>
    </row>
    <row r="120" spans="1:10" ht="30.75" customHeight="1">
      <c r="A120" s="692"/>
      <c r="B120" s="295" t="s">
        <v>2293</v>
      </c>
      <c r="C120" s="298"/>
      <c r="D120" s="298"/>
      <c r="E120" s="302"/>
      <c r="F120" s="307"/>
      <c r="G120" s="302"/>
      <c r="H120" s="307"/>
      <c r="I120" s="307">
        <f t="shared" si="18"/>
        <v>0</v>
      </c>
      <c r="J120" s="295"/>
    </row>
    <row r="121" spans="1:10" ht="30.75" customHeight="1">
      <c r="A121" s="693"/>
      <c r="B121" s="296" t="s">
        <v>2294</v>
      </c>
      <c r="C121" s="299"/>
      <c r="D121" s="299"/>
      <c r="E121" s="303"/>
      <c r="F121" s="308"/>
      <c r="G121" s="303"/>
      <c r="H121" s="308"/>
      <c r="I121" s="308">
        <f t="shared" si="18"/>
        <v>0</v>
      </c>
      <c r="J121" s="296"/>
    </row>
    <row r="122" spans="1:10" ht="21.75" customHeight="1">
      <c r="A122" s="691">
        <v>2048</v>
      </c>
      <c r="B122" s="304" t="s">
        <v>2299</v>
      </c>
      <c r="C122" s="305">
        <v>58</v>
      </c>
      <c r="D122" s="305">
        <v>56</v>
      </c>
      <c r="E122" s="309">
        <v>29</v>
      </c>
      <c r="F122" s="306"/>
      <c r="G122" s="309">
        <v>23</v>
      </c>
      <c r="H122" s="306"/>
      <c r="I122" s="306"/>
      <c r="J122" s="304" t="s">
        <v>2352</v>
      </c>
    </row>
    <row r="123" spans="1:10" ht="30.75" customHeight="1">
      <c r="A123" s="692"/>
      <c r="B123" s="295" t="s">
        <v>2291</v>
      </c>
      <c r="C123" s="298"/>
      <c r="D123" s="298"/>
      <c r="E123" s="302"/>
      <c r="F123" s="307"/>
      <c r="G123" s="302"/>
      <c r="H123" s="307"/>
      <c r="I123" s="307">
        <f t="shared" ref="I123" si="24">H123+F123</f>
        <v>0</v>
      </c>
      <c r="J123" s="295"/>
    </row>
    <row r="124" spans="1:10" ht="30.75" customHeight="1">
      <c r="A124" s="692"/>
      <c r="B124" s="295" t="s">
        <v>2292</v>
      </c>
      <c r="C124" s="298"/>
      <c r="D124" s="298"/>
      <c r="E124" s="302"/>
      <c r="F124" s="307"/>
      <c r="G124" s="302"/>
      <c r="H124" s="307"/>
      <c r="I124" s="307">
        <f t="shared" si="18"/>
        <v>0</v>
      </c>
      <c r="J124" s="295"/>
    </row>
    <row r="125" spans="1:10" ht="30.75" customHeight="1">
      <c r="A125" s="692"/>
      <c r="B125" s="295" t="s">
        <v>2293</v>
      </c>
      <c r="C125" s="298"/>
      <c r="D125" s="298"/>
      <c r="E125" s="302"/>
      <c r="F125" s="307"/>
      <c r="G125" s="302"/>
      <c r="H125" s="307"/>
      <c r="I125" s="307">
        <f t="shared" si="18"/>
        <v>0</v>
      </c>
      <c r="J125" s="295"/>
    </row>
    <row r="126" spans="1:10" ht="30.75" customHeight="1">
      <c r="A126" s="693"/>
      <c r="B126" s="296" t="s">
        <v>2294</v>
      </c>
      <c r="C126" s="299"/>
      <c r="D126" s="299"/>
      <c r="E126" s="303"/>
      <c r="F126" s="308"/>
      <c r="G126" s="303"/>
      <c r="H126" s="308"/>
      <c r="I126" s="308">
        <f t="shared" si="18"/>
        <v>0</v>
      </c>
      <c r="J126" s="296"/>
    </row>
    <row r="127" spans="1:10" ht="21.75" customHeight="1">
      <c r="A127" s="691">
        <v>2049</v>
      </c>
      <c r="B127" s="304" t="s">
        <v>2299</v>
      </c>
      <c r="C127" s="305">
        <v>59</v>
      </c>
      <c r="D127" s="305">
        <v>57</v>
      </c>
      <c r="E127" s="309">
        <v>30</v>
      </c>
      <c r="F127" s="306"/>
      <c r="G127" s="309">
        <v>24</v>
      </c>
      <c r="H127" s="306"/>
      <c r="I127" s="306"/>
      <c r="J127" s="304" t="s">
        <v>2353</v>
      </c>
    </row>
    <row r="128" spans="1:10" ht="30.75" customHeight="1">
      <c r="A128" s="692"/>
      <c r="B128" s="295" t="s">
        <v>2291</v>
      </c>
      <c r="C128" s="298"/>
      <c r="D128" s="298"/>
      <c r="E128" s="302"/>
      <c r="F128" s="307"/>
      <c r="G128" s="302"/>
      <c r="H128" s="307"/>
      <c r="I128" s="307">
        <f t="shared" ref="I128" si="25">H128+F128</f>
        <v>0</v>
      </c>
      <c r="J128" s="295"/>
    </row>
    <row r="129" spans="1:10" ht="30.75" customHeight="1">
      <c r="A129" s="692"/>
      <c r="B129" s="295" t="s">
        <v>2292</v>
      </c>
      <c r="C129" s="298"/>
      <c r="D129" s="298"/>
      <c r="E129" s="302"/>
      <c r="F129" s="307"/>
      <c r="G129" s="302"/>
      <c r="H129" s="307"/>
      <c r="I129" s="307">
        <f t="shared" si="18"/>
        <v>0</v>
      </c>
      <c r="J129" s="295"/>
    </row>
    <row r="130" spans="1:10" ht="30.75" customHeight="1">
      <c r="A130" s="692"/>
      <c r="B130" s="295" t="s">
        <v>2293</v>
      </c>
      <c r="C130" s="298"/>
      <c r="D130" s="298"/>
      <c r="E130" s="302"/>
      <c r="F130" s="307"/>
      <c r="G130" s="302"/>
      <c r="H130" s="307"/>
      <c r="I130" s="307">
        <f t="shared" si="18"/>
        <v>0</v>
      </c>
      <c r="J130" s="295"/>
    </row>
    <row r="131" spans="1:10" ht="30.75" customHeight="1">
      <c r="A131" s="693"/>
      <c r="B131" s="296" t="s">
        <v>2294</v>
      </c>
      <c r="C131" s="299"/>
      <c r="D131" s="299"/>
      <c r="E131" s="303"/>
      <c r="F131" s="308"/>
      <c r="G131" s="303"/>
      <c r="H131" s="308"/>
      <c r="I131" s="308">
        <f t="shared" si="18"/>
        <v>0</v>
      </c>
      <c r="J131" s="296"/>
    </row>
    <row r="132" spans="1:10" ht="21.75" customHeight="1">
      <c r="A132" s="691">
        <v>2050</v>
      </c>
      <c r="B132" s="304" t="s">
        <v>2299</v>
      </c>
      <c r="C132" s="305">
        <v>60</v>
      </c>
      <c r="D132" s="305">
        <v>58</v>
      </c>
      <c r="E132" s="309">
        <v>31</v>
      </c>
      <c r="F132" s="306"/>
      <c r="G132" s="309">
        <v>25</v>
      </c>
      <c r="H132" s="306"/>
      <c r="I132" s="306"/>
      <c r="J132" s="304" t="s">
        <v>2354</v>
      </c>
    </row>
    <row r="133" spans="1:10" ht="30.75" customHeight="1">
      <c r="A133" s="692"/>
      <c r="B133" s="295" t="s">
        <v>2291</v>
      </c>
      <c r="C133" s="298"/>
      <c r="D133" s="298"/>
      <c r="E133" s="302"/>
      <c r="F133" s="307"/>
      <c r="G133" s="302"/>
      <c r="H133" s="307"/>
      <c r="I133" s="307">
        <f t="shared" ref="I133" si="26">H133+F133</f>
        <v>0</v>
      </c>
      <c r="J133" s="295"/>
    </row>
    <row r="134" spans="1:10" ht="30.75" customHeight="1">
      <c r="A134" s="692"/>
      <c r="B134" s="295" t="s">
        <v>2292</v>
      </c>
      <c r="C134" s="298"/>
      <c r="D134" s="298"/>
      <c r="E134" s="302"/>
      <c r="F134" s="307"/>
      <c r="G134" s="302"/>
      <c r="H134" s="307"/>
      <c r="I134" s="307">
        <f t="shared" si="18"/>
        <v>0</v>
      </c>
      <c r="J134" s="295"/>
    </row>
    <row r="135" spans="1:10" ht="30.75" customHeight="1">
      <c r="A135" s="692"/>
      <c r="B135" s="295" t="s">
        <v>2293</v>
      </c>
      <c r="C135" s="298"/>
      <c r="D135" s="298"/>
      <c r="E135" s="302"/>
      <c r="F135" s="307"/>
      <c r="G135" s="302"/>
      <c r="H135" s="307"/>
      <c r="I135" s="307">
        <f t="shared" si="18"/>
        <v>0</v>
      </c>
      <c r="J135" s="295"/>
    </row>
    <row r="136" spans="1:10" ht="30.75" customHeight="1">
      <c r="A136" s="693"/>
      <c r="B136" s="296" t="s">
        <v>2294</v>
      </c>
      <c r="C136" s="299"/>
      <c r="D136" s="299"/>
      <c r="E136" s="303"/>
      <c r="F136" s="308"/>
      <c r="G136" s="303"/>
      <c r="H136" s="308"/>
      <c r="I136" s="308">
        <f t="shared" si="18"/>
        <v>0</v>
      </c>
      <c r="J136" s="296"/>
    </row>
    <row r="137" spans="1:10" ht="21.75" customHeight="1">
      <c r="A137" s="691">
        <v>2051</v>
      </c>
      <c r="B137" s="304" t="s">
        <v>2299</v>
      </c>
      <c r="C137" s="305">
        <v>61</v>
      </c>
      <c r="D137" s="305">
        <v>59</v>
      </c>
      <c r="E137" s="309">
        <v>32</v>
      </c>
      <c r="F137" s="306"/>
      <c r="G137" s="309">
        <v>26</v>
      </c>
      <c r="H137" s="306"/>
      <c r="I137" s="306"/>
      <c r="J137" s="304" t="s">
        <v>2355</v>
      </c>
    </row>
    <row r="138" spans="1:10" ht="30.75" customHeight="1">
      <c r="A138" s="692"/>
      <c r="B138" s="295" t="s">
        <v>2291</v>
      </c>
      <c r="C138" s="298"/>
      <c r="D138" s="298"/>
      <c r="E138" s="302"/>
      <c r="F138" s="307"/>
      <c r="G138" s="302"/>
      <c r="H138" s="307"/>
      <c r="I138" s="307">
        <f t="shared" ref="I138" si="27">H138+F138</f>
        <v>0</v>
      </c>
      <c r="J138" s="295"/>
    </row>
    <row r="139" spans="1:10" ht="30.75" customHeight="1">
      <c r="A139" s="692"/>
      <c r="B139" s="295" t="s">
        <v>2292</v>
      </c>
      <c r="C139" s="298"/>
      <c r="D139" s="298"/>
      <c r="E139" s="302"/>
      <c r="F139" s="307"/>
      <c r="G139" s="302"/>
      <c r="H139" s="307"/>
      <c r="I139" s="307">
        <f t="shared" si="18"/>
        <v>0</v>
      </c>
      <c r="J139" s="295"/>
    </row>
    <row r="140" spans="1:10" ht="30.75" customHeight="1">
      <c r="A140" s="692"/>
      <c r="B140" s="295" t="s">
        <v>2293</v>
      </c>
      <c r="C140" s="298"/>
      <c r="D140" s="298"/>
      <c r="E140" s="302"/>
      <c r="F140" s="307"/>
      <c r="G140" s="302"/>
      <c r="H140" s="307"/>
      <c r="I140" s="307">
        <f t="shared" si="18"/>
        <v>0</v>
      </c>
      <c r="J140" s="295"/>
    </row>
    <row r="141" spans="1:10" ht="30.75" customHeight="1">
      <c r="A141" s="693"/>
      <c r="B141" s="296" t="s">
        <v>2294</v>
      </c>
      <c r="C141" s="299"/>
      <c r="D141" s="299"/>
      <c r="E141" s="303"/>
      <c r="F141" s="308"/>
      <c r="G141" s="303"/>
      <c r="H141" s="308"/>
      <c r="I141" s="308">
        <f t="shared" si="18"/>
        <v>0</v>
      </c>
      <c r="J141" s="296"/>
    </row>
    <row r="142" spans="1:10" ht="21.75" customHeight="1">
      <c r="A142" s="691">
        <v>2052</v>
      </c>
      <c r="B142" s="304" t="s">
        <v>2299</v>
      </c>
      <c r="C142" s="305">
        <v>62</v>
      </c>
      <c r="D142" s="305">
        <v>60</v>
      </c>
      <c r="E142" s="309">
        <v>33</v>
      </c>
      <c r="F142" s="306"/>
      <c r="G142" s="309">
        <v>27</v>
      </c>
      <c r="H142" s="306"/>
      <c r="I142" s="306"/>
      <c r="J142" s="304" t="s">
        <v>2356</v>
      </c>
    </row>
    <row r="143" spans="1:10" ht="30.75" customHeight="1">
      <c r="A143" s="692"/>
      <c r="B143" s="295" t="s">
        <v>2291</v>
      </c>
      <c r="C143" s="298"/>
      <c r="D143" s="298"/>
      <c r="E143" s="302"/>
      <c r="F143" s="307"/>
      <c r="G143" s="302"/>
      <c r="H143" s="307"/>
      <c r="I143" s="307">
        <f t="shared" ref="I143" si="28">H143+F143</f>
        <v>0</v>
      </c>
      <c r="J143" s="295"/>
    </row>
    <row r="144" spans="1:10" ht="30.75" customHeight="1">
      <c r="A144" s="692"/>
      <c r="B144" s="295" t="s">
        <v>2292</v>
      </c>
      <c r="C144" s="298"/>
      <c r="D144" s="298"/>
      <c r="E144" s="302"/>
      <c r="F144" s="307"/>
      <c r="G144" s="302"/>
      <c r="H144" s="307"/>
      <c r="I144" s="307">
        <f t="shared" si="18"/>
        <v>0</v>
      </c>
      <c r="J144" s="295"/>
    </row>
    <row r="145" spans="1:10" ht="30.75" customHeight="1">
      <c r="A145" s="692"/>
      <c r="B145" s="295" t="s">
        <v>2293</v>
      </c>
      <c r="C145" s="298"/>
      <c r="D145" s="298"/>
      <c r="E145" s="302"/>
      <c r="F145" s="307"/>
      <c r="G145" s="302"/>
      <c r="H145" s="307"/>
      <c r="I145" s="307">
        <f t="shared" si="18"/>
        <v>0</v>
      </c>
      <c r="J145" s="295"/>
    </row>
    <row r="146" spans="1:10" ht="30.75" customHeight="1">
      <c r="A146" s="693"/>
      <c r="B146" s="296" t="s">
        <v>2294</v>
      </c>
      <c r="C146" s="299"/>
      <c r="D146" s="299"/>
      <c r="E146" s="303"/>
      <c r="F146" s="308"/>
      <c r="G146" s="303"/>
      <c r="H146" s="308"/>
      <c r="I146" s="308">
        <f t="shared" si="18"/>
        <v>0</v>
      </c>
      <c r="J146" s="296"/>
    </row>
  </sheetData>
  <mergeCells count="32">
    <mergeCell ref="A137:A141"/>
    <mergeCell ref="A142:A146"/>
    <mergeCell ref="E1:F1"/>
    <mergeCell ref="G1:H1"/>
    <mergeCell ref="A107:A111"/>
    <mergeCell ref="A112:A116"/>
    <mergeCell ref="A117:A121"/>
    <mergeCell ref="A122:A126"/>
    <mergeCell ref="A127:A131"/>
    <mergeCell ref="A132:A136"/>
    <mergeCell ref="A77:A81"/>
    <mergeCell ref="A82:A86"/>
    <mergeCell ref="A87:A91"/>
    <mergeCell ref="A92:A96"/>
    <mergeCell ref="A97:A101"/>
    <mergeCell ref="A102:A106"/>
    <mergeCell ref="A1:B1"/>
    <mergeCell ref="A57:A61"/>
    <mergeCell ref="A62:A66"/>
    <mergeCell ref="A67:A71"/>
    <mergeCell ref="A2:A6"/>
    <mergeCell ref="A7:A11"/>
    <mergeCell ref="A12:A16"/>
    <mergeCell ref="A17:A21"/>
    <mergeCell ref="A72:A76"/>
    <mergeCell ref="A22:A26"/>
    <mergeCell ref="A27:A31"/>
    <mergeCell ref="A32:A36"/>
    <mergeCell ref="A37:A41"/>
    <mergeCell ref="A42:A46"/>
    <mergeCell ref="A47:A51"/>
    <mergeCell ref="A52:A56"/>
  </mergeCells>
  <phoneticPr fontId="5"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O75"/>
  <sheetViews>
    <sheetView zoomScale="70" zoomScaleNormal="70" zoomScaleSheetLayoutView="55" workbookViewId="0">
      <selection activeCell="E8" sqref="E8"/>
    </sheetView>
  </sheetViews>
  <sheetFormatPr defaultColWidth="8.75" defaultRowHeight="13.5"/>
  <cols>
    <col min="1" max="1" width="8.875" style="3" bestFit="1" customWidth="1"/>
    <col min="2" max="2" width="12.25" style="3" customWidth="1"/>
    <col min="3" max="3" width="13.25" style="12" customWidth="1"/>
    <col min="4" max="4" width="16.875" style="29" customWidth="1"/>
    <col min="5" max="5" width="31.25" style="29" customWidth="1"/>
    <col min="6" max="7" width="12.25" style="29" customWidth="1"/>
    <col min="8" max="11" width="8.75" style="3"/>
    <col min="12" max="12" width="10.125" style="3" customWidth="1"/>
    <col min="13" max="13" width="19.25" style="3" customWidth="1"/>
    <col min="14" max="15" width="14.75" style="3" customWidth="1"/>
    <col min="16" max="16384" width="8.75" style="3"/>
  </cols>
  <sheetData>
    <row r="1" spans="1:15" ht="21" customHeight="1">
      <c r="A1" s="37" t="s">
        <v>223</v>
      </c>
      <c r="B1" s="38">
        <f ca="1">TODAY()</f>
        <v>46178</v>
      </c>
      <c r="C1" s="39"/>
      <c r="D1" s="39"/>
      <c r="E1" s="39"/>
      <c r="F1" s="39"/>
      <c r="G1" s="39"/>
    </row>
    <row r="2" spans="1:15" ht="21" customHeight="1">
      <c r="A2" s="699" t="s">
        <v>214</v>
      </c>
      <c r="B2" s="699"/>
      <c r="C2" s="700">
        <f>SUM(C6:C36)</f>
        <v>52309469</v>
      </c>
      <c r="D2" s="700"/>
      <c r="E2" s="700"/>
      <c r="F2" s="700"/>
      <c r="G2" s="700"/>
    </row>
    <row r="3" spans="1:15" ht="21" customHeight="1">
      <c r="A3" s="699" t="s">
        <v>215</v>
      </c>
      <c r="B3" s="699"/>
      <c r="C3" s="700">
        <f ca="1">SUMIF(B6:B36,"&lt;="&amp;TODAY(),C6:C36)</f>
        <v>52309469</v>
      </c>
      <c r="D3" s="700"/>
      <c r="E3" s="700"/>
      <c r="F3" s="700"/>
      <c r="G3" s="700"/>
    </row>
    <row r="4" spans="1:15" ht="21" customHeight="1">
      <c r="A4" s="699" t="s">
        <v>204</v>
      </c>
      <c r="B4" s="699"/>
      <c r="C4" s="700">
        <f ca="1">SUM(C6:C36)-C3</f>
        <v>0</v>
      </c>
      <c r="D4" s="700"/>
      <c r="E4" s="700"/>
      <c r="F4" s="700"/>
      <c r="G4" s="700"/>
      <c r="L4" s="696" t="s">
        <v>189</v>
      </c>
      <c r="M4" s="696"/>
      <c r="N4" s="698" t="s">
        <v>194</v>
      </c>
      <c r="O4" s="698"/>
    </row>
    <row r="5" spans="1:15" ht="21" customHeight="1">
      <c r="A5" s="30" t="s">
        <v>1</v>
      </c>
      <c r="B5" s="31" t="s">
        <v>216</v>
      </c>
      <c r="C5" s="32" t="s">
        <v>217</v>
      </c>
      <c r="D5" s="33" t="s">
        <v>218</v>
      </c>
      <c r="E5" s="33" t="s">
        <v>219</v>
      </c>
      <c r="F5" s="33" t="s">
        <v>220</v>
      </c>
      <c r="G5" s="33" t="s">
        <v>153</v>
      </c>
      <c r="L5" s="696"/>
      <c r="M5" s="696"/>
      <c r="N5" s="3" t="s">
        <v>195</v>
      </c>
      <c r="O5" s="3" t="s">
        <v>196</v>
      </c>
    </row>
    <row r="6" spans="1:15" ht="21" customHeight="1">
      <c r="A6" s="30">
        <f t="shared" ref="A6:A35" si="0">IF(B6="","",ROW()-5)</f>
        <v>1</v>
      </c>
      <c r="B6" s="34">
        <v>44673</v>
      </c>
      <c r="C6" s="35">
        <v>100000</v>
      </c>
      <c r="D6" s="36" t="s">
        <v>205</v>
      </c>
      <c r="E6" s="36" t="s">
        <v>207</v>
      </c>
      <c r="F6" s="30" t="str">
        <f ca="1">IF(B6&lt;=TODAY(),"O","")</f>
        <v>O</v>
      </c>
      <c r="G6" s="136" t="s">
        <v>1046</v>
      </c>
      <c r="L6" s="696" t="s">
        <v>190</v>
      </c>
      <c r="M6" s="5" t="s">
        <v>182</v>
      </c>
      <c r="N6" s="12">
        <v>55130000</v>
      </c>
      <c r="O6" s="12"/>
    </row>
    <row r="7" spans="1:15" ht="21" customHeight="1">
      <c r="A7" s="30">
        <f t="shared" si="0"/>
        <v>2</v>
      </c>
      <c r="B7" s="34">
        <v>44904</v>
      </c>
      <c r="C7" s="35">
        <v>100000</v>
      </c>
      <c r="D7" s="36" t="s">
        <v>221</v>
      </c>
      <c r="E7" s="36" t="s">
        <v>211</v>
      </c>
      <c r="F7" s="30" t="str">
        <f t="shared" ref="F7:F35" ca="1" si="1">IF(B7&lt;=TODAY(),"O","")</f>
        <v>O</v>
      </c>
      <c r="G7" s="136" t="s">
        <v>1047</v>
      </c>
      <c r="L7" s="696"/>
      <c r="M7" s="5" t="s">
        <v>179</v>
      </c>
      <c r="N7" s="12">
        <v>152000</v>
      </c>
      <c r="O7" s="12"/>
    </row>
    <row r="8" spans="1:15" ht="21" customHeight="1">
      <c r="A8" s="30">
        <f t="shared" si="0"/>
        <v>3</v>
      </c>
      <c r="B8" s="34">
        <v>44939</v>
      </c>
      <c r="C8" s="35">
        <v>1250000</v>
      </c>
      <c r="D8" s="36" t="s">
        <v>221</v>
      </c>
      <c r="E8" s="36" t="s">
        <v>211</v>
      </c>
      <c r="F8" s="30" t="str">
        <f t="shared" ca="1" si="1"/>
        <v>O</v>
      </c>
      <c r="G8" s="136" t="s">
        <v>1047</v>
      </c>
      <c r="L8" s="696"/>
      <c r="M8" s="5" t="s">
        <v>181</v>
      </c>
      <c r="N8" s="12">
        <f>N6*-0.05</f>
        <v>-2756500</v>
      </c>
      <c r="O8" s="12"/>
    </row>
    <row r="9" spans="1:15" ht="21" customHeight="1">
      <c r="A9" s="30">
        <f t="shared" si="0"/>
        <v>4</v>
      </c>
      <c r="B9" s="34">
        <v>44942</v>
      </c>
      <c r="C9" s="35">
        <v>3584409</v>
      </c>
      <c r="D9" s="36" t="s">
        <v>210</v>
      </c>
      <c r="E9" s="36" t="s">
        <v>211</v>
      </c>
      <c r="F9" s="30" t="str">
        <f t="shared" ca="1" si="1"/>
        <v>O</v>
      </c>
      <c r="G9" s="136" t="s">
        <v>1047</v>
      </c>
      <c r="L9" s="696"/>
      <c r="M9" s="5" t="s">
        <v>183</v>
      </c>
      <c r="N9" s="12">
        <v>-300000</v>
      </c>
      <c r="O9" s="8"/>
    </row>
    <row r="10" spans="1:15" ht="21" customHeight="1">
      <c r="A10" s="30">
        <f t="shared" si="0"/>
        <v>5</v>
      </c>
      <c r="B10" s="34">
        <v>44951</v>
      </c>
      <c r="C10" s="35">
        <v>5739844</v>
      </c>
      <c r="D10" s="36" t="s">
        <v>206</v>
      </c>
      <c r="E10" s="36" t="s">
        <v>208</v>
      </c>
      <c r="F10" s="30" t="str">
        <f t="shared" ca="1" si="1"/>
        <v>O</v>
      </c>
      <c r="G10" s="136" t="s">
        <v>1046</v>
      </c>
      <c r="L10" s="696"/>
      <c r="M10" s="5" t="s">
        <v>184</v>
      </c>
      <c r="N10" s="12">
        <v>-955656</v>
      </c>
      <c r="O10" s="8"/>
    </row>
    <row r="11" spans="1:15" ht="21" customHeight="1">
      <c r="A11" s="30">
        <f t="shared" si="0"/>
        <v>6</v>
      </c>
      <c r="B11" s="34">
        <v>44951</v>
      </c>
      <c r="C11" s="35">
        <v>2000</v>
      </c>
      <c r="D11" s="36" t="s">
        <v>209</v>
      </c>
      <c r="E11" s="36" t="s">
        <v>208</v>
      </c>
      <c r="F11" s="30" t="str">
        <f t="shared" ca="1" si="1"/>
        <v>O</v>
      </c>
      <c r="G11" s="136" t="s">
        <v>1046</v>
      </c>
      <c r="L11" s="696"/>
      <c r="M11" s="5" t="s">
        <v>197</v>
      </c>
      <c r="N11" s="12">
        <f>SUM(N6:N10)</f>
        <v>51269844</v>
      </c>
      <c r="O11" s="8"/>
    </row>
    <row r="12" spans="1:15" ht="21" customHeight="1">
      <c r="A12" s="30">
        <f t="shared" si="0"/>
        <v>7</v>
      </c>
      <c r="B12" s="34">
        <v>44981</v>
      </c>
      <c r="C12" s="35">
        <v>-5513000</v>
      </c>
      <c r="D12" s="36" t="s">
        <v>213</v>
      </c>
      <c r="E12" s="36" t="s">
        <v>222</v>
      </c>
      <c r="F12" s="30" t="str">
        <f t="shared" ca="1" si="1"/>
        <v>O</v>
      </c>
      <c r="G12" s="136" t="s">
        <v>1047</v>
      </c>
      <c r="L12" s="5" t="s">
        <v>191</v>
      </c>
      <c r="M12" s="5" t="s">
        <v>185</v>
      </c>
      <c r="N12" s="12">
        <v>2000</v>
      </c>
      <c r="O12" s="12"/>
    </row>
    <row r="13" spans="1:15" ht="21" customHeight="1">
      <c r="A13" s="30">
        <f t="shared" si="0"/>
        <v>8</v>
      </c>
      <c r="B13" s="34">
        <v>44984</v>
      </c>
      <c r="C13" s="35">
        <v>2062383</v>
      </c>
      <c r="D13" s="36" t="s">
        <v>213</v>
      </c>
      <c r="E13" s="36" t="s">
        <v>212</v>
      </c>
      <c r="F13" s="30" t="str">
        <f t="shared" ca="1" si="1"/>
        <v>O</v>
      </c>
      <c r="G13" s="136" t="s">
        <v>1046</v>
      </c>
      <c r="L13" s="696" t="s">
        <v>192</v>
      </c>
      <c r="M13" s="5" t="s">
        <v>186</v>
      </c>
      <c r="N13" s="12">
        <v>3270260</v>
      </c>
      <c r="O13" s="8"/>
    </row>
    <row r="14" spans="1:15" ht="21" customHeight="1">
      <c r="A14" s="30">
        <f t="shared" si="0"/>
        <v>9</v>
      </c>
      <c r="B14" s="34">
        <v>45012</v>
      </c>
      <c r="C14" s="35">
        <v>1956060</v>
      </c>
      <c r="D14" s="36" t="s">
        <v>213</v>
      </c>
      <c r="E14" s="36" t="s">
        <v>212</v>
      </c>
      <c r="F14" s="30" t="str">
        <f t="shared" ca="1" si="1"/>
        <v>O</v>
      </c>
      <c r="G14" s="136" t="s">
        <v>1046</v>
      </c>
      <c r="L14" s="696"/>
      <c r="M14" s="5" t="s">
        <v>198</v>
      </c>
      <c r="N14" s="12">
        <v>1121000</v>
      </c>
      <c r="O14" s="8"/>
    </row>
    <row r="15" spans="1:15" ht="21" customHeight="1">
      <c r="A15" s="30">
        <f t="shared" si="0"/>
        <v>10</v>
      </c>
      <c r="B15" s="34">
        <v>45041</v>
      </c>
      <c r="C15" s="35">
        <v>1956060</v>
      </c>
      <c r="D15" s="36" t="s">
        <v>213</v>
      </c>
      <c r="E15" s="36" t="s">
        <v>212</v>
      </c>
      <c r="F15" s="30" t="str">
        <f t="shared" ca="1" si="1"/>
        <v>O</v>
      </c>
      <c r="G15" s="136" t="s">
        <v>1046</v>
      </c>
      <c r="L15" s="696"/>
      <c r="M15" s="5" t="s">
        <v>199</v>
      </c>
      <c r="N15" s="12">
        <v>2000</v>
      </c>
      <c r="O15" s="8"/>
    </row>
    <row r="16" spans="1:15" ht="21" customHeight="1">
      <c r="A16" s="30">
        <f t="shared" si="0"/>
        <v>11</v>
      </c>
      <c r="B16" s="34">
        <v>45071</v>
      </c>
      <c r="C16" s="35">
        <v>1956060</v>
      </c>
      <c r="D16" s="36" t="s">
        <v>213</v>
      </c>
      <c r="E16" s="36" t="s">
        <v>212</v>
      </c>
      <c r="F16" s="30" t="str">
        <f t="shared" ca="1" si="1"/>
        <v>O</v>
      </c>
      <c r="G16" s="136" t="s">
        <v>1046</v>
      </c>
      <c r="L16" s="696"/>
      <c r="M16" s="5" t="s">
        <v>187</v>
      </c>
      <c r="N16" s="12">
        <v>40000</v>
      </c>
      <c r="O16" s="8"/>
    </row>
    <row r="17" spans="1:15" ht="21" customHeight="1">
      <c r="A17" s="30">
        <f t="shared" si="0"/>
        <v>12</v>
      </c>
      <c r="B17" s="34">
        <v>45103</v>
      </c>
      <c r="C17" s="35">
        <v>1956060</v>
      </c>
      <c r="D17" s="36" t="s">
        <v>213</v>
      </c>
      <c r="E17" s="36" t="s">
        <v>212</v>
      </c>
      <c r="F17" s="30" t="str">
        <f t="shared" ca="1" si="1"/>
        <v>O</v>
      </c>
      <c r="G17" s="136" t="s">
        <v>1046</v>
      </c>
      <c r="L17" s="696"/>
      <c r="M17" s="5" t="s">
        <v>188</v>
      </c>
      <c r="N17" s="12">
        <v>30000</v>
      </c>
      <c r="O17" s="8"/>
    </row>
    <row r="18" spans="1:15" ht="21" customHeight="1">
      <c r="A18" s="30">
        <f t="shared" si="0"/>
        <v>13</v>
      </c>
      <c r="B18" s="34">
        <v>45132</v>
      </c>
      <c r="C18" s="35">
        <v>1956060</v>
      </c>
      <c r="D18" s="36" t="s">
        <v>213</v>
      </c>
      <c r="E18" s="36" t="s">
        <v>212</v>
      </c>
      <c r="F18" s="30" t="str">
        <f t="shared" ca="1" si="1"/>
        <v>O</v>
      </c>
      <c r="G18" s="136" t="s">
        <v>1046</v>
      </c>
      <c r="L18" s="696" t="s">
        <v>193</v>
      </c>
      <c r="M18" s="696"/>
      <c r="N18" s="12">
        <f>SUM(N11:N17)</f>
        <v>55735104</v>
      </c>
      <c r="O18" s="8"/>
    </row>
    <row r="19" spans="1:15" ht="21" customHeight="1">
      <c r="A19" s="30">
        <f t="shared" si="0"/>
        <v>14</v>
      </c>
      <c r="B19" s="34">
        <v>45163</v>
      </c>
      <c r="C19" s="35">
        <v>1956060</v>
      </c>
      <c r="D19" s="36" t="s">
        <v>213</v>
      </c>
      <c r="E19" s="36" t="s">
        <v>212</v>
      </c>
      <c r="F19" s="30" t="str">
        <f t="shared" ca="1" si="1"/>
        <v>O</v>
      </c>
      <c r="G19" s="136" t="s">
        <v>1046</v>
      </c>
      <c r="L19" s="696" t="s">
        <v>180</v>
      </c>
      <c r="M19" s="696"/>
      <c r="N19" s="12">
        <f>N6*-0.1</f>
        <v>-5513000</v>
      </c>
      <c r="O19" s="8"/>
    </row>
    <row r="20" spans="1:15" ht="21" customHeight="1">
      <c r="A20" s="30">
        <f t="shared" si="0"/>
        <v>15</v>
      </c>
      <c r="B20" s="34">
        <v>45194</v>
      </c>
      <c r="C20" s="35">
        <v>1956060</v>
      </c>
      <c r="D20" s="36" t="s">
        <v>213</v>
      </c>
      <c r="E20" s="36" t="s">
        <v>212</v>
      </c>
      <c r="F20" s="30" t="str">
        <f t="shared" ca="1" si="1"/>
        <v>O</v>
      </c>
      <c r="G20" s="136" t="s">
        <v>1046</v>
      </c>
      <c r="L20" s="697" t="s">
        <v>200</v>
      </c>
      <c r="M20" s="697"/>
      <c r="N20" s="12">
        <v>-1430000</v>
      </c>
      <c r="O20" s="8"/>
    </row>
    <row r="21" spans="1:15" ht="21" customHeight="1">
      <c r="A21" s="30">
        <f t="shared" si="0"/>
        <v>16</v>
      </c>
      <c r="B21" s="34">
        <v>45224</v>
      </c>
      <c r="C21" s="35">
        <v>1956060</v>
      </c>
      <c r="D21" s="36" t="s">
        <v>213</v>
      </c>
      <c r="E21" s="36" t="s">
        <v>212</v>
      </c>
      <c r="F21" s="30" t="str">
        <f t="shared" ca="1" si="1"/>
        <v>O</v>
      </c>
      <c r="G21" s="136" t="s">
        <v>1046</v>
      </c>
    </row>
    <row r="22" spans="1:15" ht="21" customHeight="1">
      <c r="A22" s="30">
        <f t="shared" si="0"/>
        <v>17</v>
      </c>
      <c r="B22" s="34">
        <v>45257</v>
      </c>
      <c r="C22" s="35">
        <v>1956060</v>
      </c>
      <c r="D22" s="36" t="s">
        <v>213</v>
      </c>
      <c r="E22" s="36" t="s">
        <v>212</v>
      </c>
      <c r="F22" s="30" t="str">
        <f t="shared" ca="1" si="1"/>
        <v>O</v>
      </c>
      <c r="G22" s="136" t="s">
        <v>1046</v>
      </c>
    </row>
    <row r="23" spans="1:15" ht="21" customHeight="1">
      <c r="A23" s="30">
        <f t="shared" si="0"/>
        <v>18</v>
      </c>
      <c r="B23" s="34">
        <v>45286</v>
      </c>
      <c r="C23" s="35">
        <v>1956060</v>
      </c>
      <c r="D23" s="36" t="s">
        <v>213</v>
      </c>
      <c r="E23" s="36" t="s">
        <v>212</v>
      </c>
      <c r="F23" s="30" t="str">
        <f t="shared" ca="1" si="1"/>
        <v>O</v>
      </c>
      <c r="G23" s="136" t="s">
        <v>1046</v>
      </c>
    </row>
    <row r="24" spans="1:15" ht="21" customHeight="1">
      <c r="A24" s="30">
        <f t="shared" si="0"/>
        <v>19</v>
      </c>
      <c r="B24" s="34">
        <v>45316</v>
      </c>
      <c r="C24" s="35">
        <v>1956060</v>
      </c>
      <c r="D24" s="36" t="s">
        <v>213</v>
      </c>
      <c r="E24" s="36" t="s">
        <v>212</v>
      </c>
      <c r="F24" s="30" t="str">
        <f t="shared" ca="1" si="1"/>
        <v>O</v>
      </c>
      <c r="G24" s="136" t="s">
        <v>1046</v>
      </c>
    </row>
    <row r="25" spans="1:15" ht="21" customHeight="1">
      <c r="A25" s="30">
        <f t="shared" si="0"/>
        <v>20</v>
      </c>
      <c r="B25" s="34">
        <v>45348</v>
      </c>
      <c r="C25" s="35">
        <v>1956060</v>
      </c>
      <c r="D25" s="36" t="s">
        <v>213</v>
      </c>
      <c r="E25" s="36" t="s">
        <v>212</v>
      </c>
      <c r="F25" s="30" t="str">
        <f t="shared" ca="1" si="1"/>
        <v>O</v>
      </c>
      <c r="G25" s="136" t="s">
        <v>1046</v>
      </c>
    </row>
    <row r="26" spans="1:15" ht="21" customHeight="1">
      <c r="A26" s="30">
        <f t="shared" si="0"/>
        <v>21</v>
      </c>
      <c r="B26" s="34">
        <v>45376</v>
      </c>
      <c r="C26" s="35">
        <v>1956060</v>
      </c>
      <c r="D26" s="36" t="s">
        <v>213</v>
      </c>
      <c r="E26" s="36" t="s">
        <v>212</v>
      </c>
      <c r="F26" s="30" t="str">
        <f t="shared" ca="1" si="1"/>
        <v>O</v>
      </c>
      <c r="G26" s="136" t="s">
        <v>1046</v>
      </c>
    </row>
    <row r="27" spans="1:15" ht="21" customHeight="1">
      <c r="A27" s="30">
        <f t="shared" si="0"/>
        <v>22</v>
      </c>
      <c r="B27" s="34">
        <v>45407</v>
      </c>
      <c r="C27" s="35">
        <v>1956060</v>
      </c>
      <c r="D27" s="36" t="s">
        <v>213</v>
      </c>
      <c r="E27" s="36" t="s">
        <v>212</v>
      </c>
      <c r="F27" s="30" t="str">
        <f t="shared" ca="1" si="1"/>
        <v>O</v>
      </c>
      <c r="G27" s="136" t="s">
        <v>1046</v>
      </c>
    </row>
    <row r="28" spans="1:15" ht="21" customHeight="1">
      <c r="A28" s="30">
        <f t="shared" si="0"/>
        <v>23</v>
      </c>
      <c r="B28" s="34">
        <v>45439</v>
      </c>
      <c r="C28" s="35">
        <v>1956060</v>
      </c>
      <c r="D28" s="36" t="s">
        <v>213</v>
      </c>
      <c r="E28" s="36" t="s">
        <v>212</v>
      </c>
      <c r="F28" s="30" t="str">
        <f t="shared" ca="1" si="1"/>
        <v>O</v>
      </c>
      <c r="G28" s="136" t="s">
        <v>1046</v>
      </c>
    </row>
    <row r="29" spans="1:15" ht="21" customHeight="1">
      <c r="A29" s="30">
        <f t="shared" si="0"/>
        <v>24</v>
      </c>
      <c r="B29" s="34">
        <v>45468</v>
      </c>
      <c r="C29" s="35">
        <v>1956060</v>
      </c>
      <c r="D29" s="36" t="s">
        <v>213</v>
      </c>
      <c r="E29" s="36" t="s">
        <v>212</v>
      </c>
      <c r="F29" s="30" t="str">
        <f t="shared" ca="1" si="1"/>
        <v>O</v>
      </c>
      <c r="G29" s="136" t="s">
        <v>1046</v>
      </c>
    </row>
    <row r="30" spans="1:15" ht="21" customHeight="1">
      <c r="A30" s="30">
        <f t="shared" si="0"/>
        <v>25</v>
      </c>
      <c r="B30" s="34">
        <v>45498</v>
      </c>
      <c r="C30" s="35">
        <v>1956060</v>
      </c>
      <c r="D30" s="36" t="s">
        <v>213</v>
      </c>
      <c r="E30" s="36" t="s">
        <v>212</v>
      </c>
      <c r="F30" s="30" t="str">
        <f t="shared" ca="1" si="1"/>
        <v>O</v>
      </c>
      <c r="G30" s="136" t="s">
        <v>1046</v>
      </c>
    </row>
    <row r="31" spans="1:15" ht="21" customHeight="1">
      <c r="A31" s="30">
        <f t="shared" si="0"/>
        <v>26</v>
      </c>
      <c r="B31" s="34">
        <v>45530</v>
      </c>
      <c r="C31" s="35">
        <v>1956060</v>
      </c>
      <c r="D31" s="36" t="s">
        <v>213</v>
      </c>
      <c r="E31" s="36" t="s">
        <v>212</v>
      </c>
      <c r="F31" s="30" t="str">
        <f t="shared" ca="1" si="1"/>
        <v>O</v>
      </c>
      <c r="G31" s="136" t="s">
        <v>1046</v>
      </c>
    </row>
    <row r="32" spans="1:15" ht="21" customHeight="1">
      <c r="A32" s="30">
        <f t="shared" si="0"/>
        <v>27</v>
      </c>
      <c r="B32" s="34">
        <v>45560</v>
      </c>
      <c r="C32" s="35">
        <v>1956060</v>
      </c>
      <c r="D32" s="36" t="s">
        <v>213</v>
      </c>
      <c r="E32" s="36" t="s">
        <v>212</v>
      </c>
      <c r="F32" s="30" t="str">
        <f t="shared" ca="1" si="1"/>
        <v>O</v>
      </c>
      <c r="G32" s="136" t="s">
        <v>1046</v>
      </c>
    </row>
    <row r="33" spans="1:7" ht="21" customHeight="1">
      <c r="A33" s="30">
        <f t="shared" si="0"/>
        <v>28</v>
      </c>
      <c r="B33" s="34">
        <v>45590</v>
      </c>
      <c r="C33" s="35">
        <v>1956060</v>
      </c>
      <c r="D33" s="36" t="s">
        <v>213</v>
      </c>
      <c r="E33" s="36" t="s">
        <v>212</v>
      </c>
      <c r="F33" s="30" t="str">
        <f t="shared" ca="1" si="1"/>
        <v>O</v>
      </c>
      <c r="G33" s="136" t="s">
        <v>1046</v>
      </c>
    </row>
    <row r="34" spans="1:7" ht="21" customHeight="1">
      <c r="A34" s="30">
        <f t="shared" si="0"/>
        <v>29</v>
      </c>
      <c r="B34" s="34">
        <v>45621</v>
      </c>
      <c r="C34" s="35">
        <v>1956060</v>
      </c>
      <c r="D34" s="36" t="s">
        <v>213</v>
      </c>
      <c r="E34" s="36" t="s">
        <v>212</v>
      </c>
      <c r="F34" s="30" t="str">
        <f t="shared" ca="1" si="1"/>
        <v>O</v>
      </c>
      <c r="G34" s="136" t="s">
        <v>1046</v>
      </c>
    </row>
    <row r="35" spans="1:7" ht="21" customHeight="1">
      <c r="A35" s="30">
        <f t="shared" si="0"/>
        <v>30</v>
      </c>
      <c r="B35" s="34">
        <v>45652</v>
      </c>
      <c r="C35" s="35">
        <v>1956060</v>
      </c>
      <c r="D35" s="36" t="s">
        <v>213</v>
      </c>
      <c r="E35" s="36" t="s">
        <v>212</v>
      </c>
      <c r="F35" s="30" t="str">
        <f t="shared" ca="1" si="1"/>
        <v>O</v>
      </c>
      <c r="G35" s="136" t="s">
        <v>1046</v>
      </c>
    </row>
    <row r="36" spans="1:7" ht="21" customHeight="1">
      <c r="A36" s="30">
        <f t="shared" ref="A36" si="2">IF(B36="","",ROW()-5)</f>
        <v>31</v>
      </c>
      <c r="B36" s="34">
        <v>45684</v>
      </c>
      <c r="C36" s="35">
        <v>1950513</v>
      </c>
      <c r="D36" s="36" t="s">
        <v>213</v>
      </c>
      <c r="E36" s="36" t="s">
        <v>212</v>
      </c>
      <c r="F36" s="30" t="str">
        <f t="shared" ref="F36" ca="1" si="3">IF(B36&lt;=TODAY(),"O","")</f>
        <v>O</v>
      </c>
      <c r="G36" s="136" t="s">
        <v>1046</v>
      </c>
    </row>
    <row r="37" spans="1:7" ht="21.6" customHeight="1">
      <c r="A37" s="3" t="str">
        <f t="shared" ref="A37:A75" si="4">IF(B37="","",ROW()-3)</f>
        <v/>
      </c>
      <c r="B37" s="2"/>
    </row>
    <row r="38" spans="1:7" ht="21.6" customHeight="1">
      <c r="A38" s="3" t="str">
        <f t="shared" si="4"/>
        <v/>
      </c>
      <c r="B38" s="2"/>
    </row>
    <row r="39" spans="1:7" ht="21.6" customHeight="1">
      <c r="A39" s="3" t="str">
        <f t="shared" si="4"/>
        <v/>
      </c>
      <c r="B39" s="2"/>
    </row>
    <row r="40" spans="1:7" ht="21.6" customHeight="1">
      <c r="A40" s="3" t="str">
        <f t="shared" si="4"/>
        <v/>
      </c>
      <c r="B40" s="2"/>
    </row>
    <row r="41" spans="1:7" ht="21.6" customHeight="1">
      <c r="A41" s="3" t="str">
        <f t="shared" si="4"/>
        <v/>
      </c>
      <c r="B41" s="2"/>
    </row>
    <row r="42" spans="1:7" ht="21.6" customHeight="1">
      <c r="A42" s="3" t="str">
        <f t="shared" si="4"/>
        <v/>
      </c>
      <c r="B42" s="2"/>
    </row>
    <row r="43" spans="1:7" ht="21.6" customHeight="1">
      <c r="A43" s="3" t="str">
        <f t="shared" si="4"/>
        <v/>
      </c>
      <c r="B43" s="2"/>
    </row>
    <row r="44" spans="1:7" ht="21.6" customHeight="1">
      <c r="A44" s="3" t="str">
        <f t="shared" si="4"/>
        <v/>
      </c>
      <c r="B44" s="2"/>
    </row>
    <row r="45" spans="1:7" ht="21.6" customHeight="1">
      <c r="A45" s="3" t="str">
        <f t="shared" si="4"/>
        <v/>
      </c>
      <c r="B45" s="2"/>
    </row>
    <row r="46" spans="1:7" ht="21.6" customHeight="1">
      <c r="A46" s="3" t="str">
        <f t="shared" si="4"/>
        <v/>
      </c>
      <c r="B46" s="2"/>
    </row>
    <row r="47" spans="1:7" ht="21.6" customHeight="1">
      <c r="A47" s="3" t="str">
        <f t="shared" si="4"/>
        <v/>
      </c>
      <c r="B47" s="2"/>
    </row>
    <row r="48" spans="1:7" ht="21.6" customHeight="1">
      <c r="A48" s="3" t="str">
        <f t="shared" si="4"/>
        <v/>
      </c>
      <c r="B48" s="2"/>
    </row>
    <row r="49" spans="1:2" ht="21.6" customHeight="1">
      <c r="A49" s="3" t="str">
        <f t="shared" si="4"/>
        <v/>
      </c>
      <c r="B49" s="2"/>
    </row>
    <row r="50" spans="1:2" ht="21.6" customHeight="1">
      <c r="A50" s="3" t="str">
        <f t="shared" si="4"/>
        <v/>
      </c>
      <c r="B50" s="2"/>
    </row>
    <row r="51" spans="1:2" ht="21.6" customHeight="1">
      <c r="A51" s="3" t="str">
        <f t="shared" si="4"/>
        <v/>
      </c>
      <c r="B51" s="2"/>
    </row>
    <row r="52" spans="1:2" ht="21.6" customHeight="1">
      <c r="A52" s="3" t="str">
        <f t="shared" si="4"/>
        <v/>
      </c>
      <c r="B52" s="2"/>
    </row>
    <row r="53" spans="1:2" ht="21.6" customHeight="1">
      <c r="A53" s="3" t="str">
        <f t="shared" si="4"/>
        <v/>
      </c>
      <c r="B53" s="2"/>
    </row>
    <row r="54" spans="1:2" ht="21.6" customHeight="1">
      <c r="A54" s="3" t="str">
        <f t="shared" si="4"/>
        <v/>
      </c>
      <c r="B54" s="2"/>
    </row>
    <row r="55" spans="1:2" ht="21.6" customHeight="1">
      <c r="A55" s="3" t="str">
        <f t="shared" si="4"/>
        <v/>
      </c>
      <c r="B55" s="2"/>
    </row>
    <row r="56" spans="1:2" ht="21.6" customHeight="1">
      <c r="A56" s="3" t="str">
        <f t="shared" si="4"/>
        <v/>
      </c>
      <c r="B56" s="2"/>
    </row>
    <row r="57" spans="1:2" ht="21.6" customHeight="1">
      <c r="A57" s="3" t="str">
        <f t="shared" si="4"/>
        <v/>
      </c>
      <c r="B57" s="2"/>
    </row>
    <row r="58" spans="1:2" ht="21.6" customHeight="1">
      <c r="A58" s="3" t="str">
        <f t="shared" si="4"/>
        <v/>
      </c>
      <c r="B58" s="2"/>
    </row>
    <row r="59" spans="1:2" ht="21.6" customHeight="1">
      <c r="A59" s="3" t="str">
        <f t="shared" si="4"/>
        <v/>
      </c>
      <c r="B59" s="2"/>
    </row>
    <row r="60" spans="1:2" ht="21.6" customHeight="1">
      <c r="A60" s="3" t="str">
        <f t="shared" si="4"/>
        <v/>
      </c>
      <c r="B60" s="2"/>
    </row>
    <row r="61" spans="1:2" ht="21.6" customHeight="1">
      <c r="A61" s="3" t="str">
        <f t="shared" si="4"/>
        <v/>
      </c>
      <c r="B61" s="2"/>
    </row>
    <row r="62" spans="1:2" ht="21.6" customHeight="1">
      <c r="A62" s="3" t="str">
        <f t="shared" si="4"/>
        <v/>
      </c>
      <c r="B62" s="2"/>
    </row>
    <row r="63" spans="1:2" ht="21.6" customHeight="1">
      <c r="A63" s="3" t="str">
        <f t="shared" si="4"/>
        <v/>
      </c>
      <c r="B63" s="2"/>
    </row>
    <row r="64" spans="1:2" ht="21.6" customHeight="1">
      <c r="A64" s="3" t="str">
        <f t="shared" si="4"/>
        <v/>
      </c>
      <c r="B64" s="2"/>
    </row>
    <row r="65" spans="1:2" ht="21.6" customHeight="1">
      <c r="A65" s="3" t="str">
        <f t="shared" si="4"/>
        <v/>
      </c>
      <c r="B65" s="2"/>
    </row>
    <row r="66" spans="1:2" ht="21.6" customHeight="1">
      <c r="A66" s="3" t="str">
        <f t="shared" si="4"/>
        <v/>
      </c>
      <c r="B66" s="2"/>
    </row>
    <row r="67" spans="1:2" ht="21.6" customHeight="1">
      <c r="A67" s="3" t="str">
        <f t="shared" si="4"/>
        <v/>
      </c>
      <c r="B67" s="2"/>
    </row>
    <row r="68" spans="1:2" ht="21.6" customHeight="1">
      <c r="A68" s="3" t="str">
        <f t="shared" si="4"/>
        <v/>
      </c>
      <c r="B68" s="2"/>
    </row>
    <row r="69" spans="1:2" ht="21.6" customHeight="1">
      <c r="A69" s="3" t="str">
        <f t="shared" si="4"/>
        <v/>
      </c>
      <c r="B69" s="2"/>
    </row>
    <row r="70" spans="1:2" ht="21.6" customHeight="1">
      <c r="A70" s="3" t="str">
        <f t="shared" si="4"/>
        <v/>
      </c>
      <c r="B70" s="2"/>
    </row>
    <row r="71" spans="1:2" ht="21.6" customHeight="1">
      <c r="A71" s="3" t="str">
        <f t="shared" si="4"/>
        <v/>
      </c>
      <c r="B71" s="2"/>
    </row>
    <row r="72" spans="1:2" ht="21.6" customHeight="1">
      <c r="A72" s="3" t="str">
        <f t="shared" si="4"/>
        <v/>
      </c>
      <c r="B72" s="2"/>
    </row>
    <row r="73" spans="1:2" ht="21.6" customHeight="1">
      <c r="A73" s="3" t="str">
        <f t="shared" si="4"/>
        <v/>
      </c>
      <c r="B73" s="2"/>
    </row>
    <row r="74" spans="1:2" ht="21.6" customHeight="1">
      <c r="A74" s="3" t="str">
        <f t="shared" si="4"/>
        <v/>
      </c>
      <c r="B74" s="2"/>
    </row>
    <row r="75" spans="1:2" ht="21.6" customHeight="1">
      <c r="A75" s="3" t="str">
        <f t="shared" si="4"/>
        <v/>
      </c>
      <c r="B75" s="2"/>
    </row>
  </sheetData>
  <autoFilter ref="A5:G75" xr:uid="{00000000-0009-0000-0000-000006000000}"/>
  <mergeCells count="13">
    <mergeCell ref="A2:B2"/>
    <mergeCell ref="A3:B3"/>
    <mergeCell ref="A4:B4"/>
    <mergeCell ref="C2:G2"/>
    <mergeCell ref="C3:G3"/>
    <mergeCell ref="C4:G4"/>
    <mergeCell ref="L19:M19"/>
    <mergeCell ref="L20:M20"/>
    <mergeCell ref="L4:M5"/>
    <mergeCell ref="N4:O4"/>
    <mergeCell ref="L6:L11"/>
    <mergeCell ref="L13:L17"/>
    <mergeCell ref="L18:M18"/>
  </mergeCells>
  <phoneticPr fontId="5" type="noConversion"/>
  <pageMargins left="0.7" right="0.7" top="0.75" bottom="0.75" header="0.3" footer="0.3"/>
  <pageSetup paperSize="9" scale="75" orientation="portrait" horizontalDpi="3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2"/>
  <dimension ref="A1:AA110"/>
  <sheetViews>
    <sheetView zoomScale="85" zoomScaleNormal="85" workbookViewId="0">
      <pane xSplit="2" ySplit="2" topLeftCell="C3" activePane="bottomRight" state="frozen"/>
      <selection activeCell="E8" sqref="E8"/>
      <selection pane="topRight" activeCell="E8" sqref="E8"/>
      <selection pane="bottomLeft" activeCell="E8" sqref="E8"/>
      <selection pane="bottomRight" activeCell="E8" sqref="E8"/>
    </sheetView>
  </sheetViews>
  <sheetFormatPr defaultColWidth="8.75" defaultRowHeight="12.75" outlineLevelRow="1"/>
  <cols>
    <col min="1" max="1" width="10" style="3" customWidth="1"/>
    <col min="2" max="2" width="5.875" style="3" customWidth="1"/>
    <col min="3" max="12" width="8.75" style="3"/>
    <col min="13" max="13" width="19.25" style="3" customWidth="1"/>
    <col min="14" max="18" width="8.75" style="3"/>
    <col min="19" max="19" width="9.75" style="3" customWidth="1"/>
    <col min="20" max="20" width="15.75" style="3" customWidth="1"/>
    <col min="21" max="22" width="8.75" style="3" customWidth="1"/>
    <col min="23" max="23" width="6.875" style="3" customWidth="1"/>
    <col min="24" max="24" width="10.5" style="3" customWidth="1"/>
    <col min="25" max="25" width="8.5" style="3" customWidth="1"/>
    <col min="26" max="27" width="11.875" style="3" customWidth="1"/>
    <col min="28" max="71" width="8.75" style="3"/>
    <col min="72" max="72" width="10" style="3" customWidth="1"/>
    <col min="73" max="73" width="12.375" style="3" customWidth="1"/>
    <col min="74" max="74" width="23.25" style="3" customWidth="1"/>
    <col min="75" max="76" width="9.75" style="3" customWidth="1"/>
    <col min="77" max="78" width="17.625" style="3" customWidth="1"/>
    <col min="79" max="80" width="13.375" style="3" customWidth="1"/>
    <col min="81" max="84" width="9.75" style="3" customWidth="1"/>
    <col min="85" max="16384" width="8.75" style="3"/>
  </cols>
  <sheetData>
    <row r="1" spans="1:27" ht="18" customHeight="1">
      <c r="A1" s="704" t="s">
        <v>72</v>
      </c>
      <c r="B1" s="704" t="s">
        <v>73</v>
      </c>
      <c r="C1" s="704" t="s">
        <v>86</v>
      </c>
      <c r="D1" s="704" t="s">
        <v>87</v>
      </c>
      <c r="E1" s="704" t="s">
        <v>74</v>
      </c>
      <c r="F1" s="704" t="s">
        <v>75</v>
      </c>
      <c r="G1" s="704"/>
      <c r="H1" s="704"/>
      <c r="I1" s="704"/>
      <c r="J1" s="704"/>
      <c r="K1" s="704"/>
      <c r="L1" s="704" t="s">
        <v>88</v>
      </c>
      <c r="M1" s="704" t="s">
        <v>80</v>
      </c>
      <c r="N1" s="704"/>
      <c r="O1" s="704"/>
      <c r="P1" s="704"/>
      <c r="Q1" s="704"/>
      <c r="R1" s="704"/>
      <c r="S1" s="704" t="s">
        <v>167</v>
      </c>
      <c r="T1" s="704"/>
      <c r="U1" s="704"/>
      <c r="V1" s="704"/>
      <c r="W1" s="704" t="s">
        <v>233</v>
      </c>
      <c r="X1" s="709" t="s">
        <v>235</v>
      </c>
      <c r="Y1" s="706" t="s">
        <v>250</v>
      </c>
      <c r="Z1" s="707"/>
      <c r="AA1" s="708"/>
    </row>
    <row r="2" spans="1:27" ht="18" customHeight="1">
      <c r="A2" s="704"/>
      <c r="B2" s="704"/>
      <c r="C2" s="704"/>
      <c r="D2" s="704"/>
      <c r="E2" s="704"/>
      <c r="F2" s="40" t="s">
        <v>76</v>
      </c>
      <c r="G2" s="40" t="s">
        <v>77</v>
      </c>
      <c r="H2" s="40" t="s">
        <v>83</v>
      </c>
      <c r="I2" s="40" t="s">
        <v>78</v>
      </c>
      <c r="J2" s="40" t="s">
        <v>79</v>
      </c>
      <c r="K2" s="40" t="s">
        <v>117</v>
      </c>
      <c r="L2" s="704"/>
      <c r="M2" s="40" t="s">
        <v>81</v>
      </c>
      <c r="N2" s="40" t="s">
        <v>82</v>
      </c>
      <c r="O2" s="40" t="s">
        <v>83</v>
      </c>
      <c r="P2" s="40" t="s">
        <v>84</v>
      </c>
      <c r="Q2" s="40" t="s">
        <v>85</v>
      </c>
      <c r="R2" s="40" t="s">
        <v>122</v>
      </c>
      <c r="S2" s="40" t="s">
        <v>86</v>
      </c>
      <c r="T2" s="40" t="s">
        <v>81</v>
      </c>
      <c r="U2" s="40" t="s">
        <v>83</v>
      </c>
      <c r="V2" s="40" t="s">
        <v>165</v>
      </c>
      <c r="W2" s="704"/>
      <c r="X2" s="704"/>
      <c r="Y2" s="40" t="s">
        <v>251</v>
      </c>
      <c r="Z2" s="40" t="s">
        <v>252</v>
      </c>
      <c r="AA2" s="40" t="s">
        <v>253</v>
      </c>
    </row>
    <row r="3" spans="1:27" ht="18" customHeight="1">
      <c r="A3" s="704" t="s">
        <v>89</v>
      </c>
      <c r="B3" s="704" t="s">
        <v>224</v>
      </c>
      <c r="C3" s="704" t="s">
        <v>119</v>
      </c>
      <c r="D3" s="704" t="s">
        <v>225</v>
      </c>
      <c r="E3" s="704">
        <v>2022.09</v>
      </c>
      <c r="F3" s="705">
        <v>9</v>
      </c>
      <c r="G3" s="705">
        <v>58.5</v>
      </c>
      <c r="H3" s="710">
        <v>191</v>
      </c>
      <c r="I3" s="705"/>
      <c r="J3" s="704"/>
      <c r="K3" s="704"/>
      <c r="L3" s="44">
        <v>45.5</v>
      </c>
      <c r="M3" s="40" t="s">
        <v>147</v>
      </c>
      <c r="N3" s="40" t="s">
        <v>100</v>
      </c>
      <c r="O3" s="45">
        <v>65</v>
      </c>
      <c r="P3" s="40" t="s">
        <v>226</v>
      </c>
      <c r="Q3" s="40">
        <v>3.1</v>
      </c>
      <c r="R3" s="40" t="s">
        <v>109</v>
      </c>
      <c r="S3" s="40" t="s">
        <v>168</v>
      </c>
      <c r="T3" s="40" t="s">
        <v>228</v>
      </c>
      <c r="U3" s="45">
        <v>50</v>
      </c>
      <c r="V3" s="40">
        <v>60</v>
      </c>
      <c r="W3" s="40" t="s">
        <v>1935</v>
      </c>
      <c r="X3" s="45">
        <v>122</v>
      </c>
      <c r="Y3" s="48">
        <f t="shared" ref="Y3:Y23" ca="1" si="0">IF(Z3="","",IF(AA3="",TODAY()-Z3+1,AA3-Z3+1))</f>
        <v>1214</v>
      </c>
      <c r="Z3" s="50">
        <v>44965</v>
      </c>
      <c r="AA3" s="50"/>
    </row>
    <row r="4" spans="1:27" ht="18" customHeight="1">
      <c r="A4" s="704"/>
      <c r="B4" s="704"/>
      <c r="C4" s="704"/>
      <c r="D4" s="704"/>
      <c r="E4" s="704"/>
      <c r="F4" s="705"/>
      <c r="G4" s="705"/>
      <c r="H4" s="710"/>
      <c r="I4" s="705"/>
      <c r="J4" s="704"/>
      <c r="K4" s="704"/>
      <c r="L4" s="44">
        <v>45.5</v>
      </c>
      <c r="M4" s="40" t="s">
        <v>229</v>
      </c>
      <c r="N4" s="40" t="s">
        <v>230</v>
      </c>
      <c r="O4" s="45">
        <v>66.5</v>
      </c>
      <c r="P4" s="40" t="s">
        <v>227</v>
      </c>
      <c r="Q4" s="40">
        <v>3.8</v>
      </c>
      <c r="R4" s="40" t="s">
        <v>109</v>
      </c>
      <c r="S4" s="40" t="s">
        <v>168</v>
      </c>
      <c r="T4" s="40" t="s">
        <v>231</v>
      </c>
      <c r="U4" s="45">
        <v>46.5</v>
      </c>
      <c r="V4" s="40">
        <v>60</v>
      </c>
      <c r="W4" s="40" t="s">
        <v>1935</v>
      </c>
      <c r="X4" s="45">
        <v>121</v>
      </c>
      <c r="Y4" s="48">
        <f t="shared" ca="1" si="0"/>
        <v>1221</v>
      </c>
      <c r="Z4" s="50">
        <v>44958</v>
      </c>
      <c r="AA4" s="50"/>
    </row>
    <row r="5" spans="1:27" ht="18" hidden="1" customHeight="1" outlineLevel="1">
      <c r="A5" s="704"/>
      <c r="B5" s="43" t="s">
        <v>224</v>
      </c>
      <c r="C5" s="43" t="s">
        <v>162</v>
      </c>
      <c r="D5" s="43" t="s">
        <v>163</v>
      </c>
      <c r="E5" s="43">
        <v>2021.01</v>
      </c>
      <c r="F5" s="42">
        <v>9.5</v>
      </c>
      <c r="G5" s="42">
        <v>59</v>
      </c>
      <c r="H5" s="45"/>
      <c r="I5" s="41"/>
      <c r="J5" s="40"/>
      <c r="K5" s="40"/>
      <c r="L5" s="47">
        <v>45.25</v>
      </c>
      <c r="M5" s="43" t="s">
        <v>146</v>
      </c>
      <c r="N5" s="43" t="s">
        <v>100</v>
      </c>
      <c r="O5" s="56">
        <v>59</v>
      </c>
      <c r="P5" s="43" t="s">
        <v>232</v>
      </c>
      <c r="Q5" s="43">
        <v>3.3</v>
      </c>
      <c r="R5" s="43" t="s">
        <v>109</v>
      </c>
      <c r="S5" s="43" t="s">
        <v>169</v>
      </c>
      <c r="T5" s="43" t="s">
        <v>170</v>
      </c>
      <c r="U5" s="56">
        <v>48</v>
      </c>
      <c r="V5" s="43">
        <v>60</v>
      </c>
      <c r="W5" s="43"/>
      <c r="X5" s="56"/>
      <c r="Y5" s="48">
        <f t="shared" ca="1" si="0"/>
        <v>215</v>
      </c>
      <c r="Z5" s="50">
        <v>44750</v>
      </c>
      <c r="AA5" s="50">
        <v>44964</v>
      </c>
    </row>
    <row r="6" spans="1:27" ht="18" customHeight="1" collapsed="1">
      <c r="A6" s="704" t="s">
        <v>90</v>
      </c>
      <c r="B6" s="40" t="s">
        <v>102</v>
      </c>
      <c r="C6" s="40" t="s">
        <v>119</v>
      </c>
      <c r="D6" s="40" t="s">
        <v>130</v>
      </c>
      <c r="E6" s="40">
        <v>2021.02</v>
      </c>
      <c r="F6" s="41">
        <v>15</v>
      </c>
      <c r="G6" s="41">
        <v>56.5</v>
      </c>
      <c r="H6" s="45"/>
      <c r="I6" s="41"/>
      <c r="J6" s="40"/>
      <c r="K6" s="40"/>
      <c r="L6" s="44">
        <v>43</v>
      </c>
      <c r="M6" s="40" t="s">
        <v>124</v>
      </c>
      <c r="N6" s="40" t="s">
        <v>100</v>
      </c>
      <c r="O6" s="45">
        <v>67</v>
      </c>
      <c r="P6" s="40"/>
      <c r="Q6" s="40">
        <v>3.9</v>
      </c>
      <c r="R6" s="40" t="s">
        <v>109</v>
      </c>
      <c r="S6" s="40" t="s">
        <v>168</v>
      </c>
      <c r="T6" s="40" t="s">
        <v>172</v>
      </c>
      <c r="U6" s="45">
        <v>50</v>
      </c>
      <c r="V6" s="40">
        <v>60</v>
      </c>
      <c r="W6" s="40" t="s">
        <v>4</v>
      </c>
      <c r="X6" s="45"/>
      <c r="Y6" s="48">
        <f t="shared" ca="1" si="0"/>
        <v>1618</v>
      </c>
      <c r="Z6" s="50">
        <v>44561</v>
      </c>
      <c r="AA6" s="50"/>
    </row>
    <row r="7" spans="1:27" ht="18" hidden="1" customHeight="1" outlineLevel="1">
      <c r="A7" s="704"/>
      <c r="B7" s="40" t="s">
        <v>103</v>
      </c>
      <c r="C7" s="40" t="s">
        <v>119</v>
      </c>
      <c r="D7" s="40" t="s">
        <v>130</v>
      </c>
      <c r="E7" s="40">
        <v>2021.02</v>
      </c>
      <c r="F7" s="41">
        <v>18</v>
      </c>
      <c r="G7" s="41">
        <v>57.5</v>
      </c>
      <c r="H7" s="45"/>
      <c r="I7" s="41"/>
      <c r="J7" s="40"/>
      <c r="K7" s="40"/>
      <c r="L7" s="44">
        <v>42</v>
      </c>
      <c r="M7" s="40" t="s">
        <v>124</v>
      </c>
      <c r="N7" s="40" t="s">
        <v>100</v>
      </c>
      <c r="O7" s="45">
        <v>67</v>
      </c>
      <c r="P7" s="40"/>
      <c r="Q7" s="40">
        <v>3.9</v>
      </c>
      <c r="R7" s="40" t="s">
        <v>109</v>
      </c>
      <c r="S7" s="40"/>
      <c r="T7" s="40"/>
      <c r="U7" s="45"/>
      <c r="V7" s="40"/>
      <c r="W7" s="40"/>
      <c r="X7" s="45"/>
      <c r="Y7" s="48" t="str">
        <f t="shared" ca="1" si="0"/>
        <v/>
      </c>
      <c r="Z7" s="50"/>
      <c r="AA7" s="50"/>
    </row>
    <row r="8" spans="1:27" ht="18" customHeight="1" collapsed="1">
      <c r="A8" s="40" t="s">
        <v>91</v>
      </c>
      <c r="B8" s="40" t="s">
        <v>102</v>
      </c>
      <c r="C8" s="40" t="s">
        <v>119</v>
      </c>
      <c r="D8" s="40" t="s">
        <v>131</v>
      </c>
      <c r="E8" s="40">
        <v>2021.02</v>
      </c>
      <c r="F8" s="41">
        <v>18</v>
      </c>
      <c r="G8" s="41">
        <v>57.5</v>
      </c>
      <c r="H8" s="45"/>
      <c r="I8" s="41"/>
      <c r="J8" s="40"/>
      <c r="K8" s="40"/>
      <c r="L8" s="44">
        <v>40.5</v>
      </c>
      <c r="M8" s="40" t="s">
        <v>120</v>
      </c>
      <c r="N8" s="40" t="s">
        <v>100</v>
      </c>
      <c r="O8" s="45">
        <v>78</v>
      </c>
      <c r="P8" s="40"/>
      <c r="Q8" s="40">
        <v>3.1</v>
      </c>
      <c r="R8" s="40" t="s">
        <v>109</v>
      </c>
      <c r="S8" s="40" t="s">
        <v>168</v>
      </c>
      <c r="T8" s="40" t="s">
        <v>172</v>
      </c>
      <c r="U8" s="45">
        <v>50</v>
      </c>
      <c r="V8" s="40">
        <v>60</v>
      </c>
      <c r="W8" s="40" t="s">
        <v>1936</v>
      </c>
      <c r="X8" s="45"/>
      <c r="Y8" s="48">
        <f t="shared" ca="1" si="0"/>
        <v>1638</v>
      </c>
      <c r="Z8" s="50">
        <v>44541</v>
      </c>
      <c r="AA8" s="50"/>
    </row>
    <row r="9" spans="1:27" ht="18" hidden="1" customHeight="1" outlineLevel="1">
      <c r="A9" s="704" t="s">
        <v>92</v>
      </c>
      <c r="B9" s="40"/>
      <c r="C9" s="40"/>
      <c r="D9" s="40"/>
      <c r="E9" s="40"/>
      <c r="F9" s="41"/>
      <c r="G9" s="41"/>
      <c r="H9" s="45"/>
      <c r="I9" s="41"/>
      <c r="J9" s="40"/>
      <c r="K9" s="40"/>
      <c r="L9" s="44"/>
      <c r="M9" s="40"/>
      <c r="N9" s="40"/>
      <c r="O9" s="45"/>
      <c r="P9" s="40"/>
      <c r="Q9" s="40"/>
      <c r="R9" s="40"/>
      <c r="S9" s="40"/>
      <c r="T9" s="40"/>
      <c r="U9" s="45"/>
      <c r="V9" s="40"/>
      <c r="W9" s="40"/>
      <c r="X9" s="45"/>
      <c r="Y9" s="48" t="str">
        <f t="shared" ca="1" si="0"/>
        <v/>
      </c>
      <c r="Z9" s="50"/>
      <c r="AA9" s="50"/>
    </row>
    <row r="10" spans="1:27" ht="18" hidden="1" customHeight="1" outlineLevel="1">
      <c r="A10" s="704"/>
      <c r="B10" s="40"/>
      <c r="C10" s="40"/>
      <c r="D10" s="40"/>
      <c r="E10" s="40"/>
      <c r="F10" s="41"/>
      <c r="G10" s="41"/>
      <c r="H10" s="45"/>
      <c r="I10" s="41"/>
      <c r="J10" s="40"/>
      <c r="K10" s="40"/>
      <c r="L10" s="44"/>
      <c r="M10" s="40"/>
      <c r="N10" s="40"/>
      <c r="O10" s="45"/>
      <c r="P10" s="40"/>
      <c r="Q10" s="40"/>
      <c r="R10" s="40"/>
      <c r="S10" s="40"/>
      <c r="T10" s="40"/>
      <c r="U10" s="45"/>
      <c r="V10" s="40"/>
      <c r="W10" s="40"/>
      <c r="X10" s="45"/>
      <c r="Y10" s="48" t="str">
        <f t="shared" ca="1" si="0"/>
        <v/>
      </c>
      <c r="Z10" s="50"/>
      <c r="AA10" s="50"/>
    </row>
    <row r="11" spans="1:27" ht="18" hidden="1" customHeight="1" outlineLevel="1">
      <c r="A11" s="704"/>
      <c r="B11" s="40"/>
      <c r="C11" s="40"/>
      <c r="D11" s="40"/>
      <c r="E11" s="40"/>
      <c r="F11" s="41"/>
      <c r="G11" s="41"/>
      <c r="H11" s="45"/>
      <c r="I11" s="41"/>
      <c r="J11" s="40"/>
      <c r="K11" s="40"/>
      <c r="L11" s="44"/>
      <c r="M11" s="40"/>
      <c r="N11" s="40"/>
      <c r="O11" s="45"/>
      <c r="P11" s="40"/>
      <c r="Q11" s="40"/>
      <c r="R11" s="40"/>
      <c r="S11" s="40"/>
      <c r="T11" s="40"/>
      <c r="U11" s="45"/>
      <c r="V11" s="40"/>
      <c r="W11" s="40"/>
      <c r="X11" s="45"/>
      <c r="Y11" s="48" t="str">
        <f t="shared" ca="1" si="0"/>
        <v/>
      </c>
      <c r="Z11" s="50"/>
      <c r="AA11" s="50"/>
    </row>
    <row r="12" spans="1:27" ht="18" customHeight="1" collapsed="1">
      <c r="A12" s="704" t="s">
        <v>93</v>
      </c>
      <c r="B12" s="40" t="s">
        <v>94</v>
      </c>
      <c r="C12" s="40" t="s">
        <v>164</v>
      </c>
      <c r="D12" s="40" t="s">
        <v>106</v>
      </c>
      <c r="E12" s="40">
        <v>2021.09</v>
      </c>
      <c r="F12" s="41">
        <v>21</v>
      </c>
      <c r="G12" s="41">
        <v>61</v>
      </c>
      <c r="H12" s="45"/>
      <c r="I12" s="41"/>
      <c r="J12" s="40"/>
      <c r="K12" s="40"/>
      <c r="L12" s="44">
        <v>38.5</v>
      </c>
      <c r="M12" s="40" t="s">
        <v>121</v>
      </c>
      <c r="N12" s="40" t="s">
        <v>10</v>
      </c>
      <c r="O12" s="45">
        <v>103</v>
      </c>
      <c r="P12" s="40" t="s">
        <v>114</v>
      </c>
      <c r="Q12" s="40">
        <v>1.9</v>
      </c>
      <c r="R12" s="40" t="s">
        <v>109</v>
      </c>
      <c r="S12" s="40" t="s">
        <v>168</v>
      </c>
      <c r="T12" s="40" t="s">
        <v>171</v>
      </c>
      <c r="U12" s="45">
        <v>50</v>
      </c>
      <c r="V12" s="40">
        <v>60</v>
      </c>
      <c r="W12" s="40"/>
      <c r="X12" s="45"/>
      <c r="Y12" s="48">
        <f t="shared" ca="1" si="0"/>
        <v>1699</v>
      </c>
      <c r="Z12" s="50">
        <v>44480</v>
      </c>
      <c r="AA12" s="50"/>
    </row>
    <row r="13" spans="1:27" ht="18" customHeight="1">
      <c r="A13" s="704"/>
      <c r="B13" s="40" t="s">
        <v>95</v>
      </c>
      <c r="C13" s="40" t="s">
        <v>164</v>
      </c>
      <c r="D13" s="40" t="s">
        <v>106</v>
      </c>
      <c r="E13" s="40">
        <v>2021.09</v>
      </c>
      <c r="F13" s="41">
        <v>23.5</v>
      </c>
      <c r="G13" s="41">
        <v>61.5</v>
      </c>
      <c r="H13" s="45"/>
      <c r="I13" s="41"/>
      <c r="J13" s="40"/>
      <c r="K13" s="40"/>
      <c r="L13" s="44">
        <v>38</v>
      </c>
      <c r="M13" s="40" t="s">
        <v>121</v>
      </c>
      <c r="N13" s="40" t="s">
        <v>10</v>
      </c>
      <c r="O13" s="45">
        <v>103</v>
      </c>
      <c r="P13" s="40" t="s">
        <v>114</v>
      </c>
      <c r="Q13" s="40">
        <v>1.9</v>
      </c>
      <c r="R13" s="40" t="s">
        <v>109</v>
      </c>
      <c r="S13" s="40" t="s">
        <v>168</v>
      </c>
      <c r="T13" s="40" t="s">
        <v>171</v>
      </c>
      <c r="U13" s="45">
        <v>50</v>
      </c>
      <c r="V13" s="40">
        <v>60</v>
      </c>
      <c r="W13" s="40"/>
      <c r="X13" s="45"/>
      <c r="Y13" s="48">
        <f t="shared" ca="1" si="0"/>
        <v>1699</v>
      </c>
      <c r="Z13" s="50">
        <v>44480</v>
      </c>
      <c r="AA13" s="50"/>
    </row>
    <row r="14" spans="1:27" ht="18" customHeight="1">
      <c r="A14" s="704"/>
      <c r="B14" s="40" t="s">
        <v>96</v>
      </c>
      <c r="C14" s="40" t="s">
        <v>164</v>
      </c>
      <c r="D14" s="40" t="s">
        <v>106</v>
      </c>
      <c r="E14" s="40">
        <v>2021.09</v>
      </c>
      <c r="F14" s="41">
        <v>26.5</v>
      </c>
      <c r="G14" s="41">
        <v>62</v>
      </c>
      <c r="H14" s="45"/>
      <c r="I14" s="41"/>
      <c r="J14" s="40"/>
      <c r="K14" s="40"/>
      <c r="L14" s="44">
        <v>37.5</v>
      </c>
      <c r="M14" s="40" t="s">
        <v>121</v>
      </c>
      <c r="N14" s="40" t="s">
        <v>10</v>
      </c>
      <c r="O14" s="45">
        <v>103</v>
      </c>
      <c r="P14" s="40" t="s">
        <v>114</v>
      </c>
      <c r="Q14" s="40">
        <v>1.9</v>
      </c>
      <c r="R14" s="40" t="s">
        <v>109</v>
      </c>
      <c r="S14" s="40" t="s">
        <v>168</v>
      </c>
      <c r="T14" s="40" t="s">
        <v>171</v>
      </c>
      <c r="U14" s="45">
        <v>50</v>
      </c>
      <c r="V14" s="40">
        <v>60</v>
      </c>
      <c r="W14" s="40"/>
      <c r="X14" s="45"/>
      <c r="Y14" s="48">
        <f t="shared" ca="1" si="0"/>
        <v>1699</v>
      </c>
      <c r="Z14" s="50">
        <v>44480</v>
      </c>
      <c r="AA14" s="50"/>
    </row>
    <row r="15" spans="1:27" ht="18" customHeight="1">
      <c r="A15" s="704"/>
      <c r="B15" s="40" t="s">
        <v>97</v>
      </c>
      <c r="C15" s="40" t="s">
        <v>164</v>
      </c>
      <c r="D15" s="40" t="s">
        <v>106</v>
      </c>
      <c r="E15" s="40">
        <v>2021.09</v>
      </c>
      <c r="F15" s="41">
        <v>30.5</v>
      </c>
      <c r="G15" s="41">
        <v>62.5</v>
      </c>
      <c r="H15" s="45"/>
      <c r="I15" s="41"/>
      <c r="J15" s="40"/>
      <c r="K15" s="40"/>
      <c r="L15" s="44">
        <v>37</v>
      </c>
      <c r="M15" s="40" t="s">
        <v>121</v>
      </c>
      <c r="N15" s="40" t="s">
        <v>10</v>
      </c>
      <c r="O15" s="45">
        <v>103</v>
      </c>
      <c r="P15" s="40" t="s">
        <v>114</v>
      </c>
      <c r="Q15" s="40">
        <v>1.9</v>
      </c>
      <c r="R15" s="40" t="s">
        <v>109</v>
      </c>
      <c r="S15" s="40" t="s">
        <v>168</v>
      </c>
      <c r="T15" s="40" t="s">
        <v>171</v>
      </c>
      <c r="U15" s="45">
        <v>50</v>
      </c>
      <c r="V15" s="40">
        <v>60</v>
      </c>
      <c r="W15" s="40"/>
      <c r="X15" s="45"/>
      <c r="Y15" s="48">
        <f t="shared" ca="1" si="0"/>
        <v>1699</v>
      </c>
      <c r="Z15" s="50">
        <v>44480</v>
      </c>
      <c r="AA15" s="50"/>
    </row>
    <row r="16" spans="1:27" ht="18" customHeight="1">
      <c r="A16" s="704"/>
      <c r="B16" s="40" t="s">
        <v>98</v>
      </c>
      <c r="C16" s="40" t="s">
        <v>164</v>
      </c>
      <c r="D16" s="40" t="s">
        <v>106</v>
      </c>
      <c r="E16" s="40">
        <v>2021.09</v>
      </c>
      <c r="F16" s="41">
        <v>35</v>
      </c>
      <c r="G16" s="41">
        <v>63</v>
      </c>
      <c r="H16" s="45"/>
      <c r="I16" s="41"/>
      <c r="J16" s="40"/>
      <c r="K16" s="40"/>
      <c r="L16" s="44">
        <v>36.5</v>
      </c>
      <c r="M16" s="40" t="s">
        <v>121</v>
      </c>
      <c r="N16" s="40" t="s">
        <v>10</v>
      </c>
      <c r="O16" s="45">
        <v>103</v>
      </c>
      <c r="P16" s="40" t="s">
        <v>114</v>
      </c>
      <c r="Q16" s="40">
        <v>1.9</v>
      </c>
      <c r="R16" s="40" t="s">
        <v>109</v>
      </c>
      <c r="S16" s="40" t="s">
        <v>168</v>
      </c>
      <c r="T16" s="40" t="s">
        <v>171</v>
      </c>
      <c r="U16" s="45">
        <v>50</v>
      </c>
      <c r="V16" s="40">
        <v>60</v>
      </c>
      <c r="W16" s="40"/>
      <c r="X16" s="45"/>
      <c r="Y16" s="48">
        <f t="shared" ca="1" si="0"/>
        <v>1699</v>
      </c>
      <c r="Z16" s="50">
        <v>44480</v>
      </c>
      <c r="AA16" s="50"/>
    </row>
    <row r="17" spans="1:27" ht="18" customHeight="1">
      <c r="A17" s="704"/>
      <c r="B17" s="40" t="s">
        <v>99</v>
      </c>
      <c r="C17" s="40" t="s">
        <v>164</v>
      </c>
      <c r="D17" s="40" t="s">
        <v>106</v>
      </c>
      <c r="E17" s="40">
        <v>2021.09</v>
      </c>
      <c r="F17" s="41">
        <v>40</v>
      </c>
      <c r="G17" s="41">
        <v>63.5</v>
      </c>
      <c r="H17" s="45"/>
      <c r="I17" s="41"/>
      <c r="J17" s="40"/>
      <c r="K17" s="40"/>
      <c r="L17" s="44">
        <v>36</v>
      </c>
      <c r="M17" s="40" t="s">
        <v>121</v>
      </c>
      <c r="N17" s="40" t="s">
        <v>10</v>
      </c>
      <c r="O17" s="45">
        <v>103</v>
      </c>
      <c r="P17" s="40" t="s">
        <v>114</v>
      </c>
      <c r="Q17" s="40">
        <v>1.9</v>
      </c>
      <c r="R17" s="40" t="s">
        <v>109</v>
      </c>
      <c r="S17" s="40" t="s">
        <v>168</v>
      </c>
      <c r="T17" s="40" t="s">
        <v>171</v>
      </c>
      <c r="U17" s="45">
        <v>50</v>
      </c>
      <c r="V17" s="40">
        <v>60</v>
      </c>
      <c r="W17" s="40"/>
      <c r="X17" s="45"/>
      <c r="Y17" s="48">
        <f t="shared" ca="1" si="0"/>
        <v>1699</v>
      </c>
      <c r="Z17" s="50">
        <v>44480</v>
      </c>
      <c r="AA17" s="50"/>
    </row>
    <row r="18" spans="1:27" ht="18" customHeight="1">
      <c r="A18" s="704" t="s">
        <v>71</v>
      </c>
      <c r="B18" s="40" t="s">
        <v>6</v>
      </c>
      <c r="C18" s="40" t="s">
        <v>164</v>
      </c>
      <c r="D18" s="40" t="s">
        <v>106</v>
      </c>
      <c r="E18" s="40">
        <v>2021.09</v>
      </c>
      <c r="F18" s="41">
        <v>45</v>
      </c>
      <c r="G18" s="41">
        <v>64</v>
      </c>
      <c r="H18" s="45"/>
      <c r="I18" s="41"/>
      <c r="J18" s="40"/>
      <c r="K18" s="40"/>
      <c r="L18" s="44">
        <v>35.75</v>
      </c>
      <c r="M18" s="40" t="s">
        <v>121</v>
      </c>
      <c r="N18" s="40" t="s">
        <v>10</v>
      </c>
      <c r="O18" s="45">
        <v>103</v>
      </c>
      <c r="P18" s="40" t="s">
        <v>115</v>
      </c>
      <c r="Q18" s="40">
        <v>1.9</v>
      </c>
      <c r="R18" s="40" t="s">
        <v>109</v>
      </c>
      <c r="S18" s="40" t="s">
        <v>168</v>
      </c>
      <c r="T18" s="40" t="s">
        <v>171</v>
      </c>
      <c r="U18" s="45">
        <v>50</v>
      </c>
      <c r="V18" s="40">
        <v>60</v>
      </c>
      <c r="W18" s="40"/>
      <c r="X18" s="45"/>
      <c r="Y18" s="48">
        <f t="shared" ca="1" si="0"/>
        <v>1699</v>
      </c>
      <c r="Z18" s="50">
        <v>44480</v>
      </c>
      <c r="AA18" s="50"/>
    </row>
    <row r="19" spans="1:27" ht="18" customHeight="1">
      <c r="A19" s="704"/>
      <c r="B19" s="40" t="s">
        <v>22</v>
      </c>
      <c r="C19" s="40" t="s">
        <v>104</v>
      </c>
      <c r="D19" s="40" t="s">
        <v>105</v>
      </c>
      <c r="E19" s="40">
        <v>2021.01</v>
      </c>
      <c r="F19" s="41">
        <v>52</v>
      </c>
      <c r="G19" s="41">
        <v>64</v>
      </c>
      <c r="H19" s="45"/>
      <c r="I19" s="41">
        <v>10</v>
      </c>
      <c r="J19" s="40" t="s">
        <v>110</v>
      </c>
      <c r="K19" s="40"/>
      <c r="L19" s="44">
        <v>35.5</v>
      </c>
      <c r="M19" s="40" t="s">
        <v>112</v>
      </c>
      <c r="N19" s="40" t="s">
        <v>113</v>
      </c>
      <c r="O19" s="45">
        <v>127</v>
      </c>
      <c r="P19" s="40" t="s">
        <v>115</v>
      </c>
      <c r="Q19" s="40">
        <v>1.7</v>
      </c>
      <c r="R19" s="40" t="s">
        <v>123</v>
      </c>
      <c r="S19" s="40" t="s">
        <v>168</v>
      </c>
      <c r="T19" s="40" t="s">
        <v>171</v>
      </c>
      <c r="U19" s="45">
        <v>50</v>
      </c>
      <c r="V19" s="40">
        <v>60</v>
      </c>
      <c r="W19" s="40"/>
      <c r="X19" s="45"/>
      <c r="Y19" s="48">
        <f t="shared" ca="1" si="0"/>
        <v>1689</v>
      </c>
      <c r="Z19" s="50">
        <v>44490</v>
      </c>
      <c r="AA19" s="50"/>
    </row>
    <row r="20" spans="1:27" ht="18" customHeight="1">
      <c r="A20" s="704"/>
      <c r="B20" s="40" t="s">
        <v>100</v>
      </c>
      <c r="C20" s="40" t="s">
        <v>104</v>
      </c>
      <c r="D20" s="40" t="s">
        <v>105</v>
      </c>
      <c r="E20" s="40">
        <v>2021.01</v>
      </c>
      <c r="F20" s="41">
        <v>56</v>
      </c>
      <c r="G20" s="41">
        <v>64</v>
      </c>
      <c r="H20" s="45"/>
      <c r="I20" s="41">
        <v>12</v>
      </c>
      <c r="J20" s="40" t="s">
        <v>111</v>
      </c>
      <c r="K20" s="40"/>
      <c r="L20" s="44">
        <v>35.25</v>
      </c>
      <c r="M20" s="40" t="s">
        <v>112</v>
      </c>
      <c r="N20" s="40" t="s">
        <v>113</v>
      </c>
      <c r="O20" s="45">
        <v>127</v>
      </c>
      <c r="P20" s="40" t="s">
        <v>116</v>
      </c>
      <c r="Q20" s="40">
        <v>1.7</v>
      </c>
      <c r="R20" s="40" t="s">
        <v>123</v>
      </c>
      <c r="S20" s="40" t="s">
        <v>168</v>
      </c>
      <c r="T20" s="40" t="s">
        <v>171</v>
      </c>
      <c r="U20" s="45">
        <v>50</v>
      </c>
      <c r="V20" s="40">
        <v>60</v>
      </c>
      <c r="W20" s="40"/>
      <c r="X20" s="45"/>
      <c r="Y20" s="48">
        <f t="shared" ca="1" si="0"/>
        <v>1689</v>
      </c>
      <c r="Z20" s="50">
        <v>44490</v>
      </c>
      <c r="AA20" s="50"/>
    </row>
    <row r="21" spans="1:27" ht="18" hidden="1" customHeight="1" outlineLevel="1">
      <c r="A21" s="704"/>
      <c r="B21" s="40" t="s">
        <v>243</v>
      </c>
      <c r="C21" s="40"/>
      <c r="D21" s="40"/>
      <c r="E21" s="40"/>
      <c r="F21" s="41"/>
      <c r="G21" s="41"/>
      <c r="H21" s="45"/>
      <c r="I21" s="41"/>
      <c r="J21" s="40"/>
      <c r="K21" s="40"/>
      <c r="L21" s="44"/>
      <c r="M21" s="40"/>
      <c r="N21" s="40"/>
      <c r="O21" s="45"/>
      <c r="P21" s="40"/>
      <c r="Q21" s="40"/>
      <c r="R21" s="40"/>
      <c r="S21" s="40"/>
      <c r="T21" s="40"/>
      <c r="U21" s="45"/>
      <c r="V21" s="40"/>
      <c r="W21" s="40"/>
      <c r="X21" s="45"/>
      <c r="Y21" s="48" t="str">
        <f t="shared" ca="1" si="0"/>
        <v/>
      </c>
      <c r="Z21" s="50"/>
      <c r="AA21" s="50"/>
    </row>
    <row r="22" spans="1:27" ht="18" customHeight="1" collapsed="1">
      <c r="A22" s="702" t="s">
        <v>101</v>
      </c>
      <c r="B22" s="40" t="s">
        <v>2</v>
      </c>
      <c r="C22" s="40" t="s">
        <v>107</v>
      </c>
      <c r="D22" s="40" t="s">
        <v>149</v>
      </c>
      <c r="E22" s="40">
        <v>2021</v>
      </c>
      <c r="F22" s="41">
        <v>3</v>
      </c>
      <c r="G22" s="41">
        <v>70</v>
      </c>
      <c r="H22" s="45"/>
      <c r="I22" s="41"/>
      <c r="J22" s="40"/>
      <c r="K22" s="41">
        <v>43</v>
      </c>
      <c r="L22" s="44">
        <v>34</v>
      </c>
      <c r="M22" s="40"/>
      <c r="N22" s="40"/>
      <c r="O22" s="45"/>
      <c r="P22" s="40"/>
      <c r="Q22" s="40"/>
      <c r="R22" s="40"/>
      <c r="S22" s="40"/>
      <c r="T22" s="40"/>
      <c r="U22" s="45"/>
      <c r="V22" s="40"/>
      <c r="W22" s="40"/>
      <c r="X22" s="45"/>
      <c r="Y22" s="48">
        <f t="shared" ca="1" si="0"/>
        <v>1498</v>
      </c>
      <c r="Z22" s="50">
        <v>44681</v>
      </c>
      <c r="AA22" s="50"/>
    </row>
    <row r="23" spans="1:27" ht="18" hidden="1" customHeight="1" outlineLevel="1">
      <c r="A23" s="703"/>
      <c r="B23" s="43" t="s">
        <v>2</v>
      </c>
      <c r="C23" s="43" t="s">
        <v>107</v>
      </c>
      <c r="D23" s="43" t="s">
        <v>108</v>
      </c>
      <c r="E23" s="43">
        <v>2016</v>
      </c>
      <c r="F23" s="42">
        <v>3</v>
      </c>
      <c r="G23" s="42">
        <v>71</v>
      </c>
      <c r="H23" s="45"/>
      <c r="I23" s="41"/>
      <c r="J23" s="40"/>
      <c r="K23" s="46" t="s">
        <v>118</v>
      </c>
      <c r="L23" s="47">
        <v>34</v>
      </c>
      <c r="M23" s="40"/>
      <c r="N23" s="40"/>
      <c r="O23" s="45"/>
      <c r="P23" s="40"/>
      <c r="Q23" s="40"/>
      <c r="R23" s="40"/>
      <c r="S23" s="40"/>
      <c r="T23" s="40"/>
      <c r="U23" s="45"/>
      <c r="V23" s="40"/>
      <c r="W23" s="40"/>
      <c r="X23" s="45"/>
      <c r="Y23" s="48">
        <f t="shared" ca="1" si="0"/>
        <v>184</v>
      </c>
      <c r="Z23" s="50">
        <v>44497</v>
      </c>
      <c r="AA23" s="50">
        <v>44680</v>
      </c>
    </row>
    <row r="24" spans="1:27" ht="18" customHeight="1" collapsed="1">
      <c r="A24" s="51" t="s">
        <v>8</v>
      </c>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spans="1:27" ht="18" customHeight="1" collapsed="1">
      <c r="A25" s="701" t="s">
        <v>238</v>
      </c>
      <c r="B25" s="40" t="s">
        <v>256</v>
      </c>
      <c r="C25" s="40" t="s">
        <v>119</v>
      </c>
      <c r="D25" s="40" t="s">
        <v>257</v>
      </c>
      <c r="E25" s="40"/>
      <c r="F25" s="41">
        <v>20</v>
      </c>
      <c r="G25" s="41">
        <v>61</v>
      </c>
      <c r="H25" s="45"/>
      <c r="I25" s="41"/>
      <c r="J25" s="40"/>
      <c r="K25" s="40"/>
      <c r="L25" s="44">
        <v>39.25</v>
      </c>
      <c r="M25" s="40" t="s">
        <v>261</v>
      </c>
      <c r="N25" s="40">
        <v>5.5</v>
      </c>
      <c r="O25" s="45">
        <v>80</v>
      </c>
      <c r="P25" s="40"/>
      <c r="Q25" s="40">
        <v>2.4</v>
      </c>
      <c r="R25" s="40" t="s">
        <v>123</v>
      </c>
      <c r="S25" s="40" t="s">
        <v>168</v>
      </c>
      <c r="T25" s="40" t="s">
        <v>263</v>
      </c>
      <c r="U25" s="45">
        <v>50</v>
      </c>
      <c r="V25" s="40">
        <v>60</v>
      </c>
      <c r="W25" s="40"/>
      <c r="X25" s="45"/>
      <c r="Y25" s="48"/>
      <c r="Z25" s="50"/>
      <c r="AA25" s="50"/>
    </row>
    <row r="26" spans="1:27" ht="18" customHeight="1" collapsed="1">
      <c r="A26" s="701"/>
      <c r="B26" s="40" t="s">
        <v>255</v>
      </c>
      <c r="C26" s="40" t="s">
        <v>119</v>
      </c>
      <c r="D26" s="40" t="s">
        <v>257</v>
      </c>
      <c r="E26" s="40"/>
      <c r="F26" s="41">
        <v>22</v>
      </c>
      <c r="G26" s="41">
        <v>61.5</v>
      </c>
      <c r="H26" s="45"/>
      <c r="I26" s="41"/>
      <c r="J26" s="40"/>
      <c r="K26" s="40"/>
      <c r="L26" s="44">
        <v>38.75</v>
      </c>
      <c r="M26" s="40" t="s">
        <v>261</v>
      </c>
      <c r="N26" s="40">
        <v>5.5</v>
      </c>
      <c r="O26" s="45">
        <v>80</v>
      </c>
      <c r="P26" s="40"/>
      <c r="Q26" s="40">
        <v>2.4</v>
      </c>
      <c r="R26" s="40" t="s">
        <v>123</v>
      </c>
      <c r="S26" s="40" t="s">
        <v>168</v>
      </c>
      <c r="T26" s="40" t="s">
        <v>263</v>
      </c>
      <c r="U26" s="45">
        <v>50</v>
      </c>
      <c r="V26" s="40">
        <v>60</v>
      </c>
      <c r="W26" s="40"/>
      <c r="X26" s="45"/>
      <c r="Y26" s="48"/>
      <c r="Z26" s="50"/>
      <c r="AA26" s="50"/>
    </row>
    <row r="27" spans="1:27" ht="18" customHeight="1" collapsed="1">
      <c r="A27" s="701"/>
      <c r="B27" s="40" t="s">
        <v>256</v>
      </c>
      <c r="C27" s="40" t="s">
        <v>119</v>
      </c>
      <c r="D27" s="40" t="s">
        <v>254</v>
      </c>
      <c r="E27" s="40"/>
      <c r="F27" s="41">
        <v>20</v>
      </c>
      <c r="G27" s="41">
        <v>61</v>
      </c>
      <c r="H27" s="45"/>
      <c r="I27" s="41"/>
      <c r="J27" s="40"/>
      <c r="K27" s="40"/>
      <c r="L27" s="44">
        <v>39.25</v>
      </c>
      <c r="M27" s="40"/>
      <c r="N27" s="40"/>
      <c r="O27" s="45"/>
      <c r="P27" s="40"/>
      <c r="Q27" s="40"/>
      <c r="R27" s="40"/>
      <c r="S27" s="40"/>
      <c r="T27" s="40"/>
      <c r="U27" s="45"/>
      <c r="V27" s="40"/>
      <c r="W27" s="40"/>
      <c r="X27" s="45"/>
      <c r="Y27" s="48"/>
      <c r="Z27" s="50"/>
      <c r="AA27" s="50"/>
    </row>
    <row r="28" spans="1:27" ht="18" customHeight="1" collapsed="1">
      <c r="A28" s="701"/>
      <c r="B28" s="40" t="s">
        <v>255</v>
      </c>
      <c r="C28" s="40" t="s">
        <v>119</v>
      </c>
      <c r="D28" s="40" t="s">
        <v>254</v>
      </c>
      <c r="E28" s="40"/>
      <c r="F28" s="41">
        <v>22</v>
      </c>
      <c r="G28" s="41">
        <v>61.5</v>
      </c>
      <c r="H28" s="45"/>
      <c r="I28" s="41"/>
      <c r="J28" s="40"/>
      <c r="K28" s="40"/>
      <c r="L28" s="44">
        <v>38.75</v>
      </c>
      <c r="M28" s="40"/>
      <c r="N28" s="40"/>
      <c r="O28" s="45"/>
      <c r="P28" s="40"/>
      <c r="Q28" s="40"/>
      <c r="R28" s="40"/>
      <c r="S28" s="40"/>
      <c r="T28" s="40"/>
      <c r="U28" s="45"/>
      <c r="V28" s="40"/>
      <c r="W28" s="40"/>
      <c r="X28" s="45"/>
      <c r="Y28" s="48"/>
      <c r="Z28" s="50"/>
      <c r="AA28" s="50"/>
    </row>
    <row r="29" spans="1:27" ht="18" customHeight="1" collapsed="1">
      <c r="A29" s="701"/>
      <c r="B29" s="53" t="s">
        <v>94</v>
      </c>
      <c r="C29" s="53" t="s">
        <v>119</v>
      </c>
      <c r="D29" s="53" t="s">
        <v>1773</v>
      </c>
      <c r="E29" s="53">
        <v>2023</v>
      </c>
      <c r="F29" s="54">
        <v>22</v>
      </c>
      <c r="G29" s="54">
        <v>61.5</v>
      </c>
      <c r="H29" s="45"/>
      <c r="I29" s="41"/>
      <c r="J29" s="40"/>
      <c r="K29" s="40"/>
      <c r="L29" s="217">
        <v>38.5</v>
      </c>
      <c r="M29" s="40" t="s">
        <v>259</v>
      </c>
      <c r="N29" s="40">
        <v>5.5</v>
      </c>
      <c r="O29" s="45">
        <v>115</v>
      </c>
      <c r="P29" s="40"/>
      <c r="Q29" s="40" t="s">
        <v>260</v>
      </c>
      <c r="R29" s="40" t="s">
        <v>109</v>
      </c>
      <c r="S29" s="40" t="s">
        <v>168</v>
      </c>
      <c r="T29" s="40" t="s">
        <v>263</v>
      </c>
      <c r="U29" s="45">
        <v>50</v>
      </c>
      <c r="V29" s="40">
        <v>60</v>
      </c>
      <c r="W29" s="40"/>
      <c r="X29" s="45"/>
      <c r="Y29" s="48"/>
      <c r="Z29" s="50"/>
      <c r="AA29" s="50"/>
    </row>
    <row r="30" spans="1:27" ht="18" customHeight="1">
      <c r="A30" s="701"/>
      <c r="B30" s="53" t="s">
        <v>95</v>
      </c>
      <c r="C30" s="53" t="s">
        <v>119</v>
      </c>
      <c r="D30" s="53" t="s">
        <v>1773</v>
      </c>
      <c r="E30" s="53">
        <v>2023</v>
      </c>
      <c r="F30" s="54">
        <v>25</v>
      </c>
      <c r="G30" s="54">
        <v>62</v>
      </c>
      <c r="H30" s="45"/>
      <c r="I30" s="41"/>
      <c r="J30" s="40"/>
      <c r="K30" s="40"/>
      <c r="L30" s="217">
        <v>38</v>
      </c>
      <c r="M30" s="40" t="s">
        <v>259</v>
      </c>
      <c r="N30" s="40">
        <v>5.5</v>
      </c>
      <c r="O30" s="45">
        <v>115</v>
      </c>
      <c r="P30" s="40"/>
      <c r="Q30" s="40" t="s">
        <v>260</v>
      </c>
      <c r="R30" s="40" t="s">
        <v>109</v>
      </c>
      <c r="S30" s="40" t="s">
        <v>168</v>
      </c>
      <c r="T30" s="40" t="s">
        <v>263</v>
      </c>
      <c r="U30" s="45">
        <v>50</v>
      </c>
      <c r="V30" s="40">
        <v>60</v>
      </c>
      <c r="W30" s="40"/>
      <c r="X30" s="45"/>
      <c r="Y30" s="48"/>
      <c r="Z30" s="50"/>
      <c r="AA30" s="50"/>
    </row>
    <row r="31" spans="1:27" ht="18" customHeight="1">
      <c r="A31" s="701"/>
      <c r="B31" s="53" t="s">
        <v>96</v>
      </c>
      <c r="C31" s="53" t="s">
        <v>119</v>
      </c>
      <c r="D31" s="53" t="s">
        <v>1773</v>
      </c>
      <c r="E31" s="53">
        <v>2023</v>
      </c>
      <c r="F31" s="54">
        <v>28</v>
      </c>
      <c r="G31" s="54">
        <v>62.5</v>
      </c>
      <c r="H31" s="45"/>
      <c r="I31" s="41"/>
      <c r="J31" s="40"/>
      <c r="K31" s="40"/>
      <c r="L31" s="217">
        <v>37.5</v>
      </c>
      <c r="M31" s="40" t="s">
        <v>259</v>
      </c>
      <c r="N31" s="40">
        <v>5.5</v>
      </c>
      <c r="O31" s="45">
        <v>115</v>
      </c>
      <c r="P31" s="40"/>
      <c r="Q31" s="40" t="s">
        <v>260</v>
      </c>
      <c r="R31" s="40" t="s">
        <v>109</v>
      </c>
      <c r="S31" s="40" t="s">
        <v>168</v>
      </c>
      <c r="T31" s="40" t="s">
        <v>263</v>
      </c>
      <c r="U31" s="45">
        <v>50</v>
      </c>
      <c r="V31" s="40">
        <v>60</v>
      </c>
      <c r="W31" s="40"/>
      <c r="X31" s="45"/>
      <c r="Y31" s="48"/>
      <c r="Z31" s="50"/>
      <c r="AA31" s="50"/>
    </row>
    <row r="32" spans="1:27" ht="18" customHeight="1">
      <c r="A32" s="701"/>
      <c r="B32" s="53" t="s">
        <v>97</v>
      </c>
      <c r="C32" s="53" t="s">
        <v>119</v>
      </c>
      <c r="D32" s="53" t="s">
        <v>1773</v>
      </c>
      <c r="E32" s="53">
        <v>2023</v>
      </c>
      <c r="F32" s="54">
        <v>32</v>
      </c>
      <c r="G32" s="54">
        <v>63</v>
      </c>
      <c r="H32" s="45"/>
      <c r="I32" s="41"/>
      <c r="J32" s="40"/>
      <c r="K32" s="40"/>
      <c r="L32" s="217">
        <v>37</v>
      </c>
      <c r="M32" s="40" t="s">
        <v>259</v>
      </c>
      <c r="N32" s="40">
        <v>5.5</v>
      </c>
      <c r="O32" s="45">
        <v>115</v>
      </c>
      <c r="P32" s="40"/>
      <c r="Q32" s="40" t="s">
        <v>260</v>
      </c>
      <c r="R32" s="40" t="s">
        <v>109</v>
      </c>
      <c r="S32" s="40" t="s">
        <v>168</v>
      </c>
      <c r="T32" s="40" t="s">
        <v>263</v>
      </c>
      <c r="U32" s="45">
        <v>50</v>
      </c>
      <c r="V32" s="40">
        <v>60</v>
      </c>
      <c r="W32" s="40"/>
      <c r="X32" s="45"/>
      <c r="Y32" s="48"/>
      <c r="Z32" s="50"/>
      <c r="AA32" s="50"/>
    </row>
    <row r="33" spans="1:27" ht="18" customHeight="1">
      <c r="A33" s="701"/>
      <c r="B33" s="53" t="s">
        <v>98</v>
      </c>
      <c r="C33" s="53" t="s">
        <v>119</v>
      </c>
      <c r="D33" s="53" t="s">
        <v>1773</v>
      </c>
      <c r="E33" s="53">
        <v>2023</v>
      </c>
      <c r="F33" s="54">
        <v>36</v>
      </c>
      <c r="G33" s="54">
        <v>63.5</v>
      </c>
      <c r="H33" s="45"/>
      <c r="I33" s="41"/>
      <c r="J33" s="40"/>
      <c r="K33" s="40"/>
      <c r="L33" s="217">
        <v>36.5</v>
      </c>
      <c r="M33" s="40" t="s">
        <v>259</v>
      </c>
      <c r="N33" s="40">
        <v>5.5</v>
      </c>
      <c r="O33" s="45">
        <v>115</v>
      </c>
      <c r="P33" s="40"/>
      <c r="Q33" s="40" t="s">
        <v>260</v>
      </c>
      <c r="R33" s="40" t="s">
        <v>109</v>
      </c>
      <c r="S33" s="40" t="s">
        <v>168</v>
      </c>
      <c r="T33" s="40" t="s">
        <v>263</v>
      </c>
      <c r="U33" s="45">
        <v>50</v>
      </c>
      <c r="V33" s="40">
        <v>60</v>
      </c>
      <c r="W33" s="40"/>
      <c r="X33" s="45"/>
      <c r="Y33" s="48"/>
      <c r="Z33" s="50"/>
      <c r="AA33" s="50"/>
    </row>
    <row r="34" spans="1:27" ht="18" customHeight="1">
      <c r="A34" s="701"/>
      <c r="B34" s="53" t="s">
        <v>99</v>
      </c>
      <c r="C34" s="53" t="s">
        <v>119</v>
      </c>
      <c r="D34" s="53" t="s">
        <v>1773</v>
      </c>
      <c r="E34" s="53">
        <v>2023</v>
      </c>
      <c r="F34" s="54">
        <v>40</v>
      </c>
      <c r="G34" s="54">
        <v>64</v>
      </c>
      <c r="H34" s="45"/>
      <c r="I34" s="41"/>
      <c r="J34" s="40"/>
      <c r="K34" s="40"/>
      <c r="L34" s="217">
        <v>36</v>
      </c>
      <c r="M34" s="40" t="s">
        <v>259</v>
      </c>
      <c r="N34" s="40">
        <v>5.5</v>
      </c>
      <c r="O34" s="45">
        <v>115</v>
      </c>
      <c r="P34" s="40"/>
      <c r="Q34" s="40" t="s">
        <v>260</v>
      </c>
      <c r="R34" s="40" t="s">
        <v>109</v>
      </c>
      <c r="S34" s="40" t="s">
        <v>168</v>
      </c>
      <c r="T34" s="40" t="s">
        <v>263</v>
      </c>
      <c r="U34" s="45">
        <v>50</v>
      </c>
      <c r="V34" s="40">
        <v>60</v>
      </c>
      <c r="W34" s="40"/>
      <c r="X34" s="45"/>
      <c r="Y34" s="48"/>
      <c r="Z34" s="50"/>
      <c r="AA34" s="50"/>
    </row>
    <row r="35" spans="1:27" ht="18" customHeight="1">
      <c r="A35" s="701"/>
      <c r="B35" s="53" t="s">
        <v>6</v>
      </c>
      <c r="C35" s="53" t="s">
        <v>119</v>
      </c>
      <c r="D35" s="53" t="s">
        <v>1773</v>
      </c>
      <c r="E35" s="53">
        <v>2023</v>
      </c>
      <c r="F35" s="54">
        <v>44</v>
      </c>
      <c r="G35" s="54">
        <v>64</v>
      </c>
      <c r="H35" s="45"/>
      <c r="I35" s="41"/>
      <c r="J35" s="40"/>
      <c r="K35" s="40"/>
      <c r="L35" s="217">
        <v>35.75</v>
      </c>
      <c r="M35" s="40" t="s">
        <v>259</v>
      </c>
      <c r="N35" s="40">
        <v>5.5</v>
      </c>
      <c r="O35" s="45">
        <v>115</v>
      </c>
      <c r="P35" s="40"/>
      <c r="Q35" s="40" t="s">
        <v>260</v>
      </c>
      <c r="R35" s="40" t="s">
        <v>109</v>
      </c>
      <c r="S35" s="40" t="s">
        <v>168</v>
      </c>
      <c r="T35" s="40" t="s">
        <v>263</v>
      </c>
      <c r="U35" s="45">
        <v>50</v>
      </c>
      <c r="V35" s="40">
        <v>60</v>
      </c>
      <c r="W35" s="40"/>
      <c r="X35" s="45"/>
      <c r="Y35" s="48"/>
      <c r="Z35" s="50"/>
      <c r="AA35" s="50"/>
    </row>
    <row r="36" spans="1:27" ht="18" customHeight="1" collapsed="1">
      <c r="A36" s="701"/>
      <c r="B36" s="40" t="s">
        <v>22</v>
      </c>
      <c r="C36" s="40" t="s">
        <v>119</v>
      </c>
      <c r="D36" s="40" t="s">
        <v>236</v>
      </c>
      <c r="E36" s="40"/>
      <c r="F36" s="41">
        <v>48</v>
      </c>
      <c r="G36" s="41">
        <v>64</v>
      </c>
      <c r="H36" s="45"/>
      <c r="I36" s="41"/>
      <c r="J36" s="40"/>
      <c r="K36" s="40"/>
      <c r="L36" s="44">
        <v>35.5</v>
      </c>
      <c r="M36" s="40" t="s">
        <v>259</v>
      </c>
      <c r="N36" s="40">
        <v>5.5</v>
      </c>
      <c r="O36" s="45">
        <v>115</v>
      </c>
      <c r="P36" s="40"/>
      <c r="Q36" s="40" t="s">
        <v>260</v>
      </c>
      <c r="R36" s="40" t="s">
        <v>109</v>
      </c>
      <c r="S36" s="40" t="s">
        <v>168</v>
      </c>
      <c r="T36" s="40" t="s">
        <v>263</v>
      </c>
      <c r="U36" s="45">
        <v>50</v>
      </c>
      <c r="V36" s="40">
        <v>60</v>
      </c>
      <c r="W36" s="40"/>
      <c r="X36" s="45"/>
      <c r="Y36" s="48"/>
      <c r="Z36" s="50"/>
      <c r="AA36" s="50"/>
    </row>
    <row r="37" spans="1:27" ht="18" customHeight="1">
      <c r="A37" s="701"/>
      <c r="B37" s="40" t="s">
        <v>6</v>
      </c>
      <c r="C37" s="40" t="s">
        <v>119</v>
      </c>
      <c r="D37" s="40" t="s">
        <v>240</v>
      </c>
      <c r="E37" s="40"/>
      <c r="F37" s="41" t="s">
        <v>241</v>
      </c>
      <c r="G37" s="41">
        <v>64</v>
      </c>
      <c r="H37" s="45">
        <v>46</v>
      </c>
      <c r="I37" s="49" t="s">
        <v>247</v>
      </c>
      <c r="J37" s="40"/>
      <c r="K37" s="40"/>
      <c r="L37" s="44">
        <v>35.75</v>
      </c>
      <c r="M37" s="40"/>
      <c r="N37" s="40"/>
      <c r="O37" s="45"/>
      <c r="P37" s="40"/>
      <c r="Q37" s="40"/>
      <c r="R37" s="40"/>
      <c r="S37" s="40"/>
      <c r="T37" s="40"/>
      <c r="U37" s="45"/>
      <c r="V37" s="40"/>
      <c r="W37" s="40"/>
      <c r="X37" s="45"/>
      <c r="Y37" s="48"/>
      <c r="Z37" s="50"/>
      <c r="AA37" s="50"/>
    </row>
    <row r="38" spans="1:27" ht="18" customHeight="1" collapsed="1">
      <c r="A38" s="701"/>
      <c r="B38" s="40" t="s">
        <v>22</v>
      </c>
      <c r="C38" s="40" t="s">
        <v>119</v>
      </c>
      <c r="D38" s="40" t="s">
        <v>240</v>
      </c>
      <c r="E38" s="40"/>
      <c r="F38" s="41" t="s">
        <v>242</v>
      </c>
      <c r="G38" s="41">
        <v>64</v>
      </c>
      <c r="H38" s="45">
        <v>50</v>
      </c>
      <c r="I38" s="49" t="s">
        <v>246</v>
      </c>
      <c r="J38" s="40"/>
      <c r="K38" s="40"/>
      <c r="L38" s="44">
        <v>35.5</v>
      </c>
      <c r="M38" s="40"/>
      <c r="N38" s="40"/>
      <c r="O38" s="45"/>
      <c r="P38" s="40"/>
      <c r="Q38" s="40"/>
      <c r="R38" s="40"/>
      <c r="S38" s="40"/>
      <c r="T38" s="40"/>
      <c r="U38" s="45"/>
      <c r="V38" s="40"/>
      <c r="W38" s="40"/>
      <c r="X38" s="45"/>
      <c r="Y38" s="48"/>
      <c r="Z38" s="50"/>
      <c r="AA38" s="50"/>
    </row>
    <row r="39" spans="1:27" ht="18" customHeight="1" collapsed="1">
      <c r="A39" s="701"/>
      <c r="B39" s="40" t="s">
        <v>100</v>
      </c>
      <c r="C39" s="40" t="s">
        <v>119</v>
      </c>
      <c r="D39" s="40" t="s">
        <v>240</v>
      </c>
      <c r="E39" s="40"/>
      <c r="F39" s="41" t="s">
        <v>244</v>
      </c>
      <c r="G39" s="41">
        <v>64</v>
      </c>
      <c r="H39" s="45">
        <v>54</v>
      </c>
      <c r="I39" s="41" t="s">
        <v>248</v>
      </c>
      <c r="J39" s="40"/>
      <c r="K39" s="40"/>
      <c r="L39" s="44">
        <v>35.25</v>
      </c>
      <c r="M39" s="40"/>
      <c r="N39" s="40"/>
      <c r="O39" s="45"/>
      <c r="P39" s="40"/>
      <c r="Q39" s="40"/>
      <c r="R39" s="40"/>
      <c r="S39" s="40"/>
      <c r="T39" s="40"/>
      <c r="U39" s="45"/>
      <c r="V39" s="40"/>
      <c r="W39" s="40"/>
      <c r="X39" s="45"/>
      <c r="Y39" s="48"/>
      <c r="Z39" s="50"/>
      <c r="AA39" s="50"/>
    </row>
    <row r="40" spans="1:27" ht="18" customHeight="1">
      <c r="A40" s="701"/>
      <c r="B40" s="40" t="s">
        <v>243</v>
      </c>
      <c r="C40" s="40" t="s">
        <v>119</v>
      </c>
      <c r="D40" s="40" t="s">
        <v>240</v>
      </c>
      <c r="E40" s="40"/>
      <c r="F40" s="41" t="s">
        <v>245</v>
      </c>
      <c r="G40" s="41">
        <v>64</v>
      </c>
      <c r="H40" s="45">
        <v>60</v>
      </c>
      <c r="I40" s="41" t="s">
        <v>249</v>
      </c>
      <c r="J40" s="40"/>
      <c r="K40" s="40"/>
      <c r="L40" s="44">
        <v>35</v>
      </c>
      <c r="M40" s="40"/>
      <c r="N40" s="40"/>
      <c r="O40" s="45"/>
      <c r="P40" s="40"/>
      <c r="Q40" s="40"/>
      <c r="R40" s="40"/>
      <c r="S40" s="40"/>
      <c r="T40" s="40"/>
      <c r="U40" s="45"/>
      <c r="V40" s="40"/>
      <c r="W40" s="40"/>
      <c r="X40" s="45"/>
      <c r="Y40" s="48"/>
      <c r="Z40" s="50"/>
      <c r="AA40" s="50"/>
    </row>
    <row r="41" spans="1:27" ht="18" customHeight="1">
      <c r="A41" s="25" t="s">
        <v>8</v>
      </c>
    </row>
    <row r="42" spans="1:27" ht="18" customHeight="1" collapsed="1">
      <c r="A42" s="701" t="s">
        <v>239</v>
      </c>
      <c r="B42" s="40" t="s">
        <v>256</v>
      </c>
      <c r="C42" s="40" t="s">
        <v>119</v>
      </c>
      <c r="D42" s="40" t="s">
        <v>257</v>
      </c>
      <c r="E42" s="40"/>
      <c r="F42" s="41">
        <v>20</v>
      </c>
      <c r="G42" s="41">
        <v>61</v>
      </c>
      <c r="H42" s="45"/>
      <c r="I42" s="41"/>
      <c r="J42" s="40"/>
      <c r="K42" s="40"/>
      <c r="L42" s="44">
        <v>39.25</v>
      </c>
      <c r="M42" s="40" t="s">
        <v>258</v>
      </c>
      <c r="N42" s="40">
        <v>5.5</v>
      </c>
      <c r="O42" s="45">
        <v>80</v>
      </c>
      <c r="P42" s="40"/>
      <c r="Q42" s="40">
        <v>2.4</v>
      </c>
      <c r="R42" s="40" t="s">
        <v>123</v>
      </c>
      <c r="S42" s="40" t="s">
        <v>168</v>
      </c>
      <c r="T42" s="40" t="s">
        <v>263</v>
      </c>
      <c r="U42" s="45">
        <v>50</v>
      </c>
      <c r="V42" s="40">
        <v>60</v>
      </c>
      <c r="W42" s="40"/>
      <c r="X42" s="45"/>
      <c r="Y42" s="48"/>
      <c r="Z42" s="50"/>
      <c r="AA42" s="50"/>
    </row>
    <row r="43" spans="1:27" ht="18" customHeight="1" collapsed="1">
      <c r="A43" s="701"/>
      <c r="B43" s="40" t="s">
        <v>255</v>
      </c>
      <c r="C43" s="40" t="s">
        <v>119</v>
      </c>
      <c r="D43" s="40" t="s">
        <v>257</v>
      </c>
      <c r="E43" s="40"/>
      <c r="F43" s="41">
        <v>22</v>
      </c>
      <c r="G43" s="41">
        <v>61.5</v>
      </c>
      <c r="H43" s="45"/>
      <c r="I43" s="41"/>
      <c r="J43" s="40"/>
      <c r="K43" s="40"/>
      <c r="L43" s="44">
        <v>38.75</v>
      </c>
      <c r="M43" s="40" t="s">
        <v>258</v>
      </c>
      <c r="N43" s="40">
        <v>5.5</v>
      </c>
      <c r="O43" s="45">
        <v>80</v>
      </c>
      <c r="P43" s="40"/>
      <c r="Q43" s="40">
        <v>2.4</v>
      </c>
      <c r="R43" s="40" t="s">
        <v>123</v>
      </c>
      <c r="S43" s="40" t="s">
        <v>168</v>
      </c>
      <c r="T43" s="40" t="s">
        <v>263</v>
      </c>
      <c r="U43" s="45">
        <v>50</v>
      </c>
      <c r="V43" s="40">
        <v>60</v>
      </c>
      <c r="W43" s="40"/>
      <c r="X43" s="45"/>
      <c r="Y43" s="48"/>
      <c r="Z43" s="50"/>
      <c r="AA43" s="50"/>
    </row>
    <row r="44" spans="1:27" ht="18" customHeight="1" collapsed="1">
      <c r="A44" s="701"/>
      <c r="B44" s="40" t="s">
        <v>256</v>
      </c>
      <c r="C44" s="40" t="s">
        <v>119</v>
      </c>
      <c r="D44" s="40" t="s">
        <v>254</v>
      </c>
      <c r="E44" s="40"/>
      <c r="F44" s="41">
        <v>20</v>
      </c>
      <c r="G44" s="41">
        <v>61</v>
      </c>
      <c r="H44" s="45"/>
      <c r="I44" s="41"/>
      <c r="J44" s="40"/>
      <c r="K44" s="40"/>
      <c r="L44" s="44">
        <v>39.25</v>
      </c>
      <c r="M44" s="40"/>
      <c r="N44" s="40"/>
      <c r="O44" s="45"/>
      <c r="P44" s="40"/>
      <c r="Q44" s="40"/>
      <c r="R44" s="40"/>
      <c r="S44" s="40"/>
      <c r="T44" s="40"/>
      <c r="U44" s="45"/>
      <c r="V44" s="40"/>
      <c r="W44" s="40"/>
      <c r="X44" s="45"/>
      <c r="Y44" s="48"/>
      <c r="Z44" s="50"/>
      <c r="AA44" s="50"/>
    </row>
    <row r="45" spans="1:27" ht="18" customHeight="1" collapsed="1">
      <c r="A45" s="701"/>
      <c r="B45" s="40" t="s">
        <v>255</v>
      </c>
      <c r="C45" s="40" t="s">
        <v>119</v>
      </c>
      <c r="D45" s="40" t="s">
        <v>254</v>
      </c>
      <c r="E45" s="40"/>
      <c r="F45" s="41">
        <v>22</v>
      </c>
      <c r="G45" s="41">
        <v>61.5</v>
      </c>
      <c r="H45" s="45"/>
      <c r="I45" s="41"/>
      <c r="J45" s="40"/>
      <c r="K45" s="40"/>
      <c r="L45" s="44">
        <v>38.75</v>
      </c>
      <c r="M45" s="40"/>
      <c r="N45" s="40"/>
      <c r="O45" s="45"/>
      <c r="P45" s="40"/>
      <c r="Q45" s="40"/>
      <c r="R45" s="40"/>
      <c r="S45" s="40"/>
      <c r="T45" s="40"/>
      <c r="U45" s="45"/>
      <c r="V45" s="40"/>
      <c r="W45" s="40"/>
      <c r="X45" s="45"/>
      <c r="Y45" s="48"/>
      <c r="Z45" s="50"/>
      <c r="AA45" s="50"/>
    </row>
    <row r="46" spans="1:27" ht="18" customHeight="1" collapsed="1">
      <c r="A46" s="701"/>
      <c r="B46" s="40" t="s">
        <v>94</v>
      </c>
      <c r="C46" s="40" t="s">
        <v>119</v>
      </c>
      <c r="D46" s="40" t="s">
        <v>237</v>
      </c>
      <c r="E46" s="40"/>
      <c r="F46" s="41">
        <v>24</v>
      </c>
      <c r="G46" s="41">
        <v>61.5</v>
      </c>
      <c r="H46" s="45"/>
      <c r="I46" s="41"/>
      <c r="J46" s="40"/>
      <c r="K46" s="40"/>
      <c r="L46" s="44">
        <v>38.5</v>
      </c>
      <c r="M46" s="40" t="s">
        <v>262</v>
      </c>
      <c r="N46" s="40" t="s">
        <v>113</v>
      </c>
      <c r="O46" s="45">
        <v>118</v>
      </c>
      <c r="P46" s="40"/>
      <c r="Q46" s="40" t="s">
        <v>260</v>
      </c>
      <c r="R46" s="40" t="s">
        <v>123</v>
      </c>
      <c r="S46" s="40" t="s">
        <v>168</v>
      </c>
      <c r="T46" s="40" t="s">
        <v>263</v>
      </c>
      <c r="U46" s="45">
        <v>50</v>
      </c>
      <c r="V46" s="40">
        <v>60</v>
      </c>
      <c r="W46" s="40"/>
      <c r="X46" s="45"/>
      <c r="Y46" s="48"/>
      <c r="Z46" s="50"/>
      <c r="AA46" s="50"/>
    </row>
    <row r="47" spans="1:27" ht="18" customHeight="1">
      <c r="A47" s="701"/>
      <c r="B47" s="53" t="s">
        <v>95</v>
      </c>
      <c r="C47" s="53" t="s">
        <v>119</v>
      </c>
      <c r="D47" s="53" t="s">
        <v>237</v>
      </c>
      <c r="E47" s="53">
        <v>2023</v>
      </c>
      <c r="F47" s="54">
        <v>27</v>
      </c>
      <c r="G47" s="54">
        <v>62</v>
      </c>
      <c r="H47" s="45"/>
      <c r="I47" s="41"/>
      <c r="J47" s="40"/>
      <c r="K47" s="40"/>
      <c r="L47" s="217">
        <v>38</v>
      </c>
      <c r="M47" s="40" t="s">
        <v>262</v>
      </c>
      <c r="N47" s="40" t="s">
        <v>113</v>
      </c>
      <c r="O47" s="45">
        <v>118</v>
      </c>
      <c r="P47" s="40"/>
      <c r="Q47" s="40" t="s">
        <v>260</v>
      </c>
      <c r="R47" s="40" t="s">
        <v>123</v>
      </c>
      <c r="S47" s="40" t="s">
        <v>168</v>
      </c>
      <c r="T47" s="40" t="s">
        <v>263</v>
      </c>
      <c r="U47" s="45">
        <v>50</v>
      </c>
      <c r="V47" s="40">
        <v>60</v>
      </c>
      <c r="W47" s="40"/>
      <c r="X47" s="45"/>
      <c r="Y47" s="48"/>
      <c r="Z47" s="50"/>
      <c r="AA47" s="50"/>
    </row>
    <row r="48" spans="1:27" ht="18" customHeight="1">
      <c r="A48" s="701"/>
      <c r="B48" s="53" t="s">
        <v>96</v>
      </c>
      <c r="C48" s="53" t="s">
        <v>119</v>
      </c>
      <c r="D48" s="53" t="s">
        <v>237</v>
      </c>
      <c r="E48" s="53">
        <v>2023</v>
      </c>
      <c r="F48" s="54">
        <v>30</v>
      </c>
      <c r="G48" s="54">
        <v>62.5</v>
      </c>
      <c r="H48" s="45"/>
      <c r="I48" s="41"/>
      <c r="J48" s="40"/>
      <c r="K48" s="40"/>
      <c r="L48" s="217">
        <v>37.5</v>
      </c>
      <c r="M48" s="40" t="s">
        <v>262</v>
      </c>
      <c r="N48" s="40" t="s">
        <v>113</v>
      </c>
      <c r="O48" s="45">
        <v>118</v>
      </c>
      <c r="P48" s="40"/>
      <c r="Q48" s="40" t="s">
        <v>260</v>
      </c>
      <c r="R48" s="40" t="s">
        <v>123</v>
      </c>
      <c r="S48" s="40" t="s">
        <v>168</v>
      </c>
      <c r="T48" s="40" t="s">
        <v>263</v>
      </c>
      <c r="U48" s="45">
        <v>50</v>
      </c>
      <c r="V48" s="40">
        <v>60</v>
      </c>
      <c r="W48" s="40"/>
      <c r="X48" s="45"/>
      <c r="Y48" s="48"/>
      <c r="Z48" s="50"/>
      <c r="AA48" s="50"/>
    </row>
    <row r="49" spans="1:27" ht="18" customHeight="1">
      <c r="A49" s="701"/>
      <c r="B49" s="53" t="s">
        <v>97</v>
      </c>
      <c r="C49" s="53" t="s">
        <v>119</v>
      </c>
      <c r="D49" s="53" t="s">
        <v>237</v>
      </c>
      <c r="E49" s="53">
        <v>2023</v>
      </c>
      <c r="F49" s="54">
        <v>34</v>
      </c>
      <c r="G49" s="54">
        <v>63</v>
      </c>
      <c r="H49" s="45"/>
      <c r="I49" s="41"/>
      <c r="J49" s="40"/>
      <c r="K49" s="40"/>
      <c r="L49" s="217">
        <v>37</v>
      </c>
      <c r="M49" s="40" t="s">
        <v>262</v>
      </c>
      <c r="N49" s="40" t="s">
        <v>113</v>
      </c>
      <c r="O49" s="45">
        <v>118</v>
      </c>
      <c r="P49" s="40"/>
      <c r="Q49" s="40" t="s">
        <v>260</v>
      </c>
      <c r="R49" s="40" t="s">
        <v>123</v>
      </c>
      <c r="S49" s="40" t="s">
        <v>168</v>
      </c>
      <c r="T49" s="40" t="s">
        <v>263</v>
      </c>
      <c r="U49" s="45">
        <v>50</v>
      </c>
      <c r="V49" s="40">
        <v>60</v>
      </c>
      <c r="W49" s="40"/>
      <c r="X49" s="45"/>
      <c r="Y49" s="48"/>
      <c r="Z49" s="50"/>
      <c r="AA49" s="50"/>
    </row>
    <row r="50" spans="1:27" ht="18" customHeight="1">
      <c r="A50" s="701"/>
      <c r="B50" s="53" t="s">
        <v>98</v>
      </c>
      <c r="C50" s="53" t="s">
        <v>119</v>
      </c>
      <c r="D50" s="53" t="s">
        <v>237</v>
      </c>
      <c r="E50" s="53">
        <v>2023</v>
      </c>
      <c r="F50" s="54">
        <v>38</v>
      </c>
      <c r="G50" s="54">
        <v>63.5</v>
      </c>
      <c r="H50" s="45"/>
      <c r="I50" s="41"/>
      <c r="J50" s="40"/>
      <c r="K50" s="40"/>
      <c r="L50" s="217">
        <v>36.5</v>
      </c>
      <c r="M50" s="40" t="s">
        <v>262</v>
      </c>
      <c r="N50" s="40" t="s">
        <v>113</v>
      </c>
      <c r="O50" s="45">
        <v>118</v>
      </c>
      <c r="P50" s="40"/>
      <c r="Q50" s="40" t="s">
        <v>260</v>
      </c>
      <c r="R50" s="40" t="s">
        <v>123</v>
      </c>
      <c r="S50" s="40" t="s">
        <v>168</v>
      </c>
      <c r="T50" s="40" t="s">
        <v>263</v>
      </c>
      <c r="U50" s="45">
        <v>50</v>
      </c>
      <c r="V50" s="40">
        <v>60</v>
      </c>
      <c r="W50" s="40"/>
      <c r="X50" s="45"/>
      <c r="Y50" s="48"/>
      <c r="Z50" s="50"/>
      <c r="AA50" s="50"/>
    </row>
    <row r="51" spans="1:27" ht="18" customHeight="1">
      <c r="A51" s="701"/>
      <c r="B51" s="53" t="s">
        <v>99</v>
      </c>
      <c r="C51" s="53" t="s">
        <v>119</v>
      </c>
      <c r="D51" s="53" t="s">
        <v>237</v>
      </c>
      <c r="E51" s="53">
        <v>2023</v>
      </c>
      <c r="F51" s="54">
        <v>42</v>
      </c>
      <c r="G51" s="54">
        <v>64</v>
      </c>
      <c r="H51" s="45"/>
      <c r="I51" s="41"/>
      <c r="J51" s="40"/>
      <c r="K51" s="40"/>
      <c r="L51" s="217">
        <v>36</v>
      </c>
      <c r="M51" s="40" t="s">
        <v>262</v>
      </c>
      <c r="N51" s="40" t="s">
        <v>113</v>
      </c>
      <c r="O51" s="45">
        <v>118</v>
      </c>
      <c r="P51" s="40"/>
      <c r="Q51" s="40" t="s">
        <v>260</v>
      </c>
      <c r="R51" s="40" t="s">
        <v>123</v>
      </c>
      <c r="S51" s="40" t="s">
        <v>168</v>
      </c>
      <c r="T51" s="40" t="s">
        <v>263</v>
      </c>
      <c r="U51" s="45">
        <v>50</v>
      </c>
      <c r="V51" s="40">
        <v>60</v>
      </c>
      <c r="W51" s="40"/>
      <c r="X51" s="45"/>
      <c r="Y51" s="48"/>
      <c r="Z51" s="50"/>
      <c r="AA51" s="50"/>
    </row>
    <row r="52" spans="1:27" ht="18" customHeight="1">
      <c r="A52" s="701"/>
      <c r="B52" s="40" t="s">
        <v>6</v>
      </c>
      <c r="C52" s="40" t="s">
        <v>119</v>
      </c>
      <c r="D52" s="40" t="s">
        <v>237</v>
      </c>
      <c r="E52" s="40"/>
      <c r="F52" s="41">
        <v>46</v>
      </c>
      <c r="G52" s="41">
        <v>64</v>
      </c>
      <c r="H52" s="45"/>
      <c r="I52" s="41"/>
      <c r="J52" s="40"/>
      <c r="K52" s="40"/>
      <c r="L52" s="44">
        <v>35.75</v>
      </c>
      <c r="M52" s="40" t="s">
        <v>262</v>
      </c>
      <c r="N52" s="40" t="s">
        <v>113</v>
      </c>
      <c r="O52" s="45">
        <v>118</v>
      </c>
      <c r="P52" s="40"/>
      <c r="Q52" s="40" t="s">
        <v>260</v>
      </c>
      <c r="R52" s="40" t="s">
        <v>123</v>
      </c>
      <c r="S52" s="40" t="s">
        <v>168</v>
      </c>
      <c r="T52" s="40" t="s">
        <v>263</v>
      </c>
      <c r="U52" s="45">
        <v>50</v>
      </c>
      <c r="V52" s="40">
        <v>60</v>
      </c>
      <c r="W52" s="40"/>
      <c r="X52" s="45"/>
      <c r="Y52" s="48"/>
      <c r="Z52" s="50"/>
      <c r="AA52" s="50"/>
    </row>
    <row r="53" spans="1:27" ht="18" customHeight="1" collapsed="1">
      <c r="A53" s="701"/>
      <c r="B53" s="40" t="s">
        <v>22</v>
      </c>
      <c r="C53" s="40" t="s">
        <v>119</v>
      </c>
      <c r="D53" s="40" t="s">
        <v>237</v>
      </c>
      <c r="E53" s="40"/>
      <c r="F53" s="41">
        <v>50</v>
      </c>
      <c r="G53" s="41">
        <v>64</v>
      </c>
      <c r="H53" s="45"/>
      <c r="I53" s="41"/>
      <c r="J53" s="40"/>
      <c r="K53" s="40"/>
      <c r="L53" s="44">
        <v>35.5</v>
      </c>
      <c r="M53" s="40" t="s">
        <v>262</v>
      </c>
      <c r="N53" s="40" t="s">
        <v>113</v>
      </c>
      <c r="O53" s="45">
        <v>118</v>
      </c>
      <c r="P53" s="40"/>
      <c r="Q53" s="40" t="s">
        <v>260</v>
      </c>
      <c r="R53" s="40" t="s">
        <v>123</v>
      </c>
      <c r="S53" s="40" t="s">
        <v>168</v>
      </c>
      <c r="T53" s="40" t="s">
        <v>263</v>
      </c>
      <c r="U53" s="45">
        <v>50</v>
      </c>
      <c r="V53" s="40">
        <v>60</v>
      </c>
      <c r="W53" s="40"/>
      <c r="X53" s="45"/>
      <c r="Y53" s="48"/>
      <c r="Z53" s="50"/>
      <c r="AA53" s="50"/>
    </row>
    <row r="54" spans="1:27" ht="18" customHeight="1">
      <c r="A54" s="701"/>
      <c r="B54" s="40" t="s">
        <v>6</v>
      </c>
      <c r="C54" s="40" t="s">
        <v>119</v>
      </c>
      <c r="D54" s="40" t="s">
        <v>240</v>
      </c>
      <c r="E54" s="40"/>
      <c r="F54" s="41" t="s">
        <v>241</v>
      </c>
      <c r="G54" s="41">
        <v>64</v>
      </c>
      <c r="H54" s="45"/>
      <c r="I54" s="49" t="s">
        <v>247</v>
      </c>
      <c r="J54" s="40"/>
      <c r="K54" s="40"/>
      <c r="L54" s="44">
        <v>35.75</v>
      </c>
      <c r="M54" s="40"/>
      <c r="N54" s="40"/>
      <c r="O54" s="45"/>
      <c r="P54" s="40"/>
      <c r="Q54" s="40"/>
      <c r="R54" s="40"/>
      <c r="S54" s="40"/>
      <c r="T54" s="40"/>
      <c r="U54" s="45"/>
      <c r="V54" s="40"/>
      <c r="W54" s="40"/>
      <c r="X54" s="45"/>
      <c r="Y54" s="48"/>
      <c r="Z54" s="50"/>
      <c r="AA54" s="50"/>
    </row>
    <row r="55" spans="1:27" ht="18" customHeight="1" collapsed="1">
      <c r="A55" s="701"/>
      <c r="B55" s="40" t="s">
        <v>22</v>
      </c>
      <c r="C55" s="40" t="s">
        <v>119</v>
      </c>
      <c r="D55" s="40" t="s">
        <v>240</v>
      </c>
      <c r="E55" s="40"/>
      <c r="F55" s="41" t="s">
        <v>242</v>
      </c>
      <c r="G55" s="41">
        <v>64</v>
      </c>
      <c r="H55" s="45"/>
      <c r="I55" s="49" t="s">
        <v>246</v>
      </c>
      <c r="J55" s="40"/>
      <c r="K55" s="40"/>
      <c r="L55" s="44">
        <v>35.5</v>
      </c>
      <c r="M55" s="40"/>
      <c r="N55" s="40"/>
      <c r="O55" s="45"/>
      <c r="P55" s="40"/>
      <c r="Q55" s="40"/>
      <c r="R55" s="40"/>
      <c r="S55" s="40"/>
      <c r="T55" s="40"/>
      <c r="U55" s="45"/>
      <c r="V55" s="40"/>
      <c r="W55" s="40"/>
      <c r="X55" s="45"/>
      <c r="Y55" s="48"/>
      <c r="Z55" s="50"/>
      <c r="AA55" s="50"/>
    </row>
    <row r="56" spans="1:27" ht="18" customHeight="1" collapsed="1">
      <c r="A56" s="701"/>
      <c r="B56" s="40" t="s">
        <v>100</v>
      </c>
      <c r="C56" s="40" t="s">
        <v>119</v>
      </c>
      <c r="D56" s="40" t="s">
        <v>240</v>
      </c>
      <c r="E56" s="40"/>
      <c r="F56" s="41" t="s">
        <v>244</v>
      </c>
      <c r="G56" s="41">
        <v>64</v>
      </c>
      <c r="H56" s="45"/>
      <c r="I56" s="41" t="s">
        <v>248</v>
      </c>
      <c r="J56" s="40"/>
      <c r="K56" s="40"/>
      <c r="L56" s="44">
        <v>35.25</v>
      </c>
      <c r="M56" s="40"/>
      <c r="N56" s="40"/>
      <c r="O56" s="45"/>
      <c r="P56" s="40"/>
      <c r="Q56" s="40"/>
      <c r="R56" s="40"/>
      <c r="S56" s="40"/>
      <c r="T56" s="40"/>
      <c r="U56" s="45"/>
      <c r="V56" s="40"/>
      <c r="W56" s="40"/>
      <c r="X56" s="45"/>
      <c r="Y56" s="48"/>
      <c r="Z56" s="50"/>
      <c r="AA56" s="50"/>
    </row>
    <row r="57" spans="1:27" ht="18" customHeight="1">
      <c r="A57" s="701"/>
      <c r="B57" s="40" t="s">
        <v>243</v>
      </c>
      <c r="C57" s="40" t="s">
        <v>119</v>
      </c>
      <c r="D57" s="40" t="s">
        <v>240</v>
      </c>
      <c r="E57" s="40"/>
      <c r="F57" s="41" t="s">
        <v>245</v>
      </c>
      <c r="G57" s="41">
        <v>64</v>
      </c>
      <c r="H57" s="45"/>
      <c r="I57" s="41" t="s">
        <v>249</v>
      </c>
      <c r="J57" s="40"/>
      <c r="K57" s="40"/>
      <c r="L57" s="44">
        <v>35</v>
      </c>
      <c r="M57" s="40"/>
      <c r="N57" s="40"/>
      <c r="O57" s="45"/>
      <c r="P57" s="40"/>
      <c r="Q57" s="40"/>
      <c r="R57" s="40"/>
      <c r="S57" s="40"/>
      <c r="T57" s="40"/>
      <c r="U57" s="45"/>
      <c r="V57" s="40"/>
      <c r="W57" s="40"/>
      <c r="X57" s="45"/>
      <c r="Y57" s="48"/>
      <c r="Z57" s="50"/>
      <c r="AA57" s="50"/>
    </row>
    <row r="58" spans="1:27" ht="18" customHeight="1">
      <c r="A58" s="25" t="s">
        <v>8</v>
      </c>
    </row>
    <row r="59" spans="1:27" ht="18.600000000000001" customHeight="1">
      <c r="A59" s="25" t="s">
        <v>8</v>
      </c>
      <c r="E59" s="3">
        <v>46</v>
      </c>
      <c r="F59" s="3" t="s">
        <v>269</v>
      </c>
      <c r="G59" s="3">
        <v>56</v>
      </c>
      <c r="H59" s="3">
        <v>60</v>
      </c>
    </row>
    <row r="60" spans="1:27" ht="18.600000000000001" customHeight="1">
      <c r="A60" s="25" t="s">
        <v>8</v>
      </c>
    </row>
    <row r="61" spans="1:27" ht="18.600000000000001" customHeight="1">
      <c r="A61" s="25" t="s">
        <v>8</v>
      </c>
      <c r="E61" s="3">
        <v>44</v>
      </c>
      <c r="F61" s="3" t="s">
        <v>264</v>
      </c>
      <c r="G61" s="3" t="s">
        <v>265</v>
      </c>
      <c r="H61" s="3" t="s">
        <v>268</v>
      </c>
    </row>
    <row r="62" spans="1:27" ht="18.600000000000001" customHeight="1">
      <c r="A62" s="25" t="s">
        <v>8</v>
      </c>
      <c r="E62" s="3">
        <v>44</v>
      </c>
      <c r="F62" s="3" t="s">
        <v>264</v>
      </c>
      <c r="G62" s="3" t="s">
        <v>265</v>
      </c>
      <c r="H62" s="3" t="s">
        <v>267</v>
      </c>
    </row>
    <row r="63" spans="1:27" ht="18.600000000000001" customHeight="1">
      <c r="A63" s="25" t="s">
        <v>8</v>
      </c>
      <c r="E63" s="3" t="s">
        <v>266</v>
      </c>
      <c r="F63" s="3" t="s">
        <v>264</v>
      </c>
      <c r="G63" s="3" t="s">
        <v>265</v>
      </c>
      <c r="H63" s="3" t="s">
        <v>267</v>
      </c>
    </row>
    <row r="64" spans="1:27" ht="18.600000000000001" customHeight="1">
      <c r="A64" s="25" t="s">
        <v>8</v>
      </c>
      <c r="E64" s="3" t="s">
        <v>266</v>
      </c>
      <c r="F64" s="3" t="s">
        <v>264</v>
      </c>
      <c r="G64" s="3" t="s">
        <v>265</v>
      </c>
      <c r="H64" s="3" t="s">
        <v>268</v>
      </c>
    </row>
    <row r="65" spans="1:12" ht="18.600000000000001" customHeight="1">
      <c r="A65" s="25" t="s">
        <v>8</v>
      </c>
    </row>
    <row r="66" spans="1:12" ht="18.600000000000001" customHeight="1">
      <c r="A66" s="25" t="s">
        <v>8</v>
      </c>
      <c r="C66" s="3">
        <v>36</v>
      </c>
      <c r="D66" s="3">
        <v>40</v>
      </c>
      <c r="E66" s="3">
        <v>44</v>
      </c>
      <c r="F66" s="3">
        <v>50</v>
      </c>
      <c r="G66" s="3">
        <v>56</v>
      </c>
      <c r="H66" s="3">
        <v>60</v>
      </c>
    </row>
    <row r="67" spans="1:12" ht="18.600000000000001" customHeight="1">
      <c r="A67" s="25" t="s">
        <v>8</v>
      </c>
      <c r="C67" s="3">
        <v>38</v>
      </c>
      <c r="D67" s="3">
        <v>42</v>
      </c>
      <c r="E67" s="3">
        <v>46</v>
      </c>
      <c r="F67" s="55" t="s">
        <v>270</v>
      </c>
      <c r="G67" s="3">
        <v>56</v>
      </c>
      <c r="H67" s="3">
        <v>60</v>
      </c>
    </row>
    <row r="68" spans="1:12" ht="18.600000000000001" customHeight="1">
      <c r="A68" s="25" t="s">
        <v>8</v>
      </c>
    </row>
    <row r="69" spans="1:12" ht="18.600000000000001" customHeight="1">
      <c r="A69" s="25" t="s">
        <v>8</v>
      </c>
    </row>
    <row r="70" spans="1:12" ht="18.600000000000001" customHeight="1">
      <c r="A70" s="25" t="s">
        <v>8</v>
      </c>
      <c r="C70" s="5"/>
      <c r="D70" s="5" t="s">
        <v>274</v>
      </c>
      <c r="E70" s="5"/>
      <c r="F70" s="5"/>
      <c r="G70" s="5"/>
      <c r="H70" s="5" t="s">
        <v>271</v>
      </c>
      <c r="I70" s="5"/>
      <c r="J70" s="5" t="s">
        <v>9</v>
      </c>
      <c r="K70" s="5"/>
      <c r="L70" s="5" t="s">
        <v>272</v>
      </c>
    </row>
    <row r="71" spans="1:12" ht="18.600000000000001" customHeight="1">
      <c r="A71" s="25" t="s">
        <v>8</v>
      </c>
      <c r="C71" s="5" t="s">
        <v>236</v>
      </c>
      <c r="D71" s="5"/>
      <c r="E71" s="5"/>
      <c r="F71" s="5"/>
      <c r="G71" s="5" t="s">
        <v>275</v>
      </c>
      <c r="H71" s="5"/>
      <c r="I71" s="5"/>
      <c r="J71" s="5" t="s">
        <v>9</v>
      </c>
      <c r="K71" s="5"/>
      <c r="L71" s="5" t="s">
        <v>272</v>
      </c>
    </row>
    <row r="72" spans="1:12" ht="18.600000000000001" customHeight="1">
      <c r="A72" s="25" t="s">
        <v>8</v>
      </c>
    </row>
    <row r="73" spans="1:12" ht="18.600000000000001" customHeight="1">
      <c r="A73" s="25" t="s">
        <v>8</v>
      </c>
    </row>
    <row r="74" spans="1:12" ht="18.600000000000001" customHeight="1">
      <c r="A74" s="25" t="s">
        <v>8</v>
      </c>
    </row>
    <row r="75" spans="1:12" ht="18.600000000000001" customHeight="1">
      <c r="A75" s="25" t="s">
        <v>8</v>
      </c>
    </row>
    <row r="76" spans="1:12" ht="18.600000000000001" customHeight="1">
      <c r="A76" s="25" t="s">
        <v>8</v>
      </c>
    </row>
    <row r="77" spans="1:12" ht="18.600000000000001" customHeight="1">
      <c r="A77" s="25" t="s">
        <v>8</v>
      </c>
    </row>
    <row r="78" spans="1:12" ht="18.600000000000001" customHeight="1">
      <c r="A78" s="25" t="s">
        <v>8</v>
      </c>
    </row>
    <row r="79" spans="1:12" ht="18.600000000000001" customHeight="1">
      <c r="A79" s="25" t="s">
        <v>8</v>
      </c>
    </row>
    <row r="80" spans="1:12" ht="18.600000000000001" customHeight="1">
      <c r="A80" s="25" t="s">
        <v>8</v>
      </c>
    </row>
    <row r="81" spans="1:1" ht="18.600000000000001" customHeight="1">
      <c r="A81" s="25" t="s">
        <v>8</v>
      </c>
    </row>
    <row r="82" spans="1:1" ht="18.600000000000001" customHeight="1">
      <c r="A82" s="25" t="s">
        <v>8</v>
      </c>
    </row>
    <row r="83" spans="1:1" ht="18.600000000000001" customHeight="1">
      <c r="A83" s="25" t="s">
        <v>8</v>
      </c>
    </row>
    <row r="84" spans="1:1" ht="18.600000000000001" customHeight="1">
      <c r="A84" s="25" t="s">
        <v>8</v>
      </c>
    </row>
    <row r="85" spans="1:1" ht="18.600000000000001" customHeight="1">
      <c r="A85" s="25" t="s">
        <v>8</v>
      </c>
    </row>
    <row r="86" spans="1:1" ht="18.600000000000001" customHeight="1">
      <c r="A86" s="25" t="s">
        <v>8</v>
      </c>
    </row>
    <row r="87" spans="1:1" ht="18.600000000000001" customHeight="1">
      <c r="A87" s="25" t="s">
        <v>8</v>
      </c>
    </row>
    <row r="88" spans="1:1" ht="18.600000000000001" customHeight="1">
      <c r="A88" s="25" t="s">
        <v>8</v>
      </c>
    </row>
    <row r="89" spans="1:1" ht="18.600000000000001" customHeight="1">
      <c r="A89" s="25" t="s">
        <v>8</v>
      </c>
    </row>
    <row r="90" spans="1:1" ht="18.600000000000001" customHeight="1">
      <c r="A90" s="25" t="s">
        <v>8</v>
      </c>
    </row>
    <row r="91" spans="1:1" ht="18.600000000000001" customHeight="1">
      <c r="A91" s="25" t="s">
        <v>8</v>
      </c>
    </row>
    <row r="92" spans="1:1" ht="18.600000000000001" customHeight="1">
      <c r="A92" s="25" t="s">
        <v>8</v>
      </c>
    </row>
    <row r="93" spans="1:1" ht="18.600000000000001" customHeight="1">
      <c r="A93" s="25" t="s">
        <v>8</v>
      </c>
    </row>
    <row r="94" spans="1:1" ht="18.600000000000001" customHeight="1">
      <c r="A94" s="25" t="s">
        <v>8</v>
      </c>
    </row>
    <row r="95" spans="1:1" ht="18.600000000000001" customHeight="1">
      <c r="A95" s="25" t="s">
        <v>8</v>
      </c>
    </row>
    <row r="96" spans="1:1" ht="18.600000000000001" customHeight="1">
      <c r="A96" s="25" t="s">
        <v>8</v>
      </c>
    </row>
    <row r="97" spans="1:1" ht="18.600000000000001" customHeight="1">
      <c r="A97" s="25" t="s">
        <v>8</v>
      </c>
    </row>
    <row r="98" spans="1:1" ht="18.600000000000001" customHeight="1">
      <c r="A98" s="25" t="s">
        <v>8</v>
      </c>
    </row>
    <row r="99" spans="1:1" ht="18.600000000000001" customHeight="1">
      <c r="A99" s="25" t="s">
        <v>8</v>
      </c>
    </row>
    <row r="100" spans="1:1" ht="18.600000000000001" customHeight="1">
      <c r="A100" s="25" t="s">
        <v>8</v>
      </c>
    </row>
    <row r="101" spans="1:1" ht="18.600000000000001" customHeight="1">
      <c r="A101" s="25" t="s">
        <v>8</v>
      </c>
    </row>
    <row r="102" spans="1:1" ht="18.600000000000001" customHeight="1">
      <c r="A102" s="25" t="s">
        <v>8</v>
      </c>
    </row>
    <row r="103" spans="1:1" ht="18.600000000000001" customHeight="1">
      <c r="A103" s="25" t="s">
        <v>8</v>
      </c>
    </row>
    <row r="104" spans="1:1" ht="18.600000000000001" customHeight="1">
      <c r="A104" s="25" t="s">
        <v>8</v>
      </c>
    </row>
    <row r="105" spans="1:1" ht="18.600000000000001" customHeight="1"/>
    <row r="106" spans="1:1" ht="18.600000000000001" customHeight="1"/>
    <row r="107" spans="1:1" ht="18.600000000000001" customHeight="1"/>
    <row r="108" spans="1:1" ht="18.600000000000001" customHeight="1"/>
    <row r="109" spans="1:1" ht="18.600000000000001" customHeight="1"/>
    <row r="110" spans="1:1" ht="18.600000000000001" customHeight="1"/>
  </sheetData>
  <autoFilter ref="A2:AC104" xr:uid="{00000000-0009-0000-0000-000007000000}"/>
  <mergeCells count="30">
    <mergeCell ref="Y1:AA1"/>
    <mergeCell ref="X1:X2"/>
    <mergeCell ref="A9:A11"/>
    <mergeCell ref="G3:G4"/>
    <mergeCell ref="S1:V1"/>
    <mergeCell ref="M1:R1"/>
    <mergeCell ref="L1:L2"/>
    <mergeCell ref="H3:H4"/>
    <mergeCell ref="W1:W2"/>
    <mergeCell ref="J3:J4"/>
    <mergeCell ref="K3:K4"/>
    <mergeCell ref="F3:F4"/>
    <mergeCell ref="A6:A7"/>
    <mergeCell ref="E1:E2"/>
    <mergeCell ref="A25:A40"/>
    <mergeCell ref="A42:A57"/>
    <mergeCell ref="A22:A23"/>
    <mergeCell ref="F1:K1"/>
    <mergeCell ref="A1:A2"/>
    <mergeCell ref="B1:B2"/>
    <mergeCell ref="C1:C2"/>
    <mergeCell ref="D1:D2"/>
    <mergeCell ref="A12:A17"/>
    <mergeCell ref="A18:A21"/>
    <mergeCell ref="A3:A5"/>
    <mergeCell ref="B3:B4"/>
    <mergeCell ref="C3:C4"/>
    <mergeCell ref="D3:D4"/>
    <mergeCell ref="E3:E4"/>
    <mergeCell ref="I3:I4"/>
  </mergeCells>
  <phoneticPr fontId="5" type="noConversion"/>
  <pageMargins left="0.7" right="0.7" top="0.75" bottom="0.75" header="0.3" footer="0.3"/>
  <pageSetup paperSize="9" scale="30" orientation="portrait" horizontalDpi="300" verticalDpi="12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3">
    <pageSetUpPr fitToPage="1"/>
  </sheetPr>
  <dimension ref="A1:AS281"/>
  <sheetViews>
    <sheetView zoomScale="85" zoomScaleNormal="85" workbookViewId="0">
      <pane xSplit="8" ySplit="1" topLeftCell="I227" activePane="bottomRight" state="frozen"/>
      <selection activeCell="E8" sqref="E8"/>
      <selection pane="topRight" activeCell="E8" sqref="E8"/>
      <selection pane="bottomLeft" activeCell="E8" sqref="E8"/>
      <selection pane="bottomRight" activeCell="L258" sqref="L258"/>
    </sheetView>
  </sheetViews>
  <sheetFormatPr defaultColWidth="8.75" defaultRowHeight="12"/>
  <cols>
    <col min="1" max="1" width="4.375" style="220" customWidth="1"/>
    <col min="2" max="2" width="10" style="220" customWidth="1"/>
    <col min="3" max="3" width="8.75" style="220"/>
    <col min="4" max="4" width="10" style="220" customWidth="1"/>
    <col min="5" max="5" width="12.75" style="220" customWidth="1"/>
    <col min="6" max="6" width="12.5" style="220" customWidth="1"/>
    <col min="7" max="7" width="8.75" style="220"/>
    <col min="8" max="8" width="8.75" style="220" customWidth="1"/>
    <col min="9" max="26" width="6.875" style="220" customWidth="1"/>
    <col min="27" max="36" width="8.75" style="220"/>
    <col min="37" max="37" width="8.75" style="220" customWidth="1"/>
    <col min="38" max="38" width="8.75" style="220"/>
    <col min="39" max="41" width="8.75" style="220" customWidth="1"/>
    <col min="42" max="42" width="8.75" style="220"/>
    <col min="43" max="44" width="8.75" style="220" customWidth="1"/>
    <col min="45" max="16384" width="8.75" style="220"/>
  </cols>
  <sheetData>
    <row r="1" spans="1:26" ht="14.45" customHeight="1">
      <c r="A1" s="219" t="s">
        <v>133</v>
      </c>
      <c r="B1" s="219" t="s">
        <v>132</v>
      </c>
      <c r="C1" s="219" t="s">
        <v>141</v>
      </c>
      <c r="D1" s="219" t="s">
        <v>134</v>
      </c>
      <c r="E1" s="219" t="s">
        <v>136</v>
      </c>
      <c r="F1" s="219" t="s">
        <v>135</v>
      </c>
      <c r="G1" s="219" t="s">
        <v>140</v>
      </c>
      <c r="H1" s="219" t="s">
        <v>67</v>
      </c>
      <c r="I1" s="219">
        <v>1</v>
      </c>
      <c r="J1" s="219">
        <v>2</v>
      </c>
      <c r="K1" s="219">
        <v>3</v>
      </c>
      <c r="L1" s="219">
        <v>4</v>
      </c>
      <c r="M1" s="219">
        <v>5</v>
      </c>
      <c r="N1" s="219">
        <v>6</v>
      </c>
      <c r="O1" s="219">
        <v>7</v>
      </c>
      <c r="P1" s="219">
        <v>8</v>
      </c>
      <c r="Q1" s="219">
        <v>9</v>
      </c>
      <c r="R1" s="219">
        <v>10</v>
      </c>
      <c r="S1" s="219">
        <v>11</v>
      </c>
      <c r="T1" s="219">
        <v>12</v>
      </c>
      <c r="U1" s="219">
        <v>13</v>
      </c>
      <c r="V1" s="219">
        <v>14</v>
      </c>
      <c r="W1" s="219">
        <v>15</v>
      </c>
      <c r="X1" s="219">
        <v>16</v>
      </c>
      <c r="Y1" s="219">
        <v>17</v>
      </c>
      <c r="Z1" s="219">
        <v>18</v>
      </c>
    </row>
    <row r="2" spans="1:26" ht="14.45" customHeight="1">
      <c r="A2" s="721">
        <v>1</v>
      </c>
      <c r="B2" s="724">
        <v>44596</v>
      </c>
      <c r="C2" s="726">
        <v>0.4145833333333333</v>
      </c>
      <c r="D2" s="747" t="s">
        <v>1837</v>
      </c>
      <c r="E2" s="747" t="s">
        <v>1838</v>
      </c>
      <c r="F2" s="717" t="s">
        <v>1839</v>
      </c>
      <c r="G2" s="221" t="s">
        <v>137</v>
      </c>
      <c r="H2" s="222">
        <f t="shared" ref="H2:H65" si="0">SUM(I2:Z2)</f>
        <v>72</v>
      </c>
      <c r="I2" s="222">
        <v>4</v>
      </c>
      <c r="J2" s="222">
        <v>4</v>
      </c>
      <c r="K2" s="222">
        <v>5</v>
      </c>
      <c r="L2" s="222">
        <v>3</v>
      </c>
      <c r="M2" s="222">
        <v>4</v>
      </c>
      <c r="N2" s="222">
        <v>5</v>
      </c>
      <c r="O2" s="222">
        <v>3</v>
      </c>
      <c r="P2" s="222">
        <v>4</v>
      </c>
      <c r="Q2" s="222">
        <v>4</v>
      </c>
      <c r="R2" s="222">
        <v>4</v>
      </c>
      <c r="S2" s="222">
        <v>4</v>
      </c>
      <c r="T2" s="222">
        <v>5</v>
      </c>
      <c r="U2" s="222">
        <v>4</v>
      </c>
      <c r="V2" s="222">
        <v>3</v>
      </c>
      <c r="W2" s="222">
        <v>4</v>
      </c>
      <c r="X2" s="222">
        <v>4</v>
      </c>
      <c r="Y2" s="222">
        <v>3</v>
      </c>
      <c r="Z2" s="223">
        <v>5</v>
      </c>
    </row>
    <row r="3" spans="1:26" ht="14.45" customHeight="1">
      <c r="A3" s="722"/>
      <c r="B3" s="725"/>
      <c r="C3" s="727"/>
      <c r="D3" s="719"/>
      <c r="E3" s="719"/>
      <c r="F3" s="718"/>
      <c r="G3" s="224" t="s">
        <v>160</v>
      </c>
      <c r="H3" s="225">
        <f t="shared" si="0"/>
        <v>5645</v>
      </c>
      <c r="I3" s="226">
        <v>315</v>
      </c>
      <c r="J3" s="226">
        <v>255</v>
      </c>
      <c r="K3" s="226">
        <v>470</v>
      </c>
      <c r="L3" s="226">
        <v>120</v>
      </c>
      <c r="M3" s="226">
        <v>320</v>
      </c>
      <c r="N3" s="226">
        <v>455</v>
      </c>
      <c r="O3" s="226">
        <v>135</v>
      </c>
      <c r="P3" s="226">
        <v>365</v>
      </c>
      <c r="Q3" s="226">
        <v>300</v>
      </c>
      <c r="R3" s="226">
        <v>295</v>
      </c>
      <c r="S3" s="226">
        <v>325</v>
      </c>
      <c r="T3" s="226">
        <v>450</v>
      </c>
      <c r="U3" s="226">
        <v>310</v>
      </c>
      <c r="V3" s="226">
        <v>185</v>
      </c>
      <c r="W3" s="226">
        <v>305</v>
      </c>
      <c r="X3" s="226">
        <v>375</v>
      </c>
      <c r="Y3" s="226">
        <v>160</v>
      </c>
      <c r="Z3" s="227">
        <v>505</v>
      </c>
    </row>
    <row r="4" spans="1:26" ht="14.45" customHeight="1">
      <c r="A4" s="722"/>
      <c r="B4" s="719"/>
      <c r="C4" s="727"/>
      <c r="D4" s="719"/>
      <c r="E4" s="719"/>
      <c r="F4" s="719"/>
      <c r="G4" s="224" t="s">
        <v>138</v>
      </c>
      <c r="H4" s="228" t="str">
        <f t="shared" ref="H4:H67" si="1">IF(I6="N/A","N/A",IF(COUNTIF(I4:Z4,"Y")/14=0,"N/A",COUNTIF(I4:Z4,"Y")/(COUNTIF(I4:Z4,"Y")+COUNTIF(I4:Z4,"N"))))</f>
        <v>N/A</v>
      </c>
      <c r="I4" s="226" t="s">
        <v>144</v>
      </c>
      <c r="J4" s="226" t="s">
        <v>144</v>
      </c>
      <c r="K4" s="226" t="s">
        <v>144</v>
      </c>
      <c r="L4" s="226" t="s">
        <v>144</v>
      </c>
      <c r="M4" s="226" t="s">
        <v>144</v>
      </c>
      <c r="N4" s="226" t="s">
        <v>144</v>
      </c>
      <c r="O4" s="226" t="s">
        <v>144</v>
      </c>
      <c r="P4" s="226" t="s">
        <v>144</v>
      </c>
      <c r="Q4" s="226" t="s">
        <v>144</v>
      </c>
      <c r="R4" s="226" t="s">
        <v>144</v>
      </c>
      <c r="S4" s="226" t="s">
        <v>144</v>
      </c>
      <c r="T4" s="226" t="s">
        <v>144</v>
      </c>
      <c r="U4" s="226" t="s">
        <v>144</v>
      </c>
      <c r="V4" s="226" t="s">
        <v>144</v>
      </c>
      <c r="W4" s="226" t="s">
        <v>144</v>
      </c>
      <c r="X4" s="226" t="s">
        <v>144</v>
      </c>
      <c r="Y4" s="226" t="s">
        <v>144</v>
      </c>
      <c r="Z4" s="227" t="s">
        <v>144</v>
      </c>
    </row>
    <row r="5" spans="1:26" ht="14.45" customHeight="1">
      <c r="A5" s="722"/>
      <c r="B5" s="719"/>
      <c r="C5" s="727"/>
      <c r="D5" s="719"/>
      <c r="E5" s="719"/>
      <c r="F5" s="719"/>
      <c r="G5" s="224" t="s">
        <v>145</v>
      </c>
      <c r="H5" s="228" t="str">
        <f t="shared" ref="H5" si="2">IFERROR(IF(I6="N/A","N/A",COUNTIF(I5:Z5,"Y")/(COUNTIF(I5:Z5,"Y")+COUNTIF(I5:Z5,"N"))),"N/A")</f>
        <v>N/A</v>
      </c>
      <c r="I5" s="226" t="s">
        <v>144</v>
      </c>
      <c r="J5" s="226" t="s">
        <v>144</v>
      </c>
      <c r="K5" s="226" t="s">
        <v>144</v>
      </c>
      <c r="L5" s="226" t="s">
        <v>144</v>
      </c>
      <c r="M5" s="226" t="s">
        <v>144</v>
      </c>
      <c r="N5" s="226" t="s">
        <v>144</v>
      </c>
      <c r="O5" s="226" t="s">
        <v>144</v>
      </c>
      <c r="P5" s="226" t="s">
        <v>144</v>
      </c>
      <c r="Q5" s="226" t="s">
        <v>144</v>
      </c>
      <c r="R5" s="226" t="s">
        <v>144</v>
      </c>
      <c r="S5" s="226" t="s">
        <v>144</v>
      </c>
      <c r="T5" s="226" t="s">
        <v>144</v>
      </c>
      <c r="U5" s="226" t="s">
        <v>144</v>
      </c>
      <c r="V5" s="226" t="s">
        <v>144</v>
      </c>
      <c r="W5" s="226" t="s">
        <v>144</v>
      </c>
      <c r="X5" s="226" t="s">
        <v>144</v>
      </c>
      <c r="Y5" s="226" t="s">
        <v>144</v>
      </c>
      <c r="Z5" s="227" t="s">
        <v>144</v>
      </c>
    </row>
    <row r="6" spans="1:26" ht="14.45" customHeight="1">
      <c r="A6" s="722"/>
      <c r="B6" s="719"/>
      <c r="C6" s="727"/>
      <c r="D6" s="719"/>
      <c r="E6" s="719"/>
      <c r="F6" s="719"/>
      <c r="G6" s="224" t="s">
        <v>139</v>
      </c>
      <c r="H6" s="226" t="str">
        <f t="shared" ref="H6:H69" si="3">IF(I6="N/A","N/A",SUM(I6:Z6))</f>
        <v>N/A</v>
      </c>
      <c r="I6" s="226" t="s">
        <v>142</v>
      </c>
      <c r="J6" s="226" t="s">
        <v>142</v>
      </c>
      <c r="K6" s="226" t="s">
        <v>142</v>
      </c>
      <c r="L6" s="226" t="s">
        <v>142</v>
      </c>
      <c r="M6" s="226" t="s">
        <v>142</v>
      </c>
      <c r="N6" s="226" t="s">
        <v>142</v>
      </c>
      <c r="O6" s="226" t="s">
        <v>142</v>
      </c>
      <c r="P6" s="226" t="s">
        <v>142</v>
      </c>
      <c r="Q6" s="226" t="s">
        <v>142</v>
      </c>
      <c r="R6" s="226" t="s">
        <v>142</v>
      </c>
      <c r="S6" s="226" t="s">
        <v>142</v>
      </c>
      <c r="T6" s="226" t="s">
        <v>142</v>
      </c>
      <c r="U6" s="226" t="s">
        <v>142</v>
      </c>
      <c r="V6" s="226" t="s">
        <v>142</v>
      </c>
      <c r="W6" s="226" t="s">
        <v>142</v>
      </c>
      <c r="X6" s="226" t="s">
        <v>142</v>
      </c>
      <c r="Y6" s="226" t="s">
        <v>142</v>
      </c>
      <c r="Z6" s="227" t="s">
        <v>142</v>
      </c>
    </row>
    <row r="7" spans="1:26" ht="14.45" customHeight="1">
      <c r="A7" s="722"/>
      <c r="B7" s="719"/>
      <c r="C7" s="727"/>
      <c r="D7" s="719"/>
      <c r="E7" s="719"/>
      <c r="F7" s="719"/>
      <c r="G7" s="224" t="s">
        <v>67</v>
      </c>
      <c r="H7" s="229">
        <f t="shared" ref="H7:H70" si="4">SUM(I7:Z7)</f>
        <v>114</v>
      </c>
      <c r="I7" s="226">
        <f>IF(I8="","",I2+I8)</f>
        <v>6</v>
      </c>
      <c r="J7" s="226">
        <f t="shared" ref="J7" si="5">IF(J8="","",J2+J8)</f>
        <v>7</v>
      </c>
      <c r="K7" s="226">
        <f t="shared" ref="K7" si="6">IF(K8="","",K2+K8)</f>
        <v>9</v>
      </c>
      <c r="L7" s="226">
        <f t="shared" ref="L7" si="7">IF(L8="","",L2+L8)</f>
        <v>5</v>
      </c>
      <c r="M7" s="226">
        <f t="shared" ref="M7" si="8">IF(M8="","",M2+M8)</f>
        <v>6</v>
      </c>
      <c r="N7" s="226">
        <f t="shared" ref="N7" si="9">IF(N8="","",N2+N8)</f>
        <v>10</v>
      </c>
      <c r="O7" s="226">
        <f t="shared" ref="O7" si="10">IF(O8="","",O2+O8)</f>
        <v>4</v>
      </c>
      <c r="P7" s="226">
        <f t="shared" ref="P7" si="11">IF(P8="","",P2+P8)</f>
        <v>6</v>
      </c>
      <c r="Q7" s="226">
        <f t="shared" ref="Q7" si="12">IF(Q8="","",Q2+Q8)</f>
        <v>6</v>
      </c>
      <c r="R7" s="226">
        <f t="shared" ref="R7" si="13">IF(R8="","",R2+R8)</f>
        <v>8</v>
      </c>
      <c r="S7" s="226">
        <f t="shared" ref="S7" si="14">IF(S8="","",S2+S8)</f>
        <v>6</v>
      </c>
      <c r="T7" s="226">
        <f t="shared" ref="T7" si="15">IF(T8="","",T2+T8)</f>
        <v>7</v>
      </c>
      <c r="U7" s="226">
        <f t="shared" ref="U7" si="16">IF(U8="","",U2+U8)</f>
        <v>5</v>
      </c>
      <c r="V7" s="226">
        <f t="shared" ref="V7" si="17">IF(V8="","",V2+V8)</f>
        <v>5</v>
      </c>
      <c r="W7" s="226">
        <f t="shared" ref="W7" si="18">IF(W8="","",W2+W8)</f>
        <v>5</v>
      </c>
      <c r="X7" s="226">
        <f t="shared" ref="X7" si="19">IF(X8="","",X2+X8)</f>
        <v>6</v>
      </c>
      <c r="Y7" s="226">
        <f t="shared" ref="Y7" si="20">IF(Y8="","",Y2+Y8)</f>
        <v>6</v>
      </c>
      <c r="Z7" s="227">
        <f t="shared" ref="Z7" si="21">IF(Z8="","",Z2+Z8)</f>
        <v>7</v>
      </c>
    </row>
    <row r="8" spans="1:26" ht="14.45" customHeight="1">
      <c r="A8" s="723"/>
      <c r="B8" s="720"/>
      <c r="C8" s="728"/>
      <c r="D8" s="720"/>
      <c r="E8" s="720"/>
      <c r="F8" s="720"/>
      <c r="G8" s="230" t="s">
        <v>143</v>
      </c>
      <c r="H8" s="231" t="str">
        <f t="shared" ref="H8:H71" si="22">IF(SUM(I8:Z8)&gt;0,"+"&amp;SUM(I8:Z8),SUM(I8:Z8))</f>
        <v>+42</v>
      </c>
      <c r="I8" s="231">
        <v>2</v>
      </c>
      <c r="J8" s="231">
        <v>3</v>
      </c>
      <c r="K8" s="231">
        <v>4</v>
      </c>
      <c r="L8" s="231">
        <v>2</v>
      </c>
      <c r="M8" s="231">
        <v>2</v>
      </c>
      <c r="N8" s="232">
        <v>5</v>
      </c>
      <c r="O8" s="233">
        <v>1</v>
      </c>
      <c r="P8" s="231">
        <v>2</v>
      </c>
      <c r="Q8" s="231">
        <v>2</v>
      </c>
      <c r="R8" s="232">
        <v>4</v>
      </c>
      <c r="S8" s="231">
        <v>2</v>
      </c>
      <c r="T8" s="231">
        <v>2</v>
      </c>
      <c r="U8" s="233">
        <v>1</v>
      </c>
      <c r="V8" s="231">
        <v>2</v>
      </c>
      <c r="W8" s="233">
        <v>1</v>
      </c>
      <c r="X8" s="231">
        <v>2</v>
      </c>
      <c r="Y8" s="231">
        <v>3</v>
      </c>
      <c r="Z8" s="234">
        <v>2</v>
      </c>
    </row>
    <row r="9" spans="1:26" ht="14.45" customHeight="1">
      <c r="A9" s="721">
        <v>2</v>
      </c>
      <c r="B9" s="724">
        <v>44694</v>
      </c>
      <c r="C9" s="726">
        <v>0.30624999999999997</v>
      </c>
      <c r="D9" s="747" t="s">
        <v>152</v>
      </c>
      <c r="E9" s="747" t="s">
        <v>1840</v>
      </c>
      <c r="F9" s="717" t="s">
        <v>1841</v>
      </c>
      <c r="G9" s="221" t="s">
        <v>137</v>
      </c>
      <c r="H9" s="222">
        <f t="shared" si="0"/>
        <v>72</v>
      </c>
      <c r="I9" s="222">
        <v>4</v>
      </c>
      <c r="J9" s="222">
        <v>5</v>
      </c>
      <c r="K9" s="222">
        <v>4</v>
      </c>
      <c r="L9" s="222">
        <v>4</v>
      </c>
      <c r="M9" s="222">
        <v>3</v>
      </c>
      <c r="N9" s="222">
        <v>4</v>
      </c>
      <c r="O9" s="222">
        <v>4</v>
      </c>
      <c r="P9" s="222">
        <v>3</v>
      </c>
      <c r="Q9" s="222">
        <v>5</v>
      </c>
      <c r="R9" s="222">
        <v>5</v>
      </c>
      <c r="S9" s="222">
        <v>4</v>
      </c>
      <c r="T9" s="222">
        <v>3</v>
      </c>
      <c r="U9" s="222">
        <v>4</v>
      </c>
      <c r="V9" s="222">
        <v>4</v>
      </c>
      <c r="W9" s="222">
        <v>3</v>
      </c>
      <c r="X9" s="222">
        <v>4</v>
      </c>
      <c r="Y9" s="222">
        <v>4</v>
      </c>
      <c r="Z9" s="223">
        <v>5</v>
      </c>
    </row>
    <row r="10" spans="1:26" ht="14.45" customHeight="1">
      <c r="A10" s="722"/>
      <c r="B10" s="725"/>
      <c r="C10" s="727"/>
      <c r="D10" s="719"/>
      <c r="E10" s="719"/>
      <c r="F10" s="718"/>
      <c r="G10" s="224" t="s">
        <v>160</v>
      </c>
      <c r="H10" s="225">
        <f t="shared" si="0"/>
        <v>5299</v>
      </c>
      <c r="I10" s="226">
        <v>330</v>
      </c>
      <c r="J10" s="226">
        <v>403</v>
      </c>
      <c r="K10" s="226">
        <v>307</v>
      </c>
      <c r="L10" s="226">
        <v>308</v>
      </c>
      <c r="M10" s="226">
        <v>131</v>
      </c>
      <c r="N10" s="226">
        <v>292</v>
      </c>
      <c r="O10" s="226">
        <v>336</v>
      </c>
      <c r="P10" s="226">
        <v>119</v>
      </c>
      <c r="Q10" s="226">
        <v>427</v>
      </c>
      <c r="R10" s="226">
        <v>486</v>
      </c>
      <c r="S10" s="226">
        <v>291</v>
      </c>
      <c r="T10" s="226">
        <v>127</v>
      </c>
      <c r="U10" s="226">
        <v>306</v>
      </c>
      <c r="V10" s="226">
        <v>284</v>
      </c>
      <c r="W10" s="226">
        <v>153</v>
      </c>
      <c r="X10" s="226">
        <v>281</v>
      </c>
      <c r="Y10" s="226">
        <v>297</v>
      </c>
      <c r="Z10" s="227">
        <v>421</v>
      </c>
    </row>
    <row r="11" spans="1:26" ht="14.45" customHeight="1">
      <c r="A11" s="722"/>
      <c r="B11" s="719"/>
      <c r="C11" s="727"/>
      <c r="D11" s="719"/>
      <c r="E11" s="719"/>
      <c r="F11" s="719"/>
      <c r="G11" s="224" t="s">
        <v>138</v>
      </c>
      <c r="H11" s="228" t="str">
        <f t="shared" si="1"/>
        <v>N/A</v>
      </c>
      <c r="I11" s="226" t="s">
        <v>7</v>
      </c>
      <c r="J11" s="226" t="s">
        <v>7</v>
      </c>
      <c r="K11" s="226" t="s">
        <v>7</v>
      </c>
      <c r="L11" s="226" t="s">
        <v>7</v>
      </c>
      <c r="M11" s="226" t="s">
        <v>7</v>
      </c>
      <c r="N11" s="226" t="s">
        <v>7</v>
      </c>
      <c r="O11" s="226" t="s">
        <v>7</v>
      </c>
      <c r="P11" s="226" t="s">
        <v>7</v>
      </c>
      <c r="Q11" s="226" t="s">
        <v>7</v>
      </c>
      <c r="R11" s="226" t="s">
        <v>7</v>
      </c>
      <c r="S11" s="226" t="s">
        <v>7</v>
      </c>
      <c r="T11" s="226" t="s">
        <v>7</v>
      </c>
      <c r="U11" s="226" t="s">
        <v>7</v>
      </c>
      <c r="V11" s="226" t="s">
        <v>7</v>
      </c>
      <c r="W11" s="226" t="s">
        <v>7</v>
      </c>
      <c r="X11" s="226" t="s">
        <v>7</v>
      </c>
      <c r="Y11" s="226" t="s">
        <v>7</v>
      </c>
      <c r="Z11" s="227" t="s">
        <v>7</v>
      </c>
    </row>
    <row r="12" spans="1:26" ht="14.45" customHeight="1">
      <c r="A12" s="722"/>
      <c r="B12" s="719"/>
      <c r="C12" s="727"/>
      <c r="D12" s="719"/>
      <c r="E12" s="719"/>
      <c r="F12" s="719"/>
      <c r="G12" s="224" t="s">
        <v>145</v>
      </c>
      <c r="H12" s="228" t="str">
        <f t="shared" ref="H12" si="23">IFERROR(IF(I13="N/A","N/A",COUNTIF(I12:Z12,"Y")/(COUNTIF(I12:Z12,"Y")+COUNTIF(I12:Z12,"N"))),"N/A")</f>
        <v>N/A</v>
      </c>
      <c r="I12" s="226" t="s">
        <v>7</v>
      </c>
      <c r="J12" s="226" t="s">
        <v>7</v>
      </c>
      <c r="K12" s="226" t="s">
        <v>7</v>
      </c>
      <c r="L12" s="226" t="s">
        <v>7</v>
      </c>
      <c r="M12" s="226" t="s">
        <v>7</v>
      </c>
      <c r="N12" s="226" t="s">
        <v>7</v>
      </c>
      <c r="O12" s="226" t="s">
        <v>7</v>
      </c>
      <c r="P12" s="226" t="s">
        <v>7</v>
      </c>
      <c r="Q12" s="226" t="s">
        <v>7</v>
      </c>
      <c r="R12" s="226" t="s">
        <v>7</v>
      </c>
      <c r="S12" s="226" t="s">
        <v>7</v>
      </c>
      <c r="T12" s="226" t="s">
        <v>7</v>
      </c>
      <c r="U12" s="226" t="s">
        <v>7</v>
      </c>
      <c r="V12" s="226" t="s">
        <v>7</v>
      </c>
      <c r="W12" s="226" t="s">
        <v>7</v>
      </c>
      <c r="X12" s="226" t="s">
        <v>7</v>
      </c>
      <c r="Y12" s="226" t="s">
        <v>7</v>
      </c>
      <c r="Z12" s="227" t="s">
        <v>7</v>
      </c>
    </row>
    <row r="13" spans="1:26" ht="14.45" customHeight="1">
      <c r="A13" s="722"/>
      <c r="B13" s="719"/>
      <c r="C13" s="727"/>
      <c r="D13" s="719"/>
      <c r="E13" s="719"/>
      <c r="F13" s="719"/>
      <c r="G13" s="224" t="s">
        <v>139</v>
      </c>
      <c r="H13" s="226" t="str">
        <f t="shared" si="3"/>
        <v>N/A</v>
      </c>
      <c r="I13" s="226" t="s">
        <v>5</v>
      </c>
      <c r="J13" s="226" t="s">
        <v>5</v>
      </c>
      <c r="K13" s="226" t="s">
        <v>5</v>
      </c>
      <c r="L13" s="226" t="s">
        <v>5</v>
      </c>
      <c r="M13" s="226" t="s">
        <v>5</v>
      </c>
      <c r="N13" s="226" t="s">
        <v>5</v>
      </c>
      <c r="O13" s="226" t="s">
        <v>5</v>
      </c>
      <c r="P13" s="226" t="s">
        <v>5</v>
      </c>
      <c r="Q13" s="226" t="s">
        <v>5</v>
      </c>
      <c r="R13" s="226" t="s">
        <v>5</v>
      </c>
      <c r="S13" s="226" t="s">
        <v>5</v>
      </c>
      <c r="T13" s="226" t="s">
        <v>5</v>
      </c>
      <c r="U13" s="226" t="s">
        <v>5</v>
      </c>
      <c r="V13" s="226" t="s">
        <v>5</v>
      </c>
      <c r="W13" s="226" t="s">
        <v>5</v>
      </c>
      <c r="X13" s="226" t="s">
        <v>5</v>
      </c>
      <c r="Y13" s="226" t="s">
        <v>5</v>
      </c>
      <c r="Z13" s="227" t="s">
        <v>5</v>
      </c>
    </row>
    <row r="14" spans="1:26" ht="14.45" customHeight="1">
      <c r="A14" s="722"/>
      <c r="B14" s="719"/>
      <c r="C14" s="727"/>
      <c r="D14" s="719"/>
      <c r="E14" s="719"/>
      <c r="F14" s="719"/>
      <c r="G14" s="224" t="s">
        <v>67</v>
      </c>
      <c r="H14" s="229">
        <f t="shared" si="4"/>
        <v>107</v>
      </c>
      <c r="I14" s="226">
        <f>IF(I15="","",I9+I15)</f>
        <v>8</v>
      </c>
      <c r="J14" s="226">
        <f t="shared" ref="J14" si="24">IF(J15="","",J9+J15)</f>
        <v>5</v>
      </c>
      <c r="K14" s="226">
        <f t="shared" ref="K14" si="25">IF(K15="","",K9+K15)</f>
        <v>6</v>
      </c>
      <c r="L14" s="226">
        <f t="shared" ref="L14" si="26">IF(L15="","",L9+L15)</f>
        <v>6</v>
      </c>
      <c r="M14" s="226">
        <f t="shared" ref="M14" si="27">IF(M15="","",M9+M15)</f>
        <v>5</v>
      </c>
      <c r="N14" s="226">
        <f t="shared" ref="N14" si="28">IF(N15="","",N9+N15)</f>
        <v>6</v>
      </c>
      <c r="O14" s="226">
        <f t="shared" ref="O14" si="29">IF(O15="","",O9+O15)</f>
        <v>6</v>
      </c>
      <c r="P14" s="226">
        <f t="shared" ref="P14" si="30">IF(P15="","",P9+P15)</f>
        <v>5</v>
      </c>
      <c r="Q14" s="226">
        <f t="shared" ref="Q14" si="31">IF(Q15="","",Q9+Q15)</f>
        <v>6</v>
      </c>
      <c r="R14" s="226">
        <f t="shared" ref="R14" si="32">IF(R15="","",R9+R15)</f>
        <v>9</v>
      </c>
      <c r="S14" s="226">
        <f t="shared" ref="S14" si="33">IF(S15="","",S9+S15)</f>
        <v>6</v>
      </c>
      <c r="T14" s="226">
        <f t="shared" ref="T14" si="34">IF(T15="","",T9+T15)</f>
        <v>5</v>
      </c>
      <c r="U14" s="226">
        <f t="shared" ref="U14" si="35">IF(U15="","",U9+U15)</f>
        <v>6</v>
      </c>
      <c r="V14" s="226">
        <f t="shared" ref="V14" si="36">IF(V15="","",V9+V15)</f>
        <v>7</v>
      </c>
      <c r="W14" s="226">
        <f t="shared" ref="W14" si="37">IF(W15="","",W9+W15)</f>
        <v>3</v>
      </c>
      <c r="X14" s="226">
        <f t="shared" ref="X14" si="38">IF(X15="","",X9+X15)</f>
        <v>4</v>
      </c>
      <c r="Y14" s="226">
        <f t="shared" ref="Y14" si="39">IF(Y15="","",Y9+Y15)</f>
        <v>6</v>
      </c>
      <c r="Z14" s="227">
        <f t="shared" ref="Z14" si="40">IF(Z15="","",Z9+Z15)</f>
        <v>8</v>
      </c>
    </row>
    <row r="15" spans="1:26" ht="14.45" customHeight="1">
      <c r="A15" s="723"/>
      <c r="B15" s="720"/>
      <c r="C15" s="728"/>
      <c r="D15" s="720"/>
      <c r="E15" s="720"/>
      <c r="F15" s="720"/>
      <c r="G15" s="230" t="s">
        <v>143</v>
      </c>
      <c r="H15" s="231" t="str">
        <f t="shared" si="22"/>
        <v>+35</v>
      </c>
      <c r="I15" s="232">
        <v>4</v>
      </c>
      <c r="J15" s="235">
        <v>0</v>
      </c>
      <c r="K15" s="231">
        <v>2</v>
      </c>
      <c r="L15" s="231">
        <v>2</v>
      </c>
      <c r="M15" s="231">
        <v>2</v>
      </c>
      <c r="N15" s="231">
        <v>2</v>
      </c>
      <c r="O15" s="231">
        <v>2</v>
      </c>
      <c r="P15" s="231">
        <v>2</v>
      </c>
      <c r="Q15" s="233">
        <v>1</v>
      </c>
      <c r="R15" s="231">
        <v>4</v>
      </c>
      <c r="S15" s="231">
        <v>2</v>
      </c>
      <c r="T15" s="231">
        <v>2</v>
      </c>
      <c r="U15" s="231">
        <v>2</v>
      </c>
      <c r="V15" s="231">
        <v>3</v>
      </c>
      <c r="W15" s="235">
        <v>0</v>
      </c>
      <c r="X15" s="235">
        <v>0</v>
      </c>
      <c r="Y15" s="231">
        <v>2</v>
      </c>
      <c r="Z15" s="234">
        <v>3</v>
      </c>
    </row>
    <row r="16" spans="1:26" ht="14.45" customHeight="1">
      <c r="A16" s="721">
        <v>3</v>
      </c>
      <c r="B16" s="724">
        <v>44730</v>
      </c>
      <c r="C16" s="726">
        <v>0.2951388888888889</v>
      </c>
      <c r="D16" s="747" t="s">
        <v>150</v>
      </c>
      <c r="E16" s="747" t="s">
        <v>1842</v>
      </c>
      <c r="F16" s="717" t="s">
        <v>1843</v>
      </c>
      <c r="G16" s="221" t="s">
        <v>137</v>
      </c>
      <c r="H16" s="222">
        <f t="shared" si="0"/>
        <v>72</v>
      </c>
      <c r="I16" s="222">
        <v>4</v>
      </c>
      <c r="J16" s="222">
        <v>4</v>
      </c>
      <c r="K16" s="222">
        <v>5</v>
      </c>
      <c r="L16" s="222">
        <v>4</v>
      </c>
      <c r="M16" s="222">
        <v>4</v>
      </c>
      <c r="N16" s="222">
        <v>3</v>
      </c>
      <c r="O16" s="222">
        <v>5</v>
      </c>
      <c r="P16" s="222">
        <v>3</v>
      </c>
      <c r="Q16" s="222">
        <v>4</v>
      </c>
      <c r="R16" s="222">
        <v>4</v>
      </c>
      <c r="S16" s="222">
        <v>4</v>
      </c>
      <c r="T16" s="222">
        <v>3</v>
      </c>
      <c r="U16" s="222">
        <v>5</v>
      </c>
      <c r="V16" s="222">
        <v>4</v>
      </c>
      <c r="W16" s="222">
        <v>3</v>
      </c>
      <c r="X16" s="222">
        <v>4</v>
      </c>
      <c r="Y16" s="222">
        <v>5</v>
      </c>
      <c r="Z16" s="223">
        <v>4</v>
      </c>
    </row>
    <row r="17" spans="1:26" ht="14.45" customHeight="1">
      <c r="A17" s="722"/>
      <c r="B17" s="725"/>
      <c r="C17" s="727"/>
      <c r="D17" s="719"/>
      <c r="E17" s="719"/>
      <c r="F17" s="718"/>
      <c r="G17" s="224" t="s">
        <v>160</v>
      </c>
      <c r="H17" s="225">
        <f t="shared" si="0"/>
        <v>5578</v>
      </c>
      <c r="I17" s="226">
        <v>343</v>
      </c>
      <c r="J17" s="226">
        <v>320</v>
      </c>
      <c r="K17" s="226">
        <v>448</v>
      </c>
      <c r="L17" s="226">
        <v>305</v>
      </c>
      <c r="M17" s="226">
        <v>342</v>
      </c>
      <c r="N17" s="226">
        <v>160</v>
      </c>
      <c r="O17" s="226">
        <v>425</v>
      </c>
      <c r="P17" s="226">
        <v>143</v>
      </c>
      <c r="Q17" s="226">
        <v>360</v>
      </c>
      <c r="R17" s="226">
        <v>306</v>
      </c>
      <c r="S17" s="226">
        <v>262</v>
      </c>
      <c r="T17" s="226">
        <v>132</v>
      </c>
      <c r="U17" s="226">
        <v>479</v>
      </c>
      <c r="V17" s="226">
        <v>309</v>
      </c>
      <c r="W17" s="226">
        <v>145</v>
      </c>
      <c r="X17" s="226">
        <v>305</v>
      </c>
      <c r="Y17" s="226">
        <v>465</v>
      </c>
      <c r="Z17" s="227">
        <v>329</v>
      </c>
    </row>
    <row r="18" spans="1:26" ht="14.45" customHeight="1">
      <c r="A18" s="722"/>
      <c r="B18" s="719"/>
      <c r="C18" s="727"/>
      <c r="D18" s="719"/>
      <c r="E18" s="719"/>
      <c r="F18" s="719"/>
      <c r="G18" s="224" t="s">
        <v>138</v>
      </c>
      <c r="H18" s="228" t="str">
        <f t="shared" si="1"/>
        <v>N/A</v>
      </c>
      <c r="I18" s="226" t="s">
        <v>7</v>
      </c>
      <c r="J18" s="226" t="s">
        <v>7</v>
      </c>
      <c r="K18" s="226" t="s">
        <v>7</v>
      </c>
      <c r="L18" s="226" t="s">
        <v>7</v>
      </c>
      <c r="M18" s="226" t="s">
        <v>7</v>
      </c>
      <c r="N18" s="226" t="s">
        <v>7</v>
      </c>
      <c r="O18" s="226" t="s">
        <v>7</v>
      </c>
      <c r="P18" s="226" t="s">
        <v>7</v>
      </c>
      <c r="Q18" s="226" t="s">
        <v>7</v>
      </c>
      <c r="R18" s="226" t="s">
        <v>7</v>
      </c>
      <c r="S18" s="226" t="s">
        <v>7</v>
      </c>
      <c r="T18" s="226" t="s">
        <v>7</v>
      </c>
      <c r="U18" s="226" t="s">
        <v>7</v>
      </c>
      <c r="V18" s="226" t="s">
        <v>7</v>
      </c>
      <c r="W18" s="226" t="s">
        <v>7</v>
      </c>
      <c r="X18" s="226" t="s">
        <v>7</v>
      </c>
      <c r="Y18" s="226" t="s">
        <v>7</v>
      </c>
      <c r="Z18" s="227" t="s">
        <v>7</v>
      </c>
    </row>
    <row r="19" spans="1:26" ht="14.45" customHeight="1">
      <c r="A19" s="722"/>
      <c r="B19" s="719"/>
      <c r="C19" s="727"/>
      <c r="D19" s="719"/>
      <c r="E19" s="719"/>
      <c r="F19" s="719"/>
      <c r="G19" s="224" t="s">
        <v>145</v>
      </c>
      <c r="H19" s="228" t="str">
        <f t="shared" ref="H19" si="41">IFERROR(IF(I20="N/A","N/A",COUNTIF(I19:Z19,"Y")/(COUNTIF(I19:Z19,"Y")+COUNTIF(I19:Z19,"N"))),"N/A")</f>
        <v>N/A</v>
      </c>
      <c r="I19" s="226" t="s">
        <v>7</v>
      </c>
      <c r="J19" s="226" t="s">
        <v>7</v>
      </c>
      <c r="K19" s="226" t="s">
        <v>7</v>
      </c>
      <c r="L19" s="226" t="s">
        <v>7</v>
      </c>
      <c r="M19" s="226" t="s">
        <v>7</v>
      </c>
      <c r="N19" s="226" t="s">
        <v>7</v>
      </c>
      <c r="O19" s="226" t="s">
        <v>7</v>
      </c>
      <c r="P19" s="226" t="s">
        <v>7</v>
      </c>
      <c r="Q19" s="226" t="s">
        <v>7</v>
      </c>
      <c r="R19" s="226" t="s">
        <v>7</v>
      </c>
      <c r="S19" s="226" t="s">
        <v>7</v>
      </c>
      <c r="T19" s="226" t="s">
        <v>7</v>
      </c>
      <c r="U19" s="226" t="s">
        <v>7</v>
      </c>
      <c r="V19" s="226" t="s">
        <v>7</v>
      </c>
      <c r="W19" s="226" t="s">
        <v>7</v>
      </c>
      <c r="X19" s="226" t="s">
        <v>7</v>
      </c>
      <c r="Y19" s="226" t="s">
        <v>7</v>
      </c>
      <c r="Z19" s="227" t="s">
        <v>7</v>
      </c>
    </row>
    <row r="20" spans="1:26" ht="14.45" customHeight="1">
      <c r="A20" s="722"/>
      <c r="B20" s="719"/>
      <c r="C20" s="727"/>
      <c r="D20" s="719"/>
      <c r="E20" s="719"/>
      <c r="F20" s="719"/>
      <c r="G20" s="224" t="s">
        <v>139</v>
      </c>
      <c r="H20" s="226" t="str">
        <f t="shared" si="3"/>
        <v>N/A</v>
      </c>
      <c r="I20" s="226" t="s">
        <v>5</v>
      </c>
      <c r="J20" s="226" t="s">
        <v>5</v>
      </c>
      <c r="K20" s="226" t="s">
        <v>5</v>
      </c>
      <c r="L20" s="226" t="s">
        <v>5</v>
      </c>
      <c r="M20" s="226" t="s">
        <v>5</v>
      </c>
      <c r="N20" s="226" t="s">
        <v>5</v>
      </c>
      <c r="O20" s="226" t="s">
        <v>5</v>
      </c>
      <c r="P20" s="226" t="s">
        <v>5</v>
      </c>
      <c r="Q20" s="226" t="s">
        <v>5</v>
      </c>
      <c r="R20" s="226" t="s">
        <v>5</v>
      </c>
      <c r="S20" s="226" t="s">
        <v>5</v>
      </c>
      <c r="T20" s="226" t="s">
        <v>5</v>
      </c>
      <c r="U20" s="226" t="s">
        <v>5</v>
      </c>
      <c r="V20" s="226" t="s">
        <v>5</v>
      </c>
      <c r="W20" s="226" t="s">
        <v>5</v>
      </c>
      <c r="X20" s="226" t="s">
        <v>5</v>
      </c>
      <c r="Y20" s="226" t="s">
        <v>5</v>
      </c>
      <c r="Z20" s="227" t="s">
        <v>5</v>
      </c>
    </row>
    <row r="21" spans="1:26" ht="14.45" customHeight="1">
      <c r="A21" s="722"/>
      <c r="B21" s="719"/>
      <c r="C21" s="727"/>
      <c r="D21" s="719"/>
      <c r="E21" s="719"/>
      <c r="F21" s="719"/>
      <c r="G21" s="224" t="s">
        <v>67</v>
      </c>
      <c r="H21" s="229">
        <f t="shared" si="4"/>
        <v>108</v>
      </c>
      <c r="I21" s="226">
        <f>IF(I22="","",I16+I22)</f>
        <v>5</v>
      </c>
      <c r="J21" s="226">
        <f t="shared" ref="J21" si="42">IF(J22="","",J16+J22)</f>
        <v>6</v>
      </c>
      <c r="K21" s="226">
        <f t="shared" ref="K21" si="43">IF(K22="","",K16+K22)</f>
        <v>7</v>
      </c>
      <c r="L21" s="226">
        <f t="shared" ref="L21" si="44">IF(L22="","",L16+L22)</f>
        <v>5</v>
      </c>
      <c r="M21" s="226">
        <f t="shared" ref="M21" si="45">IF(M22="","",M16+M22)</f>
        <v>7</v>
      </c>
      <c r="N21" s="226">
        <f t="shared" ref="N21" si="46">IF(N22="","",N16+N22)</f>
        <v>5</v>
      </c>
      <c r="O21" s="226">
        <f t="shared" ref="O21" si="47">IF(O22="","",O16+O22)</f>
        <v>8</v>
      </c>
      <c r="P21" s="226">
        <f t="shared" ref="P21" si="48">IF(P22="","",P16+P22)</f>
        <v>4</v>
      </c>
      <c r="Q21" s="226">
        <f t="shared" ref="Q21" si="49">IF(Q22="","",Q16+Q22)</f>
        <v>6</v>
      </c>
      <c r="R21" s="226">
        <f t="shared" ref="R21" si="50">IF(R22="","",R16+R22)</f>
        <v>8</v>
      </c>
      <c r="S21" s="226">
        <f t="shared" ref="S21" si="51">IF(S22="","",S16+S22)</f>
        <v>7</v>
      </c>
      <c r="T21" s="226">
        <f t="shared" ref="T21" si="52">IF(T22="","",T16+T22)</f>
        <v>6</v>
      </c>
      <c r="U21" s="226">
        <f t="shared" ref="U21" si="53">IF(U22="","",U16+U22)</f>
        <v>7</v>
      </c>
      <c r="V21" s="226">
        <f t="shared" ref="V21" si="54">IF(V22="","",V16+V22)</f>
        <v>6</v>
      </c>
      <c r="W21" s="226">
        <f t="shared" ref="W21" si="55">IF(W22="","",W16+W22)</f>
        <v>5</v>
      </c>
      <c r="X21" s="226">
        <f t="shared" ref="X21" si="56">IF(X22="","",X16+X22)</f>
        <v>5</v>
      </c>
      <c r="Y21" s="226">
        <f t="shared" ref="Y21" si="57">IF(Y22="","",Y16+Y22)</f>
        <v>6</v>
      </c>
      <c r="Z21" s="227">
        <f t="shared" ref="Z21" si="58">IF(Z22="","",Z16+Z22)</f>
        <v>5</v>
      </c>
    </row>
    <row r="22" spans="1:26" ht="14.45" customHeight="1">
      <c r="A22" s="723"/>
      <c r="B22" s="720"/>
      <c r="C22" s="728"/>
      <c r="D22" s="720"/>
      <c r="E22" s="720"/>
      <c r="F22" s="720"/>
      <c r="G22" s="230" t="s">
        <v>143</v>
      </c>
      <c r="H22" s="231" t="str">
        <f t="shared" si="22"/>
        <v>+36</v>
      </c>
      <c r="I22" s="233">
        <v>1</v>
      </c>
      <c r="J22" s="231">
        <v>2</v>
      </c>
      <c r="K22" s="231">
        <v>2</v>
      </c>
      <c r="L22" s="233">
        <v>1</v>
      </c>
      <c r="M22" s="231">
        <v>3</v>
      </c>
      <c r="N22" s="231">
        <v>2</v>
      </c>
      <c r="O22" s="231">
        <v>3</v>
      </c>
      <c r="P22" s="233">
        <v>1</v>
      </c>
      <c r="Q22" s="231">
        <v>2</v>
      </c>
      <c r="R22" s="232">
        <v>4</v>
      </c>
      <c r="S22" s="231">
        <v>3</v>
      </c>
      <c r="T22" s="232">
        <v>3</v>
      </c>
      <c r="U22" s="231">
        <v>2</v>
      </c>
      <c r="V22" s="231">
        <v>2</v>
      </c>
      <c r="W22" s="231">
        <v>2</v>
      </c>
      <c r="X22" s="233">
        <v>1</v>
      </c>
      <c r="Y22" s="233">
        <v>1</v>
      </c>
      <c r="Z22" s="236">
        <v>1</v>
      </c>
    </row>
    <row r="23" spans="1:26" ht="14.45" customHeight="1">
      <c r="A23" s="721">
        <v>4</v>
      </c>
      <c r="B23" s="724">
        <v>44736</v>
      </c>
      <c r="C23" s="726">
        <v>0.2951388888888889</v>
      </c>
      <c r="D23" s="747" t="s">
        <v>158</v>
      </c>
      <c r="E23" s="747" t="s">
        <v>1844</v>
      </c>
      <c r="F23" s="717" t="s">
        <v>1845</v>
      </c>
      <c r="G23" s="221" t="s">
        <v>137</v>
      </c>
      <c r="H23" s="222">
        <f t="shared" si="0"/>
        <v>72</v>
      </c>
      <c r="I23" s="222">
        <v>4</v>
      </c>
      <c r="J23" s="222">
        <v>5</v>
      </c>
      <c r="K23" s="222">
        <v>4</v>
      </c>
      <c r="L23" s="222">
        <v>3</v>
      </c>
      <c r="M23" s="222">
        <v>4</v>
      </c>
      <c r="N23" s="222">
        <v>4</v>
      </c>
      <c r="O23" s="222">
        <v>4</v>
      </c>
      <c r="P23" s="222">
        <v>3</v>
      </c>
      <c r="Q23" s="222">
        <v>5</v>
      </c>
      <c r="R23" s="222">
        <v>5</v>
      </c>
      <c r="S23" s="222">
        <v>4</v>
      </c>
      <c r="T23" s="222">
        <v>4</v>
      </c>
      <c r="U23" s="222">
        <v>3</v>
      </c>
      <c r="V23" s="222">
        <v>4</v>
      </c>
      <c r="W23" s="222">
        <v>5</v>
      </c>
      <c r="X23" s="222">
        <v>4</v>
      </c>
      <c r="Y23" s="222">
        <v>3</v>
      </c>
      <c r="Z23" s="223">
        <v>4</v>
      </c>
    </row>
    <row r="24" spans="1:26" ht="14.45" customHeight="1">
      <c r="A24" s="722"/>
      <c r="B24" s="725"/>
      <c r="C24" s="727"/>
      <c r="D24" s="719"/>
      <c r="E24" s="719"/>
      <c r="F24" s="718"/>
      <c r="G24" s="224" t="s">
        <v>160</v>
      </c>
      <c r="H24" s="225">
        <f t="shared" si="0"/>
        <v>5764</v>
      </c>
      <c r="I24" s="226">
        <v>375</v>
      </c>
      <c r="J24" s="226">
        <v>453</v>
      </c>
      <c r="K24" s="226">
        <v>294</v>
      </c>
      <c r="L24" s="226">
        <v>170</v>
      </c>
      <c r="M24" s="226">
        <v>282</v>
      </c>
      <c r="N24" s="226">
        <v>310</v>
      </c>
      <c r="O24" s="226">
        <v>265</v>
      </c>
      <c r="P24" s="226">
        <v>123</v>
      </c>
      <c r="Q24" s="226">
        <v>491</v>
      </c>
      <c r="R24" s="226">
        <v>505</v>
      </c>
      <c r="S24" s="226">
        <v>362</v>
      </c>
      <c r="T24" s="226">
        <v>326</v>
      </c>
      <c r="U24" s="226">
        <v>143</v>
      </c>
      <c r="V24" s="226">
        <v>328</v>
      </c>
      <c r="W24" s="226">
        <v>547</v>
      </c>
      <c r="X24" s="226">
        <v>315</v>
      </c>
      <c r="Y24" s="226">
        <v>161</v>
      </c>
      <c r="Z24" s="227">
        <v>314</v>
      </c>
    </row>
    <row r="25" spans="1:26" ht="14.45" customHeight="1">
      <c r="A25" s="722"/>
      <c r="B25" s="719"/>
      <c r="C25" s="727"/>
      <c r="D25" s="719"/>
      <c r="E25" s="719"/>
      <c r="F25" s="719"/>
      <c r="G25" s="224" t="s">
        <v>138</v>
      </c>
      <c r="H25" s="228" t="str">
        <f t="shared" si="1"/>
        <v>N/A</v>
      </c>
      <c r="I25" s="226" t="s">
        <v>2</v>
      </c>
      <c r="J25" s="226" t="s">
        <v>2</v>
      </c>
      <c r="K25" s="226" t="s">
        <v>2</v>
      </c>
      <c r="L25" s="226" t="s">
        <v>2</v>
      </c>
      <c r="M25" s="226" t="s">
        <v>2</v>
      </c>
      <c r="N25" s="226" t="s">
        <v>2</v>
      </c>
      <c r="O25" s="226" t="s">
        <v>2</v>
      </c>
      <c r="P25" s="226" t="s">
        <v>2</v>
      </c>
      <c r="Q25" s="226" t="s">
        <v>2</v>
      </c>
      <c r="R25" s="226" t="s">
        <v>2</v>
      </c>
      <c r="S25" s="226" t="s">
        <v>2</v>
      </c>
      <c r="T25" s="226" t="s">
        <v>2</v>
      </c>
      <c r="U25" s="226" t="s">
        <v>2</v>
      </c>
      <c r="V25" s="226" t="s">
        <v>2</v>
      </c>
      <c r="W25" s="226" t="s">
        <v>2</v>
      </c>
      <c r="X25" s="226" t="s">
        <v>2</v>
      </c>
      <c r="Y25" s="226" t="s">
        <v>2</v>
      </c>
      <c r="Z25" s="227" t="s">
        <v>2</v>
      </c>
    </row>
    <row r="26" spans="1:26" ht="14.45" customHeight="1">
      <c r="A26" s="722"/>
      <c r="B26" s="719"/>
      <c r="C26" s="727"/>
      <c r="D26" s="719"/>
      <c r="E26" s="719"/>
      <c r="F26" s="719"/>
      <c r="G26" s="224" t="s">
        <v>145</v>
      </c>
      <c r="H26" s="228" t="str">
        <f t="shared" ref="H26" si="59">IFERROR(IF(I27="N/A","N/A",COUNTIF(I26:Z26,"Y")/(COUNTIF(I26:Z26,"Y")+COUNTIF(I26:Z26,"N"))),"N/A")</f>
        <v>N/A</v>
      </c>
      <c r="I26" s="226" t="s">
        <v>2</v>
      </c>
      <c r="J26" s="226" t="s">
        <v>2</v>
      </c>
      <c r="K26" s="226" t="s">
        <v>2</v>
      </c>
      <c r="L26" s="226" t="s">
        <v>2</v>
      </c>
      <c r="M26" s="226" t="s">
        <v>2</v>
      </c>
      <c r="N26" s="226" t="s">
        <v>2</v>
      </c>
      <c r="O26" s="226" t="s">
        <v>2</v>
      </c>
      <c r="P26" s="226" t="s">
        <v>2</v>
      </c>
      <c r="Q26" s="226" t="s">
        <v>2</v>
      </c>
      <c r="R26" s="226" t="s">
        <v>2</v>
      </c>
      <c r="S26" s="226" t="s">
        <v>2</v>
      </c>
      <c r="T26" s="226" t="s">
        <v>2</v>
      </c>
      <c r="U26" s="226" t="s">
        <v>2</v>
      </c>
      <c r="V26" s="226" t="s">
        <v>2</v>
      </c>
      <c r="W26" s="226" t="s">
        <v>2</v>
      </c>
      <c r="X26" s="226" t="s">
        <v>2</v>
      </c>
      <c r="Y26" s="226" t="s">
        <v>2</v>
      </c>
      <c r="Z26" s="227" t="s">
        <v>2</v>
      </c>
    </row>
    <row r="27" spans="1:26" ht="14.45" customHeight="1">
      <c r="A27" s="722"/>
      <c r="B27" s="719"/>
      <c r="C27" s="727"/>
      <c r="D27" s="719"/>
      <c r="E27" s="719"/>
      <c r="F27" s="719"/>
      <c r="G27" s="224" t="s">
        <v>139</v>
      </c>
      <c r="H27" s="226" t="str">
        <f t="shared" si="3"/>
        <v>N/A</v>
      </c>
      <c r="I27" s="226" t="s">
        <v>3</v>
      </c>
      <c r="J27" s="226" t="s">
        <v>3</v>
      </c>
      <c r="K27" s="226" t="s">
        <v>3</v>
      </c>
      <c r="L27" s="226" t="s">
        <v>3</v>
      </c>
      <c r="M27" s="226" t="s">
        <v>3</v>
      </c>
      <c r="N27" s="226" t="s">
        <v>3</v>
      </c>
      <c r="O27" s="226" t="s">
        <v>3</v>
      </c>
      <c r="P27" s="226" t="s">
        <v>3</v>
      </c>
      <c r="Q27" s="226" t="s">
        <v>3</v>
      </c>
      <c r="R27" s="226" t="s">
        <v>3</v>
      </c>
      <c r="S27" s="226" t="s">
        <v>3</v>
      </c>
      <c r="T27" s="226" t="s">
        <v>3</v>
      </c>
      <c r="U27" s="226" t="s">
        <v>3</v>
      </c>
      <c r="V27" s="226" t="s">
        <v>3</v>
      </c>
      <c r="W27" s="226" t="s">
        <v>3</v>
      </c>
      <c r="X27" s="226" t="s">
        <v>3</v>
      </c>
      <c r="Y27" s="226" t="s">
        <v>3</v>
      </c>
      <c r="Z27" s="227" t="s">
        <v>3</v>
      </c>
    </row>
    <row r="28" spans="1:26" ht="14.45" customHeight="1">
      <c r="A28" s="722"/>
      <c r="B28" s="719"/>
      <c r="C28" s="727"/>
      <c r="D28" s="719"/>
      <c r="E28" s="719"/>
      <c r="F28" s="719"/>
      <c r="G28" s="224" t="s">
        <v>67</v>
      </c>
      <c r="H28" s="229">
        <f t="shared" si="4"/>
        <v>112</v>
      </c>
      <c r="I28" s="226">
        <f>IF(I29="","",I23+I29)</f>
        <v>7</v>
      </c>
      <c r="J28" s="226">
        <f t="shared" ref="J28" si="60">IF(J29="","",J23+J29)</f>
        <v>8</v>
      </c>
      <c r="K28" s="226">
        <f t="shared" ref="K28" si="61">IF(K29="","",K23+K29)</f>
        <v>8</v>
      </c>
      <c r="L28" s="226">
        <f t="shared" ref="L28" si="62">IF(L29="","",L23+L29)</f>
        <v>5</v>
      </c>
      <c r="M28" s="226">
        <f t="shared" ref="M28" si="63">IF(M29="","",M23+M29)</f>
        <v>6</v>
      </c>
      <c r="N28" s="226">
        <f t="shared" ref="N28" si="64">IF(N29="","",N23+N29)</f>
        <v>5</v>
      </c>
      <c r="O28" s="226">
        <f t="shared" ref="O28" si="65">IF(O29="","",O23+O29)</f>
        <v>6</v>
      </c>
      <c r="P28" s="226">
        <f t="shared" ref="P28" si="66">IF(P29="","",P23+P29)</f>
        <v>4</v>
      </c>
      <c r="Q28" s="226">
        <f t="shared" ref="Q28" si="67">IF(Q29="","",Q23+Q29)</f>
        <v>8</v>
      </c>
      <c r="R28" s="226">
        <f t="shared" ref="R28" si="68">IF(R29="","",R23+R29)</f>
        <v>9</v>
      </c>
      <c r="S28" s="226">
        <f t="shared" ref="S28" si="69">IF(S29="","",S23+S29)</f>
        <v>8</v>
      </c>
      <c r="T28" s="226">
        <f t="shared" ref="T28" si="70">IF(T29="","",T23+T29)</f>
        <v>6</v>
      </c>
      <c r="U28" s="226">
        <f t="shared" ref="U28" si="71">IF(U29="","",U23+U29)</f>
        <v>4</v>
      </c>
      <c r="V28" s="226">
        <f t="shared" ref="V28" si="72">IF(V29="","",V23+V29)</f>
        <v>5</v>
      </c>
      <c r="W28" s="226">
        <f t="shared" ref="W28" si="73">IF(W29="","",W23+W29)</f>
        <v>7</v>
      </c>
      <c r="X28" s="226">
        <f t="shared" ref="X28" si="74">IF(X29="","",X23+X29)</f>
        <v>5</v>
      </c>
      <c r="Y28" s="226">
        <f t="shared" ref="Y28" si="75">IF(Y29="","",Y23+Y29)</f>
        <v>4</v>
      </c>
      <c r="Z28" s="227">
        <f t="shared" ref="Z28" si="76">IF(Z29="","",Z23+Z29)</f>
        <v>7</v>
      </c>
    </row>
    <row r="29" spans="1:26" ht="14.45" customHeight="1">
      <c r="A29" s="723"/>
      <c r="B29" s="720"/>
      <c r="C29" s="728"/>
      <c r="D29" s="720"/>
      <c r="E29" s="720"/>
      <c r="F29" s="720"/>
      <c r="G29" s="230" t="s">
        <v>143</v>
      </c>
      <c r="H29" s="231" t="str">
        <f t="shared" si="22"/>
        <v>+40</v>
      </c>
      <c r="I29" s="231">
        <v>3</v>
      </c>
      <c r="J29" s="231">
        <v>3</v>
      </c>
      <c r="K29" s="232">
        <v>4</v>
      </c>
      <c r="L29" s="231">
        <v>2</v>
      </c>
      <c r="M29" s="231">
        <v>2</v>
      </c>
      <c r="N29" s="233">
        <v>1</v>
      </c>
      <c r="O29" s="231">
        <v>2</v>
      </c>
      <c r="P29" s="233">
        <v>1</v>
      </c>
      <c r="Q29" s="231">
        <v>3</v>
      </c>
      <c r="R29" s="231">
        <v>4</v>
      </c>
      <c r="S29" s="232">
        <v>4</v>
      </c>
      <c r="T29" s="231">
        <v>2</v>
      </c>
      <c r="U29" s="233">
        <v>1</v>
      </c>
      <c r="V29" s="233">
        <v>1</v>
      </c>
      <c r="W29" s="231">
        <v>2</v>
      </c>
      <c r="X29" s="233">
        <v>1</v>
      </c>
      <c r="Y29" s="233">
        <v>1</v>
      </c>
      <c r="Z29" s="234">
        <v>3</v>
      </c>
    </row>
    <row r="30" spans="1:26" ht="14.45" customHeight="1">
      <c r="A30" s="721">
        <v>5</v>
      </c>
      <c r="B30" s="724">
        <v>44744</v>
      </c>
      <c r="C30" s="726">
        <v>0.27847222222222223</v>
      </c>
      <c r="D30" s="747" t="s">
        <v>156</v>
      </c>
      <c r="E30" s="747" t="s">
        <v>1846</v>
      </c>
      <c r="F30" s="717" t="s">
        <v>1847</v>
      </c>
      <c r="G30" s="221" t="s">
        <v>137</v>
      </c>
      <c r="H30" s="222">
        <f t="shared" si="0"/>
        <v>72</v>
      </c>
      <c r="I30" s="222">
        <v>4</v>
      </c>
      <c r="J30" s="222">
        <v>4</v>
      </c>
      <c r="K30" s="222">
        <v>5</v>
      </c>
      <c r="L30" s="222">
        <v>3</v>
      </c>
      <c r="M30" s="222">
        <v>4</v>
      </c>
      <c r="N30" s="222">
        <v>5</v>
      </c>
      <c r="O30" s="222">
        <v>3</v>
      </c>
      <c r="P30" s="222">
        <v>4</v>
      </c>
      <c r="Q30" s="222">
        <v>4</v>
      </c>
      <c r="R30" s="222">
        <v>4</v>
      </c>
      <c r="S30" s="222">
        <v>5</v>
      </c>
      <c r="T30" s="222">
        <v>4</v>
      </c>
      <c r="U30" s="222">
        <v>3</v>
      </c>
      <c r="V30" s="222">
        <v>4</v>
      </c>
      <c r="W30" s="222">
        <v>4</v>
      </c>
      <c r="X30" s="222">
        <v>5</v>
      </c>
      <c r="Y30" s="222">
        <v>3</v>
      </c>
      <c r="Z30" s="223">
        <v>4</v>
      </c>
    </row>
    <row r="31" spans="1:26" ht="14.45" customHeight="1">
      <c r="A31" s="722"/>
      <c r="B31" s="725"/>
      <c r="C31" s="727"/>
      <c r="D31" s="719"/>
      <c r="E31" s="719"/>
      <c r="F31" s="718"/>
      <c r="G31" s="224" t="s">
        <v>160</v>
      </c>
      <c r="H31" s="225">
        <f t="shared" si="0"/>
        <v>5820</v>
      </c>
      <c r="I31" s="226">
        <v>340</v>
      </c>
      <c r="J31" s="226">
        <v>323</v>
      </c>
      <c r="K31" s="226">
        <v>498</v>
      </c>
      <c r="L31" s="226">
        <v>120</v>
      </c>
      <c r="M31" s="226">
        <v>301</v>
      </c>
      <c r="N31" s="226">
        <v>442</v>
      </c>
      <c r="O31" s="226">
        <v>167</v>
      </c>
      <c r="P31" s="226">
        <v>356</v>
      </c>
      <c r="Q31" s="226">
        <v>380</v>
      </c>
      <c r="R31" s="226">
        <v>297</v>
      </c>
      <c r="S31" s="226">
        <v>482</v>
      </c>
      <c r="T31" s="226">
        <v>349</v>
      </c>
      <c r="U31" s="226">
        <v>134</v>
      </c>
      <c r="V31" s="226">
        <v>326</v>
      </c>
      <c r="W31" s="226">
        <v>351</v>
      </c>
      <c r="X31" s="226">
        <v>431</v>
      </c>
      <c r="Y31" s="226">
        <v>136</v>
      </c>
      <c r="Z31" s="227">
        <v>387</v>
      </c>
    </row>
    <row r="32" spans="1:26" ht="14.45" customHeight="1">
      <c r="A32" s="722"/>
      <c r="B32" s="719"/>
      <c r="C32" s="727"/>
      <c r="D32" s="719"/>
      <c r="E32" s="719"/>
      <c r="F32" s="719"/>
      <c r="G32" s="224" t="s">
        <v>138</v>
      </c>
      <c r="H32" s="228" t="str">
        <f t="shared" si="1"/>
        <v>N/A</v>
      </c>
      <c r="I32" s="226" t="s">
        <v>2</v>
      </c>
      <c r="J32" s="226" t="s">
        <v>2</v>
      </c>
      <c r="K32" s="226" t="s">
        <v>2</v>
      </c>
      <c r="L32" s="226" t="s">
        <v>2</v>
      </c>
      <c r="M32" s="226" t="s">
        <v>2</v>
      </c>
      <c r="N32" s="226" t="s">
        <v>2</v>
      </c>
      <c r="O32" s="226" t="s">
        <v>2</v>
      </c>
      <c r="P32" s="226" t="s">
        <v>2</v>
      </c>
      <c r="Q32" s="226" t="s">
        <v>2</v>
      </c>
      <c r="R32" s="226" t="s">
        <v>2</v>
      </c>
      <c r="S32" s="226" t="s">
        <v>2</v>
      </c>
      <c r="T32" s="226" t="s">
        <v>2</v>
      </c>
      <c r="U32" s="226" t="s">
        <v>2</v>
      </c>
      <c r="V32" s="226" t="s">
        <v>2</v>
      </c>
      <c r="W32" s="226" t="s">
        <v>2</v>
      </c>
      <c r="X32" s="226" t="s">
        <v>2</v>
      </c>
      <c r="Y32" s="226" t="s">
        <v>2</v>
      </c>
      <c r="Z32" s="227" t="s">
        <v>2</v>
      </c>
    </row>
    <row r="33" spans="1:26" ht="14.45" customHeight="1">
      <c r="A33" s="722"/>
      <c r="B33" s="719"/>
      <c r="C33" s="727"/>
      <c r="D33" s="719"/>
      <c r="E33" s="719"/>
      <c r="F33" s="719"/>
      <c r="G33" s="224" t="s">
        <v>145</v>
      </c>
      <c r="H33" s="228" t="str">
        <f t="shared" ref="H33" si="77">IFERROR(IF(I34="N/A","N/A",COUNTIF(I33:Z33,"Y")/(COUNTIF(I33:Z33,"Y")+COUNTIF(I33:Z33,"N"))),"N/A")</f>
        <v>N/A</v>
      </c>
      <c r="I33" s="226" t="s">
        <v>2</v>
      </c>
      <c r="J33" s="226" t="s">
        <v>2</v>
      </c>
      <c r="K33" s="226" t="s">
        <v>2</v>
      </c>
      <c r="L33" s="226" t="s">
        <v>2</v>
      </c>
      <c r="M33" s="226" t="s">
        <v>2</v>
      </c>
      <c r="N33" s="226" t="s">
        <v>2</v>
      </c>
      <c r="O33" s="226" t="s">
        <v>2</v>
      </c>
      <c r="P33" s="226" t="s">
        <v>2</v>
      </c>
      <c r="Q33" s="226" t="s">
        <v>2</v>
      </c>
      <c r="R33" s="226" t="s">
        <v>2</v>
      </c>
      <c r="S33" s="226" t="s">
        <v>2</v>
      </c>
      <c r="T33" s="226" t="s">
        <v>2</v>
      </c>
      <c r="U33" s="226" t="s">
        <v>2</v>
      </c>
      <c r="V33" s="226" t="s">
        <v>2</v>
      </c>
      <c r="W33" s="226" t="s">
        <v>2</v>
      </c>
      <c r="X33" s="226" t="s">
        <v>2</v>
      </c>
      <c r="Y33" s="226" t="s">
        <v>2</v>
      </c>
      <c r="Z33" s="227" t="s">
        <v>2</v>
      </c>
    </row>
    <row r="34" spans="1:26" ht="14.45" customHeight="1">
      <c r="A34" s="722"/>
      <c r="B34" s="719"/>
      <c r="C34" s="727"/>
      <c r="D34" s="719"/>
      <c r="E34" s="719"/>
      <c r="F34" s="719"/>
      <c r="G34" s="224" t="s">
        <v>139</v>
      </c>
      <c r="H34" s="226" t="str">
        <f t="shared" si="3"/>
        <v>N/A</v>
      </c>
      <c r="I34" s="226" t="s">
        <v>3</v>
      </c>
      <c r="J34" s="226" t="s">
        <v>3</v>
      </c>
      <c r="K34" s="226" t="s">
        <v>3</v>
      </c>
      <c r="L34" s="226" t="s">
        <v>3</v>
      </c>
      <c r="M34" s="226" t="s">
        <v>3</v>
      </c>
      <c r="N34" s="226" t="s">
        <v>3</v>
      </c>
      <c r="O34" s="226" t="s">
        <v>3</v>
      </c>
      <c r="P34" s="226" t="s">
        <v>3</v>
      </c>
      <c r="Q34" s="226" t="s">
        <v>3</v>
      </c>
      <c r="R34" s="226" t="s">
        <v>3</v>
      </c>
      <c r="S34" s="226" t="s">
        <v>3</v>
      </c>
      <c r="T34" s="226" t="s">
        <v>3</v>
      </c>
      <c r="U34" s="226" t="s">
        <v>3</v>
      </c>
      <c r="V34" s="226" t="s">
        <v>3</v>
      </c>
      <c r="W34" s="226" t="s">
        <v>3</v>
      </c>
      <c r="X34" s="226" t="s">
        <v>3</v>
      </c>
      <c r="Y34" s="226" t="s">
        <v>3</v>
      </c>
      <c r="Z34" s="227" t="s">
        <v>3</v>
      </c>
    </row>
    <row r="35" spans="1:26" ht="14.45" customHeight="1">
      <c r="A35" s="722"/>
      <c r="B35" s="719"/>
      <c r="C35" s="727"/>
      <c r="D35" s="719"/>
      <c r="E35" s="719"/>
      <c r="F35" s="719"/>
      <c r="G35" s="224" t="s">
        <v>67</v>
      </c>
      <c r="H35" s="229">
        <f t="shared" si="4"/>
        <v>107</v>
      </c>
      <c r="I35" s="226">
        <f>IF(I36="","",I30+I36)</f>
        <v>4</v>
      </c>
      <c r="J35" s="226">
        <f t="shared" ref="J35" si="78">IF(J36="","",J30+J36)</f>
        <v>7</v>
      </c>
      <c r="K35" s="226">
        <f t="shared" ref="K35" si="79">IF(K36="","",K30+K36)</f>
        <v>9</v>
      </c>
      <c r="L35" s="226">
        <f t="shared" ref="L35" si="80">IF(L36="","",L30+L36)</f>
        <v>4</v>
      </c>
      <c r="M35" s="226">
        <f t="shared" ref="M35" si="81">IF(M36="","",M30+M36)</f>
        <v>4</v>
      </c>
      <c r="N35" s="226">
        <f t="shared" ref="N35" si="82">IF(N36="","",N30+N36)</f>
        <v>7</v>
      </c>
      <c r="O35" s="226">
        <f t="shared" ref="O35" si="83">IF(O36="","",O30+O36)</f>
        <v>5</v>
      </c>
      <c r="P35" s="226">
        <f t="shared" ref="P35" si="84">IF(P36="","",P30+P36)</f>
        <v>7</v>
      </c>
      <c r="Q35" s="226">
        <f t="shared" ref="Q35" si="85">IF(Q36="","",Q30+Q36)</f>
        <v>4</v>
      </c>
      <c r="R35" s="226">
        <f t="shared" ref="R35" si="86">IF(R36="","",R30+R36)</f>
        <v>7</v>
      </c>
      <c r="S35" s="226">
        <f t="shared" ref="S35" si="87">IF(S36="","",S30+S36)</f>
        <v>7</v>
      </c>
      <c r="T35" s="226">
        <f t="shared" ref="T35" si="88">IF(T36="","",T30+T36)</f>
        <v>6</v>
      </c>
      <c r="U35" s="226">
        <f t="shared" ref="U35" si="89">IF(U36="","",U30+U36)</f>
        <v>5</v>
      </c>
      <c r="V35" s="226">
        <f t="shared" ref="V35" si="90">IF(V36="","",V30+V36)</f>
        <v>4</v>
      </c>
      <c r="W35" s="226">
        <f t="shared" ref="W35" si="91">IF(W36="","",W30+W36)</f>
        <v>7</v>
      </c>
      <c r="X35" s="226">
        <f t="shared" ref="X35" si="92">IF(X36="","",X30+X36)</f>
        <v>7</v>
      </c>
      <c r="Y35" s="226">
        <f t="shared" ref="Y35" si="93">IF(Y36="","",Y30+Y36)</f>
        <v>5</v>
      </c>
      <c r="Z35" s="227">
        <f t="shared" ref="Z35" si="94">IF(Z36="","",Z30+Z36)</f>
        <v>8</v>
      </c>
    </row>
    <row r="36" spans="1:26" ht="14.45" customHeight="1">
      <c r="A36" s="723"/>
      <c r="B36" s="720"/>
      <c r="C36" s="728"/>
      <c r="D36" s="720"/>
      <c r="E36" s="720"/>
      <c r="F36" s="720"/>
      <c r="G36" s="230" t="s">
        <v>143</v>
      </c>
      <c r="H36" s="231" t="str">
        <f t="shared" si="22"/>
        <v>+35</v>
      </c>
      <c r="I36" s="237">
        <v>0</v>
      </c>
      <c r="J36" s="231">
        <v>3</v>
      </c>
      <c r="K36" s="231">
        <v>4</v>
      </c>
      <c r="L36" s="233">
        <v>1</v>
      </c>
      <c r="M36" s="235">
        <v>0</v>
      </c>
      <c r="N36" s="231">
        <v>2</v>
      </c>
      <c r="O36" s="231">
        <v>2</v>
      </c>
      <c r="P36" s="231">
        <v>3</v>
      </c>
      <c r="Q36" s="235">
        <v>0</v>
      </c>
      <c r="R36" s="231">
        <v>3</v>
      </c>
      <c r="S36" s="231">
        <v>2</v>
      </c>
      <c r="T36" s="231">
        <v>2</v>
      </c>
      <c r="U36" s="231">
        <v>2</v>
      </c>
      <c r="V36" s="235">
        <v>0</v>
      </c>
      <c r="W36" s="231">
        <v>3</v>
      </c>
      <c r="X36" s="231">
        <v>2</v>
      </c>
      <c r="Y36" s="231">
        <v>2</v>
      </c>
      <c r="Z36" s="238">
        <v>4</v>
      </c>
    </row>
    <row r="37" spans="1:26" ht="14.45" customHeight="1">
      <c r="A37" s="721">
        <v>6</v>
      </c>
      <c r="B37" s="724">
        <v>44772</v>
      </c>
      <c r="C37" s="726">
        <v>0.2638888888888889</v>
      </c>
      <c r="D37" s="747" t="s">
        <v>151</v>
      </c>
      <c r="E37" s="747" t="s">
        <v>161</v>
      </c>
      <c r="F37" s="717" t="s">
        <v>1848</v>
      </c>
      <c r="G37" s="221" t="s">
        <v>137</v>
      </c>
      <c r="H37" s="222">
        <f t="shared" si="0"/>
        <v>72</v>
      </c>
      <c r="I37" s="222">
        <v>4</v>
      </c>
      <c r="J37" s="222">
        <v>5</v>
      </c>
      <c r="K37" s="222">
        <v>3</v>
      </c>
      <c r="L37" s="222">
        <v>4</v>
      </c>
      <c r="M37" s="222">
        <v>4</v>
      </c>
      <c r="N37" s="222">
        <v>5</v>
      </c>
      <c r="O37" s="222">
        <v>3</v>
      </c>
      <c r="P37" s="222">
        <v>4</v>
      </c>
      <c r="Q37" s="222">
        <v>4</v>
      </c>
      <c r="R37" s="222">
        <v>5</v>
      </c>
      <c r="S37" s="222">
        <v>4</v>
      </c>
      <c r="T37" s="222">
        <v>3</v>
      </c>
      <c r="U37" s="222">
        <v>4</v>
      </c>
      <c r="V37" s="222">
        <v>4</v>
      </c>
      <c r="W37" s="222">
        <v>4</v>
      </c>
      <c r="X37" s="222">
        <v>3</v>
      </c>
      <c r="Y37" s="222">
        <v>4</v>
      </c>
      <c r="Z37" s="223">
        <v>5</v>
      </c>
    </row>
    <row r="38" spans="1:26" ht="14.45" customHeight="1">
      <c r="A38" s="722"/>
      <c r="B38" s="725"/>
      <c r="C38" s="727"/>
      <c r="D38" s="719"/>
      <c r="E38" s="719"/>
      <c r="F38" s="718"/>
      <c r="G38" s="224" t="s">
        <v>160</v>
      </c>
      <c r="H38" s="225">
        <f t="shared" si="0"/>
        <v>5761</v>
      </c>
      <c r="I38" s="226">
        <v>347</v>
      </c>
      <c r="J38" s="226">
        <v>453</v>
      </c>
      <c r="K38" s="226">
        <v>173</v>
      </c>
      <c r="L38" s="226">
        <v>333</v>
      </c>
      <c r="M38" s="226">
        <v>294</v>
      </c>
      <c r="N38" s="226">
        <v>470</v>
      </c>
      <c r="O38" s="226">
        <v>148</v>
      </c>
      <c r="P38" s="226">
        <v>381</v>
      </c>
      <c r="Q38" s="226">
        <v>322</v>
      </c>
      <c r="R38" s="226">
        <v>452</v>
      </c>
      <c r="S38" s="226">
        <v>322</v>
      </c>
      <c r="T38" s="226">
        <v>140</v>
      </c>
      <c r="U38" s="226">
        <v>300</v>
      </c>
      <c r="V38" s="226">
        <v>302</v>
      </c>
      <c r="W38" s="226">
        <v>362</v>
      </c>
      <c r="X38" s="226">
        <v>128</v>
      </c>
      <c r="Y38" s="226">
        <v>344</v>
      </c>
      <c r="Z38" s="227">
        <v>490</v>
      </c>
    </row>
    <row r="39" spans="1:26" ht="14.45" customHeight="1">
      <c r="A39" s="722"/>
      <c r="B39" s="719"/>
      <c r="C39" s="727"/>
      <c r="D39" s="719"/>
      <c r="E39" s="719"/>
      <c r="F39" s="719"/>
      <c r="G39" s="224" t="s">
        <v>138</v>
      </c>
      <c r="H39" s="228" t="str">
        <f t="shared" si="1"/>
        <v>N/A</v>
      </c>
      <c r="I39" s="226" t="s">
        <v>2</v>
      </c>
      <c r="J39" s="226" t="s">
        <v>2</v>
      </c>
      <c r="K39" s="226" t="s">
        <v>2</v>
      </c>
      <c r="L39" s="226" t="s">
        <v>2</v>
      </c>
      <c r="M39" s="226" t="s">
        <v>2</v>
      </c>
      <c r="N39" s="226" t="s">
        <v>2</v>
      </c>
      <c r="O39" s="226" t="s">
        <v>2</v>
      </c>
      <c r="P39" s="226" t="s">
        <v>2</v>
      </c>
      <c r="Q39" s="226" t="s">
        <v>2</v>
      </c>
      <c r="R39" s="226" t="s">
        <v>2</v>
      </c>
      <c r="S39" s="226" t="s">
        <v>2</v>
      </c>
      <c r="T39" s="226" t="s">
        <v>2</v>
      </c>
      <c r="U39" s="226" t="s">
        <v>2</v>
      </c>
      <c r="V39" s="226" t="s">
        <v>2</v>
      </c>
      <c r="W39" s="226" t="s">
        <v>2</v>
      </c>
      <c r="X39" s="226" t="s">
        <v>2</v>
      </c>
      <c r="Y39" s="226" t="s">
        <v>2</v>
      </c>
      <c r="Z39" s="227" t="s">
        <v>2</v>
      </c>
    </row>
    <row r="40" spans="1:26" ht="14.45" customHeight="1">
      <c r="A40" s="722"/>
      <c r="B40" s="719"/>
      <c r="C40" s="727"/>
      <c r="D40" s="719"/>
      <c r="E40" s="719"/>
      <c r="F40" s="719"/>
      <c r="G40" s="224" t="s">
        <v>145</v>
      </c>
      <c r="H40" s="228" t="str">
        <f t="shared" ref="H40" si="95">IFERROR(IF(I41="N/A","N/A",COUNTIF(I40:Z40,"Y")/(COUNTIF(I40:Z40,"Y")+COUNTIF(I40:Z40,"N"))),"N/A")</f>
        <v>N/A</v>
      </c>
      <c r="I40" s="226" t="s">
        <v>2</v>
      </c>
      <c r="J40" s="226" t="s">
        <v>2</v>
      </c>
      <c r="K40" s="226" t="s">
        <v>2</v>
      </c>
      <c r="L40" s="226" t="s">
        <v>2</v>
      </c>
      <c r="M40" s="226" t="s">
        <v>2</v>
      </c>
      <c r="N40" s="226" t="s">
        <v>2</v>
      </c>
      <c r="O40" s="226" t="s">
        <v>2</v>
      </c>
      <c r="P40" s="226" t="s">
        <v>2</v>
      </c>
      <c r="Q40" s="226" t="s">
        <v>2</v>
      </c>
      <c r="R40" s="226" t="s">
        <v>2</v>
      </c>
      <c r="S40" s="226" t="s">
        <v>2</v>
      </c>
      <c r="T40" s="226" t="s">
        <v>2</v>
      </c>
      <c r="U40" s="226" t="s">
        <v>2</v>
      </c>
      <c r="V40" s="226" t="s">
        <v>2</v>
      </c>
      <c r="W40" s="226" t="s">
        <v>2</v>
      </c>
      <c r="X40" s="226" t="s">
        <v>2</v>
      </c>
      <c r="Y40" s="226" t="s">
        <v>2</v>
      </c>
      <c r="Z40" s="227" t="s">
        <v>2</v>
      </c>
    </row>
    <row r="41" spans="1:26" ht="14.45" customHeight="1">
      <c r="A41" s="722"/>
      <c r="B41" s="719"/>
      <c r="C41" s="727"/>
      <c r="D41" s="719"/>
      <c r="E41" s="719"/>
      <c r="F41" s="719"/>
      <c r="G41" s="224" t="s">
        <v>139</v>
      </c>
      <c r="H41" s="226" t="str">
        <f t="shared" si="3"/>
        <v>N/A</v>
      </c>
      <c r="I41" s="226" t="s">
        <v>3</v>
      </c>
      <c r="J41" s="226" t="s">
        <v>3</v>
      </c>
      <c r="K41" s="226" t="s">
        <v>3</v>
      </c>
      <c r="L41" s="226" t="s">
        <v>3</v>
      </c>
      <c r="M41" s="226" t="s">
        <v>3</v>
      </c>
      <c r="N41" s="226" t="s">
        <v>3</v>
      </c>
      <c r="O41" s="226" t="s">
        <v>3</v>
      </c>
      <c r="P41" s="226" t="s">
        <v>3</v>
      </c>
      <c r="Q41" s="226" t="s">
        <v>3</v>
      </c>
      <c r="R41" s="226" t="s">
        <v>3</v>
      </c>
      <c r="S41" s="226" t="s">
        <v>3</v>
      </c>
      <c r="T41" s="226" t="s">
        <v>3</v>
      </c>
      <c r="U41" s="226" t="s">
        <v>3</v>
      </c>
      <c r="V41" s="226" t="s">
        <v>3</v>
      </c>
      <c r="W41" s="226" t="s">
        <v>3</v>
      </c>
      <c r="X41" s="226" t="s">
        <v>3</v>
      </c>
      <c r="Y41" s="226" t="s">
        <v>3</v>
      </c>
      <c r="Z41" s="227" t="s">
        <v>3</v>
      </c>
    </row>
    <row r="42" spans="1:26" ht="14.45" customHeight="1">
      <c r="A42" s="722"/>
      <c r="B42" s="719"/>
      <c r="C42" s="727"/>
      <c r="D42" s="719"/>
      <c r="E42" s="719"/>
      <c r="F42" s="719"/>
      <c r="G42" s="224" t="s">
        <v>67</v>
      </c>
      <c r="H42" s="229">
        <f t="shared" si="4"/>
        <v>103</v>
      </c>
      <c r="I42" s="226">
        <f>IF(I43="","",I37+I43)</f>
        <v>4</v>
      </c>
      <c r="J42" s="226">
        <f t="shared" ref="J42" si="96">IF(J43="","",J37+J43)</f>
        <v>8</v>
      </c>
      <c r="K42" s="226">
        <f t="shared" ref="K42" si="97">IF(K43="","",K37+K43)</f>
        <v>5</v>
      </c>
      <c r="L42" s="226">
        <f t="shared" ref="L42" si="98">IF(L43="","",L37+L43)</f>
        <v>7</v>
      </c>
      <c r="M42" s="226">
        <f t="shared" ref="M42" si="99">IF(M43="","",M37+M43)</f>
        <v>6</v>
      </c>
      <c r="N42" s="226">
        <f t="shared" ref="N42" si="100">IF(N43="","",N37+N43)</f>
        <v>6</v>
      </c>
      <c r="O42" s="226">
        <f t="shared" ref="O42" si="101">IF(O43="","",O37+O43)</f>
        <v>5</v>
      </c>
      <c r="P42" s="226">
        <f t="shared" ref="P42" si="102">IF(P43="","",P37+P43)</f>
        <v>6</v>
      </c>
      <c r="Q42" s="226">
        <f t="shared" ref="Q42" si="103">IF(Q43="","",Q37+Q43)</f>
        <v>5</v>
      </c>
      <c r="R42" s="226">
        <f t="shared" ref="R42" si="104">IF(R43="","",R37+R43)</f>
        <v>7</v>
      </c>
      <c r="S42" s="226">
        <f t="shared" ref="S42" si="105">IF(S43="","",S37+S43)</f>
        <v>6</v>
      </c>
      <c r="T42" s="226">
        <f t="shared" ref="T42" si="106">IF(T43="","",T37+T43)</f>
        <v>6</v>
      </c>
      <c r="U42" s="226">
        <f t="shared" ref="U42" si="107">IF(U43="","",U37+U43)</f>
        <v>5</v>
      </c>
      <c r="V42" s="226">
        <f t="shared" ref="V42" si="108">IF(V43="","",V37+V43)</f>
        <v>5</v>
      </c>
      <c r="W42" s="226">
        <f t="shared" ref="W42" si="109">IF(W43="","",W37+W43)</f>
        <v>6</v>
      </c>
      <c r="X42" s="226">
        <f t="shared" ref="X42" si="110">IF(X43="","",X37+X43)</f>
        <v>4</v>
      </c>
      <c r="Y42" s="226">
        <f t="shared" ref="Y42" si="111">IF(Y43="","",Y37+Y43)</f>
        <v>6</v>
      </c>
      <c r="Z42" s="227">
        <f t="shared" ref="Z42" si="112">IF(Z43="","",Z37+Z43)</f>
        <v>6</v>
      </c>
    </row>
    <row r="43" spans="1:26" ht="14.45" customHeight="1">
      <c r="A43" s="723"/>
      <c r="B43" s="720"/>
      <c r="C43" s="728"/>
      <c r="D43" s="720"/>
      <c r="E43" s="720"/>
      <c r="F43" s="720"/>
      <c r="G43" s="230" t="s">
        <v>143</v>
      </c>
      <c r="H43" s="231" t="str">
        <f t="shared" si="22"/>
        <v>+31</v>
      </c>
      <c r="I43" s="237">
        <v>0</v>
      </c>
      <c r="J43" s="231">
        <v>3</v>
      </c>
      <c r="K43" s="231">
        <v>2</v>
      </c>
      <c r="L43" s="231">
        <v>3</v>
      </c>
      <c r="M43" s="231">
        <v>2</v>
      </c>
      <c r="N43" s="233">
        <v>1</v>
      </c>
      <c r="O43" s="231">
        <v>2</v>
      </c>
      <c r="P43" s="231">
        <v>2</v>
      </c>
      <c r="Q43" s="233">
        <v>1</v>
      </c>
      <c r="R43" s="231">
        <v>2</v>
      </c>
      <c r="S43" s="231">
        <v>2</v>
      </c>
      <c r="T43" s="232">
        <v>3</v>
      </c>
      <c r="U43" s="233">
        <v>1</v>
      </c>
      <c r="V43" s="233">
        <v>1</v>
      </c>
      <c r="W43" s="231">
        <v>2</v>
      </c>
      <c r="X43" s="233">
        <v>1</v>
      </c>
      <c r="Y43" s="231">
        <v>2</v>
      </c>
      <c r="Z43" s="236">
        <v>1</v>
      </c>
    </row>
    <row r="44" spans="1:26" ht="14.45" customHeight="1">
      <c r="A44" s="721">
        <v>7</v>
      </c>
      <c r="B44" s="724">
        <v>44778</v>
      </c>
      <c r="C44" s="726">
        <v>0.61944444444444446</v>
      </c>
      <c r="D44" s="747" t="s">
        <v>1849</v>
      </c>
      <c r="E44" s="747" t="s">
        <v>1850</v>
      </c>
      <c r="F44" s="717" t="s">
        <v>1851</v>
      </c>
      <c r="G44" s="221" t="s">
        <v>137</v>
      </c>
      <c r="H44" s="222">
        <f t="shared" si="0"/>
        <v>72</v>
      </c>
      <c r="I44" s="222">
        <v>4</v>
      </c>
      <c r="J44" s="222">
        <v>4</v>
      </c>
      <c r="K44" s="222">
        <v>4</v>
      </c>
      <c r="L44" s="222">
        <v>5</v>
      </c>
      <c r="M44" s="222">
        <v>3</v>
      </c>
      <c r="N44" s="222">
        <v>4</v>
      </c>
      <c r="O44" s="222">
        <v>4</v>
      </c>
      <c r="P44" s="222">
        <v>3</v>
      </c>
      <c r="Q44" s="222">
        <v>5</v>
      </c>
      <c r="R44" s="222">
        <v>4</v>
      </c>
      <c r="S44" s="222">
        <v>4</v>
      </c>
      <c r="T44" s="222">
        <v>3</v>
      </c>
      <c r="U44" s="222">
        <v>5</v>
      </c>
      <c r="V44" s="222">
        <v>4</v>
      </c>
      <c r="W44" s="222">
        <v>3</v>
      </c>
      <c r="X44" s="222">
        <v>5</v>
      </c>
      <c r="Y44" s="222">
        <v>4</v>
      </c>
      <c r="Z44" s="223">
        <v>4</v>
      </c>
    </row>
    <row r="45" spans="1:26" ht="14.45" customHeight="1">
      <c r="A45" s="722"/>
      <c r="B45" s="725"/>
      <c r="C45" s="727"/>
      <c r="D45" s="719"/>
      <c r="E45" s="719"/>
      <c r="F45" s="718"/>
      <c r="G45" s="224" t="s">
        <v>160</v>
      </c>
      <c r="H45" s="225">
        <f t="shared" si="0"/>
        <v>5768</v>
      </c>
      <c r="I45" s="226">
        <v>316</v>
      </c>
      <c r="J45" s="226">
        <v>322</v>
      </c>
      <c r="K45" s="226">
        <v>340</v>
      </c>
      <c r="L45" s="226">
        <v>480</v>
      </c>
      <c r="M45" s="226">
        <v>146</v>
      </c>
      <c r="N45" s="226">
        <v>312</v>
      </c>
      <c r="O45" s="226">
        <v>378</v>
      </c>
      <c r="P45" s="226">
        <v>126</v>
      </c>
      <c r="Q45" s="226">
        <v>460</v>
      </c>
      <c r="R45" s="226">
        <v>346</v>
      </c>
      <c r="S45" s="226">
        <v>334</v>
      </c>
      <c r="T45" s="226">
        <v>161</v>
      </c>
      <c r="U45" s="226">
        <v>472</v>
      </c>
      <c r="V45" s="226">
        <v>283</v>
      </c>
      <c r="W45" s="226">
        <v>127</v>
      </c>
      <c r="X45" s="226">
        <v>479</v>
      </c>
      <c r="Y45" s="226">
        <v>330</v>
      </c>
      <c r="Z45" s="227">
        <v>356</v>
      </c>
    </row>
    <row r="46" spans="1:26" ht="14.45" customHeight="1">
      <c r="A46" s="722"/>
      <c r="B46" s="719"/>
      <c r="C46" s="727"/>
      <c r="D46" s="719"/>
      <c r="E46" s="719"/>
      <c r="F46" s="719"/>
      <c r="G46" s="224" t="s">
        <v>138</v>
      </c>
      <c r="H46" s="228" t="str">
        <f t="shared" si="1"/>
        <v>N/A</v>
      </c>
      <c r="I46" s="226" t="s">
        <v>2</v>
      </c>
      <c r="J46" s="226" t="s">
        <v>2</v>
      </c>
      <c r="K46" s="226" t="s">
        <v>2</v>
      </c>
      <c r="L46" s="226" t="s">
        <v>2</v>
      </c>
      <c r="M46" s="226" t="s">
        <v>2</v>
      </c>
      <c r="N46" s="226" t="s">
        <v>2</v>
      </c>
      <c r="O46" s="226" t="s">
        <v>2</v>
      </c>
      <c r="P46" s="226" t="s">
        <v>2</v>
      </c>
      <c r="Q46" s="226" t="s">
        <v>2</v>
      </c>
      <c r="R46" s="226" t="s">
        <v>2</v>
      </c>
      <c r="S46" s="226" t="s">
        <v>2</v>
      </c>
      <c r="T46" s="226" t="s">
        <v>2</v>
      </c>
      <c r="U46" s="226" t="s">
        <v>2</v>
      </c>
      <c r="V46" s="226" t="s">
        <v>2</v>
      </c>
      <c r="W46" s="226" t="s">
        <v>2</v>
      </c>
      <c r="X46" s="226" t="s">
        <v>2</v>
      </c>
      <c r="Y46" s="226" t="s">
        <v>2</v>
      </c>
      <c r="Z46" s="227" t="s">
        <v>2</v>
      </c>
    </row>
    <row r="47" spans="1:26" ht="14.45" customHeight="1">
      <c r="A47" s="722"/>
      <c r="B47" s="719"/>
      <c r="C47" s="727"/>
      <c r="D47" s="719"/>
      <c r="E47" s="719"/>
      <c r="F47" s="719"/>
      <c r="G47" s="224" t="s">
        <v>145</v>
      </c>
      <c r="H47" s="228" t="str">
        <f t="shared" ref="H47" si="113">IFERROR(IF(I48="N/A","N/A",COUNTIF(I47:Z47,"Y")/(COUNTIF(I47:Z47,"Y")+COUNTIF(I47:Z47,"N"))),"N/A")</f>
        <v>N/A</v>
      </c>
      <c r="I47" s="226" t="s">
        <v>2</v>
      </c>
      <c r="J47" s="226" t="s">
        <v>2</v>
      </c>
      <c r="K47" s="226" t="s">
        <v>2</v>
      </c>
      <c r="L47" s="226" t="s">
        <v>2</v>
      </c>
      <c r="M47" s="226" t="s">
        <v>2</v>
      </c>
      <c r="N47" s="226" t="s">
        <v>2</v>
      </c>
      <c r="O47" s="226" t="s">
        <v>2</v>
      </c>
      <c r="P47" s="226" t="s">
        <v>2</v>
      </c>
      <c r="Q47" s="226" t="s">
        <v>2</v>
      </c>
      <c r="R47" s="226" t="s">
        <v>2</v>
      </c>
      <c r="S47" s="226" t="s">
        <v>2</v>
      </c>
      <c r="T47" s="226" t="s">
        <v>2</v>
      </c>
      <c r="U47" s="226" t="s">
        <v>2</v>
      </c>
      <c r="V47" s="226" t="s">
        <v>2</v>
      </c>
      <c r="W47" s="226" t="s">
        <v>2</v>
      </c>
      <c r="X47" s="226" t="s">
        <v>2</v>
      </c>
      <c r="Y47" s="226" t="s">
        <v>2</v>
      </c>
      <c r="Z47" s="227" t="s">
        <v>2</v>
      </c>
    </row>
    <row r="48" spans="1:26" ht="14.45" customHeight="1">
      <c r="A48" s="722"/>
      <c r="B48" s="719"/>
      <c r="C48" s="727"/>
      <c r="D48" s="719"/>
      <c r="E48" s="719"/>
      <c r="F48" s="719"/>
      <c r="G48" s="224" t="s">
        <v>139</v>
      </c>
      <c r="H48" s="226" t="str">
        <f t="shared" si="3"/>
        <v>N/A</v>
      </c>
      <c r="I48" s="226" t="s">
        <v>3</v>
      </c>
      <c r="J48" s="226" t="s">
        <v>3</v>
      </c>
      <c r="K48" s="226" t="s">
        <v>3</v>
      </c>
      <c r="L48" s="226" t="s">
        <v>3</v>
      </c>
      <c r="M48" s="226" t="s">
        <v>3</v>
      </c>
      <c r="N48" s="226" t="s">
        <v>3</v>
      </c>
      <c r="O48" s="226" t="s">
        <v>3</v>
      </c>
      <c r="P48" s="226" t="s">
        <v>3</v>
      </c>
      <c r="Q48" s="226" t="s">
        <v>3</v>
      </c>
      <c r="R48" s="226" t="s">
        <v>3</v>
      </c>
      <c r="S48" s="226" t="s">
        <v>3</v>
      </c>
      <c r="T48" s="226" t="s">
        <v>3</v>
      </c>
      <c r="U48" s="226" t="s">
        <v>3</v>
      </c>
      <c r="V48" s="226" t="s">
        <v>3</v>
      </c>
      <c r="W48" s="226" t="s">
        <v>3</v>
      </c>
      <c r="X48" s="226" t="s">
        <v>3</v>
      </c>
      <c r="Y48" s="226" t="s">
        <v>3</v>
      </c>
      <c r="Z48" s="227" t="s">
        <v>3</v>
      </c>
    </row>
    <row r="49" spans="1:26" ht="14.45" customHeight="1">
      <c r="A49" s="722"/>
      <c r="B49" s="719"/>
      <c r="C49" s="727"/>
      <c r="D49" s="719"/>
      <c r="E49" s="719"/>
      <c r="F49" s="719"/>
      <c r="G49" s="224" t="s">
        <v>67</v>
      </c>
      <c r="H49" s="229">
        <f t="shared" si="4"/>
        <v>106</v>
      </c>
      <c r="I49" s="226">
        <f>IF(I50="","",I44+I50)</f>
        <v>6</v>
      </c>
      <c r="J49" s="226">
        <f t="shared" ref="J49" si="114">IF(J50="","",J44+J50)</f>
        <v>6</v>
      </c>
      <c r="K49" s="226">
        <f t="shared" ref="K49" si="115">IF(K50="","",K44+K50)</f>
        <v>7</v>
      </c>
      <c r="L49" s="226">
        <f t="shared" ref="L49" si="116">IF(L50="","",L44+L50)</f>
        <v>9</v>
      </c>
      <c r="M49" s="226">
        <f t="shared" ref="M49" si="117">IF(M50="","",M44+M50)</f>
        <v>4</v>
      </c>
      <c r="N49" s="226">
        <f t="shared" ref="N49" si="118">IF(N50="","",N44+N50)</f>
        <v>4</v>
      </c>
      <c r="O49" s="226">
        <f t="shared" ref="O49" si="119">IF(O50="","",O44+O50)</f>
        <v>6</v>
      </c>
      <c r="P49" s="226">
        <f t="shared" ref="P49" si="120">IF(P50="","",P44+P50)</f>
        <v>4</v>
      </c>
      <c r="Q49" s="226">
        <f t="shared" ref="Q49" si="121">IF(Q50="","",Q44+Q50)</f>
        <v>9</v>
      </c>
      <c r="R49" s="226">
        <f t="shared" ref="R49" si="122">IF(R50="","",R44+R50)</f>
        <v>7</v>
      </c>
      <c r="S49" s="226">
        <f t="shared" ref="S49" si="123">IF(S50="","",S44+S50)</f>
        <v>5</v>
      </c>
      <c r="T49" s="226">
        <f t="shared" ref="T49" si="124">IF(T50="","",T44+T50)</f>
        <v>5</v>
      </c>
      <c r="U49" s="226">
        <f t="shared" ref="U49" si="125">IF(U50="","",U44+U50)</f>
        <v>6</v>
      </c>
      <c r="V49" s="226">
        <f t="shared" ref="V49" si="126">IF(V50="","",V44+V50)</f>
        <v>5</v>
      </c>
      <c r="W49" s="226">
        <f t="shared" ref="W49" si="127">IF(W50="","",W44+W50)</f>
        <v>3</v>
      </c>
      <c r="X49" s="226">
        <f t="shared" ref="X49" si="128">IF(X50="","",X44+X50)</f>
        <v>8</v>
      </c>
      <c r="Y49" s="226">
        <f t="shared" ref="Y49" si="129">IF(Y50="","",Y44+Y50)</f>
        <v>5</v>
      </c>
      <c r="Z49" s="227">
        <f t="shared" ref="Z49" si="130">IF(Z50="","",Z44+Z50)</f>
        <v>7</v>
      </c>
    </row>
    <row r="50" spans="1:26" ht="14.45" customHeight="1">
      <c r="A50" s="723"/>
      <c r="B50" s="720"/>
      <c r="C50" s="728"/>
      <c r="D50" s="720"/>
      <c r="E50" s="720"/>
      <c r="F50" s="720"/>
      <c r="G50" s="230" t="s">
        <v>143</v>
      </c>
      <c r="H50" s="231" t="str">
        <f t="shared" si="22"/>
        <v>+34</v>
      </c>
      <c r="I50" s="231">
        <v>2</v>
      </c>
      <c r="J50" s="231">
        <v>2</v>
      </c>
      <c r="K50" s="231">
        <v>3</v>
      </c>
      <c r="L50" s="231">
        <v>4</v>
      </c>
      <c r="M50" s="233">
        <v>1</v>
      </c>
      <c r="N50" s="235">
        <v>0</v>
      </c>
      <c r="O50" s="231">
        <v>2</v>
      </c>
      <c r="P50" s="233">
        <v>1</v>
      </c>
      <c r="Q50" s="231">
        <v>4</v>
      </c>
      <c r="R50" s="231">
        <v>3</v>
      </c>
      <c r="S50" s="233">
        <v>1</v>
      </c>
      <c r="T50" s="231">
        <v>2</v>
      </c>
      <c r="U50" s="233">
        <v>1</v>
      </c>
      <c r="V50" s="233">
        <v>1</v>
      </c>
      <c r="W50" s="235">
        <v>0</v>
      </c>
      <c r="X50" s="231">
        <v>3</v>
      </c>
      <c r="Y50" s="233">
        <v>1</v>
      </c>
      <c r="Z50" s="234">
        <v>3</v>
      </c>
    </row>
    <row r="51" spans="1:26" ht="14.45" customHeight="1">
      <c r="A51" s="721">
        <v>8</v>
      </c>
      <c r="B51" s="724">
        <v>44812</v>
      </c>
      <c r="C51" s="726">
        <v>0.29444444444444445</v>
      </c>
      <c r="D51" s="747" t="s">
        <v>150</v>
      </c>
      <c r="E51" s="747" t="s">
        <v>1842</v>
      </c>
      <c r="F51" s="717" t="s">
        <v>1852</v>
      </c>
      <c r="G51" s="221" t="s">
        <v>137</v>
      </c>
      <c r="H51" s="222">
        <f t="shared" si="0"/>
        <v>72</v>
      </c>
      <c r="I51" s="222">
        <v>4</v>
      </c>
      <c r="J51" s="222">
        <v>4</v>
      </c>
      <c r="K51" s="222">
        <v>5</v>
      </c>
      <c r="L51" s="222">
        <v>4</v>
      </c>
      <c r="M51" s="222">
        <v>4</v>
      </c>
      <c r="N51" s="222">
        <v>3</v>
      </c>
      <c r="O51" s="222">
        <v>5</v>
      </c>
      <c r="P51" s="222">
        <v>3</v>
      </c>
      <c r="Q51" s="222">
        <v>4</v>
      </c>
      <c r="R51" s="222">
        <v>4</v>
      </c>
      <c r="S51" s="222">
        <v>4</v>
      </c>
      <c r="T51" s="222">
        <v>3</v>
      </c>
      <c r="U51" s="222">
        <v>5</v>
      </c>
      <c r="V51" s="222">
        <v>4</v>
      </c>
      <c r="W51" s="222">
        <v>3</v>
      </c>
      <c r="X51" s="222">
        <v>4</v>
      </c>
      <c r="Y51" s="222">
        <v>5</v>
      </c>
      <c r="Z51" s="223">
        <v>4</v>
      </c>
    </row>
    <row r="52" spans="1:26" ht="14.45" customHeight="1">
      <c r="A52" s="722"/>
      <c r="B52" s="725"/>
      <c r="C52" s="727"/>
      <c r="D52" s="719"/>
      <c r="E52" s="719"/>
      <c r="F52" s="718"/>
      <c r="G52" s="224" t="s">
        <v>160</v>
      </c>
      <c r="H52" s="225">
        <f t="shared" si="0"/>
        <v>5578</v>
      </c>
      <c r="I52" s="226">
        <v>343</v>
      </c>
      <c r="J52" s="226">
        <v>320</v>
      </c>
      <c r="K52" s="226">
        <v>448</v>
      </c>
      <c r="L52" s="226">
        <v>305</v>
      </c>
      <c r="M52" s="226">
        <v>342</v>
      </c>
      <c r="N52" s="226">
        <v>160</v>
      </c>
      <c r="O52" s="226">
        <v>425</v>
      </c>
      <c r="P52" s="226">
        <v>143</v>
      </c>
      <c r="Q52" s="226">
        <v>360</v>
      </c>
      <c r="R52" s="226">
        <v>306</v>
      </c>
      <c r="S52" s="226">
        <v>262</v>
      </c>
      <c r="T52" s="226">
        <v>132</v>
      </c>
      <c r="U52" s="226">
        <v>479</v>
      </c>
      <c r="V52" s="226">
        <v>309</v>
      </c>
      <c r="W52" s="226">
        <v>145</v>
      </c>
      <c r="X52" s="226">
        <v>305</v>
      </c>
      <c r="Y52" s="226">
        <v>465</v>
      </c>
      <c r="Z52" s="227">
        <v>329</v>
      </c>
    </row>
    <row r="53" spans="1:26" ht="14.45" customHeight="1">
      <c r="A53" s="722"/>
      <c r="B53" s="719"/>
      <c r="C53" s="727"/>
      <c r="D53" s="719"/>
      <c r="E53" s="719"/>
      <c r="F53" s="719"/>
      <c r="G53" s="224" t="s">
        <v>138</v>
      </c>
      <c r="H53" s="228" t="str">
        <f t="shared" si="1"/>
        <v>N/A</v>
      </c>
      <c r="I53" s="226" t="s">
        <v>2</v>
      </c>
      <c r="J53" s="226" t="s">
        <v>2</v>
      </c>
      <c r="K53" s="226" t="s">
        <v>2</v>
      </c>
      <c r="L53" s="226" t="s">
        <v>2</v>
      </c>
      <c r="M53" s="226" t="s">
        <v>2</v>
      </c>
      <c r="N53" s="226" t="s">
        <v>2</v>
      </c>
      <c r="O53" s="226" t="s">
        <v>2</v>
      </c>
      <c r="P53" s="226" t="s">
        <v>2</v>
      </c>
      <c r="Q53" s="226" t="s">
        <v>2</v>
      </c>
      <c r="R53" s="226" t="s">
        <v>2</v>
      </c>
      <c r="S53" s="226" t="s">
        <v>2</v>
      </c>
      <c r="T53" s="226" t="s">
        <v>2</v>
      </c>
      <c r="U53" s="226" t="s">
        <v>2</v>
      </c>
      <c r="V53" s="226" t="s">
        <v>2</v>
      </c>
      <c r="W53" s="226" t="s">
        <v>2</v>
      </c>
      <c r="X53" s="226" t="s">
        <v>2</v>
      </c>
      <c r="Y53" s="226" t="s">
        <v>2</v>
      </c>
      <c r="Z53" s="227" t="s">
        <v>2</v>
      </c>
    </row>
    <row r="54" spans="1:26" ht="14.45" customHeight="1">
      <c r="A54" s="722"/>
      <c r="B54" s="719"/>
      <c r="C54" s="727"/>
      <c r="D54" s="719"/>
      <c r="E54" s="719"/>
      <c r="F54" s="719"/>
      <c r="G54" s="224" t="s">
        <v>145</v>
      </c>
      <c r="H54" s="228" t="str">
        <f t="shared" ref="H54" si="131">IFERROR(IF(I55="N/A","N/A",COUNTIF(I54:Z54,"Y")/(COUNTIF(I54:Z54,"Y")+COUNTIF(I54:Z54,"N"))),"N/A")</f>
        <v>N/A</v>
      </c>
      <c r="I54" s="226" t="s">
        <v>2</v>
      </c>
      <c r="J54" s="226" t="s">
        <v>2</v>
      </c>
      <c r="K54" s="226" t="s">
        <v>2</v>
      </c>
      <c r="L54" s="226" t="s">
        <v>2</v>
      </c>
      <c r="M54" s="226" t="s">
        <v>2</v>
      </c>
      <c r="N54" s="226" t="s">
        <v>2</v>
      </c>
      <c r="O54" s="226" t="s">
        <v>2</v>
      </c>
      <c r="P54" s="226" t="s">
        <v>2</v>
      </c>
      <c r="Q54" s="226" t="s">
        <v>2</v>
      </c>
      <c r="R54" s="226" t="s">
        <v>2</v>
      </c>
      <c r="S54" s="226" t="s">
        <v>2</v>
      </c>
      <c r="T54" s="226" t="s">
        <v>2</v>
      </c>
      <c r="U54" s="226" t="s">
        <v>2</v>
      </c>
      <c r="V54" s="226" t="s">
        <v>2</v>
      </c>
      <c r="W54" s="226" t="s">
        <v>2</v>
      </c>
      <c r="X54" s="226" t="s">
        <v>2</v>
      </c>
      <c r="Y54" s="226" t="s">
        <v>2</v>
      </c>
      <c r="Z54" s="227" t="s">
        <v>2</v>
      </c>
    </row>
    <row r="55" spans="1:26" ht="14.45" customHeight="1">
      <c r="A55" s="722"/>
      <c r="B55" s="719"/>
      <c r="C55" s="727"/>
      <c r="D55" s="719"/>
      <c r="E55" s="719"/>
      <c r="F55" s="719"/>
      <c r="G55" s="224" t="s">
        <v>139</v>
      </c>
      <c r="H55" s="226" t="str">
        <f t="shared" si="3"/>
        <v>N/A</v>
      </c>
      <c r="I55" s="226" t="s">
        <v>3</v>
      </c>
      <c r="J55" s="226" t="s">
        <v>3</v>
      </c>
      <c r="K55" s="226" t="s">
        <v>3</v>
      </c>
      <c r="L55" s="226" t="s">
        <v>3</v>
      </c>
      <c r="M55" s="226" t="s">
        <v>3</v>
      </c>
      <c r="N55" s="226" t="s">
        <v>3</v>
      </c>
      <c r="O55" s="226" t="s">
        <v>3</v>
      </c>
      <c r="P55" s="226" t="s">
        <v>3</v>
      </c>
      <c r="Q55" s="226" t="s">
        <v>3</v>
      </c>
      <c r="R55" s="226" t="s">
        <v>3</v>
      </c>
      <c r="S55" s="226" t="s">
        <v>3</v>
      </c>
      <c r="T55" s="226" t="s">
        <v>3</v>
      </c>
      <c r="U55" s="226" t="s">
        <v>3</v>
      </c>
      <c r="V55" s="226" t="s">
        <v>3</v>
      </c>
      <c r="W55" s="226" t="s">
        <v>3</v>
      </c>
      <c r="X55" s="226" t="s">
        <v>3</v>
      </c>
      <c r="Y55" s="226" t="s">
        <v>3</v>
      </c>
      <c r="Z55" s="227" t="s">
        <v>3</v>
      </c>
    </row>
    <row r="56" spans="1:26" ht="14.45" customHeight="1">
      <c r="A56" s="722"/>
      <c r="B56" s="719"/>
      <c r="C56" s="727"/>
      <c r="D56" s="719"/>
      <c r="E56" s="719"/>
      <c r="F56" s="719"/>
      <c r="G56" s="224" t="s">
        <v>67</v>
      </c>
      <c r="H56" s="229">
        <f t="shared" si="4"/>
        <v>108</v>
      </c>
      <c r="I56" s="226">
        <f>IF(I57="","",I51+I57)</f>
        <v>6</v>
      </c>
      <c r="J56" s="226">
        <f t="shared" ref="J56" si="132">IF(J57="","",J51+J57)</f>
        <v>6</v>
      </c>
      <c r="K56" s="226">
        <f t="shared" ref="K56" si="133">IF(K57="","",K51+K57)</f>
        <v>8</v>
      </c>
      <c r="L56" s="226">
        <f t="shared" ref="L56" si="134">IF(L57="","",L51+L57)</f>
        <v>7</v>
      </c>
      <c r="M56" s="226">
        <f t="shared" ref="M56" si="135">IF(M57="","",M51+M57)</f>
        <v>8</v>
      </c>
      <c r="N56" s="226">
        <f t="shared" ref="N56" si="136">IF(N57="","",N51+N57)</f>
        <v>4</v>
      </c>
      <c r="O56" s="226">
        <f t="shared" ref="O56" si="137">IF(O57="","",O51+O57)</f>
        <v>7</v>
      </c>
      <c r="P56" s="226">
        <f t="shared" ref="P56" si="138">IF(P57="","",P51+P57)</f>
        <v>6</v>
      </c>
      <c r="Q56" s="226">
        <f t="shared" ref="Q56" si="139">IF(Q57="","",Q51+Q57)</f>
        <v>5</v>
      </c>
      <c r="R56" s="226">
        <f t="shared" ref="R56" si="140">IF(R57="","",R51+R57)</f>
        <v>6</v>
      </c>
      <c r="S56" s="226">
        <f t="shared" ref="S56" si="141">IF(S57="","",S51+S57)</f>
        <v>5</v>
      </c>
      <c r="T56" s="226">
        <f t="shared" ref="T56" si="142">IF(T57="","",T51+T57)</f>
        <v>4</v>
      </c>
      <c r="U56" s="226">
        <f t="shared" ref="U56" si="143">IF(U57="","",U51+U57)</f>
        <v>8</v>
      </c>
      <c r="V56" s="226">
        <f t="shared" ref="V56" si="144">IF(V57="","",V51+V57)</f>
        <v>6</v>
      </c>
      <c r="W56" s="226">
        <f t="shared" ref="W56" si="145">IF(W57="","",W51+W57)</f>
        <v>4</v>
      </c>
      <c r="X56" s="226">
        <f t="shared" ref="X56" si="146">IF(X57="","",X51+X57)</f>
        <v>4</v>
      </c>
      <c r="Y56" s="226">
        <f t="shared" ref="Y56" si="147">IF(Y57="","",Y51+Y57)</f>
        <v>9</v>
      </c>
      <c r="Z56" s="227">
        <f t="shared" ref="Z56" si="148">IF(Z57="","",Z51+Z57)</f>
        <v>5</v>
      </c>
    </row>
    <row r="57" spans="1:26" ht="14.45" customHeight="1">
      <c r="A57" s="723"/>
      <c r="B57" s="720"/>
      <c r="C57" s="728"/>
      <c r="D57" s="720"/>
      <c r="E57" s="720"/>
      <c r="F57" s="720"/>
      <c r="G57" s="230" t="s">
        <v>143</v>
      </c>
      <c r="H57" s="231" t="str">
        <f t="shared" si="22"/>
        <v>+36</v>
      </c>
      <c r="I57" s="231">
        <v>2</v>
      </c>
      <c r="J57" s="231">
        <v>2</v>
      </c>
      <c r="K57" s="231">
        <v>3</v>
      </c>
      <c r="L57" s="231">
        <v>3</v>
      </c>
      <c r="M57" s="232">
        <v>4</v>
      </c>
      <c r="N57" s="233">
        <v>1</v>
      </c>
      <c r="O57" s="231">
        <v>2</v>
      </c>
      <c r="P57" s="232">
        <v>3</v>
      </c>
      <c r="Q57" s="233">
        <v>1</v>
      </c>
      <c r="R57" s="231">
        <v>2</v>
      </c>
      <c r="S57" s="233">
        <v>1</v>
      </c>
      <c r="T57" s="233">
        <v>1</v>
      </c>
      <c r="U57" s="231">
        <v>3</v>
      </c>
      <c r="V57" s="231">
        <v>2</v>
      </c>
      <c r="W57" s="233">
        <v>1</v>
      </c>
      <c r="X57" s="235">
        <v>0</v>
      </c>
      <c r="Y57" s="231">
        <v>4</v>
      </c>
      <c r="Z57" s="236">
        <v>1</v>
      </c>
    </row>
    <row r="58" spans="1:26" ht="14.45" customHeight="1">
      <c r="A58" s="721">
        <v>9</v>
      </c>
      <c r="B58" s="724">
        <v>44842</v>
      </c>
      <c r="C58" s="726">
        <v>0.52083333333333337</v>
      </c>
      <c r="D58" s="747" t="s">
        <v>175</v>
      </c>
      <c r="E58" s="747" t="s">
        <v>174</v>
      </c>
      <c r="F58" s="717" t="s">
        <v>1853</v>
      </c>
      <c r="G58" s="221" t="s">
        <v>137</v>
      </c>
      <c r="H58" s="222">
        <f t="shared" si="0"/>
        <v>72</v>
      </c>
      <c r="I58" s="222">
        <v>5</v>
      </c>
      <c r="J58" s="222">
        <v>4</v>
      </c>
      <c r="K58" s="222">
        <v>4</v>
      </c>
      <c r="L58" s="222">
        <v>3</v>
      </c>
      <c r="M58" s="222">
        <v>4</v>
      </c>
      <c r="N58" s="222">
        <v>4</v>
      </c>
      <c r="O58" s="222">
        <v>4</v>
      </c>
      <c r="P58" s="222">
        <v>3</v>
      </c>
      <c r="Q58" s="222">
        <v>5</v>
      </c>
      <c r="R58" s="222">
        <v>4</v>
      </c>
      <c r="S58" s="222">
        <v>4</v>
      </c>
      <c r="T58" s="222">
        <v>3</v>
      </c>
      <c r="U58" s="222">
        <v>4</v>
      </c>
      <c r="V58" s="222">
        <v>5</v>
      </c>
      <c r="W58" s="222">
        <v>3</v>
      </c>
      <c r="X58" s="222">
        <v>5</v>
      </c>
      <c r="Y58" s="222">
        <v>4</v>
      </c>
      <c r="Z58" s="223">
        <v>4</v>
      </c>
    </row>
    <row r="59" spans="1:26" ht="14.45" customHeight="1">
      <c r="A59" s="722"/>
      <c r="B59" s="725"/>
      <c r="C59" s="727"/>
      <c r="D59" s="719"/>
      <c r="E59" s="719"/>
      <c r="F59" s="718"/>
      <c r="G59" s="224" t="s">
        <v>160</v>
      </c>
      <c r="H59" s="225">
        <f t="shared" si="0"/>
        <v>6031</v>
      </c>
      <c r="I59" s="226">
        <v>519</v>
      </c>
      <c r="J59" s="226">
        <v>356</v>
      </c>
      <c r="K59" s="226">
        <v>388</v>
      </c>
      <c r="L59" s="226">
        <v>138</v>
      </c>
      <c r="M59" s="226">
        <v>309</v>
      </c>
      <c r="N59" s="226">
        <v>388</v>
      </c>
      <c r="O59" s="226">
        <v>317</v>
      </c>
      <c r="P59" s="226">
        <v>161</v>
      </c>
      <c r="Q59" s="226">
        <v>503</v>
      </c>
      <c r="R59" s="226">
        <v>335</v>
      </c>
      <c r="S59" s="226">
        <v>335</v>
      </c>
      <c r="T59" s="226">
        <v>173</v>
      </c>
      <c r="U59" s="226">
        <v>314</v>
      </c>
      <c r="V59" s="226">
        <v>461</v>
      </c>
      <c r="W59" s="226">
        <v>158</v>
      </c>
      <c r="X59" s="226">
        <v>519</v>
      </c>
      <c r="Y59" s="226">
        <v>342</v>
      </c>
      <c r="Z59" s="227">
        <v>315</v>
      </c>
    </row>
    <row r="60" spans="1:26" ht="14.45" customHeight="1">
      <c r="A60" s="722"/>
      <c r="B60" s="719"/>
      <c r="C60" s="727"/>
      <c r="D60" s="719"/>
      <c r="E60" s="719"/>
      <c r="F60" s="719"/>
      <c r="G60" s="224" t="s">
        <v>138</v>
      </c>
      <c r="H60" s="228" t="str">
        <f t="shared" si="1"/>
        <v>N/A</v>
      </c>
      <c r="I60" s="226" t="s">
        <v>2</v>
      </c>
      <c r="J60" s="226" t="s">
        <v>2</v>
      </c>
      <c r="K60" s="226" t="s">
        <v>2</v>
      </c>
      <c r="L60" s="226" t="s">
        <v>2</v>
      </c>
      <c r="M60" s="226" t="s">
        <v>2</v>
      </c>
      <c r="N60" s="226" t="s">
        <v>2</v>
      </c>
      <c r="O60" s="226" t="s">
        <v>2</v>
      </c>
      <c r="P60" s="226" t="s">
        <v>2</v>
      </c>
      <c r="Q60" s="226" t="s">
        <v>2</v>
      </c>
      <c r="R60" s="226" t="s">
        <v>2</v>
      </c>
      <c r="S60" s="226" t="s">
        <v>2</v>
      </c>
      <c r="T60" s="226" t="s">
        <v>2</v>
      </c>
      <c r="U60" s="226" t="s">
        <v>2</v>
      </c>
      <c r="V60" s="226" t="s">
        <v>2</v>
      </c>
      <c r="W60" s="226" t="s">
        <v>2</v>
      </c>
      <c r="X60" s="226" t="s">
        <v>2</v>
      </c>
      <c r="Y60" s="226" t="s">
        <v>2</v>
      </c>
      <c r="Z60" s="227" t="s">
        <v>2</v>
      </c>
    </row>
    <row r="61" spans="1:26" ht="14.45" customHeight="1">
      <c r="A61" s="722"/>
      <c r="B61" s="719"/>
      <c r="C61" s="727"/>
      <c r="D61" s="719"/>
      <c r="E61" s="719"/>
      <c r="F61" s="719"/>
      <c r="G61" s="224" t="s">
        <v>145</v>
      </c>
      <c r="H61" s="228" t="str">
        <f t="shared" ref="H61" si="149">IFERROR(IF(I62="N/A","N/A",COUNTIF(I61:Z61,"Y")/(COUNTIF(I61:Z61,"Y")+COUNTIF(I61:Z61,"N"))),"N/A")</f>
        <v>N/A</v>
      </c>
      <c r="I61" s="226" t="s">
        <v>2</v>
      </c>
      <c r="J61" s="226" t="s">
        <v>2</v>
      </c>
      <c r="K61" s="226" t="s">
        <v>2</v>
      </c>
      <c r="L61" s="226" t="s">
        <v>2</v>
      </c>
      <c r="M61" s="226" t="s">
        <v>2</v>
      </c>
      <c r="N61" s="226" t="s">
        <v>2</v>
      </c>
      <c r="O61" s="226" t="s">
        <v>2</v>
      </c>
      <c r="P61" s="226" t="s">
        <v>2</v>
      </c>
      <c r="Q61" s="226" t="s">
        <v>2</v>
      </c>
      <c r="R61" s="226" t="s">
        <v>2</v>
      </c>
      <c r="S61" s="226" t="s">
        <v>2</v>
      </c>
      <c r="T61" s="226" t="s">
        <v>2</v>
      </c>
      <c r="U61" s="226" t="s">
        <v>2</v>
      </c>
      <c r="V61" s="226" t="s">
        <v>2</v>
      </c>
      <c r="W61" s="226" t="s">
        <v>2</v>
      </c>
      <c r="X61" s="226" t="s">
        <v>2</v>
      </c>
      <c r="Y61" s="226" t="s">
        <v>2</v>
      </c>
      <c r="Z61" s="227" t="s">
        <v>2</v>
      </c>
    </row>
    <row r="62" spans="1:26" ht="14.45" customHeight="1">
      <c r="A62" s="722"/>
      <c r="B62" s="719"/>
      <c r="C62" s="727"/>
      <c r="D62" s="719"/>
      <c r="E62" s="719"/>
      <c r="F62" s="719"/>
      <c r="G62" s="224" t="s">
        <v>139</v>
      </c>
      <c r="H62" s="226" t="str">
        <f t="shared" si="3"/>
        <v>N/A</v>
      </c>
      <c r="I62" s="226" t="s">
        <v>3</v>
      </c>
      <c r="J62" s="226" t="s">
        <v>3</v>
      </c>
      <c r="K62" s="226" t="s">
        <v>3</v>
      </c>
      <c r="L62" s="226" t="s">
        <v>3</v>
      </c>
      <c r="M62" s="226" t="s">
        <v>3</v>
      </c>
      <c r="N62" s="226" t="s">
        <v>3</v>
      </c>
      <c r="O62" s="226" t="s">
        <v>3</v>
      </c>
      <c r="P62" s="226" t="s">
        <v>3</v>
      </c>
      <c r="Q62" s="226" t="s">
        <v>3</v>
      </c>
      <c r="R62" s="226" t="s">
        <v>3</v>
      </c>
      <c r="S62" s="226" t="s">
        <v>3</v>
      </c>
      <c r="T62" s="226" t="s">
        <v>3</v>
      </c>
      <c r="U62" s="226" t="s">
        <v>3</v>
      </c>
      <c r="V62" s="226" t="s">
        <v>3</v>
      </c>
      <c r="W62" s="226" t="s">
        <v>3</v>
      </c>
      <c r="X62" s="226" t="s">
        <v>3</v>
      </c>
      <c r="Y62" s="226" t="s">
        <v>3</v>
      </c>
      <c r="Z62" s="227" t="s">
        <v>3</v>
      </c>
    </row>
    <row r="63" spans="1:26" ht="14.45" customHeight="1">
      <c r="A63" s="722"/>
      <c r="B63" s="719"/>
      <c r="C63" s="727"/>
      <c r="D63" s="719"/>
      <c r="E63" s="719"/>
      <c r="F63" s="719"/>
      <c r="G63" s="224" t="s">
        <v>67</v>
      </c>
      <c r="H63" s="229">
        <f t="shared" si="4"/>
        <v>108</v>
      </c>
      <c r="I63" s="226">
        <f>IF(I64="","",I58+I64)</f>
        <v>8</v>
      </c>
      <c r="J63" s="226">
        <f t="shared" ref="J63" si="150">IF(J64="","",J58+J64)</f>
        <v>7</v>
      </c>
      <c r="K63" s="226">
        <f t="shared" ref="K63" si="151">IF(K64="","",K58+K64)</f>
        <v>6</v>
      </c>
      <c r="L63" s="226">
        <f t="shared" ref="L63" si="152">IF(L64="","",L58+L64)</f>
        <v>3</v>
      </c>
      <c r="M63" s="226">
        <f t="shared" ref="M63" si="153">IF(M64="","",M58+M64)</f>
        <v>5</v>
      </c>
      <c r="N63" s="226">
        <f t="shared" ref="N63" si="154">IF(N64="","",N58+N64)</f>
        <v>7</v>
      </c>
      <c r="O63" s="226">
        <f t="shared" ref="O63" si="155">IF(O64="","",O58+O64)</f>
        <v>6</v>
      </c>
      <c r="P63" s="226">
        <f t="shared" ref="P63" si="156">IF(P64="","",P58+P64)</f>
        <v>5</v>
      </c>
      <c r="Q63" s="226">
        <f t="shared" ref="Q63" si="157">IF(Q64="","",Q58+Q64)</f>
        <v>10</v>
      </c>
      <c r="R63" s="226">
        <f t="shared" ref="R63" si="158">IF(R64="","",R58+R64)</f>
        <v>6</v>
      </c>
      <c r="S63" s="226">
        <f t="shared" ref="S63" si="159">IF(S64="","",S58+S64)</f>
        <v>5</v>
      </c>
      <c r="T63" s="226">
        <f t="shared" ref="T63" si="160">IF(T64="","",T58+T64)</f>
        <v>4</v>
      </c>
      <c r="U63" s="226">
        <f t="shared" ref="U63" si="161">IF(U64="","",U58+U64)</f>
        <v>4</v>
      </c>
      <c r="V63" s="226">
        <f t="shared" ref="V63" si="162">IF(V64="","",V58+V64)</f>
        <v>7</v>
      </c>
      <c r="W63" s="226">
        <f t="shared" ref="W63" si="163">IF(W64="","",W58+W64)</f>
        <v>3</v>
      </c>
      <c r="X63" s="226">
        <f t="shared" ref="X63" si="164">IF(X64="","",X58+X64)</f>
        <v>8</v>
      </c>
      <c r="Y63" s="226">
        <f t="shared" ref="Y63" si="165">IF(Y64="","",Y58+Y64)</f>
        <v>8</v>
      </c>
      <c r="Z63" s="227">
        <f t="shared" ref="Z63" si="166">IF(Z64="","",Z58+Z64)</f>
        <v>6</v>
      </c>
    </row>
    <row r="64" spans="1:26" ht="14.45" customHeight="1">
      <c r="A64" s="723"/>
      <c r="B64" s="720"/>
      <c r="C64" s="728"/>
      <c r="D64" s="720"/>
      <c r="E64" s="720"/>
      <c r="F64" s="720"/>
      <c r="G64" s="230" t="s">
        <v>143</v>
      </c>
      <c r="H64" s="231" t="str">
        <f t="shared" si="22"/>
        <v>+36</v>
      </c>
      <c r="I64" s="231">
        <v>3</v>
      </c>
      <c r="J64" s="231">
        <v>3</v>
      </c>
      <c r="K64" s="231">
        <v>2</v>
      </c>
      <c r="L64" s="235">
        <v>0</v>
      </c>
      <c r="M64" s="233">
        <v>1</v>
      </c>
      <c r="N64" s="231">
        <v>3</v>
      </c>
      <c r="O64" s="231">
        <v>2</v>
      </c>
      <c r="P64" s="231">
        <v>2</v>
      </c>
      <c r="Q64" s="232">
        <v>5</v>
      </c>
      <c r="R64" s="231">
        <v>2</v>
      </c>
      <c r="S64" s="233">
        <v>1</v>
      </c>
      <c r="T64" s="233">
        <v>1</v>
      </c>
      <c r="U64" s="235">
        <v>0</v>
      </c>
      <c r="V64" s="231">
        <v>2</v>
      </c>
      <c r="W64" s="235">
        <v>0</v>
      </c>
      <c r="X64" s="231">
        <v>3</v>
      </c>
      <c r="Y64" s="232">
        <v>4</v>
      </c>
      <c r="Z64" s="234">
        <v>2</v>
      </c>
    </row>
    <row r="65" spans="1:26" ht="14.45" customHeight="1">
      <c r="A65" s="721">
        <v>10</v>
      </c>
      <c r="B65" s="724">
        <v>44863</v>
      </c>
      <c r="C65" s="726">
        <v>0.37222222222222223</v>
      </c>
      <c r="D65" s="747" t="s">
        <v>156</v>
      </c>
      <c r="E65" s="747" t="s">
        <v>1854</v>
      </c>
      <c r="F65" s="717" t="s">
        <v>1855</v>
      </c>
      <c r="G65" s="221" t="s">
        <v>137</v>
      </c>
      <c r="H65" s="222">
        <f t="shared" si="0"/>
        <v>72</v>
      </c>
      <c r="I65" s="222">
        <v>4</v>
      </c>
      <c r="J65" s="222">
        <v>5</v>
      </c>
      <c r="K65" s="222">
        <v>4</v>
      </c>
      <c r="L65" s="222">
        <v>3</v>
      </c>
      <c r="M65" s="222">
        <v>5</v>
      </c>
      <c r="N65" s="222">
        <v>4</v>
      </c>
      <c r="O65" s="222">
        <v>4</v>
      </c>
      <c r="P65" s="222">
        <v>3</v>
      </c>
      <c r="Q65" s="222">
        <v>4</v>
      </c>
      <c r="R65" s="222">
        <v>4</v>
      </c>
      <c r="S65" s="222">
        <v>4</v>
      </c>
      <c r="T65" s="222">
        <v>5</v>
      </c>
      <c r="U65" s="222">
        <v>3</v>
      </c>
      <c r="V65" s="222">
        <v>4</v>
      </c>
      <c r="W65" s="222">
        <v>5</v>
      </c>
      <c r="X65" s="222">
        <v>3</v>
      </c>
      <c r="Y65" s="222">
        <v>4</v>
      </c>
      <c r="Z65" s="223">
        <v>4</v>
      </c>
    </row>
    <row r="66" spans="1:26" ht="14.45" customHeight="1">
      <c r="A66" s="722"/>
      <c r="B66" s="725"/>
      <c r="C66" s="727"/>
      <c r="D66" s="719"/>
      <c r="E66" s="719"/>
      <c r="F66" s="718"/>
      <c r="G66" s="224" t="s">
        <v>160</v>
      </c>
      <c r="H66" s="225">
        <f t="shared" ref="H66:H122" si="167">SUM(I66:Z66)</f>
        <v>5824</v>
      </c>
      <c r="I66" s="226">
        <v>327</v>
      </c>
      <c r="J66" s="226">
        <v>467</v>
      </c>
      <c r="K66" s="226">
        <v>308</v>
      </c>
      <c r="L66" s="226">
        <v>136</v>
      </c>
      <c r="M66" s="226">
        <v>483</v>
      </c>
      <c r="N66" s="226">
        <v>347</v>
      </c>
      <c r="O66" s="226">
        <v>314</v>
      </c>
      <c r="P66" s="226">
        <v>140</v>
      </c>
      <c r="Q66" s="226">
        <v>375</v>
      </c>
      <c r="R66" s="226">
        <v>340</v>
      </c>
      <c r="S66" s="226">
        <v>323</v>
      </c>
      <c r="T66" s="226">
        <v>498</v>
      </c>
      <c r="U66" s="226">
        <v>120</v>
      </c>
      <c r="V66" s="226">
        <v>301</v>
      </c>
      <c r="W66" s="226">
        <v>442</v>
      </c>
      <c r="X66" s="226">
        <v>167</v>
      </c>
      <c r="Y66" s="226">
        <v>356</v>
      </c>
      <c r="Z66" s="227">
        <v>380</v>
      </c>
    </row>
    <row r="67" spans="1:26" ht="14.45" customHeight="1">
      <c r="A67" s="722"/>
      <c r="B67" s="719"/>
      <c r="C67" s="727"/>
      <c r="D67" s="719"/>
      <c r="E67" s="719"/>
      <c r="F67" s="719"/>
      <c r="G67" s="224" t="s">
        <v>138</v>
      </c>
      <c r="H67" s="228" t="str">
        <f t="shared" si="1"/>
        <v>N/A</v>
      </c>
      <c r="I67" s="226" t="s">
        <v>2</v>
      </c>
      <c r="J67" s="226" t="s">
        <v>2</v>
      </c>
      <c r="K67" s="226" t="s">
        <v>2</v>
      </c>
      <c r="L67" s="226" t="s">
        <v>2</v>
      </c>
      <c r="M67" s="226" t="s">
        <v>2</v>
      </c>
      <c r="N67" s="226" t="s">
        <v>2</v>
      </c>
      <c r="O67" s="226" t="s">
        <v>2</v>
      </c>
      <c r="P67" s="226" t="s">
        <v>2</v>
      </c>
      <c r="Q67" s="226" t="s">
        <v>2</v>
      </c>
      <c r="R67" s="226" t="s">
        <v>2</v>
      </c>
      <c r="S67" s="226" t="s">
        <v>2</v>
      </c>
      <c r="T67" s="226" t="s">
        <v>2</v>
      </c>
      <c r="U67" s="226" t="s">
        <v>2</v>
      </c>
      <c r="V67" s="226" t="s">
        <v>2</v>
      </c>
      <c r="W67" s="226" t="s">
        <v>2</v>
      </c>
      <c r="X67" s="226" t="s">
        <v>2</v>
      </c>
      <c r="Y67" s="226" t="s">
        <v>2</v>
      </c>
      <c r="Z67" s="227" t="s">
        <v>2</v>
      </c>
    </row>
    <row r="68" spans="1:26" ht="14.45" customHeight="1">
      <c r="A68" s="722"/>
      <c r="B68" s="719"/>
      <c r="C68" s="727"/>
      <c r="D68" s="719"/>
      <c r="E68" s="719"/>
      <c r="F68" s="719"/>
      <c r="G68" s="224" t="s">
        <v>145</v>
      </c>
      <c r="H68" s="228" t="str">
        <f t="shared" ref="H68" si="168">IFERROR(IF(I69="N/A","N/A",COUNTIF(I68:Z68,"Y")/(COUNTIF(I68:Z68,"Y")+COUNTIF(I68:Z68,"N"))),"N/A")</f>
        <v>N/A</v>
      </c>
      <c r="I68" s="226" t="s">
        <v>2</v>
      </c>
      <c r="J68" s="226" t="s">
        <v>2</v>
      </c>
      <c r="K68" s="226" t="s">
        <v>2</v>
      </c>
      <c r="L68" s="226" t="s">
        <v>2</v>
      </c>
      <c r="M68" s="226" t="s">
        <v>2</v>
      </c>
      <c r="N68" s="226" t="s">
        <v>2</v>
      </c>
      <c r="O68" s="226" t="s">
        <v>2</v>
      </c>
      <c r="P68" s="226" t="s">
        <v>2</v>
      </c>
      <c r="Q68" s="226" t="s">
        <v>2</v>
      </c>
      <c r="R68" s="226" t="s">
        <v>2</v>
      </c>
      <c r="S68" s="226" t="s">
        <v>2</v>
      </c>
      <c r="T68" s="226" t="s">
        <v>2</v>
      </c>
      <c r="U68" s="226" t="s">
        <v>2</v>
      </c>
      <c r="V68" s="226" t="s">
        <v>2</v>
      </c>
      <c r="W68" s="226" t="s">
        <v>2</v>
      </c>
      <c r="X68" s="226" t="s">
        <v>2</v>
      </c>
      <c r="Y68" s="226" t="s">
        <v>2</v>
      </c>
      <c r="Z68" s="227" t="s">
        <v>2</v>
      </c>
    </row>
    <row r="69" spans="1:26" ht="14.45" customHeight="1">
      <c r="A69" s="722"/>
      <c r="B69" s="719"/>
      <c r="C69" s="727"/>
      <c r="D69" s="719"/>
      <c r="E69" s="719"/>
      <c r="F69" s="719"/>
      <c r="G69" s="224" t="s">
        <v>139</v>
      </c>
      <c r="H69" s="226" t="str">
        <f t="shared" si="3"/>
        <v>N/A</v>
      </c>
      <c r="I69" s="226" t="s">
        <v>3</v>
      </c>
      <c r="J69" s="226" t="s">
        <v>3</v>
      </c>
      <c r="K69" s="226" t="s">
        <v>3</v>
      </c>
      <c r="L69" s="226" t="s">
        <v>3</v>
      </c>
      <c r="M69" s="226" t="s">
        <v>3</v>
      </c>
      <c r="N69" s="226" t="s">
        <v>3</v>
      </c>
      <c r="O69" s="226" t="s">
        <v>3</v>
      </c>
      <c r="P69" s="226" t="s">
        <v>3</v>
      </c>
      <c r="Q69" s="226" t="s">
        <v>3</v>
      </c>
      <c r="R69" s="226" t="s">
        <v>3</v>
      </c>
      <c r="S69" s="226" t="s">
        <v>3</v>
      </c>
      <c r="T69" s="226" t="s">
        <v>3</v>
      </c>
      <c r="U69" s="226" t="s">
        <v>3</v>
      </c>
      <c r="V69" s="226" t="s">
        <v>3</v>
      </c>
      <c r="W69" s="226" t="s">
        <v>3</v>
      </c>
      <c r="X69" s="226" t="s">
        <v>3</v>
      </c>
      <c r="Y69" s="226" t="s">
        <v>3</v>
      </c>
      <c r="Z69" s="227" t="s">
        <v>3</v>
      </c>
    </row>
    <row r="70" spans="1:26" ht="14.45" customHeight="1">
      <c r="A70" s="722"/>
      <c r="B70" s="719"/>
      <c r="C70" s="727"/>
      <c r="D70" s="719"/>
      <c r="E70" s="719"/>
      <c r="F70" s="719"/>
      <c r="G70" s="224" t="s">
        <v>67</v>
      </c>
      <c r="H70" s="229">
        <f t="shared" si="4"/>
        <v>101</v>
      </c>
      <c r="I70" s="226">
        <f>IF(I71="","",I65+I71)</f>
        <v>5</v>
      </c>
      <c r="J70" s="226">
        <f t="shared" ref="J70" si="169">IF(J71="","",J65+J71)</f>
        <v>6</v>
      </c>
      <c r="K70" s="226">
        <f t="shared" ref="K70" si="170">IF(K71="","",K65+K71)</f>
        <v>6</v>
      </c>
      <c r="L70" s="226">
        <f t="shared" ref="L70" si="171">IF(L71="","",L65+L71)</f>
        <v>4</v>
      </c>
      <c r="M70" s="226">
        <f t="shared" ref="M70" si="172">IF(M71="","",M65+M71)</f>
        <v>8</v>
      </c>
      <c r="N70" s="226">
        <f t="shared" ref="N70" si="173">IF(N71="","",N65+N71)</f>
        <v>5</v>
      </c>
      <c r="O70" s="226">
        <f t="shared" ref="O70" si="174">IF(O71="","",O65+O71)</f>
        <v>4</v>
      </c>
      <c r="P70" s="226">
        <f t="shared" ref="P70" si="175">IF(P71="","",P65+P71)</f>
        <v>4</v>
      </c>
      <c r="Q70" s="226">
        <f t="shared" ref="Q70" si="176">IF(Q71="","",Q65+Q71)</f>
        <v>7</v>
      </c>
      <c r="R70" s="226">
        <f t="shared" ref="R70" si="177">IF(R71="","",R65+R71)</f>
        <v>5</v>
      </c>
      <c r="S70" s="226">
        <f t="shared" ref="S70" si="178">IF(S71="","",S65+S71)</f>
        <v>5</v>
      </c>
      <c r="T70" s="226">
        <f t="shared" ref="T70" si="179">IF(T71="","",T65+T71)</f>
        <v>6</v>
      </c>
      <c r="U70" s="226">
        <f t="shared" ref="U70" si="180">IF(U71="","",U65+U71)</f>
        <v>5</v>
      </c>
      <c r="V70" s="226">
        <f t="shared" ref="V70" si="181">IF(V71="","",V65+V71)</f>
        <v>5</v>
      </c>
      <c r="W70" s="226">
        <f t="shared" ref="W70" si="182">IF(W71="","",W65+W71)</f>
        <v>6</v>
      </c>
      <c r="X70" s="226">
        <f t="shared" ref="X70" si="183">IF(X71="","",X65+X71)</f>
        <v>6</v>
      </c>
      <c r="Y70" s="226">
        <f t="shared" ref="Y70" si="184">IF(Y71="","",Y65+Y71)</f>
        <v>6</v>
      </c>
      <c r="Z70" s="227">
        <f t="shared" ref="Z70" si="185">IF(Z71="","",Z65+Z71)</f>
        <v>8</v>
      </c>
    </row>
    <row r="71" spans="1:26" ht="14.45" customHeight="1">
      <c r="A71" s="723"/>
      <c r="B71" s="720"/>
      <c r="C71" s="728"/>
      <c r="D71" s="720"/>
      <c r="E71" s="720"/>
      <c r="F71" s="720"/>
      <c r="G71" s="230" t="s">
        <v>143</v>
      </c>
      <c r="H71" s="231" t="str">
        <f t="shared" si="22"/>
        <v>+29</v>
      </c>
      <c r="I71" s="233">
        <v>1</v>
      </c>
      <c r="J71" s="233">
        <v>1</v>
      </c>
      <c r="K71" s="231">
        <v>2</v>
      </c>
      <c r="L71" s="233">
        <v>1</v>
      </c>
      <c r="M71" s="231">
        <v>3</v>
      </c>
      <c r="N71" s="233">
        <v>1</v>
      </c>
      <c r="O71" s="235">
        <v>0</v>
      </c>
      <c r="P71" s="233">
        <v>1</v>
      </c>
      <c r="Q71" s="231">
        <v>3</v>
      </c>
      <c r="R71" s="233">
        <v>1</v>
      </c>
      <c r="S71" s="233">
        <v>1</v>
      </c>
      <c r="T71" s="233">
        <v>1</v>
      </c>
      <c r="U71" s="231">
        <v>2</v>
      </c>
      <c r="V71" s="233">
        <v>1</v>
      </c>
      <c r="W71" s="233">
        <v>1</v>
      </c>
      <c r="X71" s="232">
        <v>3</v>
      </c>
      <c r="Y71" s="231">
        <v>2</v>
      </c>
      <c r="Z71" s="238">
        <v>4</v>
      </c>
    </row>
    <row r="72" spans="1:26" ht="14.45" customHeight="1">
      <c r="A72" s="721">
        <v>11</v>
      </c>
      <c r="B72" s="724">
        <v>44884</v>
      </c>
      <c r="C72" s="726">
        <v>0.35555555555555557</v>
      </c>
      <c r="D72" s="747" t="s">
        <v>178</v>
      </c>
      <c r="E72" s="747" t="s">
        <v>1856</v>
      </c>
      <c r="F72" s="717" t="s">
        <v>1857</v>
      </c>
      <c r="G72" s="221" t="s">
        <v>137</v>
      </c>
      <c r="H72" s="222">
        <f t="shared" si="167"/>
        <v>72</v>
      </c>
      <c r="I72" s="222">
        <v>4</v>
      </c>
      <c r="J72" s="222">
        <v>4</v>
      </c>
      <c r="K72" s="222">
        <v>3</v>
      </c>
      <c r="L72" s="222">
        <v>4</v>
      </c>
      <c r="M72" s="222">
        <v>4</v>
      </c>
      <c r="N72" s="222">
        <v>5</v>
      </c>
      <c r="O72" s="222">
        <v>3</v>
      </c>
      <c r="P72" s="222">
        <v>4</v>
      </c>
      <c r="Q72" s="222">
        <v>5</v>
      </c>
      <c r="R72" s="222">
        <v>5</v>
      </c>
      <c r="S72" s="222">
        <v>4</v>
      </c>
      <c r="T72" s="222">
        <v>3</v>
      </c>
      <c r="U72" s="222">
        <v>4</v>
      </c>
      <c r="V72" s="222">
        <v>5</v>
      </c>
      <c r="W72" s="222">
        <v>3</v>
      </c>
      <c r="X72" s="222">
        <v>4</v>
      </c>
      <c r="Y72" s="222">
        <v>3</v>
      </c>
      <c r="Z72" s="223">
        <v>5</v>
      </c>
    </row>
    <row r="73" spans="1:26" ht="14.45" customHeight="1">
      <c r="A73" s="722"/>
      <c r="B73" s="725"/>
      <c r="C73" s="727"/>
      <c r="D73" s="719"/>
      <c r="E73" s="719"/>
      <c r="F73" s="718"/>
      <c r="G73" s="224" t="s">
        <v>160</v>
      </c>
      <c r="H73" s="225">
        <f t="shared" si="167"/>
        <v>5860</v>
      </c>
      <c r="I73" s="226">
        <v>338</v>
      </c>
      <c r="J73" s="226">
        <v>350</v>
      </c>
      <c r="K73" s="226">
        <v>140</v>
      </c>
      <c r="L73" s="226">
        <v>372</v>
      </c>
      <c r="M73" s="226">
        <v>295</v>
      </c>
      <c r="N73" s="226">
        <v>480</v>
      </c>
      <c r="O73" s="226">
        <v>110</v>
      </c>
      <c r="P73" s="226">
        <v>323</v>
      </c>
      <c r="Q73" s="226">
        <v>485</v>
      </c>
      <c r="R73" s="226">
        <v>450</v>
      </c>
      <c r="S73" s="226">
        <v>335</v>
      </c>
      <c r="T73" s="226">
        <v>135</v>
      </c>
      <c r="U73" s="226">
        <v>382</v>
      </c>
      <c r="V73" s="226">
        <v>463</v>
      </c>
      <c r="W73" s="226">
        <v>170</v>
      </c>
      <c r="X73" s="226">
        <v>347</v>
      </c>
      <c r="Y73" s="226">
        <v>180</v>
      </c>
      <c r="Z73" s="227">
        <v>505</v>
      </c>
    </row>
    <row r="74" spans="1:26" ht="14.45" customHeight="1">
      <c r="A74" s="722"/>
      <c r="B74" s="719"/>
      <c r="C74" s="727"/>
      <c r="D74" s="719"/>
      <c r="E74" s="719"/>
      <c r="F74" s="719"/>
      <c r="G74" s="224" t="s">
        <v>138</v>
      </c>
      <c r="H74" s="228" t="str">
        <f t="shared" ref="H74:H123" si="186">IF(I76="N/A","N/A",IF(COUNTIF(I74:Z74,"Y")/14=0,"N/A",COUNTIF(I74:Z74,"Y")/(COUNTIF(I74:Z74,"Y")+COUNTIF(I74:Z74,"N"))))</f>
        <v>N/A</v>
      </c>
      <c r="I74" s="226" t="s">
        <v>2</v>
      </c>
      <c r="J74" s="226" t="s">
        <v>2</v>
      </c>
      <c r="K74" s="226" t="s">
        <v>2</v>
      </c>
      <c r="L74" s="226" t="s">
        <v>2</v>
      </c>
      <c r="M74" s="226" t="s">
        <v>2</v>
      </c>
      <c r="N74" s="226" t="s">
        <v>2</v>
      </c>
      <c r="O74" s="226" t="s">
        <v>2</v>
      </c>
      <c r="P74" s="226" t="s">
        <v>2</v>
      </c>
      <c r="Q74" s="226" t="s">
        <v>2</v>
      </c>
      <c r="R74" s="226" t="s">
        <v>2</v>
      </c>
      <c r="S74" s="226" t="s">
        <v>2</v>
      </c>
      <c r="T74" s="226" t="s">
        <v>2</v>
      </c>
      <c r="U74" s="226" t="s">
        <v>2</v>
      </c>
      <c r="V74" s="226" t="s">
        <v>2</v>
      </c>
      <c r="W74" s="226" t="s">
        <v>2</v>
      </c>
      <c r="X74" s="226" t="s">
        <v>2</v>
      </c>
      <c r="Y74" s="226" t="s">
        <v>2</v>
      </c>
      <c r="Z74" s="227" t="s">
        <v>2</v>
      </c>
    </row>
    <row r="75" spans="1:26" ht="14.45" customHeight="1">
      <c r="A75" s="722"/>
      <c r="B75" s="719"/>
      <c r="C75" s="727"/>
      <c r="D75" s="719"/>
      <c r="E75" s="719"/>
      <c r="F75" s="719"/>
      <c r="G75" s="224" t="s">
        <v>145</v>
      </c>
      <c r="H75" s="228" t="str">
        <f t="shared" ref="H75" si="187">IFERROR(IF(I76="N/A","N/A",COUNTIF(I75:Z75,"Y")/(COUNTIF(I75:Z75,"Y")+COUNTIF(I75:Z75,"N"))),"N/A")</f>
        <v>N/A</v>
      </c>
      <c r="I75" s="226" t="s">
        <v>2</v>
      </c>
      <c r="J75" s="226" t="s">
        <v>2</v>
      </c>
      <c r="K75" s="226" t="s">
        <v>2</v>
      </c>
      <c r="L75" s="226" t="s">
        <v>2</v>
      </c>
      <c r="M75" s="226" t="s">
        <v>2</v>
      </c>
      <c r="N75" s="226" t="s">
        <v>2</v>
      </c>
      <c r="O75" s="226" t="s">
        <v>2</v>
      </c>
      <c r="P75" s="226" t="s">
        <v>2</v>
      </c>
      <c r="Q75" s="226" t="s">
        <v>2</v>
      </c>
      <c r="R75" s="226" t="s">
        <v>2</v>
      </c>
      <c r="S75" s="226" t="s">
        <v>2</v>
      </c>
      <c r="T75" s="226" t="s">
        <v>2</v>
      </c>
      <c r="U75" s="226" t="s">
        <v>2</v>
      </c>
      <c r="V75" s="226" t="s">
        <v>2</v>
      </c>
      <c r="W75" s="226" t="s">
        <v>2</v>
      </c>
      <c r="X75" s="226" t="s">
        <v>2</v>
      </c>
      <c r="Y75" s="226" t="s">
        <v>2</v>
      </c>
      <c r="Z75" s="227" t="s">
        <v>2</v>
      </c>
    </row>
    <row r="76" spans="1:26" ht="14.45" customHeight="1">
      <c r="A76" s="722"/>
      <c r="B76" s="719"/>
      <c r="C76" s="727"/>
      <c r="D76" s="719"/>
      <c r="E76" s="719"/>
      <c r="F76" s="719"/>
      <c r="G76" s="224" t="s">
        <v>139</v>
      </c>
      <c r="H76" s="226" t="str">
        <f t="shared" ref="H76:H125" si="188">IF(I76="N/A","N/A",SUM(I76:Z76))</f>
        <v>N/A</v>
      </c>
      <c r="I76" s="226" t="s">
        <v>3</v>
      </c>
      <c r="J76" s="226" t="s">
        <v>3</v>
      </c>
      <c r="K76" s="226" t="s">
        <v>3</v>
      </c>
      <c r="L76" s="226" t="s">
        <v>3</v>
      </c>
      <c r="M76" s="226" t="s">
        <v>3</v>
      </c>
      <c r="N76" s="226" t="s">
        <v>3</v>
      </c>
      <c r="O76" s="226" t="s">
        <v>3</v>
      </c>
      <c r="P76" s="226" t="s">
        <v>3</v>
      </c>
      <c r="Q76" s="226" t="s">
        <v>3</v>
      </c>
      <c r="R76" s="226" t="s">
        <v>3</v>
      </c>
      <c r="S76" s="226" t="s">
        <v>3</v>
      </c>
      <c r="T76" s="226" t="s">
        <v>3</v>
      </c>
      <c r="U76" s="226" t="s">
        <v>3</v>
      </c>
      <c r="V76" s="226" t="s">
        <v>3</v>
      </c>
      <c r="W76" s="226" t="s">
        <v>3</v>
      </c>
      <c r="X76" s="226" t="s">
        <v>3</v>
      </c>
      <c r="Y76" s="226" t="s">
        <v>3</v>
      </c>
      <c r="Z76" s="227" t="s">
        <v>3</v>
      </c>
    </row>
    <row r="77" spans="1:26" ht="14.45" customHeight="1">
      <c r="A77" s="722"/>
      <c r="B77" s="719"/>
      <c r="C77" s="727"/>
      <c r="D77" s="719"/>
      <c r="E77" s="719"/>
      <c r="F77" s="719"/>
      <c r="G77" s="224" t="s">
        <v>67</v>
      </c>
      <c r="H77" s="229">
        <f t="shared" ref="H77:H126" si="189">SUM(I77:Z77)</f>
        <v>108</v>
      </c>
      <c r="I77" s="226">
        <f>IF(I78="","",I72+I78)</f>
        <v>7</v>
      </c>
      <c r="J77" s="226">
        <f t="shared" ref="J77" si="190">IF(J78="","",J72+J78)</f>
        <v>5</v>
      </c>
      <c r="K77" s="226">
        <f t="shared" ref="K77" si="191">IF(K78="","",K72+K78)</f>
        <v>5</v>
      </c>
      <c r="L77" s="226">
        <f t="shared" ref="L77" si="192">IF(L78="","",L72+L78)</f>
        <v>5</v>
      </c>
      <c r="M77" s="226">
        <f t="shared" ref="M77" si="193">IF(M78="","",M72+M78)</f>
        <v>6</v>
      </c>
      <c r="N77" s="226">
        <f t="shared" ref="N77" si="194">IF(N78="","",N72+N78)</f>
        <v>5</v>
      </c>
      <c r="O77" s="226">
        <f t="shared" ref="O77" si="195">IF(O78="","",O72+O78)</f>
        <v>6</v>
      </c>
      <c r="P77" s="226">
        <f t="shared" ref="P77" si="196">IF(P78="","",P72+P78)</f>
        <v>6</v>
      </c>
      <c r="Q77" s="226">
        <f t="shared" ref="Q77" si="197">IF(Q78="","",Q72+Q78)</f>
        <v>8</v>
      </c>
      <c r="R77" s="226">
        <f t="shared" ref="R77" si="198">IF(R78="","",R72+R78)</f>
        <v>6</v>
      </c>
      <c r="S77" s="226">
        <f t="shared" ref="S77" si="199">IF(S78="","",S72+S78)</f>
        <v>6</v>
      </c>
      <c r="T77" s="226">
        <f t="shared" ref="T77" si="200">IF(T78="","",T72+T78)</f>
        <v>5</v>
      </c>
      <c r="U77" s="226">
        <f t="shared" ref="U77" si="201">IF(U78="","",U72+U78)</f>
        <v>6</v>
      </c>
      <c r="V77" s="226">
        <f t="shared" ref="V77" si="202">IF(V78="","",V72+V78)</f>
        <v>8</v>
      </c>
      <c r="W77" s="226">
        <f t="shared" ref="W77" si="203">IF(W78="","",W72+W78)</f>
        <v>6</v>
      </c>
      <c r="X77" s="226">
        <f t="shared" ref="X77" si="204">IF(X78="","",X72+X78)</f>
        <v>5</v>
      </c>
      <c r="Y77" s="226">
        <f t="shared" ref="Y77" si="205">IF(Y78="","",Y72+Y78)</f>
        <v>3</v>
      </c>
      <c r="Z77" s="227">
        <f t="shared" ref="Z77" si="206">IF(Z78="","",Z72+Z78)</f>
        <v>10</v>
      </c>
    </row>
    <row r="78" spans="1:26" ht="14.45" customHeight="1">
      <c r="A78" s="723"/>
      <c r="B78" s="720"/>
      <c r="C78" s="728"/>
      <c r="D78" s="720"/>
      <c r="E78" s="720"/>
      <c r="F78" s="720"/>
      <c r="G78" s="230" t="s">
        <v>143</v>
      </c>
      <c r="H78" s="231" t="str">
        <f t="shared" ref="H78:H127" si="207">IF(SUM(I78:Z78)&gt;0,"+"&amp;SUM(I78:Z78),SUM(I78:Z78))</f>
        <v>+36</v>
      </c>
      <c r="I78" s="231">
        <v>3</v>
      </c>
      <c r="J78" s="233">
        <v>1</v>
      </c>
      <c r="K78" s="231">
        <v>2</v>
      </c>
      <c r="L78" s="233">
        <v>1</v>
      </c>
      <c r="M78" s="231">
        <v>2</v>
      </c>
      <c r="N78" s="235">
        <v>0</v>
      </c>
      <c r="O78" s="231">
        <v>3</v>
      </c>
      <c r="P78" s="231">
        <v>2</v>
      </c>
      <c r="Q78" s="231">
        <v>3</v>
      </c>
      <c r="R78" s="233">
        <v>1</v>
      </c>
      <c r="S78" s="231">
        <v>2</v>
      </c>
      <c r="T78" s="231">
        <v>2</v>
      </c>
      <c r="U78" s="231">
        <v>2</v>
      </c>
      <c r="V78" s="231">
        <v>3</v>
      </c>
      <c r="W78" s="231">
        <v>3</v>
      </c>
      <c r="X78" s="233">
        <v>1</v>
      </c>
      <c r="Y78" s="235">
        <v>0</v>
      </c>
      <c r="Z78" s="238">
        <v>5</v>
      </c>
    </row>
    <row r="79" spans="1:26" ht="14.45" customHeight="1">
      <c r="A79" s="721">
        <v>12</v>
      </c>
      <c r="B79" s="724">
        <v>44940</v>
      </c>
      <c r="C79" s="726">
        <v>0.40416666666666662</v>
      </c>
      <c r="D79" s="747" t="s">
        <v>157</v>
      </c>
      <c r="E79" s="747" t="s">
        <v>1858</v>
      </c>
      <c r="F79" s="717" t="s">
        <v>1859</v>
      </c>
      <c r="G79" s="221" t="s">
        <v>137</v>
      </c>
      <c r="H79" s="222">
        <f t="shared" si="167"/>
        <v>72</v>
      </c>
      <c r="I79" s="222">
        <v>5</v>
      </c>
      <c r="J79" s="222">
        <v>4</v>
      </c>
      <c r="K79" s="222">
        <v>4</v>
      </c>
      <c r="L79" s="222">
        <v>3</v>
      </c>
      <c r="M79" s="222">
        <v>4</v>
      </c>
      <c r="N79" s="222">
        <v>4</v>
      </c>
      <c r="O79" s="222">
        <v>4</v>
      </c>
      <c r="P79" s="222">
        <v>3</v>
      </c>
      <c r="Q79" s="222">
        <v>5</v>
      </c>
      <c r="R79" s="222">
        <v>5</v>
      </c>
      <c r="S79" s="222">
        <v>4</v>
      </c>
      <c r="T79" s="222">
        <v>4</v>
      </c>
      <c r="U79" s="222">
        <v>4</v>
      </c>
      <c r="V79" s="222">
        <v>3</v>
      </c>
      <c r="W79" s="222">
        <v>5</v>
      </c>
      <c r="X79" s="222">
        <v>4</v>
      </c>
      <c r="Y79" s="222">
        <v>3</v>
      </c>
      <c r="Z79" s="223">
        <v>4</v>
      </c>
    </row>
    <row r="80" spans="1:26" ht="14.45" customHeight="1">
      <c r="A80" s="722"/>
      <c r="B80" s="725"/>
      <c r="C80" s="727"/>
      <c r="D80" s="719"/>
      <c r="E80" s="719"/>
      <c r="F80" s="718"/>
      <c r="G80" s="224" t="s">
        <v>160</v>
      </c>
      <c r="H80" s="225">
        <f t="shared" si="167"/>
        <v>5786</v>
      </c>
      <c r="I80" s="226">
        <v>468</v>
      </c>
      <c r="J80" s="226">
        <v>374</v>
      </c>
      <c r="K80" s="226">
        <v>338</v>
      </c>
      <c r="L80" s="226">
        <v>162</v>
      </c>
      <c r="M80" s="226">
        <v>317</v>
      </c>
      <c r="N80" s="226">
        <v>301</v>
      </c>
      <c r="O80" s="226">
        <v>260</v>
      </c>
      <c r="P80" s="226">
        <v>128</v>
      </c>
      <c r="Q80" s="226">
        <v>455</v>
      </c>
      <c r="R80" s="226">
        <v>503</v>
      </c>
      <c r="S80" s="226">
        <v>330</v>
      </c>
      <c r="T80" s="226">
        <v>363</v>
      </c>
      <c r="U80" s="226">
        <v>335</v>
      </c>
      <c r="V80" s="226">
        <v>175</v>
      </c>
      <c r="W80" s="226">
        <v>495</v>
      </c>
      <c r="X80" s="226">
        <v>302</v>
      </c>
      <c r="Y80" s="226">
        <v>123</v>
      </c>
      <c r="Z80" s="227">
        <v>357</v>
      </c>
    </row>
    <row r="81" spans="1:26" ht="14.45" customHeight="1">
      <c r="A81" s="722"/>
      <c r="B81" s="719"/>
      <c r="C81" s="727"/>
      <c r="D81" s="719"/>
      <c r="E81" s="719"/>
      <c r="F81" s="719"/>
      <c r="G81" s="224" t="s">
        <v>138</v>
      </c>
      <c r="H81" s="228" t="str">
        <f t="shared" si="186"/>
        <v>N/A</v>
      </c>
      <c r="I81" s="226" t="s">
        <v>2</v>
      </c>
      <c r="J81" s="226" t="s">
        <v>2</v>
      </c>
      <c r="K81" s="226" t="s">
        <v>2</v>
      </c>
      <c r="L81" s="226" t="s">
        <v>2</v>
      </c>
      <c r="M81" s="226" t="s">
        <v>2</v>
      </c>
      <c r="N81" s="226" t="s">
        <v>2</v>
      </c>
      <c r="O81" s="226" t="s">
        <v>2</v>
      </c>
      <c r="P81" s="226" t="s">
        <v>2</v>
      </c>
      <c r="Q81" s="226" t="s">
        <v>2</v>
      </c>
      <c r="R81" s="226" t="s">
        <v>2</v>
      </c>
      <c r="S81" s="226" t="s">
        <v>2</v>
      </c>
      <c r="T81" s="226" t="s">
        <v>2</v>
      </c>
      <c r="U81" s="226" t="s">
        <v>2</v>
      </c>
      <c r="V81" s="226" t="s">
        <v>2</v>
      </c>
      <c r="W81" s="226" t="s">
        <v>2</v>
      </c>
      <c r="X81" s="226" t="s">
        <v>2</v>
      </c>
      <c r="Y81" s="226" t="s">
        <v>2</v>
      </c>
      <c r="Z81" s="227" t="s">
        <v>2</v>
      </c>
    </row>
    <row r="82" spans="1:26" ht="14.45" customHeight="1">
      <c r="A82" s="722"/>
      <c r="B82" s="719"/>
      <c r="C82" s="727"/>
      <c r="D82" s="719"/>
      <c r="E82" s="719"/>
      <c r="F82" s="719"/>
      <c r="G82" s="224" t="s">
        <v>145</v>
      </c>
      <c r="H82" s="228" t="str">
        <f t="shared" ref="H82" si="208">IFERROR(IF(I83="N/A","N/A",COUNTIF(I82:Z82,"Y")/(COUNTIF(I82:Z82,"Y")+COUNTIF(I82:Z82,"N"))),"N/A")</f>
        <v>N/A</v>
      </c>
      <c r="I82" s="226" t="s">
        <v>2</v>
      </c>
      <c r="J82" s="226" t="s">
        <v>2</v>
      </c>
      <c r="K82" s="226" t="s">
        <v>2</v>
      </c>
      <c r="L82" s="226" t="s">
        <v>2</v>
      </c>
      <c r="M82" s="226" t="s">
        <v>2</v>
      </c>
      <c r="N82" s="226" t="s">
        <v>2</v>
      </c>
      <c r="O82" s="226" t="s">
        <v>2</v>
      </c>
      <c r="P82" s="226" t="s">
        <v>2</v>
      </c>
      <c r="Q82" s="226" t="s">
        <v>2</v>
      </c>
      <c r="R82" s="226" t="s">
        <v>2</v>
      </c>
      <c r="S82" s="226" t="s">
        <v>2</v>
      </c>
      <c r="T82" s="226" t="s">
        <v>2</v>
      </c>
      <c r="U82" s="226" t="s">
        <v>2</v>
      </c>
      <c r="V82" s="226" t="s">
        <v>2</v>
      </c>
      <c r="W82" s="226" t="s">
        <v>2</v>
      </c>
      <c r="X82" s="226" t="s">
        <v>2</v>
      </c>
      <c r="Y82" s="226" t="s">
        <v>2</v>
      </c>
      <c r="Z82" s="227" t="s">
        <v>2</v>
      </c>
    </row>
    <row r="83" spans="1:26" ht="14.45" customHeight="1">
      <c r="A83" s="722"/>
      <c r="B83" s="719"/>
      <c r="C83" s="727"/>
      <c r="D83" s="719"/>
      <c r="E83" s="719"/>
      <c r="F83" s="719"/>
      <c r="G83" s="224" t="s">
        <v>139</v>
      </c>
      <c r="H83" s="226" t="str">
        <f t="shared" si="188"/>
        <v>N/A</v>
      </c>
      <c r="I83" s="226" t="s">
        <v>3</v>
      </c>
      <c r="J83" s="226" t="s">
        <v>3</v>
      </c>
      <c r="K83" s="226" t="s">
        <v>3</v>
      </c>
      <c r="L83" s="226" t="s">
        <v>3</v>
      </c>
      <c r="M83" s="226" t="s">
        <v>3</v>
      </c>
      <c r="N83" s="226" t="s">
        <v>3</v>
      </c>
      <c r="O83" s="226" t="s">
        <v>3</v>
      </c>
      <c r="P83" s="226" t="s">
        <v>3</v>
      </c>
      <c r="Q83" s="226" t="s">
        <v>3</v>
      </c>
      <c r="R83" s="226" t="s">
        <v>3</v>
      </c>
      <c r="S83" s="226" t="s">
        <v>3</v>
      </c>
      <c r="T83" s="226" t="s">
        <v>3</v>
      </c>
      <c r="U83" s="226" t="s">
        <v>3</v>
      </c>
      <c r="V83" s="226" t="s">
        <v>3</v>
      </c>
      <c r="W83" s="226" t="s">
        <v>3</v>
      </c>
      <c r="X83" s="226" t="s">
        <v>3</v>
      </c>
      <c r="Y83" s="226" t="s">
        <v>3</v>
      </c>
      <c r="Z83" s="227" t="s">
        <v>3</v>
      </c>
    </row>
    <row r="84" spans="1:26" ht="14.45" customHeight="1">
      <c r="A84" s="722"/>
      <c r="B84" s="719"/>
      <c r="C84" s="727"/>
      <c r="D84" s="719"/>
      <c r="E84" s="719"/>
      <c r="F84" s="719"/>
      <c r="G84" s="224" t="s">
        <v>67</v>
      </c>
      <c r="H84" s="229">
        <f t="shared" si="189"/>
        <v>101</v>
      </c>
      <c r="I84" s="226">
        <f>IF(I85="","",I79+I85)</f>
        <v>7</v>
      </c>
      <c r="J84" s="226">
        <f t="shared" ref="J84" si="209">IF(J85="","",J79+J85)</f>
        <v>5</v>
      </c>
      <c r="K84" s="226">
        <f t="shared" ref="K84" si="210">IF(K85="","",K79+K85)</f>
        <v>6</v>
      </c>
      <c r="L84" s="226">
        <f t="shared" ref="L84" si="211">IF(L85="","",L79+L85)</f>
        <v>3</v>
      </c>
      <c r="M84" s="226">
        <f t="shared" ref="M84" si="212">IF(M85="","",M79+M85)</f>
        <v>4</v>
      </c>
      <c r="N84" s="226">
        <f t="shared" ref="N84" si="213">IF(N85="","",N79+N85)</f>
        <v>6</v>
      </c>
      <c r="O84" s="226">
        <f t="shared" ref="O84" si="214">IF(O85="","",O79+O85)</f>
        <v>5</v>
      </c>
      <c r="P84" s="226">
        <f t="shared" ref="P84" si="215">IF(P85="","",P79+P85)</f>
        <v>5</v>
      </c>
      <c r="Q84" s="226">
        <f t="shared" ref="Q84" si="216">IF(Q85="","",Q79+Q85)</f>
        <v>7</v>
      </c>
      <c r="R84" s="226">
        <f t="shared" ref="R84" si="217">IF(R85="","",R79+R85)</f>
        <v>7</v>
      </c>
      <c r="S84" s="226">
        <f t="shared" ref="S84" si="218">IF(S85="","",S79+S85)</f>
        <v>5</v>
      </c>
      <c r="T84" s="226">
        <f t="shared" ref="T84" si="219">IF(T85="","",T79+T85)</f>
        <v>6</v>
      </c>
      <c r="U84" s="226">
        <f t="shared" ref="U84" si="220">IF(U85="","",U79+U85)</f>
        <v>7</v>
      </c>
      <c r="V84" s="226">
        <f t="shared" ref="V84" si="221">IF(V85="","",V79+V85)</f>
        <v>5</v>
      </c>
      <c r="W84" s="226">
        <f t="shared" ref="W84" si="222">IF(W85="","",W79+W85)</f>
        <v>6</v>
      </c>
      <c r="X84" s="226">
        <f t="shared" ref="X84" si="223">IF(X85="","",X79+X85)</f>
        <v>6</v>
      </c>
      <c r="Y84" s="226">
        <f t="shared" ref="Y84" si="224">IF(Y85="","",Y79+Y85)</f>
        <v>5</v>
      </c>
      <c r="Z84" s="227">
        <f t="shared" ref="Z84" si="225">IF(Z85="","",Z79+Z85)</f>
        <v>6</v>
      </c>
    </row>
    <row r="85" spans="1:26" ht="14.45" customHeight="1">
      <c r="A85" s="723"/>
      <c r="B85" s="720"/>
      <c r="C85" s="728"/>
      <c r="D85" s="720"/>
      <c r="E85" s="720"/>
      <c r="F85" s="720"/>
      <c r="G85" s="230" t="s">
        <v>143</v>
      </c>
      <c r="H85" s="231" t="str">
        <f t="shared" si="207"/>
        <v>+29</v>
      </c>
      <c r="I85" s="231">
        <v>2</v>
      </c>
      <c r="J85" s="233">
        <v>1</v>
      </c>
      <c r="K85" s="231">
        <v>2</v>
      </c>
      <c r="L85" s="235">
        <v>0</v>
      </c>
      <c r="M85" s="235">
        <v>0</v>
      </c>
      <c r="N85" s="231">
        <v>2</v>
      </c>
      <c r="O85" s="233">
        <v>1</v>
      </c>
      <c r="P85" s="231">
        <v>2</v>
      </c>
      <c r="Q85" s="231">
        <v>2</v>
      </c>
      <c r="R85" s="231">
        <v>2</v>
      </c>
      <c r="S85" s="233">
        <v>1</v>
      </c>
      <c r="T85" s="231">
        <v>2</v>
      </c>
      <c r="U85" s="231">
        <v>3</v>
      </c>
      <c r="V85" s="231">
        <v>2</v>
      </c>
      <c r="W85" s="233">
        <v>1</v>
      </c>
      <c r="X85" s="231">
        <v>2</v>
      </c>
      <c r="Y85" s="231">
        <v>2</v>
      </c>
      <c r="Z85" s="234">
        <v>2</v>
      </c>
    </row>
    <row r="86" spans="1:26" ht="14.45" customHeight="1">
      <c r="A86" s="721">
        <v>13</v>
      </c>
      <c r="B86" s="724">
        <v>44968</v>
      </c>
      <c r="C86" s="726">
        <v>0.39930555555555558</v>
      </c>
      <c r="D86" s="748" t="s">
        <v>157</v>
      </c>
      <c r="E86" s="717" t="s">
        <v>1860</v>
      </c>
      <c r="F86" s="717" t="s">
        <v>1861</v>
      </c>
      <c r="G86" s="221" t="s">
        <v>137</v>
      </c>
      <c r="H86" s="222">
        <f t="shared" si="167"/>
        <v>72</v>
      </c>
      <c r="I86" s="222">
        <v>5</v>
      </c>
      <c r="J86" s="222">
        <v>3</v>
      </c>
      <c r="K86" s="222">
        <v>3</v>
      </c>
      <c r="L86" s="222">
        <v>4</v>
      </c>
      <c r="M86" s="222">
        <v>4</v>
      </c>
      <c r="N86" s="222">
        <v>4</v>
      </c>
      <c r="O86" s="222">
        <v>5</v>
      </c>
      <c r="P86" s="222">
        <v>4</v>
      </c>
      <c r="Q86" s="222">
        <v>4</v>
      </c>
      <c r="R86" s="222">
        <v>5</v>
      </c>
      <c r="S86" s="222">
        <v>4</v>
      </c>
      <c r="T86" s="222">
        <v>4</v>
      </c>
      <c r="U86" s="222">
        <v>3</v>
      </c>
      <c r="V86" s="222">
        <v>4</v>
      </c>
      <c r="W86" s="222">
        <v>4</v>
      </c>
      <c r="X86" s="222">
        <v>4</v>
      </c>
      <c r="Y86" s="222">
        <v>3</v>
      </c>
      <c r="Z86" s="223">
        <v>5</v>
      </c>
    </row>
    <row r="87" spans="1:26" ht="14.45" customHeight="1">
      <c r="A87" s="722"/>
      <c r="B87" s="725"/>
      <c r="C87" s="727"/>
      <c r="D87" s="749"/>
      <c r="E87" s="718"/>
      <c r="F87" s="718"/>
      <c r="G87" s="224" t="s">
        <v>160</v>
      </c>
      <c r="H87" s="225">
        <f t="shared" si="167"/>
        <v>5632</v>
      </c>
      <c r="I87" s="226">
        <v>449</v>
      </c>
      <c r="J87" s="226">
        <v>133</v>
      </c>
      <c r="K87" s="226">
        <v>134</v>
      </c>
      <c r="L87" s="226">
        <v>311</v>
      </c>
      <c r="M87" s="226">
        <v>288</v>
      </c>
      <c r="N87" s="226">
        <v>324</v>
      </c>
      <c r="O87" s="226">
        <v>503</v>
      </c>
      <c r="P87" s="226">
        <v>330</v>
      </c>
      <c r="Q87" s="226">
        <v>357</v>
      </c>
      <c r="R87" s="226">
        <v>468</v>
      </c>
      <c r="S87" s="226">
        <v>374</v>
      </c>
      <c r="T87" s="226">
        <v>338</v>
      </c>
      <c r="U87" s="226">
        <v>162</v>
      </c>
      <c r="V87" s="226">
        <v>317</v>
      </c>
      <c r="W87" s="226">
        <v>301</v>
      </c>
      <c r="X87" s="226">
        <v>260</v>
      </c>
      <c r="Y87" s="226">
        <v>128</v>
      </c>
      <c r="Z87" s="227">
        <v>455</v>
      </c>
    </row>
    <row r="88" spans="1:26" ht="14.45" customHeight="1">
      <c r="A88" s="722"/>
      <c r="B88" s="719"/>
      <c r="C88" s="727"/>
      <c r="D88" s="749"/>
      <c r="E88" s="718"/>
      <c r="F88" s="719"/>
      <c r="G88" s="224" t="s">
        <v>138</v>
      </c>
      <c r="H88" s="228" t="str">
        <f t="shared" si="186"/>
        <v>N/A</v>
      </c>
      <c r="I88" s="226" t="s">
        <v>2</v>
      </c>
      <c r="J88" s="226" t="s">
        <v>2</v>
      </c>
      <c r="K88" s="226" t="s">
        <v>2</v>
      </c>
      <c r="L88" s="226" t="s">
        <v>2</v>
      </c>
      <c r="M88" s="226" t="s">
        <v>2</v>
      </c>
      <c r="N88" s="226" t="s">
        <v>2</v>
      </c>
      <c r="O88" s="226" t="s">
        <v>2</v>
      </c>
      <c r="P88" s="226" t="s">
        <v>2</v>
      </c>
      <c r="Q88" s="226" t="s">
        <v>2</v>
      </c>
      <c r="R88" s="226" t="s">
        <v>2</v>
      </c>
      <c r="S88" s="226" t="s">
        <v>2</v>
      </c>
      <c r="T88" s="226" t="s">
        <v>2</v>
      </c>
      <c r="U88" s="226" t="s">
        <v>2</v>
      </c>
      <c r="V88" s="226" t="s">
        <v>2</v>
      </c>
      <c r="W88" s="226" t="s">
        <v>2</v>
      </c>
      <c r="X88" s="226" t="s">
        <v>2</v>
      </c>
      <c r="Y88" s="226" t="s">
        <v>2</v>
      </c>
      <c r="Z88" s="227" t="s">
        <v>2</v>
      </c>
    </row>
    <row r="89" spans="1:26" ht="14.45" customHeight="1">
      <c r="A89" s="722"/>
      <c r="B89" s="719"/>
      <c r="C89" s="727"/>
      <c r="D89" s="749"/>
      <c r="E89" s="718"/>
      <c r="F89" s="719"/>
      <c r="G89" s="224" t="s">
        <v>145</v>
      </c>
      <c r="H89" s="228" t="str">
        <f t="shared" ref="H89" si="226">IFERROR(IF(I90="N/A","N/A",COUNTIF(I89:Z89,"Y")/(COUNTIF(I89:Z89,"Y")+COUNTIF(I89:Z89,"N"))),"N/A")</f>
        <v>N/A</v>
      </c>
      <c r="I89" s="226" t="s">
        <v>2</v>
      </c>
      <c r="J89" s="226" t="s">
        <v>2</v>
      </c>
      <c r="K89" s="226" t="s">
        <v>2</v>
      </c>
      <c r="L89" s="226" t="s">
        <v>2</v>
      </c>
      <c r="M89" s="226" t="s">
        <v>2</v>
      </c>
      <c r="N89" s="226" t="s">
        <v>2</v>
      </c>
      <c r="O89" s="226" t="s">
        <v>2</v>
      </c>
      <c r="P89" s="226" t="s">
        <v>2</v>
      </c>
      <c r="Q89" s="226" t="s">
        <v>2</v>
      </c>
      <c r="R89" s="226" t="s">
        <v>2</v>
      </c>
      <c r="S89" s="226" t="s">
        <v>2</v>
      </c>
      <c r="T89" s="226" t="s">
        <v>2</v>
      </c>
      <c r="U89" s="226" t="s">
        <v>2</v>
      </c>
      <c r="V89" s="226" t="s">
        <v>2</v>
      </c>
      <c r="W89" s="226" t="s">
        <v>2</v>
      </c>
      <c r="X89" s="226" t="s">
        <v>2</v>
      </c>
      <c r="Y89" s="226" t="s">
        <v>2</v>
      </c>
      <c r="Z89" s="227" t="s">
        <v>2</v>
      </c>
    </row>
    <row r="90" spans="1:26" ht="14.45" customHeight="1">
      <c r="A90" s="722"/>
      <c r="B90" s="719"/>
      <c r="C90" s="727"/>
      <c r="D90" s="749"/>
      <c r="E90" s="718"/>
      <c r="F90" s="719"/>
      <c r="G90" s="224" t="s">
        <v>139</v>
      </c>
      <c r="H90" s="226" t="str">
        <f t="shared" si="188"/>
        <v>N/A</v>
      </c>
      <c r="I90" s="226" t="s">
        <v>3</v>
      </c>
      <c r="J90" s="226" t="s">
        <v>3</v>
      </c>
      <c r="K90" s="226" t="s">
        <v>3</v>
      </c>
      <c r="L90" s="226" t="s">
        <v>3</v>
      </c>
      <c r="M90" s="226" t="s">
        <v>3</v>
      </c>
      <c r="N90" s="226" t="s">
        <v>3</v>
      </c>
      <c r="O90" s="226" t="s">
        <v>3</v>
      </c>
      <c r="P90" s="226" t="s">
        <v>3</v>
      </c>
      <c r="Q90" s="226" t="s">
        <v>3</v>
      </c>
      <c r="R90" s="226" t="s">
        <v>3</v>
      </c>
      <c r="S90" s="226" t="s">
        <v>3</v>
      </c>
      <c r="T90" s="226" t="s">
        <v>3</v>
      </c>
      <c r="U90" s="226" t="s">
        <v>3</v>
      </c>
      <c r="V90" s="226" t="s">
        <v>3</v>
      </c>
      <c r="W90" s="226" t="s">
        <v>3</v>
      </c>
      <c r="X90" s="226" t="s">
        <v>3</v>
      </c>
      <c r="Y90" s="226" t="s">
        <v>3</v>
      </c>
      <c r="Z90" s="227" t="s">
        <v>3</v>
      </c>
    </row>
    <row r="91" spans="1:26" ht="14.45" customHeight="1">
      <c r="A91" s="722"/>
      <c r="B91" s="719"/>
      <c r="C91" s="727"/>
      <c r="D91" s="749"/>
      <c r="E91" s="718"/>
      <c r="F91" s="719"/>
      <c r="G91" s="224" t="s">
        <v>67</v>
      </c>
      <c r="H91" s="229">
        <f t="shared" si="189"/>
        <v>98</v>
      </c>
      <c r="I91" s="226">
        <f>IF(I92="","",I86+I92)</f>
        <v>5</v>
      </c>
      <c r="J91" s="226">
        <f t="shared" ref="J91" si="227">IF(J92="","",J86+J92)</f>
        <v>4</v>
      </c>
      <c r="K91" s="226">
        <f t="shared" ref="K91" si="228">IF(K92="","",K86+K92)</f>
        <v>5</v>
      </c>
      <c r="L91" s="226">
        <f t="shared" ref="L91" si="229">IF(L92="","",L86+L92)</f>
        <v>5</v>
      </c>
      <c r="M91" s="226">
        <f t="shared" ref="M91" si="230">IF(M92="","",M86+M92)</f>
        <v>6</v>
      </c>
      <c r="N91" s="226">
        <f t="shared" ref="N91" si="231">IF(N92="","",N86+N92)</f>
        <v>7</v>
      </c>
      <c r="O91" s="226">
        <f t="shared" ref="O91" si="232">IF(O92="","",O86+O92)</f>
        <v>9</v>
      </c>
      <c r="P91" s="226">
        <f t="shared" ref="P91" si="233">IF(P92="","",P86+P92)</f>
        <v>4</v>
      </c>
      <c r="Q91" s="226">
        <f t="shared" ref="Q91" si="234">IF(Q92="","",Q86+Q92)</f>
        <v>6</v>
      </c>
      <c r="R91" s="226">
        <f t="shared" ref="R91" si="235">IF(R92="","",R86+R92)</f>
        <v>5</v>
      </c>
      <c r="S91" s="226">
        <f t="shared" ref="S91" si="236">IF(S92="","",S86+S92)</f>
        <v>5</v>
      </c>
      <c r="T91" s="226">
        <f t="shared" ref="T91" si="237">IF(T92="","",T86+T92)</f>
        <v>5</v>
      </c>
      <c r="U91" s="226">
        <f t="shared" ref="U91" si="238">IF(U92="","",U86+U92)</f>
        <v>3</v>
      </c>
      <c r="V91" s="226">
        <f t="shared" ref="V91" si="239">IF(V92="","",V86+V92)</f>
        <v>7</v>
      </c>
      <c r="W91" s="226">
        <f t="shared" ref="W91" si="240">IF(W92="","",W86+W92)</f>
        <v>6</v>
      </c>
      <c r="X91" s="226">
        <f t="shared" ref="X91" si="241">IF(X92="","",X86+X92)</f>
        <v>6</v>
      </c>
      <c r="Y91" s="226">
        <f t="shared" ref="Y91" si="242">IF(Y92="","",Y86+Y92)</f>
        <v>6</v>
      </c>
      <c r="Z91" s="227">
        <f t="shared" ref="Z91" si="243">IF(Z92="","",Z86+Z92)</f>
        <v>4</v>
      </c>
    </row>
    <row r="92" spans="1:26" ht="14.45" customHeight="1">
      <c r="A92" s="723"/>
      <c r="B92" s="720"/>
      <c r="C92" s="728"/>
      <c r="D92" s="750"/>
      <c r="E92" s="751"/>
      <c r="F92" s="720"/>
      <c r="G92" s="230" t="s">
        <v>143</v>
      </c>
      <c r="H92" s="231" t="str">
        <f t="shared" si="207"/>
        <v>+26</v>
      </c>
      <c r="I92" s="235">
        <v>0</v>
      </c>
      <c r="J92" s="233">
        <v>1</v>
      </c>
      <c r="K92" s="231">
        <v>2</v>
      </c>
      <c r="L92" s="233">
        <v>1</v>
      </c>
      <c r="M92" s="231">
        <v>2</v>
      </c>
      <c r="N92" s="231">
        <v>3</v>
      </c>
      <c r="O92" s="231">
        <v>4</v>
      </c>
      <c r="P92" s="235">
        <v>0</v>
      </c>
      <c r="Q92" s="231">
        <v>2</v>
      </c>
      <c r="R92" s="235">
        <v>0</v>
      </c>
      <c r="S92" s="233">
        <v>1</v>
      </c>
      <c r="T92" s="233">
        <v>1</v>
      </c>
      <c r="U92" s="235">
        <v>0</v>
      </c>
      <c r="V92" s="231">
        <v>3</v>
      </c>
      <c r="W92" s="231">
        <v>2</v>
      </c>
      <c r="X92" s="231">
        <v>2</v>
      </c>
      <c r="Y92" s="232">
        <v>3</v>
      </c>
      <c r="Z92" s="239">
        <v>-1</v>
      </c>
    </row>
    <row r="93" spans="1:26" ht="14.45" customHeight="1">
      <c r="A93" s="721">
        <v>14</v>
      </c>
      <c r="B93" s="724">
        <v>45002</v>
      </c>
      <c r="C93" s="726">
        <v>0.58333333333333337</v>
      </c>
      <c r="D93" s="747" t="s">
        <v>276</v>
      </c>
      <c r="E93" s="747" t="s">
        <v>277</v>
      </c>
      <c r="F93" s="717" t="s">
        <v>1862</v>
      </c>
      <c r="G93" s="221" t="s">
        <v>137</v>
      </c>
      <c r="H93" s="222">
        <f t="shared" ref="H93:H94" si="244">SUM(I93:Z93)</f>
        <v>72</v>
      </c>
      <c r="I93" s="222">
        <v>5</v>
      </c>
      <c r="J93" s="222">
        <v>4</v>
      </c>
      <c r="K93" s="222">
        <v>4</v>
      </c>
      <c r="L93" s="222">
        <v>3</v>
      </c>
      <c r="M93" s="222">
        <v>4</v>
      </c>
      <c r="N93" s="222">
        <v>4</v>
      </c>
      <c r="O93" s="222">
        <v>3</v>
      </c>
      <c r="P93" s="222">
        <v>4</v>
      </c>
      <c r="Q93" s="222">
        <v>5</v>
      </c>
      <c r="R93" s="222">
        <v>4</v>
      </c>
      <c r="S93" s="222">
        <v>3</v>
      </c>
      <c r="T93" s="222">
        <v>4</v>
      </c>
      <c r="U93" s="222">
        <v>5</v>
      </c>
      <c r="V93" s="222">
        <v>4</v>
      </c>
      <c r="W93" s="222">
        <v>5</v>
      </c>
      <c r="X93" s="222">
        <v>3</v>
      </c>
      <c r="Y93" s="222">
        <v>4</v>
      </c>
      <c r="Z93" s="223">
        <v>4</v>
      </c>
    </row>
    <row r="94" spans="1:26" ht="14.45" customHeight="1">
      <c r="A94" s="722"/>
      <c r="B94" s="725"/>
      <c r="C94" s="727"/>
      <c r="D94" s="719"/>
      <c r="E94" s="719"/>
      <c r="F94" s="718"/>
      <c r="G94" s="224" t="s">
        <v>160</v>
      </c>
      <c r="H94" s="225">
        <f t="shared" si="244"/>
        <v>6177.6864000000023</v>
      </c>
      <c r="I94" s="226">
        <v>533.09519999999998</v>
      </c>
      <c r="J94" s="226">
        <v>369.41759999999999</v>
      </c>
      <c r="K94" s="226">
        <v>361.18799999999999</v>
      </c>
      <c r="L94" s="226">
        <v>137.16</v>
      </c>
      <c r="M94" s="226">
        <v>400.50720000000001</v>
      </c>
      <c r="N94" s="226">
        <v>312.72480000000002</v>
      </c>
      <c r="O94" s="226">
        <v>155.44800000000001</v>
      </c>
      <c r="P94" s="226">
        <v>310.89600000000002</v>
      </c>
      <c r="Q94" s="226">
        <v>520.29359999999997</v>
      </c>
      <c r="R94" s="226">
        <v>357.53039999999999</v>
      </c>
      <c r="S94" s="226">
        <v>146.304</v>
      </c>
      <c r="T94" s="226">
        <v>328.26959999999997</v>
      </c>
      <c r="U94" s="226">
        <v>463.60079999999999</v>
      </c>
      <c r="V94" s="226">
        <v>323.69760000000002</v>
      </c>
      <c r="W94" s="226">
        <v>517.55039999999997</v>
      </c>
      <c r="X94" s="226">
        <v>160.02000000000001</v>
      </c>
      <c r="Y94" s="226">
        <v>405.07920000000001</v>
      </c>
      <c r="Z94" s="227">
        <v>374.904</v>
      </c>
    </row>
    <row r="95" spans="1:26" ht="14.45" customHeight="1">
      <c r="A95" s="722"/>
      <c r="B95" s="719"/>
      <c r="C95" s="727"/>
      <c r="D95" s="719"/>
      <c r="E95" s="719"/>
      <c r="F95" s="719"/>
      <c r="G95" s="224" t="s">
        <v>138</v>
      </c>
      <c r="H95" s="228" t="str">
        <f t="shared" ref="H95" si="245">IF(I97="N/A","N/A",IF(COUNTIF(I95:Z95,"Y")/14=0,"N/A",COUNTIF(I95:Z95,"Y")/(COUNTIF(I95:Z95,"Y")+COUNTIF(I95:Z95,"N"))))</f>
        <v>N/A</v>
      </c>
      <c r="I95" s="226" t="s">
        <v>2</v>
      </c>
      <c r="J95" s="226" t="s">
        <v>2</v>
      </c>
      <c r="K95" s="226" t="s">
        <v>2</v>
      </c>
      <c r="L95" s="226" t="s">
        <v>2</v>
      </c>
      <c r="M95" s="226" t="s">
        <v>2</v>
      </c>
      <c r="N95" s="226" t="s">
        <v>2</v>
      </c>
      <c r="O95" s="226" t="s">
        <v>2</v>
      </c>
      <c r="P95" s="226" t="s">
        <v>2</v>
      </c>
      <c r="Q95" s="226" t="s">
        <v>2</v>
      </c>
      <c r="R95" s="226" t="s">
        <v>2</v>
      </c>
      <c r="S95" s="226" t="s">
        <v>2</v>
      </c>
      <c r="T95" s="226" t="s">
        <v>2</v>
      </c>
      <c r="U95" s="226" t="s">
        <v>2</v>
      </c>
      <c r="V95" s="226" t="s">
        <v>2</v>
      </c>
      <c r="W95" s="226" t="s">
        <v>2</v>
      </c>
      <c r="X95" s="226" t="s">
        <v>2</v>
      </c>
      <c r="Y95" s="226" t="s">
        <v>2</v>
      </c>
      <c r="Z95" s="227" t="s">
        <v>2</v>
      </c>
    </row>
    <row r="96" spans="1:26" ht="14.45" customHeight="1">
      <c r="A96" s="722"/>
      <c r="B96" s="719"/>
      <c r="C96" s="727"/>
      <c r="D96" s="719"/>
      <c r="E96" s="719"/>
      <c r="F96" s="719"/>
      <c r="G96" s="224" t="s">
        <v>145</v>
      </c>
      <c r="H96" s="228">
        <f>IFERROR(IF(I97="N/A","N/A",COUNTIF(I96:Z96,"Y")/(COUNTIF(I96:Z96,"Y")+COUNTIF(I96:Z96,"N"))),"N/A")</f>
        <v>0</v>
      </c>
      <c r="I96" s="226" t="s">
        <v>1616</v>
      </c>
      <c r="J96" s="226" t="s">
        <v>1615</v>
      </c>
      <c r="K96" s="226" t="s">
        <v>1615</v>
      </c>
      <c r="L96" s="226" t="s">
        <v>1615</v>
      </c>
      <c r="M96" s="226" t="s">
        <v>1615</v>
      </c>
      <c r="N96" s="226" t="s">
        <v>1615</v>
      </c>
      <c r="O96" s="226" t="s">
        <v>1615</v>
      </c>
      <c r="P96" s="226" t="s">
        <v>1615</v>
      </c>
      <c r="Q96" s="226" t="s">
        <v>1615</v>
      </c>
      <c r="R96" s="226" t="s">
        <v>1615</v>
      </c>
      <c r="S96" s="226" t="s">
        <v>1615</v>
      </c>
      <c r="T96" s="226" t="s">
        <v>1615</v>
      </c>
      <c r="U96" s="226" t="s">
        <v>1615</v>
      </c>
      <c r="V96" s="226" t="s">
        <v>1615</v>
      </c>
      <c r="W96" s="226" t="s">
        <v>1615</v>
      </c>
      <c r="X96" s="226" t="s">
        <v>1615</v>
      </c>
      <c r="Y96" s="226" t="s">
        <v>1615</v>
      </c>
      <c r="Z96" s="227" t="s">
        <v>1615</v>
      </c>
    </row>
    <row r="97" spans="1:26" ht="14.45" customHeight="1">
      <c r="A97" s="722"/>
      <c r="B97" s="719"/>
      <c r="C97" s="727"/>
      <c r="D97" s="719"/>
      <c r="E97" s="719"/>
      <c r="F97" s="719"/>
      <c r="G97" s="224" t="s">
        <v>139</v>
      </c>
      <c r="H97" s="226">
        <f t="shared" ref="H97" si="246">IF(I97="N/A","N/A",SUM(I97:Z97))</f>
        <v>45</v>
      </c>
      <c r="I97" s="226">
        <v>3</v>
      </c>
      <c r="J97" s="226">
        <v>5</v>
      </c>
      <c r="K97" s="226">
        <v>2</v>
      </c>
      <c r="L97" s="226">
        <v>5</v>
      </c>
      <c r="M97" s="226">
        <v>3</v>
      </c>
      <c r="N97" s="226">
        <v>1</v>
      </c>
      <c r="O97" s="226">
        <v>2</v>
      </c>
      <c r="P97" s="226">
        <v>3</v>
      </c>
      <c r="Q97" s="226">
        <v>2</v>
      </c>
      <c r="R97" s="226">
        <v>2</v>
      </c>
      <c r="S97" s="226">
        <v>3</v>
      </c>
      <c r="T97" s="226">
        <v>2</v>
      </c>
      <c r="U97" s="226">
        <v>2</v>
      </c>
      <c r="V97" s="226">
        <v>1</v>
      </c>
      <c r="W97" s="226">
        <v>2</v>
      </c>
      <c r="X97" s="226">
        <v>1</v>
      </c>
      <c r="Y97" s="226">
        <v>3</v>
      </c>
      <c r="Z97" s="227">
        <v>3</v>
      </c>
    </row>
    <row r="98" spans="1:26" ht="14.45" customHeight="1">
      <c r="A98" s="722"/>
      <c r="B98" s="719"/>
      <c r="C98" s="727"/>
      <c r="D98" s="719"/>
      <c r="E98" s="719"/>
      <c r="F98" s="719"/>
      <c r="G98" s="224" t="s">
        <v>67</v>
      </c>
      <c r="H98" s="229">
        <f t="shared" ref="H98" si="247">SUM(I98:Z98)</f>
        <v>130</v>
      </c>
      <c r="I98" s="226">
        <f>IF(I99="","",I93+I99)</f>
        <v>10</v>
      </c>
      <c r="J98" s="226">
        <f t="shared" ref="J98" si="248">IF(J99="","",J93+J99)</f>
        <v>9</v>
      </c>
      <c r="K98" s="226">
        <f t="shared" ref="K98" si="249">IF(K99="","",K93+K99)</f>
        <v>6</v>
      </c>
      <c r="L98" s="226">
        <f t="shared" ref="L98" si="250">IF(L99="","",L93+L99)</f>
        <v>7</v>
      </c>
      <c r="M98" s="226">
        <f t="shared" ref="M98" si="251">IF(M99="","",M93+M99)</f>
        <v>10</v>
      </c>
      <c r="N98" s="226">
        <f t="shared" ref="N98" si="252">IF(N99="","",N93+N99)</f>
        <v>9</v>
      </c>
      <c r="O98" s="226">
        <f t="shared" ref="O98" si="253">IF(O99="","",O93+O99)</f>
        <v>6</v>
      </c>
      <c r="P98" s="226">
        <f t="shared" ref="P98" si="254">IF(P99="","",P93+P99)</f>
        <v>6</v>
      </c>
      <c r="Q98" s="226">
        <f t="shared" ref="Q98" si="255">IF(Q99="","",Q93+Q99)</f>
        <v>8</v>
      </c>
      <c r="R98" s="226">
        <f t="shared" ref="R98" si="256">IF(R99="","",R93+R99)</f>
        <v>8</v>
      </c>
      <c r="S98" s="226">
        <f t="shared" ref="S98" si="257">IF(S99="","",S93+S99)</f>
        <v>5</v>
      </c>
      <c r="T98" s="226">
        <f t="shared" ref="T98" si="258">IF(T99="","",T93+T99)</f>
        <v>6</v>
      </c>
      <c r="U98" s="226">
        <f t="shared" ref="U98" si="259">IF(U99="","",U93+U99)</f>
        <v>7</v>
      </c>
      <c r="V98" s="226">
        <f t="shared" ref="V98" si="260">IF(V99="","",V93+V99)</f>
        <v>5</v>
      </c>
      <c r="W98" s="226">
        <f t="shared" ref="W98" si="261">IF(W99="","",W93+W99)</f>
        <v>12</v>
      </c>
      <c r="X98" s="226">
        <f t="shared" ref="X98" si="262">IF(X99="","",X93+X99)</f>
        <v>4</v>
      </c>
      <c r="Y98" s="226">
        <f t="shared" ref="Y98" si="263">IF(Y99="","",Y93+Y99)</f>
        <v>6</v>
      </c>
      <c r="Z98" s="227">
        <f t="shared" ref="Z98" si="264">IF(Z99="","",Z93+Z99)</f>
        <v>6</v>
      </c>
    </row>
    <row r="99" spans="1:26" ht="14.45" customHeight="1">
      <c r="A99" s="723"/>
      <c r="B99" s="720"/>
      <c r="C99" s="728"/>
      <c r="D99" s="720"/>
      <c r="E99" s="720"/>
      <c r="F99" s="720"/>
      <c r="G99" s="230" t="s">
        <v>143</v>
      </c>
      <c r="H99" s="231" t="str">
        <f t="shared" ref="H99" si="265">IF(SUM(I99:Z99)&gt;0,"+"&amp;SUM(I99:Z99),SUM(I99:Z99))</f>
        <v>+58</v>
      </c>
      <c r="I99" s="232">
        <v>5</v>
      </c>
      <c r="J99" s="232">
        <v>5</v>
      </c>
      <c r="K99" s="231">
        <v>2</v>
      </c>
      <c r="L99" s="232">
        <v>4</v>
      </c>
      <c r="M99" s="232">
        <v>6</v>
      </c>
      <c r="N99" s="232">
        <v>5</v>
      </c>
      <c r="O99" s="232">
        <v>3</v>
      </c>
      <c r="P99" s="231">
        <v>2</v>
      </c>
      <c r="Q99" s="231">
        <v>3</v>
      </c>
      <c r="R99" s="232">
        <v>4</v>
      </c>
      <c r="S99" s="231">
        <v>2</v>
      </c>
      <c r="T99" s="231">
        <v>2</v>
      </c>
      <c r="U99" s="231">
        <v>2</v>
      </c>
      <c r="V99" s="233">
        <v>1</v>
      </c>
      <c r="W99" s="232">
        <v>7</v>
      </c>
      <c r="X99" s="233">
        <v>1</v>
      </c>
      <c r="Y99" s="231">
        <v>2</v>
      </c>
      <c r="Z99" s="234">
        <v>2</v>
      </c>
    </row>
    <row r="100" spans="1:26" ht="14.45" customHeight="1">
      <c r="A100" s="721">
        <v>15</v>
      </c>
      <c r="B100" s="724">
        <v>45003</v>
      </c>
      <c r="C100" s="726">
        <v>0.625</v>
      </c>
      <c r="D100" s="747" t="s">
        <v>278</v>
      </c>
      <c r="E100" s="747" t="s">
        <v>277</v>
      </c>
      <c r="F100" s="717" t="s">
        <v>1863</v>
      </c>
      <c r="G100" s="221" t="s">
        <v>137</v>
      </c>
      <c r="H100" s="222">
        <f t="shared" si="167"/>
        <v>72</v>
      </c>
      <c r="I100" s="222">
        <v>4</v>
      </c>
      <c r="J100" s="222">
        <v>5</v>
      </c>
      <c r="K100" s="222">
        <v>4</v>
      </c>
      <c r="L100" s="222">
        <v>4</v>
      </c>
      <c r="M100" s="222">
        <v>5</v>
      </c>
      <c r="N100" s="222">
        <v>3</v>
      </c>
      <c r="O100" s="222">
        <v>4</v>
      </c>
      <c r="P100" s="222">
        <v>3</v>
      </c>
      <c r="Q100" s="222">
        <v>4</v>
      </c>
      <c r="R100" s="222">
        <v>4</v>
      </c>
      <c r="S100" s="222">
        <v>4</v>
      </c>
      <c r="T100" s="222">
        <v>5</v>
      </c>
      <c r="U100" s="222">
        <v>4</v>
      </c>
      <c r="V100" s="222">
        <v>3</v>
      </c>
      <c r="W100" s="222">
        <v>5</v>
      </c>
      <c r="X100" s="222">
        <v>4</v>
      </c>
      <c r="Y100" s="222">
        <v>3</v>
      </c>
      <c r="Z100" s="223">
        <v>4</v>
      </c>
    </row>
    <row r="101" spans="1:26" ht="14.45" customHeight="1">
      <c r="A101" s="722"/>
      <c r="B101" s="725"/>
      <c r="C101" s="727"/>
      <c r="D101" s="719"/>
      <c r="E101" s="719"/>
      <c r="F101" s="718"/>
      <c r="G101" s="224" t="s">
        <v>160</v>
      </c>
      <c r="H101" s="225">
        <f t="shared" si="167"/>
        <v>6233.4647999999997</v>
      </c>
      <c r="I101" s="226">
        <v>353.87279999999998</v>
      </c>
      <c r="J101" s="226">
        <v>552.29759999999999</v>
      </c>
      <c r="K101" s="226">
        <v>378.5616</v>
      </c>
      <c r="L101" s="226">
        <v>384.9624</v>
      </c>
      <c r="M101" s="226">
        <v>507.49200000000002</v>
      </c>
      <c r="N101" s="226">
        <v>132.58799999999999</v>
      </c>
      <c r="O101" s="226">
        <v>348.38639999999998</v>
      </c>
      <c r="P101" s="226">
        <v>124.3584</v>
      </c>
      <c r="Q101" s="226">
        <v>364.84559999999999</v>
      </c>
      <c r="R101" s="226">
        <v>330.09839999999997</v>
      </c>
      <c r="S101" s="226">
        <v>350.21519999999998</v>
      </c>
      <c r="T101" s="226">
        <v>510.23520000000002</v>
      </c>
      <c r="U101" s="226">
        <v>377.6472</v>
      </c>
      <c r="V101" s="226">
        <v>149.9616</v>
      </c>
      <c r="W101" s="226">
        <v>520.29359999999997</v>
      </c>
      <c r="X101" s="226">
        <v>377.6472</v>
      </c>
      <c r="Y101" s="226">
        <v>151.79040000000001</v>
      </c>
      <c r="Z101" s="227">
        <v>318.21120000000002</v>
      </c>
    </row>
    <row r="102" spans="1:26" ht="14.45" customHeight="1">
      <c r="A102" s="722"/>
      <c r="B102" s="719"/>
      <c r="C102" s="727"/>
      <c r="D102" s="719"/>
      <c r="E102" s="719"/>
      <c r="F102" s="719"/>
      <c r="G102" s="224" t="s">
        <v>138</v>
      </c>
      <c r="H102" s="228" t="str">
        <f t="shared" si="186"/>
        <v>N/A</v>
      </c>
      <c r="I102" s="226" t="s">
        <v>2</v>
      </c>
      <c r="J102" s="226" t="s">
        <v>2</v>
      </c>
      <c r="K102" s="226" t="s">
        <v>2</v>
      </c>
      <c r="L102" s="226" t="s">
        <v>2</v>
      </c>
      <c r="M102" s="226" t="s">
        <v>2</v>
      </c>
      <c r="N102" s="226" t="s">
        <v>2</v>
      </c>
      <c r="O102" s="226" t="s">
        <v>2</v>
      </c>
      <c r="P102" s="226" t="s">
        <v>2</v>
      </c>
      <c r="Q102" s="226" t="s">
        <v>2</v>
      </c>
      <c r="R102" s="226" t="s">
        <v>2</v>
      </c>
      <c r="S102" s="226" t="s">
        <v>2</v>
      </c>
      <c r="T102" s="226" t="s">
        <v>2</v>
      </c>
      <c r="U102" s="226" t="s">
        <v>2</v>
      </c>
      <c r="V102" s="226" t="s">
        <v>2</v>
      </c>
      <c r="W102" s="226" t="s">
        <v>2</v>
      </c>
      <c r="X102" s="226" t="s">
        <v>2</v>
      </c>
      <c r="Y102" s="226" t="s">
        <v>2</v>
      </c>
      <c r="Z102" s="227" t="s">
        <v>2</v>
      </c>
    </row>
    <row r="103" spans="1:26" ht="14.45" customHeight="1">
      <c r="A103" s="722"/>
      <c r="B103" s="719"/>
      <c r="C103" s="727"/>
      <c r="D103" s="719"/>
      <c r="E103" s="719"/>
      <c r="F103" s="719"/>
      <c r="G103" s="224" t="s">
        <v>145</v>
      </c>
      <c r="H103" s="228">
        <f t="shared" ref="H103" si="266">IFERROR(IF(I104="N/A","N/A",COUNTIF(I103:Z103,"Y")/(COUNTIF(I103:Z103,"Y")+COUNTIF(I103:Z103,"N"))),"N/A")</f>
        <v>6.6666666666666666E-2</v>
      </c>
      <c r="I103" s="226" t="s">
        <v>1616</v>
      </c>
      <c r="J103" s="226" t="s">
        <v>1616</v>
      </c>
      <c r="K103" s="226" t="s">
        <v>1616</v>
      </c>
      <c r="L103" s="226" t="s">
        <v>1616</v>
      </c>
      <c r="M103" s="226" t="s">
        <v>1616</v>
      </c>
      <c r="N103" s="226" t="s">
        <v>1616</v>
      </c>
      <c r="O103" s="226" t="s">
        <v>1616</v>
      </c>
      <c r="P103" s="226" t="s">
        <v>1616</v>
      </c>
      <c r="Q103" s="226" t="s">
        <v>1616</v>
      </c>
      <c r="R103" s="226" t="s">
        <v>1616</v>
      </c>
      <c r="S103" s="226" t="s">
        <v>1617</v>
      </c>
      <c r="T103" s="226" t="s">
        <v>1616</v>
      </c>
      <c r="U103" s="226" t="s">
        <v>1616</v>
      </c>
      <c r="V103" s="226" t="s">
        <v>1616</v>
      </c>
      <c r="W103" s="226" t="s">
        <v>1616</v>
      </c>
      <c r="X103" s="226" t="s">
        <v>2</v>
      </c>
      <c r="Y103" s="226" t="s">
        <v>2</v>
      </c>
      <c r="Z103" s="227" t="s">
        <v>2</v>
      </c>
    </row>
    <row r="104" spans="1:26" ht="14.45" customHeight="1">
      <c r="A104" s="722"/>
      <c r="B104" s="719"/>
      <c r="C104" s="727"/>
      <c r="D104" s="719"/>
      <c r="E104" s="719"/>
      <c r="F104" s="719"/>
      <c r="G104" s="224" t="s">
        <v>139</v>
      </c>
      <c r="H104" s="226">
        <f t="shared" si="188"/>
        <v>30</v>
      </c>
      <c r="I104" s="226">
        <v>2</v>
      </c>
      <c r="J104" s="226">
        <v>3</v>
      </c>
      <c r="K104" s="226">
        <v>1</v>
      </c>
      <c r="L104" s="226">
        <v>2</v>
      </c>
      <c r="M104" s="226">
        <v>3</v>
      </c>
      <c r="N104" s="226">
        <v>1</v>
      </c>
      <c r="O104" s="226">
        <v>1</v>
      </c>
      <c r="P104" s="226">
        <v>2</v>
      </c>
      <c r="Q104" s="226">
        <v>3</v>
      </c>
      <c r="R104" s="226">
        <v>2</v>
      </c>
      <c r="S104" s="226">
        <v>3</v>
      </c>
      <c r="T104" s="226">
        <v>1</v>
      </c>
      <c r="U104" s="226">
        <v>1</v>
      </c>
      <c r="V104" s="226">
        <v>3</v>
      </c>
      <c r="W104" s="226">
        <v>2</v>
      </c>
      <c r="X104" s="226" t="s">
        <v>3</v>
      </c>
      <c r="Y104" s="226" t="s">
        <v>3</v>
      </c>
      <c r="Z104" s="227" t="s">
        <v>3</v>
      </c>
    </row>
    <row r="105" spans="1:26" ht="14.45" customHeight="1">
      <c r="A105" s="722"/>
      <c r="B105" s="719"/>
      <c r="C105" s="727"/>
      <c r="D105" s="719"/>
      <c r="E105" s="719"/>
      <c r="F105" s="719"/>
      <c r="G105" s="224" t="s">
        <v>67</v>
      </c>
      <c r="H105" s="229">
        <f t="shared" si="189"/>
        <v>97</v>
      </c>
      <c r="I105" s="226">
        <f>IF(I106="","",I100+I106)</f>
        <v>7</v>
      </c>
      <c r="J105" s="226">
        <f t="shared" ref="J105:Z105" si="267">IF(J106="","",J100+J106)</f>
        <v>8</v>
      </c>
      <c r="K105" s="226">
        <f t="shared" si="267"/>
        <v>5</v>
      </c>
      <c r="L105" s="226">
        <f t="shared" si="267"/>
        <v>5</v>
      </c>
      <c r="M105" s="226">
        <f t="shared" si="267"/>
        <v>10</v>
      </c>
      <c r="N105" s="226">
        <f t="shared" si="267"/>
        <v>3</v>
      </c>
      <c r="O105" s="226">
        <f t="shared" si="267"/>
        <v>6</v>
      </c>
      <c r="P105" s="226">
        <f t="shared" si="267"/>
        <v>6</v>
      </c>
      <c r="Q105" s="226">
        <f t="shared" si="267"/>
        <v>6</v>
      </c>
      <c r="R105" s="226">
        <f t="shared" si="267"/>
        <v>6</v>
      </c>
      <c r="S105" s="226">
        <f t="shared" si="267"/>
        <v>5</v>
      </c>
      <c r="T105" s="226">
        <f t="shared" si="267"/>
        <v>9</v>
      </c>
      <c r="U105" s="226">
        <f t="shared" si="267"/>
        <v>6</v>
      </c>
      <c r="V105" s="226">
        <f t="shared" si="267"/>
        <v>6</v>
      </c>
      <c r="W105" s="226">
        <f t="shared" si="267"/>
        <v>9</v>
      </c>
      <c r="X105" s="226" t="str">
        <f t="shared" si="267"/>
        <v/>
      </c>
      <c r="Y105" s="226" t="str">
        <f t="shared" si="267"/>
        <v/>
      </c>
      <c r="Z105" s="227" t="str">
        <f t="shared" si="267"/>
        <v/>
      </c>
    </row>
    <row r="106" spans="1:26" ht="14.45" customHeight="1">
      <c r="A106" s="723"/>
      <c r="B106" s="720"/>
      <c r="C106" s="728"/>
      <c r="D106" s="720"/>
      <c r="E106" s="720"/>
      <c r="F106" s="720"/>
      <c r="G106" s="230" t="s">
        <v>143</v>
      </c>
      <c r="H106" s="231" t="str">
        <f t="shared" si="207"/>
        <v>+36</v>
      </c>
      <c r="I106" s="231">
        <v>3</v>
      </c>
      <c r="J106" s="231">
        <v>3</v>
      </c>
      <c r="K106" s="233">
        <v>1</v>
      </c>
      <c r="L106" s="233">
        <v>1</v>
      </c>
      <c r="M106" s="232">
        <v>5</v>
      </c>
      <c r="N106" s="235">
        <v>0</v>
      </c>
      <c r="O106" s="231">
        <v>2</v>
      </c>
      <c r="P106" s="232">
        <v>3</v>
      </c>
      <c r="Q106" s="231">
        <v>2</v>
      </c>
      <c r="R106" s="231">
        <v>2</v>
      </c>
      <c r="S106" s="233">
        <v>1</v>
      </c>
      <c r="T106" s="231">
        <v>4</v>
      </c>
      <c r="U106" s="231">
        <v>2</v>
      </c>
      <c r="V106" s="232">
        <v>3</v>
      </c>
      <c r="W106" s="231">
        <v>4</v>
      </c>
      <c r="X106" s="231"/>
      <c r="Y106" s="231"/>
      <c r="Z106" s="234"/>
    </row>
    <row r="107" spans="1:26" ht="14.45" customHeight="1">
      <c r="A107" s="721">
        <v>16</v>
      </c>
      <c r="B107" s="724">
        <v>45031</v>
      </c>
      <c r="C107" s="726">
        <v>0.26250000000000001</v>
      </c>
      <c r="D107" s="747" t="s">
        <v>157</v>
      </c>
      <c r="E107" s="747" t="s">
        <v>1864</v>
      </c>
      <c r="F107" s="717" t="s">
        <v>1865</v>
      </c>
      <c r="G107" s="221" t="s">
        <v>137</v>
      </c>
      <c r="H107" s="222">
        <f t="shared" si="167"/>
        <v>72</v>
      </c>
      <c r="I107" s="222">
        <v>5</v>
      </c>
      <c r="J107" s="222">
        <v>4</v>
      </c>
      <c r="K107" s="222">
        <v>4</v>
      </c>
      <c r="L107" s="222">
        <v>3</v>
      </c>
      <c r="M107" s="222">
        <v>5</v>
      </c>
      <c r="N107" s="222">
        <v>3</v>
      </c>
      <c r="O107" s="222">
        <v>4</v>
      </c>
      <c r="P107" s="222">
        <v>4</v>
      </c>
      <c r="Q107" s="222">
        <v>4</v>
      </c>
      <c r="R107" s="222">
        <v>5</v>
      </c>
      <c r="S107" s="222">
        <v>4</v>
      </c>
      <c r="T107" s="222">
        <v>4</v>
      </c>
      <c r="U107" s="222">
        <v>3</v>
      </c>
      <c r="V107" s="222">
        <v>4</v>
      </c>
      <c r="W107" s="222">
        <v>4</v>
      </c>
      <c r="X107" s="222">
        <v>4</v>
      </c>
      <c r="Y107" s="222">
        <v>3</v>
      </c>
      <c r="Z107" s="223">
        <v>5</v>
      </c>
    </row>
    <row r="108" spans="1:26" ht="14.45" customHeight="1">
      <c r="A108" s="722"/>
      <c r="B108" s="725"/>
      <c r="C108" s="727"/>
      <c r="D108" s="719"/>
      <c r="E108" s="719"/>
      <c r="F108" s="718"/>
      <c r="G108" s="224" t="s">
        <v>160</v>
      </c>
      <c r="H108" s="225">
        <f t="shared" si="167"/>
        <v>5569</v>
      </c>
      <c r="I108" s="226">
        <v>449</v>
      </c>
      <c r="J108" s="226">
        <v>296</v>
      </c>
      <c r="K108" s="226">
        <v>348</v>
      </c>
      <c r="L108" s="226">
        <v>133</v>
      </c>
      <c r="M108" s="226">
        <v>483</v>
      </c>
      <c r="N108" s="226">
        <v>134</v>
      </c>
      <c r="O108" s="226">
        <v>311</v>
      </c>
      <c r="P108" s="226">
        <v>288</v>
      </c>
      <c r="Q108" s="226">
        <v>324</v>
      </c>
      <c r="R108" s="226">
        <v>468</v>
      </c>
      <c r="S108" s="226">
        <v>374</v>
      </c>
      <c r="T108" s="226">
        <v>338</v>
      </c>
      <c r="U108" s="226">
        <v>162</v>
      </c>
      <c r="V108" s="226">
        <v>317</v>
      </c>
      <c r="W108" s="226">
        <v>301</v>
      </c>
      <c r="X108" s="226">
        <v>260</v>
      </c>
      <c r="Y108" s="226">
        <v>128</v>
      </c>
      <c r="Z108" s="227">
        <v>455</v>
      </c>
    </row>
    <row r="109" spans="1:26" ht="14.45" customHeight="1">
      <c r="A109" s="722"/>
      <c r="B109" s="719"/>
      <c r="C109" s="727"/>
      <c r="D109" s="719"/>
      <c r="E109" s="719"/>
      <c r="F109" s="719"/>
      <c r="G109" s="224" t="s">
        <v>138</v>
      </c>
      <c r="H109" s="228" t="str">
        <f t="shared" si="186"/>
        <v>N/A</v>
      </c>
      <c r="I109" s="226" t="s">
        <v>2</v>
      </c>
      <c r="J109" s="226" t="s">
        <v>2</v>
      </c>
      <c r="K109" s="226" t="s">
        <v>2</v>
      </c>
      <c r="L109" s="226" t="s">
        <v>2</v>
      </c>
      <c r="M109" s="226" t="s">
        <v>2</v>
      </c>
      <c r="N109" s="226" t="s">
        <v>2</v>
      </c>
      <c r="O109" s="226" t="s">
        <v>2</v>
      </c>
      <c r="P109" s="226" t="s">
        <v>2</v>
      </c>
      <c r="Q109" s="226" t="s">
        <v>2</v>
      </c>
      <c r="R109" s="226" t="s">
        <v>2</v>
      </c>
      <c r="S109" s="226" t="s">
        <v>2</v>
      </c>
      <c r="T109" s="226" t="s">
        <v>2</v>
      </c>
      <c r="U109" s="226" t="s">
        <v>2</v>
      </c>
      <c r="V109" s="226" t="s">
        <v>2</v>
      </c>
      <c r="W109" s="226" t="s">
        <v>2</v>
      </c>
      <c r="X109" s="226" t="s">
        <v>2</v>
      </c>
      <c r="Y109" s="226" t="s">
        <v>2</v>
      </c>
      <c r="Z109" s="227" t="s">
        <v>2</v>
      </c>
    </row>
    <row r="110" spans="1:26" ht="14.45" customHeight="1">
      <c r="A110" s="722"/>
      <c r="B110" s="719"/>
      <c r="C110" s="727"/>
      <c r="D110" s="719"/>
      <c r="E110" s="719"/>
      <c r="F110" s="719"/>
      <c r="G110" s="224" t="s">
        <v>145</v>
      </c>
      <c r="H110" s="228" t="str">
        <f t="shared" ref="H110" si="268">IFERROR(IF(I111="N/A","N/A",COUNTIF(I110:Z110,"Y")/(COUNTIF(I110:Z110,"Y")+COUNTIF(I110:Z110,"N"))),"N/A")</f>
        <v>N/A</v>
      </c>
      <c r="I110" s="226" t="s">
        <v>2</v>
      </c>
      <c r="J110" s="226" t="s">
        <v>2</v>
      </c>
      <c r="K110" s="226" t="s">
        <v>2</v>
      </c>
      <c r="L110" s="226" t="s">
        <v>2</v>
      </c>
      <c r="M110" s="226" t="s">
        <v>2</v>
      </c>
      <c r="N110" s="226" t="s">
        <v>2</v>
      </c>
      <c r="O110" s="226" t="s">
        <v>2</v>
      </c>
      <c r="P110" s="226" t="s">
        <v>2</v>
      </c>
      <c r="Q110" s="226" t="s">
        <v>2</v>
      </c>
      <c r="R110" s="226" t="s">
        <v>2</v>
      </c>
      <c r="S110" s="226" t="s">
        <v>2</v>
      </c>
      <c r="T110" s="226" t="s">
        <v>2</v>
      </c>
      <c r="U110" s="226" t="s">
        <v>2</v>
      </c>
      <c r="V110" s="226" t="s">
        <v>2</v>
      </c>
      <c r="W110" s="226" t="s">
        <v>2</v>
      </c>
      <c r="X110" s="226" t="s">
        <v>2</v>
      </c>
      <c r="Y110" s="226" t="s">
        <v>2</v>
      </c>
      <c r="Z110" s="227" t="s">
        <v>2</v>
      </c>
    </row>
    <row r="111" spans="1:26" ht="14.45" customHeight="1">
      <c r="A111" s="722"/>
      <c r="B111" s="719"/>
      <c r="C111" s="727"/>
      <c r="D111" s="719"/>
      <c r="E111" s="719"/>
      <c r="F111" s="719"/>
      <c r="G111" s="224" t="s">
        <v>139</v>
      </c>
      <c r="H111" s="226" t="str">
        <f t="shared" si="188"/>
        <v>N/A</v>
      </c>
      <c r="I111" s="226" t="s">
        <v>3</v>
      </c>
      <c r="J111" s="226" t="s">
        <v>3</v>
      </c>
      <c r="K111" s="226" t="s">
        <v>3</v>
      </c>
      <c r="L111" s="226" t="s">
        <v>3</v>
      </c>
      <c r="M111" s="226" t="s">
        <v>3</v>
      </c>
      <c r="N111" s="226" t="s">
        <v>3</v>
      </c>
      <c r="O111" s="226" t="s">
        <v>3</v>
      </c>
      <c r="P111" s="226" t="s">
        <v>3</v>
      </c>
      <c r="Q111" s="226" t="s">
        <v>3</v>
      </c>
      <c r="R111" s="226" t="s">
        <v>3</v>
      </c>
      <c r="S111" s="226" t="s">
        <v>3</v>
      </c>
      <c r="T111" s="226" t="s">
        <v>3</v>
      </c>
      <c r="U111" s="226" t="s">
        <v>3</v>
      </c>
      <c r="V111" s="226" t="s">
        <v>3</v>
      </c>
      <c r="W111" s="226" t="s">
        <v>3</v>
      </c>
      <c r="X111" s="226" t="s">
        <v>3</v>
      </c>
      <c r="Y111" s="226" t="s">
        <v>3</v>
      </c>
      <c r="Z111" s="227" t="s">
        <v>3</v>
      </c>
    </row>
    <row r="112" spans="1:26" ht="14.45" customHeight="1">
      <c r="A112" s="722"/>
      <c r="B112" s="719"/>
      <c r="C112" s="727"/>
      <c r="D112" s="719"/>
      <c r="E112" s="719"/>
      <c r="F112" s="719"/>
      <c r="G112" s="224" t="s">
        <v>67</v>
      </c>
      <c r="H112" s="229">
        <f t="shared" si="189"/>
        <v>111</v>
      </c>
      <c r="I112" s="226">
        <f>IF(I113="","",I107+I113)</f>
        <v>6</v>
      </c>
      <c r="J112" s="226">
        <f t="shared" ref="J112" si="269">IF(J113="","",J107+J113)</f>
        <v>5</v>
      </c>
      <c r="K112" s="226">
        <f t="shared" ref="K112" si="270">IF(K113="","",K107+K113)</f>
        <v>5</v>
      </c>
      <c r="L112" s="226">
        <f t="shared" ref="L112" si="271">IF(L113="","",L107+L113)</f>
        <v>6</v>
      </c>
      <c r="M112" s="226">
        <f t="shared" ref="M112" si="272">IF(M113="","",M107+M113)</f>
        <v>8</v>
      </c>
      <c r="N112" s="226">
        <f t="shared" ref="N112" si="273">IF(N113="","",N107+N113)</f>
        <v>6</v>
      </c>
      <c r="O112" s="226">
        <f t="shared" ref="O112" si="274">IF(O113="","",O107+O113)</f>
        <v>6</v>
      </c>
      <c r="P112" s="226">
        <f t="shared" ref="P112" si="275">IF(P113="","",P107+P113)</f>
        <v>6</v>
      </c>
      <c r="Q112" s="226">
        <f t="shared" ref="Q112" si="276">IF(Q113="","",Q107+Q113)</f>
        <v>6</v>
      </c>
      <c r="R112" s="226">
        <f t="shared" ref="R112" si="277">IF(R113="","",R107+R113)</f>
        <v>7</v>
      </c>
      <c r="S112" s="226">
        <f t="shared" ref="S112" si="278">IF(S113="","",S107+S113)</f>
        <v>5</v>
      </c>
      <c r="T112" s="226">
        <f t="shared" ref="T112" si="279">IF(T113="","",T107+T113)</f>
        <v>8</v>
      </c>
      <c r="U112" s="226">
        <f t="shared" ref="U112" si="280">IF(U113="","",U107+U113)</f>
        <v>6</v>
      </c>
      <c r="V112" s="226">
        <f t="shared" ref="V112" si="281">IF(V113="","",V107+V113)</f>
        <v>7</v>
      </c>
      <c r="W112" s="226">
        <f t="shared" ref="W112" si="282">IF(W113="","",W107+W113)</f>
        <v>6</v>
      </c>
      <c r="X112" s="226">
        <f t="shared" ref="X112" si="283">IF(X113="","",X107+X113)</f>
        <v>6</v>
      </c>
      <c r="Y112" s="226">
        <f t="shared" ref="Y112" si="284">IF(Y113="","",Y107+Y113)</f>
        <v>6</v>
      </c>
      <c r="Z112" s="227">
        <f t="shared" ref="Z112" si="285">IF(Z113="","",Z107+Z113)</f>
        <v>6</v>
      </c>
    </row>
    <row r="113" spans="1:26" ht="14.45" customHeight="1">
      <c r="A113" s="723"/>
      <c r="B113" s="720"/>
      <c r="C113" s="728"/>
      <c r="D113" s="720"/>
      <c r="E113" s="720"/>
      <c r="F113" s="720"/>
      <c r="G113" s="230" t="s">
        <v>143</v>
      </c>
      <c r="H113" s="231" t="str">
        <f t="shared" si="207"/>
        <v>+39</v>
      </c>
      <c r="I113" s="233">
        <v>1</v>
      </c>
      <c r="J113" s="233">
        <v>1</v>
      </c>
      <c r="K113" s="233">
        <v>1</v>
      </c>
      <c r="L113" s="232">
        <v>3</v>
      </c>
      <c r="M113" s="231">
        <v>3</v>
      </c>
      <c r="N113" s="232">
        <v>3</v>
      </c>
      <c r="O113" s="231">
        <v>2</v>
      </c>
      <c r="P113" s="231">
        <v>2</v>
      </c>
      <c r="Q113" s="231">
        <v>2</v>
      </c>
      <c r="R113" s="231">
        <v>2</v>
      </c>
      <c r="S113" s="233">
        <v>1</v>
      </c>
      <c r="T113" s="232">
        <v>4</v>
      </c>
      <c r="U113" s="232">
        <v>3</v>
      </c>
      <c r="V113" s="231">
        <v>3</v>
      </c>
      <c r="W113" s="231">
        <v>2</v>
      </c>
      <c r="X113" s="231">
        <v>2</v>
      </c>
      <c r="Y113" s="232">
        <v>3</v>
      </c>
      <c r="Z113" s="236">
        <v>1</v>
      </c>
    </row>
    <row r="114" spans="1:26" ht="14.45" customHeight="1">
      <c r="A114" s="721">
        <v>17</v>
      </c>
      <c r="B114" s="724">
        <v>45047</v>
      </c>
      <c r="C114" s="726">
        <v>0.2902777777777778</v>
      </c>
      <c r="D114" s="714" t="s">
        <v>150</v>
      </c>
      <c r="E114" s="747" t="s">
        <v>1866</v>
      </c>
      <c r="F114" s="729" t="s">
        <v>1867</v>
      </c>
      <c r="G114" s="221" t="s">
        <v>137</v>
      </c>
      <c r="H114" s="222">
        <f t="shared" si="167"/>
        <v>72</v>
      </c>
      <c r="I114" s="222">
        <v>4</v>
      </c>
      <c r="J114" s="222">
        <v>4</v>
      </c>
      <c r="K114" s="222">
        <v>3</v>
      </c>
      <c r="L114" s="222">
        <v>5</v>
      </c>
      <c r="M114" s="222">
        <v>4</v>
      </c>
      <c r="N114" s="222">
        <v>3</v>
      </c>
      <c r="O114" s="222">
        <v>4</v>
      </c>
      <c r="P114" s="222">
        <v>5</v>
      </c>
      <c r="Q114" s="222">
        <v>4</v>
      </c>
      <c r="R114" s="222">
        <v>4</v>
      </c>
      <c r="S114" s="222">
        <v>4</v>
      </c>
      <c r="T114" s="222">
        <v>5</v>
      </c>
      <c r="U114" s="222">
        <v>4</v>
      </c>
      <c r="V114" s="222">
        <v>3</v>
      </c>
      <c r="W114" s="222">
        <v>4</v>
      </c>
      <c r="X114" s="222">
        <v>3</v>
      </c>
      <c r="Y114" s="222">
        <v>4</v>
      </c>
      <c r="Z114" s="223">
        <v>5</v>
      </c>
    </row>
    <row r="115" spans="1:26" ht="14.45" customHeight="1">
      <c r="A115" s="722"/>
      <c r="B115" s="725"/>
      <c r="C115" s="727"/>
      <c r="D115" s="715"/>
      <c r="E115" s="719"/>
      <c r="F115" s="730"/>
      <c r="G115" s="224" t="s">
        <v>160</v>
      </c>
      <c r="H115" s="225">
        <f t="shared" si="167"/>
        <v>5648</v>
      </c>
      <c r="I115" s="226">
        <v>306</v>
      </c>
      <c r="J115" s="226">
        <v>262</v>
      </c>
      <c r="K115" s="226">
        <v>132</v>
      </c>
      <c r="L115" s="226">
        <v>479</v>
      </c>
      <c r="M115" s="226">
        <v>309</v>
      </c>
      <c r="N115" s="226">
        <v>145</v>
      </c>
      <c r="O115" s="226">
        <v>305</v>
      </c>
      <c r="P115" s="226">
        <v>465</v>
      </c>
      <c r="Q115" s="226">
        <v>329</v>
      </c>
      <c r="R115" s="226">
        <v>365</v>
      </c>
      <c r="S115" s="226">
        <v>306</v>
      </c>
      <c r="T115" s="226">
        <v>470</v>
      </c>
      <c r="U115" s="226">
        <v>345</v>
      </c>
      <c r="V115" s="226">
        <v>132</v>
      </c>
      <c r="W115" s="226">
        <v>317</v>
      </c>
      <c r="X115" s="226">
        <v>139</v>
      </c>
      <c r="Y115" s="226">
        <v>333</v>
      </c>
      <c r="Z115" s="227">
        <v>509</v>
      </c>
    </row>
    <row r="116" spans="1:26" ht="14.45" customHeight="1">
      <c r="A116" s="722"/>
      <c r="B116" s="719"/>
      <c r="C116" s="727"/>
      <c r="D116" s="715"/>
      <c r="E116" s="719"/>
      <c r="F116" s="730"/>
      <c r="G116" s="224" t="s">
        <v>138</v>
      </c>
      <c r="H116" s="228" t="str">
        <f t="shared" si="186"/>
        <v>N/A</v>
      </c>
      <c r="I116" s="226" t="s">
        <v>2</v>
      </c>
      <c r="J116" s="226" t="s">
        <v>2</v>
      </c>
      <c r="K116" s="226" t="s">
        <v>2</v>
      </c>
      <c r="L116" s="226" t="s">
        <v>2</v>
      </c>
      <c r="M116" s="226" t="s">
        <v>2</v>
      </c>
      <c r="N116" s="226" t="s">
        <v>2</v>
      </c>
      <c r="O116" s="226" t="s">
        <v>2</v>
      </c>
      <c r="P116" s="226" t="s">
        <v>2</v>
      </c>
      <c r="Q116" s="226" t="s">
        <v>2</v>
      </c>
      <c r="R116" s="226" t="s">
        <v>2</v>
      </c>
      <c r="S116" s="226" t="s">
        <v>2</v>
      </c>
      <c r="T116" s="226" t="s">
        <v>2</v>
      </c>
      <c r="U116" s="226" t="s">
        <v>2</v>
      </c>
      <c r="V116" s="226" t="s">
        <v>2</v>
      </c>
      <c r="W116" s="226" t="s">
        <v>2</v>
      </c>
      <c r="X116" s="226" t="s">
        <v>2</v>
      </c>
      <c r="Y116" s="226" t="s">
        <v>2</v>
      </c>
      <c r="Z116" s="227" t="s">
        <v>2</v>
      </c>
    </row>
    <row r="117" spans="1:26" ht="14.45" customHeight="1">
      <c r="A117" s="722"/>
      <c r="B117" s="719"/>
      <c r="C117" s="727"/>
      <c r="D117" s="715"/>
      <c r="E117" s="719"/>
      <c r="F117" s="730"/>
      <c r="G117" s="224" t="s">
        <v>145</v>
      </c>
      <c r="H117" s="228" t="str">
        <f t="shared" ref="H117" si="286">IFERROR(IF(I118="N/A","N/A",COUNTIF(I117:Z117,"Y")/(COUNTIF(I117:Z117,"Y")+COUNTIF(I117:Z117,"N"))),"N/A")</f>
        <v>N/A</v>
      </c>
      <c r="I117" s="226" t="s">
        <v>2</v>
      </c>
      <c r="J117" s="226" t="s">
        <v>2</v>
      </c>
      <c r="K117" s="226" t="s">
        <v>2</v>
      </c>
      <c r="L117" s="226" t="s">
        <v>2</v>
      </c>
      <c r="M117" s="226" t="s">
        <v>2</v>
      </c>
      <c r="N117" s="226" t="s">
        <v>2</v>
      </c>
      <c r="O117" s="226" t="s">
        <v>2</v>
      </c>
      <c r="P117" s="226" t="s">
        <v>2</v>
      </c>
      <c r="Q117" s="226" t="s">
        <v>2</v>
      </c>
      <c r="R117" s="226" t="s">
        <v>2</v>
      </c>
      <c r="S117" s="226" t="s">
        <v>2</v>
      </c>
      <c r="T117" s="226" t="s">
        <v>2</v>
      </c>
      <c r="U117" s="226" t="s">
        <v>2</v>
      </c>
      <c r="V117" s="226" t="s">
        <v>2</v>
      </c>
      <c r="W117" s="226" t="s">
        <v>2</v>
      </c>
      <c r="X117" s="226" t="s">
        <v>2</v>
      </c>
      <c r="Y117" s="226" t="s">
        <v>2</v>
      </c>
      <c r="Z117" s="227" t="s">
        <v>2</v>
      </c>
    </row>
    <row r="118" spans="1:26" ht="14.45" customHeight="1">
      <c r="A118" s="722"/>
      <c r="B118" s="719"/>
      <c r="C118" s="727"/>
      <c r="D118" s="715"/>
      <c r="E118" s="719"/>
      <c r="F118" s="730"/>
      <c r="G118" s="224" t="s">
        <v>139</v>
      </c>
      <c r="H118" s="226" t="str">
        <f t="shared" si="188"/>
        <v>N/A</v>
      </c>
      <c r="I118" s="226" t="s">
        <v>3</v>
      </c>
      <c r="J118" s="226" t="s">
        <v>3</v>
      </c>
      <c r="K118" s="226" t="s">
        <v>3</v>
      </c>
      <c r="L118" s="226" t="s">
        <v>3</v>
      </c>
      <c r="M118" s="226" t="s">
        <v>3</v>
      </c>
      <c r="N118" s="226" t="s">
        <v>3</v>
      </c>
      <c r="O118" s="226" t="s">
        <v>3</v>
      </c>
      <c r="P118" s="226" t="s">
        <v>3</v>
      </c>
      <c r="Q118" s="226" t="s">
        <v>3</v>
      </c>
      <c r="R118" s="226" t="s">
        <v>3</v>
      </c>
      <c r="S118" s="226" t="s">
        <v>3</v>
      </c>
      <c r="T118" s="226" t="s">
        <v>3</v>
      </c>
      <c r="U118" s="226" t="s">
        <v>3</v>
      </c>
      <c r="V118" s="226" t="s">
        <v>3</v>
      </c>
      <c r="W118" s="226" t="s">
        <v>3</v>
      </c>
      <c r="X118" s="226" t="s">
        <v>3</v>
      </c>
      <c r="Y118" s="226" t="s">
        <v>3</v>
      </c>
      <c r="Z118" s="227" t="s">
        <v>3</v>
      </c>
    </row>
    <row r="119" spans="1:26" ht="14.45" customHeight="1">
      <c r="A119" s="722"/>
      <c r="B119" s="719"/>
      <c r="C119" s="727"/>
      <c r="D119" s="715"/>
      <c r="E119" s="719"/>
      <c r="F119" s="730"/>
      <c r="G119" s="224" t="s">
        <v>67</v>
      </c>
      <c r="H119" s="229">
        <f t="shared" si="189"/>
        <v>100</v>
      </c>
      <c r="I119" s="226">
        <f>IF(I120="","",I114+I120)</f>
        <v>8</v>
      </c>
      <c r="J119" s="226">
        <f t="shared" ref="J119" si="287">IF(J120="","",J114+J120)</f>
        <v>6</v>
      </c>
      <c r="K119" s="226">
        <f t="shared" ref="K119" si="288">IF(K120="","",K114+K120)</f>
        <v>5</v>
      </c>
      <c r="L119" s="226">
        <f t="shared" ref="L119" si="289">IF(L120="","",L114+L120)</f>
        <v>8</v>
      </c>
      <c r="M119" s="226">
        <f t="shared" ref="M119" si="290">IF(M120="","",M114+M120)</f>
        <v>5</v>
      </c>
      <c r="N119" s="226">
        <f t="shared" ref="N119" si="291">IF(N120="","",N114+N120)</f>
        <v>4</v>
      </c>
      <c r="O119" s="226">
        <f t="shared" ref="O119" si="292">IF(O120="","",O114+O120)</f>
        <v>4</v>
      </c>
      <c r="P119" s="226">
        <f t="shared" ref="P119" si="293">IF(P120="","",P114+P120)</f>
        <v>6</v>
      </c>
      <c r="Q119" s="226">
        <f t="shared" ref="Q119" si="294">IF(Q120="","",Q114+Q120)</f>
        <v>5</v>
      </c>
      <c r="R119" s="226">
        <f t="shared" ref="R119" si="295">IF(R120="","",R114+R120)</f>
        <v>7</v>
      </c>
      <c r="S119" s="226">
        <f t="shared" ref="S119" si="296">IF(S120="","",S114+S120)</f>
        <v>4</v>
      </c>
      <c r="T119" s="226">
        <f t="shared" ref="T119" si="297">IF(T120="","",T114+T120)</f>
        <v>8</v>
      </c>
      <c r="U119" s="226">
        <f t="shared" ref="U119" si="298">IF(U120="","",U114+U120)</f>
        <v>6</v>
      </c>
      <c r="V119" s="226">
        <f t="shared" ref="V119" si="299">IF(V120="","",V114+V120)</f>
        <v>4</v>
      </c>
      <c r="W119" s="226">
        <f t="shared" ref="W119" si="300">IF(W120="","",W114+W120)</f>
        <v>5</v>
      </c>
      <c r="X119" s="226">
        <f t="shared" ref="X119" si="301">IF(X120="","",X114+X120)</f>
        <v>4</v>
      </c>
      <c r="Y119" s="226">
        <f t="shared" ref="Y119" si="302">IF(Y120="","",Y114+Y120)</f>
        <v>5</v>
      </c>
      <c r="Z119" s="227">
        <f t="shared" ref="Z119" si="303">IF(Z120="","",Z114+Z120)</f>
        <v>6</v>
      </c>
    </row>
    <row r="120" spans="1:26" ht="14.45" customHeight="1">
      <c r="A120" s="723"/>
      <c r="B120" s="720"/>
      <c r="C120" s="728"/>
      <c r="D120" s="716"/>
      <c r="E120" s="720"/>
      <c r="F120" s="731"/>
      <c r="G120" s="230" t="s">
        <v>143</v>
      </c>
      <c r="H120" s="231" t="str">
        <f t="shared" si="207"/>
        <v>+28</v>
      </c>
      <c r="I120" s="232">
        <v>4</v>
      </c>
      <c r="J120" s="231">
        <v>2</v>
      </c>
      <c r="K120" s="231">
        <v>2</v>
      </c>
      <c r="L120" s="231">
        <v>3</v>
      </c>
      <c r="M120" s="233">
        <v>1</v>
      </c>
      <c r="N120" s="233">
        <v>1</v>
      </c>
      <c r="O120" s="235">
        <v>0</v>
      </c>
      <c r="P120" s="233">
        <v>1</v>
      </c>
      <c r="Q120" s="233">
        <v>1</v>
      </c>
      <c r="R120" s="231">
        <v>3</v>
      </c>
      <c r="S120" s="235">
        <v>0</v>
      </c>
      <c r="T120" s="231">
        <v>3</v>
      </c>
      <c r="U120" s="231">
        <v>2</v>
      </c>
      <c r="V120" s="233">
        <v>1</v>
      </c>
      <c r="W120" s="233">
        <v>1</v>
      </c>
      <c r="X120" s="233">
        <v>1</v>
      </c>
      <c r="Y120" s="233">
        <v>1</v>
      </c>
      <c r="Z120" s="236">
        <v>1</v>
      </c>
    </row>
    <row r="121" spans="1:26" ht="14.45" customHeight="1">
      <c r="A121" s="721">
        <v>18</v>
      </c>
      <c r="B121" s="724">
        <v>45057</v>
      </c>
      <c r="C121" s="726">
        <v>0.71805555555555556</v>
      </c>
      <c r="D121" s="752" t="s">
        <v>1868</v>
      </c>
      <c r="E121" s="747" t="s">
        <v>1630</v>
      </c>
      <c r="F121" s="717" t="s">
        <v>1869</v>
      </c>
      <c r="G121" s="221" t="s">
        <v>137</v>
      </c>
      <c r="H121" s="222">
        <f t="shared" si="167"/>
        <v>72</v>
      </c>
      <c r="I121" s="222">
        <v>4</v>
      </c>
      <c r="J121" s="222">
        <v>4</v>
      </c>
      <c r="K121" s="222">
        <v>5</v>
      </c>
      <c r="L121" s="222">
        <v>4</v>
      </c>
      <c r="M121" s="222">
        <v>4</v>
      </c>
      <c r="N121" s="222">
        <v>3</v>
      </c>
      <c r="O121" s="222">
        <v>4</v>
      </c>
      <c r="P121" s="222">
        <v>3</v>
      </c>
      <c r="Q121" s="222">
        <v>5</v>
      </c>
      <c r="R121" s="222">
        <v>4</v>
      </c>
      <c r="S121" s="222">
        <v>5</v>
      </c>
      <c r="T121" s="222">
        <v>3</v>
      </c>
      <c r="U121" s="222">
        <v>4</v>
      </c>
      <c r="V121" s="222">
        <v>4</v>
      </c>
      <c r="W121" s="222">
        <v>4</v>
      </c>
      <c r="X121" s="222">
        <v>4</v>
      </c>
      <c r="Y121" s="222">
        <v>3</v>
      </c>
      <c r="Z121" s="223">
        <v>5</v>
      </c>
    </row>
    <row r="122" spans="1:26" ht="14.45" customHeight="1">
      <c r="A122" s="722"/>
      <c r="B122" s="725"/>
      <c r="C122" s="727"/>
      <c r="D122" s="712"/>
      <c r="E122" s="719"/>
      <c r="F122" s="718"/>
      <c r="G122" s="224" t="s">
        <v>160</v>
      </c>
      <c r="H122" s="225">
        <f t="shared" si="167"/>
        <v>5261</v>
      </c>
      <c r="I122" s="226">
        <v>313</v>
      </c>
      <c r="J122" s="226">
        <v>300</v>
      </c>
      <c r="K122" s="226">
        <v>455</v>
      </c>
      <c r="L122" s="226">
        <v>313</v>
      </c>
      <c r="M122" s="226">
        <v>300</v>
      </c>
      <c r="N122" s="226">
        <v>135</v>
      </c>
      <c r="O122" s="226">
        <v>333</v>
      </c>
      <c r="P122" s="226">
        <v>125</v>
      </c>
      <c r="Q122" s="226">
        <v>430</v>
      </c>
      <c r="R122" s="226">
        <v>340</v>
      </c>
      <c r="S122" s="226">
        <v>427</v>
      </c>
      <c r="T122" s="226">
        <v>85</v>
      </c>
      <c r="U122" s="226">
        <v>288</v>
      </c>
      <c r="V122" s="226">
        <v>295</v>
      </c>
      <c r="W122" s="226">
        <v>282</v>
      </c>
      <c r="X122" s="226">
        <v>295</v>
      </c>
      <c r="Y122" s="226">
        <v>105</v>
      </c>
      <c r="Z122" s="227">
        <v>440</v>
      </c>
    </row>
    <row r="123" spans="1:26" ht="14.45" customHeight="1">
      <c r="A123" s="722"/>
      <c r="B123" s="719"/>
      <c r="C123" s="727"/>
      <c r="D123" s="712"/>
      <c r="E123" s="719"/>
      <c r="F123" s="719"/>
      <c r="G123" s="224" t="s">
        <v>138</v>
      </c>
      <c r="H123" s="228" t="str">
        <f t="shared" si="186"/>
        <v>N/A</v>
      </c>
      <c r="I123" s="226" t="s">
        <v>2</v>
      </c>
      <c r="J123" s="226" t="s">
        <v>2</v>
      </c>
      <c r="K123" s="226" t="s">
        <v>2</v>
      </c>
      <c r="L123" s="226" t="s">
        <v>2</v>
      </c>
      <c r="M123" s="226" t="s">
        <v>2</v>
      </c>
      <c r="N123" s="226" t="s">
        <v>2</v>
      </c>
      <c r="O123" s="226" t="s">
        <v>2</v>
      </c>
      <c r="P123" s="226" t="s">
        <v>2</v>
      </c>
      <c r="Q123" s="226" t="s">
        <v>2</v>
      </c>
      <c r="R123" s="226" t="s">
        <v>2</v>
      </c>
      <c r="S123" s="226" t="s">
        <v>2</v>
      </c>
      <c r="T123" s="226" t="s">
        <v>2</v>
      </c>
      <c r="U123" s="226" t="s">
        <v>2</v>
      </c>
      <c r="V123" s="226" t="s">
        <v>2</v>
      </c>
      <c r="W123" s="226" t="s">
        <v>2</v>
      </c>
      <c r="X123" s="226" t="s">
        <v>2</v>
      </c>
      <c r="Y123" s="226" t="s">
        <v>2</v>
      </c>
      <c r="Z123" s="227" t="s">
        <v>2</v>
      </c>
    </row>
    <row r="124" spans="1:26" ht="14.45" customHeight="1">
      <c r="A124" s="722"/>
      <c r="B124" s="719"/>
      <c r="C124" s="727"/>
      <c r="D124" s="712"/>
      <c r="E124" s="719"/>
      <c r="F124" s="719"/>
      <c r="G124" s="224" t="s">
        <v>145</v>
      </c>
      <c r="H124" s="228" t="str">
        <f t="shared" ref="H124" si="304">IFERROR(IF(I125="N/A","N/A",COUNTIF(I124:Z124,"Y")/(COUNTIF(I124:Z124,"Y")+COUNTIF(I124:Z124,"N"))),"N/A")</f>
        <v>N/A</v>
      </c>
      <c r="I124" s="226" t="s">
        <v>2</v>
      </c>
      <c r="J124" s="226" t="s">
        <v>2</v>
      </c>
      <c r="K124" s="226" t="s">
        <v>2</v>
      </c>
      <c r="L124" s="226" t="s">
        <v>2</v>
      </c>
      <c r="M124" s="226" t="s">
        <v>2</v>
      </c>
      <c r="N124" s="226" t="s">
        <v>2</v>
      </c>
      <c r="O124" s="226" t="s">
        <v>2</v>
      </c>
      <c r="P124" s="226" t="s">
        <v>2</v>
      </c>
      <c r="Q124" s="226" t="s">
        <v>2</v>
      </c>
      <c r="R124" s="226" t="s">
        <v>2</v>
      </c>
      <c r="S124" s="226" t="s">
        <v>2</v>
      </c>
      <c r="T124" s="226" t="s">
        <v>2</v>
      </c>
      <c r="U124" s="226" t="s">
        <v>2</v>
      </c>
      <c r="V124" s="226" t="s">
        <v>2</v>
      </c>
      <c r="W124" s="226" t="s">
        <v>2</v>
      </c>
      <c r="X124" s="226" t="s">
        <v>2</v>
      </c>
      <c r="Y124" s="226" t="s">
        <v>2</v>
      </c>
      <c r="Z124" s="227" t="s">
        <v>2</v>
      </c>
    </row>
    <row r="125" spans="1:26" ht="14.45" customHeight="1">
      <c r="A125" s="722"/>
      <c r="B125" s="719"/>
      <c r="C125" s="727"/>
      <c r="D125" s="712"/>
      <c r="E125" s="719"/>
      <c r="F125" s="719"/>
      <c r="G125" s="224" t="s">
        <v>139</v>
      </c>
      <c r="H125" s="226" t="str">
        <f t="shared" si="188"/>
        <v>N/A</v>
      </c>
      <c r="I125" s="226" t="s">
        <v>3</v>
      </c>
      <c r="J125" s="226" t="s">
        <v>3</v>
      </c>
      <c r="K125" s="226" t="s">
        <v>3</v>
      </c>
      <c r="L125" s="226" t="s">
        <v>3</v>
      </c>
      <c r="M125" s="226" t="s">
        <v>3</v>
      </c>
      <c r="N125" s="226" t="s">
        <v>3</v>
      </c>
      <c r="O125" s="226" t="s">
        <v>3</v>
      </c>
      <c r="P125" s="226" t="s">
        <v>3</v>
      </c>
      <c r="Q125" s="226" t="s">
        <v>3</v>
      </c>
      <c r="R125" s="226" t="s">
        <v>3</v>
      </c>
      <c r="S125" s="226" t="s">
        <v>3</v>
      </c>
      <c r="T125" s="226" t="s">
        <v>3</v>
      </c>
      <c r="U125" s="226" t="s">
        <v>3</v>
      </c>
      <c r="V125" s="226" t="s">
        <v>3</v>
      </c>
      <c r="W125" s="226" t="s">
        <v>3</v>
      </c>
      <c r="X125" s="226" t="s">
        <v>3</v>
      </c>
      <c r="Y125" s="226" t="s">
        <v>3</v>
      </c>
      <c r="Z125" s="227" t="s">
        <v>3</v>
      </c>
    </row>
    <row r="126" spans="1:26" ht="14.45" customHeight="1">
      <c r="A126" s="722"/>
      <c r="B126" s="719"/>
      <c r="C126" s="727"/>
      <c r="D126" s="712"/>
      <c r="E126" s="719"/>
      <c r="F126" s="719"/>
      <c r="G126" s="224" t="s">
        <v>67</v>
      </c>
      <c r="H126" s="229">
        <f t="shared" si="189"/>
        <v>110</v>
      </c>
      <c r="I126" s="226">
        <f t="shared" ref="I126" si="305">IF(I127="","",I121+I127)</f>
        <v>8</v>
      </c>
      <c r="J126" s="226">
        <f t="shared" ref="J126" si="306">IF(J127="","",J121+J127)</f>
        <v>5</v>
      </c>
      <c r="K126" s="226">
        <f t="shared" ref="K126" si="307">IF(K127="","",K121+K127)</f>
        <v>10</v>
      </c>
      <c r="L126" s="226">
        <f t="shared" ref="L126" si="308">IF(L127="","",L121+L127)</f>
        <v>4</v>
      </c>
      <c r="M126" s="226">
        <f t="shared" ref="M126" si="309">IF(M127="","",M121+M127)</f>
        <v>6</v>
      </c>
      <c r="N126" s="226">
        <f t="shared" ref="N126" si="310">IF(N127="","",N121+N127)</f>
        <v>4</v>
      </c>
      <c r="O126" s="226">
        <f t="shared" ref="O126" si="311">IF(O127="","",O121+O127)</f>
        <v>5</v>
      </c>
      <c r="P126" s="226">
        <f t="shared" ref="P126" si="312">IF(P127="","",P121+P127)</f>
        <v>3</v>
      </c>
      <c r="Q126" s="226">
        <f t="shared" ref="Q126" si="313">IF(Q127="","",Q121+Q127)</f>
        <v>8</v>
      </c>
      <c r="R126" s="226">
        <f t="shared" ref="R126" si="314">IF(R127="","",R121+R127)</f>
        <v>8</v>
      </c>
      <c r="S126" s="226">
        <f t="shared" ref="S126" si="315">IF(S127="","",S121+S127)</f>
        <v>7</v>
      </c>
      <c r="T126" s="226">
        <f t="shared" ref="T126" si="316">IF(T127="","",T121+T127)</f>
        <v>4</v>
      </c>
      <c r="U126" s="226">
        <f t="shared" ref="U126" si="317">IF(U127="","",U121+U127)</f>
        <v>8</v>
      </c>
      <c r="V126" s="226">
        <f t="shared" ref="V126" si="318">IF(V127="","",V121+V127)</f>
        <v>8</v>
      </c>
      <c r="W126" s="226">
        <f t="shared" ref="W126" si="319">IF(W127="","",W121+W127)</f>
        <v>4</v>
      </c>
      <c r="X126" s="226">
        <f t="shared" ref="X126" si="320">IF(X127="","",X121+X127)</f>
        <v>5</v>
      </c>
      <c r="Y126" s="226">
        <f t="shared" ref="Y126" si="321">IF(Y127="","",Y121+Y127)</f>
        <v>3</v>
      </c>
      <c r="Z126" s="227">
        <f t="shared" ref="Z126" si="322">IF(Z127="","",Z121+Z127)</f>
        <v>10</v>
      </c>
    </row>
    <row r="127" spans="1:26" ht="14.45" customHeight="1">
      <c r="A127" s="723"/>
      <c r="B127" s="720"/>
      <c r="C127" s="728"/>
      <c r="D127" s="713"/>
      <c r="E127" s="720"/>
      <c r="F127" s="720"/>
      <c r="G127" s="230" t="s">
        <v>143</v>
      </c>
      <c r="H127" s="231" t="str">
        <f t="shared" si="207"/>
        <v>+38</v>
      </c>
      <c r="I127" s="232">
        <v>4</v>
      </c>
      <c r="J127" s="233">
        <v>1</v>
      </c>
      <c r="K127" s="232">
        <v>5</v>
      </c>
      <c r="L127" s="235">
        <v>0</v>
      </c>
      <c r="M127" s="231">
        <v>2</v>
      </c>
      <c r="N127" s="233">
        <v>1</v>
      </c>
      <c r="O127" s="233">
        <v>1</v>
      </c>
      <c r="P127" s="235">
        <v>0</v>
      </c>
      <c r="Q127" s="231">
        <v>3</v>
      </c>
      <c r="R127" s="232">
        <v>4</v>
      </c>
      <c r="S127" s="231">
        <v>2</v>
      </c>
      <c r="T127" s="233">
        <v>1</v>
      </c>
      <c r="U127" s="232">
        <v>4</v>
      </c>
      <c r="V127" s="232">
        <v>4</v>
      </c>
      <c r="W127" s="235">
        <v>0</v>
      </c>
      <c r="X127" s="233">
        <v>1</v>
      </c>
      <c r="Y127" s="235">
        <v>0</v>
      </c>
      <c r="Z127" s="238">
        <v>5</v>
      </c>
    </row>
    <row r="128" spans="1:26" ht="14.45" customHeight="1">
      <c r="A128" s="721">
        <v>19</v>
      </c>
      <c r="B128" s="735">
        <v>45101</v>
      </c>
      <c r="C128" s="738">
        <v>0.57291666666666663</v>
      </c>
      <c r="D128" s="753" t="s">
        <v>159</v>
      </c>
      <c r="E128" s="714" t="s">
        <v>1870</v>
      </c>
      <c r="F128" s="729" t="s">
        <v>1871</v>
      </c>
      <c r="G128" s="221" t="s">
        <v>137</v>
      </c>
      <c r="H128" s="222">
        <f t="shared" ref="H128:H129" si="323">SUM(I128:Z128)</f>
        <v>72</v>
      </c>
      <c r="I128" s="222">
        <v>4</v>
      </c>
      <c r="J128" s="222">
        <v>4</v>
      </c>
      <c r="K128" s="222">
        <v>5</v>
      </c>
      <c r="L128" s="222">
        <v>3</v>
      </c>
      <c r="M128" s="222">
        <v>4</v>
      </c>
      <c r="N128" s="222">
        <v>3</v>
      </c>
      <c r="O128" s="222">
        <v>5</v>
      </c>
      <c r="P128" s="222">
        <v>4</v>
      </c>
      <c r="Q128" s="222">
        <v>4</v>
      </c>
      <c r="R128" s="222">
        <v>5</v>
      </c>
      <c r="S128" s="222">
        <v>4</v>
      </c>
      <c r="T128" s="222">
        <v>3</v>
      </c>
      <c r="U128" s="222">
        <v>4</v>
      </c>
      <c r="V128" s="222">
        <v>4</v>
      </c>
      <c r="W128" s="222">
        <v>5</v>
      </c>
      <c r="X128" s="222">
        <v>3</v>
      </c>
      <c r="Y128" s="222">
        <v>4</v>
      </c>
      <c r="Z128" s="223">
        <v>4</v>
      </c>
    </row>
    <row r="129" spans="1:26" ht="14.45" customHeight="1">
      <c r="A129" s="722"/>
      <c r="B129" s="736"/>
      <c r="C129" s="739"/>
      <c r="D129" s="754"/>
      <c r="E129" s="715"/>
      <c r="F129" s="730"/>
      <c r="G129" s="224" t="s">
        <v>160</v>
      </c>
      <c r="H129" s="225">
        <f t="shared" si="323"/>
        <v>5630</v>
      </c>
      <c r="I129" s="226">
        <v>342</v>
      </c>
      <c r="J129" s="226">
        <v>318</v>
      </c>
      <c r="K129" s="226">
        <v>436</v>
      </c>
      <c r="L129" s="226">
        <v>151</v>
      </c>
      <c r="M129" s="226">
        <v>321</v>
      </c>
      <c r="N129" s="226">
        <v>158</v>
      </c>
      <c r="O129" s="226">
        <v>450</v>
      </c>
      <c r="P129" s="226">
        <v>293</v>
      </c>
      <c r="Q129" s="226">
        <v>305</v>
      </c>
      <c r="R129" s="226">
        <v>452</v>
      </c>
      <c r="S129" s="226">
        <v>354</v>
      </c>
      <c r="T129" s="226">
        <v>149</v>
      </c>
      <c r="U129" s="226">
        <v>330</v>
      </c>
      <c r="V129" s="226">
        <v>296</v>
      </c>
      <c r="W129" s="226">
        <v>447</v>
      </c>
      <c r="X129" s="226">
        <v>156</v>
      </c>
      <c r="Y129" s="226">
        <v>321</v>
      </c>
      <c r="Z129" s="227">
        <v>351</v>
      </c>
    </row>
    <row r="130" spans="1:26" ht="14.45" customHeight="1">
      <c r="A130" s="722"/>
      <c r="B130" s="736"/>
      <c r="C130" s="739"/>
      <c r="D130" s="754"/>
      <c r="E130" s="715"/>
      <c r="F130" s="730"/>
      <c r="G130" s="224" t="s">
        <v>138</v>
      </c>
      <c r="H130" s="228" t="str">
        <f t="shared" ref="H130" si="324">IF(I132="N/A","N/A",IF(COUNTIF(I130:Z130,"Y")/14=0,"N/A",COUNTIF(I130:Z130,"Y")/(COUNTIF(I130:Z130,"Y")+COUNTIF(I130:Z130,"N"))))</f>
        <v>N/A</v>
      </c>
      <c r="I130" s="226" t="s">
        <v>2</v>
      </c>
      <c r="J130" s="226" t="s">
        <v>2</v>
      </c>
      <c r="K130" s="226" t="s">
        <v>2</v>
      </c>
      <c r="L130" s="226" t="s">
        <v>2</v>
      </c>
      <c r="M130" s="226" t="s">
        <v>2</v>
      </c>
      <c r="N130" s="226" t="s">
        <v>2</v>
      </c>
      <c r="O130" s="226" t="s">
        <v>2</v>
      </c>
      <c r="P130" s="226" t="s">
        <v>2</v>
      </c>
      <c r="Q130" s="226" t="s">
        <v>2</v>
      </c>
      <c r="R130" s="226" t="s">
        <v>2</v>
      </c>
      <c r="S130" s="226" t="s">
        <v>2</v>
      </c>
      <c r="T130" s="226" t="s">
        <v>2</v>
      </c>
      <c r="U130" s="226" t="s">
        <v>2</v>
      </c>
      <c r="V130" s="226" t="s">
        <v>2</v>
      </c>
      <c r="W130" s="226" t="s">
        <v>2</v>
      </c>
      <c r="X130" s="226" t="s">
        <v>2</v>
      </c>
      <c r="Y130" s="226" t="s">
        <v>2</v>
      </c>
      <c r="Z130" s="227" t="s">
        <v>2</v>
      </c>
    </row>
    <row r="131" spans="1:26" ht="14.45" customHeight="1">
      <c r="A131" s="722"/>
      <c r="B131" s="736"/>
      <c r="C131" s="739"/>
      <c r="D131" s="754"/>
      <c r="E131" s="715"/>
      <c r="F131" s="730"/>
      <c r="G131" s="224" t="s">
        <v>145</v>
      </c>
      <c r="H131" s="228" t="str">
        <f t="shared" ref="H131" si="325">IFERROR(IF(I132="N/A","N/A",COUNTIF(I131:Z131,"Y")/(COUNTIF(I131:Z131,"Y")+COUNTIF(I131:Z131,"N"))),"N/A")</f>
        <v>N/A</v>
      </c>
      <c r="I131" s="226" t="s">
        <v>2</v>
      </c>
      <c r="J131" s="226" t="s">
        <v>2</v>
      </c>
      <c r="K131" s="226" t="s">
        <v>2</v>
      </c>
      <c r="L131" s="226" t="s">
        <v>2</v>
      </c>
      <c r="M131" s="226" t="s">
        <v>2</v>
      </c>
      <c r="N131" s="226" t="s">
        <v>2</v>
      </c>
      <c r="O131" s="226" t="s">
        <v>2</v>
      </c>
      <c r="P131" s="226" t="s">
        <v>2</v>
      </c>
      <c r="Q131" s="226" t="s">
        <v>2</v>
      </c>
      <c r="R131" s="226" t="s">
        <v>2</v>
      </c>
      <c r="S131" s="226" t="s">
        <v>2</v>
      </c>
      <c r="T131" s="226" t="s">
        <v>2</v>
      </c>
      <c r="U131" s="226" t="s">
        <v>2</v>
      </c>
      <c r="V131" s="226" t="s">
        <v>2</v>
      </c>
      <c r="W131" s="226" t="s">
        <v>2</v>
      </c>
      <c r="X131" s="226" t="s">
        <v>2</v>
      </c>
      <c r="Y131" s="226" t="s">
        <v>2</v>
      </c>
      <c r="Z131" s="227" t="s">
        <v>2</v>
      </c>
    </row>
    <row r="132" spans="1:26" ht="14.45" customHeight="1">
      <c r="A132" s="722"/>
      <c r="B132" s="736"/>
      <c r="C132" s="739"/>
      <c r="D132" s="754"/>
      <c r="E132" s="715"/>
      <c r="F132" s="730"/>
      <c r="G132" s="224" t="s">
        <v>139</v>
      </c>
      <c r="H132" s="226" t="str">
        <f t="shared" ref="H132" si="326">IF(I132="N/A","N/A",SUM(I132:Z132))</f>
        <v>N/A</v>
      </c>
      <c r="I132" s="226" t="s">
        <v>3</v>
      </c>
      <c r="J132" s="226" t="s">
        <v>3</v>
      </c>
      <c r="K132" s="226" t="s">
        <v>3</v>
      </c>
      <c r="L132" s="226" t="s">
        <v>3</v>
      </c>
      <c r="M132" s="226" t="s">
        <v>3</v>
      </c>
      <c r="N132" s="226" t="s">
        <v>3</v>
      </c>
      <c r="O132" s="226" t="s">
        <v>3</v>
      </c>
      <c r="P132" s="226" t="s">
        <v>3</v>
      </c>
      <c r="Q132" s="226" t="s">
        <v>3</v>
      </c>
      <c r="R132" s="226" t="s">
        <v>3</v>
      </c>
      <c r="S132" s="226" t="s">
        <v>3</v>
      </c>
      <c r="T132" s="226" t="s">
        <v>3</v>
      </c>
      <c r="U132" s="226" t="s">
        <v>3</v>
      </c>
      <c r="V132" s="226" t="s">
        <v>3</v>
      </c>
      <c r="W132" s="226" t="s">
        <v>3</v>
      </c>
      <c r="X132" s="226" t="s">
        <v>3</v>
      </c>
      <c r="Y132" s="226" t="s">
        <v>3</v>
      </c>
      <c r="Z132" s="227" t="s">
        <v>3</v>
      </c>
    </row>
    <row r="133" spans="1:26" ht="14.45" customHeight="1">
      <c r="A133" s="722"/>
      <c r="B133" s="736"/>
      <c r="C133" s="739"/>
      <c r="D133" s="754"/>
      <c r="E133" s="715"/>
      <c r="F133" s="730"/>
      <c r="G133" s="224" t="s">
        <v>67</v>
      </c>
      <c r="H133" s="229">
        <f t="shared" ref="H133" si="327">SUM(I133:Z133)</f>
        <v>104</v>
      </c>
      <c r="I133" s="226">
        <f t="shared" ref="I133:Z133" si="328">IF(I134="","",I128+I134)</f>
        <v>4</v>
      </c>
      <c r="J133" s="226">
        <f t="shared" si="328"/>
        <v>6</v>
      </c>
      <c r="K133" s="226">
        <f t="shared" si="328"/>
        <v>7</v>
      </c>
      <c r="L133" s="226">
        <f t="shared" si="328"/>
        <v>5</v>
      </c>
      <c r="M133" s="226">
        <f t="shared" si="328"/>
        <v>8</v>
      </c>
      <c r="N133" s="226">
        <f t="shared" si="328"/>
        <v>4</v>
      </c>
      <c r="O133" s="226">
        <f t="shared" si="328"/>
        <v>7</v>
      </c>
      <c r="P133" s="226">
        <f t="shared" si="328"/>
        <v>5</v>
      </c>
      <c r="Q133" s="226">
        <f t="shared" si="328"/>
        <v>7</v>
      </c>
      <c r="R133" s="226">
        <f t="shared" si="328"/>
        <v>6</v>
      </c>
      <c r="S133" s="226">
        <f t="shared" si="328"/>
        <v>4</v>
      </c>
      <c r="T133" s="226">
        <f t="shared" si="328"/>
        <v>6</v>
      </c>
      <c r="U133" s="226">
        <f t="shared" si="328"/>
        <v>6</v>
      </c>
      <c r="V133" s="226">
        <f t="shared" si="328"/>
        <v>6</v>
      </c>
      <c r="W133" s="226">
        <f t="shared" si="328"/>
        <v>6</v>
      </c>
      <c r="X133" s="226">
        <f t="shared" si="328"/>
        <v>2</v>
      </c>
      <c r="Y133" s="226">
        <f t="shared" si="328"/>
        <v>7</v>
      </c>
      <c r="Z133" s="227">
        <f t="shared" si="328"/>
        <v>8</v>
      </c>
    </row>
    <row r="134" spans="1:26" ht="14.45" customHeight="1">
      <c r="A134" s="723"/>
      <c r="B134" s="737"/>
      <c r="C134" s="740"/>
      <c r="D134" s="755"/>
      <c r="E134" s="716"/>
      <c r="F134" s="731"/>
      <c r="G134" s="230" t="s">
        <v>143</v>
      </c>
      <c r="H134" s="231" t="str">
        <f t="shared" ref="H134" si="329">IF(SUM(I134:Z134)&gt;0,"+"&amp;SUM(I134:Z134),SUM(I134:Z134))</f>
        <v>+32</v>
      </c>
      <c r="I134" s="235">
        <v>0</v>
      </c>
      <c r="J134" s="231">
        <v>2</v>
      </c>
      <c r="K134" s="231">
        <v>2</v>
      </c>
      <c r="L134" s="231">
        <v>2</v>
      </c>
      <c r="M134" s="232">
        <v>4</v>
      </c>
      <c r="N134" s="233">
        <v>1</v>
      </c>
      <c r="O134" s="231">
        <v>2</v>
      </c>
      <c r="P134" s="233">
        <v>1</v>
      </c>
      <c r="Q134" s="231">
        <v>3</v>
      </c>
      <c r="R134" s="233">
        <v>1</v>
      </c>
      <c r="S134" s="235">
        <v>0</v>
      </c>
      <c r="T134" s="232">
        <v>3</v>
      </c>
      <c r="U134" s="231">
        <v>2</v>
      </c>
      <c r="V134" s="231">
        <v>2</v>
      </c>
      <c r="W134" s="233">
        <v>1</v>
      </c>
      <c r="X134" s="240">
        <v>-1</v>
      </c>
      <c r="Y134" s="231">
        <v>3</v>
      </c>
      <c r="Z134" s="238">
        <v>4</v>
      </c>
    </row>
    <row r="135" spans="1:26" ht="14.45" customHeight="1">
      <c r="A135" s="721">
        <v>20</v>
      </c>
      <c r="B135" s="735">
        <v>45142</v>
      </c>
      <c r="C135" s="738">
        <v>0.71319444444444446</v>
      </c>
      <c r="D135" s="714" t="s">
        <v>159</v>
      </c>
      <c r="E135" s="714" t="s">
        <v>1864</v>
      </c>
      <c r="F135" s="717" t="s">
        <v>1872</v>
      </c>
      <c r="G135" s="221" t="s">
        <v>137</v>
      </c>
      <c r="H135" s="222">
        <f t="shared" ref="H135:H136" si="330">SUM(I135:Z135)</f>
        <v>72</v>
      </c>
      <c r="I135" s="222">
        <v>5</v>
      </c>
      <c r="J135" s="222">
        <v>4</v>
      </c>
      <c r="K135" s="222">
        <v>4</v>
      </c>
      <c r="L135" s="222">
        <v>5</v>
      </c>
      <c r="M135" s="222">
        <v>4</v>
      </c>
      <c r="N135" s="222">
        <v>3</v>
      </c>
      <c r="O135" s="222">
        <v>4</v>
      </c>
      <c r="P135" s="222">
        <v>3</v>
      </c>
      <c r="Q135" s="222">
        <v>4</v>
      </c>
      <c r="R135" s="222">
        <v>4</v>
      </c>
      <c r="S135" s="222">
        <v>4</v>
      </c>
      <c r="T135" s="222">
        <v>5</v>
      </c>
      <c r="U135" s="222">
        <v>3</v>
      </c>
      <c r="V135" s="222">
        <v>4</v>
      </c>
      <c r="W135" s="222">
        <v>3</v>
      </c>
      <c r="X135" s="222">
        <v>5</v>
      </c>
      <c r="Y135" s="222">
        <v>4</v>
      </c>
      <c r="Z135" s="223">
        <v>4</v>
      </c>
    </row>
    <row r="136" spans="1:26" ht="14.45" customHeight="1">
      <c r="A136" s="722"/>
      <c r="B136" s="736"/>
      <c r="C136" s="739"/>
      <c r="D136" s="715"/>
      <c r="E136" s="715"/>
      <c r="F136" s="718"/>
      <c r="G136" s="224" t="s">
        <v>160</v>
      </c>
      <c r="H136" s="225">
        <f t="shared" si="330"/>
        <v>5599</v>
      </c>
      <c r="I136" s="226">
        <v>424</v>
      </c>
      <c r="J136" s="226">
        <v>324</v>
      </c>
      <c r="K136" s="226">
        <v>364</v>
      </c>
      <c r="L136" s="226">
        <v>492</v>
      </c>
      <c r="M136" s="226">
        <v>294</v>
      </c>
      <c r="N136" s="226">
        <v>133</v>
      </c>
      <c r="O136" s="226">
        <v>313</v>
      </c>
      <c r="P136" s="226">
        <v>156</v>
      </c>
      <c r="Q136" s="226">
        <v>325</v>
      </c>
      <c r="R136" s="226">
        <v>342</v>
      </c>
      <c r="S136" s="226">
        <v>318</v>
      </c>
      <c r="T136" s="226">
        <v>436</v>
      </c>
      <c r="U136" s="226">
        <v>151</v>
      </c>
      <c r="V136" s="226">
        <v>321</v>
      </c>
      <c r="W136" s="226">
        <v>158</v>
      </c>
      <c r="X136" s="226">
        <v>450</v>
      </c>
      <c r="Y136" s="226">
        <v>293</v>
      </c>
      <c r="Z136" s="227">
        <v>305</v>
      </c>
    </row>
    <row r="137" spans="1:26" ht="14.45" customHeight="1">
      <c r="A137" s="722"/>
      <c r="B137" s="736"/>
      <c r="C137" s="739"/>
      <c r="D137" s="715"/>
      <c r="E137" s="715"/>
      <c r="F137" s="719"/>
      <c r="G137" s="224" t="s">
        <v>138</v>
      </c>
      <c r="H137" s="228" t="str">
        <f t="shared" ref="H137" si="331">IF(I139="N/A","N/A",IF(COUNTIF(I137:Z137,"Y")/14=0,"N/A",COUNTIF(I137:Z137,"Y")/(COUNTIF(I137:Z137,"Y")+COUNTIF(I137:Z137,"N"))))</f>
        <v>N/A</v>
      </c>
      <c r="I137" s="226" t="s">
        <v>2</v>
      </c>
      <c r="J137" s="226" t="s">
        <v>2</v>
      </c>
      <c r="K137" s="226" t="s">
        <v>2</v>
      </c>
      <c r="L137" s="226" t="s">
        <v>2</v>
      </c>
      <c r="M137" s="226" t="s">
        <v>2</v>
      </c>
      <c r="N137" s="226" t="s">
        <v>2</v>
      </c>
      <c r="O137" s="226" t="s">
        <v>2</v>
      </c>
      <c r="P137" s="226" t="s">
        <v>2</v>
      </c>
      <c r="Q137" s="226" t="s">
        <v>2</v>
      </c>
      <c r="R137" s="226" t="s">
        <v>2</v>
      </c>
      <c r="S137" s="226" t="s">
        <v>2</v>
      </c>
      <c r="T137" s="226" t="s">
        <v>2</v>
      </c>
      <c r="U137" s="226" t="s">
        <v>2</v>
      </c>
      <c r="V137" s="226" t="s">
        <v>2</v>
      </c>
      <c r="W137" s="226" t="s">
        <v>2</v>
      </c>
      <c r="X137" s="226" t="s">
        <v>2</v>
      </c>
      <c r="Y137" s="226" t="s">
        <v>2</v>
      </c>
      <c r="Z137" s="227" t="s">
        <v>2</v>
      </c>
    </row>
    <row r="138" spans="1:26" ht="14.45" customHeight="1">
      <c r="A138" s="722"/>
      <c r="B138" s="736"/>
      <c r="C138" s="739"/>
      <c r="D138" s="715"/>
      <c r="E138" s="715"/>
      <c r="F138" s="719"/>
      <c r="G138" s="224" t="s">
        <v>145</v>
      </c>
      <c r="H138" s="228" t="str">
        <f t="shared" ref="H138" si="332">IFERROR(IF(I139="N/A","N/A",COUNTIF(I138:Z138,"Y")/(COUNTIF(I138:Z138,"Y")+COUNTIF(I138:Z138,"N"))),"N/A")</f>
        <v>N/A</v>
      </c>
      <c r="I138" s="226" t="s">
        <v>2</v>
      </c>
      <c r="J138" s="226" t="s">
        <v>2</v>
      </c>
      <c r="K138" s="226" t="s">
        <v>2</v>
      </c>
      <c r="L138" s="226" t="s">
        <v>2</v>
      </c>
      <c r="M138" s="226" t="s">
        <v>2</v>
      </c>
      <c r="N138" s="226" t="s">
        <v>2</v>
      </c>
      <c r="O138" s="226" t="s">
        <v>2</v>
      </c>
      <c r="P138" s="226" t="s">
        <v>2</v>
      </c>
      <c r="Q138" s="226" t="s">
        <v>2</v>
      </c>
      <c r="R138" s="226" t="s">
        <v>2</v>
      </c>
      <c r="S138" s="226" t="s">
        <v>2</v>
      </c>
      <c r="T138" s="226" t="s">
        <v>2</v>
      </c>
      <c r="U138" s="226" t="s">
        <v>2</v>
      </c>
      <c r="V138" s="226" t="s">
        <v>2</v>
      </c>
      <c r="W138" s="226" t="s">
        <v>2</v>
      </c>
      <c r="X138" s="226" t="s">
        <v>2</v>
      </c>
      <c r="Y138" s="226" t="s">
        <v>2</v>
      </c>
      <c r="Z138" s="227" t="s">
        <v>2</v>
      </c>
    </row>
    <row r="139" spans="1:26" ht="14.45" customHeight="1">
      <c r="A139" s="722"/>
      <c r="B139" s="736"/>
      <c r="C139" s="739"/>
      <c r="D139" s="715"/>
      <c r="E139" s="715"/>
      <c r="F139" s="719"/>
      <c r="G139" s="224" t="s">
        <v>139</v>
      </c>
      <c r="H139" s="226" t="str">
        <f t="shared" ref="H139" si="333">IF(I139="N/A","N/A",SUM(I139:Z139))</f>
        <v>N/A</v>
      </c>
      <c r="I139" s="226" t="s">
        <v>3</v>
      </c>
      <c r="J139" s="226" t="s">
        <v>3</v>
      </c>
      <c r="K139" s="226" t="s">
        <v>3</v>
      </c>
      <c r="L139" s="226" t="s">
        <v>3</v>
      </c>
      <c r="M139" s="226" t="s">
        <v>3</v>
      </c>
      <c r="N139" s="226" t="s">
        <v>3</v>
      </c>
      <c r="O139" s="226" t="s">
        <v>3</v>
      </c>
      <c r="P139" s="226" t="s">
        <v>3</v>
      </c>
      <c r="Q139" s="226" t="s">
        <v>3</v>
      </c>
      <c r="R139" s="226" t="s">
        <v>3</v>
      </c>
      <c r="S139" s="226" t="s">
        <v>3</v>
      </c>
      <c r="T139" s="226" t="s">
        <v>3</v>
      </c>
      <c r="U139" s="226" t="s">
        <v>3</v>
      </c>
      <c r="V139" s="226" t="s">
        <v>3</v>
      </c>
      <c r="W139" s="226" t="s">
        <v>3</v>
      </c>
      <c r="X139" s="226" t="s">
        <v>3</v>
      </c>
      <c r="Y139" s="226" t="s">
        <v>3</v>
      </c>
      <c r="Z139" s="227" t="s">
        <v>3</v>
      </c>
    </row>
    <row r="140" spans="1:26" ht="14.45" customHeight="1">
      <c r="A140" s="722"/>
      <c r="B140" s="736"/>
      <c r="C140" s="739"/>
      <c r="D140" s="715"/>
      <c r="E140" s="715"/>
      <c r="F140" s="719"/>
      <c r="G140" s="224" t="s">
        <v>67</v>
      </c>
      <c r="H140" s="229">
        <f t="shared" ref="H140" si="334">SUM(I140:Z140)</f>
        <v>116</v>
      </c>
      <c r="I140" s="226">
        <f t="shared" ref="I140:Z140" si="335">IF(I141="","",I135+I141)</f>
        <v>7</v>
      </c>
      <c r="J140" s="226">
        <f t="shared" si="335"/>
        <v>8</v>
      </c>
      <c r="K140" s="226">
        <f t="shared" si="335"/>
        <v>6</v>
      </c>
      <c r="L140" s="226">
        <f t="shared" si="335"/>
        <v>8</v>
      </c>
      <c r="M140" s="226">
        <f t="shared" si="335"/>
        <v>7</v>
      </c>
      <c r="N140" s="226">
        <f t="shared" si="335"/>
        <v>3</v>
      </c>
      <c r="O140" s="226">
        <f t="shared" si="335"/>
        <v>6</v>
      </c>
      <c r="P140" s="226">
        <f t="shared" si="335"/>
        <v>3</v>
      </c>
      <c r="Q140" s="226">
        <f t="shared" si="335"/>
        <v>6</v>
      </c>
      <c r="R140" s="226">
        <f t="shared" si="335"/>
        <v>7</v>
      </c>
      <c r="S140" s="226">
        <f t="shared" si="335"/>
        <v>6</v>
      </c>
      <c r="T140" s="226">
        <f t="shared" si="335"/>
        <v>8</v>
      </c>
      <c r="U140" s="226">
        <f t="shared" si="335"/>
        <v>5</v>
      </c>
      <c r="V140" s="226">
        <f t="shared" si="335"/>
        <v>6</v>
      </c>
      <c r="W140" s="226">
        <f t="shared" si="335"/>
        <v>6</v>
      </c>
      <c r="X140" s="226">
        <f t="shared" si="335"/>
        <v>8</v>
      </c>
      <c r="Y140" s="226">
        <f t="shared" si="335"/>
        <v>8</v>
      </c>
      <c r="Z140" s="227">
        <f t="shared" si="335"/>
        <v>8</v>
      </c>
    </row>
    <row r="141" spans="1:26" ht="14.45" customHeight="1">
      <c r="A141" s="723"/>
      <c r="B141" s="737"/>
      <c r="C141" s="740"/>
      <c r="D141" s="716"/>
      <c r="E141" s="716"/>
      <c r="F141" s="720"/>
      <c r="G141" s="230" t="s">
        <v>143</v>
      </c>
      <c r="H141" s="231" t="str">
        <f t="shared" ref="H141" si="336">IF(SUM(I141:Z141)&gt;0,"+"&amp;SUM(I141:Z141),SUM(I141:Z141))</f>
        <v>+44</v>
      </c>
      <c r="I141" s="231">
        <v>2</v>
      </c>
      <c r="J141" s="232">
        <v>4</v>
      </c>
      <c r="K141" s="231">
        <v>2</v>
      </c>
      <c r="L141" s="231">
        <v>3</v>
      </c>
      <c r="M141" s="231">
        <v>3</v>
      </c>
      <c r="N141" s="235">
        <v>0</v>
      </c>
      <c r="O141" s="231">
        <v>2</v>
      </c>
      <c r="P141" s="235">
        <v>0</v>
      </c>
      <c r="Q141" s="231">
        <v>2</v>
      </c>
      <c r="R141" s="231">
        <v>3</v>
      </c>
      <c r="S141" s="231">
        <v>2</v>
      </c>
      <c r="T141" s="231">
        <v>3</v>
      </c>
      <c r="U141" s="231">
        <v>2</v>
      </c>
      <c r="V141" s="231">
        <v>2</v>
      </c>
      <c r="W141" s="232">
        <v>3</v>
      </c>
      <c r="X141" s="231">
        <v>3</v>
      </c>
      <c r="Y141" s="232">
        <v>4</v>
      </c>
      <c r="Z141" s="238">
        <v>4</v>
      </c>
    </row>
    <row r="142" spans="1:26" ht="14.45" customHeight="1">
      <c r="A142" s="721">
        <v>21</v>
      </c>
      <c r="B142" s="735">
        <v>45213</v>
      </c>
      <c r="C142" s="738">
        <v>0.72777777777777775</v>
      </c>
      <c r="D142" s="714" t="s">
        <v>159</v>
      </c>
      <c r="E142" s="714" t="s">
        <v>1864</v>
      </c>
      <c r="F142" s="729" t="s">
        <v>1876</v>
      </c>
      <c r="G142" s="221" t="s">
        <v>137</v>
      </c>
      <c r="H142" s="222">
        <f t="shared" ref="H142:H143" si="337">SUM(I142:Z142)</f>
        <v>72</v>
      </c>
      <c r="I142" s="222">
        <v>5</v>
      </c>
      <c r="J142" s="222">
        <v>4</v>
      </c>
      <c r="K142" s="222">
        <v>4</v>
      </c>
      <c r="L142" s="222">
        <v>5</v>
      </c>
      <c r="M142" s="222">
        <v>4</v>
      </c>
      <c r="N142" s="222">
        <v>3</v>
      </c>
      <c r="O142" s="222">
        <v>4</v>
      </c>
      <c r="P142" s="222">
        <v>3</v>
      </c>
      <c r="Q142" s="222">
        <v>4</v>
      </c>
      <c r="R142" s="222">
        <v>4</v>
      </c>
      <c r="S142" s="222">
        <v>4</v>
      </c>
      <c r="T142" s="222">
        <v>5</v>
      </c>
      <c r="U142" s="222">
        <v>3</v>
      </c>
      <c r="V142" s="222">
        <v>4</v>
      </c>
      <c r="W142" s="222">
        <v>3</v>
      </c>
      <c r="X142" s="222">
        <v>5</v>
      </c>
      <c r="Y142" s="222">
        <v>4</v>
      </c>
      <c r="Z142" s="223">
        <v>4</v>
      </c>
    </row>
    <row r="143" spans="1:26" ht="14.45" customHeight="1">
      <c r="A143" s="722"/>
      <c r="B143" s="736"/>
      <c r="C143" s="739"/>
      <c r="D143" s="715"/>
      <c r="E143" s="715"/>
      <c r="F143" s="730"/>
      <c r="G143" s="224" t="s">
        <v>160</v>
      </c>
      <c r="H143" s="225">
        <f t="shared" si="337"/>
        <v>5599</v>
      </c>
      <c r="I143" s="226">
        <v>424</v>
      </c>
      <c r="J143" s="226">
        <v>324</v>
      </c>
      <c r="K143" s="226">
        <v>364</v>
      </c>
      <c r="L143" s="226">
        <v>492</v>
      </c>
      <c r="M143" s="226">
        <v>294</v>
      </c>
      <c r="N143" s="226">
        <v>133</v>
      </c>
      <c r="O143" s="226">
        <v>313</v>
      </c>
      <c r="P143" s="226">
        <v>156</v>
      </c>
      <c r="Q143" s="226">
        <v>325</v>
      </c>
      <c r="R143" s="226">
        <v>342</v>
      </c>
      <c r="S143" s="226">
        <v>318</v>
      </c>
      <c r="T143" s="226">
        <v>436</v>
      </c>
      <c r="U143" s="226">
        <v>151</v>
      </c>
      <c r="V143" s="226">
        <v>321</v>
      </c>
      <c r="W143" s="226">
        <v>158</v>
      </c>
      <c r="X143" s="226">
        <v>450</v>
      </c>
      <c r="Y143" s="226">
        <v>293</v>
      </c>
      <c r="Z143" s="227">
        <v>305</v>
      </c>
    </row>
    <row r="144" spans="1:26" ht="14.45" customHeight="1">
      <c r="A144" s="722"/>
      <c r="B144" s="736"/>
      <c r="C144" s="739"/>
      <c r="D144" s="715"/>
      <c r="E144" s="715"/>
      <c r="F144" s="730"/>
      <c r="G144" s="224" t="s">
        <v>138</v>
      </c>
      <c r="H144" s="228" t="str">
        <f t="shared" ref="H144" si="338">IF(I146="N/A","N/A",IF(COUNTIF(I144:Z144,"Y")/14=0,"N/A",COUNTIF(I144:Z144,"Y")/(COUNTIF(I144:Z144,"Y")+COUNTIF(I144:Z144,"N"))))</f>
        <v>N/A</v>
      </c>
      <c r="I144" s="226" t="s">
        <v>2</v>
      </c>
      <c r="J144" s="226" t="s">
        <v>2</v>
      </c>
      <c r="K144" s="226" t="s">
        <v>2</v>
      </c>
      <c r="L144" s="226" t="s">
        <v>2</v>
      </c>
      <c r="M144" s="226" t="s">
        <v>2</v>
      </c>
      <c r="N144" s="226" t="s">
        <v>2</v>
      </c>
      <c r="O144" s="226" t="s">
        <v>2</v>
      </c>
      <c r="P144" s="226" t="s">
        <v>2</v>
      </c>
      <c r="Q144" s="226" t="s">
        <v>2</v>
      </c>
      <c r="R144" s="226" t="s">
        <v>2</v>
      </c>
      <c r="S144" s="226" t="s">
        <v>2</v>
      </c>
      <c r="T144" s="226" t="s">
        <v>2</v>
      </c>
      <c r="U144" s="226" t="s">
        <v>2</v>
      </c>
      <c r="V144" s="226" t="s">
        <v>2</v>
      </c>
      <c r="W144" s="226" t="s">
        <v>2</v>
      </c>
      <c r="X144" s="226" t="s">
        <v>2</v>
      </c>
      <c r="Y144" s="226" t="s">
        <v>2</v>
      </c>
      <c r="Z144" s="227" t="s">
        <v>2</v>
      </c>
    </row>
    <row r="145" spans="1:26" ht="14.45" customHeight="1">
      <c r="A145" s="722"/>
      <c r="B145" s="736"/>
      <c r="C145" s="739"/>
      <c r="D145" s="715"/>
      <c r="E145" s="715"/>
      <c r="F145" s="730"/>
      <c r="G145" s="224" t="s">
        <v>145</v>
      </c>
      <c r="H145" s="228" t="str">
        <f t="shared" ref="H145" si="339">IFERROR(IF(I146="N/A","N/A",COUNTIF(I145:Z145,"Y")/(COUNTIF(I145:Z145,"Y")+COUNTIF(I145:Z145,"N"))),"N/A")</f>
        <v>N/A</v>
      </c>
      <c r="I145" s="226" t="s">
        <v>2</v>
      </c>
      <c r="J145" s="226" t="s">
        <v>2</v>
      </c>
      <c r="K145" s="226" t="s">
        <v>2</v>
      </c>
      <c r="L145" s="226" t="s">
        <v>2</v>
      </c>
      <c r="M145" s="226" t="s">
        <v>2</v>
      </c>
      <c r="N145" s="226" t="s">
        <v>2</v>
      </c>
      <c r="O145" s="226" t="s">
        <v>2</v>
      </c>
      <c r="P145" s="226" t="s">
        <v>2</v>
      </c>
      <c r="Q145" s="226" t="s">
        <v>2</v>
      </c>
      <c r="R145" s="226" t="s">
        <v>2</v>
      </c>
      <c r="S145" s="226" t="s">
        <v>2</v>
      </c>
      <c r="T145" s="226" t="s">
        <v>2</v>
      </c>
      <c r="U145" s="226" t="s">
        <v>2</v>
      </c>
      <c r="V145" s="226" t="s">
        <v>2</v>
      </c>
      <c r="W145" s="226" t="s">
        <v>2</v>
      </c>
      <c r="X145" s="226" t="s">
        <v>2</v>
      </c>
      <c r="Y145" s="226" t="s">
        <v>2</v>
      </c>
      <c r="Z145" s="227" t="s">
        <v>2</v>
      </c>
    </row>
    <row r="146" spans="1:26" ht="14.45" customHeight="1">
      <c r="A146" s="722"/>
      <c r="B146" s="736"/>
      <c r="C146" s="739"/>
      <c r="D146" s="715"/>
      <c r="E146" s="715"/>
      <c r="F146" s="730"/>
      <c r="G146" s="224" t="s">
        <v>139</v>
      </c>
      <c r="H146" s="226" t="str">
        <f t="shared" ref="H146" si="340">IF(I146="N/A","N/A",SUM(I146:Z146))</f>
        <v>N/A</v>
      </c>
      <c r="I146" s="226" t="s">
        <v>3</v>
      </c>
      <c r="J146" s="226" t="s">
        <v>3</v>
      </c>
      <c r="K146" s="226" t="s">
        <v>3</v>
      </c>
      <c r="L146" s="226" t="s">
        <v>3</v>
      </c>
      <c r="M146" s="226" t="s">
        <v>3</v>
      </c>
      <c r="N146" s="226" t="s">
        <v>3</v>
      </c>
      <c r="O146" s="226" t="s">
        <v>3</v>
      </c>
      <c r="P146" s="226" t="s">
        <v>3</v>
      </c>
      <c r="Q146" s="226" t="s">
        <v>3</v>
      </c>
      <c r="R146" s="226" t="s">
        <v>3</v>
      </c>
      <c r="S146" s="226" t="s">
        <v>3</v>
      </c>
      <c r="T146" s="226" t="s">
        <v>3</v>
      </c>
      <c r="U146" s="226" t="s">
        <v>3</v>
      </c>
      <c r="V146" s="226" t="s">
        <v>3</v>
      </c>
      <c r="W146" s="226" t="s">
        <v>3</v>
      </c>
      <c r="X146" s="226" t="s">
        <v>3</v>
      </c>
      <c r="Y146" s="226" t="s">
        <v>3</v>
      </c>
      <c r="Z146" s="227" t="s">
        <v>3</v>
      </c>
    </row>
    <row r="147" spans="1:26" ht="14.45" customHeight="1">
      <c r="A147" s="722"/>
      <c r="B147" s="736"/>
      <c r="C147" s="739"/>
      <c r="D147" s="715"/>
      <c r="E147" s="715"/>
      <c r="F147" s="730"/>
      <c r="G147" s="224" t="s">
        <v>67</v>
      </c>
      <c r="H147" s="229">
        <f t="shared" ref="H147" si="341">SUM(I147:Z147)</f>
        <v>96</v>
      </c>
      <c r="I147" s="226">
        <f t="shared" ref="I147:Z147" si="342">IF(I148="","",I142+I148)</f>
        <v>6</v>
      </c>
      <c r="J147" s="226">
        <f t="shared" si="342"/>
        <v>6</v>
      </c>
      <c r="K147" s="226">
        <f t="shared" si="342"/>
        <v>5</v>
      </c>
      <c r="L147" s="226">
        <f t="shared" si="342"/>
        <v>5</v>
      </c>
      <c r="M147" s="226">
        <f t="shared" si="342"/>
        <v>5</v>
      </c>
      <c r="N147" s="226">
        <f t="shared" si="342"/>
        <v>4</v>
      </c>
      <c r="O147" s="226">
        <f t="shared" si="342"/>
        <v>7</v>
      </c>
      <c r="P147" s="226">
        <f t="shared" si="342"/>
        <v>6</v>
      </c>
      <c r="Q147" s="226">
        <f t="shared" si="342"/>
        <v>5</v>
      </c>
      <c r="R147" s="226">
        <f t="shared" si="342"/>
        <v>4</v>
      </c>
      <c r="S147" s="226">
        <f t="shared" si="342"/>
        <v>5</v>
      </c>
      <c r="T147" s="226">
        <f t="shared" si="342"/>
        <v>7</v>
      </c>
      <c r="U147" s="226">
        <f t="shared" si="342"/>
        <v>3</v>
      </c>
      <c r="V147" s="226">
        <f t="shared" si="342"/>
        <v>5</v>
      </c>
      <c r="W147" s="226">
        <f t="shared" si="342"/>
        <v>5</v>
      </c>
      <c r="X147" s="226">
        <f t="shared" si="342"/>
        <v>7</v>
      </c>
      <c r="Y147" s="226">
        <f t="shared" si="342"/>
        <v>5</v>
      </c>
      <c r="Z147" s="227">
        <f t="shared" si="342"/>
        <v>6</v>
      </c>
    </row>
    <row r="148" spans="1:26" ht="14.45" customHeight="1">
      <c r="A148" s="723"/>
      <c r="B148" s="737"/>
      <c r="C148" s="740"/>
      <c r="D148" s="716"/>
      <c r="E148" s="716"/>
      <c r="F148" s="731"/>
      <c r="G148" s="230" t="s">
        <v>143</v>
      </c>
      <c r="H148" s="231" t="str">
        <f t="shared" ref="H148" si="343">IF(SUM(I148:Z148)&gt;0,"+"&amp;SUM(I148:Z148),SUM(I148:Z148))</f>
        <v>+24</v>
      </c>
      <c r="I148" s="233">
        <v>1</v>
      </c>
      <c r="J148" s="231">
        <v>2</v>
      </c>
      <c r="K148" s="233">
        <v>1</v>
      </c>
      <c r="L148" s="235">
        <v>0</v>
      </c>
      <c r="M148" s="233">
        <v>1</v>
      </c>
      <c r="N148" s="233">
        <v>1</v>
      </c>
      <c r="O148" s="231">
        <v>3</v>
      </c>
      <c r="P148" s="232">
        <v>3</v>
      </c>
      <c r="Q148" s="233">
        <v>1</v>
      </c>
      <c r="R148" s="235">
        <v>0</v>
      </c>
      <c r="S148" s="233">
        <v>1</v>
      </c>
      <c r="T148" s="231">
        <v>2</v>
      </c>
      <c r="U148" s="235">
        <v>0</v>
      </c>
      <c r="V148" s="233">
        <v>1</v>
      </c>
      <c r="W148" s="231">
        <v>2</v>
      </c>
      <c r="X148" s="231">
        <v>2</v>
      </c>
      <c r="Y148" s="233">
        <v>1</v>
      </c>
      <c r="Z148" s="234">
        <v>2</v>
      </c>
    </row>
    <row r="149" spans="1:26" ht="14.45" customHeight="1">
      <c r="A149" s="721">
        <v>22</v>
      </c>
      <c r="B149" s="724">
        <v>45227</v>
      </c>
      <c r="C149" s="726">
        <v>0.28541666666666665</v>
      </c>
      <c r="D149" s="711" t="s">
        <v>1879</v>
      </c>
      <c r="E149" s="747" t="s">
        <v>1880</v>
      </c>
      <c r="F149" s="717" t="s">
        <v>1899</v>
      </c>
      <c r="G149" s="221" t="s">
        <v>137</v>
      </c>
      <c r="H149" s="222">
        <f t="shared" ref="H149:H150" si="344">SUM(I149:Z149)</f>
        <v>72</v>
      </c>
      <c r="I149" s="222">
        <v>4</v>
      </c>
      <c r="J149" s="222">
        <v>4</v>
      </c>
      <c r="K149" s="222">
        <v>4</v>
      </c>
      <c r="L149" s="222">
        <v>3</v>
      </c>
      <c r="M149" s="222">
        <v>4</v>
      </c>
      <c r="N149" s="222">
        <v>5</v>
      </c>
      <c r="O149" s="222">
        <v>4</v>
      </c>
      <c r="P149" s="222">
        <v>3</v>
      </c>
      <c r="Q149" s="222">
        <v>5</v>
      </c>
      <c r="R149" s="222">
        <v>4</v>
      </c>
      <c r="S149" s="222">
        <v>3</v>
      </c>
      <c r="T149" s="222">
        <v>4</v>
      </c>
      <c r="U149" s="222">
        <v>4</v>
      </c>
      <c r="V149" s="222">
        <v>3</v>
      </c>
      <c r="W149" s="222">
        <v>4</v>
      </c>
      <c r="X149" s="222">
        <v>5</v>
      </c>
      <c r="Y149" s="222">
        <v>4</v>
      </c>
      <c r="Z149" s="223">
        <v>5</v>
      </c>
    </row>
    <row r="150" spans="1:26" ht="14.45" customHeight="1">
      <c r="A150" s="722"/>
      <c r="B150" s="725"/>
      <c r="C150" s="727"/>
      <c r="D150" s="712"/>
      <c r="E150" s="719"/>
      <c r="F150" s="718"/>
      <c r="G150" s="224" t="s">
        <v>160</v>
      </c>
      <c r="H150" s="225">
        <f t="shared" si="344"/>
        <v>5841</v>
      </c>
      <c r="I150" s="226">
        <v>361</v>
      </c>
      <c r="J150" s="226">
        <v>356</v>
      </c>
      <c r="K150" s="226">
        <v>350</v>
      </c>
      <c r="L150" s="226">
        <v>153</v>
      </c>
      <c r="M150" s="226">
        <v>320</v>
      </c>
      <c r="N150" s="226">
        <v>487</v>
      </c>
      <c r="O150" s="226">
        <v>366</v>
      </c>
      <c r="P150" s="226">
        <v>161</v>
      </c>
      <c r="Q150" s="226">
        <v>495</v>
      </c>
      <c r="R150" s="226">
        <v>324</v>
      </c>
      <c r="S150" s="226">
        <v>150</v>
      </c>
      <c r="T150" s="226">
        <v>262</v>
      </c>
      <c r="U150" s="226">
        <v>351</v>
      </c>
      <c r="V150" s="226">
        <v>153</v>
      </c>
      <c r="W150" s="226">
        <v>323</v>
      </c>
      <c r="X150" s="226">
        <v>478</v>
      </c>
      <c r="Y150" s="226">
        <v>309</v>
      </c>
      <c r="Z150" s="227">
        <v>442</v>
      </c>
    </row>
    <row r="151" spans="1:26" ht="14.45" customHeight="1">
      <c r="A151" s="722"/>
      <c r="B151" s="719"/>
      <c r="C151" s="727"/>
      <c r="D151" s="712"/>
      <c r="E151" s="719"/>
      <c r="F151" s="719"/>
      <c r="G151" s="224" t="s">
        <v>138</v>
      </c>
      <c r="H151" s="228" t="str">
        <f t="shared" ref="H151" si="345">IF(I153="N/A","N/A",IF(COUNTIF(I151:Z151,"Y")/14=0,"N/A",COUNTIF(I151:Z151,"Y")/(COUNTIF(I151:Z151,"Y")+COUNTIF(I151:Z151,"N"))))</f>
        <v>N/A</v>
      </c>
      <c r="I151" s="226" t="s">
        <v>2</v>
      </c>
      <c r="J151" s="226" t="s">
        <v>2</v>
      </c>
      <c r="K151" s="226" t="s">
        <v>2</v>
      </c>
      <c r="L151" s="226" t="s">
        <v>2</v>
      </c>
      <c r="M151" s="226" t="s">
        <v>2</v>
      </c>
      <c r="N151" s="226" t="s">
        <v>2</v>
      </c>
      <c r="O151" s="226" t="s">
        <v>2</v>
      </c>
      <c r="P151" s="226" t="s">
        <v>2</v>
      </c>
      <c r="Q151" s="226" t="s">
        <v>2</v>
      </c>
      <c r="R151" s="226" t="s">
        <v>2</v>
      </c>
      <c r="S151" s="226" t="s">
        <v>2</v>
      </c>
      <c r="T151" s="226" t="s">
        <v>2</v>
      </c>
      <c r="U151" s="226" t="s">
        <v>2</v>
      </c>
      <c r="V151" s="226" t="s">
        <v>2</v>
      </c>
      <c r="W151" s="226" t="s">
        <v>2</v>
      </c>
      <c r="X151" s="226" t="s">
        <v>2</v>
      </c>
      <c r="Y151" s="226" t="s">
        <v>2</v>
      </c>
      <c r="Z151" s="227" t="s">
        <v>2</v>
      </c>
    </row>
    <row r="152" spans="1:26" ht="14.45" customHeight="1">
      <c r="A152" s="722"/>
      <c r="B152" s="719"/>
      <c r="C152" s="727"/>
      <c r="D152" s="712"/>
      <c r="E152" s="719"/>
      <c r="F152" s="719"/>
      <c r="G152" s="224" t="s">
        <v>145</v>
      </c>
      <c r="H152" s="228" t="str">
        <f t="shared" ref="H152" si="346">IFERROR(IF(I153="N/A","N/A",COUNTIF(I152:Z152,"Y")/(COUNTIF(I152:Z152,"Y")+COUNTIF(I152:Z152,"N"))),"N/A")</f>
        <v>N/A</v>
      </c>
      <c r="I152" s="226" t="s">
        <v>2</v>
      </c>
      <c r="J152" s="226" t="s">
        <v>2</v>
      </c>
      <c r="K152" s="226" t="s">
        <v>2</v>
      </c>
      <c r="L152" s="226" t="s">
        <v>2</v>
      </c>
      <c r="M152" s="226" t="s">
        <v>2</v>
      </c>
      <c r="N152" s="226" t="s">
        <v>2</v>
      </c>
      <c r="O152" s="226" t="s">
        <v>2</v>
      </c>
      <c r="P152" s="226" t="s">
        <v>2</v>
      </c>
      <c r="Q152" s="226" t="s">
        <v>2</v>
      </c>
      <c r="R152" s="226" t="s">
        <v>2</v>
      </c>
      <c r="S152" s="226" t="s">
        <v>2</v>
      </c>
      <c r="T152" s="226" t="s">
        <v>2</v>
      </c>
      <c r="U152" s="226" t="s">
        <v>2</v>
      </c>
      <c r="V152" s="226" t="s">
        <v>2</v>
      </c>
      <c r="W152" s="226" t="s">
        <v>2</v>
      </c>
      <c r="X152" s="226" t="s">
        <v>2</v>
      </c>
      <c r="Y152" s="226" t="s">
        <v>2</v>
      </c>
      <c r="Z152" s="227" t="s">
        <v>2</v>
      </c>
    </row>
    <row r="153" spans="1:26" ht="14.45" customHeight="1">
      <c r="A153" s="722"/>
      <c r="B153" s="719"/>
      <c r="C153" s="727"/>
      <c r="D153" s="712"/>
      <c r="E153" s="719"/>
      <c r="F153" s="719"/>
      <c r="G153" s="224" t="s">
        <v>139</v>
      </c>
      <c r="H153" s="226" t="str">
        <f t="shared" ref="H153" si="347">IF(I153="N/A","N/A",SUM(I153:Z153))</f>
        <v>N/A</v>
      </c>
      <c r="I153" s="226" t="s">
        <v>3</v>
      </c>
      <c r="J153" s="226" t="s">
        <v>3</v>
      </c>
      <c r="K153" s="226" t="s">
        <v>3</v>
      </c>
      <c r="L153" s="226" t="s">
        <v>3</v>
      </c>
      <c r="M153" s="226" t="s">
        <v>3</v>
      </c>
      <c r="N153" s="226" t="s">
        <v>3</v>
      </c>
      <c r="O153" s="226" t="s">
        <v>3</v>
      </c>
      <c r="P153" s="226" t="s">
        <v>3</v>
      </c>
      <c r="Q153" s="226" t="s">
        <v>3</v>
      </c>
      <c r="R153" s="226" t="s">
        <v>3</v>
      </c>
      <c r="S153" s="226" t="s">
        <v>3</v>
      </c>
      <c r="T153" s="226" t="s">
        <v>3</v>
      </c>
      <c r="U153" s="226" t="s">
        <v>3</v>
      </c>
      <c r="V153" s="226" t="s">
        <v>3</v>
      </c>
      <c r="W153" s="226" t="s">
        <v>3</v>
      </c>
      <c r="X153" s="226" t="s">
        <v>3</v>
      </c>
      <c r="Y153" s="226" t="s">
        <v>3</v>
      </c>
      <c r="Z153" s="227" t="s">
        <v>3</v>
      </c>
    </row>
    <row r="154" spans="1:26" ht="14.45" customHeight="1">
      <c r="A154" s="722"/>
      <c r="B154" s="719"/>
      <c r="C154" s="727"/>
      <c r="D154" s="712"/>
      <c r="E154" s="719"/>
      <c r="F154" s="719"/>
      <c r="G154" s="224" t="s">
        <v>67</v>
      </c>
      <c r="H154" s="229">
        <f t="shared" ref="H154" si="348">SUM(I154:Z154)</f>
        <v>105</v>
      </c>
      <c r="I154" s="226">
        <f t="shared" ref="I154:Z154" si="349">IF(I155="","",I149+I155)</f>
        <v>6</v>
      </c>
      <c r="J154" s="226">
        <f t="shared" si="349"/>
        <v>6</v>
      </c>
      <c r="K154" s="226">
        <f t="shared" si="349"/>
        <v>6</v>
      </c>
      <c r="L154" s="226">
        <f t="shared" si="349"/>
        <v>6</v>
      </c>
      <c r="M154" s="226">
        <f t="shared" si="349"/>
        <v>6</v>
      </c>
      <c r="N154" s="226">
        <f t="shared" si="349"/>
        <v>6</v>
      </c>
      <c r="O154" s="226">
        <f t="shared" si="349"/>
        <v>6</v>
      </c>
      <c r="P154" s="226">
        <f t="shared" si="349"/>
        <v>5</v>
      </c>
      <c r="Q154" s="226">
        <f t="shared" si="349"/>
        <v>6</v>
      </c>
      <c r="R154" s="226">
        <f t="shared" si="349"/>
        <v>6</v>
      </c>
      <c r="S154" s="226">
        <f t="shared" si="349"/>
        <v>5</v>
      </c>
      <c r="T154" s="226">
        <f t="shared" si="349"/>
        <v>4</v>
      </c>
      <c r="U154" s="226">
        <f t="shared" si="349"/>
        <v>5</v>
      </c>
      <c r="V154" s="226">
        <f t="shared" si="349"/>
        <v>4</v>
      </c>
      <c r="W154" s="226">
        <f t="shared" si="349"/>
        <v>6</v>
      </c>
      <c r="X154" s="226">
        <f t="shared" si="349"/>
        <v>9</v>
      </c>
      <c r="Y154" s="226">
        <f t="shared" si="349"/>
        <v>7</v>
      </c>
      <c r="Z154" s="227">
        <f t="shared" si="349"/>
        <v>6</v>
      </c>
    </row>
    <row r="155" spans="1:26" ht="14.45" customHeight="1">
      <c r="A155" s="723"/>
      <c r="B155" s="720"/>
      <c r="C155" s="728"/>
      <c r="D155" s="713"/>
      <c r="E155" s="720"/>
      <c r="F155" s="720"/>
      <c r="G155" s="230" t="s">
        <v>143</v>
      </c>
      <c r="H155" s="231" t="str">
        <f t="shared" ref="H155" si="350">IF(SUM(I155:Z155)&gt;0,"+"&amp;SUM(I155:Z155),SUM(I155:Z155))</f>
        <v>+33</v>
      </c>
      <c r="I155" s="231">
        <v>2</v>
      </c>
      <c r="J155" s="231">
        <v>2</v>
      </c>
      <c r="K155" s="231">
        <v>2</v>
      </c>
      <c r="L155" s="232">
        <v>3</v>
      </c>
      <c r="M155" s="231">
        <v>2</v>
      </c>
      <c r="N155" s="233">
        <v>1</v>
      </c>
      <c r="O155" s="231">
        <v>2</v>
      </c>
      <c r="P155" s="231">
        <v>2</v>
      </c>
      <c r="Q155" s="233">
        <v>1</v>
      </c>
      <c r="R155" s="231">
        <v>2</v>
      </c>
      <c r="S155" s="231">
        <v>2</v>
      </c>
      <c r="T155" s="235">
        <v>0</v>
      </c>
      <c r="U155" s="233">
        <v>1</v>
      </c>
      <c r="V155" s="233">
        <v>1</v>
      </c>
      <c r="W155" s="231">
        <v>2</v>
      </c>
      <c r="X155" s="231">
        <v>4</v>
      </c>
      <c r="Y155" s="231">
        <v>3</v>
      </c>
      <c r="Z155" s="236">
        <v>1</v>
      </c>
    </row>
    <row r="156" spans="1:26" ht="14.45" customHeight="1">
      <c r="A156" s="721">
        <v>23</v>
      </c>
      <c r="B156" s="735">
        <v>45269</v>
      </c>
      <c r="C156" s="738">
        <v>0.31944444444444448</v>
      </c>
      <c r="D156" s="747" t="s">
        <v>1904</v>
      </c>
      <c r="E156" s="747" t="s">
        <v>1844</v>
      </c>
      <c r="F156" s="717" t="s">
        <v>1907</v>
      </c>
      <c r="G156" s="221" t="s">
        <v>137</v>
      </c>
      <c r="H156" s="222">
        <f t="shared" ref="H156:H157" si="351">SUM(I156:Z156)</f>
        <v>72</v>
      </c>
      <c r="I156" s="222">
        <v>4</v>
      </c>
      <c r="J156" s="222">
        <v>5</v>
      </c>
      <c r="K156" s="222">
        <v>3</v>
      </c>
      <c r="L156" s="222">
        <v>4</v>
      </c>
      <c r="M156" s="222">
        <v>4</v>
      </c>
      <c r="N156" s="222">
        <v>3</v>
      </c>
      <c r="O156" s="222">
        <v>4</v>
      </c>
      <c r="P156" s="222">
        <v>5</v>
      </c>
      <c r="Q156" s="222">
        <v>4</v>
      </c>
      <c r="R156" s="222">
        <v>4</v>
      </c>
      <c r="S156" s="222">
        <v>3</v>
      </c>
      <c r="T156" s="222">
        <v>5</v>
      </c>
      <c r="U156" s="222">
        <v>4</v>
      </c>
      <c r="V156" s="222">
        <v>3</v>
      </c>
      <c r="W156" s="222">
        <v>4</v>
      </c>
      <c r="X156" s="222">
        <v>5</v>
      </c>
      <c r="Y156" s="222">
        <v>4</v>
      </c>
      <c r="Z156" s="223">
        <v>4</v>
      </c>
    </row>
    <row r="157" spans="1:26" ht="14.45" customHeight="1">
      <c r="A157" s="722"/>
      <c r="B157" s="736"/>
      <c r="C157" s="739"/>
      <c r="D157" s="719"/>
      <c r="E157" s="719"/>
      <c r="F157" s="718"/>
      <c r="G157" s="224" t="s">
        <v>160</v>
      </c>
      <c r="H157" s="225">
        <f t="shared" si="351"/>
        <v>5799</v>
      </c>
      <c r="I157" s="226">
        <v>354</v>
      </c>
      <c r="J157" s="226">
        <v>496</v>
      </c>
      <c r="K157" s="226">
        <v>162</v>
      </c>
      <c r="L157" s="226">
        <v>295</v>
      </c>
      <c r="M157" s="226">
        <v>339</v>
      </c>
      <c r="N157" s="226">
        <v>142</v>
      </c>
      <c r="O157" s="226">
        <v>328</v>
      </c>
      <c r="P157" s="226">
        <v>541</v>
      </c>
      <c r="Q157" s="226">
        <v>367</v>
      </c>
      <c r="R157" s="226">
        <v>332</v>
      </c>
      <c r="S157" s="226">
        <v>159</v>
      </c>
      <c r="T157" s="226">
        <v>456</v>
      </c>
      <c r="U157" s="226">
        <v>285</v>
      </c>
      <c r="V157" s="226">
        <v>143</v>
      </c>
      <c r="W157" s="226">
        <v>322</v>
      </c>
      <c r="X157" s="226">
        <v>440</v>
      </c>
      <c r="Y157" s="226">
        <v>303</v>
      </c>
      <c r="Z157" s="227">
        <v>335</v>
      </c>
    </row>
    <row r="158" spans="1:26" ht="14.45" customHeight="1">
      <c r="A158" s="722"/>
      <c r="B158" s="736"/>
      <c r="C158" s="739"/>
      <c r="D158" s="719"/>
      <c r="E158" s="719"/>
      <c r="F158" s="719"/>
      <c r="G158" s="224" t="s">
        <v>138</v>
      </c>
      <c r="H158" s="228" t="str">
        <f t="shared" ref="H158" si="352">IF(I160="N/A","N/A",IF(COUNTIF(I158:Z158,"Y")/14=0,"N/A",COUNTIF(I158:Z158,"Y")/(COUNTIF(I158:Z158,"Y")+COUNTIF(I158:Z158,"N"))))</f>
        <v>N/A</v>
      </c>
      <c r="I158" s="226" t="s">
        <v>2</v>
      </c>
      <c r="J158" s="226" t="s">
        <v>2</v>
      </c>
      <c r="K158" s="226" t="s">
        <v>2</v>
      </c>
      <c r="L158" s="226" t="s">
        <v>2</v>
      </c>
      <c r="M158" s="226" t="s">
        <v>2</v>
      </c>
      <c r="N158" s="226" t="s">
        <v>2</v>
      </c>
      <c r="O158" s="226" t="s">
        <v>2</v>
      </c>
      <c r="P158" s="226" t="s">
        <v>2</v>
      </c>
      <c r="Q158" s="226" t="s">
        <v>2</v>
      </c>
      <c r="R158" s="226" t="s">
        <v>2</v>
      </c>
      <c r="S158" s="226" t="s">
        <v>2</v>
      </c>
      <c r="T158" s="226" t="s">
        <v>2</v>
      </c>
      <c r="U158" s="226" t="s">
        <v>2</v>
      </c>
      <c r="V158" s="226" t="s">
        <v>2</v>
      </c>
      <c r="W158" s="226" t="s">
        <v>2</v>
      </c>
      <c r="X158" s="226" t="s">
        <v>2</v>
      </c>
      <c r="Y158" s="226" t="s">
        <v>2</v>
      </c>
      <c r="Z158" s="227" t="s">
        <v>2</v>
      </c>
    </row>
    <row r="159" spans="1:26" ht="14.45" customHeight="1">
      <c r="A159" s="722"/>
      <c r="B159" s="736"/>
      <c r="C159" s="739"/>
      <c r="D159" s="719"/>
      <c r="E159" s="719"/>
      <c r="F159" s="719"/>
      <c r="G159" s="224" t="s">
        <v>145</v>
      </c>
      <c r="H159" s="228" t="str">
        <f t="shared" ref="H159" si="353">IFERROR(IF(I160="N/A","N/A",COUNTIF(I159:Z159,"Y")/(COUNTIF(I159:Z159,"Y")+COUNTIF(I159:Z159,"N"))),"N/A")</f>
        <v>N/A</v>
      </c>
      <c r="I159" s="226" t="s">
        <v>2</v>
      </c>
      <c r="J159" s="226" t="s">
        <v>2</v>
      </c>
      <c r="K159" s="226" t="s">
        <v>2</v>
      </c>
      <c r="L159" s="226" t="s">
        <v>2</v>
      </c>
      <c r="M159" s="226" t="s">
        <v>2</v>
      </c>
      <c r="N159" s="226" t="s">
        <v>2</v>
      </c>
      <c r="O159" s="226" t="s">
        <v>2</v>
      </c>
      <c r="P159" s="226" t="s">
        <v>2</v>
      </c>
      <c r="Q159" s="226" t="s">
        <v>2</v>
      </c>
      <c r="R159" s="226" t="s">
        <v>2</v>
      </c>
      <c r="S159" s="226" t="s">
        <v>2</v>
      </c>
      <c r="T159" s="226" t="s">
        <v>2</v>
      </c>
      <c r="U159" s="226" t="s">
        <v>2</v>
      </c>
      <c r="V159" s="226" t="s">
        <v>2</v>
      </c>
      <c r="W159" s="226" t="s">
        <v>2</v>
      </c>
      <c r="X159" s="226" t="s">
        <v>2</v>
      </c>
      <c r="Y159" s="226" t="s">
        <v>2</v>
      </c>
      <c r="Z159" s="227" t="s">
        <v>2</v>
      </c>
    </row>
    <row r="160" spans="1:26" ht="14.45" customHeight="1">
      <c r="A160" s="722"/>
      <c r="B160" s="736"/>
      <c r="C160" s="739"/>
      <c r="D160" s="719"/>
      <c r="E160" s="719"/>
      <c r="F160" s="719"/>
      <c r="G160" s="224" t="s">
        <v>139</v>
      </c>
      <c r="H160" s="226" t="str">
        <f t="shared" ref="H160" si="354">IF(I160="N/A","N/A",SUM(I160:Z160))</f>
        <v>N/A</v>
      </c>
      <c r="I160" s="226" t="s">
        <v>3</v>
      </c>
      <c r="J160" s="226" t="s">
        <v>3</v>
      </c>
      <c r="K160" s="226" t="s">
        <v>3</v>
      </c>
      <c r="L160" s="226" t="s">
        <v>3</v>
      </c>
      <c r="M160" s="226" t="s">
        <v>3</v>
      </c>
      <c r="N160" s="226" t="s">
        <v>3</v>
      </c>
      <c r="O160" s="226" t="s">
        <v>3</v>
      </c>
      <c r="P160" s="226" t="s">
        <v>3</v>
      </c>
      <c r="Q160" s="226" t="s">
        <v>3</v>
      </c>
      <c r="R160" s="226" t="s">
        <v>3</v>
      </c>
      <c r="S160" s="226" t="s">
        <v>3</v>
      </c>
      <c r="T160" s="226" t="s">
        <v>3</v>
      </c>
      <c r="U160" s="226" t="s">
        <v>3</v>
      </c>
      <c r="V160" s="226" t="s">
        <v>3</v>
      </c>
      <c r="W160" s="226" t="s">
        <v>3</v>
      </c>
      <c r="X160" s="226" t="s">
        <v>3</v>
      </c>
      <c r="Y160" s="226" t="s">
        <v>3</v>
      </c>
      <c r="Z160" s="227" t="s">
        <v>3</v>
      </c>
    </row>
    <row r="161" spans="1:26" ht="14.45" customHeight="1">
      <c r="A161" s="722"/>
      <c r="B161" s="736"/>
      <c r="C161" s="739"/>
      <c r="D161" s="719"/>
      <c r="E161" s="719"/>
      <c r="F161" s="719"/>
      <c r="G161" s="224" t="s">
        <v>67</v>
      </c>
      <c r="H161" s="229">
        <f t="shared" ref="H161" si="355">SUM(I161:Z161)</f>
        <v>104</v>
      </c>
      <c r="I161" s="226">
        <f t="shared" ref="I161:Z161" si="356">IF(I162="","",I156+I162)</f>
        <v>7</v>
      </c>
      <c r="J161" s="226">
        <f t="shared" si="356"/>
        <v>6</v>
      </c>
      <c r="K161" s="226">
        <f t="shared" si="356"/>
        <v>4</v>
      </c>
      <c r="L161" s="226">
        <f t="shared" si="356"/>
        <v>7</v>
      </c>
      <c r="M161" s="226">
        <f t="shared" si="356"/>
        <v>4</v>
      </c>
      <c r="N161" s="226">
        <f t="shared" si="356"/>
        <v>4</v>
      </c>
      <c r="O161" s="226">
        <f t="shared" si="356"/>
        <v>7</v>
      </c>
      <c r="P161" s="226">
        <f t="shared" si="356"/>
        <v>7</v>
      </c>
      <c r="Q161" s="226">
        <f t="shared" si="356"/>
        <v>8</v>
      </c>
      <c r="R161" s="226">
        <f t="shared" si="356"/>
        <v>5</v>
      </c>
      <c r="S161" s="226">
        <f t="shared" si="356"/>
        <v>5</v>
      </c>
      <c r="T161" s="226">
        <f t="shared" si="356"/>
        <v>6</v>
      </c>
      <c r="U161" s="226">
        <f t="shared" si="356"/>
        <v>5</v>
      </c>
      <c r="V161" s="226">
        <f t="shared" si="356"/>
        <v>4</v>
      </c>
      <c r="W161" s="226">
        <f t="shared" si="356"/>
        <v>5</v>
      </c>
      <c r="X161" s="226">
        <f t="shared" si="356"/>
        <v>8</v>
      </c>
      <c r="Y161" s="226">
        <f t="shared" si="356"/>
        <v>7</v>
      </c>
      <c r="Z161" s="227">
        <f t="shared" si="356"/>
        <v>5</v>
      </c>
    </row>
    <row r="162" spans="1:26" ht="14.45" customHeight="1">
      <c r="A162" s="723"/>
      <c r="B162" s="737"/>
      <c r="C162" s="740"/>
      <c r="D162" s="720"/>
      <c r="E162" s="720"/>
      <c r="F162" s="720"/>
      <c r="G162" s="230" t="s">
        <v>143</v>
      </c>
      <c r="H162" s="231" t="str">
        <f t="shared" ref="H162" si="357">IF(SUM(I162:Z162)&gt;0,"+"&amp;SUM(I162:Z162),SUM(I162:Z162))</f>
        <v>+32</v>
      </c>
      <c r="I162" s="231">
        <v>3</v>
      </c>
      <c r="J162" s="233">
        <v>1</v>
      </c>
      <c r="K162" s="233">
        <v>1</v>
      </c>
      <c r="L162" s="231">
        <v>3</v>
      </c>
      <c r="M162" s="235">
        <v>0</v>
      </c>
      <c r="N162" s="233">
        <v>1</v>
      </c>
      <c r="O162" s="231">
        <v>3</v>
      </c>
      <c r="P162" s="231">
        <v>2</v>
      </c>
      <c r="Q162" s="232">
        <v>4</v>
      </c>
      <c r="R162" s="233">
        <v>1</v>
      </c>
      <c r="S162" s="231">
        <v>2</v>
      </c>
      <c r="T162" s="233">
        <v>1</v>
      </c>
      <c r="U162" s="233">
        <v>1</v>
      </c>
      <c r="V162" s="233">
        <v>1</v>
      </c>
      <c r="W162" s="233">
        <v>1</v>
      </c>
      <c r="X162" s="231">
        <v>3</v>
      </c>
      <c r="Y162" s="231">
        <v>3</v>
      </c>
      <c r="Z162" s="236">
        <v>1</v>
      </c>
    </row>
    <row r="163" spans="1:26" ht="14.45" customHeight="1">
      <c r="A163" s="721">
        <v>24</v>
      </c>
      <c r="B163" s="735">
        <v>45335</v>
      </c>
      <c r="C163" s="738">
        <v>0.39583333333333331</v>
      </c>
      <c r="D163" s="711" t="s">
        <v>1950</v>
      </c>
      <c r="E163" s="714" t="s">
        <v>1951</v>
      </c>
      <c r="F163" s="729" t="s">
        <v>2008</v>
      </c>
      <c r="G163" s="221" t="s">
        <v>137</v>
      </c>
      <c r="H163" s="222">
        <f t="shared" ref="H163:H164" si="358">SUM(I163:Z163)</f>
        <v>72</v>
      </c>
      <c r="I163" s="222">
        <v>4</v>
      </c>
      <c r="J163" s="222">
        <v>3</v>
      </c>
      <c r="K163" s="222">
        <v>4</v>
      </c>
      <c r="L163" s="222">
        <v>5</v>
      </c>
      <c r="M163" s="222">
        <v>3</v>
      </c>
      <c r="N163" s="222">
        <v>4</v>
      </c>
      <c r="O163" s="222">
        <v>5</v>
      </c>
      <c r="P163" s="222">
        <v>4</v>
      </c>
      <c r="Q163" s="222">
        <v>4</v>
      </c>
      <c r="R163" s="222">
        <v>5</v>
      </c>
      <c r="S163" s="222">
        <v>3</v>
      </c>
      <c r="T163" s="222">
        <v>4</v>
      </c>
      <c r="U163" s="222">
        <v>4</v>
      </c>
      <c r="V163" s="222">
        <v>4</v>
      </c>
      <c r="W163" s="222">
        <v>4</v>
      </c>
      <c r="X163" s="222">
        <v>3</v>
      </c>
      <c r="Y163" s="222">
        <v>4</v>
      </c>
      <c r="Z163" s="223">
        <v>5</v>
      </c>
    </row>
    <row r="164" spans="1:26" ht="14.45" customHeight="1">
      <c r="A164" s="722"/>
      <c r="B164" s="736"/>
      <c r="C164" s="739"/>
      <c r="D164" s="712"/>
      <c r="E164" s="715"/>
      <c r="F164" s="730"/>
      <c r="G164" s="224" t="s">
        <v>160</v>
      </c>
      <c r="H164" s="225">
        <f t="shared" si="358"/>
        <v>6009.4368000000004</v>
      </c>
      <c r="I164" s="226">
        <v>360.27359999999999</v>
      </c>
      <c r="J164" s="226">
        <v>160.02000000000001</v>
      </c>
      <c r="K164" s="226">
        <v>405.07920000000001</v>
      </c>
      <c r="L164" s="226">
        <v>470.916</v>
      </c>
      <c r="M164" s="226">
        <v>141.732</v>
      </c>
      <c r="N164" s="226">
        <v>334.67039999999997</v>
      </c>
      <c r="O164" s="226">
        <v>466.34399999999999</v>
      </c>
      <c r="P164" s="226">
        <v>306.32400000000001</v>
      </c>
      <c r="Q164" s="226">
        <v>364.84559999999999</v>
      </c>
      <c r="R164" s="226">
        <v>498.34800000000001</v>
      </c>
      <c r="S164" s="226">
        <v>145.3896</v>
      </c>
      <c r="T164" s="226">
        <v>374.904</v>
      </c>
      <c r="U164" s="226">
        <v>321.86880000000002</v>
      </c>
      <c r="V164" s="226">
        <v>323.69760000000002</v>
      </c>
      <c r="W164" s="226">
        <v>404.16480000000001</v>
      </c>
      <c r="X164" s="226">
        <v>142.6464</v>
      </c>
      <c r="Y164" s="226">
        <v>327.35520000000002</v>
      </c>
      <c r="Z164" s="227">
        <v>460.85759999999999</v>
      </c>
    </row>
    <row r="165" spans="1:26" ht="14.45" customHeight="1">
      <c r="A165" s="722"/>
      <c r="B165" s="736"/>
      <c r="C165" s="739"/>
      <c r="D165" s="712"/>
      <c r="E165" s="715"/>
      <c r="F165" s="730"/>
      <c r="G165" s="224" t="s">
        <v>138</v>
      </c>
      <c r="H165" s="228" t="str">
        <f t="shared" ref="H165" si="359">IF(I167="N/A","N/A",IF(COUNTIF(I165:Z165,"Y")/14=0,"N/A",COUNTIF(I165:Z165,"Y")/(COUNTIF(I165:Z165,"Y")+COUNTIF(I165:Z165,"N"))))</f>
        <v>N/A</v>
      </c>
      <c r="I165" s="226" t="s">
        <v>2</v>
      </c>
      <c r="J165" s="226" t="s">
        <v>2</v>
      </c>
      <c r="K165" s="226" t="s">
        <v>2</v>
      </c>
      <c r="L165" s="226" t="s">
        <v>2</v>
      </c>
      <c r="M165" s="226" t="s">
        <v>2</v>
      </c>
      <c r="N165" s="226" t="s">
        <v>2</v>
      </c>
      <c r="O165" s="226" t="s">
        <v>2</v>
      </c>
      <c r="P165" s="226" t="s">
        <v>2</v>
      </c>
      <c r="Q165" s="226" t="s">
        <v>2</v>
      </c>
      <c r="R165" s="226" t="s">
        <v>2</v>
      </c>
      <c r="S165" s="226" t="s">
        <v>2</v>
      </c>
      <c r="T165" s="226" t="s">
        <v>2</v>
      </c>
      <c r="U165" s="226" t="s">
        <v>2</v>
      </c>
      <c r="V165" s="226" t="s">
        <v>2</v>
      </c>
      <c r="W165" s="226" t="s">
        <v>2</v>
      </c>
      <c r="X165" s="226" t="s">
        <v>2</v>
      </c>
      <c r="Y165" s="226" t="s">
        <v>2</v>
      </c>
      <c r="Z165" s="227" t="s">
        <v>2</v>
      </c>
    </row>
    <row r="166" spans="1:26" ht="14.45" customHeight="1">
      <c r="A166" s="722"/>
      <c r="B166" s="736"/>
      <c r="C166" s="739"/>
      <c r="D166" s="712"/>
      <c r="E166" s="715"/>
      <c r="F166" s="730"/>
      <c r="G166" s="224" t="s">
        <v>145</v>
      </c>
      <c r="H166" s="228" t="str">
        <f t="shared" ref="H166" si="360">IFERROR(IF(I167="N/A","N/A",COUNTIF(I166:Z166,"Y")/(COUNTIF(I166:Z166,"Y")+COUNTIF(I166:Z166,"N"))),"N/A")</f>
        <v>N/A</v>
      </c>
      <c r="I166" s="226" t="s">
        <v>2</v>
      </c>
      <c r="J166" s="226" t="s">
        <v>2</v>
      </c>
      <c r="K166" s="226" t="s">
        <v>2</v>
      </c>
      <c r="L166" s="226" t="s">
        <v>2</v>
      </c>
      <c r="M166" s="226" t="s">
        <v>2</v>
      </c>
      <c r="N166" s="226" t="s">
        <v>2</v>
      </c>
      <c r="O166" s="226" t="s">
        <v>2</v>
      </c>
      <c r="P166" s="226" t="s">
        <v>2</v>
      </c>
      <c r="Q166" s="226" t="s">
        <v>2</v>
      </c>
      <c r="R166" s="226" t="s">
        <v>2</v>
      </c>
      <c r="S166" s="226" t="s">
        <v>2</v>
      </c>
      <c r="T166" s="226" t="s">
        <v>2</v>
      </c>
      <c r="U166" s="226" t="s">
        <v>2</v>
      </c>
      <c r="V166" s="226" t="s">
        <v>2</v>
      </c>
      <c r="W166" s="226" t="s">
        <v>2</v>
      </c>
      <c r="X166" s="226" t="s">
        <v>2</v>
      </c>
      <c r="Y166" s="226" t="s">
        <v>2</v>
      </c>
      <c r="Z166" s="227" t="s">
        <v>2</v>
      </c>
    </row>
    <row r="167" spans="1:26" ht="14.45" customHeight="1">
      <c r="A167" s="722"/>
      <c r="B167" s="736"/>
      <c r="C167" s="739"/>
      <c r="D167" s="712"/>
      <c r="E167" s="715"/>
      <c r="F167" s="730"/>
      <c r="G167" s="224" t="s">
        <v>139</v>
      </c>
      <c r="H167" s="226" t="str">
        <f t="shared" ref="H167" si="361">IF(I167="N/A","N/A",SUM(I167:Z167))</f>
        <v>N/A</v>
      </c>
      <c r="I167" s="226" t="s">
        <v>3</v>
      </c>
      <c r="J167" s="226" t="s">
        <v>3</v>
      </c>
      <c r="K167" s="226" t="s">
        <v>3</v>
      </c>
      <c r="L167" s="226" t="s">
        <v>3</v>
      </c>
      <c r="M167" s="226" t="s">
        <v>3</v>
      </c>
      <c r="N167" s="226" t="s">
        <v>3</v>
      </c>
      <c r="O167" s="226" t="s">
        <v>3</v>
      </c>
      <c r="P167" s="226" t="s">
        <v>3</v>
      </c>
      <c r="Q167" s="226" t="s">
        <v>3</v>
      </c>
      <c r="R167" s="226" t="s">
        <v>3</v>
      </c>
      <c r="S167" s="226" t="s">
        <v>3</v>
      </c>
      <c r="T167" s="226" t="s">
        <v>3</v>
      </c>
      <c r="U167" s="226" t="s">
        <v>3</v>
      </c>
      <c r="V167" s="226" t="s">
        <v>3</v>
      </c>
      <c r="W167" s="226" t="s">
        <v>3</v>
      </c>
      <c r="X167" s="226" t="s">
        <v>3</v>
      </c>
      <c r="Y167" s="226" t="s">
        <v>3</v>
      </c>
      <c r="Z167" s="227" t="s">
        <v>3</v>
      </c>
    </row>
    <row r="168" spans="1:26" ht="14.45" customHeight="1">
      <c r="A168" s="722"/>
      <c r="B168" s="736"/>
      <c r="C168" s="739"/>
      <c r="D168" s="712"/>
      <c r="E168" s="715"/>
      <c r="F168" s="730"/>
      <c r="G168" s="224" t="s">
        <v>67</v>
      </c>
      <c r="H168" s="229">
        <f t="shared" ref="H168" si="362">SUM(I168:Z168)</f>
        <v>115</v>
      </c>
      <c r="I168" s="226">
        <f t="shared" ref="I168:Z168" si="363">IF(I169="","",I163+I169)</f>
        <v>5</v>
      </c>
      <c r="J168" s="226">
        <f t="shared" si="363"/>
        <v>3</v>
      </c>
      <c r="K168" s="226">
        <f t="shared" si="363"/>
        <v>7</v>
      </c>
      <c r="L168" s="226">
        <f t="shared" si="363"/>
        <v>7</v>
      </c>
      <c r="M168" s="226">
        <f t="shared" si="363"/>
        <v>3</v>
      </c>
      <c r="N168" s="226">
        <f t="shared" si="363"/>
        <v>8</v>
      </c>
      <c r="O168" s="226">
        <f t="shared" si="363"/>
        <v>10</v>
      </c>
      <c r="P168" s="226">
        <f t="shared" si="363"/>
        <v>6</v>
      </c>
      <c r="Q168" s="226">
        <f t="shared" si="363"/>
        <v>7</v>
      </c>
      <c r="R168" s="226">
        <f t="shared" si="363"/>
        <v>10</v>
      </c>
      <c r="S168" s="226">
        <f t="shared" si="363"/>
        <v>4</v>
      </c>
      <c r="T168" s="226">
        <f t="shared" si="363"/>
        <v>6</v>
      </c>
      <c r="U168" s="226">
        <f t="shared" si="363"/>
        <v>5</v>
      </c>
      <c r="V168" s="226">
        <f t="shared" si="363"/>
        <v>8</v>
      </c>
      <c r="W168" s="226">
        <f t="shared" si="363"/>
        <v>6</v>
      </c>
      <c r="X168" s="226">
        <f t="shared" si="363"/>
        <v>4</v>
      </c>
      <c r="Y168" s="226">
        <f t="shared" si="363"/>
        <v>8</v>
      </c>
      <c r="Z168" s="227">
        <f t="shared" si="363"/>
        <v>8</v>
      </c>
    </row>
    <row r="169" spans="1:26" ht="14.45" customHeight="1">
      <c r="A169" s="723"/>
      <c r="B169" s="737"/>
      <c r="C169" s="740"/>
      <c r="D169" s="713"/>
      <c r="E169" s="716"/>
      <c r="F169" s="731"/>
      <c r="G169" s="230" t="s">
        <v>143</v>
      </c>
      <c r="H169" s="231" t="str">
        <f t="shared" ref="H169" si="364">IF(SUM(I169:Z169)&gt;0,"+"&amp;SUM(I169:Z169),SUM(I169:Z169))</f>
        <v>+43</v>
      </c>
      <c r="I169" s="233">
        <v>1</v>
      </c>
      <c r="J169" s="235">
        <v>0</v>
      </c>
      <c r="K169" s="231">
        <v>3</v>
      </c>
      <c r="L169" s="231">
        <v>2</v>
      </c>
      <c r="M169" s="235">
        <v>0</v>
      </c>
      <c r="N169" s="232">
        <v>4</v>
      </c>
      <c r="O169" s="232">
        <v>5</v>
      </c>
      <c r="P169" s="231">
        <v>2</v>
      </c>
      <c r="Q169" s="231">
        <v>3</v>
      </c>
      <c r="R169" s="232">
        <v>5</v>
      </c>
      <c r="S169" s="233">
        <v>1</v>
      </c>
      <c r="T169" s="231">
        <v>2</v>
      </c>
      <c r="U169" s="233">
        <v>1</v>
      </c>
      <c r="V169" s="232">
        <v>4</v>
      </c>
      <c r="W169" s="231">
        <v>2</v>
      </c>
      <c r="X169" s="233">
        <v>1</v>
      </c>
      <c r="Y169" s="232">
        <v>4</v>
      </c>
      <c r="Z169" s="234">
        <v>3</v>
      </c>
    </row>
    <row r="170" spans="1:26" ht="14.45" customHeight="1">
      <c r="A170" s="721">
        <v>25</v>
      </c>
      <c r="B170" s="724">
        <v>45381</v>
      </c>
      <c r="C170" s="726">
        <v>0.32083333333333336</v>
      </c>
      <c r="D170" s="711" t="s">
        <v>159</v>
      </c>
      <c r="E170" s="714" t="s">
        <v>2086</v>
      </c>
      <c r="F170" s="729" t="s">
        <v>2101</v>
      </c>
      <c r="G170" s="221" t="s">
        <v>137</v>
      </c>
      <c r="H170" s="222">
        <f t="shared" ref="H170:H171" si="365">SUM(I170:Z170)</f>
        <v>72</v>
      </c>
      <c r="I170" s="222">
        <v>5</v>
      </c>
      <c r="J170" s="222">
        <v>4</v>
      </c>
      <c r="K170" s="222">
        <v>3</v>
      </c>
      <c r="L170" s="222">
        <v>4</v>
      </c>
      <c r="M170" s="222">
        <v>4</v>
      </c>
      <c r="N170" s="222">
        <v>5</v>
      </c>
      <c r="O170" s="222">
        <v>3</v>
      </c>
      <c r="P170" s="222">
        <v>4</v>
      </c>
      <c r="Q170" s="222">
        <v>4</v>
      </c>
      <c r="R170" s="222">
        <v>5</v>
      </c>
      <c r="S170" s="222">
        <v>4</v>
      </c>
      <c r="T170" s="222">
        <v>4</v>
      </c>
      <c r="U170" s="222">
        <v>5</v>
      </c>
      <c r="V170" s="222">
        <v>4</v>
      </c>
      <c r="W170" s="222">
        <v>3</v>
      </c>
      <c r="X170" s="222">
        <v>4</v>
      </c>
      <c r="Y170" s="222">
        <v>3</v>
      </c>
      <c r="Z170" s="223">
        <v>4</v>
      </c>
    </row>
    <row r="171" spans="1:26" ht="14.45" customHeight="1">
      <c r="A171" s="722"/>
      <c r="B171" s="725"/>
      <c r="C171" s="727"/>
      <c r="D171" s="712"/>
      <c r="E171" s="715"/>
      <c r="F171" s="730"/>
      <c r="G171" s="224" t="s">
        <v>160</v>
      </c>
      <c r="H171" s="225">
        <f t="shared" si="365"/>
        <v>5681</v>
      </c>
      <c r="I171" s="226">
        <v>452</v>
      </c>
      <c r="J171" s="226">
        <v>354</v>
      </c>
      <c r="K171" s="226">
        <v>149</v>
      </c>
      <c r="L171" s="226">
        <v>330</v>
      </c>
      <c r="M171" s="226">
        <v>296</v>
      </c>
      <c r="N171" s="226">
        <v>447</v>
      </c>
      <c r="O171" s="226">
        <v>156</v>
      </c>
      <c r="P171" s="226">
        <v>321</v>
      </c>
      <c r="Q171" s="226">
        <v>351</v>
      </c>
      <c r="R171" s="226">
        <v>424</v>
      </c>
      <c r="S171" s="226">
        <v>324</v>
      </c>
      <c r="T171" s="226">
        <v>364</v>
      </c>
      <c r="U171" s="226">
        <v>492</v>
      </c>
      <c r="V171" s="226">
        <v>294</v>
      </c>
      <c r="W171" s="226">
        <v>133</v>
      </c>
      <c r="X171" s="226">
        <v>313</v>
      </c>
      <c r="Y171" s="226">
        <v>156</v>
      </c>
      <c r="Z171" s="227">
        <v>325</v>
      </c>
    </row>
    <row r="172" spans="1:26" ht="14.45" customHeight="1">
      <c r="A172" s="722"/>
      <c r="B172" s="719"/>
      <c r="C172" s="727"/>
      <c r="D172" s="712"/>
      <c r="E172" s="715"/>
      <c r="F172" s="730"/>
      <c r="G172" s="224" t="s">
        <v>138</v>
      </c>
      <c r="H172" s="228" t="str">
        <f t="shared" ref="H172" si="366">IF(I174="N/A","N/A",IF(COUNTIF(I172:Z172,"Y")/14=0,"N/A",COUNTIF(I172:Z172,"Y")/(COUNTIF(I172:Z172,"Y")+COUNTIF(I172:Z172,"N"))))</f>
        <v>N/A</v>
      </c>
      <c r="I172" s="226" t="s">
        <v>2</v>
      </c>
      <c r="J172" s="226" t="s">
        <v>2</v>
      </c>
      <c r="K172" s="226" t="s">
        <v>2</v>
      </c>
      <c r="L172" s="226" t="s">
        <v>2</v>
      </c>
      <c r="M172" s="226" t="s">
        <v>2</v>
      </c>
      <c r="N172" s="226" t="s">
        <v>2</v>
      </c>
      <c r="O172" s="226" t="s">
        <v>2</v>
      </c>
      <c r="P172" s="226" t="s">
        <v>2</v>
      </c>
      <c r="Q172" s="226" t="s">
        <v>2</v>
      </c>
      <c r="R172" s="226" t="s">
        <v>2</v>
      </c>
      <c r="S172" s="226" t="s">
        <v>2</v>
      </c>
      <c r="T172" s="226" t="s">
        <v>2</v>
      </c>
      <c r="U172" s="226" t="s">
        <v>2</v>
      </c>
      <c r="V172" s="226" t="s">
        <v>2</v>
      </c>
      <c r="W172" s="226" t="s">
        <v>2</v>
      </c>
      <c r="X172" s="226" t="s">
        <v>2</v>
      </c>
      <c r="Y172" s="226" t="s">
        <v>2</v>
      </c>
      <c r="Z172" s="227" t="s">
        <v>2</v>
      </c>
    </row>
    <row r="173" spans="1:26" ht="14.45" customHeight="1">
      <c r="A173" s="722"/>
      <c r="B173" s="719"/>
      <c r="C173" s="727"/>
      <c r="D173" s="712"/>
      <c r="E173" s="715"/>
      <c r="F173" s="730"/>
      <c r="G173" s="224" t="s">
        <v>145</v>
      </c>
      <c r="H173" s="228" t="str">
        <f t="shared" ref="H173" si="367">IFERROR(IF(I174="N/A","N/A",COUNTIF(I173:Z173,"Y")/(COUNTIF(I173:Z173,"Y")+COUNTIF(I173:Z173,"N"))),"N/A")</f>
        <v>N/A</v>
      </c>
      <c r="I173" s="226" t="s">
        <v>2</v>
      </c>
      <c r="J173" s="226" t="s">
        <v>2</v>
      </c>
      <c r="K173" s="226" t="s">
        <v>2</v>
      </c>
      <c r="L173" s="226" t="s">
        <v>2</v>
      </c>
      <c r="M173" s="226" t="s">
        <v>2</v>
      </c>
      <c r="N173" s="226" t="s">
        <v>2</v>
      </c>
      <c r="O173" s="226" t="s">
        <v>2</v>
      </c>
      <c r="P173" s="226" t="s">
        <v>2</v>
      </c>
      <c r="Q173" s="226" t="s">
        <v>2</v>
      </c>
      <c r="R173" s="226" t="s">
        <v>2</v>
      </c>
      <c r="S173" s="226" t="s">
        <v>2</v>
      </c>
      <c r="T173" s="226" t="s">
        <v>2</v>
      </c>
      <c r="U173" s="226" t="s">
        <v>2</v>
      </c>
      <c r="V173" s="226" t="s">
        <v>2</v>
      </c>
      <c r="W173" s="226" t="s">
        <v>2</v>
      </c>
      <c r="X173" s="226" t="s">
        <v>2</v>
      </c>
      <c r="Y173" s="226" t="s">
        <v>2</v>
      </c>
      <c r="Z173" s="227" t="s">
        <v>2</v>
      </c>
    </row>
    <row r="174" spans="1:26" ht="14.45" customHeight="1">
      <c r="A174" s="722"/>
      <c r="B174" s="719"/>
      <c r="C174" s="727"/>
      <c r="D174" s="712"/>
      <c r="E174" s="715"/>
      <c r="F174" s="730"/>
      <c r="G174" s="224" t="s">
        <v>139</v>
      </c>
      <c r="H174" s="226" t="str">
        <f t="shared" ref="H174" si="368">IF(I174="N/A","N/A",SUM(I174:Z174))</f>
        <v>N/A</v>
      </c>
      <c r="I174" s="226" t="s">
        <v>3</v>
      </c>
      <c r="J174" s="226" t="s">
        <v>3</v>
      </c>
      <c r="K174" s="226" t="s">
        <v>3</v>
      </c>
      <c r="L174" s="226" t="s">
        <v>3</v>
      </c>
      <c r="M174" s="226" t="s">
        <v>3</v>
      </c>
      <c r="N174" s="226" t="s">
        <v>3</v>
      </c>
      <c r="O174" s="226" t="s">
        <v>3</v>
      </c>
      <c r="P174" s="226" t="s">
        <v>3</v>
      </c>
      <c r="Q174" s="226" t="s">
        <v>3</v>
      </c>
      <c r="R174" s="226" t="s">
        <v>3</v>
      </c>
      <c r="S174" s="226" t="s">
        <v>3</v>
      </c>
      <c r="T174" s="226" t="s">
        <v>3</v>
      </c>
      <c r="U174" s="226" t="s">
        <v>3</v>
      </c>
      <c r="V174" s="226" t="s">
        <v>3</v>
      </c>
      <c r="W174" s="226" t="s">
        <v>3</v>
      </c>
      <c r="X174" s="226" t="s">
        <v>3</v>
      </c>
      <c r="Y174" s="226" t="s">
        <v>3</v>
      </c>
      <c r="Z174" s="227" t="s">
        <v>3</v>
      </c>
    </row>
    <row r="175" spans="1:26" ht="14.45" customHeight="1">
      <c r="A175" s="722"/>
      <c r="B175" s="719"/>
      <c r="C175" s="727"/>
      <c r="D175" s="712"/>
      <c r="E175" s="715"/>
      <c r="F175" s="730"/>
      <c r="G175" s="224" t="s">
        <v>67</v>
      </c>
      <c r="H175" s="229">
        <f t="shared" ref="H175" si="369">SUM(I175:Z175)</f>
        <v>104</v>
      </c>
      <c r="I175" s="226">
        <f t="shared" ref="I175:Z175" si="370">IF(I176="","",I170+I176)</f>
        <v>7</v>
      </c>
      <c r="J175" s="226">
        <f t="shared" si="370"/>
        <v>5</v>
      </c>
      <c r="K175" s="226">
        <f t="shared" si="370"/>
        <v>6</v>
      </c>
      <c r="L175" s="226">
        <f t="shared" si="370"/>
        <v>7</v>
      </c>
      <c r="M175" s="226">
        <f t="shared" si="370"/>
        <v>5</v>
      </c>
      <c r="N175" s="226">
        <f t="shared" si="370"/>
        <v>6</v>
      </c>
      <c r="O175" s="226">
        <f t="shared" si="370"/>
        <v>5</v>
      </c>
      <c r="P175" s="226">
        <f t="shared" si="370"/>
        <v>6</v>
      </c>
      <c r="Q175" s="226">
        <f t="shared" si="370"/>
        <v>6</v>
      </c>
      <c r="R175" s="226">
        <f t="shared" si="370"/>
        <v>7</v>
      </c>
      <c r="S175" s="226">
        <f t="shared" si="370"/>
        <v>6</v>
      </c>
      <c r="T175" s="226">
        <f t="shared" si="370"/>
        <v>4</v>
      </c>
      <c r="U175" s="226">
        <f t="shared" si="370"/>
        <v>7</v>
      </c>
      <c r="V175" s="226">
        <f t="shared" si="370"/>
        <v>5</v>
      </c>
      <c r="W175" s="226">
        <f t="shared" si="370"/>
        <v>5</v>
      </c>
      <c r="X175" s="226">
        <f t="shared" si="370"/>
        <v>6</v>
      </c>
      <c r="Y175" s="226">
        <f t="shared" si="370"/>
        <v>4</v>
      </c>
      <c r="Z175" s="227">
        <f t="shared" si="370"/>
        <v>7</v>
      </c>
    </row>
    <row r="176" spans="1:26" ht="14.45" customHeight="1">
      <c r="A176" s="723"/>
      <c r="B176" s="720"/>
      <c r="C176" s="728"/>
      <c r="D176" s="713"/>
      <c r="E176" s="716"/>
      <c r="F176" s="731"/>
      <c r="G176" s="230" t="s">
        <v>143</v>
      </c>
      <c r="H176" s="231" t="str">
        <f t="shared" ref="H176" si="371">IF(SUM(I176:Z176)&gt;0,"+"&amp;SUM(I176:Z176),SUM(I176:Z176))</f>
        <v>+32</v>
      </c>
      <c r="I176" s="231">
        <v>2</v>
      </c>
      <c r="J176" s="233">
        <v>1</v>
      </c>
      <c r="K176" s="232">
        <v>3</v>
      </c>
      <c r="L176" s="231">
        <v>3</v>
      </c>
      <c r="M176" s="233">
        <v>1</v>
      </c>
      <c r="N176" s="233">
        <v>1</v>
      </c>
      <c r="O176" s="231">
        <v>2</v>
      </c>
      <c r="P176" s="231">
        <v>2</v>
      </c>
      <c r="Q176" s="231">
        <v>2</v>
      </c>
      <c r="R176" s="231">
        <v>2</v>
      </c>
      <c r="S176" s="231">
        <v>2</v>
      </c>
      <c r="T176" s="235">
        <v>0</v>
      </c>
      <c r="U176" s="231">
        <v>2</v>
      </c>
      <c r="V176" s="233">
        <v>1</v>
      </c>
      <c r="W176" s="231">
        <v>2</v>
      </c>
      <c r="X176" s="231">
        <v>2</v>
      </c>
      <c r="Y176" s="233">
        <v>1</v>
      </c>
      <c r="Z176" s="234">
        <v>3</v>
      </c>
    </row>
    <row r="177" spans="1:26" ht="14.45" customHeight="1">
      <c r="A177" s="721">
        <v>26</v>
      </c>
      <c r="B177" s="735">
        <v>45395</v>
      </c>
      <c r="C177" s="738">
        <v>0.71875</v>
      </c>
      <c r="D177" s="753" t="s">
        <v>2091</v>
      </c>
      <c r="E177" s="714" t="s">
        <v>2104</v>
      </c>
      <c r="F177" s="729" t="s">
        <v>2105</v>
      </c>
      <c r="G177" s="221" t="s">
        <v>137</v>
      </c>
      <c r="H177" s="222">
        <f t="shared" ref="H177:H178" si="372">SUM(I177:Z177)</f>
        <v>72</v>
      </c>
      <c r="I177" s="222">
        <v>4</v>
      </c>
      <c r="J177" s="222">
        <v>5</v>
      </c>
      <c r="K177" s="222">
        <v>3</v>
      </c>
      <c r="L177" s="222">
        <v>5</v>
      </c>
      <c r="M177" s="222">
        <v>4</v>
      </c>
      <c r="N177" s="222">
        <v>4</v>
      </c>
      <c r="O177" s="222">
        <v>4</v>
      </c>
      <c r="P177" s="222">
        <v>3</v>
      </c>
      <c r="Q177" s="222">
        <v>4</v>
      </c>
      <c r="R177" s="222">
        <v>4</v>
      </c>
      <c r="S177" s="222">
        <v>5</v>
      </c>
      <c r="T177" s="222">
        <v>4</v>
      </c>
      <c r="U177" s="222">
        <v>3</v>
      </c>
      <c r="V177" s="222">
        <v>4</v>
      </c>
      <c r="W177" s="222">
        <v>4</v>
      </c>
      <c r="X177" s="222">
        <v>5</v>
      </c>
      <c r="Y177" s="222">
        <v>3</v>
      </c>
      <c r="Z177" s="223">
        <v>4</v>
      </c>
    </row>
    <row r="178" spans="1:26" ht="14.45" customHeight="1">
      <c r="A178" s="722"/>
      <c r="B178" s="736"/>
      <c r="C178" s="739"/>
      <c r="D178" s="754"/>
      <c r="E178" s="715"/>
      <c r="F178" s="730"/>
      <c r="G178" s="224" t="s">
        <v>160</v>
      </c>
      <c r="H178" s="225">
        <f t="shared" si="372"/>
        <v>5671</v>
      </c>
      <c r="I178" s="226">
        <v>307</v>
      </c>
      <c r="J178" s="226">
        <v>490</v>
      </c>
      <c r="K178" s="226">
        <v>127</v>
      </c>
      <c r="L178" s="226">
        <v>453</v>
      </c>
      <c r="M178" s="226">
        <v>379</v>
      </c>
      <c r="N178" s="226">
        <v>314</v>
      </c>
      <c r="O178" s="226">
        <v>330</v>
      </c>
      <c r="P178" s="226">
        <v>131</v>
      </c>
      <c r="Q178" s="226">
        <v>297</v>
      </c>
      <c r="R178" s="226">
        <v>335</v>
      </c>
      <c r="S178" s="226">
        <v>309</v>
      </c>
      <c r="T178" s="226">
        <v>342</v>
      </c>
      <c r="U178" s="226">
        <v>360</v>
      </c>
      <c r="V178" s="226">
        <v>460</v>
      </c>
      <c r="W178" s="226">
        <v>156</v>
      </c>
      <c r="X178" s="226">
        <v>427</v>
      </c>
      <c r="Y178" s="226">
        <v>157</v>
      </c>
      <c r="Z178" s="227">
        <v>297</v>
      </c>
    </row>
    <row r="179" spans="1:26" ht="14.45" customHeight="1">
      <c r="A179" s="722"/>
      <c r="B179" s="736"/>
      <c r="C179" s="739"/>
      <c r="D179" s="754"/>
      <c r="E179" s="715"/>
      <c r="F179" s="730"/>
      <c r="G179" s="224" t="s">
        <v>138</v>
      </c>
      <c r="H179" s="228" t="str">
        <f t="shared" ref="H179" si="373">IF(I181="N/A","N/A",IF(COUNTIF(I179:Z179,"Y")/14=0,"N/A",COUNTIF(I179:Z179,"Y")/(COUNTIF(I179:Z179,"Y")+COUNTIF(I179:Z179,"N"))))</f>
        <v>N/A</v>
      </c>
      <c r="I179" s="226" t="s">
        <v>2</v>
      </c>
      <c r="J179" s="226" t="s">
        <v>2</v>
      </c>
      <c r="K179" s="226" t="s">
        <v>2</v>
      </c>
      <c r="L179" s="226" t="s">
        <v>2</v>
      </c>
      <c r="M179" s="226" t="s">
        <v>2</v>
      </c>
      <c r="N179" s="226" t="s">
        <v>2</v>
      </c>
      <c r="O179" s="226" t="s">
        <v>2</v>
      </c>
      <c r="P179" s="226" t="s">
        <v>2</v>
      </c>
      <c r="Q179" s="226" t="s">
        <v>2</v>
      </c>
      <c r="R179" s="226" t="s">
        <v>2</v>
      </c>
      <c r="S179" s="226" t="s">
        <v>2</v>
      </c>
      <c r="T179" s="226" t="s">
        <v>2</v>
      </c>
      <c r="U179" s="226" t="s">
        <v>2</v>
      </c>
      <c r="V179" s="226" t="s">
        <v>2</v>
      </c>
      <c r="W179" s="226" t="s">
        <v>2</v>
      </c>
      <c r="X179" s="226" t="s">
        <v>2</v>
      </c>
      <c r="Y179" s="226" t="s">
        <v>2</v>
      </c>
      <c r="Z179" s="227" t="s">
        <v>2</v>
      </c>
    </row>
    <row r="180" spans="1:26" ht="14.45" customHeight="1">
      <c r="A180" s="722"/>
      <c r="B180" s="736"/>
      <c r="C180" s="739"/>
      <c r="D180" s="754"/>
      <c r="E180" s="715"/>
      <c r="F180" s="730"/>
      <c r="G180" s="224" t="s">
        <v>145</v>
      </c>
      <c r="H180" s="228" t="str">
        <f t="shared" ref="H180" si="374">IFERROR(IF(I181="N/A","N/A",COUNTIF(I180:Z180,"Y")/(COUNTIF(I180:Z180,"Y")+COUNTIF(I180:Z180,"N"))),"N/A")</f>
        <v>N/A</v>
      </c>
      <c r="I180" s="226" t="s">
        <v>2</v>
      </c>
      <c r="J180" s="226" t="s">
        <v>2</v>
      </c>
      <c r="K180" s="226" t="s">
        <v>2</v>
      </c>
      <c r="L180" s="226" t="s">
        <v>2</v>
      </c>
      <c r="M180" s="226" t="s">
        <v>2</v>
      </c>
      <c r="N180" s="226" t="s">
        <v>2</v>
      </c>
      <c r="O180" s="226" t="s">
        <v>2</v>
      </c>
      <c r="P180" s="226" t="s">
        <v>2</v>
      </c>
      <c r="Q180" s="226" t="s">
        <v>2</v>
      </c>
      <c r="R180" s="226" t="s">
        <v>2</v>
      </c>
      <c r="S180" s="226" t="s">
        <v>2</v>
      </c>
      <c r="T180" s="226" t="s">
        <v>2</v>
      </c>
      <c r="U180" s="226" t="s">
        <v>2</v>
      </c>
      <c r="V180" s="226" t="s">
        <v>2</v>
      </c>
      <c r="W180" s="226" t="s">
        <v>2</v>
      </c>
      <c r="X180" s="226" t="s">
        <v>2</v>
      </c>
      <c r="Y180" s="226" t="s">
        <v>2</v>
      </c>
      <c r="Z180" s="227" t="s">
        <v>2</v>
      </c>
    </row>
    <row r="181" spans="1:26" ht="14.45" customHeight="1">
      <c r="A181" s="722"/>
      <c r="B181" s="736"/>
      <c r="C181" s="739"/>
      <c r="D181" s="754"/>
      <c r="E181" s="715"/>
      <c r="F181" s="730"/>
      <c r="G181" s="224" t="s">
        <v>139</v>
      </c>
      <c r="H181" s="226" t="str">
        <f t="shared" ref="H181" si="375">IF(I181="N/A","N/A",SUM(I181:Z181))</f>
        <v>N/A</v>
      </c>
      <c r="I181" s="226" t="s">
        <v>3</v>
      </c>
      <c r="J181" s="226" t="s">
        <v>3</v>
      </c>
      <c r="K181" s="226" t="s">
        <v>3</v>
      </c>
      <c r="L181" s="226" t="s">
        <v>3</v>
      </c>
      <c r="M181" s="226" t="s">
        <v>3</v>
      </c>
      <c r="N181" s="226" t="s">
        <v>3</v>
      </c>
      <c r="O181" s="226" t="s">
        <v>3</v>
      </c>
      <c r="P181" s="226" t="s">
        <v>3</v>
      </c>
      <c r="Q181" s="226" t="s">
        <v>3</v>
      </c>
      <c r="R181" s="226" t="s">
        <v>3</v>
      </c>
      <c r="S181" s="226" t="s">
        <v>3</v>
      </c>
      <c r="T181" s="226" t="s">
        <v>3</v>
      </c>
      <c r="U181" s="226" t="s">
        <v>3</v>
      </c>
      <c r="V181" s="226" t="s">
        <v>3</v>
      </c>
      <c r="W181" s="226" t="s">
        <v>3</v>
      </c>
      <c r="X181" s="226" t="s">
        <v>3</v>
      </c>
      <c r="Y181" s="226" t="s">
        <v>3</v>
      </c>
      <c r="Z181" s="227" t="s">
        <v>3</v>
      </c>
    </row>
    <row r="182" spans="1:26" ht="14.45" customHeight="1">
      <c r="A182" s="722"/>
      <c r="B182" s="736"/>
      <c r="C182" s="739"/>
      <c r="D182" s="754"/>
      <c r="E182" s="715"/>
      <c r="F182" s="730"/>
      <c r="G182" s="224" t="s">
        <v>67</v>
      </c>
      <c r="H182" s="229">
        <f t="shared" ref="H182" si="376">SUM(I182:Z182)</f>
        <v>97</v>
      </c>
      <c r="I182" s="226">
        <f t="shared" ref="I182:Z182" si="377">IF(I183="","",I177+I183)</f>
        <v>3</v>
      </c>
      <c r="J182" s="226">
        <f t="shared" si="377"/>
        <v>6</v>
      </c>
      <c r="K182" s="226">
        <f t="shared" si="377"/>
        <v>4</v>
      </c>
      <c r="L182" s="226">
        <f t="shared" si="377"/>
        <v>6</v>
      </c>
      <c r="M182" s="226">
        <f t="shared" si="377"/>
        <v>7</v>
      </c>
      <c r="N182" s="226">
        <f t="shared" si="377"/>
        <v>7</v>
      </c>
      <c r="O182" s="226">
        <f t="shared" si="377"/>
        <v>6</v>
      </c>
      <c r="P182" s="226">
        <f t="shared" si="377"/>
        <v>4</v>
      </c>
      <c r="Q182" s="226">
        <f t="shared" si="377"/>
        <v>4</v>
      </c>
      <c r="R182" s="226">
        <f t="shared" si="377"/>
        <v>6</v>
      </c>
      <c r="S182" s="226">
        <f t="shared" si="377"/>
        <v>7</v>
      </c>
      <c r="T182" s="226">
        <f t="shared" si="377"/>
        <v>6</v>
      </c>
      <c r="U182" s="226">
        <f t="shared" si="377"/>
        <v>6</v>
      </c>
      <c r="V182" s="226">
        <f t="shared" si="377"/>
        <v>5</v>
      </c>
      <c r="W182" s="226">
        <f t="shared" si="377"/>
        <v>6</v>
      </c>
      <c r="X182" s="226">
        <f t="shared" si="377"/>
        <v>7</v>
      </c>
      <c r="Y182" s="226">
        <f t="shared" si="377"/>
        <v>3</v>
      </c>
      <c r="Z182" s="227">
        <f t="shared" si="377"/>
        <v>4</v>
      </c>
    </row>
    <row r="183" spans="1:26" ht="14.45" customHeight="1">
      <c r="A183" s="723"/>
      <c r="B183" s="737"/>
      <c r="C183" s="740"/>
      <c r="D183" s="755"/>
      <c r="E183" s="716"/>
      <c r="F183" s="731"/>
      <c r="G183" s="230" t="s">
        <v>143</v>
      </c>
      <c r="H183" s="231" t="str">
        <f t="shared" ref="H183" si="378">IF(SUM(I183:Z183)&gt;0,"+"&amp;SUM(I183:Z183),SUM(I183:Z183))</f>
        <v>+25</v>
      </c>
      <c r="I183" s="240">
        <v>-1</v>
      </c>
      <c r="J183" s="233">
        <v>1</v>
      </c>
      <c r="K183" s="233">
        <v>1</v>
      </c>
      <c r="L183" s="233">
        <v>1</v>
      </c>
      <c r="M183" s="231">
        <v>3</v>
      </c>
      <c r="N183" s="231">
        <v>3</v>
      </c>
      <c r="O183" s="231">
        <v>2</v>
      </c>
      <c r="P183" s="233">
        <v>1</v>
      </c>
      <c r="Q183" s="235">
        <v>0</v>
      </c>
      <c r="R183" s="231">
        <v>2</v>
      </c>
      <c r="S183" s="231">
        <v>2</v>
      </c>
      <c r="T183" s="231">
        <v>2</v>
      </c>
      <c r="U183" s="232">
        <v>3</v>
      </c>
      <c r="V183" s="233">
        <v>1</v>
      </c>
      <c r="W183" s="231">
        <v>2</v>
      </c>
      <c r="X183" s="231">
        <v>2</v>
      </c>
      <c r="Y183" s="235">
        <v>0</v>
      </c>
      <c r="Z183" s="260">
        <v>0</v>
      </c>
    </row>
    <row r="184" spans="1:26" ht="14.45" customHeight="1">
      <c r="A184" s="721">
        <v>27</v>
      </c>
      <c r="B184" s="735">
        <v>45427</v>
      </c>
      <c r="C184" s="738">
        <v>0.25486111111111109</v>
      </c>
      <c r="D184" s="711" t="s">
        <v>159</v>
      </c>
      <c r="E184" s="714" t="s">
        <v>1870</v>
      </c>
      <c r="F184" s="729" t="s">
        <v>2218</v>
      </c>
      <c r="G184" s="221" t="s">
        <v>137</v>
      </c>
      <c r="H184" s="222">
        <f t="shared" ref="H184:H185" si="379">SUM(I184:Z184)</f>
        <v>72</v>
      </c>
      <c r="I184" s="222">
        <v>4</v>
      </c>
      <c r="J184" s="222">
        <v>4</v>
      </c>
      <c r="K184" s="222">
        <v>5</v>
      </c>
      <c r="L184" s="222">
        <v>3</v>
      </c>
      <c r="M184" s="222">
        <v>4</v>
      </c>
      <c r="N184" s="222">
        <v>3</v>
      </c>
      <c r="O184" s="222">
        <v>5</v>
      </c>
      <c r="P184" s="222">
        <v>4</v>
      </c>
      <c r="Q184" s="222">
        <v>4</v>
      </c>
      <c r="R184" s="222">
        <v>5</v>
      </c>
      <c r="S184" s="222">
        <v>4</v>
      </c>
      <c r="T184" s="222">
        <v>3</v>
      </c>
      <c r="U184" s="222">
        <v>4</v>
      </c>
      <c r="V184" s="222">
        <v>4</v>
      </c>
      <c r="W184" s="222">
        <v>5</v>
      </c>
      <c r="X184" s="222">
        <v>3</v>
      </c>
      <c r="Y184" s="222">
        <v>4</v>
      </c>
      <c r="Z184" s="223">
        <v>4</v>
      </c>
    </row>
    <row r="185" spans="1:26" ht="14.45" customHeight="1">
      <c r="A185" s="722"/>
      <c r="B185" s="736"/>
      <c r="C185" s="739"/>
      <c r="D185" s="712"/>
      <c r="E185" s="715"/>
      <c r="F185" s="730"/>
      <c r="G185" s="224" t="s">
        <v>160</v>
      </c>
      <c r="H185" s="225">
        <f t="shared" si="379"/>
        <v>5630</v>
      </c>
      <c r="I185" s="226">
        <v>342</v>
      </c>
      <c r="J185" s="226">
        <v>318</v>
      </c>
      <c r="K185" s="226">
        <v>436</v>
      </c>
      <c r="L185" s="226">
        <v>151</v>
      </c>
      <c r="M185" s="226">
        <v>321</v>
      </c>
      <c r="N185" s="226">
        <v>158</v>
      </c>
      <c r="O185" s="226">
        <v>450</v>
      </c>
      <c r="P185" s="226">
        <v>293</v>
      </c>
      <c r="Q185" s="226">
        <v>305</v>
      </c>
      <c r="R185" s="226">
        <v>452</v>
      </c>
      <c r="S185" s="226">
        <v>354</v>
      </c>
      <c r="T185" s="226">
        <v>149</v>
      </c>
      <c r="U185" s="226">
        <v>330</v>
      </c>
      <c r="V185" s="226">
        <v>296</v>
      </c>
      <c r="W185" s="226">
        <v>447</v>
      </c>
      <c r="X185" s="226">
        <v>156</v>
      </c>
      <c r="Y185" s="226">
        <v>321</v>
      </c>
      <c r="Z185" s="227">
        <v>351</v>
      </c>
    </row>
    <row r="186" spans="1:26" ht="14.45" customHeight="1">
      <c r="A186" s="722"/>
      <c r="B186" s="736"/>
      <c r="C186" s="739"/>
      <c r="D186" s="712"/>
      <c r="E186" s="715"/>
      <c r="F186" s="730"/>
      <c r="G186" s="224" t="s">
        <v>138</v>
      </c>
      <c r="H186" s="228" t="str">
        <f t="shared" ref="H186" si="380">IF(I188="N/A","N/A",IF(COUNTIF(I186:Z186,"Y")/14=0,"N/A",COUNTIF(I186:Z186,"Y")/(COUNTIF(I186:Z186,"Y")+COUNTIF(I186:Z186,"N"))))</f>
        <v>N/A</v>
      </c>
      <c r="I186" s="226" t="s">
        <v>2</v>
      </c>
      <c r="J186" s="226" t="s">
        <v>2</v>
      </c>
      <c r="K186" s="226" t="s">
        <v>2</v>
      </c>
      <c r="L186" s="226" t="s">
        <v>2</v>
      </c>
      <c r="M186" s="226" t="s">
        <v>2</v>
      </c>
      <c r="N186" s="226" t="s">
        <v>2</v>
      </c>
      <c r="O186" s="226" t="s">
        <v>2</v>
      </c>
      <c r="P186" s="226" t="s">
        <v>2</v>
      </c>
      <c r="Q186" s="226" t="s">
        <v>2</v>
      </c>
      <c r="R186" s="226" t="s">
        <v>2</v>
      </c>
      <c r="S186" s="226" t="s">
        <v>2</v>
      </c>
      <c r="T186" s="226" t="s">
        <v>2</v>
      </c>
      <c r="U186" s="226" t="s">
        <v>2</v>
      </c>
      <c r="V186" s="226" t="s">
        <v>2</v>
      </c>
      <c r="W186" s="226" t="s">
        <v>2</v>
      </c>
      <c r="X186" s="226" t="s">
        <v>2</v>
      </c>
      <c r="Y186" s="226" t="s">
        <v>2</v>
      </c>
      <c r="Z186" s="227" t="s">
        <v>2</v>
      </c>
    </row>
    <row r="187" spans="1:26" ht="14.45" customHeight="1">
      <c r="A187" s="722"/>
      <c r="B187" s="736"/>
      <c r="C187" s="739"/>
      <c r="D187" s="712"/>
      <c r="E187" s="715"/>
      <c r="F187" s="730"/>
      <c r="G187" s="224" t="s">
        <v>145</v>
      </c>
      <c r="H187" s="228" t="str">
        <f t="shared" ref="H187" si="381">IFERROR(IF(I188="N/A","N/A",COUNTIF(I187:Z187,"Y")/(COUNTIF(I187:Z187,"Y")+COUNTIF(I187:Z187,"N"))),"N/A")</f>
        <v>N/A</v>
      </c>
      <c r="I187" s="226" t="s">
        <v>2</v>
      </c>
      <c r="J187" s="226" t="s">
        <v>2</v>
      </c>
      <c r="K187" s="226" t="s">
        <v>2</v>
      </c>
      <c r="L187" s="226" t="s">
        <v>2</v>
      </c>
      <c r="M187" s="226" t="s">
        <v>2</v>
      </c>
      <c r="N187" s="226" t="s">
        <v>2</v>
      </c>
      <c r="O187" s="226" t="s">
        <v>2</v>
      </c>
      <c r="P187" s="226" t="s">
        <v>2</v>
      </c>
      <c r="Q187" s="226" t="s">
        <v>2</v>
      </c>
      <c r="R187" s="226" t="s">
        <v>2</v>
      </c>
      <c r="S187" s="226" t="s">
        <v>2</v>
      </c>
      <c r="T187" s="226" t="s">
        <v>2</v>
      </c>
      <c r="U187" s="226" t="s">
        <v>2</v>
      </c>
      <c r="V187" s="226" t="s">
        <v>2</v>
      </c>
      <c r="W187" s="226" t="s">
        <v>2</v>
      </c>
      <c r="X187" s="226" t="s">
        <v>2</v>
      </c>
      <c r="Y187" s="226" t="s">
        <v>2</v>
      </c>
      <c r="Z187" s="227" t="s">
        <v>2</v>
      </c>
    </row>
    <row r="188" spans="1:26" ht="14.45" customHeight="1">
      <c r="A188" s="722"/>
      <c r="B188" s="736"/>
      <c r="C188" s="739"/>
      <c r="D188" s="712"/>
      <c r="E188" s="715"/>
      <c r="F188" s="730"/>
      <c r="G188" s="224" t="s">
        <v>139</v>
      </c>
      <c r="H188" s="226" t="str">
        <f t="shared" ref="H188" si="382">IF(I188="N/A","N/A",SUM(I188:Z188))</f>
        <v>N/A</v>
      </c>
      <c r="I188" s="226" t="s">
        <v>3</v>
      </c>
      <c r="J188" s="226" t="s">
        <v>3</v>
      </c>
      <c r="K188" s="226" t="s">
        <v>3</v>
      </c>
      <c r="L188" s="226" t="s">
        <v>3</v>
      </c>
      <c r="M188" s="226" t="s">
        <v>3</v>
      </c>
      <c r="N188" s="226" t="s">
        <v>3</v>
      </c>
      <c r="O188" s="226" t="s">
        <v>3</v>
      </c>
      <c r="P188" s="226" t="s">
        <v>3</v>
      </c>
      <c r="Q188" s="226" t="s">
        <v>3</v>
      </c>
      <c r="R188" s="226" t="s">
        <v>3</v>
      </c>
      <c r="S188" s="226" t="s">
        <v>3</v>
      </c>
      <c r="T188" s="226" t="s">
        <v>3</v>
      </c>
      <c r="U188" s="226" t="s">
        <v>3</v>
      </c>
      <c r="V188" s="226" t="s">
        <v>3</v>
      </c>
      <c r="W188" s="226" t="s">
        <v>3</v>
      </c>
      <c r="X188" s="226" t="s">
        <v>3</v>
      </c>
      <c r="Y188" s="226" t="s">
        <v>3</v>
      </c>
      <c r="Z188" s="227" t="s">
        <v>3</v>
      </c>
    </row>
    <row r="189" spans="1:26" ht="14.45" customHeight="1">
      <c r="A189" s="722"/>
      <c r="B189" s="736"/>
      <c r="C189" s="739"/>
      <c r="D189" s="712"/>
      <c r="E189" s="715"/>
      <c r="F189" s="730"/>
      <c r="G189" s="224" t="s">
        <v>67</v>
      </c>
      <c r="H189" s="229">
        <f t="shared" ref="H189" si="383">SUM(I189:Z189)</f>
        <v>104</v>
      </c>
      <c r="I189" s="226">
        <f t="shared" ref="I189:Z189" si="384">IF(I190="","",I184+I190)</f>
        <v>5</v>
      </c>
      <c r="J189" s="226">
        <f t="shared" si="384"/>
        <v>6</v>
      </c>
      <c r="K189" s="226">
        <f t="shared" si="384"/>
        <v>9</v>
      </c>
      <c r="L189" s="226">
        <f t="shared" si="384"/>
        <v>3</v>
      </c>
      <c r="M189" s="226">
        <f t="shared" si="384"/>
        <v>4</v>
      </c>
      <c r="N189" s="226">
        <f t="shared" si="384"/>
        <v>5</v>
      </c>
      <c r="O189" s="226">
        <f t="shared" si="384"/>
        <v>7</v>
      </c>
      <c r="P189" s="226">
        <f t="shared" si="384"/>
        <v>6</v>
      </c>
      <c r="Q189" s="226">
        <f t="shared" si="384"/>
        <v>6</v>
      </c>
      <c r="R189" s="226">
        <f t="shared" si="384"/>
        <v>5</v>
      </c>
      <c r="S189" s="226">
        <f t="shared" si="384"/>
        <v>5</v>
      </c>
      <c r="T189" s="226">
        <f t="shared" si="384"/>
        <v>4</v>
      </c>
      <c r="U189" s="226">
        <f t="shared" si="384"/>
        <v>5</v>
      </c>
      <c r="V189" s="226">
        <f t="shared" si="384"/>
        <v>8</v>
      </c>
      <c r="W189" s="226">
        <f t="shared" si="384"/>
        <v>9</v>
      </c>
      <c r="X189" s="226">
        <f t="shared" si="384"/>
        <v>4</v>
      </c>
      <c r="Y189" s="226">
        <f t="shared" si="384"/>
        <v>7</v>
      </c>
      <c r="Z189" s="227">
        <f t="shared" si="384"/>
        <v>6</v>
      </c>
    </row>
    <row r="190" spans="1:26" ht="14.45" customHeight="1">
      <c r="A190" s="723"/>
      <c r="B190" s="737"/>
      <c r="C190" s="740"/>
      <c r="D190" s="713"/>
      <c r="E190" s="716"/>
      <c r="F190" s="731"/>
      <c r="G190" s="230" t="s">
        <v>143</v>
      </c>
      <c r="H190" s="231" t="str">
        <f t="shared" ref="H190" si="385">IF(SUM(I190:Z190)&gt;0,"+"&amp;SUM(I190:Z190),SUM(I190:Z190))</f>
        <v>+32</v>
      </c>
      <c r="I190" s="233">
        <v>1</v>
      </c>
      <c r="J190" s="231">
        <v>2</v>
      </c>
      <c r="K190" s="231">
        <v>4</v>
      </c>
      <c r="L190" s="235">
        <v>0</v>
      </c>
      <c r="M190" s="235">
        <v>0</v>
      </c>
      <c r="N190" s="231">
        <v>2</v>
      </c>
      <c r="O190" s="231">
        <v>2</v>
      </c>
      <c r="P190" s="231">
        <v>2</v>
      </c>
      <c r="Q190" s="231">
        <v>2</v>
      </c>
      <c r="R190" s="235">
        <v>0</v>
      </c>
      <c r="S190" s="233">
        <v>1</v>
      </c>
      <c r="T190" s="233">
        <v>1</v>
      </c>
      <c r="U190" s="233">
        <v>1</v>
      </c>
      <c r="V190" s="232">
        <v>4</v>
      </c>
      <c r="W190" s="231">
        <v>4</v>
      </c>
      <c r="X190" s="233">
        <v>1</v>
      </c>
      <c r="Y190" s="231">
        <v>3</v>
      </c>
      <c r="Z190" s="234">
        <v>2</v>
      </c>
    </row>
    <row r="191" spans="1:26" ht="14.45" customHeight="1">
      <c r="A191" s="732">
        <v>28</v>
      </c>
      <c r="B191" s="735">
        <v>45465</v>
      </c>
      <c r="C191" s="738">
        <v>0.25486111111111109</v>
      </c>
      <c r="D191" s="741" t="s">
        <v>159</v>
      </c>
      <c r="E191" s="714" t="s">
        <v>1864</v>
      </c>
      <c r="F191" s="729" t="s">
        <v>2254</v>
      </c>
      <c r="G191" s="221" t="s">
        <v>137</v>
      </c>
      <c r="H191" s="222">
        <f t="shared" ref="H191:H192" si="386">SUM(I191:Z191)</f>
        <v>72</v>
      </c>
      <c r="I191" s="222">
        <v>5</v>
      </c>
      <c r="J191" s="222">
        <v>4</v>
      </c>
      <c r="K191" s="222">
        <v>4</v>
      </c>
      <c r="L191" s="222">
        <v>5</v>
      </c>
      <c r="M191" s="222">
        <v>4</v>
      </c>
      <c r="N191" s="222">
        <v>3</v>
      </c>
      <c r="O191" s="222">
        <v>4</v>
      </c>
      <c r="P191" s="222">
        <v>3</v>
      </c>
      <c r="Q191" s="222">
        <v>4</v>
      </c>
      <c r="R191" s="222">
        <v>4</v>
      </c>
      <c r="S191" s="222">
        <v>4</v>
      </c>
      <c r="T191" s="222">
        <v>5</v>
      </c>
      <c r="U191" s="222">
        <v>3</v>
      </c>
      <c r="V191" s="222">
        <v>4</v>
      </c>
      <c r="W191" s="222">
        <v>3</v>
      </c>
      <c r="X191" s="222">
        <v>5</v>
      </c>
      <c r="Y191" s="222">
        <v>4</v>
      </c>
      <c r="Z191" s="223">
        <v>4</v>
      </c>
    </row>
    <row r="192" spans="1:26" ht="14.45" customHeight="1">
      <c r="A192" s="733"/>
      <c r="B192" s="736"/>
      <c r="C192" s="739"/>
      <c r="D192" s="742"/>
      <c r="E192" s="715"/>
      <c r="F192" s="730"/>
      <c r="G192" s="224" t="s">
        <v>160</v>
      </c>
      <c r="H192" s="225">
        <f t="shared" si="386"/>
        <v>5599</v>
      </c>
      <c r="I192" s="226">
        <v>424</v>
      </c>
      <c r="J192" s="226">
        <v>324</v>
      </c>
      <c r="K192" s="226">
        <v>364</v>
      </c>
      <c r="L192" s="226">
        <v>492</v>
      </c>
      <c r="M192" s="226">
        <v>294</v>
      </c>
      <c r="N192" s="226">
        <v>133</v>
      </c>
      <c r="O192" s="226">
        <v>313</v>
      </c>
      <c r="P192" s="226">
        <v>156</v>
      </c>
      <c r="Q192" s="226">
        <v>325</v>
      </c>
      <c r="R192" s="226">
        <v>342</v>
      </c>
      <c r="S192" s="226">
        <v>318</v>
      </c>
      <c r="T192" s="226">
        <v>436</v>
      </c>
      <c r="U192" s="226">
        <v>151</v>
      </c>
      <c r="V192" s="226">
        <v>321</v>
      </c>
      <c r="W192" s="226">
        <v>158</v>
      </c>
      <c r="X192" s="226">
        <v>450</v>
      </c>
      <c r="Y192" s="226">
        <v>293</v>
      </c>
      <c r="Z192" s="227">
        <v>305</v>
      </c>
    </row>
    <row r="193" spans="1:45" ht="14.45" customHeight="1">
      <c r="A193" s="733"/>
      <c r="B193" s="736"/>
      <c r="C193" s="739"/>
      <c r="D193" s="742"/>
      <c r="E193" s="715"/>
      <c r="F193" s="730"/>
      <c r="G193" s="224" t="s">
        <v>138</v>
      </c>
      <c r="H193" s="228" t="str">
        <f t="shared" ref="H193" si="387">IF(I195="N/A","N/A",IF(COUNTIF(I193:Z193,"Y")/14=0,"N/A",COUNTIF(I193:Z193,"Y")/(COUNTIF(I193:Z193,"Y")+COUNTIF(I193:Z193,"N"))))</f>
        <v>N/A</v>
      </c>
      <c r="I193" s="226" t="s">
        <v>2</v>
      </c>
      <c r="J193" s="226" t="s">
        <v>2</v>
      </c>
      <c r="K193" s="226" t="s">
        <v>2</v>
      </c>
      <c r="L193" s="226" t="s">
        <v>2</v>
      </c>
      <c r="M193" s="226" t="s">
        <v>2</v>
      </c>
      <c r="N193" s="226" t="s">
        <v>2</v>
      </c>
      <c r="O193" s="226" t="s">
        <v>2</v>
      </c>
      <c r="P193" s="226" t="s">
        <v>2</v>
      </c>
      <c r="Q193" s="226" t="s">
        <v>2</v>
      </c>
      <c r="R193" s="226" t="s">
        <v>2</v>
      </c>
      <c r="S193" s="226" t="s">
        <v>2</v>
      </c>
      <c r="T193" s="226" t="s">
        <v>2</v>
      </c>
      <c r="U193" s="226" t="s">
        <v>2</v>
      </c>
      <c r="V193" s="226" t="s">
        <v>2</v>
      </c>
      <c r="W193" s="226" t="s">
        <v>2</v>
      </c>
      <c r="X193" s="226" t="s">
        <v>2</v>
      </c>
      <c r="Y193" s="226" t="s">
        <v>2</v>
      </c>
      <c r="Z193" s="227" t="s">
        <v>2</v>
      </c>
    </row>
    <row r="194" spans="1:45" ht="14.45" customHeight="1">
      <c r="A194" s="733"/>
      <c r="B194" s="736"/>
      <c r="C194" s="739"/>
      <c r="D194" s="742"/>
      <c r="E194" s="715"/>
      <c r="F194" s="730"/>
      <c r="G194" s="224" t="s">
        <v>145</v>
      </c>
      <c r="H194" s="228" t="str">
        <f t="shared" ref="H194" si="388">IFERROR(IF(I195="N/A","N/A",COUNTIF(I194:Z194,"Y")/(COUNTIF(I194:Z194,"Y")+COUNTIF(I194:Z194,"N"))),"N/A")</f>
        <v>N/A</v>
      </c>
      <c r="I194" s="226" t="s">
        <v>2</v>
      </c>
      <c r="J194" s="226" t="s">
        <v>2</v>
      </c>
      <c r="K194" s="226" t="s">
        <v>2</v>
      </c>
      <c r="L194" s="226" t="s">
        <v>2</v>
      </c>
      <c r="M194" s="226" t="s">
        <v>2</v>
      </c>
      <c r="N194" s="226" t="s">
        <v>2</v>
      </c>
      <c r="O194" s="226" t="s">
        <v>2</v>
      </c>
      <c r="P194" s="226" t="s">
        <v>2</v>
      </c>
      <c r="Q194" s="226" t="s">
        <v>2</v>
      </c>
      <c r="R194" s="226" t="s">
        <v>2</v>
      </c>
      <c r="S194" s="226" t="s">
        <v>2</v>
      </c>
      <c r="T194" s="226" t="s">
        <v>2</v>
      </c>
      <c r="U194" s="226" t="s">
        <v>2</v>
      </c>
      <c r="V194" s="226" t="s">
        <v>2</v>
      </c>
      <c r="W194" s="226" t="s">
        <v>2</v>
      </c>
      <c r="X194" s="226" t="s">
        <v>2</v>
      </c>
      <c r="Y194" s="226" t="s">
        <v>2</v>
      </c>
      <c r="Z194" s="227" t="s">
        <v>2</v>
      </c>
    </row>
    <row r="195" spans="1:45" ht="14.45" customHeight="1">
      <c r="A195" s="733"/>
      <c r="B195" s="736"/>
      <c r="C195" s="739"/>
      <c r="D195" s="742"/>
      <c r="E195" s="715"/>
      <c r="F195" s="730"/>
      <c r="G195" s="224" t="s">
        <v>139</v>
      </c>
      <c r="H195" s="226" t="str">
        <f t="shared" ref="H195" si="389">IF(I195="N/A","N/A",SUM(I195:Z195))</f>
        <v>N/A</v>
      </c>
      <c r="I195" s="226" t="s">
        <v>3</v>
      </c>
      <c r="J195" s="226" t="s">
        <v>3</v>
      </c>
      <c r="K195" s="226" t="s">
        <v>3</v>
      </c>
      <c r="L195" s="226" t="s">
        <v>3</v>
      </c>
      <c r="M195" s="226" t="s">
        <v>3</v>
      </c>
      <c r="N195" s="226" t="s">
        <v>3</v>
      </c>
      <c r="O195" s="226" t="s">
        <v>3</v>
      </c>
      <c r="P195" s="226" t="s">
        <v>3</v>
      </c>
      <c r="Q195" s="226" t="s">
        <v>3</v>
      </c>
      <c r="R195" s="226" t="s">
        <v>3</v>
      </c>
      <c r="S195" s="226" t="s">
        <v>3</v>
      </c>
      <c r="T195" s="226" t="s">
        <v>3</v>
      </c>
      <c r="U195" s="226" t="s">
        <v>3</v>
      </c>
      <c r="V195" s="226" t="s">
        <v>3</v>
      </c>
      <c r="W195" s="226" t="s">
        <v>3</v>
      </c>
      <c r="X195" s="226" t="s">
        <v>3</v>
      </c>
      <c r="Y195" s="226" t="s">
        <v>3</v>
      </c>
      <c r="Z195" s="227" t="s">
        <v>3</v>
      </c>
    </row>
    <row r="196" spans="1:45" ht="14.45" customHeight="1">
      <c r="A196" s="733"/>
      <c r="B196" s="736"/>
      <c r="C196" s="739"/>
      <c r="D196" s="742"/>
      <c r="E196" s="715"/>
      <c r="F196" s="730"/>
      <c r="G196" s="224" t="s">
        <v>67</v>
      </c>
      <c r="H196" s="229">
        <f t="shared" ref="H196" si="390">SUM(I196:Z196)</f>
        <v>104</v>
      </c>
      <c r="I196" s="226">
        <f t="shared" ref="I196:Z196" si="391">IF(I197="","",I191+I197)</f>
        <v>8</v>
      </c>
      <c r="J196" s="226">
        <f t="shared" si="391"/>
        <v>5</v>
      </c>
      <c r="K196" s="226">
        <f t="shared" si="391"/>
        <v>8</v>
      </c>
      <c r="L196" s="226">
        <f t="shared" si="391"/>
        <v>9</v>
      </c>
      <c r="M196" s="226">
        <f t="shared" si="391"/>
        <v>4</v>
      </c>
      <c r="N196" s="226">
        <f t="shared" si="391"/>
        <v>4</v>
      </c>
      <c r="O196" s="226">
        <f t="shared" si="391"/>
        <v>7</v>
      </c>
      <c r="P196" s="226">
        <f t="shared" si="391"/>
        <v>3</v>
      </c>
      <c r="Q196" s="226">
        <f t="shared" si="391"/>
        <v>5</v>
      </c>
      <c r="R196" s="226">
        <f t="shared" si="391"/>
        <v>6</v>
      </c>
      <c r="S196" s="226">
        <f t="shared" si="391"/>
        <v>5</v>
      </c>
      <c r="T196" s="226">
        <f t="shared" si="391"/>
        <v>9</v>
      </c>
      <c r="U196" s="226">
        <f t="shared" si="391"/>
        <v>4</v>
      </c>
      <c r="V196" s="226">
        <f t="shared" si="391"/>
        <v>6</v>
      </c>
      <c r="W196" s="226">
        <f t="shared" si="391"/>
        <v>4</v>
      </c>
      <c r="X196" s="226">
        <f t="shared" si="391"/>
        <v>7</v>
      </c>
      <c r="Y196" s="226">
        <f t="shared" si="391"/>
        <v>5</v>
      </c>
      <c r="Z196" s="227">
        <f t="shared" si="391"/>
        <v>5</v>
      </c>
    </row>
    <row r="197" spans="1:45" ht="14.45" customHeight="1">
      <c r="A197" s="734"/>
      <c r="B197" s="737"/>
      <c r="C197" s="740"/>
      <c r="D197" s="743"/>
      <c r="E197" s="716"/>
      <c r="F197" s="731"/>
      <c r="G197" s="230" t="s">
        <v>143</v>
      </c>
      <c r="H197" s="231" t="str">
        <f t="shared" ref="H197" si="392">IF(SUM(I197:Z197)&gt;0,"+"&amp;SUM(I197:Z197),SUM(I197:Z197))</f>
        <v>+32</v>
      </c>
      <c r="I197" s="231">
        <v>3</v>
      </c>
      <c r="J197" s="233">
        <v>1</v>
      </c>
      <c r="K197" s="232">
        <v>4</v>
      </c>
      <c r="L197" s="231">
        <v>4</v>
      </c>
      <c r="M197" s="235">
        <v>0</v>
      </c>
      <c r="N197" s="233">
        <v>1</v>
      </c>
      <c r="O197" s="231">
        <v>3</v>
      </c>
      <c r="P197" s="235">
        <v>0</v>
      </c>
      <c r="Q197" s="233">
        <v>1</v>
      </c>
      <c r="R197" s="231">
        <v>2</v>
      </c>
      <c r="S197" s="233">
        <v>1</v>
      </c>
      <c r="T197" s="231">
        <v>4</v>
      </c>
      <c r="U197" s="233">
        <v>1</v>
      </c>
      <c r="V197" s="231">
        <v>2</v>
      </c>
      <c r="W197" s="233">
        <v>1</v>
      </c>
      <c r="X197" s="231">
        <v>2</v>
      </c>
      <c r="Y197" s="233">
        <v>1</v>
      </c>
      <c r="Z197" s="236">
        <v>1</v>
      </c>
    </row>
    <row r="198" spans="1:45" ht="14.45" customHeight="1">
      <c r="A198" s="721">
        <v>29</v>
      </c>
      <c r="B198" s="735">
        <v>45514</v>
      </c>
      <c r="C198" s="738">
        <v>0.29583333333333334</v>
      </c>
      <c r="D198" s="744" t="s">
        <v>2283</v>
      </c>
      <c r="E198" s="714" t="s">
        <v>2282</v>
      </c>
      <c r="F198" s="729" t="s">
        <v>2396</v>
      </c>
      <c r="G198" s="221" t="s">
        <v>137</v>
      </c>
      <c r="H198" s="222">
        <f t="shared" ref="H198:H199" si="393">SUM(I198:Z198)</f>
        <v>72</v>
      </c>
      <c r="I198" s="222">
        <v>4</v>
      </c>
      <c r="J198" s="222">
        <v>5</v>
      </c>
      <c r="K198" s="222">
        <v>3</v>
      </c>
      <c r="L198" s="222">
        <v>4</v>
      </c>
      <c r="M198" s="222">
        <v>4</v>
      </c>
      <c r="N198" s="222">
        <v>4</v>
      </c>
      <c r="O198" s="222">
        <v>3</v>
      </c>
      <c r="P198" s="222">
        <v>4</v>
      </c>
      <c r="Q198" s="222">
        <v>5</v>
      </c>
      <c r="R198" s="222">
        <v>4</v>
      </c>
      <c r="S198" s="222">
        <v>4</v>
      </c>
      <c r="T198" s="222">
        <v>4</v>
      </c>
      <c r="U198" s="222">
        <v>3</v>
      </c>
      <c r="V198" s="222">
        <v>5</v>
      </c>
      <c r="W198" s="222">
        <v>4</v>
      </c>
      <c r="X198" s="222">
        <v>3</v>
      </c>
      <c r="Y198" s="222">
        <v>5</v>
      </c>
      <c r="Z198" s="223">
        <v>4</v>
      </c>
    </row>
    <row r="199" spans="1:45" ht="14.45" customHeight="1">
      <c r="A199" s="722"/>
      <c r="B199" s="736"/>
      <c r="C199" s="739"/>
      <c r="D199" s="745"/>
      <c r="E199" s="715"/>
      <c r="F199" s="730"/>
      <c r="G199" s="224" t="s">
        <v>160</v>
      </c>
      <c r="H199" s="225">
        <f t="shared" si="393"/>
        <v>5851.2456000000002</v>
      </c>
      <c r="I199" s="226">
        <v>340.15679999999998</v>
      </c>
      <c r="J199" s="226">
        <v>456.28559999999999</v>
      </c>
      <c r="K199" s="226">
        <v>136.2456</v>
      </c>
      <c r="L199" s="226">
        <v>334.67039999999997</v>
      </c>
      <c r="M199" s="226">
        <v>338.32799999999997</v>
      </c>
      <c r="N199" s="226">
        <v>342.9</v>
      </c>
      <c r="O199" s="226">
        <v>131.67359999999999</v>
      </c>
      <c r="P199" s="226">
        <v>342.9</v>
      </c>
      <c r="Q199" s="226">
        <v>504.74880000000002</v>
      </c>
      <c r="R199" s="226">
        <v>333.75599999999997</v>
      </c>
      <c r="S199" s="226">
        <v>350.21519999999998</v>
      </c>
      <c r="T199" s="226">
        <v>307.23840000000001</v>
      </c>
      <c r="U199" s="226">
        <v>132.58799999999999</v>
      </c>
      <c r="V199" s="226">
        <v>490.11840000000001</v>
      </c>
      <c r="W199" s="226">
        <v>310.89600000000002</v>
      </c>
      <c r="X199" s="226">
        <v>181.05119999999999</v>
      </c>
      <c r="Y199" s="226">
        <v>515.72159999999997</v>
      </c>
      <c r="Z199" s="227">
        <v>301.75200000000001</v>
      </c>
      <c r="AB199"/>
      <c r="AC199"/>
      <c r="AD199"/>
      <c r="AE199"/>
      <c r="AF199"/>
      <c r="AG199"/>
      <c r="AH199"/>
      <c r="AI199"/>
      <c r="AJ199"/>
      <c r="AK199"/>
      <c r="AL199"/>
      <c r="AM199"/>
      <c r="AN199"/>
      <c r="AO199"/>
      <c r="AP199"/>
      <c r="AQ199"/>
      <c r="AR199"/>
      <c r="AS199"/>
    </row>
    <row r="200" spans="1:45" ht="14.45" customHeight="1">
      <c r="A200" s="722"/>
      <c r="B200" s="736"/>
      <c r="C200" s="739"/>
      <c r="D200" s="745"/>
      <c r="E200" s="715"/>
      <c r="F200" s="730"/>
      <c r="G200" s="224" t="s">
        <v>138</v>
      </c>
      <c r="H200" s="228" t="str">
        <f t="shared" ref="H200" si="394">IF(I202="N/A","N/A",IF(COUNTIF(I200:Z200,"Y")/14=0,"N/A",COUNTIF(I200:Z200,"Y")/(COUNTIF(I200:Z200,"Y")+COUNTIF(I200:Z200,"N"))))</f>
        <v>N/A</v>
      </c>
      <c r="I200" s="226" t="s">
        <v>2</v>
      </c>
      <c r="J200" s="226" t="s">
        <v>2</v>
      </c>
      <c r="K200" s="226" t="s">
        <v>2</v>
      </c>
      <c r="L200" s="226" t="s">
        <v>2</v>
      </c>
      <c r="M200" s="226" t="s">
        <v>2</v>
      </c>
      <c r="N200" s="226" t="s">
        <v>2</v>
      </c>
      <c r="O200" s="226" t="s">
        <v>2</v>
      </c>
      <c r="P200" s="226" t="s">
        <v>2</v>
      </c>
      <c r="Q200" s="226" t="s">
        <v>2</v>
      </c>
      <c r="R200" s="226" t="s">
        <v>2</v>
      </c>
      <c r="S200" s="226" t="s">
        <v>2</v>
      </c>
      <c r="T200" s="226" t="s">
        <v>2</v>
      </c>
      <c r="U200" s="226" t="s">
        <v>2</v>
      </c>
      <c r="V200" s="226" t="s">
        <v>2</v>
      </c>
      <c r="W200" s="226" t="s">
        <v>2</v>
      </c>
      <c r="X200" s="226" t="s">
        <v>2</v>
      </c>
      <c r="Y200" s="226" t="s">
        <v>2</v>
      </c>
      <c r="Z200" s="227" t="s">
        <v>2</v>
      </c>
      <c r="AB200" s="292"/>
      <c r="AC200" s="292"/>
      <c r="AD200" s="292"/>
      <c r="AE200" s="292"/>
      <c r="AF200" s="292"/>
      <c r="AG200" s="292"/>
      <c r="AH200" s="292"/>
      <c r="AI200" s="292"/>
      <c r="AJ200" s="292"/>
      <c r="AK200" s="292"/>
      <c r="AL200" s="292"/>
      <c r="AM200" s="292"/>
      <c r="AN200" s="292"/>
      <c r="AO200" s="292"/>
      <c r="AP200" s="292"/>
      <c r="AQ200" s="292"/>
      <c r="AR200" s="292"/>
      <c r="AS200" s="292"/>
    </row>
    <row r="201" spans="1:45" ht="14.45" customHeight="1">
      <c r="A201" s="722"/>
      <c r="B201" s="736"/>
      <c r="C201" s="739"/>
      <c r="D201" s="745"/>
      <c r="E201" s="715"/>
      <c r="F201" s="730"/>
      <c r="G201" s="224" t="s">
        <v>145</v>
      </c>
      <c r="H201" s="228" t="str">
        <f t="shared" ref="H201" si="395">IFERROR(IF(I202="N/A","N/A",COUNTIF(I201:Z201,"Y")/(COUNTIF(I201:Z201,"Y")+COUNTIF(I201:Z201,"N"))),"N/A")</f>
        <v>N/A</v>
      </c>
      <c r="I201" s="226" t="s">
        <v>2</v>
      </c>
      <c r="J201" s="226" t="s">
        <v>2</v>
      </c>
      <c r="K201" s="226" t="s">
        <v>2</v>
      </c>
      <c r="L201" s="226" t="s">
        <v>2</v>
      </c>
      <c r="M201" s="226" t="s">
        <v>2</v>
      </c>
      <c r="N201" s="226" t="s">
        <v>2</v>
      </c>
      <c r="O201" s="226" t="s">
        <v>2</v>
      </c>
      <c r="P201" s="226" t="s">
        <v>2</v>
      </c>
      <c r="Q201" s="226" t="s">
        <v>2</v>
      </c>
      <c r="R201" s="226" t="s">
        <v>2</v>
      </c>
      <c r="S201" s="226" t="s">
        <v>2</v>
      </c>
      <c r="T201" s="226" t="s">
        <v>2</v>
      </c>
      <c r="U201" s="226" t="s">
        <v>2</v>
      </c>
      <c r="V201" s="226" t="s">
        <v>2</v>
      </c>
      <c r="W201" s="226" t="s">
        <v>2</v>
      </c>
      <c r="X201" s="226" t="s">
        <v>2</v>
      </c>
      <c r="Y201" s="226" t="s">
        <v>2</v>
      </c>
      <c r="Z201" s="227" t="s">
        <v>2</v>
      </c>
      <c r="AB201"/>
      <c r="AC201"/>
      <c r="AD201"/>
      <c r="AE201"/>
      <c r="AF201"/>
      <c r="AG201"/>
      <c r="AH201"/>
      <c r="AI201"/>
      <c r="AJ201"/>
      <c r="AK201"/>
      <c r="AL201"/>
      <c r="AM201"/>
      <c r="AN201"/>
      <c r="AO201"/>
      <c r="AP201"/>
      <c r="AQ201"/>
      <c r="AR201"/>
      <c r="AS201"/>
    </row>
    <row r="202" spans="1:45" ht="14.45" customHeight="1">
      <c r="A202" s="722"/>
      <c r="B202" s="736"/>
      <c r="C202" s="739"/>
      <c r="D202" s="745"/>
      <c r="E202" s="715"/>
      <c r="F202" s="730"/>
      <c r="G202" s="224" t="s">
        <v>139</v>
      </c>
      <c r="H202" s="226" t="str">
        <f t="shared" ref="H202" si="396">IF(I202="N/A","N/A",SUM(I202:Z202))</f>
        <v>N/A</v>
      </c>
      <c r="I202" s="226" t="s">
        <v>3</v>
      </c>
      <c r="J202" s="226" t="s">
        <v>3</v>
      </c>
      <c r="K202" s="226" t="s">
        <v>3</v>
      </c>
      <c r="L202" s="226" t="s">
        <v>3</v>
      </c>
      <c r="M202" s="226" t="s">
        <v>3</v>
      </c>
      <c r="N202" s="226" t="s">
        <v>3</v>
      </c>
      <c r="O202" s="226" t="s">
        <v>3</v>
      </c>
      <c r="P202" s="226" t="s">
        <v>3</v>
      </c>
      <c r="Q202" s="226" t="s">
        <v>3</v>
      </c>
      <c r="R202" s="226" t="s">
        <v>3</v>
      </c>
      <c r="S202" s="226" t="s">
        <v>3</v>
      </c>
      <c r="T202" s="226" t="s">
        <v>3</v>
      </c>
      <c r="U202" s="226" t="s">
        <v>3</v>
      </c>
      <c r="V202" s="226" t="s">
        <v>3</v>
      </c>
      <c r="W202" s="226" t="s">
        <v>3</v>
      </c>
      <c r="X202" s="226" t="s">
        <v>3</v>
      </c>
      <c r="Y202" s="226" t="s">
        <v>3</v>
      </c>
      <c r="Z202" s="227" t="s">
        <v>3</v>
      </c>
      <c r="AB202"/>
      <c r="AC202"/>
      <c r="AD202"/>
      <c r="AE202"/>
      <c r="AF202"/>
      <c r="AG202"/>
      <c r="AH202"/>
      <c r="AI202"/>
      <c r="AJ202"/>
      <c r="AK202"/>
      <c r="AL202"/>
      <c r="AM202"/>
      <c r="AN202"/>
      <c r="AO202"/>
      <c r="AP202"/>
      <c r="AQ202"/>
      <c r="AR202"/>
      <c r="AS202"/>
    </row>
    <row r="203" spans="1:45" ht="14.45" customHeight="1">
      <c r="A203" s="722"/>
      <c r="B203" s="736"/>
      <c r="C203" s="739"/>
      <c r="D203" s="745"/>
      <c r="E203" s="715"/>
      <c r="F203" s="730"/>
      <c r="G203" s="224" t="s">
        <v>67</v>
      </c>
      <c r="H203" s="229">
        <f t="shared" ref="H203" si="397">SUM(I203:Z203)</f>
        <v>95</v>
      </c>
      <c r="I203" s="226">
        <f t="shared" ref="I203:Z203" si="398">IF(I204="","",I198+I204)</f>
        <v>4</v>
      </c>
      <c r="J203" s="226">
        <f t="shared" si="398"/>
        <v>7</v>
      </c>
      <c r="K203" s="226">
        <f t="shared" si="398"/>
        <v>4</v>
      </c>
      <c r="L203" s="226">
        <f t="shared" si="398"/>
        <v>5</v>
      </c>
      <c r="M203" s="226">
        <f t="shared" si="398"/>
        <v>6</v>
      </c>
      <c r="N203" s="226">
        <f t="shared" si="398"/>
        <v>7</v>
      </c>
      <c r="O203" s="226">
        <f t="shared" si="398"/>
        <v>5</v>
      </c>
      <c r="P203" s="226">
        <f t="shared" si="398"/>
        <v>5</v>
      </c>
      <c r="Q203" s="226">
        <f t="shared" si="398"/>
        <v>6</v>
      </c>
      <c r="R203" s="226">
        <f t="shared" si="398"/>
        <v>4</v>
      </c>
      <c r="S203" s="226">
        <f t="shared" si="398"/>
        <v>5</v>
      </c>
      <c r="T203" s="226">
        <f t="shared" si="398"/>
        <v>4</v>
      </c>
      <c r="U203" s="226">
        <f t="shared" si="398"/>
        <v>5</v>
      </c>
      <c r="V203" s="226">
        <f t="shared" si="398"/>
        <v>5</v>
      </c>
      <c r="W203" s="226">
        <f t="shared" si="398"/>
        <v>5</v>
      </c>
      <c r="X203" s="226">
        <f t="shared" si="398"/>
        <v>4</v>
      </c>
      <c r="Y203" s="226">
        <f t="shared" si="398"/>
        <v>9</v>
      </c>
      <c r="Z203" s="227">
        <f t="shared" si="398"/>
        <v>5</v>
      </c>
      <c r="AB203" s="292"/>
      <c r="AC203" s="292"/>
      <c r="AD203" s="292"/>
      <c r="AE203" s="292"/>
      <c r="AF203" s="292"/>
      <c r="AG203" s="292"/>
      <c r="AH203" s="292"/>
      <c r="AI203" s="292"/>
      <c r="AJ203" s="292"/>
      <c r="AK203" s="292"/>
      <c r="AL203" s="292"/>
      <c r="AM203" s="292"/>
      <c r="AN203" s="292"/>
      <c r="AO203" s="292"/>
      <c r="AP203" s="292"/>
      <c r="AQ203" s="292"/>
      <c r="AR203" s="292"/>
      <c r="AS203" s="292"/>
    </row>
    <row r="204" spans="1:45" ht="14.45" customHeight="1">
      <c r="A204" s="723"/>
      <c r="B204" s="737"/>
      <c r="C204" s="740"/>
      <c r="D204" s="746"/>
      <c r="E204" s="716"/>
      <c r="F204" s="731"/>
      <c r="G204" s="230" t="s">
        <v>143</v>
      </c>
      <c r="H204" s="231" t="str">
        <f t="shared" ref="H204" si="399">IF(SUM(I204:Z204)&gt;0,"+"&amp;SUM(I204:Z204),SUM(I204:Z204))</f>
        <v>+23</v>
      </c>
      <c r="I204" s="235">
        <v>0</v>
      </c>
      <c r="J204" s="231">
        <v>2</v>
      </c>
      <c r="K204" s="233">
        <v>1</v>
      </c>
      <c r="L204" s="233">
        <v>1</v>
      </c>
      <c r="M204" s="231">
        <v>2</v>
      </c>
      <c r="N204" s="231">
        <v>3</v>
      </c>
      <c r="O204" s="231">
        <v>2</v>
      </c>
      <c r="P204" s="233">
        <v>1</v>
      </c>
      <c r="Q204" s="233">
        <v>1</v>
      </c>
      <c r="R204" s="235">
        <v>0</v>
      </c>
      <c r="S204" s="233">
        <v>1</v>
      </c>
      <c r="T204" s="235">
        <v>0</v>
      </c>
      <c r="U204" s="231">
        <v>2</v>
      </c>
      <c r="V204" s="235">
        <v>0</v>
      </c>
      <c r="W204" s="233">
        <v>1</v>
      </c>
      <c r="X204" s="233">
        <v>1</v>
      </c>
      <c r="Y204" s="231">
        <v>4</v>
      </c>
      <c r="Z204" s="236">
        <v>1</v>
      </c>
    </row>
    <row r="205" spans="1:45" ht="14.45" customHeight="1">
      <c r="A205" s="721">
        <v>30</v>
      </c>
      <c r="B205" s="735">
        <v>45520</v>
      </c>
      <c r="C205" s="738">
        <v>0.30763888888888891</v>
      </c>
      <c r="D205" s="741" t="s">
        <v>155</v>
      </c>
      <c r="E205" s="714" t="s">
        <v>277</v>
      </c>
      <c r="F205" s="729" t="s">
        <v>2409</v>
      </c>
      <c r="G205" s="221" t="s">
        <v>137</v>
      </c>
      <c r="H205" s="222">
        <f t="shared" ref="H205:H206" si="400">SUM(I205:Z205)</f>
        <v>72</v>
      </c>
      <c r="I205" s="222">
        <v>4</v>
      </c>
      <c r="J205" s="222">
        <v>4</v>
      </c>
      <c r="K205" s="222">
        <v>3</v>
      </c>
      <c r="L205" s="222">
        <v>5</v>
      </c>
      <c r="M205" s="222">
        <v>4</v>
      </c>
      <c r="N205" s="222">
        <v>3</v>
      </c>
      <c r="O205" s="222">
        <v>5</v>
      </c>
      <c r="P205" s="222">
        <v>4</v>
      </c>
      <c r="Q205" s="222">
        <v>4</v>
      </c>
      <c r="R205" s="222">
        <v>4</v>
      </c>
      <c r="S205" s="222">
        <v>4</v>
      </c>
      <c r="T205" s="222">
        <v>3</v>
      </c>
      <c r="U205" s="222">
        <v>4</v>
      </c>
      <c r="V205" s="222">
        <v>5</v>
      </c>
      <c r="W205" s="222">
        <v>5</v>
      </c>
      <c r="X205" s="222">
        <v>3</v>
      </c>
      <c r="Y205" s="222">
        <v>4</v>
      </c>
      <c r="Z205" s="223">
        <v>4</v>
      </c>
    </row>
    <row r="206" spans="1:45" ht="14.45" customHeight="1">
      <c r="A206" s="722"/>
      <c r="B206" s="736"/>
      <c r="C206" s="739"/>
      <c r="D206" s="742"/>
      <c r="E206" s="715"/>
      <c r="F206" s="730"/>
      <c r="G206" s="224" t="s">
        <v>160</v>
      </c>
      <c r="H206" s="225">
        <f t="shared" si="400"/>
        <v>6032.2968000000001</v>
      </c>
      <c r="I206" s="226">
        <v>352.04399999999998</v>
      </c>
      <c r="J206" s="226">
        <v>390.44880000000001</v>
      </c>
      <c r="K206" s="226">
        <v>158.19120000000001</v>
      </c>
      <c r="L206" s="226">
        <v>481.8888</v>
      </c>
      <c r="M206" s="226">
        <v>327.35520000000002</v>
      </c>
      <c r="N206" s="226">
        <v>136.2456</v>
      </c>
      <c r="O206" s="226">
        <v>527.60879999999997</v>
      </c>
      <c r="P206" s="226">
        <v>370.33199999999999</v>
      </c>
      <c r="Q206" s="226">
        <v>363.01679999999999</v>
      </c>
      <c r="R206" s="226">
        <v>327.35520000000002</v>
      </c>
      <c r="S206" s="226">
        <v>341.07119999999998</v>
      </c>
      <c r="T206" s="226">
        <v>159.10560000000001</v>
      </c>
      <c r="U206" s="226">
        <v>350.21519999999998</v>
      </c>
      <c r="V206" s="226">
        <v>457.2</v>
      </c>
      <c r="W206" s="226">
        <v>481.8888</v>
      </c>
      <c r="X206" s="226">
        <v>136.2456</v>
      </c>
      <c r="Y206" s="226">
        <v>333.75599999999997</v>
      </c>
      <c r="Z206" s="227">
        <v>338.32799999999997</v>
      </c>
    </row>
    <row r="207" spans="1:45" ht="14.45" customHeight="1">
      <c r="A207" s="722"/>
      <c r="B207" s="736"/>
      <c r="C207" s="739"/>
      <c r="D207" s="742"/>
      <c r="E207" s="715"/>
      <c r="F207" s="730"/>
      <c r="G207" s="224" t="s">
        <v>138</v>
      </c>
      <c r="H207" s="228" t="str">
        <f t="shared" ref="H207" si="401">IF(I209="N/A","N/A",IF(COUNTIF(I207:Z207,"Y")/14=0,"N/A",COUNTIF(I207:Z207,"Y")/(COUNTIF(I207:Z207,"Y")+COUNTIF(I207:Z207,"N"))))</f>
        <v>N/A</v>
      </c>
      <c r="I207" s="226" t="s">
        <v>2</v>
      </c>
      <c r="J207" s="226" t="s">
        <v>2</v>
      </c>
      <c r="K207" s="226" t="s">
        <v>2</v>
      </c>
      <c r="L207" s="226" t="s">
        <v>2</v>
      </c>
      <c r="M207" s="226" t="s">
        <v>2</v>
      </c>
      <c r="N207" s="226" t="s">
        <v>2</v>
      </c>
      <c r="O207" s="226" t="s">
        <v>2</v>
      </c>
      <c r="P207" s="226" t="s">
        <v>2</v>
      </c>
      <c r="Q207" s="226" t="s">
        <v>2</v>
      </c>
      <c r="R207" s="226" t="s">
        <v>2</v>
      </c>
      <c r="S207" s="226" t="s">
        <v>2</v>
      </c>
      <c r="T207" s="226" t="s">
        <v>2</v>
      </c>
      <c r="U207" s="226" t="s">
        <v>2</v>
      </c>
      <c r="V207" s="226" t="s">
        <v>2</v>
      </c>
      <c r="W207" s="226" t="s">
        <v>2</v>
      </c>
      <c r="X207" s="226" t="s">
        <v>2</v>
      </c>
      <c r="Y207" s="226" t="s">
        <v>2</v>
      </c>
      <c r="Z207" s="227" t="s">
        <v>2</v>
      </c>
    </row>
    <row r="208" spans="1:45" ht="14.45" customHeight="1">
      <c r="A208" s="722"/>
      <c r="B208" s="736"/>
      <c r="C208" s="739"/>
      <c r="D208" s="742"/>
      <c r="E208" s="715"/>
      <c r="F208" s="730"/>
      <c r="G208" s="224" t="s">
        <v>145</v>
      </c>
      <c r="H208" s="228" t="str">
        <f t="shared" ref="H208" si="402">IFERROR(IF(I209="N/A","N/A",COUNTIF(I208:Z208,"Y")/(COUNTIF(I208:Z208,"Y")+COUNTIF(I208:Z208,"N"))),"N/A")</f>
        <v>N/A</v>
      </c>
      <c r="I208" s="226" t="s">
        <v>2</v>
      </c>
      <c r="J208" s="226" t="s">
        <v>2</v>
      </c>
      <c r="K208" s="226" t="s">
        <v>2</v>
      </c>
      <c r="L208" s="226" t="s">
        <v>2</v>
      </c>
      <c r="M208" s="226" t="s">
        <v>2</v>
      </c>
      <c r="N208" s="226" t="s">
        <v>2</v>
      </c>
      <c r="O208" s="226" t="s">
        <v>2</v>
      </c>
      <c r="P208" s="226" t="s">
        <v>2</v>
      </c>
      <c r="Q208" s="226" t="s">
        <v>2</v>
      </c>
      <c r="R208" s="226" t="s">
        <v>2</v>
      </c>
      <c r="S208" s="226" t="s">
        <v>2</v>
      </c>
      <c r="T208" s="226" t="s">
        <v>2</v>
      </c>
      <c r="U208" s="226" t="s">
        <v>2</v>
      </c>
      <c r="V208" s="226" t="s">
        <v>2</v>
      </c>
      <c r="W208" s="226" t="s">
        <v>2</v>
      </c>
      <c r="X208" s="226" t="s">
        <v>2</v>
      </c>
      <c r="Y208" s="226" t="s">
        <v>2</v>
      </c>
      <c r="Z208" s="227" t="s">
        <v>2</v>
      </c>
    </row>
    <row r="209" spans="1:26" ht="14.45" customHeight="1">
      <c r="A209" s="722"/>
      <c r="B209" s="736"/>
      <c r="C209" s="739"/>
      <c r="D209" s="742"/>
      <c r="E209" s="715"/>
      <c r="F209" s="730"/>
      <c r="G209" s="224" t="s">
        <v>139</v>
      </c>
      <c r="H209" s="226" t="str">
        <f t="shared" ref="H209" si="403">IF(I209="N/A","N/A",SUM(I209:Z209))</f>
        <v>N/A</v>
      </c>
      <c r="I209" s="226" t="s">
        <v>3</v>
      </c>
      <c r="J209" s="226" t="s">
        <v>3</v>
      </c>
      <c r="K209" s="226" t="s">
        <v>3</v>
      </c>
      <c r="L209" s="226" t="s">
        <v>3</v>
      </c>
      <c r="M209" s="226" t="s">
        <v>3</v>
      </c>
      <c r="N209" s="226" t="s">
        <v>3</v>
      </c>
      <c r="O209" s="226" t="s">
        <v>3</v>
      </c>
      <c r="P209" s="226" t="s">
        <v>3</v>
      </c>
      <c r="Q209" s="226" t="s">
        <v>3</v>
      </c>
      <c r="R209" s="226" t="s">
        <v>3</v>
      </c>
      <c r="S209" s="226" t="s">
        <v>3</v>
      </c>
      <c r="T209" s="226" t="s">
        <v>3</v>
      </c>
      <c r="U209" s="226" t="s">
        <v>3</v>
      </c>
      <c r="V209" s="226" t="s">
        <v>3</v>
      </c>
      <c r="W209" s="226" t="s">
        <v>3</v>
      </c>
      <c r="X209" s="226" t="s">
        <v>3</v>
      </c>
      <c r="Y209" s="226" t="s">
        <v>3</v>
      </c>
      <c r="Z209" s="227" t="s">
        <v>3</v>
      </c>
    </row>
    <row r="210" spans="1:26" ht="14.45" customHeight="1">
      <c r="A210" s="722"/>
      <c r="B210" s="736"/>
      <c r="C210" s="739"/>
      <c r="D210" s="742"/>
      <c r="E210" s="715"/>
      <c r="F210" s="730"/>
      <c r="G210" s="224" t="s">
        <v>67</v>
      </c>
      <c r="H210" s="229">
        <f t="shared" ref="H210" si="404">SUM(I210:Z210)</f>
        <v>96</v>
      </c>
      <c r="I210" s="226">
        <f t="shared" ref="I210:Z210" si="405">IF(I211="","",I205+I211)</f>
        <v>7</v>
      </c>
      <c r="J210" s="226">
        <f t="shared" si="405"/>
        <v>4</v>
      </c>
      <c r="K210" s="226">
        <f t="shared" si="405"/>
        <v>3</v>
      </c>
      <c r="L210" s="226">
        <f t="shared" si="405"/>
        <v>5</v>
      </c>
      <c r="M210" s="226">
        <f t="shared" si="405"/>
        <v>6</v>
      </c>
      <c r="N210" s="226">
        <f t="shared" si="405"/>
        <v>4</v>
      </c>
      <c r="O210" s="226">
        <f t="shared" si="405"/>
        <v>6</v>
      </c>
      <c r="P210" s="226">
        <f t="shared" si="405"/>
        <v>6</v>
      </c>
      <c r="Q210" s="226">
        <f t="shared" si="405"/>
        <v>8</v>
      </c>
      <c r="R210" s="226">
        <f t="shared" si="405"/>
        <v>6</v>
      </c>
      <c r="S210" s="226">
        <f t="shared" si="405"/>
        <v>6</v>
      </c>
      <c r="T210" s="226">
        <f t="shared" si="405"/>
        <v>5</v>
      </c>
      <c r="U210" s="226">
        <f t="shared" si="405"/>
        <v>4</v>
      </c>
      <c r="V210" s="226">
        <f t="shared" si="405"/>
        <v>7</v>
      </c>
      <c r="W210" s="226">
        <f t="shared" si="405"/>
        <v>5</v>
      </c>
      <c r="X210" s="226">
        <f t="shared" si="405"/>
        <v>4</v>
      </c>
      <c r="Y210" s="226">
        <f t="shared" si="405"/>
        <v>6</v>
      </c>
      <c r="Z210" s="227">
        <f t="shared" si="405"/>
        <v>4</v>
      </c>
    </row>
    <row r="211" spans="1:26" ht="14.45" customHeight="1">
      <c r="A211" s="723"/>
      <c r="B211" s="737"/>
      <c r="C211" s="740"/>
      <c r="D211" s="743"/>
      <c r="E211" s="716"/>
      <c r="F211" s="731"/>
      <c r="G211" s="230" t="s">
        <v>143</v>
      </c>
      <c r="H211" s="231" t="str">
        <f t="shared" ref="H211" si="406">IF(SUM(I211:Z211)&gt;0,"+"&amp;SUM(I211:Z211),SUM(I211:Z211))</f>
        <v>+24</v>
      </c>
      <c r="I211" s="231">
        <v>3</v>
      </c>
      <c r="J211" s="235">
        <v>0</v>
      </c>
      <c r="K211" s="235">
        <v>0</v>
      </c>
      <c r="L211" s="235">
        <v>0</v>
      </c>
      <c r="M211" s="231">
        <v>2</v>
      </c>
      <c r="N211" s="233">
        <v>1</v>
      </c>
      <c r="O211" s="233">
        <v>1</v>
      </c>
      <c r="P211" s="231">
        <v>2</v>
      </c>
      <c r="Q211" s="232">
        <v>4</v>
      </c>
      <c r="R211" s="231">
        <v>2</v>
      </c>
      <c r="S211" s="231">
        <v>2</v>
      </c>
      <c r="T211" s="231">
        <v>2</v>
      </c>
      <c r="U211" s="235">
        <v>0</v>
      </c>
      <c r="V211" s="231">
        <v>2</v>
      </c>
      <c r="W211" s="235">
        <v>0</v>
      </c>
      <c r="X211" s="233">
        <v>1</v>
      </c>
      <c r="Y211" s="231">
        <v>2</v>
      </c>
      <c r="Z211" s="260">
        <v>0</v>
      </c>
    </row>
    <row r="212" spans="1:26" ht="14.45" customHeight="1">
      <c r="A212" s="721">
        <v>31</v>
      </c>
      <c r="B212" s="735">
        <v>45554</v>
      </c>
      <c r="C212" s="738">
        <v>0.2722222222222222</v>
      </c>
      <c r="D212" s="741" t="s">
        <v>1950</v>
      </c>
      <c r="E212" s="714" t="s">
        <v>2411</v>
      </c>
      <c r="F212" s="729" t="s">
        <v>2451</v>
      </c>
      <c r="G212" s="221" t="s">
        <v>137</v>
      </c>
      <c r="H212" s="222">
        <f t="shared" ref="H212:H276" si="407">SUM(I212:Z212)</f>
        <v>72</v>
      </c>
      <c r="I212" s="222">
        <v>5</v>
      </c>
      <c r="J212" s="222">
        <v>3</v>
      </c>
      <c r="K212" s="222">
        <v>4</v>
      </c>
      <c r="L212" s="222">
        <v>4</v>
      </c>
      <c r="M212" s="222">
        <v>4</v>
      </c>
      <c r="N212" s="222">
        <v>4</v>
      </c>
      <c r="O212" s="222">
        <v>3</v>
      </c>
      <c r="P212" s="222">
        <v>4</v>
      </c>
      <c r="Q212" s="222">
        <v>5</v>
      </c>
      <c r="R212" s="222">
        <v>4</v>
      </c>
      <c r="S212" s="222">
        <v>3</v>
      </c>
      <c r="T212" s="222">
        <v>4</v>
      </c>
      <c r="U212" s="222">
        <v>5</v>
      </c>
      <c r="V212" s="222">
        <v>3</v>
      </c>
      <c r="W212" s="222">
        <v>4</v>
      </c>
      <c r="X212" s="222">
        <v>5</v>
      </c>
      <c r="Y212" s="222">
        <v>4</v>
      </c>
      <c r="Z212" s="223">
        <v>4</v>
      </c>
    </row>
    <row r="213" spans="1:26" ht="14.45" customHeight="1">
      <c r="A213" s="722"/>
      <c r="B213" s="736"/>
      <c r="C213" s="739"/>
      <c r="D213" s="742"/>
      <c r="E213" s="715"/>
      <c r="F213" s="730"/>
      <c r="G213" s="224" t="s">
        <v>160</v>
      </c>
      <c r="H213" s="225">
        <f t="shared" si="407"/>
        <v>6009.4367999999995</v>
      </c>
      <c r="I213" s="226">
        <v>498.34800000000001</v>
      </c>
      <c r="J213" s="226">
        <v>145.3896</v>
      </c>
      <c r="K213" s="226">
        <v>374.904</v>
      </c>
      <c r="L213" s="226">
        <v>321.86880000000002</v>
      </c>
      <c r="M213" s="226">
        <v>323.69760000000002</v>
      </c>
      <c r="N213" s="226">
        <v>404.16480000000001</v>
      </c>
      <c r="O213" s="226">
        <v>142.6464</v>
      </c>
      <c r="P213" s="226">
        <v>327.35520000000002</v>
      </c>
      <c r="Q213" s="226">
        <v>460.85759999999999</v>
      </c>
      <c r="R213" s="226">
        <v>360.27359999999999</v>
      </c>
      <c r="S213" s="226">
        <v>160.02000000000001</v>
      </c>
      <c r="T213" s="226">
        <v>405.07920000000001</v>
      </c>
      <c r="U213" s="226">
        <v>470.916</v>
      </c>
      <c r="V213" s="226">
        <v>141.732</v>
      </c>
      <c r="W213" s="226">
        <v>334.67039999999997</v>
      </c>
      <c r="X213" s="226">
        <v>466.34399999999999</v>
      </c>
      <c r="Y213" s="226">
        <v>306.32400000000001</v>
      </c>
      <c r="Z213" s="227">
        <v>364.84559999999999</v>
      </c>
    </row>
    <row r="214" spans="1:26" ht="14.45" customHeight="1">
      <c r="A214" s="722"/>
      <c r="B214" s="736"/>
      <c r="C214" s="739"/>
      <c r="D214" s="742"/>
      <c r="E214" s="715"/>
      <c r="F214" s="730"/>
      <c r="G214" s="224" t="s">
        <v>138</v>
      </c>
      <c r="H214" s="228" t="str">
        <f t="shared" ref="H214:H277" si="408">IF(I216="N/A","N/A",IF(COUNTIF(I214:Z214,"Y")/14=0,"N/A",COUNTIF(I214:Z214,"Y")/(COUNTIF(I214:Z214,"Y")+COUNTIF(I214:Z214,"N"))))</f>
        <v>N/A</v>
      </c>
      <c r="I214" s="226" t="s">
        <v>2</v>
      </c>
      <c r="J214" s="226" t="s">
        <v>2</v>
      </c>
      <c r="K214" s="226" t="s">
        <v>2</v>
      </c>
      <c r="L214" s="226" t="s">
        <v>2</v>
      </c>
      <c r="M214" s="226" t="s">
        <v>2</v>
      </c>
      <c r="N214" s="226" t="s">
        <v>2</v>
      </c>
      <c r="O214" s="226" t="s">
        <v>2</v>
      </c>
      <c r="P214" s="226" t="s">
        <v>2</v>
      </c>
      <c r="Q214" s="226" t="s">
        <v>2</v>
      </c>
      <c r="R214" s="226" t="s">
        <v>2</v>
      </c>
      <c r="S214" s="226" t="s">
        <v>2</v>
      </c>
      <c r="T214" s="226" t="s">
        <v>2</v>
      </c>
      <c r="U214" s="226" t="s">
        <v>2</v>
      </c>
      <c r="V214" s="226" t="s">
        <v>2</v>
      </c>
      <c r="W214" s="226" t="s">
        <v>2</v>
      </c>
      <c r="X214" s="226" t="s">
        <v>2</v>
      </c>
      <c r="Y214" s="226" t="s">
        <v>2</v>
      </c>
      <c r="Z214" s="227" t="s">
        <v>2</v>
      </c>
    </row>
    <row r="215" spans="1:26" ht="14.45" customHeight="1">
      <c r="A215" s="722"/>
      <c r="B215" s="736"/>
      <c r="C215" s="739"/>
      <c r="D215" s="742"/>
      <c r="E215" s="715"/>
      <c r="F215" s="730"/>
      <c r="G215" s="224" t="s">
        <v>145</v>
      </c>
      <c r="H215" s="228" t="str">
        <f t="shared" ref="H215" si="409">IFERROR(IF(I216="N/A","N/A",COUNTIF(I215:Z215,"Y")/(COUNTIF(I215:Z215,"Y")+COUNTIF(I215:Z215,"N"))),"N/A")</f>
        <v>N/A</v>
      </c>
      <c r="I215" s="226" t="s">
        <v>2</v>
      </c>
      <c r="J215" s="226" t="s">
        <v>2</v>
      </c>
      <c r="K215" s="226" t="s">
        <v>2</v>
      </c>
      <c r="L215" s="226" t="s">
        <v>2</v>
      </c>
      <c r="M215" s="226" t="s">
        <v>2</v>
      </c>
      <c r="N215" s="226" t="s">
        <v>2</v>
      </c>
      <c r="O215" s="226" t="s">
        <v>2</v>
      </c>
      <c r="P215" s="226" t="s">
        <v>2</v>
      </c>
      <c r="Q215" s="226" t="s">
        <v>2</v>
      </c>
      <c r="R215" s="226" t="s">
        <v>2</v>
      </c>
      <c r="S215" s="226" t="s">
        <v>2</v>
      </c>
      <c r="T215" s="226" t="s">
        <v>2</v>
      </c>
      <c r="U215" s="226" t="s">
        <v>2</v>
      </c>
      <c r="V215" s="226" t="s">
        <v>2</v>
      </c>
      <c r="W215" s="226" t="s">
        <v>2</v>
      </c>
      <c r="X215" s="226" t="s">
        <v>2</v>
      </c>
      <c r="Y215" s="226" t="s">
        <v>2</v>
      </c>
      <c r="Z215" s="227" t="s">
        <v>2</v>
      </c>
    </row>
    <row r="216" spans="1:26" ht="14.45" customHeight="1">
      <c r="A216" s="722"/>
      <c r="B216" s="736"/>
      <c r="C216" s="739"/>
      <c r="D216" s="742"/>
      <c r="E216" s="715"/>
      <c r="F216" s="730"/>
      <c r="G216" s="224" t="s">
        <v>139</v>
      </c>
      <c r="H216" s="226" t="str">
        <f t="shared" ref="H216:H279" si="410">IF(I216="N/A","N/A",SUM(I216:Z216))</f>
        <v>N/A</v>
      </c>
      <c r="I216" s="226" t="s">
        <v>3</v>
      </c>
      <c r="J216" s="226" t="s">
        <v>3</v>
      </c>
      <c r="K216" s="226" t="s">
        <v>3</v>
      </c>
      <c r="L216" s="226" t="s">
        <v>3</v>
      </c>
      <c r="M216" s="226" t="s">
        <v>3</v>
      </c>
      <c r="N216" s="226" t="s">
        <v>3</v>
      </c>
      <c r="O216" s="226" t="s">
        <v>3</v>
      </c>
      <c r="P216" s="226" t="s">
        <v>3</v>
      </c>
      <c r="Q216" s="226" t="s">
        <v>3</v>
      </c>
      <c r="R216" s="226" t="s">
        <v>3</v>
      </c>
      <c r="S216" s="226" t="s">
        <v>3</v>
      </c>
      <c r="T216" s="226" t="s">
        <v>3</v>
      </c>
      <c r="U216" s="226" t="s">
        <v>3</v>
      </c>
      <c r="V216" s="226" t="s">
        <v>3</v>
      </c>
      <c r="W216" s="226" t="s">
        <v>3</v>
      </c>
      <c r="X216" s="226" t="s">
        <v>3</v>
      </c>
      <c r="Y216" s="226" t="s">
        <v>3</v>
      </c>
      <c r="Z216" s="227" t="s">
        <v>3</v>
      </c>
    </row>
    <row r="217" spans="1:26" ht="14.45" customHeight="1">
      <c r="A217" s="722"/>
      <c r="B217" s="736"/>
      <c r="C217" s="739"/>
      <c r="D217" s="742"/>
      <c r="E217" s="715"/>
      <c r="F217" s="730"/>
      <c r="G217" s="224" t="s">
        <v>67</v>
      </c>
      <c r="H217" s="229">
        <f t="shared" ref="H217:H280" si="411">SUM(I217:Z217)</f>
        <v>106</v>
      </c>
      <c r="I217" s="226">
        <f t="shared" ref="I217" si="412">IF(I218="","",I212+I218)</f>
        <v>7</v>
      </c>
      <c r="J217" s="226">
        <f t="shared" ref="J217" si="413">IF(J218="","",J212+J218)</f>
        <v>3</v>
      </c>
      <c r="K217" s="226">
        <f t="shared" ref="K217" si="414">IF(K218="","",K212+K218)</f>
        <v>6</v>
      </c>
      <c r="L217" s="226">
        <f t="shared" ref="L217" si="415">IF(L218="","",L212+L218)</f>
        <v>5</v>
      </c>
      <c r="M217" s="226">
        <f t="shared" ref="M217" si="416">IF(M218="","",M212+M218)</f>
        <v>6</v>
      </c>
      <c r="N217" s="226">
        <f t="shared" ref="N217" si="417">IF(N218="","",N212+N218)</f>
        <v>8</v>
      </c>
      <c r="O217" s="226">
        <f t="shared" ref="O217" si="418">IF(O218="","",O212+O218)</f>
        <v>5</v>
      </c>
      <c r="P217" s="226">
        <f t="shared" ref="P217" si="419">IF(P218="","",P212+P218)</f>
        <v>7</v>
      </c>
      <c r="Q217" s="226">
        <f t="shared" ref="Q217" si="420">IF(Q218="","",Q212+Q218)</f>
        <v>5</v>
      </c>
      <c r="R217" s="226">
        <f t="shared" ref="R217" si="421">IF(R218="","",R212+R218)</f>
        <v>6</v>
      </c>
      <c r="S217" s="226">
        <f t="shared" ref="S217" si="422">IF(S218="","",S212+S218)</f>
        <v>4</v>
      </c>
      <c r="T217" s="226">
        <f t="shared" ref="T217" si="423">IF(T218="","",T212+T218)</f>
        <v>7</v>
      </c>
      <c r="U217" s="226">
        <f t="shared" ref="U217" si="424">IF(U218="","",U212+U218)</f>
        <v>6</v>
      </c>
      <c r="V217" s="226">
        <f t="shared" ref="V217" si="425">IF(V218="","",V212+V218)</f>
        <v>5</v>
      </c>
      <c r="W217" s="226">
        <f t="shared" ref="W217" si="426">IF(W218="","",W212+W218)</f>
        <v>6</v>
      </c>
      <c r="X217" s="226">
        <f t="shared" ref="X217" si="427">IF(X218="","",X212+X218)</f>
        <v>6</v>
      </c>
      <c r="Y217" s="226">
        <f t="shared" ref="Y217" si="428">IF(Y218="","",Y212+Y218)</f>
        <v>8</v>
      </c>
      <c r="Z217" s="227">
        <f t="shared" ref="Z217" si="429">IF(Z218="","",Z212+Z218)</f>
        <v>6</v>
      </c>
    </row>
    <row r="218" spans="1:26" ht="14.45" customHeight="1">
      <c r="A218" s="723"/>
      <c r="B218" s="737"/>
      <c r="C218" s="740"/>
      <c r="D218" s="743"/>
      <c r="E218" s="716"/>
      <c r="F218" s="731"/>
      <c r="G218" s="230" t="s">
        <v>143</v>
      </c>
      <c r="H218" s="231" t="str">
        <f t="shared" ref="H218:H281" si="430">IF(SUM(I218:Z218)&gt;0,"+"&amp;SUM(I218:Z218),SUM(I218:Z218))</f>
        <v>+34</v>
      </c>
      <c r="I218" s="231">
        <v>2</v>
      </c>
      <c r="J218" s="235">
        <v>0</v>
      </c>
      <c r="K218" s="231">
        <v>2</v>
      </c>
      <c r="L218" s="233">
        <v>1</v>
      </c>
      <c r="M218" s="231">
        <v>2</v>
      </c>
      <c r="N218" s="232">
        <v>4</v>
      </c>
      <c r="O218" s="231">
        <v>2</v>
      </c>
      <c r="P218" s="231">
        <v>3</v>
      </c>
      <c r="Q218" s="235">
        <v>0</v>
      </c>
      <c r="R218" s="231">
        <v>2</v>
      </c>
      <c r="S218" s="233">
        <v>1</v>
      </c>
      <c r="T218" s="231">
        <v>3</v>
      </c>
      <c r="U218" s="233">
        <v>1</v>
      </c>
      <c r="V218" s="231">
        <v>2</v>
      </c>
      <c r="W218" s="231">
        <v>2</v>
      </c>
      <c r="X218" s="233">
        <v>1</v>
      </c>
      <c r="Y218" s="232">
        <v>4</v>
      </c>
      <c r="Z218" s="234">
        <v>2</v>
      </c>
    </row>
    <row r="219" spans="1:26" ht="14.45" customHeight="1">
      <c r="A219" s="721">
        <v>32</v>
      </c>
      <c r="B219" s="735">
        <v>45574</v>
      </c>
      <c r="C219" s="738">
        <v>0.34791666666666665</v>
      </c>
      <c r="D219" s="741" t="s">
        <v>150</v>
      </c>
      <c r="E219" s="714" t="s">
        <v>2449</v>
      </c>
      <c r="F219" s="729" t="s">
        <v>2490</v>
      </c>
      <c r="G219" s="221" t="s">
        <v>137</v>
      </c>
      <c r="H219" s="222">
        <f t="shared" si="407"/>
        <v>72</v>
      </c>
      <c r="I219" s="222">
        <v>4</v>
      </c>
      <c r="J219" s="222">
        <v>4</v>
      </c>
      <c r="K219" s="222">
        <v>5</v>
      </c>
      <c r="L219" s="222">
        <v>4</v>
      </c>
      <c r="M219" s="222">
        <v>3</v>
      </c>
      <c r="N219" s="222">
        <v>4</v>
      </c>
      <c r="O219" s="222">
        <v>3</v>
      </c>
      <c r="P219" s="222">
        <v>4</v>
      </c>
      <c r="Q219" s="222">
        <v>5</v>
      </c>
      <c r="R219" s="222">
        <v>4</v>
      </c>
      <c r="S219" s="222">
        <v>4</v>
      </c>
      <c r="T219" s="222">
        <v>5</v>
      </c>
      <c r="U219" s="222">
        <v>4</v>
      </c>
      <c r="V219" s="222">
        <v>4</v>
      </c>
      <c r="W219" s="222">
        <v>3</v>
      </c>
      <c r="X219" s="222">
        <v>5</v>
      </c>
      <c r="Y219" s="222">
        <v>3</v>
      </c>
      <c r="Z219" s="223">
        <v>4</v>
      </c>
    </row>
    <row r="220" spans="1:26" ht="14.45" customHeight="1">
      <c r="A220" s="722"/>
      <c r="B220" s="736"/>
      <c r="C220" s="739"/>
      <c r="D220" s="742"/>
      <c r="E220" s="715"/>
      <c r="F220" s="730"/>
      <c r="G220" s="224" t="s">
        <v>160</v>
      </c>
      <c r="H220" s="225">
        <f t="shared" si="407"/>
        <v>5762</v>
      </c>
      <c r="I220" s="226">
        <v>365</v>
      </c>
      <c r="J220" s="226">
        <v>306</v>
      </c>
      <c r="K220" s="226">
        <v>470</v>
      </c>
      <c r="L220" s="226">
        <v>345</v>
      </c>
      <c r="M220" s="226">
        <v>132</v>
      </c>
      <c r="N220" s="226">
        <v>317</v>
      </c>
      <c r="O220" s="226">
        <v>139</v>
      </c>
      <c r="P220" s="226">
        <v>333</v>
      </c>
      <c r="Q220" s="226">
        <v>509</v>
      </c>
      <c r="R220" s="226">
        <v>343</v>
      </c>
      <c r="S220" s="226">
        <v>320</v>
      </c>
      <c r="T220" s="226">
        <v>448</v>
      </c>
      <c r="U220" s="226">
        <v>305</v>
      </c>
      <c r="V220" s="226">
        <v>342</v>
      </c>
      <c r="W220" s="226">
        <v>160</v>
      </c>
      <c r="X220" s="226">
        <v>425</v>
      </c>
      <c r="Y220" s="226">
        <v>143</v>
      </c>
      <c r="Z220" s="227">
        <v>360</v>
      </c>
    </row>
    <row r="221" spans="1:26" ht="14.45" customHeight="1">
      <c r="A221" s="722"/>
      <c r="B221" s="736"/>
      <c r="C221" s="739"/>
      <c r="D221" s="742"/>
      <c r="E221" s="715"/>
      <c r="F221" s="730"/>
      <c r="G221" s="224" t="s">
        <v>138</v>
      </c>
      <c r="H221" s="228" t="str">
        <f t="shared" si="408"/>
        <v>N/A</v>
      </c>
      <c r="I221" s="226" t="s">
        <v>2</v>
      </c>
      <c r="J221" s="226" t="s">
        <v>2</v>
      </c>
      <c r="K221" s="226" t="s">
        <v>2</v>
      </c>
      <c r="L221" s="226" t="s">
        <v>2</v>
      </c>
      <c r="M221" s="226" t="s">
        <v>2</v>
      </c>
      <c r="N221" s="226" t="s">
        <v>2</v>
      </c>
      <c r="O221" s="226" t="s">
        <v>2</v>
      </c>
      <c r="P221" s="226" t="s">
        <v>2</v>
      </c>
      <c r="Q221" s="226" t="s">
        <v>2</v>
      </c>
      <c r="R221" s="226" t="s">
        <v>2</v>
      </c>
      <c r="S221" s="226" t="s">
        <v>2</v>
      </c>
      <c r="T221" s="226" t="s">
        <v>2</v>
      </c>
      <c r="U221" s="226" t="s">
        <v>2</v>
      </c>
      <c r="V221" s="226" t="s">
        <v>2</v>
      </c>
      <c r="W221" s="226" t="s">
        <v>2</v>
      </c>
      <c r="X221" s="226" t="s">
        <v>2</v>
      </c>
      <c r="Y221" s="226" t="s">
        <v>2</v>
      </c>
      <c r="Z221" s="227" t="s">
        <v>2</v>
      </c>
    </row>
    <row r="222" spans="1:26" ht="14.45" customHeight="1">
      <c r="A222" s="722"/>
      <c r="B222" s="736"/>
      <c r="C222" s="739"/>
      <c r="D222" s="742"/>
      <c r="E222" s="715"/>
      <c r="F222" s="730"/>
      <c r="G222" s="224" t="s">
        <v>145</v>
      </c>
      <c r="H222" s="228" t="str">
        <f t="shared" ref="H222" si="431">IFERROR(IF(I223="N/A","N/A",COUNTIF(I222:Z222,"Y")/(COUNTIF(I222:Z222,"Y")+COUNTIF(I222:Z222,"N"))),"N/A")</f>
        <v>N/A</v>
      </c>
      <c r="I222" s="226" t="s">
        <v>2</v>
      </c>
      <c r="J222" s="226" t="s">
        <v>2</v>
      </c>
      <c r="K222" s="226" t="s">
        <v>2</v>
      </c>
      <c r="L222" s="226" t="s">
        <v>2</v>
      </c>
      <c r="M222" s="226" t="s">
        <v>2</v>
      </c>
      <c r="N222" s="226" t="s">
        <v>2</v>
      </c>
      <c r="O222" s="226" t="s">
        <v>2</v>
      </c>
      <c r="P222" s="226" t="s">
        <v>2</v>
      </c>
      <c r="Q222" s="226" t="s">
        <v>2</v>
      </c>
      <c r="R222" s="226" t="s">
        <v>2</v>
      </c>
      <c r="S222" s="226" t="s">
        <v>2</v>
      </c>
      <c r="T222" s="226" t="s">
        <v>2</v>
      </c>
      <c r="U222" s="226" t="s">
        <v>2</v>
      </c>
      <c r="V222" s="226" t="s">
        <v>2</v>
      </c>
      <c r="W222" s="226" t="s">
        <v>2</v>
      </c>
      <c r="X222" s="226" t="s">
        <v>2</v>
      </c>
      <c r="Y222" s="226" t="s">
        <v>2</v>
      </c>
      <c r="Z222" s="227" t="s">
        <v>2</v>
      </c>
    </row>
    <row r="223" spans="1:26" ht="14.45" customHeight="1">
      <c r="A223" s="722"/>
      <c r="B223" s="736"/>
      <c r="C223" s="739"/>
      <c r="D223" s="742"/>
      <c r="E223" s="715"/>
      <c r="F223" s="730"/>
      <c r="G223" s="224" t="s">
        <v>139</v>
      </c>
      <c r="H223" s="226" t="str">
        <f t="shared" si="410"/>
        <v>N/A</v>
      </c>
      <c r="I223" s="226" t="s">
        <v>3</v>
      </c>
      <c r="J223" s="226" t="s">
        <v>3</v>
      </c>
      <c r="K223" s="226" t="s">
        <v>3</v>
      </c>
      <c r="L223" s="226" t="s">
        <v>3</v>
      </c>
      <c r="M223" s="226" t="s">
        <v>3</v>
      </c>
      <c r="N223" s="226" t="s">
        <v>3</v>
      </c>
      <c r="O223" s="226" t="s">
        <v>3</v>
      </c>
      <c r="P223" s="226" t="s">
        <v>3</v>
      </c>
      <c r="Q223" s="226" t="s">
        <v>3</v>
      </c>
      <c r="R223" s="226" t="s">
        <v>3</v>
      </c>
      <c r="S223" s="226" t="s">
        <v>3</v>
      </c>
      <c r="T223" s="226" t="s">
        <v>3</v>
      </c>
      <c r="U223" s="226" t="s">
        <v>3</v>
      </c>
      <c r="V223" s="226" t="s">
        <v>3</v>
      </c>
      <c r="W223" s="226" t="s">
        <v>3</v>
      </c>
      <c r="X223" s="226" t="s">
        <v>3</v>
      </c>
      <c r="Y223" s="226" t="s">
        <v>3</v>
      </c>
      <c r="Z223" s="227" t="s">
        <v>3</v>
      </c>
    </row>
    <row r="224" spans="1:26" ht="14.45" customHeight="1">
      <c r="A224" s="722"/>
      <c r="B224" s="736"/>
      <c r="C224" s="739"/>
      <c r="D224" s="742"/>
      <c r="E224" s="715"/>
      <c r="F224" s="730"/>
      <c r="G224" s="224" t="s">
        <v>67</v>
      </c>
      <c r="H224" s="229">
        <f t="shared" si="411"/>
        <v>99</v>
      </c>
      <c r="I224" s="226">
        <f t="shared" ref="I224" si="432">IF(I225="","",I219+I225)</f>
        <v>5</v>
      </c>
      <c r="J224" s="226">
        <f t="shared" ref="J224" si="433">IF(J225="","",J219+J225)</f>
        <v>5</v>
      </c>
      <c r="K224" s="226">
        <f t="shared" ref="K224" si="434">IF(K225="","",K219+K225)</f>
        <v>6</v>
      </c>
      <c r="L224" s="226">
        <f t="shared" ref="L224" si="435">IF(L225="","",L219+L225)</f>
        <v>5</v>
      </c>
      <c r="M224" s="226">
        <f t="shared" ref="M224" si="436">IF(M225="","",M219+M225)</f>
        <v>4</v>
      </c>
      <c r="N224" s="226">
        <f t="shared" ref="N224" si="437">IF(N225="","",N219+N225)</f>
        <v>6</v>
      </c>
      <c r="O224" s="226">
        <f t="shared" ref="O224" si="438">IF(O225="","",O219+O225)</f>
        <v>4</v>
      </c>
      <c r="P224" s="226">
        <f t="shared" ref="P224" si="439">IF(P225="","",P219+P225)</f>
        <v>6</v>
      </c>
      <c r="Q224" s="226">
        <f t="shared" ref="Q224" si="440">IF(Q225="","",Q219+Q225)</f>
        <v>6</v>
      </c>
      <c r="R224" s="226">
        <f t="shared" ref="R224" si="441">IF(R225="","",R219+R225)</f>
        <v>7</v>
      </c>
      <c r="S224" s="226">
        <f t="shared" ref="S224" si="442">IF(S225="","",S219+S225)</f>
        <v>8</v>
      </c>
      <c r="T224" s="226">
        <f t="shared" ref="T224" si="443">IF(T225="","",T219+T225)</f>
        <v>6</v>
      </c>
      <c r="U224" s="226">
        <f t="shared" ref="U224" si="444">IF(U225="","",U219+U225)</f>
        <v>5</v>
      </c>
      <c r="V224" s="226">
        <f t="shared" ref="V224" si="445">IF(V225="","",V219+V225)</f>
        <v>5</v>
      </c>
      <c r="W224" s="226">
        <f t="shared" ref="W224" si="446">IF(W225="","",W219+W225)</f>
        <v>5</v>
      </c>
      <c r="X224" s="226">
        <f t="shared" ref="X224" si="447">IF(X225="","",X219+X225)</f>
        <v>10</v>
      </c>
      <c r="Y224" s="226">
        <f t="shared" ref="Y224" si="448">IF(Y225="","",Y219+Y225)</f>
        <v>3</v>
      </c>
      <c r="Z224" s="227">
        <f t="shared" ref="Z224" si="449">IF(Z225="","",Z219+Z225)</f>
        <v>3</v>
      </c>
    </row>
    <row r="225" spans="1:26" ht="14.45" customHeight="1">
      <c r="A225" s="723"/>
      <c r="B225" s="737"/>
      <c r="C225" s="740"/>
      <c r="D225" s="743"/>
      <c r="E225" s="716"/>
      <c r="F225" s="731"/>
      <c r="G225" s="230" t="s">
        <v>143</v>
      </c>
      <c r="H225" s="231" t="str">
        <f t="shared" si="430"/>
        <v>+27</v>
      </c>
      <c r="I225" s="233">
        <v>1</v>
      </c>
      <c r="J225" s="233">
        <v>1</v>
      </c>
      <c r="K225" s="233">
        <v>1</v>
      </c>
      <c r="L225" s="233">
        <v>1</v>
      </c>
      <c r="M225" s="233">
        <v>1</v>
      </c>
      <c r="N225" s="231">
        <v>2</v>
      </c>
      <c r="O225" s="233">
        <v>1</v>
      </c>
      <c r="P225" s="231">
        <v>2</v>
      </c>
      <c r="Q225" s="233">
        <v>1</v>
      </c>
      <c r="R225" s="231">
        <v>3</v>
      </c>
      <c r="S225" s="232">
        <v>4</v>
      </c>
      <c r="T225" s="233">
        <v>1</v>
      </c>
      <c r="U225" s="233">
        <v>1</v>
      </c>
      <c r="V225" s="233">
        <v>1</v>
      </c>
      <c r="W225" s="231">
        <v>2</v>
      </c>
      <c r="X225" s="232">
        <v>5</v>
      </c>
      <c r="Y225" s="235">
        <v>0</v>
      </c>
      <c r="Z225" s="239">
        <v>-1</v>
      </c>
    </row>
    <row r="226" spans="1:26" ht="14.45" customHeight="1">
      <c r="A226" s="721">
        <v>33</v>
      </c>
      <c r="B226" s="724">
        <v>45598</v>
      </c>
      <c r="C226" s="726">
        <v>0.27430555555555558</v>
      </c>
      <c r="D226" s="711" t="s">
        <v>159</v>
      </c>
      <c r="E226" s="714" t="s">
        <v>2086</v>
      </c>
      <c r="F226" s="717" t="s">
        <v>2640</v>
      </c>
      <c r="G226" s="221" t="s">
        <v>137</v>
      </c>
      <c r="H226" s="222">
        <f t="shared" ref="H226:H227" si="450">SUM(I226:Z226)</f>
        <v>72</v>
      </c>
      <c r="I226" s="222">
        <v>5</v>
      </c>
      <c r="J226" s="222">
        <v>4</v>
      </c>
      <c r="K226" s="222">
        <v>3</v>
      </c>
      <c r="L226" s="222">
        <v>4</v>
      </c>
      <c r="M226" s="222">
        <v>4</v>
      </c>
      <c r="N226" s="222">
        <v>5</v>
      </c>
      <c r="O226" s="222">
        <v>3</v>
      </c>
      <c r="P226" s="222">
        <v>4</v>
      </c>
      <c r="Q226" s="222">
        <v>4</v>
      </c>
      <c r="R226" s="222">
        <v>5</v>
      </c>
      <c r="S226" s="222">
        <v>4</v>
      </c>
      <c r="T226" s="222">
        <v>4</v>
      </c>
      <c r="U226" s="222">
        <v>5</v>
      </c>
      <c r="V226" s="222">
        <v>4</v>
      </c>
      <c r="W226" s="222">
        <v>3</v>
      </c>
      <c r="X226" s="222">
        <v>4</v>
      </c>
      <c r="Y226" s="222">
        <v>3</v>
      </c>
      <c r="Z226" s="223">
        <v>4</v>
      </c>
    </row>
    <row r="227" spans="1:26" ht="14.45" customHeight="1">
      <c r="A227" s="722"/>
      <c r="B227" s="725"/>
      <c r="C227" s="727"/>
      <c r="D227" s="712"/>
      <c r="E227" s="715"/>
      <c r="F227" s="718"/>
      <c r="G227" s="224" t="s">
        <v>160</v>
      </c>
      <c r="H227" s="225">
        <f t="shared" si="450"/>
        <v>5681</v>
      </c>
      <c r="I227" s="226">
        <v>452</v>
      </c>
      <c r="J227" s="226">
        <v>354</v>
      </c>
      <c r="K227" s="226">
        <v>149</v>
      </c>
      <c r="L227" s="226">
        <v>330</v>
      </c>
      <c r="M227" s="226">
        <v>296</v>
      </c>
      <c r="N227" s="226">
        <v>447</v>
      </c>
      <c r="O227" s="226">
        <v>156</v>
      </c>
      <c r="P227" s="226">
        <v>321</v>
      </c>
      <c r="Q227" s="226">
        <v>351</v>
      </c>
      <c r="R227" s="226">
        <v>424</v>
      </c>
      <c r="S227" s="226">
        <v>324</v>
      </c>
      <c r="T227" s="226">
        <v>364</v>
      </c>
      <c r="U227" s="226">
        <v>492</v>
      </c>
      <c r="V227" s="226">
        <v>294</v>
      </c>
      <c r="W227" s="226">
        <v>133</v>
      </c>
      <c r="X227" s="226">
        <v>313</v>
      </c>
      <c r="Y227" s="226">
        <v>156</v>
      </c>
      <c r="Z227" s="227">
        <v>325</v>
      </c>
    </row>
    <row r="228" spans="1:26" ht="14.45" customHeight="1">
      <c r="A228" s="722"/>
      <c r="B228" s="719"/>
      <c r="C228" s="727"/>
      <c r="D228" s="712"/>
      <c r="E228" s="715"/>
      <c r="F228" s="719"/>
      <c r="G228" s="224" t="s">
        <v>138</v>
      </c>
      <c r="H228" s="228" t="str">
        <f t="shared" ref="H228" si="451">IF(I230="N/A","N/A",IF(COUNTIF(I228:Z228,"Y")/14=0,"N/A",COUNTIF(I228:Z228,"Y")/(COUNTIF(I228:Z228,"Y")+COUNTIF(I228:Z228,"N"))))</f>
        <v>N/A</v>
      </c>
      <c r="I228" s="226" t="s">
        <v>2</v>
      </c>
      <c r="J228" s="226" t="s">
        <v>2</v>
      </c>
      <c r="K228" s="226" t="s">
        <v>2</v>
      </c>
      <c r="L228" s="226" t="s">
        <v>2</v>
      </c>
      <c r="M228" s="226" t="s">
        <v>2</v>
      </c>
      <c r="N228" s="226" t="s">
        <v>2</v>
      </c>
      <c r="O228" s="226" t="s">
        <v>2</v>
      </c>
      <c r="P228" s="226" t="s">
        <v>2</v>
      </c>
      <c r="Q228" s="226" t="s">
        <v>2</v>
      </c>
      <c r="R228" s="226" t="s">
        <v>2</v>
      </c>
      <c r="S228" s="226" t="s">
        <v>2</v>
      </c>
      <c r="T228" s="226" t="s">
        <v>2</v>
      </c>
      <c r="U228" s="226" t="s">
        <v>2</v>
      </c>
      <c r="V228" s="226" t="s">
        <v>2</v>
      </c>
      <c r="W228" s="226" t="s">
        <v>2</v>
      </c>
      <c r="X228" s="226" t="s">
        <v>2</v>
      </c>
      <c r="Y228" s="226" t="s">
        <v>2</v>
      </c>
      <c r="Z228" s="227" t="s">
        <v>2</v>
      </c>
    </row>
    <row r="229" spans="1:26" ht="14.45" customHeight="1">
      <c r="A229" s="722"/>
      <c r="B229" s="719"/>
      <c r="C229" s="727"/>
      <c r="D229" s="712"/>
      <c r="E229" s="715"/>
      <c r="F229" s="719"/>
      <c r="G229" s="224" t="s">
        <v>145</v>
      </c>
      <c r="H229" s="228" t="str">
        <f t="shared" ref="H229" si="452">IFERROR(IF(I230="N/A","N/A",COUNTIF(I229:Z229,"Y")/(COUNTIF(I229:Z229,"Y")+COUNTIF(I229:Z229,"N"))),"N/A")</f>
        <v>N/A</v>
      </c>
      <c r="I229" s="226" t="s">
        <v>2</v>
      </c>
      <c r="J229" s="226" t="s">
        <v>2</v>
      </c>
      <c r="K229" s="226" t="s">
        <v>2</v>
      </c>
      <c r="L229" s="226" t="s">
        <v>2</v>
      </c>
      <c r="M229" s="226" t="s">
        <v>2</v>
      </c>
      <c r="N229" s="226" t="s">
        <v>2</v>
      </c>
      <c r="O229" s="226" t="s">
        <v>2</v>
      </c>
      <c r="P229" s="226" t="s">
        <v>2</v>
      </c>
      <c r="Q229" s="226" t="s">
        <v>2</v>
      </c>
      <c r="R229" s="226" t="s">
        <v>2</v>
      </c>
      <c r="S229" s="226" t="s">
        <v>2</v>
      </c>
      <c r="T229" s="226" t="s">
        <v>2</v>
      </c>
      <c r="U229" s="226" t="s">
        <v>2</v>
      </c>
      <c r="V229" s="226" t="s">
        <v>2</v>
      </c>
      <c r="W229" s="226" t="s">
        <v>2</v>
      </c>
      <c r="X229" s="226" t="s">
        <v>2</v>
      </c>
      <c r="Y229" s="226" t="s">
        <v>2</v>
      </c>
      <c r="Z229" s="227" t="s">
        <v>2</v>
      </c>
    </row>
    <row r="230" spans="1:26" ht="14.45" customHeight="1">
      <c r="A230" s="722"/>
      <c r="B230" s="719"/>
      <c r="C230" s="727"/>
      <c r="D230" s="712"/>
      <c r="E230" s="715"/>
      <c r="F230" s="719"/>
      <c r="G230" s="224" t="s">
        <v>139</v>
      </c>
      <c r="H230" s="226" t="str">
        <f t="shared" ref="H230" si="453">IF(I230="N/A","N/A",SUM(I230:Z230))</f>
        <v>N/A</v>
      </c>
      <c r="I230" s="226" t="s">
        <v>3</v>
      </c>
      <c r="J230" s="226" t="s">
        <v>3</v>
      </c>
      <c r="K230" s="226" t="s">
        <v>3</v>
      </c>
      <c r="L230" s="226" t="s">
        <v>3</v>
      </c>
      <c r="M230" s="226" t="s">
        <v>3</v>
      </c>
      <c r="N230" s="226" t="s">
        <v>3</v>
      </c>
      <c r="O230" s="226" t="s">
        <v>3</v>
      </c>
      <c r="P230" s="226" t="s">
        <v>3</v>
      </c>
      <c r="Q230" s="226" t="s">
        <v>3</v>
      </c>
      <c r="R230" s="226" t="s">
        <v>3</v>
      </c>
      <c r="S230" s="226" t="s">
        <v>3</v>
      </c>
      <c r="T230" s="226" t="s">
        <v>3</v>
      </c>
      <c r="U230" s="226" t="s">
        <v>3</v>
      </c>
      <c r="V230" s="226" t="s">
        <v>3</v>
      </c>
      <c r="W230" s="226" t="s">
        <v>3</v>
      </c>
      <c r="X230" s="226" t="s">
        <v>3</v>
      </c>
      <c r="Y230" s="226" t="s">
        <v>3</v>
      </c>
      <c r="Z230" s="227" t="s">
        <v>3</v>
      </c>
    </row>
    <row r="231" spans="1:26" ht="14.45" customHeight="1">
      <c r="A231" s="722"/>
      <c r="B231" s="719"/>
      <c r="C231" s="727"/>
      <c r="D231" s="712"/>
      <c r="E231" s="715"/>
      <c r="F231" s="719"/>
      <c r="G231" s="224" t="s">
        <v>67</v>
      </c>
      <c r="H231" s="229">
        <f t="shared" ref="H231" si="454">SUM(I231:Z231)</f>
        <v>99</v>
      </c>
      <c r="I231" s="226">
        <f t="shared" ref="I231:Z231" si="455">IF(I232="","",I226+I232)</f>
        <v>9</v>
      </c>
      <c r="J231" s="226">
        <f t="shared" si="455"/>
        <v>6</v>
      </c>
      <c r="K231" s="226">
        <f t="shared" si="455"/>
        <v>3</v>
      </c>
      <c r="L231" s="226">
        <f t="shared" si="455"/>
        <v>6</v>
      </c>
      <c r="M231" s="226">
        <f t="shared" si="455"/>
        <v>6</v>
      </c>
      <c r="N231" s="226">
        <f t="shared" si="455"/>
        <v>5</v>
      </c>
      <c r="O231" s="226">
        <f t="shared" si="455"/>
        <v>3</v>
      </c>
      <c r="P231" s="226">
        <f t="shared" si="455"/>
        <v>5</v>
      </c>
      <c r="Q231" s="226">
        <f t="shared" si="455"/>
        <v>5</v>
      </c>
      <c r="R231" s="226">
        <f t="shared" si="455"/>
        <v>7</v>
      </c>
      <c r="S231" s="226">
        <f t="shared" si="455"/>
        <v>4</v>
      </c>
      <c r="T231" s="226">
        <f t="shared" si="455"/>
        <v>7</v>
      </c>
      <c r="U231" s="226">
        <f t="shared" si="455"/>
        <v>8</v>
      </c>
      <c r="V231" s="226">
        <f t="shared" si="455"/>
        <v>6</v>
      </c>
      <c r="W231" s="226">
        <f t="shared" si="455"/>
        <v>5</v>
      </c>
      <c r="X231" s="226">
        <f t="shared" si="455"/>
        <v>5</v>
      </c>
      <c r="Y231" s="226">
        <f t="shared" si="455"/>
        <v>3</v>
      </c>
      <c r="Z231" s="227">
        <f t="shared" si="455"/>
        <v>6</v>
      </c>
    </row>
    <row r="232" spans="1:26" ht="14.45" customHeight="1">
      <c r="A232" s="723"/>
      <c r="B232" s="720"/>
      <c r="C232" s="728"/>
      <c r="D232" s="713"/>
      <c r="E232" s="716"/>
      <c r="F232" s="720"/>
      <c r="G232" s="230" t="s">
        <v>143</v>
      </c>
      <c r="H232" s="231" t="str">
        <f t="shared" ref="H232" si="456">IF(SUM(I232:Z232)&gt;0,"+"&amp;SUM(I232:Z232),SUM(I232:Z232))</f>
        <v>+27</v>
      </c>
      <c r="I232" s="231">
        <v>4</v>
      </c>
      <c r="J232" s="231">
        <v>2</v>
      </c>
      <c r="K232" s="235">
        <v>0</v>
      </c>
      <c r="L232" s="231">
        <v>2</v>
      </c>
      <c r="M232" s="231">
        <v>2</v>
      </c>
      <c r="N232" s="235">
        <v>0</v>
      </c>
      <c r="O232" s="235">
        <v>0</v>
      </c>
      <c r="P232" s="233">
        <v>1</v>
      </c>
      <c r="Q232" s="233">
        <v>1</v>
      </c>
      <c r="R232" s="231">
        <v>2</v>
      </c>
      <c r="S232" s="235">
        <v>0</v>
      </c>
      <c r="T232" s="231">
        <v>3</v>
      </c>
      <c r="U232" s="231">
        <v>3</v>
      </c>
      <c r="V232" s="231">
        <v>2</v>
      </c>
      <c r="W232" s="231">
        <v>2</v>
      </c>
      <c r="X232" s="233">
        <v>1</v>
      </c>
      <c r="Y232" s="235">
        <v>0</v>
      </c>
      <c r="Z232" s="234">
        <v>2</v>
      </c>
    </row>
    <row r="233" spans="1:26" ht="14.45" customHeight="1">
      <c r="A233" s="721">
        <v>34</v>
      </c>
      <c r="B233" s="724">
        <v>45619</v>
      </c>
      <c r="C233" s="726">
        <v>0.36944444444444446</v>
      </c>
      <c r="D233" s="752" t="s">
        <v>148</v>
      </c>
      <c r="E233" s="714" t="s">
        <v>1858</v>
      </c>
      <c r="F233" s="729" t="s">
        <v>2668</v>
      </c>
      <c r="G233" s="221" t="s">
        <v>137</v>
      </c>
      <c r="H233" s="222">
        <f t="shared" ref="H233:H234" si="457">SUM(I233:Z233)</f>
        <v>72</v>
      </c>
      <c r="I233" s="222">
        <v>4</v>
      </c>
      <c r="J233" s="222">
        <v>5</v>
      </c>
      <c r="K233" s="222">
        <v>4</v>
      </c>
      <c r="L233" s="222">
        <v>4</v>
      </c>
      <c r="M233" s="222">
        <v>3</v>
      </c>
      <c r="N233" s="222">
        <v>4</v>
      </c>
      <c r="O233" s="222">
        <v>5</v>
      </c>
      <c r="P233" s="222">
        <v>3</v>
      </c>
      <c r="Q233" s="222">
        <v>4</v>
      </c>
      <c r="R233" s="222">
        <v>4</v>
      </c>
      <c r="S233" s="222">
        <v>4</v>
      </c>
      <c r="T233" s="222">
        <v>5</v>
      </c>
      <c r="U233" s="222">
        <v>4</v>
      </c>
      <c r="V233" s="222">
        <v>3</v>
      </c>
      <c r="W233" s="222">
        <v>5</v>
      </c>
      <c r="X233" s="222">
        <v>4</v>
      </c>
      <c r="Y233" s="222">
        <v>3</v>
      </c>
      <c r="Z233" s="223">
        <v>4</v>
      </c>
    </row>
    <row r="234" spans="1:26" ht="14.45" customHeight="1">
      <c r="A234" s="722"/>
      <c r="B234" s="725"/>
      <c r="C234" s="727"/>
      <c r="D234" s="712"/>
      <c r="E234" s="715"/>
      <c r="F234" s="730"/>
      <c r="G234" s="224" t="s">
        <v>160</v>
      </c>
      <c r="H234" s="225">
        <f t="shared" si="457"/>
        <v>5810</v>
      </c>
      <c r="I234" s="226">
        <v>338</v>
      </c>
      <c r="J234" s="226">
        <v>447</v>
      </c>
      <c r="K234" s="226">
        <v>318</v>
      </c>
      <c r="L234" s="226">
        <v>287</v>
      </c>
      <c r="M234" s="226">
        <v>143</v>
      </c>
      <c r="N234" s="226">
        <v>352</v>
      </c>
      <c r="O234" s="226">
        <v>504</v>
      </c>
      <c r="P234" s="226">
        <v>136</v>
      </c>
      <c r="Q234" s="226">
        <v>314</v>
      </c>
      <c r="R234" s="226">
        <v>291</v>
      </c>
      <c r="S234" s="226">
        <v>337</v>
      </c>
      <c r="T234" s="226">
        <v>486</v>
      </c>
      <c r="U234" s="226">
        <v>330</v>
      </c>
      <c r="V234" s="226">
        <v>129</v>
      </c>
      <c r="W234" s="226">
        <v>491</v>
      </c>
      <c r="X234" s="226">
        <v>344</v>
      </c>
      <c r="Y234" s="226">
        <v>186</v>
      </c>
      <c r="Z234" s="227">
        <v>377</v>
      </c>
    </row>
    <row r="235" spans="1:26" ht="14.45" customHeight="1">
      <c r="A235" s="722"/>
      <c r="B235" s="719"/>
      <c r="C235" s="727"/>
      <c r="D235" s="712"/>
      <c r="E235" s="715"/>
      <c r="F235" s="730"/>
      <c r="G235" s="224" t="s">
        <v>138</v>
      </c>
      <c r="H235" s="228" t="str">
        <f t="shared" ref="H235" si="458">IF(I237="N/A","N/A",IF(COUNTIF(I235:Z235,"Y")/14=0,"N/A",COUNTIF(I235:Z235,"Y")/(COUNTIF(I235:Z235,"Y")+COUNTIF(I235:Z235,"N"))))</f>
        <v>N/A</v>
      </c>
      <c r="I235" s="226" t="s">
        <v>2</v>
      </c>
      <c r="J235" s="226" t="s">
        <v>2</v>
      </c>
      <c r="K235" s="226" t="s">
        <v>2</v>
      </c>
      <c r="L235" s="226" t="s">
        <v>2</v>
      </c>
      <c r="M235" s="226" t="s">
        <v>2</v>
      </c>
      <c r="N235" s="226" t="s">
        <v>2</v>
      </c>
      <c r="O235" s="226" t="s">
        <v>2</v>
      </c>
      <c r="P235" s="226" t="s">
        <v>2</v>
      </c>
      <c r="Q235" s="226" t="s">
        <v>2</v>
      </c>
      <c r="R235" s="226" t="s">
        <v>2</v>
      </c>
      <c r="S235" s="226" t="s">
        <v>2</v>
      </c>
      <c r="T235" s="226" t="s">
        <v>2</v>
      </c>
      <c r="U235" s="226" t="s">
        <v>2</v>
      </c>
      <c r="V235" s="226" t="s">
        <v>2</v>
      </c>
      <c r="W235" s="226" t="s">
        <v>2</v>
      </c>
      <c r="X235" s="226" t="s">
        <v>2</v>
      </c>
      <c r="Y235" s="226" t="s">
        <v>2</v>
      </c>
      <c r="Z235" s="227" t="s">
        <v>2</v>
      </c>
    </row>
    <row r="236" spans="1:26" ht="14.45" customHeight="1">
      <c r="A236" s="722"/>
      <c r="B236" s="719"/>
      <c r="C236" s="727"/>
      <c r="D236" s="712"/>
      <c r="E236" s="715"/>
      <c r="F236" s="730"/>
      <c r="G236" s="224" t="s">
        <v>145</v>
      </c>
      <c r="H236" s="228" t="str">
        <f t="shared" ref="H236" si="459">IFERROR(IF(I237="N/A","N/A",COUNTIF(I236:Z236,"Y")/(COUNTIF(I236:Z236,"Y")+COUNTIF(I236:Z236,"N"))),"N/A")</f>
        <v>N/A</v>
      </c>
      <c r="I236" s="226" t="s">
        <v>2</v>
      </c>
      <c r="J236" s="226" t="s">
        <v>2</v>
      </c>
      <c r="K236" s="226" t="s">
        <v>2</v>
      </c>
      <c r="L236" s="226" t="s">
        <v>2</v>
      </c>
      <c r="M236" s="226" t="s">
        <v>2</v>
      </c>
      <c r="N236" s="226" t="s">
        <v>2</v>
      </c>
      <c r="O236" s="226" t="s">
        <v>2</v>
      </c>
      <c r="P236" s="226" t="s">
        <v>2</v>
      </c>
      <c r="Q236" s="226" t="s">
        <v>2</v>
      </c>
      <c r="R236" s="226" t="s">
        <v>2</v>
      </c>
      <c r="S236" s="226" t="s">
        <v>2</v>
      </c>
      <c r="T236" s="226" t="s">
        <v>2</v>
      </c>
      <c r="U236" s="226" t="s">
        <v>2</v>
      </c>
      <c r="V236" s="226" t="s">
        <v>2</v>
      </c>
      <c r="W236" s="226" t="s">
        <v>2</v>
      </c>
      <c r="X236" s="226" t="s">
        <v>2</v>
      </c>
      <c r="Y236" s="226" t="s">
        <v>2</v>
      </c>
      <c r="Z236" s="227" t="s">
        <v>2</v>
      </c>
    </row>
    <row r="237" spans="1:26" ht="14.45" customHeight="1">
      <c r="A237" s="722"/>
      <c r="B237" s="719"/>
      <c r="C237" s="727"/>
      <c r="D237" s="712"/>
      <c r="E237" s="715"/>
      <c r="F237" s="730"/>
      <c r="G237" s="224" t="s">
        <v>139</v>
      </c>
      <c r="H237" s="226" t="str">
        <f t="shared" ref="H237" si="460">IF(I237="N/A","N/A",SUM(I237:Z237))</f>
        <v>N/A</v>
      </c>
      <c r="I237" s="226" t="s">
        <v>3</v>
      </c>
      <c r="J237" s="226" t="s">
        <v>3</v>
      </c>
      <c r="K237" s="226" t="s">
        <v>3</v>
      </c>
      <c r="L237" s="226" t="s">
        <v>3</v>
      </c>
      <c r="M237" s="226" t="s">
        <v>3</v>
      </c>
      <c r="N237" s="226" t="s">
        <v>3</v>
      </c>
      <c r="O237" s="226" t="s">
        <v>3</v>
      </c>
      <c r="P237" s="226" t="s">
        <v>3</v>
      </c>
      <c r="Q237" s="226" t="s">
        <v>3</v>
      </c>
      <c r="R237" s="226" t="s">
        <v>3</v>
      </c>
      <c r="S237" s="226" t="s">
        <v>3</v>
      </c>
      <c r="T237" s="226" t="s">
        <v>3</v>
      </c>
      <c r="U237" s="226" t="s">
        <v>3</v>
      </c>
      <c r="V237" s="226" t="s">
        <v>3</v>
      </c>
      <c r="W237" s="226" t="s">
        <v>3</v>
      </c>
      <c r="X237" s="226" t="s">
        <v>3</v>
      </c>
      <c r="Y237" s="226" t="s">
        <v>3</v>
      </c>
      <c r="Z237" s="227" t="s">
        <v>3</v>
      </c>
    </row>
    <row r="238" spans="1:26" ht="14.45" customHeight="1">
      <c r="A238" s="722"/>
      <c r="B238" s="719"/>
      <c r="C238" s="727"/>
      <c r="D238" s="712"/>
      <c r="E238" s="715"/>
      <c r="F238" s="730"/>
      <c r="G238" s="224" t="s">
        <v>67</v>
      </c>
      <c r="H238" s="229">
        <f t="shared" ref="H238" si="461">SUM(I238:Z238)</f>
        <v>107</v>
      </c>
      <c r="I238" s="226">
        <f t="shared" ref="I238:Z238" si="462">IF(I239="","",I233+I239)</f>
        <v>5</v>
      </c>
      <c r="J238" s="226">
        <f t="shared" si="462"/>
        <v>7</v>
      </c>
      <c r="K238" s="226">
        <f t="shared" si="462"/>
        <v>5</v>
      </c>
      <c r="L238" s="226">
        <f t="shared" si="462"/>
        <v>6</v>
      </c>
      <c r="M238" s="226">
        <f t="shared" si="462"/>
        <v>5</v>
      </c>
      <c r="N238" s="226">
        <f t="shared" si="462"/>
        <v>6</v>
      </c>
      <c r="O238" s="226">
        <f t="shared" si="462"/>
        <v>6</v>
      </c>
      <c r="P238" s="226">
        <f t="shared" si="462"/>
        <v>4</v>
      </c>
      <c r="Q238" s="226">
        <f t="shared" si="462"/>
        <v>4</v>
      </c>
      <c r="R238" s="226">
        <f t="shared" si="462"/>
        <v>6</v>
      </c>
      <c r="S238" s="226">
        <f t="shared" si="462"/>
        <v>7</v>
      </c>
      <c r="T238" s="226">
        <f t="shared" si="462"/>
        <v>8</v>
      </c>
      <c r="U238" s="226">
        <f t="shared" si="462"/>
        <v>6</v>
      </c>
      <c r="V238" s="226">
        <f t="shared" si="462"/>
        <v>4</v>
      </c>
      <c r="W238" s="226">
        <f t="shared" si="462"/>
        <v>9</v>
      </c>
      <c r="X238" s="226">
        <f t="shared" si="462"/>
        <v>8</v>
      </c>
      <c r="Y238" s="226">
        <f t="shared" si="462"/>
        <v>6</v>
      </c>
      <c r="Z238" s="227">
        <f t="shared" si="462"/>
        <v>5</v>
      </c>
    </row>
    <row r="239" spans="1:26" ht="14.45" customHeight="1">
      <c r="A239" s="723"/>
      <c r="B239" s="720"/>
      <c r="C239" s="728"/>
      <c r="D239" s="713"/>
      <c r="E239" s="716"/>
      <c r="F239" s="731"/>
      <c r="G239" s="230" t="s">
        <v>143</v>
      </c>
      <c r="H239" s="231" t="str">
        <f t="shared" ref="H239" si="463">IF(SUM(I239:Z239)&gt;0,"+"&amp;SUM(I239:Z239),SUM(I239:Z239))</f>
        <v>+35</v>
      </c>
      <c r="I239" s="233">
        <v>1</v>
      </c>
      <c r="J239" s="231">
        <v>2</v>
      </c>
      <c r="K239" s="233">
        <v>1</v>
      </c>
      <c r="L239" s="231">
        <v>2</v>
      </c>
      <c r="M239" s="231">
        <v>2</v>
      </c>
      <c r="N239" s="231">
        <v>2</v>
      </c>
      <c r="O239" s="233">
        <v>1</v>
      </c>
      <c r="P239" s="233">
        <v>1</v>
      </c>
      <c r="Q239" s="235">
        <v>0</v>
      </c>
      <c r="R239" s="231">
        <v>2</v>
      </c>
      <c r="S239" s="231">
        <v>3</v>
      </c>
      <c r="T239" s="231">
        <v>3</v>
      </c>
      <c r="U239" s="231">
        <v>2</v>
      </c>
      <c r="V239" s="233">
        <v>1</v>
      </c>
      <c r="W239" s="231">
        <v>4</v>
      </c>
      <c r="X239" s="232">
        <v>4</v>
      </c>
      <c r="Y239" s="232">
        <v>3</v>
      </c>
      <c r="Z239" s="236">
        <v>1</v>
      </c>
    </row>
    <row r="240" spans="1:26" ht="14.45" customHeight="1">
      <c r="A240" s="721">
        <v>35</v>
      </c>
      <c r="B240" s="724">
        <v>45737</v>
      </c>
      <c r="C240" s="726">
        <v>0.31180555555555556</v>
      </c>
      <c r="D240" s="711" t="s">
        <v>3515</v>
      </c>
      <c r="E240" s="747" t="s">
        <v>3517</v>
      </c>
      <c r="F240" s="717" t="s">
        <v>3518</v>
      </c>
      <c r="G240" s="221" t="s">
        <v>137</v>
      </c>
      <c r="H240" s="222">
        <f t="shared" ref="H240:H241" si="464">SUM(I240:Z240)</f>
        <v>72</v>
      </c>
      <c r="I240" s="222">
        <v>4</v>
      </c>
      <c r="J240" s="222">
        <v>4</v>
      </c>
      <c r="K240" s="222">
        <v>4</v>
      </c>
      <c r="L240" s="222">
        <v>5</v>
      </c>
      <c r="M240" s="222">
        <v>3</v>
      </c>
      <c r="N240" s="222">
        <v>4</v>
      </c>
      <c r="O240" s="222">
        <v>3</v>
      </c>
      <c r="P240" s="222">
        <v>5</v>
      </c>
      <c r="Q240" s="222">
        <v>4</v>
      </c>
      <c r="R240" s="222">
        <v>4</v>
      </c>
      <c r="S240" s="222">
        <v>3</v>
      </c>
      <c r="T240" s="222">
        <v>5</v>
      </c>
      <c r="U240" s="222">
        <v>4</v>
      </c>
      <c r="V240" s="222">
        <v>4</v>
      </c>
      <c r="W240" s="222">
        <v>5</v>
      </c>
      <c r="X240" s="222">
        <v>4</v>
      </c>
      <c r="Y240" s="222">
        <v>3</v>
      </c>
      <c r="Z240" s="223">
        <v>4</v>
      </c>
    </row>
    <row r="241" spans="1:26" ht="14.45" customHeight="1">
      <c r="A241" s="722"/>
      <c r="B241" s="725"/>
      <c r="C241" s="727"/>
      <c r="D241" s="712"/>
      <c r="E241" s="719"/>
      <c r="F241" s="718"/>
      <c r="G241" s="224" t="s">
        <v>160</v>
      </c>
      <c r="H241" s="225">
        <f t="shared" si="464"/>
        <v>5751</v>
      </c>
      <c r="I241" s="226">
        <v>312</v>
      </c>
      <c r="J241" s="226">
        <v>333</v>
      </c>
      <c r="K241" s="226">
        <v>315</v>
      </c>
      <c r="L241" s="226">
        <v>466</v>
      </c>
      <c r="M241" s="226">
        <v>140</v>
      </c>
      <c r="N241" s="226">
        <v>323</v>
      </c>
      <c r="O241" s="226">
        <v>130</v>
      </c>
      <c r="P241" s="226">
        <v>465</v>
      </c>
      <c r="Q241" s="226">
        <v>358</v>
      </c>
      <c r="R241" s="226">
        <v>335</v>
      </c>
      <c r="S241" s="226">
        <v>120</v>
      </c>
      <c r="T241" s="226">
        <v>465</v>
      </c>
      <c r="U241" s="226">
        <v>335</v>
      </c>
      <c r="V241" s="226">
        <v>300</v>
      </c>
      <c r="W241" s="226">
        <v>520</v>
      </c>
      <c r="X241" s="226">
        <v>310</v>
      </c>
      <c r="Y241" s="226">
        <v>170</v>
      </c>
      <c r="Z241" s="227">
        <v>354</v>
      </c>
    </row>
    <row r="242" spans="1:26" ht="14.45" customHeight="1">
      <c r="A242" s="722"/>
      <c r="B242" s="719"/>
      <c r="C242" s="727"/>
      <c r="D242" s="712"/>
      <c r="E242" s="719"/>
      <c r="F242" s="719"/>
      <c r="G242" s="224" t="s">
        <v>138</v>
      </c>
      <c r="H242" s="228" t="str">
        <f t="shared" ref="H242" si="465">IF(I244="N/A","N/A",IF(COUNTIF(I242:Z242,"Y")/14=0,"N/A",COUNTIF(I242:Z242,"Y")/(COUNTIF(I242:Z242,"Y")+COUNTIF(I242:Z242,"N"))))</f>
        <v>N/A</v>
      </c>
      <c r="I242" s="226" t="s">
        <v>2</v>
      </c>
      <c r="J242" s="226" t="s">
        <v>2</v>
      </c>
      <c r="K242" s="226" t="s">
        <v>2</v>
      </c>
      <c r="L242" s="226" t="s">
        <v>2</v>
      </c>
      <c r="M242" s="226" t="s">
        <v>2</v>
      </c>
      <c r="N242" s="226" t="s">
        <v>2</v>
      </c>
      <c r="O242" s="226" t="s">
        <v>2</v>
      </c>
      <c r="P242" s="226" t="s">
        <v>2</v>
      </c>
      <c r="Q242" s="226" t="s">
        <v>2</v>
      </c>
      <c r="R242" s="226" t="s">
        <v>2</v>
      </c>
      <c r="S242" s="226" t="s">
        <v>2</v>
      </c>
      <c r="T242" s="226" t="s">
        <v>2</v>
      </c>
      <c r="U242" s="226" t="s">
        <v>2</v>
      </c>
      <c r="V242" s="226" t="s">
        <v>2</v>
      </c>
      <c r="W242" s="226" t="s">
        <v>2</v>
      </c>
      <c r="X242" s="226" t="s">
        <v>2</v>
      </c>
      <c r="Y242" s="226" t="s">
        <v>2</v>
      </c>
      <c r="Z242" s="227" t="s">
        <v>2</v>
      </c>
    </row>
    <row r="243" spans="1:26" ht="14.45" customHeight="1">
      <c r="A243" s="722"/>
      <c r="B243" s="719"/>
      <c r="C243" s="727"/>
      <c r="D243" s="712"/>
      <c r="E243" s="719"/>
      <c r="F243" s="719"/>
      <c r="G243" s="224" t="s">
        <v>145</v>
      </c>
      <c r="H243" s="228" t="str">
        <f t="shared" ref="H243" si="466">IFERROR(IF(I244="N/A","N/A",COUNTIF(I243:Z243,"Y")/(COUNTIF(I243:Z243,"Y")+COUNTIF(I243:Z243,"N"))),"N/A")</f>
        <v>N/A</v>
      </c>
      <c r="I243" s="226" t="s">
        <v>2</v>
      </c>
      <c r="J243" s="226" t="s">
        <v>2</v>
      </c>
      <c r="K243" s="226" t="s">
        <v>2</v>
      </c>
      <c r="L243" s="226" t="s">
        <v>2</v>
      </c>
      <c r="M243" s="226" t="s">
        <v>2</v>
      </c>
      <c r="N243" s="226" t="s">
        <v>2</v>
      </c>
      <c r="O243" s="226" t="s">
        <v>2</v>
      </c>
      <c r="P243" s="226" t="s">
        <v>2</v>
      </c>
      <c r="Q243" s="226" t="s">
        <v>2</v>
      </c>
      <c r="R243" s="226" t="s">
        <v>2</v>
      </c>
      <c r="S243" s="226" t="s">
        <v>2</v>
      </c>
      <c r="T243" s="226" t="s">
        <v>2</v>
      </c>
      <c r="U243" s="226" t="s">
        <v>2</v>
      </c>
      <c r="V243" s="226" t="s">
        <v>2</v>
      </c>
      <c r="W243" s="226" t="s">
        <v>2</v>
      </c>
      <c r="X243" s="226" t="s">
        <v>2</v>
      </c>
      <c r="Y243" s="226" t="s">
        <v>2</v>
      </c>
      <c r="Z243" s="227" t="s">
        <v>2</v>
      </c>
    </row>
    <row r="244" spans="1:26" ht="14.45" customHeight="1">
      <c r="A244" s="722"/>
      <c r="B244" s="719"/>
      <c r="C244" s="727"/>
      <c r="D244" s="712"/>
      <c r="E244" s="719"/>
      <c r="F244" s="719"/>
      <c r="G244" s="224" t="s">
        <v>139</v>
      </c>
      <c r="H244" s="226" t="str">
        <f t="shared" ref="H244" si="467">IF(I244="N/A","N/A",SUM(I244:Z244))</f>
        <v>N/A</v>
      </c>
      <c r="I244" s="226" t="s">
        <v>3</v>
      </c>
      <c r="J244" s="226" t="s">
        <v>3</v>
      </c>
      <c r="K244" s="226" t="s">
        <v>3</v>
      </c>
      <c r="L244" s="226" t="s">
        <v>3</v>
      </c>
      <c r="M244" s="226" t="s">
        <v>3</v>
      </c>
      <c r="N244" s="226" t="s">
        <v>3</v>
      </c>
      <c r="O244" s="226" t="s">
        <v>3</v>
      </c>
      <c r="P244" s="226" t="s">
        <v>3</v>
      </c>
      <c r="Q244" s="226" t="s">
        <v>3</v>
      </c>
      <c r="R244" s="226" t="s">
        <v>3</v>
      </c>
      <c r="S244" s="226" t="s">
        <v>3</v>
      </c>
      <c r="T244" s="226" t="s">
        <v>3</v>
      </c>
      <c r="U244" s="226" t="s">
        <v>3</v>
      </c>
      <c r="V244" s="226" t="s">
        <v>3</v>
      </c>
      <c r="W244" s="226" t="s">
        <v>3</v>
      </c>
      <c r="X244" s="226" t="s">
        <v>3</v>
      </c>
      <c r="Y244" s="226" t="s">
        <v>3</v>
      </c>
      <c r="Z244" s="227" t="s">
        <v>3</v>
      </c>
    </row>
    <row r="245" spans="1:26" ht="14.45" customHeight="1">
      <c r="A245" s="722"/>
      <c r="B245" s="719"/>
      <c r="C245" s="727"/>
      <c r="D245" s="712"/>
      <c r="E245" s="719"/>
      <c r="F245" s="719"/>
      <c r="G245" s="224" t="s">
        <v>67</v>
      </c>
      <c r="H245" s="229">
        <f t="shared" ref="H245" si="468">SUM(I245:Z245)</f>
        <v>120</v>
      </c>
      <c r="I245" s="226">
        <f t="shared" ref="I245:Z245" si="469">IF(I246="","",I240+I246)</f>
        <v>5</v>
      </c>
      <c r="J245" s="226">
        <f t="shared" si="469"/>
        <v>8</v>
      </c>
      <c r="K245" s="226">
        <f t="shared" si="469"/>
        <v>7</v>
      </c>
      <c r="L245" s="226">
        <f t="shared" si="469"/>
        <v>10</v>
      </c>
      <c r="M245" s="226">
        <f t="shared" si="469"/>
        <v>6</v>
      </c>
      <c r="N245" s="226">
        <f t="shared" si="469"/>
        <v>7</v>
      </c>
      <c r="O245" s="226">
        <f t="shared" si="469"/>
        <v>5</v>
      </c>
      <c r="P245" s="226">
        <f t="shared" si="469"/>
        <v>6</v>
      </c>
      <c r="Q245" s="226">
        <f t="shared" si="469"/>
        <v>5</v>
      </c>
      <c r="R245" s="226">
        <f t="shared" si="469"/>
        <v>8</v>
      </c>
      <c r="S245" s="226">
        <f t="shared" si="469"/>
        <v>4</v>
      </c>
      <c r="T245" s="226">
        <f t="shared" si="469"/>
        <v>7</v>
      </c>
      <c r="U245" s="226">
        <f t="shared" si="469"/>
        <v>5</v>
      </c>
      <c r="V245" s="226">
        <f t="shared" si="469"/>
        <v>8</v>
      </c>
      <c r="W245" s="226">
        <f t="shared" si="469"/>
        <v>10</v>
      </c>
      <c r="X245" s="226">
        <f t="shared" si="469"/>
        <v>7</v>
      </c>
      <c r="Y245" s="226">
        <f t="shared" si="469"/>
        <v>6</v>
      </c>
      <c r="Z245" s="227">
        <f t="shared" si="469"/>
        <v>6</v>
      </c>
    </row>
    <row r="246" spans="1:26" ht="14.45" customHeight="1">
      <c r="A246" s="723"/>
      <c r="B246" s="720"/>
      <c r="C246" s="728"/>
      <c r="D246" s="713"/>
      <c r="E246" s="720"/>
      <c r="F246" s="720"/>
      <c r="G246" s="230" t="s">
        <v>143</v>
      </c>
      <c r="H246" s="231" t="str">
        <f t="shared" ref="H246" si="470">IF(SUM(I246:Z246)&gt;0,"+"&amp;SUM(I246:Z246),SUM(I246:Z246))</f>
        <v>+48</v>
      </c>
      <c r="I246" s="233">
        <v>1</v>
      </c>
      <c r="J246" s="232">
        <v>4</v>
      </c>
      <c r="K246" s="231">
        <v>3</v>
      </c>
      <c r="L246" s="232">
        <v>5</v>
      </c>
      <c r="M246" s="232">
        <v>3</v>
      </c>
      <c r="N246" s="231">
        <v>3</v>
      </c>
      <c r="O246" s="231">
        <v>2</v>
      </c>
      <c r="P246" s="233">
        <v>1</v>
      </c>
      <c r="Q246" s="233">
        <v>1</v>
      </c>
      <c r="R246" s="232">
        <v>4</v>
      </c>
      <c r="S246" s="233">
        <v>1</v>
      </c>
      <c r="T246" s="231">
        <v>2</v>
      </c>
      <c r="U246" s="233">
        <v>1</v>
      </c>
      <c r="V246" s="232">
        <v>4</v>
      </c>
      <c r="W246" s="232">
        <v>5</v>
      </c>
      <c r="X246" s="231">
        <v>3</v>
      </c>
      <c r="Y246" s="232">
        <v>3</v>
      </c>
      <c r="Z246" s="234">
        <v>2</v>
      </c>
    </row>
    <row r="247" spans="1:26" ht="14.45" customHeight="1">
      <c r="A247" s="721">
        <v>36</v>
      </c>
      <c r="B247" s="724">
        <v>45892</v>
      </c>
      <c r="C247" s="726">
        <v>0.56319444444444444</v>
      </c>
      <c r="D247" s="711" t="s">
        <v>3520</v>
      </c>
      <c r="E247" s="714" t="s">
        <v>3522</v>
      </c>
      <c r="F247" s="729" t="s">
        <v>3523</v>
      </c>
      <c r="G247" s="221" t="s">
        <v>137</v>
      </c>
      <c r="H247" s="222">
        <f t="shared" ref="H247:H248" si="471">SUM(I247:Z247)</f>
        <v>72</v>
      </c>
      <c r="I247" s="222">
        <v>5</v>
      </c>
      <c r="J247" s="222">
        <v>3</v>
      </c>
      <c r="K247" s="222">
        <v>4</v>
      </c>
      <c r="L247" s="222">
        <v>4</v>
      </c>
      <c r="M247" s="222">
        <v>3</v>
      </c>
      <c r="N247" s="222">
        <v>4</v>
      </c>
      <c r="O247" s="222">
        <v>4</v>
      </c>
      <c r="P247" s="222">
        <v>5</v>
      </c>
      <c r="Q247" s="222">
        <v>4</v>
      </c>
      <c r="R247" s="222">
        <v>4</v>
      </c>
      <c r="S247" s="222">
        <v>3</v>
      </c>
      <c r="T247" s="222">
        <v>4</v>
      </c>
      <c r="U247" s="222">
        <v>5</v>
      </c>
      <c r="V247" s="222">
        <v>3</v>
      </c>
      <c r="W247" s="222">
        <v>4</v>
      </c>
      <c r="X247" s="222">
        <v>4</v>
      </c>
      <c r="Y247" s="222">
        <v>4</v>
      </c>
      <c r="Z247" s="223">
        <v>5</v>
      </c>
    </row>
    <row r="248" spans="1:26" ht="14.45" customHeight="1">
      <c r="A248" s="722"/>
      <c r="B248" s="725"/>
      <c r="C248" s="727"/>
      <c r="D248" s="712"/>
      <c r="E248" s="715"/>
      <c r="F248" s="730"/>
      <c r="G248" s="224" t="s">
        <v>160</v>
      </c>
      <c r="H248" s="225">
        <f t="shared" si="471"/>
        <v>5917</v>
      </c>
      <c r="I248" s="226">
        <v>459</v>
      </c>
      <c r="J248" s="226">
        <v>145</v>
      </c>
      <c r="K248" s="226">
        <v>290</v>
      </c>
      <c r="L248" s="226">
        <v>366</v>
      </c>
      <c r="M248" s="226">
        <v>161</v>
      </c>
      <c r="N248" s="226">
        <v>296</v>
      </c>
      <c r="O248" s="226">
        <v>359</v>
      </c>
      <c r="P248" s="226">
        <v>503</v>
      </c>
      <c r="Q248" s="226">
        <v>394</v>
      </c>
      <c r="R248" s="226">
        <v>331</v>
      </c>
      <c r="S248" s="226">
        <v>134</v>
      </c>
      <c r="T248" s="226">
        <v>328</v>
      </c>
      <c r="U248" s="226">
        <v>432</v>
      </c>
      <c r="V248" s="226">
        <v>155</v>
      </c>
      <c r="W248" s="226">
        <v>354</v>
      </c>
      <c r="X248" s="226">
        <v>348</v>
      </c>
      <c r="Y248" s="226">
        <v>388</v>
      </c>
      <c r="Z248" s="227">
        <v>474</v>
      </c>
    </row>
    <row r="249" spans="1:26" ht="14.45" customHeight="1">
      <c r="A249" s="722"/>
      <c r="B249" s="719"/>
      <c r="C249" s="727"/>
      <c r="D249" s="712"/>
      <c r="E249" s="715"/>
      <c r="F249" s="730"/>
      <c r="G249" s="224" t="s">
        <v>138</v>
      </c>
      <c r="H249" s="228" t="str">
        <f t="shared" ref="H249" si="472">IF(I251="N/A","N/A",IF(COUNTIF(I249:Z249,"Y")/14=0,"N/A",COUNTIF(I249:Z249,"Y")/(COUNTIF(I249:Z249,"Y")+COUNTIF(I249:Z249,"N"))))</f>
        <v>N/A</v>
      </c>
      <c r="I249" s="226" t="s">
        <v>2</v>
      </c>
      <c r="J249" s="226" t="s">
        <v>2</v>
      </c>
      <c r="K249" s="226" t="s">
        <v>2</v>
      </c>
      <c r="L249" s="226" t="s">
        <v>2</v>
      </c>
      <c r="M249" s="226" t="s">
        <v>2</v>
      </c>
      <c r="N249" s="226" t="s">
        <v>2</v>
      </c>
      <c r="O249" s="226" t="s">
        <v>2</v>
      </c>
      <c r="P249" s="226" t="s">
        <v>2</v>
      </c>
      <c r="Q249" s="226" t="s">
        <v>2</v>
      </c>
      <c r="R249" s="226" t="s">
        <v>2</v>
      </c>
      <c r="S249" s="226" t="s">
        <v>2</v>
      </c>
      <c r="T249" s="226" t="s">
        <v>2</v>
      </c>
      <c r="U249" s="226" t="s">
        <v>2</v>
      </c>
      <c r="V249" s="226" t="s">
        <v>2</v>
      </c>
      <c r="W249" s="226" t="s">
        <v>2</v>
      </c>
      <c r="X249" s="226" t="s">
        <v>2</v>
      </c>
      <c r="Y249" s="226" t="s">
        <v>2</v>
      </c>
      <c r="Z249" s="227" t="s">
        <v>2</v>
      </c>
    </row>
    <row r="250" spans="1:26" ht="14.45" customHeight="1">
      <c r="A250" s="722"/>
      <c r="B250" s="719"/>
      <c r="C250" s="727"/>
      <c r="D250" s="712"/>
      <c r="E250" s="715"/>
      <c r="F250" s="730"/>
      <c r="G250" s="224" t="s">
        <v>145</v>
      </c>
      <c r="H250" s="228" t="str">
        <f t="shared" ref="H250" si="473">IFERROR(IF(I251="N/A","N/A",COUNTIF(I250:Z250,"Y")/(COUNTIF(I250:Z250,"Y")+COUNTIF(I250:Z250,"N"))),"N/A")</f>
        <v>N/A</v>
      </c>
      <c r="I250" s="226" t="s">
        <v>2</v>
      </c>
      <c r="J250" s="226" t="s">
        <v>2</v>
      </c>
      <c r="K250" s="226" t="s">
        <v>2</v>
      </c>
      <c r="L250" s="226" t="s">
        <v>2</v>
      </c>
      <c r="M250" s="226" t="s">
        <v>2</v>
      </c>
      <c r="N250" s="226" t="s">
        <v>2</v>
      </c>
      <c r="O250" s="226" t="s">
        <v>2</v>
      </c>
      <c r="P250" s="226" t="s">
        <v>2</v>
      </c>
      <c r="Q250" s="226" t="s">
        <v>2</v>
      </c>
      <c r="R250" s="226" t="s">
        <v>2</v>
      </c>
      <c r="S250" s="226" t="s">
        <v>2</v>
      </c>
      <c r="T250" s="226" t="s">
        <v>2</v>
      </c>
      <c r="U250" s="226" t="s">
        <v>2</v>
      </c>
      <c r="V250" s="226" t="s">
        <v>2</v>
      </c>
      <c r="W250" s="226" t="s">
        <v>2</v>
      </c>
      <c r="X250" s="226" t="s">
        <v>2</v>
      </c>
      <c r="Y250" s="226" t="s">
        <v>2</v>
      </c>
      <c r="Z250" s="227" t="s">
        <v>2</v>
      </c>
    </row>
    <row r="251" spans="1:26" ht="14.45" customHeight="1">
      <c r="A251" s="722"/>
      <c r="B251" s="719"/>
      <c r="C251" s="727"/>
      <c r="D251" s="712"/>
      <c r="E251" s="715"/>
      <c r="F251" s="730"/>
      <c r="G251" s="224" t="s">
        <v>139</v>
      </c>
      <c r="H251" s="226" t="str">
        <f t="shared" ref="H251" si="474">IF(I251="N/A","N/A",SUM(I251:Z251))</f>
        <v>N/A</v>
      </c>
      <c r="I251" s="226" t="s">
        <v>3</v>
      </c>
      <c r="J251" s="226" t="s">
        <v>3</v>
      </c>
      <c r="K251" s="226" t="s">
        <v>3</v>
      </c>
      <c r="L251" s="226" t="s">
        <v>3</v>
      </c>
      <c r="M251" s="226" t="s">
        <v>3</v>
      </c>
      <c r="N251" s="226" t="s">
        <v>3</v>
      </c>
      <c r="O251" s="226" t="s">
        <v>3</v>
      </c>
      <c r="P251" s="226" t="s">
        <v>3</v>
      </c>
      <c r="Q251" s="226" t="s">
        <v>3</v>
      </c>
      <c r="R251" s="226" t="s">
        <v>3</v>
      </c>
      <c r="S251" s="226" t="s">
        <v>3</v>
      </c>
      <c r="T251" s="226" t="s">
        <v>3</v>
      </c>
      <c r="U251" s="226" t="s">
        <v>3</v>
      </c>
      <c r="V251" s="226" t="s">
        <v>3</v>
      </c>
      <c r="W251" s="226" t="s">
        <v>3</v>
      </c>
      <c r="X251" s="226" t="s">
        <v>3</v>
      </c>
      <c r="Y251" s="226" t="s">
        <v>3</v>
      </c>
      <c r="Z251" s="227" t="s">
        <v>3</v>
      </c>
    </row>
    <row r="252" spans="1:26" ht="14.45" customHeight="1">
      <c r="A252" s="722"/>
      <c r="B252" s="719"/>
      <c r="C252" s="727"/>
      <c r="D252" s="712"/>
      <c r="E252" s="715"/>
      <c r="F252" s="730"/>
      <c r="G252" s="224" t="s">
        <v>67</v>
      </c>
      <c r="H252" s="229">
        <f t="shared" ref="H252" si="475">SUM(I252:Z252)</f>
        <v>100</v>
      </c>
      <c r="I252" s="226">
        <f t="shared" ref="I252:Z252" si="476">IF(I253="","",I247+I253)</f>
        <v>7</v>
      </c>
      <c r="J252" s="226">
        <f t="shared" si="476"/>
        <v>6</v>
      </c>
      <c r="K252" s="226">
        <f t="shared" si="476"/>
        <v>7</v>
      </c>
      <c r="L252" s="226">
        <f t="shared" si="476"/>
        <v>6</v>
      </c>
      <c r="M252" s="226">
        <f t="shared" si="476"/>
        <v>4</v>
      </c>
      <c r="N252" s="226">
        <f t="shared" si="476"/>
        <v>5</v>
      </c>
      <c r="O252" s="226">
        <f t="shared" si="476"/>
        <v>5</v>
      </c>
      <c r="P252" s="226">
        <f t="shared" si="476"/>
        <v>8</v>
      </c>
      <c r="Q252" s="226">
        <f t="shared" si="476"/>
        <v>5</v>
      </c>
      <c r="R252" s="226">
        <f t="shared" si="476"/>
        <v>5</v>
      </c>
      <c r="S252" s="226">
        <f t="shared" si="476"/>
        <v>4</v>
      </c>
      <c r="T252" s="226">
        <f t="shared" si="476"/>
        <v>5</v>
      </c>
      <c r="U252" s="226">
        <f t="shared" si="476"/>
        <v>5</v>
      </c>
      <c r="V252" s="226">
        <f t="shared" si="476"/>
        <v>3</v>
      </c>
      <c r="W252" s="226">
        <f t="shared" si="476"/>
        <v>6</v>
      </c>
      <c r="X252" s="226">
        <f t="shared" si="476"/>
        <v>5</v>
      </c>
      <c r="Y252" s="226">
        <f t="shared" si="476"/>
        <v>5</v>
      </c>
      <c r="Z252" s="227">
        <f t="shared" si="476"/>
        <v>9</v>
      </c>
    </row>
    <row r="253" spans="1:26" ht="14.45" customHeight="1">
      <c r="A253" s="723"/>
      <c r="B253" s="720"/>
      <c r="C253" s="728"/>
      <c r="D253" s="713"/>
      <c r="E253" s="716"/>
      <c r="F253" s="731"/>
      <c r="G253" s="230" t="s">
        <v>143</v>
      </c>
      <c r="H253" s="231" t="str">
        <f t="shared" ref="H253" si="477">IF(SUM(I253:Z253)&gt;0,"+"&amp;SUM(I253:Z253),SUM(I253:Z253))</f>
        <v>+28</v>
      </c>
      <c r="I253" s="231">
        <v>2</v>
      </c>
      <c r="J253" s="232">
        <v>3</v>
      </c>
      <c r="K253" s="231">
        <v>3</v>
      </c>
      <c r="L253" s="231">
        <v>2</v>
      </c>
      <c r="M253" s="233">
        <v>1</v>
      </c>
      <c r="N253" s="233">
        <v>1</v>
      </c>
      <c r="O253" s="233">
        <v>1</v>
      </c>
      <c r="P253" s="231">
        <v>3</v>
      </c>
      <c r="Q253" s="233">
        <v>1</v>
      </c>
      <c r="R253" s="233">
        <v>1</v>
      </c>
      <c r="S253" s="233">
        <v>1</v>
      </c>
      <c r="T253" s="233">
        <v>1</v>
      </c>
      <c r="U253" s="235">
        <v>0</v>
      </c>
      <c r="V253" s="235">
        <v>0</v>
      </c>
      <c r="W253" s="231">
        <v>2</v>
      </c>
      <c r="X253" s="233">
        <v>1</v>
      </c>
      <c r="Y253" s="233">
        <v>1</v>
      </c>
      <c r="Z253" s="234">
        <v>4</v>
      </c>
    </row>
    <row r="254" spans="1:26" ht="14.45" customHeight="1">
      <c r="A254" s="721">
        <v>37</v>
      </c>
      <c r="B254" s="724">
        <v>46072</v>
      </c>
      <c r="C254" s="726">
        <v>0.42222222222222222</v>
      </c>
      <c r="D254" s="711" t="s">
        <v>3511</v>
      </c>
      <c r="E254" s="747" t="s">
        <v>277</v>
      </c>
      <c r="F254" s="729" t="s">
        <v>3513</v>
      </c>
      <c r="G254" s="221" t="s">
        <v>137</v>
      </c>
      <c r="H254" s="222">
        <f t="shared" ref="H254:H255" si="478">SUM(I254:Z254)</f>
        <v>72</v>
      </c>
      <c r="I254" s="222">
        <v>4</v>
      </c>
      <c r="J254" s="222">
        <v>3</v>
      </c>
      <c r="K254" s="222">
        <v>4</v>
      </c>
      <c r="L254" s="222">
        <v>4</v>
      </c>
      <c r="M254" s="222">
        <v>5</v>
      </c>
      <c r="N254" s="222">
        <v>4</v>
      </c>
      <c r="O254" s="222">
        <v>5</v>
      </c>
      <c r="P254" s="222">
        <v>3</v>
      </c>
      <c r="Q254" s="222">
        <v>4</v>
      </c>
      <c r="R254" s="222">
        <v>4</v>
      </c>
      <c r="S254" s="222">
        <v>4</v>
      </c>
      <c r="T254" s="222">
        <v>3</v>
      </c>
      <c r="U254" s="222">
        <v>5</v>
      </c>
      <c r="V254" s="222">
        <v>4</v>
      </c>
      <c r="W254" s="222">
        <v>3</v>
      </c>
      <c r="X254" s="222">
        <v>4</v>
      </c>
      <c r="Y254" s="222">
        <v>4</v>
      </c>
      <c r="Z254" s="223">
        <v>5</v>
      </c>
    </row>
    <row r="255" spans="1:26" ht="14.45" customHeight="1">
      <c r="A255" s="722"/>
      <c r="B255" s="725"/>
      <c r="C255" s="727"/>
      <c r="D255" s="712"/>
      <c r="E255" s="719"/>
      <c r="F255" s="730"/>
      <c r="G255" s="224" t="s">
        <v>160</v>
      </c>
      <c r="H255" s="225">
        <f t="shared" si="478"/>
        <v>5941</v>
      </c>
      <c r="I255" s="226">
        <v>343</v>
      </c>
      <c r="J255" s="226">
        <v>385</v>
      </c>
      <c r="K255" s="226">
        <v>161</v>
      </c>
      <c r="L255" s="226">
        <v>473</v>
      </c>
      <c r="M255" s="226">
        <v>351</v>
      </c>
      <c r="N255" s="226">
        <v>195</v>
      </c>
      <c r="O255" s="226">
        <v>357</v>
      </c>
      <c r="P255" s="226">
        <v>363</v>
      </c>
      <c r="Q255" s="226">
        <v>450</v>
      </c>
      <c r="R255" s="226">
        <v>357</v>
      </c>
      <c r="S255" s="226">
        <v>164</v>
      </c>
      <c r="T255" s="226">
        <v>320</v>
      </c>
      <c r="U255" s="226">
        <v>329</v>
      </c>
      <c r="V255" s="226">
        <v>415</v>
      </c>
      <c r="W255" s="226">
        <v>284</v>
      </c>
      <c r="X255" s="226">
        <v>476</v>
      </c>
      <c r="Y255" s="226">
        <v>186</v>
      </c>
      <c r="Z255" s="227">
        <v>332</v>
      </c>
    </row>
    <row r="256" spans="1:26" ht="14.45" customHeight="1">
      <c r="A256" s="722"/>
      <c r="B256" s="719"/>
      <c r="C256" s="727"/>
      <c r="D256" s="712"/>
      <c r="E256" s="719"/>
      <c r="F256" s="730"/>
      <c r="G256" s="224" t="s">
        <v>138</v>
      </c>
      <c r="H256" s="228" t="str">
        <f t="shared" ref="H256" si="479">IF(I258="N/A","N/A",IF(COUNTIF(I256:Z256,"Y")/14=0,"N/A",COUNTIF(I256:Z256,"Y")/(COUNTIF(I256:Z256,"Y")+COUNTIF(I256:Z256,"N"))))</f>
        <v>N/A</v>
      </c>
      <c r="I256" s="226" t="s">
        <v>2</v>
      </c>
      <c r="J256" s="226" t="s">
        <v>2</v>
      </c>
      <c r="K256" s="226" t="s">
        <v>2</v>
      </c>
      <c r="L256" s="226" t="s">
        <v>2</v>
      </c>
      <c r="M256" s="226" t="s">
        <v>2</v>
      </c>
      <c r="N256" s="226" t="s">
        <v>2</v>
      </c>
      <c r="O256" s="226" t="s">
        <v>2</v>
      </c>
      <c r="P256" s="226" t="s">
        <v>2</v>
      </c>
      <c r="Q256" s="226" t="s">
        <v>2</v>
      </c>
      <c r="R256" s="226" t="s">
        <v>2</v>
      </c>
      <c r="S256" s="226" t="s">
        <v>2</v>
      </c>
      <c r="T256" s="226" t="s">
        <v>2</v>
      </c>
      <c r="U256" s="226" t="s">
        <v>2</v>
      </c>
      <c r="V256" s="226" t="s">
        <v>2</v>
      </c>
      <c r="W256" s="226" t="s">
        <v>2</v>
      </c>
      <c r="X256" s="226" t="s">
        <v>2</v>
      </c>
      <c r="Y256" s="226" t="s">
        <v>2</v>
      </c>
      <c r="Z256" s="227" t="s">
        <v>2</v>
      </c>
    </row>
    <row r="257" spans="1:26" ht="14.45" customHeight="1">
      <c r="A257" s="722"/>
      <c r="B257" s="719"/>
      <c r="C257" s="727"/>
      <c r="D257" s="712"/>
      <c r="E257" s="719"/>
      <c r="F257" s="730"/>
      <c r="G257" s="224" t="s">
        <v>145</v>
      </c>
      <c r="H257" s="228" t="str">
        <f t="shared" ref="H257" si="480">IFERROR(IF(I258="N/A","N/A",COUNTIF(I257:Z257,"Y")/(COUNTIF(I257:Z257,"Y")+COUNTIF(I257:Z257,"N"))),"N/A")</f>
        <v>N/A</v>
      </c>
      <c r="I257" s="226" t="s">
        <v>2</v>
      </c>
      <c r="J257" s="226" t="s">
        <v>2</v>
      </c>
      <c r="K257" s="226" t="s">
        <v>2</v>
      </c>
      <c r="L257" s="226" t="s">
        <v>2</v>
      </c>
      <c r="M257" s="226" t="s">
        <v>2</v>
      </c>
      <c r="N257" s="226" t="s">
        <v>2</v>
      </c>
      <c r="O257" s="226" t="s">
        <v>2</v>
      </c>
      <c r="P257" s="226" t="s">
        <v>2</v>
      </c>
      <c r="Q257" s="226" t="s">
        <v>2</v>
      </c>
      <c r="R257" s="226" t="s">
        <v>2</v>
      </c>
      <c r="S257" s="226" t="s">
        <v>2</v>
      </c>
      <c r="T257" s="226" t="s">
        <v>2</v>
      </c>
      <c r="U257" s="226" t="s">
        <v>2</v>
      </c>
      <c r="V257" s="226" t="s">
        <v>2</v>
      </c>
      <c r="W257" s="226" t="s">
        <v>2</v>
      </c>
      <c r="X257" s="226" t="s">
        <v>2</v>
      </c>
      <c r="Y257" s="226" t="s">
        <v>2</v>
      </c>
      <c r="Z257" s="227" t="s">
        <v>2</v>
      </c>
    </row>
    <row r="258" spans="1:26" ht="14.45" customHeight="1">
      <c r="A258" s="722"/>
      <c r="B258" s="719"/>
      <c r="C258" s="727"/>
      <c r="D258" s="712"/>
      <c r="E258" s="719"/>
      <c r="F258" s="730"/>
      <c r="G258" s="224" t="s">
        <v>139</v>
      </c>
      <c r="H258" s="226" t="str">
        <f t="shared" ref="H258" si="481">IF(I258="N/A","N/A",SUM(I258:Z258))</f>
        <v>N/A</v>
      </c>
      <c r="I258" s="226" t="s">
        <v>3</v>
      </c>
      <c r="J258" s="226" t="s">
        <v>3</v>
      </c>
      <c r="K258" s="226" t="s">
        <v>3</v>
      </c>
      <c r="L258" s="226" t="s">
        <v>3</v>
      </c>
      <c r="M258" s="226" t="s">
        <v>3</v>
      </c>
      <c r="N258" s="226" t="s">
        <v>3</v>
      </c>
      <c r="O258" s="226" t="s">
        <v>3</v>
      </c>
      <c r="P258" s="226" t="s">
        <v>3</v>
      </c>
      <c r="Q258" s="226" t="s">
        <v>3</v>
      </c>
      <c r="R258" s="226" t="s">
        <v>3</v>
      </c>
      <c r="S258" s="226" t="s">
        <v>3</v>
      </c>
      <c r="T258" s="226" t="s">
        <v>3</v>
      </c>
      <c r="U258" s="226" t="s">
        <v>3</v>
      </c>
      <c r="V258" s="226" t="s">
        <v>3</v>
      </c>
      <c r="W258" s="226" t="s">
        <v>3</v>
      </c>
      <c r="X258" s="226" t="s">
        <v>3</v>
      </c>
      <c r="Y258" s="226" t="s">
        <v>3</v>
      </c>
      <c r="Z258" s="227" t="s">
        <v>3</v>
      </c>
    </row>
    <row r="259" spans="1:26" ht="14.45" customHeight="1">
      <c r="A259" s="722"/>
      <c r="B259" s="719"/>
      <c r="C259" s="727"/>
      <c r="D259" s="712"/>
      <c r="E259" s="719"/>
      <c r="F259" s="730"/>
      <c r="G259" s="224" t="s">
        <v>67</v>
      </c>
      <c r="H259" s="229">
        <f t="shared" ref="H259" si="482">SUM(I259:Z259)</f>
        <v>109</v>
      </c>
      <c r="I259" s="226">
        <f t="shared" ref="I259:Z259" si="483">IF(I260="","",I254+I260)</f>
        <v>7</v>
      </c>
      <c r="J259" s="226">
        <f t="shared" si="483"/>
        <v>6</v>
      </c>
      <c r="K259" s="226">
        <f t="shared" si="483"/>
        <v>7</v>
      </c>
      <c r="L259" s="226">
        <f t="shared" si="483"/>
        <v>5</v>
      </c>
      <c r="M259" s="226">
        <f t="shared" si="483"/>
        <v>7</v>
      </c>
      <c r="N259" s="226">
        <f t="shared" si="483"/>
        <v>5</v>
      </c>
      <c r="O259" s="226">
        <f t="shared" si="483"/>
        <v>9</v>
      </c>
      <c r="P259" s="226">
        <f t="shared" si="483"/>
        <v>4</v>
      </c>
      <c r="Q259" s="226">
        <f t="shared" si="483"/>
        <v>5</v>
      </c>
      <c r="R259" s="226">
        <f t="shared" si="483"/>
        <v>6</v>
      </c>
      <c r="S259" s="226">
        <f t="shared" si="483"/>
        <v>7</v>
      </c>
      <c r="T259" s="226">
        <f t="shared" si="483"/>
        <v>5</v>
      </c>
      <c r="U259" s="226">
        <f t="shared" si="483"/>
        <v>5</v>
      </c>
      <c r="V259" s="226">
        <f t="shared" si="483"/>
        <v>8</v>
      </c>
      <c r="W259" s="226">
        <f t="shared" si="483"/>
        <v>3</v>
      </c>
      <c r="X259" s="226">
        <f t="shared" si="483"/>
        <v>5</v>
      </c>
      <c r="Y259" s="226">
        <f t="shared" si="483"/>
        <v>7</v>
      </c>
      <c r="Z259" s="227">
        <f t="shared" si="483"/>
        <v>8</v>
      </c>
    </row>
    <row r="260" spans="1:26" ht="14.45" customHeight="1">
      <c r="A260" s="723"/>
      <c r="B260" s="720"/>
      <c r="C260" s="728"/>
      <c r="D260" s="713"/>
      <c r="E260" s="720"/>
      <c r="F260" s="731"/>
      <c r="G260" s="230" t="s">
        <v>143</v>
      </c>
      <c r="H260" s="231" t="str">
        <f t="shared" ref="H260" si="484">IF(SUM(I260:Z260)&gt;0,"+"&amp;SUM(I260:Z260),SUM(I260:Z260))</f>
        <v>+37</v>
      </c>
      <c r="I260" s="231">
        <v>3</v>
      </c>
      <c r="J260" s="232">
        <v>3</v>
      </c>
      <c r="K260" s="231">
        <v>3</v>
      </c>
      <c r="L260" s="233">
        <v>1</v>
      </c>
      <c r="M260" s="231">
        <v>2</v>
      </c>
      <c r="N260" s="233">
        <v>1</v>
      </c>
      <c r="O260" s="231">
        <v>4</v>
      </c>
      <c r="P260" s="233">
        <v>1</v>
      </c>
      <c r="Q260" s="233">
        <v>1</v>
      </c>
      <c r="R260" s="231">
        <v>2</v>
      </c>
      <c r="S260" s="231">
        <v>3</v>
      </c>
      <c r="T260" s="231">
        <v>2</v>
      </c>
      <c r="U260" s="235">
        <v>0</v>
      </c>
      <c r="V260" s="232">
        <v>4</v>
      </c>
      <c r="W260" s="235">
        <v>0</v>
      </c>
      <c r="X260" s="233">
        <v>1</v>
      </c>
      <c r="Y260" s="231">
        <v>3</v>
      </c>
      <c r="Z260" s="234">
        <v>3</v>
      </c>
    </row>
    <row r="261" spans="1:26" ht="14.45" customHeight="1">
      <c r="A261" s="721">
        <v>38</v>
      </c>
      <c r="B261" s="724"/>
      <c r="C261" s="726"/>
      <c r="D261" s="711"/>
      <c r="E261" s="714"/>
      <c r="F261" s="729"/>
      <c r="G261" s="221" t="s">
        <v>137</v>
      </c>
      <c r="H261" s="222">
        <f t="shared" ref="H261:H262" si="485">SUM(I261:Z261)</f>
        <v>0</v>
      </c>
      <c r="I261" s="222"/>
      <c r="J261" s="222"/>
      <c r="K261" s="222"/>
      <c r="L261" s="222"/>
      <c r="M261" s="222"/>
      <c r="N261" s="222"/>
      <c r="O261" s="222"/>
      <c r="P261" s="222"/>
      <c r="Q261" s="222"/>
      <c r="R261" s="222"/>
      <c r="S261" s="222"/>
      <c r="T261" s="222"/>
      <c r="U261" s="222"/>
      <c r="V261" s="222"/>
      <c r="W261" s="222"/>
      <c r="X261" s="222"/>
      <c r="Y261" s="222"/>
      <c r="Z261" s="223"/>
    </row>
    <row r="262" spans="1:26" ht="14.45" customHeight="1">
      <c r="A262" s="722"/>
      <c r="B262" s="725"/>
      <c r="C262" s="727"/>
      <c r="D262" s="712"/>
      <c r="E262" s="715"/>
      <c r="F262" s="730"/>
      <c r="G262" s="224" t="s">
        <v>160</v>
      </c>
      <c r="H262" s="225">
        <f t="shared" si="485"/>
        <v>0</v>
      </c>
      <c r="I262" s="226"/>
      <c r="J262" s="226"/>
      <c r="K262" s="226"/>
      <c r="L262" s="226"/>
      <c r="M262" s="226"/>
      <c r="N262" s="226"/>
      <c r="O262" s="226"/>
      <c r="P262" s="226"/>
      <c r="Q262" s="226"/>
      <c r="R262" s="226"/>
      <c r="S262" s="226"/>
      <c r="T262" s="226"/>
      <c r="U262" s="226"/>
      <c r="V262" s="226"/>
      <c r="W262" s="226"/>
      <c r="X262" s="226"/>
      <c r="Y262" s="226"/>
      <c r="Z262" s="227"/>
    </row>
    <row r="263" spans="1:26" ht="14.45" customHeight="1">
      <c r="A263" s="722"/>
      <c r="B263" s="719"/>
      <c r="C263" s="727"/>
      <c r="D263" s="712"/>
      <c r="E263" s="715"/>
      <c r="F263" s="730"/>
      <c r="G263" s="224" t="s">
        <v>138</v>
      </c>
      <c r="H263" s="228" t="str">
        <f t="shared" ref="H263" si="486">IF(I265="N/A","N/A",IF(COUNTIF(I263:Z263,"Y")/14=0,"N/A",COUNTIF(I263:Z263,"Y")/(COUNTIF(I263:Z263,"Y")+COUNTIF(I263:Z263,"N"))))</f>
        <v>N/A</v>
      </c>
      <c r="I263" s="226" t="s">
        <v>2</v>
      </c>
      <c r="J263" s="226" t="s">
        <v>2</v>
      </c>
      <c r="K263" s="226" t="s">
        <v>2</v>
      </c>
      <c r="L263" s="226" t="s">
        <v>2</v>
      </c>
      <c r="M263" s="226" t="s">
        <v>2</v>
      </c>
      <c r="N263" s="226" t="s">
        <v>2</v>
      </c>
      <c r="O263" s="226" t="s">
        <v>2</v>
      </c>
      <c r="P263" s="226" t="s">
        <v>2</v>
      </c>
      <c r="Q263" s="226" t="s">
        <v>2</v>
      </c>
      <c r="R263" s="226" t="s">
        <v>2</v>
      </c>
      <c r="S263" s="226" t="s">
        <v>2</v>
      </c>
      <c r="T263" s="226" t="s">
        <v>2</v>
      </c>
      <c r="U263" s="226" t="s">
        <v>2</v>
      </c>
      <c r="V263" s="226" t="s">
        <v>2</v>
      </c>
      <c r="W263" s="226" t="s">
        <v>2</v>
      </c>
      <c r="X263" s="226" t="s">
        <v>2</v>
      </c>
      <c r="Y263" s="226" t="s">
        <v>2</v>
      </c>
      <c r="Z263" s="227" t="s">
        <v>2</v>
      </c>
    </row>
    <row r="264" spans="1:26" ht="14.45" customHeight="1">
      <c r="A264" s="722"/>
      <c r="B264" s="719"/>
      <c r="C264" s="727"/>
      <c r="D264" s="712"/>
      <c r="E264" s="715"/>
      <c r="F264" s="730"/>
      <c r="G264" s="224" t="s">
        <v>145</v>
      </c>
      <c r="H264" s="228" t="str">
        <f t="shared" ref="H264" si="487">IFERROR(IF(I265="N/A","N/A",COUNTIF(I264:Z264,"Y")/(COUNTIF(I264:Z264,"Y")+COUNTIF(I264:Z264,"N"))),"N/A")</f>
        <v>N/A</v>
      </c>
      <c r="I264" s="226" t="s">
        <v>2</v>
      </c>
      <c r="J264" s="226" t="s">
        <v>2</v>
      </c>
      <c r="K264" s="226" t="s">
        <v>2</v>
      </c>
      <c r="L264" s="226" t="s">
        <v>2</v>
      </c>
      <c r="M264" s="226" t="s">
        <v>2</v>
      </c>
      <c r="N264" s="226" t="s">
        <v>2</v>
      </c>
      <c r="O264" s="226" t="s">
        <v>2</v>
      </c>
      <c r="P264" s="226" t="s">
        <v>2</v>
      </c>
      <c r="Q264" s="226" t="s">
        <v>2</v>
      </c>
      <c r="R264" s="226" t="s">
        <v>2</v>
      </c>
      <c r="S264" s="226" t="s">
        <v>2</v>
      </c>
      <c r="T264" s="226" t="s">
        <v>2</v>
      </c>
      <c r="U264" s="226" t="s">
        <v>2</v>
      </c>
      <c r="V264" s="226" t="s">
        <v>2</v>
      </c>
      <c r="W264" s="226" t="s">
        <v>2</v>
      </c>
      <c r="X264" s="226" t="s">
        <v>2</v>
      </c>
      <c r="Y264" s="226" t="s">
        <v>2</v>
      </c>
      <c r="Z264" s="227" t="s">
        <v>2</v>
      </c>
    </row>
    <row r="265" spans="1:26" ht="14.45" customHeight="1">
      <c r="A265" s="722"/>
      <c r="B265" s="719"/>
      <c r="C265" s="727"/>
      <c r="D265" s="712"/>
      <c r="E265" s="715"/>
      <c r="F265" s="730"/>
      <c r="G265" s="224" t="s">
        <v>139</v>
      </c>
      <c r="H265" s="226" t="str">
        <f t="shared" ref="H265" si="488">IF(I265="N/A","N/A",SUM(I265:Z265))</f>
        <v>N/A</v>
      </c>
      <c r="I265" s="226" t="s">
        <v>3</v>
      </c>
      <c r="J265" s="226" t="s">
        <v>3</v>
      </c>
      <c r="K265" s="226" t="s">
        <v>3</v>
      </c>
      <c r="L265" s="226" t="s">
        <v>3</v>
      </c>
      <c r="M265" s="226" t="s">
        <v>3</v>
      </c>
      <c r="N265" s="226" t="s">
        <v>3</v>
      </c>
      <c r="O265" s="226" t="s">
        <v>3</v>
      </c>
      <c r="P265" s="226" t="s">
        <v>3</v>
      </c>
      <c r="Q265" s="226" t="s">
        <v>3</v>
      </c>
      <c r="R265" s="226" t="s">
        <v>3</v>
      </c>
      <c r="S265" s="226" t="s">
        <v>3</v>
      </c>
      <c r="T265" s="226" t="s">
        <v>3</v>
      </c>
      <c r="U265" s="226" t="s">
        <v>3</v>
      </c>
      <c r="V265" s="226" t="s">
        <v>3</v>
      </c>
      <c r="W265" s="226" t="s">
        <v>3</v>
      </c>
      <c r="X265" s="226" t="s">
        <v>3</v>
      </c>
      <c r="Y265" s="226" t="s">
        <v>3</v>
      </c>
      <c r="Z265" s="227" t="s">
        <v>3</v>
      </c>
    </row>
    <row r="266" spans="1:26" ht="14.45" customHeight="1">
      <c r="A266" s="722"/>
      <c r="B266" s="719"/>
      <c r="C266" s="727"/>
      <c r="D266" s="712"/>
      <c r="E266" s="715"/>
      <c r="F266" s="730"/>
      <c r="G266" s="224" t="s">
        <v>67</v>
      </c>
      <c r="H266" s="229">
        <f t="shared" ref="H266" si="489">SUM(I266:Z266)</f>
        <v>0</v>
      </c>
      <c r="I266" s="226" t="str">
        <f t="shared" ref="I266:Z266" si="490">IF(I267="","",I261+I267)</f>
        <v/>
      </c>
      <c r="J266" s="226" t="str">
        <f t="shared" si="490"/>
        <v/>
      </c>
      <c r="K266" s="226" t="str">
        <f t="shared" si="490"/>
        <v/>
      </c>
      <c r="L266" s="226" t="str">
        <f t="shared" si="490"/>
        <v/>
      </c>
      <c r="M266" s="226" t="str">
        <f t="shared" si="490"/>
        <v/>
      </c>
      <c r="N266" s="226" t="str">
        <f t="shared" si="490"/>
        <v/>
      </c>
      <c r="O266" s="226" t="str">
        <f t="shared" si="490"/>
        <v/>
      </c>
      <c r="P266" s="226" t="str">
        <f t="shared" si="490"/>
        <v/>
      </c>
      <c r="Q266" s="226" t="str">
        <f t="shared" si="490"/>
        <v/>
      </c>
      <c r="R266" s="226" t="str">
        <f t="shared" si="490"/>
        <v/>
      </c>
      <c r="S266" s="226" t="str">
        <f t="shared" si="490"/>
        <v/>
      </c>
      <c r="T266" s="226" t="str">
        <f t="shared" si="490"/>
        <v/>
      </c>
      <c r="U266" s="226" t="str">
        <f t="shared" si="490"/>
        <v/>
      </c>
      <c r="V266" s="226" t="str">
        <f t="shared" si="490"/>
        <v/>
      </c>
      <c r="W266" s="226" t="str">
        <f t="shared" si="490"/>
        <v/>
      </c>
      <c r="X266" s="226" t="str">
        <f t="shared" si="490"/>
        <v/>
      </c>
      <c r="Y266" s="226" t="str">
        <f t="shared" si="490"/>
        <v/>
      </c>
      <c r="Z266" s="227" t="str">
        <f t="shared" si="490"/>
        <v/>
      </c>
    </row>
    <row r="267" spans="1:26" ht="14.45" customHeight="1">
      <c r="A267" s="723"/>
      <c r="B267" s="720"/>
      <c r="C267" s="728"/>
      <c r="D267" s="713"/>
      <c r="E267" s="716"/>
      <c r="F267" s="731"/>
      <c r="G267" s="230" t="s">
        <v>143</v>
      </c>
      <c r="H267" s="231">
        <f t="shared" ref="H267" si="491">IF(SUM(I267:Z267)&gt;0,"+"&amp;SUM(I267:Z267),SUM(I267:Z267))</f>
        <v>0</v>
      </c>
      <c r="I267" s="231"/>
      <c r="J267" s="231"/>
      <c r="K267" s="231"/>
      <c r="L267" s="231"/>
      <c r="M267" s="231"/>
      <c r="N267" s="231"/>
      <c r="O267" s="231"/>
      <c r="P267" s="231"/>
      <c r="Q267" s="231"/>
      <c r="R267" s="231"/>
      <c r="S267" s="231"/>
      <c r="T267" s="231"/>
      <c r="U267" s="231"/>
      <c r="V267" s="231"/>
      <c r="W267" s="231"/>
      <c r="X267" s="231"/>
      <c r="Y267" s="231"/>
      <c r="Z267" s="234"/>
    </row>
    <row r="268" spans="1:26" ht="14.45" customHeight="1">
      <c r="A268" s="721">
        <v>39</v>
      </c>
      <c r="B268" s="724"/>
      <c r="C268" s="726"/>
      <c r="D268" s="711"/>
      <c r="E268" s="747"/>
      <c r="F268" s="717"/>
      <c r="G268" s="221" t="s">
        <v>137</v>
      </c>
      <c r="H268" s="222">
        <f t="shared" ref="H268:H269" si="492">SUM(I268:Z268)</f>
        <v>0</v>
      </c>
      <c r="I268" s="222"/>
      <c r="J268" s="222"/>
      <c r="K268" s="222"/>
      <c r="L268" s="222"/>
      <c r="M268" s="222"/>
      <c r="N268" s="222"/>
      <c r="O268" s="222"/>
      <c r="P268" s="222"/>
      <c r="Q268" s="222"/>
      <c r="R268" s="222"/>
      <c r="S268" s="222"/>
      <c r="T268" s="222"/>
      <c r="U268" s="222"/>
      <c r="V268" s="222"/>
      <c r="W268" s="222"/>
      <c r="X268" s="222"/>
      <c r="Y268" s="222"/>
      <c r="Z268" s="223"/>
    </row>
    <row r="269" spans="1:26" ht="14.45" customHeight="1">
      <c r="A269" s="722"/>
      <c r="B269" s="725"/>
      <c r="C269" s="727"/>
      <c r="D269" s="712"/>
      <c r="E269" s="719"/>
      <c r="F269" s="718"/>
      <c r="G269" s="224" t="s">
        <v>160</v>
      </c>
      <c r="H269" s="225">
        <f t="shared" si="492"/>
        <v>0</v>
      </c>
      <c r="I269" s="226"/>
      <c r="J269" s="226"/>
      <c r="K269" s="226"/>
      <c r="L269" s="226"/>
      <c r="M269" s="226"/>
      <c r="N269" s="226"/>
      <c r="O269" s="226"/>
      <c r="P269" s="226"/>
      <c r="Q269" s="226"/>
      <c r="R269" s="226"/>
      <c r="S269" s="226"/>
      <c r="T269" s="226"/>
      <c r="U269" s="226"/>
      <c r="V269" s="226"/>
      <c r="W269" s="226"/>
      <c r="X269" s="226"/>
      <c r="Y269" s="226"/>
      <c r="Z269" s="227"/>
    </row>
    <row r="270" spans="1:26" ht="14.45" customHeight="1">
      <c r="A270" s="722"/>
      <c r="B270" s="719"/>
      <c r="C270" s="727"/>
      <c r="D270" s="712"/>
      <c r="E270" s="719"/>
      <c r="F270" s="719"/>
      <c r="G270" s="224" t="s">
        <v>138</v>
      </c>
      <c r="H270" s="228" t="str">
        <f t="shared" ref="H270" si="493">IF(I272="N/A","N/A",IF(COUNTIF(I270:Z270,"Y")/14=0,"N/A",COUNTIF(I270:Z270,"Y")/(COUNTIF(I270:Z270,"Y")+COUNTIF(I270:Z270,"N"))))</f>
        <v>N/A</v>
      </c>
      <c r="I270" s="226" t="s">
        <v>2</v>
      </c>
      <c r="J270" s="226" t="s">
        <v>2</v>
      </c>
      <c r="K270" s="226" t="s">
        <v>2</v>
      </c>
      <c r="L270" s="226" t="s">
        <v>2</v>
      </c>
      <c r="M270" s="226" t="s">
        <v>2</v>
      </c>
      <c r="N270" s="226" t="s">
        <v>2</v>
      </c>
      <c r="O270" s="226" t="s">
        <v>2</v>
      </c>
      <c r="P270" s="226" t="s">
        <v>2</v>
      </c>
      <c r="Q270" s="226" t="s">
        <v>2</v>
      </c>
      <c r="R270" s="226" t="s">
        <v>2</v>
      </c>
      <c r="S270" s="226" t="s">
        <v>2</v>
      </c>
      <c r="T270" s="226" t="s">
        <v>2</v>
      </c>
      <c r="U270" s="226" t="s">
        <v>2</v>
      </c>
      <c r="V270" s="226" t="s">
        <v>2</v>
      </c>
      <c r="W270" s="226" t="s">
        <v>2</v>
      </c>
      <c r="X270" s="226" t="s">
        <v>2</v>
      </c>
      <c r="Y270" s="226" t="s">
        <v>2</v>
      </c>
      <c r="Z270" s="227" t="s">
        <v>2</v>
      </c>
    </row>
    <row r="271" spans="1:26" ht="14.45" customHeight="1">
      <c r="A271" s="722"/>
      <c r="B271" s="719"/>
      <c r="C271" s="727"/>
      <c r="D271" s="712"/>
      <c r="E271" s="719"/>
      <c r="F271" s="719"/>
      <c r="G271" s="224" t="s">
        <v>145</v>
      </c>
      <c r="H271" s="228" t="str">
        <f t="shared" ref="H271" si="494">IFERROR(IF(I272="N/A","N/A",COUNTIF(I271:Z271,"Y")/(COUNTIF(I271:Z271,"Y")+COUNTIF(I271:Z271,"N"))),"N/A")</f>
        <v>N/A</v>
      </c>
      <c r="I271" s="226" t="s">
        <v>2</v>
      </c>
      <c r="J271" s="226" t="s">
        <v>2</v>
      </c>
      <c r="K271" s="226" t="s">
        <v>2</v>
      </c>
      <c r="L271" s="226" t="s">
        <v>2</v>
      </c>
      <c r="M271" s="226" t="s">
        <v>2</v>
      </c>
      <c r="N271" s="226" t="s">
        <v>2</v>
      </c>
      <c r="O271" s="226" t="s">
        <v>2</v>
      </c>
      <c r="P271" s="226" t="s">
        <v>2</v>
      </c>
      <c r="Q271" s="226" t="s">
        <v>2</v>
      </c>
      <c r="R271" s="226" t="s">
        <v>2</v>
      </c>
      <c r="S271" s="226" t="s">
        <v>2</v>
      </c>
      <c r="T271" s="226" t="s">
        <v>2</v>
      </c>
      <c r="U271" s="226" t="s">
        <v>2</v>
      </c>
      <c r="V271" s="226" t="s">
        <v>2</v>
      </c>
      <c r="W271" s="226" t="s">
        <v>2</v>
      </c>
      <c r="X271" s="226" t="s">
        <v>2</v>
      </c>
      <c r="Y271" s="226" t="s">
        <v>2</v>
      </c>
      <c r="Z271" s="227" t="s">
        <v>2</v>
      </c>
    </row>
    <row r="272" spans="1:26" ht="14.45" customHeight="1">
      <c r="A272" s="722"/>
      <c r="B272" s="719"/>
      <c r="C272" s="727"/>
      <c r="D272" s="712"/>
      <c r="E272" s="719"/>
      <c r="F272" s="719"/>
      <c r="G272" s="224" t="s">
        <v>139</v>
      </c>
      <c r="H272" s="226" t="str">
        <f t="shared" ref="H272" si="495">IF(I272="N/A","N/A",SUM(I272:Z272))</f>
        <v>N/A</v>
      </c>
      <c r="I272" s="226" t="s">
        <v>3</v>
      </c>
      <c r="J272" s="226" t="s">
        <v>3</v>
      </c>
      <c r="K272" s="226" t="s">
        <v>3</v>
      </c>
      <c r="L272" s="226" t="s">
        <v>3</v>
      </c>
      <c r="M272" s="226" t="s">
        <v>3</v>
      </c>
      <c r="N272" s="226" t="s">
        <v>3</v>
      </c>
      <c r="O272" s="226" t="s">
        <v>3</v>
      </c>
      <c r="P272" s="226" t="s">
        <v>3</v>
      </c>
      <c r="Q272" s="226" t="s">
        <v>3</v>
      </c>
      <c r="R272" s="226" t="s">
        <v>3</v>
      </c>
      <c r="S272" s="226" t="s">
        <v>3</v>
      </c>
      <c r="T272" s="226" t="s">
        <v>3</v>
      </c>
      <c r="U272" s="226" t="s">
        <v>3</v>
      </c>
      <c r="V272" s="226" t="s">
        <v>3</v>
      </c>
      <c r="W272" s="226" t="s">
        <v>3</v>
      </c>
      <c r="X272" s="226" t="s">
        <v>3</v>
      </c>
      <c r="Y272" s="226" t="s">
        <v>3</v>
      </c>
      <c r="Z272" s="227" t="s">
        <v>3</v>
      </c>
    </row>
    <row r="273" spans="1:26" ht="14.45" customHeight="1">
      <c r="A273" s="722"/>
      <c r="B273" s="719"/>
      <c r="C273" s="727"/>
      <c r="D273" s="712"/>
      <c r="E273" s="719"/>
      <c r="F273" s="719"/>
      <c r="G273" s="224" t="s">
        <v>67</v>
      </c>
      <c r="H273" s="229">
        <f t="shared" ref="H273" si="496">SUM(I273:Z273)</f>
        <v>0</v>
      </c>
      <c r="I273" s="226" t="str">
        <f t="shared" ref="I273:Z273" si="497">IF(I274="","",I268+I274)</f>
        <v/>
      </c>
      <c r="J273" s="226" t="str">
        <f t="shared" si="497"/>
        <v/>
      </c>
      <c r="K273" s="226" t="str">
        <f t="shared" si="497"/>
        <v/>
      </c>
      <c r="L273" s="226" t="str">
        <f t="shared" si="497"/>
        <v/>
      </c>
      <c r="M273" s="226" t="str">
        <f t="shared" si="497"/>
        <v/>
      </c>
      <c r="N273" s="226" t="str">
        <f t="shared" si="497"/>
        <v/>
      </c>
      <c r="O273" s="226" t="str">
        <f t="shared" si="497"/>
        <v/>
      </c>
      <c r="P273" s="226" t="str">
        <f t="shared" si="497"/>
        <v/>
      </c>
      <c r="Q273" s="226" t="str">
        <f t="shared" si="497"/>
        <v/>
      </c>
      <c r="R273" s="226" t="str">
        <f t="shared" si="497"/>
        <v/>
      </c>
      <c r="S273" s="226" t="str">
        <f t="shared" si="497"/>
        <v/>
      </c>
      <c r="T273" s="226" t="str">
        <f t="shared" si="497"/>
        <v/>
      </c>
      <c r="U273" s="226" t="str">
        <f t="shared" si="497"/>
        <v/>
      </c>
      <c r="V273" s="226" t="str">
        <f t="shared" si="497"/>
        <v/>
      </c>
      <c r="W273" s="226" t="str">
        <f t="shared" si="497"/>
        <v/>
      </c>
      <c r="X273" s="226" t="str">
        <f t="shared" si="497"/>
        <v/>
      </c>
      <c r="Y273" s="226" t="str">
        <f t="shared" si="497"/>
        <v/>
      </c>
      <c r="Z273" s="227" t="str">
        <f t="shared" si="497"/>
        <v/>
      </c>
    </row>
    <row r="274" spans="1:26" ht="14.45" customHeight="1">
      <c r="A274" s="723"/>
      <c r="B274" s="720"/>
      <c r="C274" s="728"/>
      <c r="D274" s="713"/>
      <c r="E274" s="720"/>
      <c r="F274" s="720"/>
      <c r="G274" s="230" t="s">
        <v>143</v>
      </c>
      <c r="H274" s="231">
        <f t="shared" ref="H274" si="498">IF(SUM(I274:Z274)&gt;0,"+"&amp;SUM(I274:Z274),SUM(I274:Z274))</f>
        <v>0</v>
      </c>
      <c r="I274" s="231"/>
      <c r="J274" s="231"/>
      <c r="K274" s="231"/>
      <c r="L274" s="231"/>
      <c r="M274" s="231"/>
      <c r="N274" s="231"/>
      <c r="O274" s="231"/>
      <c r="P274" s="231"/>
      <c r="Q274" s="231"/>
      <c r="R274" s="231"/>
      <c r="S274" s="231"/>
      <c r="T274" s="231"/>
      <c r="U274" s="231"/>
      <c r="V274" s="231"/>
      <c r="W274" s="231"/>
      <c r="X274" s="231"/>
      <c r="Y274" s="231"/>
      <c r="Z274" s="234"/>
    </row>
    <row r="275" spans="1:26" ht="14.45" customHeight="1">
      <c r="A275" s="721">
        <v>40</v>
      </c>
      <c r="B275" s="724"/>
      <c r="C275" s="726"/>
      <c r="D275" s="711"/>
      <c r="E275" s="747"/>
      <c r="F275" s="717"/>
      <c r="G275" s="221" t="s">
        <v>137</v>
      </c>
      <c r="H275" s="222">
        <f t="shared" si="407"/>
        <v>0</v>
      </c>
      <c r="I275" s="222"/>
      <c r="J275" s="222"/>
      <c r="K275" s="222"/>
      <c r="L275" s="222"/>
      <c r="M275" s="222"/>
      <c r="N275" s="222"/>
      <c r="O275" s="222"/>
      <c r="P275" s="222"/>
      <c r="Q275" s="222"/>
      <c r="R275" s="222"/>
      <c r="S275" s="222"/>
      <c r="T275" s="222"/>
      <c r="U275" s="222"/>
      <c r="V275" s="222"/>
      <c r="W275" s="222"/>
      <c r="X275" s="222"/>
      <c r="Y275" s="222"/>
      <c r="Z275" s="223"/>
    </row>
    <row r="276" spans="1:26" ht="14.45" customHeight="1">
      <c r="A276" s="722"/>
      <c r="B276" s="725"/>
      <c r="C276" s="727"/>
      <c r="D276" s="712"/>
      <c r="E276" s="719"/>
      <c r="F276" s="718"/>
      <c r="G276" s="224" t="s">
        <v>160</v>
      </c>
      <c r="H276" s="225">
        <f t="shared" si="407"/>
        <v>0</v>
      </c>
      <c r="I276" s="226"/>
      <c r="J276" s="226"/>
      <c r="K276" s="226"/>
      <c r="L276" s="226"/>
      <c r="M276" s="226"/>
      <c r="N276" s="226"/>
      <c r="O276" s="226"/>
      <c r="P276" s="226"/>
      <c r="Q276" s="226"/>
      <c r="R276" s="226"/>
      <c r="S276" s="226"/>
      <c r="T276" s="226"/>
      <c r="U276" s="226"/>
      <c r="V276" s="226"/>
      <c r="W276" s="226"/>
      <c r="X276" s="226"/>
      <c r="Y276" s="226"/>
      <c r="Z276" s="227"/>
    </row>
    <row r="277" spans="1:26" ht="14.45" customHeight="1">
      <c r="A277" s="722"/>
      <c r="B277" s="719"/>
      <c r="C277" s="727"/>
      <c r="D277" s="712"/>
      <c r="E277" s="719"/>
      <c r="F277" s="719"/>
      <c r="G277" s="224" t="s">
        <v>138</v>
      </c>
      <c r="H277" s="228" t="str">
        <f t="shared" si="408"/>
        <v>N/A</v>
      </c>
      <c r="I277" s="226" t="s">
        <v>2</v>
      </c>
      <c r="J277" s="226" t="s">
        <v>2</v>
      </c>
      <c r="K277" s="226" t="s">
        <v>2</v>
      </c>
      <c r="L277" s="226" t="s">
        <v>2</v>
      </c>
      <c r="M277" s="226" t="s">
        <v>2</v>
      </c>
      <c r="N277" s="226" t="s">
        <v>2</v>
      </c>
      <c r="O277" s="226" t="s">
        <v>2</v>
      </c>
      <c r="P277" s="226" t="s">
        <v>2</v>
      </c>
      <c r="Q277" s="226" t="s">
        <v>2</v>
      </c>
      <c r="R277" s="226" t="s">
        <v>2</v>
      </c>
      <c r="S277" s="226" t="s">
        <v>2</v>
      </c>
      <c r="T277" s="226" t="s">
        <v>2</v>
      </c>
      <c r="U277" s="226" t="s">
        <v>2</v>
      </c>
      <c r="V277" s="226" t="s">
        <v>2</v>
      </c>
      <c r="W277" s="226" t="s">
        <v>2</v>
      </c>
      <c r="X277" s="226" t="s">
        <v>2</v>
      </c>
      <c r="Y277" s="226" t="s">
        <v>2</v>
      </c>
      <c r="Z277" s="227" t="s">
        <v>2</v>
      </c>
    </row>
    <row r="278" spans="1:26" ht="14.45" customHeight="1">
      <c r="A278" s="722"/>
      <c r="B278" s="719"/>
      <c r="C278" s="727"/>
      <c r="D278" s="712"/>
      <c r="E278" s="719"/>
      <c r="F278" s="719"/>
      <c r="G278" s="224" t="s">
        <v>145</v>
      </c>
      <c r="H278" s="228" t="str">
        <f t="shared" ref="H278" si="499">IFERROR(IF(I279="N/A","N/A",COUNTIF(I278:Z278,"Y")/(COUNTIF(I278:Z278,"Y")+COUNTIF(I278:Z278,"N"))),"N/A")</f>
        <v>N/A</v>
      </c>
      <c r="I278" s="226" t="s">
        <v>2</v>
      </c>
      <c r="J278" s="226" t="s">
        <v>2</v>
      </c>
      <c r="K278" s="226" t="s">
        <v>2</v>
      </c>
      <c r="L278" s="226" t="s">
        <v>2</v>
      </c>
      <c r="M278" s="226" t="s">
        <v>2</v>
      </c>
      <c r="N278" s="226" t="s">
        <v>2</v>
      </c>
      <c r="O278" s="226" t="s">
        <v>2</v>
      </c>
      <c r="P278" s="226" t="s">
        <v>2</v>
      </c>
      <c r="Q278" s="226" t="s">
        <v>2</v>
      </c>
      <c r="R278" s="226" t="s">
        <v>2</v>
      </c>
      <c r="S278" s="226" t="s">
        <v>2</v>
      </c>
      <c r="T278" s="226" t="s">
        <v>2</v>
      </c>
      <c r="U278" s="226" t="s">
        <v>2</v>
      </c>
      <c r="V278" s="226" t="s">
        <v>2</v>
      </c>
      <c r="W278" s="226" t="s">
        <v>2</v>
      </c>
      <c r="X278" s="226" t="s">
        <v>2</v>
      </c>
      <c r="Y278" s="226" t="s">
        <v>2</v>
      </c>
      <c r="Z278" s="227" t="s">
        <v>2</v>
      </c>
    </row>
    <row r="279" spans="1:26" ht="14.45" customHeight="1">
      <c r="A279" s="722"/>
      <c r="B279" s="719"/>
      <c r="C279" s="727"/>
      <c r="D279" s="712"/>
      <c r="E279" s="719"/>
      <c r="F279" s="719"/>
      <c r="G279" s="224" t="s">
        <v>139</v>
      </c>
      <c r="H279" s="226" t="str">
        <f t="shared" si="410"/>
        <v>N/A</v>
      </c>
      <c r="I279" s="226" t="s">
        <v>3</v>
      </c>
      <c r="J279" s="226" t="s">
        <v>3</v>
      </c>
      <c r="K279" s="226" t="s">
        <v>3</v>
      </c>
      <c r="L279" s="226" t="s">
        <v>3</v>
      </c>
      <c r="M279" s="226" t="s">
        <v>3</v>
      </c>
      <c r="N279" s="226" t="s">
        <v>3</v>
      </c>
      <c r="O279" s="226" t="s">
        <v>3</v>
      </c>
      <c r="P279" s="226" t="s">
        <v>3</v>
      </c>
      <c r="Q279" s="226" t="s">
        <v>3</v>
      </c>
      <c r="R279" s="226" t="s">
        <v>3</v>
      </c>
      <c r="S279" s="226" t="s">
        <v>3</v>
      </c>
      <c r="T279" s="226" t="s">
        <v>3</v>
      </c>
      <c r="U279" s="226" t="s">
        <v>3</v>
      </c>
      <c r="V279" s="226" t="s">
        <v>3</v>
      </c>
      <c r="W279" s="226" t="s">
        <v>3</v>
      </c>
      <c r="X279" s="226" t="s">
        <v>3</v>
      </c>
      <c r="Y279" s="226" t="s">
        <v>3</v>
      </c>
      <c r="Z279" s="227" t="s">
        <v>3</v>
      </c>
    </row>
    <row r="280" spans="1:26" ht="14.45" customHeight="1">
      <c r="A280" s="722"/>
      <c r="B280" s="719"/>
      <c r="C280" s="727"/>
      <c r="D280" s="712"/>
      <c r="E280" s="719"/>
      <c r="F280" s="719"/>
      <c r="G280" s="224" t="s">
        <v>67</v>
      </c>
      <c r="H280" s="229">
        <f t="shared" si="411"/>
        <v>0</v>
      </c>
      <c r="I280" s="226" t="str">
        <f t="shared" ref="I280" si="500">IF(I281="","",I275+I281)</f>
        <v/>
      </c>
      <c r="J280" s="226" t="str">
        <f t="shared" ref="J280" si="501">IF(J281="","",J275+J281)</f>
        <v/>
      </c>
      <c r="K280" s="226" t="str">
        <f t="shared" ref="K280" si="502">IF(K281="","",K275+K281)</f>
        <v/>
      </c>
      <c r="L280" s="226" t="str">
        <f t="shared" ref="L280" si="503">IF(L281="","",L275+L281)</f>
        <v/>
      </c>
      <c r="M280" s="226" t="str">
        <f t="shared" ref="M280" si="504">IF(M281="","",M275+M281)</f>
        <v/>
      </c>
      <c r="N280" s="226" t="str">
        <f t="shared" ref="N280" si="505">IF(N281="","",N275+N281)</f>
        <v/>
      </c>
      <c r="O280" s="226" t="str">
        <f t="shared" ref="O280" si="506">IF(O281="","",O275+O281)</f>
        <v/>
      </c>
      <c r="P280" s="226" t="str">
        <f t="shared" ref="P280" si="507">IF(P281="","",P275+P281)</f>
        <v/>
      </c>
      <c r="Q280" s="226" t="str">
        <f t="shared" ref="Q280" si="508">IF(Q281="","",Q275+Q281)</f>
        <v/>
      </c>
      <c r="R280" s="226" t="str">
        <f t="shared" ref="R280" si="509">IF(R281="","",R275+R281)</f>
        <v/>
      </c>
      <c r="S280" s="226" t="str">
        <f t="shared" ref="S280" si="510">IF(S281="","",S275+S281)</f>
        <v/>
      </c>
      <c r="T280" s="226" t="str">
        <f t="shared" ref="T280" si="511">IF(T281="","",T275+T281)</f>
        <v/>
      </c>
      <c r="U280" s="226" t="str">
        <f t="shared" ref="U280" si="512">IF(U281="","",U275+U281)</f>
        <v/>
      </c>
      <c r="V280" s="226" t="str">
        <f t="shared" ref="V280" si="513">IF(V281="","",V275+V281)</f>
        <v/>
      </c>
      <c r="W280" s="226" t="str">
        <f t="shared" ref="W280" si="514">IF(W281="","",W275+W281)</f>
        <v/>
      </c>
      <c r="X280" s="226" t="str">
        <f t="shared" ref="X280" si="515">IF(X281="","",X275+X281)</f>
        <v/>
      </c>
      <c r="Y280" s="226" t="str">
        <f t="shared" ref="Y280" si="516">IF(Y281="","",Y275+Y281)</f>
        <v/>
      </c>
      <c r="Z280" s="227" t="str">
        <f t="shared" ref="Z280" si="517">IF(Z281="","",Z275+Z281)</f>
        <v/>
      </c>
    </row>
    <row r="281" spans="1:26" ht="14.45" customHeight="1">
      <c r="A281" s="723"/>
      <c r="B281" s="720"/>
      <c r="C281" s="728"/>
      <c r="D281" s="713"/>
      <c r="E281" s="720"/>
      <c r="F281" s="720"/>
      <c r="G281" s="230" t="s">
        <v>143</v>
      </c>
      <c r="H281" s="231">
        <f t="shared" si="430"/>
        <v>0</v>
      </c>
      <c r="I281" s="231"/>
      <c r="J281" s="231"/>
      <c r="K281" s="231"/>
      <c r="L281" s="231"/>
      <c r="M281" s="231"/>
      <c r="N281" s="231"/>
      <c r="O281" s="231"/>
      <c r="P281" s="231"/>
      <c r="Q281" s="231"/>
      <c r="R281" s="231"/>
      <c r="S281" s="231"/>
      <c r="T281" s="231"/>
      <c r="U281" s="231"/>
      <c r="V281" s="231"/>
      <c r="W281" s="231"/>
      <c r="X281" s="231"/>
      <c r="Y281" s="231"/>
      <c r="Z281" s="234"/>
    </row>
  </sheetData>
  <autoFilter ref="A1:AS281" xr:uid="{00000000-0009-0000-0000-000009000000}"/>
  <mergeCells count="240">
    <mergeCell ref="A233:A239"/>
    <mergeCell ref="B233:B239"/>
    <mergeCell ref="C233:C239"/>
    <mergeCell ref="D233:D239"/>
    <mergeCell ref="E233:E239"/>
    <mergeCell ref="F233:F239"/>
    <mergeCell ref="A240:A246"/>
    <mergeCell ref="B240:B246"/>
    <mergeCell ref="C240:C246"/>
    <mergeCell ref="D240:D246"/>
    <mergeCell ref="E240:E246"/>
    <mergeCell ref="F240:F246"/>
    <mergeCell ref="A247:A253"/>
    <mergeCell ref="B247:B253"/>
    <mergeCell ref="C247:C253"/>
    <mergeCell ref="D247:D253"/>
    <mergeCell ref="E247:E253"/>
    <mergeCell ref="F247:F253"/>
    <mergeCell ref="D268:D274"/>
    <mergeCell ref="E268:E274"/>
    <mergeCell ref="F268:F274"/>
    <mergeCell ref="A254:A260"/>
    <mergeCell ref="B254:B260"/>
    <mergeCell ref="C254:C260"/>
    <mergeCell ref="D254:D260"/>
    <mergeCell ref="E254:E260"/>
    <mergeCell ref="F254:F260"/>
    <mergeCell ref="A261:A267"/>
    <mergeCell ref="B261:B267"/>
    <mergeCell ref="C261:C267"/>
    <mergeCell ref="D261:D267"/>
    <mergeCell ref="E261:E267"/>
    <mergeCell ref="F261:F267"/>
    <mergeCell ref="D177:D183"/>
    <mergeCell ref="E177:E183"/>
    <mergeCell ref="F177:F183"/>
    <mergeCell ref="A184:A190"/>
    <mergeCell ref="B184:B190"/>
    <mergeCell ref="C184:C190"/>
    <mergeCell ref="D184:D190"/>
    <mergeCell ref="E184:E190"/>
    <mergeCell ref="F184:F190"/>
    <mergeCell ref="A128:A134"/>
    <mergeCell ref="B128:B134"/>
    <mergeCell ref="C128:C134"/>
    <mergeCell ref="D128:D134"/>
    <mergeCell ref="E128:E134"/>
    <mergeCell ref="F128:F134"/>
    <mergeCell ref="D156:D162"/>
    <mergeCell ref="E156:E162"/>
    <mergeCell ref="F156:F162"/>
    <mergeCell ref="D142:D148"/>
    <mergeCell ref="E142:E148"/>
    <mergeCell ref="F142:F148"/>
    <mergeCell ref="D149:D155"/>
    <mergeCell ref="E149:E155"/>
    <mergeCell ref="F149:F155"/>
    <mergeCell ref="A149:A155"/>
    <mergeCell ref="B149:B155"/>
    <mergeCell ref="C149:C155"/>
    <mergeCell ref="A156:A162"/>
    <mergeCell ref="B156:B162"/>
    <mergeCell ref="C156:C162"/>
    <mergeCell ref="A163:A169"/>
    <mergeCell ref="B163:B169"/>
    <mergeCell ref="C163:C169"/>
    <mergeCell ref="D163:D169"/>
    <mergeCell ref="E163:E169"/>
    <mergeCell ref="F163:F169"/>
    <mergeCell ref="A135:A141"/>
    <mergeCell ref="A114:A120"/>
    <mergeCell ref="B114:B120"/>
    <mergeCell ref="C114:C120"/>
    <mergeCell ref="D114:D120"/>
    <mergeCell ref="E114:E120"/>
    <mergeCell ref="F114:F120"/>
    <mergeCell ref="A121:A127"/>
    <mergeCell ref="B121:B127"/>
    <mergeCell ref="C121:C127"/>
    <mergeCell ref="D121:D127"/>
    <mergeCell ref="E121:E127"/>
    <mergeCell ref="F121:F127"/>
    <mergeCell ref="E135:E141"/>
    <mergeCell ref="F135:F141"/>
    <mergeCell ref="A142:A148"/>
    <mergeCell ref="B142:B148"/>
    <mergeCell ref="C142:C148"/>
    <mergeCell ref="A107:A113"/>
    <mergeCell ref="B107:B113"/>
    <mergeCell ref="C107:C113"/>
    <mergeCell ref="D107:D113"/>
    <mergeCell ref="E107:E113"/>
    <mergeCell ref="F107:F113"/>
    <mergeCell ref="A79:A85"/>
    <mergeCell ref="B79:B85"/>
    <mergeCell ref="C79:C85"/>
    <mergeCell ref="D79:D85"/>
    <mergeCell ref="E79:E85"/>
    <mergeCell ref="F79:F85"/>
    <mergeCell ref="A86:A92"/>
    <mergeCell ref="B86:B92"/>
    <mergeCell ref="C86:C92"/>
    <mergeCell ref="D86:D92"/>
    <mergeCell ref="E86:E92"/>
    <mergeCell ref="F86:F92"/>
    <mergeCell ref="A93:A99"/>
    <mergeCell ref="B93:B99"/>
    <mergeCell ref="C93:C99"/>
    <mergeCell ref="D93:D99"/>
    <mergeCell ref="E93:E99"/>
    <mergeCell ref="F93:F99"/>
    <mergeCell ref="A100:A106"/>
    <mergeCell ref="B100:B106"/>
    <mergeCell ref="C100:C106"/>
    <mergeCell ref="D100:D106"/>
    <mergeCell ref="E100:E106"/>
    <mergeCell ref="F100:F106"/>
    <mergeCell ref="A51:A57"/>
    <mergeCell ref="B51:B57"/>
    <mergeCell ref="C51:C57"/>
    <mergeCell ref="D51:D57"/>
    <mergeCell ref="E51:E57"/>
    <mergeCell ref="F51:F57"/>
    <mergeCell ref="B72:B78"/>
    <mergeCell ref="C72:C78"/>
    <mergeCell ref="D72:D78"/>
    <mergeCell ref="E72:E78"/>
    <mergeCell ref="F72:F78"/>
    <mergeCell ref="A65:A71"/>
    <mergeCell ref="B65:B71"/>
    <mergeCell ref="C65:C71"/>
    <mergeCell ref="D65:D71"/>
    <mergeCell ref="F16:F22"/>
    <mergeCell ref="A16:A22"/>
    <mergeCell ref="B16:B22"/>
    <mergeCell ref="C16:C22"/>
    <mergeCell ref="D16:D22"/>
    <mergeCell ref="E16:E22"/>
    <mergeCell ref="F23:F29"/>
    <mergeCell ref="A23:A29"/>
    <mergeCell ref="B23:B29"/>
    <mergeCell ref="C23:C29"/>
    <mergeCell ref="D23:D29"/>
    <mergeCell ref="E23:E29"/>
    <mergeCell ref="F9:F15"/>
    <mergeCell ref="A9:A15"/>
    <mergeCell ref="B9:B15"/>
    <mergeCell ref="C9:C15"/>
    <mergeCell ref="D9:D15"/>
    <mergeCell ref="E9:E15"/>
    <mergeCell ref="D2:D8"/>
    <mergeCell ref="E2:E8"/>
    <mergeCell ref="F2:F8"/>
    <mergeCell ref="A2:A8"/>
    <mergeCell ref="B2:B8"/>
    <mergeCell ref="C2:C8"/>
    <mergeCell ref="E37:E43"/>
    <mergeCell ref="F37:F43"/>
    <mergeCell ref="A30:A36"/>
    <mergeCell ref="B30:B36"/>
    <mergeCell ref="C30:C36"/>
    <mergeCell ref="D30:D36"/>
    <mergeCell ref="E30:E36"/>
    <mergeCell ref="F30:F36"/>
    <mergeCell ref="A37:A43"/>
    <mergeCell ref="B37:B43"/>
    <mergeCell ref="C37:C43"/>
    <mergeCell ref="D37:D43"/>
    <mergeCell ref="F44:F50"/>
    <mergeCell ref="A205:A211"/>
    <mergeCell ref="B205:B211"/>
    <mergeCell ref="C205:C211"/>
    <mergeCell ref="D205:D211"/>
    <mergeCell ref="E205:E211"/>
    <mergeCell ref="F205:F211"/>
    <mergeCell ref="A44:A50"/>
    <mergeCell ref="B44:B50"/>
    <mergeCell ref="C44:C50"/>
    <mergeCell ref="D44:D50"/>
    <mergeCell ref="E44:E50"/>
    <mergeCell ref="A58:A64"/>
    <mergeCell ref="B58:B64"/>
    <mergeCell ref="C58:C64"/>
    <mergeCell ref="D58:D64"/>
    <mergeCell ref="E58:E64"/>
    <mergeCell ref="F58:F64"/>
    <mergeCell ref="E65:E71"/>
    <mergeCell ref="F65:F71"/>
    <mergeCell ref="A72:A78"/>
    <mergeCell ref="B135:B141"/>
    <mergeCell ref="C135:C141"/>
    <mergeCell ref="D135:D141"/>
    <mergeCell ref="A275:A281"/>
    <mergeCell ref="B275:B281"/>
    <mergeCell ref="C275:C281"/>
    <mergeCell ref="D275:D281"/>
    <mergeCell ref="E275:E281"/>
    <mergeCell ref="F275:F281"/>
    <mergeCell ref="F212:F218"/>
    <mergeCell ref="A219:A225"/>
    <mergeCell ref="B219:B225"/>
    <mergeCell ref="C219:C225"/>
    <mergeCell ref="D219:D225"/>
    <mergeCell ref="E219:E225"/>
    <mergeCell ref="F219:F225"/>
    <mergeCell ref="A212:A218"/>
    <mergeCell ref="B212:B218"/>
    <mergeCell ref="C212:C218"/>
    <mergeCell ref="D212:D218"/>
    <mergeCell ref="E212:E218"/>
    <mergeCell ref="A268:A274"/>
    <mergeCell ref="B268:B274"/>
    <mergeCell ref="C268:C274"/>
    <mergeCell ref="A226:A232"/>
    <mergeCell ref="B226:B232"/>
    <mergeCell ref="C226:C232"/>
    <mergeCell ref="D226:D232"/>
    <mergeCell ref="E226:E232"/>
    <mergeCell ref="F226:F232"/>
    <mergeCell ref="A170:A176"/>
    <mergeCell ref="B170:B176"/>
    <mergeCell ref="C170:C176"/>
    <mergeCell ref="D170:D176"/>
    <mergeCell ref="E170:E176"/>
    <mergeCell ref="F170:F176"/>
    <mergeCell ref="A191:A197"/>
    <mergeCell ref="B191:B197"/>
    <mergeCell ref="C191:C197"/>
    <mergeCell ref="D191:D197"/>
    <mergeCell ref="E191:E197"/>
    <mergeCell ref="F191:F197"/>
    <mergeCell ref="A198:A204"/>
    <mergeCell ref="B198:B204"/>
    <mergeCell ref="C198:C204"/>
    <mergeCell ref="D198:D204"/>
    <mergeCell ref="E198:E204"/>
    <mergeCell ref="F198:F204"/>
    <mergeCell ref="A177:A183"/>
    <mergeCell ref="B177:B183"/>
    <mergeCell ref="C177:C183"/>
  </mergeCells>
  <phoneticPr fontId="5" type="noConversion"/>
  <dataValidations count="1">
    <dataValidation type="list" allowBlank="1" showInputMessage="1" showErrorMessage="1" sqref="I4:Z5 I11:Z12 I18:Z19 I32:Z33 I109:Z110 I39:Z40 I102:Z103 I95:Z96 I88:Z89 I25:Z26 I81:Z82 I46:Z47 I74:Z75 I60:Z61 I67:Z68 I53:Z54 I277:Z278 I123:Z124 I116:Z117 I130:Z131 I214:Z215 I221:Z222 I207:Z208 I165:Z166 I172:Z173 I158:Z159 I144:Z145 I151:Z152 I137:Z138 I228:Z229 I200:Z201 I193:Z194 I186:Z187 I179:Z180 I270:Z271 I263:Z264 I256:Z257 I249:Z250 I242:Z243 I235:Z236" xr:uid="{00000000-0002-0000-0900-000000000000}">
      <formula1>"Y,N,-"</formula1>
    </dataValidation>
  </dataValidations>
  <pageMargins left="0.7" right="0.7" top="0.75" bottom="0.75" header="0.3" footer="0.3"/>
  <pageSetup paperSize="9" scale="38" fitToHeight="0" orientation="portrait" verticalDpi="12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C43C-E15C-4B4A-936B-E87AD3AFB9D4}">
  <dimension ref="A1:M152"/>
  <sheetViews>
    <sheetView workbookViewId="0">
      <pane ySplit="1" topLeftCell="A17" activePane="bottomLeft" state="frozen"/>
      <selection activeCell="E8" sqref="E8"/>
      <selection pane="bottomLeft" activeCell="E23" sqref="E23:G33"/>
    </sheetView>
  </sheetViews>
  <sheetFormatPr defaultColWidth="8.75" defaultRowHeight="12"/>
  <cols>
    <col min="1" max="2" width="8.75" style="26"/>
    <col min="3" max="3" width="12.25" style="26" customWidth="1"/>
    <col min="4" max="4" width="15.875" style="26" customWidth="1"/>
    <col min="5" max="5" width="32.75" style="26" customWidth="1"/>
    <col min="6" max="7" width="8.75" style="26"/>
    <col min="8" max="9" width="8.75" style="255"/>
    <col min="10" max="11" width="7.625" style="26" customWidth="1"/>
    <col min="12" max="12" width="10.375" style="26" customWidth="1"/>
    <col min="13" max="13" width="10.375" style="258" customWidth="1"/>
    <col min="14" max="14" width="8.75" style="255"/>
    <col min="15" max="15" width="18.75" style="255" customWidth="1"/>
    <col min="16" max="16384" width="8.75" style="255"/>
  </cols>
  <sheetData>
    <row r="1" spans="1:13" ht="14.45" customHeight="1">
      <c r="A1" s="26" t="s">
        <v>1</v>
      </c>
      <c r="B1" s="26" t="s">
        <v>2051</v>
      </c>
      <c r="C1" s="26" t="s">
        <v>0</v>
      </c>
      <c r="D1" s="26" t="s">
        <v>2054</v>
      </c>
      <c r="E1" s="26" t="s">
        <v>2052</v>
      </c>
      <c r="F1" s="26" t="s">
        <v>2053</v>
      </c>
      <c r="G1" s="26" t="s">
        <v>143</v>
      </c>
      <c r="J1" s="26" t="s">
        <v>2073</v>
      </c>
      <c r="K1" s="26" t="s">
        <v>73</v>
      </c>
      <c r="L1" s="26" t="s">
        <v>2074</v>
      </c>
      <c r="M1" s="258" t="s">
        <v>2075</v>
      </c>
    </row>
    <row r="2" spans="1:13" ht="14.45" customHeight="1">
      <c r="A2" s="26">
        <f>IF(B2="","",ROW()-1)</f>
        <v>1</v>
      </c>
      <c r="B2" s="256" t="s">
        <v>2032</v>
      </c>
      <c r="C2" s="257">
        <v>44596</v>
      </c>
      <c r="D2" s="26" t="s">
        <v>1837</v>
      </c>
      <c r="E2" s="26" t="s">
        <v>2055</v>
      </c>
      <c r="F2" s="26">
        <v>114</v>
      </c>
      <c r="G2" s="26">
        <v>42</v>
      </c>
      <c r="J2" s="26">
        <v>2022</v>
      </c>
      <c r="K2" s="26">
        <f>COUNTIF($B$2:$B$89,"*"&amp;J2&amp;"*")-COUNTIFS($B$2:$B$89,"*"&amp;J2&amp;"*",$F$2:$F$89,"")</f>
        <v>11</v>
      </c>
      <c r="L2" s="27">
        <f>AVERAGEIF($B$2:$B$89,"*"&amp;J2&amp;"*",$F$2:$F$89)</f>
        <v>107.45454545454545</v>
      </c>
      <c r="M2" s="27">
        <f>AVERAGEIF($B$2:$B$89,"*"&amp;J2&amp;"*",$G$2:$G$89)</f>
        <v>35.454545454545453</v>
      </c>
    </row>
    <row r="3" spans="1:13" ht="14.45" customHeight="1">
      <c r="A3" s="26">
        <f t="shared" ref="A3:A54" si="0">IF(B3="","",ROW()-1)</f>
        <v>2</v>
      </c>
      <c r="B3" s="256" t="s">
        <v>2033</v>
      </c>
      <c r="C3" s="257">
        <v>44694</v>
      </c>
      <c r="D3" s="26" t="s">
        <v>152</v>
      </c>
      <c r="E3" s="26" t="s">
        <v>2056</v>
      </c>
      <c r="F3" s="26">
        <v>107</v>
      </c>
      <c r="G3" s="26">
        <v>35</v>
      </c>
      <c r="J3" s="26">
        <v>2023</v>
      </c>
      <c r="K3" s="26">
        <f>COUNTIF($B$2:$B$89,"*"&amp;J3&amp;"*")-COUNTIFS($B$2:$B$89,"*"&amp;J3&amp;"*",$F$2:$F$89,"")</f>
        <v>10</v>
      </c>
      <c r="L3" s="27">
        <f>AVERAGEIF($B$2:$B$89,"*"&amp;J3&amp;"*",$F$2:$F$89)</f>
        <v>104.5</v>
      </c>
      <c r="M3" s="27">
        <f>AVERAGEIF($B$2:$B$89,"*"&amp;J3&amp;"*",$G$2:$G$89)</f>
        <v>32.5</v>
      </c>
    </row>
    <row r="4" spans="1:13" ht="14.45" customHeight="1">
      <c r="A4" s="26">
        <f t="shared" si="0"/>
        <v>3</v>
      </c>
      <c r="B4" s="256" t="s">
        <v>2034</v>
      </c>
      <c r="C4" s="257">
        <v>44730</v>
      </c>
      <c r="D4" s="26" t="s">
        <v>150</v>
      </c>
      <c r="E4" s="26" t="s">
        <v>2057</v>
      </c>
      <c r="F4" s="26">
        <v>108</v>
      </c>
      <c r="G4" s="26">
        <v>36</v>
      </c>
      <c r="J4" s="26">
        <v>2024</v>
      </c>
      <c r="K4" s="26">
        <f>COUNTIF($B$2:$B$89,"*"&amp;J4&amp;"*")-COUNTIFS($B$2:$B$89,"*"&amp;J4&amp;"*",$F$2:$F$89,"")</f>
        <v>11</v>
      </c>
      <c r="L4" s="27">
        <f>AVERAGEIF($B$2:$B$89,"*"&amp;J4&amp;"*",$F$2:$F$89)</f>
        <v>102.36363636363636</v>
      </c>
      <c r="M4" s="27">
        <f>AVERAGEIF($B$2:$B$89,"*"&amp;J4&amp;"*",$G$2:$G$89)</f>
        <v>30.363636363636363</v>
      </c>
    </row>
    <row r="5" spans="1:13" ht="14.45" customHeight="1">
      <c r="A5" s="26">
        <f t="shared" si="0"/>
        <v>4</v>
      </c>
      <c r="B5" s="256" t="s">
        <v>2035</v>
      </c>
      <c r="C5" s="257">
        <v>44736</v>
      </c>
      <c r="D5" s="26" t="s">
        <v>158</v>
      </c>
      <c r="E5" s="26" t="s">
        <v>2058</v>
      </c>
      <c r="F5" s="26">
        <v>112</v>
      </c>
      <c r="G5" s="26">
        <v>40</v>
      </c>
      <c r="J5" s="26">
        <v>2025</v>
      </c>
      <c r="K5" s="26">
        <f>COUNTIF($B$2:$B$89,"*"&amp;J5&amp;"*")-COUNTIFS($B$2:$B$89,"*"&amp;J5&amp;"*",$F$2:$F$89,"")</f>
        <v>2</v>
      </c>
      <c r="L5" s="27">
        <f>AVERAGEIF($B$2:$B$89,"*"&amp;J5&amp;"*",$F$2:$F$89)</f>
        <v>110</v>
      </c>
      <c r="M5" s="27">
        <f>AVERAGEIF($B$2:$B$89,"*"&amp;J5&amp;"*",$G$2:$G$89)</f>
        <v>38</v>
      </c>
    </row>
    <row r="6" spans="1:13" ht="14.45" customHeight="1">
      <c r="A6" s="26">
        <f t="shared" si="0"/>
        <v>5</v>
      </c>
      <c r="B6" s="256" t="s">
        <v>2036</v>
      </c>
      <c r="C6" s="257">
        <v>44744</v>
      </c>
      <c r="D6" s="26" t="s">
        <v>156</v>
      </c>
      <c r="E6" s="26" t="s">
        <v>2059</v>
      </c>
      <c r="F6" s="26">
        <v>107</v>
      </c>
      <c r="G6" s="26">
        <v>35</v>
      </c>
      <c r="J6" s="26">
        <v>2026</v>
      </c>
      <c r="K6" s="26">
        <f>COUNTIF($B$2:$B$89,"*"&amp;J6&amp;"*")-COUNTIFS($B$2:$B$89,"*"&amp;J6&amp;"*",$F$2:$F$89,"")</f>
        <v>1</v>
      </c>
      <c r="L6" s="27">
        <f>AVERAGEIF($B$2:$B$89,"*"&amp;J6&amp;"*",$F$2:$F$89)</f>
        <v>109</v>
      </c>
      <c r="M6" s="27">
        <f>AVERAGEIF($B$2:$B$89,"*"&amp;J6&amp;"*",$G$2:$G$89)</f>
        <v>37</v>
      </c>
    </row>
    <row r="7" spans="1:13" ht="14.45" customHeight="1">
      <c r="A7" s="26">
        <f t="shared" si="0"/>
        <v>6</v>
      </c>
      <c r="B7" s="256" t="s">
        <v>2037</v>
      </c>
      <c r="C7" s="257">
        <v>44772</v>
      </c>
      <c r="D7" s="26" t="s">
        <v>151</v>
      </c>
      <c r="E7" s="26" t="s">
        <v>2060</v>
      </c>
      <c r="F7" s="26">
        <v>103</v>
      </c>
      <c r="G7" s="26">
        <v>31</v>
      </c>
    </row>
    <row r="8" spans="1:13" ht="14.45" customHeight="1">
      <c r="A8" s="26">
        <f t="shared" si="0"/>
        <v>7</v>
      </c>
      <c r="B8" s="256" t="s">
        <v>2038</v>
      </c>
      <c r="C8" s="257">
        <v>44778</v>
      </c>
      <c r="D8" s="26" t="s">
        <v>1849</v>
      </c>
      <c r="E8" s="26" t="s">
        <v>2061</v>
      </c>
      <c r="F8" s="26">
        <v>106</v>
      </c>
      <c r="G8" s="26">
        <v>34</v>
      </c>
    </row>
    <row r="9" spans="1:13" ht="14.45" customHeight="1">
      <c r="A9" s="26">
        <f t="shared" si="0"/>
        <v>8</v>
      </c>
      <c r="B9" s="256" t="s">
        <v>2039</v>
      </c>
      <c r="C9" s="257">
        <v>44812</v>
      </c>
      <c r="D9" s="26" t="s">
        <v>150</v>
      </c>
      <c r="E9" s="26" t="s">
        <v>2057</v>
      </c>
      <c r="F9" s="26">
        <v>108</v>
      </c>
      <c r="G9" s="26">
        <v>36</v>
      </c>
    </row>
    <row r="10" spans="1:13" ht="14.45" customHeight="1">
      <c r="A10" s="26">
        <f t="shared" si="0"/>
        <v>9</v>
      </c>
      <c r="B10" s="256" t="s">
        <v>2040</v>
      </c>
      <c r="C10" s="257">
        <v>44842</v>
      </c>
      <c r="D10" s="26" t="s">
        <v>175</v>
      </c>
      <c r="E10" s="26" t="s">
        <v>2062</v>
      </c>
      <c r="F10" s="26">
        <v>108</v>
      </c>
      <c r="G10" s="26">
        <v>36</v>
      </c>
    </row>
    <row r="11" spans="1:13" ht="14.45" customHeight="1">
      <c r="A11" s="26">
        <f t="shared" si="0"/>
        <v>10</v>
      </c>
      <c r="B11" s="256" t="s">
        <v>2029</v>
      </c>
      <c r="C11" s="257">
        <v>44863</v>
      </c>
      <c r="D11" s="26" t="s">
        <v>156</v>
      </c>
      <c r="E11" s="26" t="s">
        <v>2063</v>
      </c>
      <c r="F11" s="26">
        <v>101</v>
      </c>
      <c r="G11" s="26">
        <v>29</v>
      </c>
    </row>
    <row r="12" spans="1:13" ht="14.45" customHeight="1">
      <c r="A12" s="26">
        <f t="shared" si="0"/>
        <v>11</v>
      </c>
      <c r="B12" s="256" t="s">
        <v>2030</v>
      </c>
      <c r="C12" s="257">
        <v>44884</v>
      </c>
      <c r="D12" s="26" t="s">
        <v>178</v>
      </c>
      <c r="E12" s="26" t="s">
        <v>2064</v>
      </c>
      <c r="F12" s="26">
        <v>108</v>
      </c>
      <c r="G12" s="26">
        <v>36</v>
      </c>
    </row>
    <row r="13" spans="1:13" ht="14.45" customHeight="1">
      <c r="A13" s="26">
        <f t="shared" si="0"/>
        <v>12</v>
      </c>
      <c r="B13" s="256" t="s">
        <v>2031</v>
      </c>
      <c r="C13" s="257">
        <v>44940</v>
      </c>
      <c r="D13" s="26" t="s">
        <v>157</v>
      </c>
      <c r="E13" s="26" t="s">
        <v>2065</v>
      </c>
      <c r="F13" s="26">
        <v>101</v>
      </c>
      <c r="G13" s="26">
        <v>29</v>
      </c>
    </row>
    <row r="14" spans="1:13" ht="14.45" customHeight="1">
      <c r="A14" s="26">
        <f t="shared" si="0"/>
        <v>13</v>
      </c>
      <c r="B14" s="256" t="s">
        <v>2041</v>
      </c>
      <c r="C14" s="257">
        <v>44968</v>
      </c>
      <c r="D14" s="26" t="s">
        <v>157</v>
      </c>
      <c r="E14" s="26" t="s">
        <v>2066</v>
      </c>
      <c r="F14" s="26">
        <v>98</v>
      </c>
      <c r="G14" s="26">
        <v>26</v>
      </c>
    </row>
    <row r="15" spans="1:13" ht="14.45" customHeight="1">
      <c r="A15" s="26">
        <f t="shared" si="0"/>
        <v>14</v>
      </c>
      <c r="B15" s="256" t="s">
        <v>2042</v>
      </c>
      <c r="C15" s="257">
        <v>45031</v>
      </c>
      <c r="D15" s="26" t="s">
        <v>157</v>
      </c>
      <c r="E15" s="26" t="s">
        <v>2067</v>
      </c>
      <c r="F15" s="26">
        <v>111</v>
      </c>
      <c r="G15" s="26">
        <v>39</v>
      </c>
    </row>
    <row r="16" spans="1:13" ht="14.45" customHeight="1">
      <c r="A16" s="26">
        <f t="shared" si="0"/>
        <v>15</v>
      </c>
      <c r="B16" s="256" t="s">
        <v>2043</v>
      </c>
      <c r="C16" s="257">
        <v>45047</v>
      </c>
      <c r="D16" s="26" t="s">
        <v>150</v>
      </c>
      <c r="E16" s="26" t="s">
        <v>2068</v>
      </c>
      <c r="F16" s="26">
        <v>100</v>
      </c>
      <c r="G16" s="26">
        <v>28</v>
      </c>
    </row>
    <row r="17" spans="1:7" ht="14.45" customHeight="1">
      <c r="A17" s="26">
        <f t="shared" si="0"/>
        <v>16</v>
      </c>
      <c r="B17" s="256" t="s">
        <v>2044</v>
      </c>
      <c r="C17" s="257">
        <v>45057</v>
      </c>
      <c r="D17" s="26" t="s">
        <v>1868</v>
      </c>
      <c r="E17" s="26" t="s">
        <v>2069</v>
      </c>
      <c r="F17" s="26">
        <v>110</v>
      </c>
      <c r="G17" s="26">
        <v>38</v>
      </c>
    </row>
    <row r="18" spans="1:7" ht="14.45" customHeight="1">
      <c r="A18" s="26">
        <f t="shared" si="0"/>
        <v>17</v>
      </c>
      <c r="B18" s="256" t="s">
        <v>2045</v>
      </c>
      <c r="C18" s="257">
        <v>45101</v>
      </c>
      <c r="D18" s="26" t="s">
        <v>159</v>
      </c>
      <c r="E18" s="26" t="s">
        <v>2070</v>
      </c>
      <c r="F18" s="26">
        <v>104</v>
      </c>
      <c r="G18" s="26">
        <v>32</v>
      </c>
    </row>
    <row r="19" spans="1:7" ht="14.45" customHeight="1">
      <c r="A19" s="26">
        <f t="shared" si="0"/>
        <v>18</v>
      </c>
      <c r="B19" s="256" t="s">
        <v>2046</v>
      </c>
      <c r="C19" s="257">
        <v>45142</v>
      </c>
      <c r="D19" s="26" t="s">
        <v>159</v>
      </c>
      <c r="E19" s="26" t="s">
        <v>2067</v>
      </c>
      <c r="F19" s="26">
        <v>116</v>
      </c>
      <c r="G19" s="26">
        <v>44</v>
      </c>
    </row>
    <row r="20" spans="1:7" ht="14.45" customHeight="1">
      <c r="A20" s="26">
        <f t="shared" si="0"/>
        <v>19</v>
      </c>
      <c r="B20" s="256" t="s">
        <v>2047</v>
      </c>
      <c r="C20" s="257">
        <v>45213</v>
      </c>
      <c r="D20" s="26" t="s">
        <v>159</v>
      </c>
      <c r="E20" s="26" t="s">
        <v>2067</v>
      </c>
      <c r="F20" s="26">
        <v>96</v>
      </c>
      <c r="G20" s="26">
        <v>24</v>
      </c>
    </row>
    <row r="21" spans="1:7" ht="14.45" customHeight="1">
      <c r="A21" s="26">
        <f t="shared" si="0"/>
        <v>20</v>
      </c>
      <c r="B21" s="256" t="s">
        <v>2048</v>
      </c>
      <c r="C21" s="257">
        <v>45227</v>
      </c>
      <c r="D21" s="26" t="s">
        <v>1879</v>
      </c>
      <c r="E21" s="26" t="s">
        <v>2071</v>
      </c>
      <c r="F21" s="26">
        <v>105</v>
      </c>
      <c r="G21" s="26">
        <v>33</v>
      </c>
    </row>
    <row r="22" spans="1:7" ht="14.45" customHeight="1">
      <c r="A22" s="26">
        <f t="shared" si="0"/>
        <v>21</v>
      </c>
      <c r="B22" s="256" t="s">
        <v>2049</v>
      </c>
      <c r="C22" s="257">
        <v>45269</v>
      </c>
      <c r="D22" s="26" t="s">
        <v>1904</v>
      </c>
      <c r="E22" s="26" t="s">
        <v>2058</v>
      </c>
      <c r="F22" s="26">
        <v>104</v>
      </c>
      <c r="G22" s="26">
        <v>32</v>
      </c>
    </row>
    <row r="23" spans="1:7" ht="14.45" customHeight="1">
      <c r="A23" s="26">
        <f t="shared" si="0"/>
        <v>22</v>
      </c>
      <c r="B23" s="256" t="s">
        <v>2050</v>
      </c>
      <c r="C23" s="257">
        <v>45335</v>
      </c>
      <c r="D23" s="26" t="s">
        <v>1950</v>
      </c>
      <c r="E23" s="26" t="s">
        <v>2072</v>
      </c>
      <c r="F23" s="26">
        <v>115</v>
      </c>
      <c r="G23" s="26">
        <v>43</v>
      </c>
    </row>
    <row r="24" spans="1:7" ht="14.45" customHeight="1">
      <c r="A24" s="26">
        <f t="shared" si="0"/>
        <v>23</v>
      </c>
      <c r="B24" s="256" t="s">
        <v>2085</v>
      </c>
      <c r="C24" s="257">
        <v>45381</v>
      </c>
      <c r="D24" s="26" t="s">
        <v>159</v>
      </c>
      <c r="E24" s="26" t="s">
        <v>2086</v>
      </c>
      <c r="F24" s="26">
        <v>104</v>
      </c>
      <c r="G24" s="26">
        <v>32</v>
      </c>
    </row>
    <row r="25" spans="1:7" ht="14.45" customHeight="1">
      <c r="A25" s="26">
        <f t="shared" si="0"/>
        <v>24</v>
      </c>
      <c r="B25" s="256" t="s">
        <v>2100</v>
      </c>
      <c r="C25" s="257">
        <v>45395</v>
      </c>
      <c r="D25" s="26" t="s">
        <v>2091</v>
      </c>
      <c r="E25" s="26" t="s">
        <v>2104</v>
      </c>
      <c r="F25" s="26">
        <v>97</v>
      </c>
      <c r="G25" s="26">
        <v>25</v>
      </c>
    </row>
    <row r="26" spans="1:7" ht="14.45" customHeight="1">
      <c r="A26" s="26">
        <f t="shared" si="0"/>
        <v>25</v>
      </c>
      <c r="B26" s="256" t="s">
        <v>2106</v>
      </c>
      <c r="C26" s="257">
        <v>45427</v>
      </c>
      <c r="D26" s="26" t="s">
        <v>159</v>
      </c>
      <c r="E26" s="26" t="s">
        <v>2070</v>
      </c>
      <c r="F26" s="26">
        <v>104</v>
      </c>
      <c r="G26" s="26">
        <v>32</v>
      </c>
    </row>
    <row r="27" spans="1:7" ht="14.45" customHeight="1">
      <c r="A27" s="26">
        <f t="shared" si="0"/>
        <v>26</v>
      </c>
      <c r="B27" s="256" t="s">
        <v>2219</v>
      </c>
      <c r="C27" s="257">
        <v>45465</v>
      </c>
      <c r="D27" s="26" t="s">
        <v>159</v>
      </c>
      <c r="E27" s="26" t="s">
        <v>2067</v>
      </c>
      <c r="F27" s="26">
        <v>104</v>
      </c>
      <c r="G27" s="26">
        <v>32</v>
      </c>
    </row>
    <row r="28" spans="1:7" ht="14.45" customHeight="1">
      <c r="A28" s="26">
        <f t="shared" si="0"/>
        <v>27</v>
      </c>
      <c r="B28" s="256" t="s">
        <v>2220</v>
      </c>
      <c r="C28" s="257">
        <v>45514</v>
      </c>
      <c r="D28" s="26" t="s">
        <v>2283</v>
      </c>
      <c r="E28" s="26" t="s">
        <v>2282</v>
      </c>
      <c r="F28" s="28">
        <v>95</v>
      </c>
      <c r="G28" s="26">
        <v>23</v>
      </c>
    </row>
    <row r="29" spans="1:7" ht="14.45" customHeight="1">
      <c r="A29" s="26">
        <f t="shared" si="0"/>
        <v>28</v>
      </c>
      <c r="B29" s="256" t="s">
        <v>2221</v>
      </c>
      <c r="C29" s="257">
        <v>45520</v>
      </c>
      <c r="D29" s="26" t="s">
        <v>155</v>
      </c>
      <c r="E29" s="26" t="s">
        <v>277</v>
      </c>
      <c r="F29" s="26">
        <v>96</v>
      </c>
      <c r="G29" s="26">
        <v>24</v>
      </c>
    </row>
    <row r="30" spans="1:7" ht="14.45" customHeight="1">
      <c r="A30" s="26">
        <f t="shared" si="0"/>
        <v>29</v>
      </c>
      <c r="B30" s="256" t="s">
        <v>2222</v>
      </c>
      <c r="C30" s="257">
        <v>45554</v>
      </c>
      <c r="D30" s="26" t="s">
        <v>1950</v>
      </c>
      <c r="E30" s="26" t="s">
        <v>2411</v>
      </c>
      <c r="F30" s="26">
        <v>106</v>
      </c>
      <c r="G30" s="26">
        <v>34</v>
      </c>
    </row>
    <row r="31" spans="1:7" ht="14.45" customHeight="1">
      <c r="A31" s="26">
        <f t="shared" si="0"/>
        <v>30</v>
      </c>
      <c r="B31" s="256" t="s">
        <v>2410</v>
      </c>
      <c r="C31" s="257">
        <v>45574</v>
      </c>
      <c r="D31" s="26" t="s">
        <v>150</v>
      </c>
      <c r="E31" s="26" t="s">
        <v>2449</v>
      </c>
      <c r="F31" s="26">
        <v>99</v>
      </c>
      <c r="G31" s="26">
        <v>27</v>
      </c>
    </row>
    <row r="32" spans="1:7" ht="14.45" customHeight="1">
      <c r="A32" s="26">
        <f t="shared" si="0"/>
        <v>31</v>
      </c>
      <c r="B32" s="256" t="s">
        <v>2412</v>
      </c>
      <c r="C32" s="257">
        <v>45598</v>
      </c>
      <c r="D32" s="26" t="s">
        <v>159</v>
      </c>
      <c r="E32" s="26" t="s">
        <v>2086</v>
      </c>
      <c r="F32" s="26">
        <v>99</v>
      </c>
      <c r="G32" s="26">
        <v>27</v>
      </c>
    </row>
    <row r="33" spans="1:7" ht="14.45" customHeight="1">
      <c r="A33" s="26">
        <f t="shared" si="0"/>
        <v>32</v>
      </c>
      <c r="B33" s="256" t="s">
        <v>2413</v>
      </c>
      <c r="C33" s="257">
        <v>45619</v>
      </c>
      <c r="D33" s="26" t="s">
        <v>148</v>
      </c>
      <c r="E33" s="26" t="s">
        <v>2065</v>
      </c>
      <c r="F33" s="26">
        <v>107</v>
      </c>
      <c r="G33" s="26">
        <v>35</v>
      </c>
    </row>
    <row r="34" spans="1:7" ht="14.45" customHeight="1">
      <c r="A34" s="26">
        <f t="shared" si="0"/>
        <v>33</v>
      </c>
      <c r="B34" s="256" t="s">
        <v>3524</v>
      </c>
      <c r="C34" s="257">
        <v>45737</v>
      </c>
      <c r="D34" s="26" t="s">
        <v>3514</v>
      </c>
      <c r="E34" s="26" t="s">
        <v>3516</v>
      </c>
      <c r="F34" s="259">
        <v>120</v>
      </c>
      <c r="G34" s="26">
        <v>48</v>
      </c>
    </row>
    <row r="35" spans="1:7" ht="14.45" customHeight="1">
      <c r="A35" s="26">
        <f t="shared" si="0"/>
        <v>34</v>
      </c>
      <c r="B35" s="256" t="s">
        <v>3525</v>
      </c>
      <c r="C35" s="257">
        <v>45892</v>
      </c>
      <c r="D35" s="26" t="s">
        <v>3519</v>
      </c>
      <c r="E35" s="26" t="s">
        <v>3521</v>
      </c>
      <c r="F35" s="26">
        <v>100</v>
      </c>
      <c r="G35" s="26">
        <v>28</v>
      </c>
    </row>
    <row r="36" spans="1:7" ht="14.45" customHeight="1">
      <c r="A36" s="26">
        <f t="shared" si="0"/>
        <v>35</v>
      </c>
      <c r="B36" s="256" t="s">
        <v>3526</v>
      </c>
      <c r="C36" s="257">
        <v>46072</v>
      </c>
      <c r="D36" s="26" t="s">
        <v>3510</v>
      </c>
      <c r="E36" s="26" t="s">
        <v>3512</v>
      </c>
      <c r="F36" s="26">
        <v>109</v>
      </c>
      <c r="G36" s="26">
        <v>37</v>
      </c>
    </row>
    <row r="37" spans="1:7" ht="14.45" customHeight="1">
      <c r="A37" s="26" t="str">
        <f t="shared" si="0"/>
        <v/>
      </c>
      <c r="C37" s="257"/>
    </row>
    <row r="38" spans="1:7" ht="14.45" customHeight="1">
      <c r="A38" s="26" t="str">
        <f t="shared" si="0"/>
        <v/>
      </c>
      <c r="C38" s="257"/>
    </row>
    <row r="39" spans="1:7" ht="14.45" customHeight="1">
      <c r="A39" s="26" t="str">
        <f t="shared" si="0"/>
        <v/>
      </c>
      <c r="C39" s="257"/>
    </row>
    <row r="40" spans="1:7" ht="14.45" customHeight="1">
      <c r="A40" s="26" t="str">
        <f t="shared" si="0"/>
        <v/>
      </c>
      <c r="C40" s="257"/>
    </row>
    <row r="41" spans="1:7" ht="14.45" customHeight="1">
      <c r="A41" s="26" t="str">
        <f t="shared" si="0"/>
        <v/>
      </c>
      <c r="C41" s="257"/>
    </row>
    <row r="42" spans="1:7" ht="14.45" customHeight="1">
      <c r="A42" s="26" t="str">
        <f t="shared" si="0"/>
        <v/>
      </c>
      <c r="C42" s="257"/>
    </row>
    <row r="43" spans="1:7" ht="14.45" customHeight="1">
      <c r="A43" s="26" t="str">
        <f t="shared" si="0"/>
        <v/>
      </c>
      <c r="C43" s="257"/>
    </row>
    <row r="44" spans="1:7" ht="14.45" customHeight="1">
      <c r="A44" s="26" t="str">
        <f t="shared" si="0"/>
        <v/>
      </c>
      <c r="C44" s="257"/>
    </row>
    <row r="45" spans="1:7" ht="14.45" customHeight="1">
      <c r="A45" s="26" t="str">
        <f t="shared" si="0"/>
        <v/>
      </c>
      <c r="C45" s="257"/>
    </row>
    <row r="46" spans="1:7" ht="14.45" customHeight="1">
      <c r="A46" s="26" t="str">
        <f t="shared" si="0"/>
        <v/>
      </c>
      <c r="C46" s="257"/>
    </row>
    <row r="47" spans="1:7" ht="14.45" customHeight="1">
      <c r="A47" s="26" t="str">
        <f t="shared" si="0"/>
        <v/>
      </c>
      <c r="C47" s="257"/>
    </row>
    <row r="48" spans="1:7" ht="14.45" customHeight="1">
      <c r="A48" s="26" t="str">
        <f t="shared" si="0"/>
        <v/>
      </c>
      <c r="C48" s="257"/>
    </row>
    <row r="49" spans="1:3" ht="14.45" customHeight="1">
      <c r="A49" s="26" t="str">
        <f t="shared" si="0"/>
        <v/>
      </c>
      <c r="C49" s="257"/>
    </row>
    <row r="50" spans="1:3" ht="14.45" customHeight="1">
      <c r="A50" s="26" t="str">
        <f t="shared" si="0"/>
        <v/>
      </c>
      <c r="C50" s="257"/>
    </row>
    <row r="51" spans="1:3" ht="14.45" customHeight="1">
      <c r="A51" s="26" t="str">
        <f t="shared" si="0"/>
        <v/>
      </c>
      <c r="C51" s="257"/>
    </row>
    <row r="52" spans="1:3" ht="14.45" customHeight="1">
      <c r="A52" s="26" t="str">
        <f t="shared" si="0"/>
        <v/>
      </c>
      <c r="C52" s="257"/>
    </row>
    <row r="53" spans="1:3" ht="14.45" customHeight="1">
      <c r="A53" s="26" t="str">
        <f t="shared" si="0"/>
        <v/>
      </c>
      <c r="C53" s="257"/>
    </row>
    <row r="54" spans="1:3" ht="14.45" customHeight="1">
      <c r="A54" s="26" t="str">
        <f t="shared" si="0"/>
        <v/>
      </c>
      <c r="C54" s="257"/>
    </row>
    <row r="55" spans="1:3" ht="14.45" customHeight="1">
      <c r="A55" s="26" t="str">
        <f t="shared" ref="A55:A89" si="1">IF(B55="","",ROW()-1)</f>
        <v/>
      </c>
      <c r="C55" s="257"/>
    </row>
    <row r="56" spans="1:3" ht="14.45" customHeight="1">
      <c r="A56" s="26" t="str">
        <f t="shared" si="1"/>
        <v/>
      </c>
      <c r="C56" s="257"/>
    </row>
    <row r="57" spans="1:3" ht="14.45" customHeight="1">
      <c r="A57" s="26" t="str">
        <f t="shared" si="1"/>
        <v/>
      </c>
      <c r="C57" s="257"/>
    </row>
    <row r="58" spans="1:3" ht="14.45" customHeight="1">
      <c r="A58" s="26" t="str">
        <f t="shared" si="1"/>
        <v/>
      </c>
      <c r="C58" s="257"/>
    </row>
    <row r="59" spans="1:3" ht="14.45" customHeight="1">
      <c r="A59" s="26" t="str">
        <f t="shared" si="1"/>
        <v/>
      </c>
      <c r="C59" s="257"/>
    </row>
    <row r="60" spans="1:3" ht="14.45" customHeight="1">
      <c r="A60" s="26" t="str">
        <f t="shared" si="1"/>
        <v/>
      </c>
      <c r="C60" s="257"/>
    </row>
    <row r="61" spans="1:3" ht="14.45" customHeight="1">
      <c r="A61" s="26" t="str">
        <f t="shared" si="1"/>
        <v/>
      </c>
      <c r="C61" s="257"/>
    </row>
    <row r="62" spans="1:3" ht="14.45" customHeight="1">
      <c r="A62" s="26" t="str">
        <f t="shared" si="1"/>
        <v/>
      </c>
      <c r="C62" s="257"/>
    </row>
    <row r="63" spans="1:3" ht="14.45" customHeight="1">
      <c r="A63" s="26" t="str">
        <f t="shared" si="1"/>
        <v/>
      </c>
      <c r="C63" s="257"/>
    </row>
    <row r="64" spans="1:3" ht="14.45" customHeight="1">
      <c r="A64" s="26" t="str">
        <f t="shared" si="1"/>
        <v/>
      </c>
      <c r="C64" s="257"/>
    </row>
    <row r="65" spans="1:3" ht="14.45" customHeight="1">
      <c r="A65" s="26" t="str">
        <f t="shared" si="1"/>
        <v/>
      </c>
      <c r="C65" s="257"/>
    </row>
    <row r="66" spans="1:3" ht="14.45" customHeight="1">
      <c r="A66" s="26" t="str">
        <f t="shared" si="1"/>
        <v/>
      </c>
      <c r="C66" s="257"/>
    </row>
    <row r="67" spans="1:3" ht="14.45" customHeight="1">
      <c r="A67" s="26" t="str">
        <f t="shared" si="1"/>
        <v/>
      </c>
      <c r="C67" s="257"/>
    </row>
    <row r="68" spans="1:3" ht="14.45" customHeight="1">
      <c r="A68" s="26" t="str">
        <f t="shared" si="1"/>
        <v/>
      </c>
      <c r="C68" s="257"/>
    </row>
    <row r="69" spans="1:3" ht="14.45" customHeight="1">
      <c r="A69" s="26" t="str">
        <f t="shared" si="1"/>
        <v/>
      </c>
      <c r="C69" s="257"/>
    </row>
    <row r="70" spans="1:3" ht="14.45" customHeight="1">
      <c r="A70" s="26" t="str">
        <f t="shared" si="1"/>
        <v/>
      </c>
      <c r="C70" s="257"/>
    </row>
    <row r="71" spans="1:3" ht="14.45" customHeight="1">
      <c r="A71" s="26" t="str">
        <f t="shared" si="1"/>
        <v/>
      </c>
      <c r="C71" s="257"/>
    </row>
    <row r="72" spans="1:3" ht="14.45" customHeight="1">
      <c r="A72" s="26" t="str">
        <f t="shared" si="1"/>
        <v/>
      </c>
      <c r="C72" s="257"/>
    </row>
    <row r="73" spans="1:3" ht="14.45" customHeight="1">
      <c r="A73" s="26" t="str">
        <f t="shared" si="1"/>
        <v/>
      </c>
      <c r="C73" s="257"/>
    </row>
    <row r="74" spans="1:3" ht="14.45" customHeight="1">
      <c r="A74" s="26" t="str">
        <f t="shared" si="1"/>
        <v/>
      </c>
      <c r="C74" s="257"/>
    </row>
    <row r="75" spans="1:3" ht="14.45" customHeight="1">
      <c r="A75" s="26" t="str">
        <f t="shared" si="1"/>
        <v/>
      </c>
      <c r="C75" s="257"/>
    </row>
    <row r="76" spans="1:3" ht="14.45" customHeight="1">
      <c r="A76" s="26" t="str">
        <f t="shared" si="1"/>
        <v/>
      </c>
      <c r="C76" s="257"/>
    </row>
    <row r="77" spans="1:3" ht="14.45" customHeight="1">
      <c r="A77" s="26" t="str">
        <f t="shared" si="1"/>
        <v/>
      </c>
      <c r="C77" s="257"/>
    </row>
    <row r="78" spans="1:3" ht="14.45" customHeight="1">
      <c r="A78" s="26" t="str">
        <f t="shared" si="1"/>
        <v/>
      </c>
      <c r="C78" s="257"/>
    </row>
    <row r="79" spans="1:3" ht="14.45" customHeight="1">
      <c r="A79" s="26" t="str">
        <f t="shared" si="1"/>
        <v/>
      </c>
      <c r="C79" s="257"/>
    </row>
    <row r="80" spans="1:3" ht="14.45" customHeight="1">
      <c r="A80" s="26" t="str">
        <f t="shared" si="1"/>
        <v/>
      </c>
      <c r="C80" s="257"/>
    </row>
    <row r="81" spans="1:3" ht="14.45" customHeight="1">
      <c r="A81" s="26" t="str">
        <f t="shared" si="1"/>
        <v/>
      </c>
      <c r="C81" s="257"/>
    </row>
    <row r="82" spans="1:3" ht="14.45" customHeight="1">
      <c r="A82" s="26" t="str">
        <f t="shared" si="1"/>
        <v/>
      </c>
      <c r="C82" s="257"/>
    </row>
    <row r="83" spans="1:3" ht="14.45" customHeight="1">
      <c r="A83" s="26" t="str">
        <f t="shared" si="1"/>
        <v/>
      </c>
      <c r="C83" s="257"/>
    </row>
    <row r="84" spans="1:3" ht="14.45" customHeight="1">
      <c r="A84" s="26" t="str">
        <f t="shared" si="1"/>
        <v/>
      </c>
      <c r="C84" s="257"/>
    </row>
    <row r="85" spans="1:3" ht="14.45" customHeight="1">
      <c r="A85" s="26" t="str">
        <f t="shared" si="1"/>
        <v/>
      </c>
      <c r="C85" s="257"/>
    </row>
    <row r="86" spans="1:3" ht="14.45" customHeight="1">
      <c r="A86" s="26" t="str">
        <f t="shared" si="1"/>
        <v/>
      </c>
      <c r="C86" s="257"/>
    </row>
    <row r="87" spans="1:3" ht="14.45" customHeight="1">
      <c r="A87" s="26" t="str">
        <f t="shared" si="1"/>
        <v/>
      </c>
      <c r="C87" s="257"/>
    </row>
    <row r="88" spans="1:3" ht="14.45" customHeight="1">
      <c r="A88" s="26" t="str">
        <f t="shared" si="1"/>
        <v/>
      </c>
      <c r="C88" s="257"/>
    </row>
    <row r="89" spans="1:3" ht="14.45" customHeight="1">
      <c r="A89" s="26" t="str">
        <f t="shared" si="1"/>
        <v/>
      </c>
      <c r="C89" s="257"/>
    </row>
    <row r="90" spans="1:3">
      <c r="C90" s="257"/>
    </row>
    <row r="91" spans="1:3">
      <c r="C91" s="257"/>
    </row>
    <row r="92" spans="1:3">
      <c r="C92" s="257"/>
    </row>
    <row r="93" spans="1:3">
      <c r="C93" s="257"/>
    </row>
    <row r="95" spans="1:3" ht="12" customHeight="1"/>
    <row r="96" spans="1:3" ht="12" customHeight="1"/>
    <row r="102" ht="12" customHeight="1"/>
    <row r="103" ht="12" customHeight="1"/>
    <row r="109" ht="12" customHeight="1"/>
    <row r="110" ht="12" customHeight="1"/>
    <row r="116" ht="12" customHeight="1"/>
    <row r="117" ht="12" customHeight="1"/>
    <row r="123" ht="12" customHeight="1"/>
    <row r="124" ht="12" customHeight="1"/>
    <row r="130" ht="12" customHeight="1"/>
    <row r="131" ht="12" customHeight="1"/>
    <row r="137" ht="12" customHeight="1"/>
    <row r="138" ht="12" customHeight="1"/>
    <row r="144" ht="12" customHeight="1"/>
    <row r="145" ht="12" customHeight="1"/>
    <row r="151" ht="12" customHeight="1"/>
    <row r="152" ht="12" customHeight="1"/>
  </sheetData>
  <autoFilter ref="A1:O89" xr:uid="{48C2C43C-E15C-4B4A-936B-E87AD3AFB9D4}"/>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BK105"/>
  <sheetViews>
    <sheetView zoomScale="70" zoomScaleNormal="70" zoomScaleSheetLayoutView="55" workbookViewId="0">
      <selection activeCell="G7" sqref="G7"/>
    </sheetView>
  </sheetViews>
  <sheetFormatPr defaultColWidth="9" defaultRowHeight="13.5"/>
  <cols>
    <col min="1" max="1" width="9" style="106"/>
    <col min="2" max="2" width="11" style="106" bestFit="1" customWidth="1"/>
    <col min="3" max="4" width="9" style="106"/>
    <col min="5" max="5" width="11.125" style="106" bestFit="1" customWidth="1"/>
    <col min="6" max="6" width="9" style="106"/>
    <col min="7" max="7" width="19.25" style="82" bestFit="1" customWidth="1"/>
    <col min="8" max="8" width="4.75" style="82" customWidth="1"/>
    <col min="9" max="9" width="9" style="82"/>
    <col min="10" max="10" width="11" style="82" bestFit="1" customWidth="1"/>
    <col min="11" max="12" width="9" style="82"/>
    <col min="13" max="13" width="11.125" style="82" bestFit="1" customWidth="1"/>
    <col min="14" max="14" width="9" style="82"/>
    <col min="15" max="15" width="19.25" style="82" bestFit="1" customWidth="1"/>
    <col min="16" max="45" width="9" style="84"/>
    <col min="46" max="46" width="1.75" style="84" customWidth="1"/>
    <col min="47" max="47" width="5.25" style="84" bestFit="1" customWidth="1"/>
    <col min="48" max="48" width="15.5" style="84" bestFit="1" customWidth="1"/>
    <col min="49" max="49" width="6.75" style="84" bestFit="1" customWidth="1"/>
    <col min="50" max="50" width="15.25" style="84" bestFit="1" customWidth="1"/>
    <col min="51" max="51" width="6.25" style="84" bestFit="1" customWidth="1"/>
    <col min="52" max="53" width="12.75" style="84" customWidth="1"/>
    <col min="54" max="54" width="36.25" style="84" customWidth="1"/>
    <col min="55" max="55" width="8.75" style="82"/>
    <col min="56" max="56" width="5.25" style="82" bestFit="1" customWidth="1"/>
    <col min="57" max="57" width="15.5" style="82" bestFit="1" customWidth="1"/>
    <col min="58" max="58" width="6.75" style="82" bestFit="1" customWidth="1"/>
    <col min="59" max="59" width="15.25" style="82" bestFit="1" customWidth="1"/>
    <col min="60" max="60" width="6.25" style="82" bestFit="1" customWidth="1"/>
    <col min="61" max="62" width="12.75" style="82" customWidth="1"/>
    <col min="63" max="63" width="36.25" style="82" customWidth="1"/>
    <col min="64" max="16384" width="9" style="82"/>
  </cols>
  <sheetData>
    <row r="1" spans="1:15">
      <c r="A1" s="770" t="s">
        <v>449</v>
      </c>
      <c r="B1" s="771"/>
      <c r="C1" s="771"/>
      <c r="D1" s="772"/>
      <c r="E1" s="83" t="s">
        <v>450</v>
      </c>
      <c r="F1" s="83" t="s">
        <v>451</v>
      </c>
      <c r="G1" s="83" t="s">
        <v>153</v>
      </c>
      <c r="H1" s="84"/>
      <c r="I1" s="770" t="s">
        <v>449</v>
      </c>
      <c r="J1" s="771"/>
      <c r="K1" s="771"/>
      <c r="L1" s="772"/>
      <c r="M1" s="83" t="s">
        <v>450</v>
      </c>
      <c r="N1" s="83" t="s">
        <v>451</v>
      </c>
      <c r="O1" s="83" t="s">
        <v>153</v>
      </c>
    </row>
    <row r="2" spans="1:15">
      <c r="A2" s="768" t="s">
        <v>452</v>
      </c>
      <c r="B2" s="85" t="s">
        <v>453</v>
      </c>
      <c r="C2" s="85" t="s">
        <v>454</v>
      </c>
      <c r="D2" s="85" t="s">
        <v>455</v>
      </c>
      <c r="E2" s="86">
        <v>43098</v>
      </c>
      <c r="F2" s="85" t="s">
        <v>456</v>
      </c>
      <c r="G2" s="87"/>
      <c r="H2" s="84"/>
      <c r="I2" s="88" t="s">
        <v>452</v>
      </c>
      <c r="J2" s="83" t="s">
        <v>457</v>
      </c>
      <c r="K2" s="83" t="s">
        <v>458</v>
      </c>
      <c r="L2" s="83" t="s">
        <v>459</v>
      </c>
      <c r="M2" s="89">
        <v>42736</v>
      </c>
      <c r="N2" s="83" t="s">
        <v>456</v>
      </c>
      <c r="O2" s="83"/>
    </row>
    <row r="3" spans="1:15">
      <c r="A3" s="768"/>
      <c r="B3" s="90" t="s">
        <v>460</v>
      </c>
      <c r="C3" s="90" t="s">
        <v>461</v>
      </c>
      <c r="D3" s="90" t="s">
        <v>462</v>
      </c>
      <c r="E3" s="91">
        <v>43052</v>
      </c>
      <c r="F3" s="92" t="s">
        <v>463</v>
      </c>
      <c r="G3" s="93"/>
      <c r="H3" s="84"/>
      <c r="I3" s="94" t="s">
        <v>452</v>
      </c>
      <c r="J3" s="774" t="s">
        <v>234</v>
      </c>
      <c r="K3" s="775"/>
      <c r="L3" s="94" t="s">
        <v>459</v>
      </c>
      <c r="M3" s="95">
        <v>42736</v>
      </c>
      <c r="N3" s="94" t="s">
        <v>456</v>
      </c>
      <c r="O3" s="94"/>
    </row>
    <row r="4" spans="1:15">
      <c r="A4" s="768"/>
      <c r="B4" s="90" t="s">
        <v>464</v>
      </c>
      <c r="C4" s="90" t="s">
        <v>465</v>
      </c>
      <c r="D4" s="90" t="s">
        <v>462</v>
      </c>
      <c r="E4" s="91">
        <v>20437</v>
      </c>
      <c r="F4" s="92" t="s">
        <v>463</v>
      </c>
      <c r="G4" s="96"/>
      <c r="H4" s="84"/>
      <c r="I4" s="94" t="s">
        <v>466</v>
      </c>
      <c r="J4" s="774" t="s">
        <v>1048</v>
      </c>
      <c r="K4" s="775"/>
      <c r="L4" s="94" t="s">
        <v>459</v>
      </c>
      <c r="M4" s="95">
        <v>42757</v>
      </c>
      <c r="N4" s="94" t="s">
        <v>456</v>
      </c>
      <c r="O4" s="94"/>
    </row>
    <row r="5" spans="1:15">
      <c r="A5" s="768"/>
      <c r="B5" s="90" t="s">
        <v>467</v>
      </c>
      <c r="C5" s="90" t="s">
        <v>468</v>
      </c>
      <c r="D5" s="90" t="s">
        <v>462</v>
      </c>
      <c r="E5" s="91">
        <v>22456</v>
      </c>
      <c r="F5" s="92" t="s">
        <v>463</v>
      </c>
      <c r="G5" s="96"/>
      <c r="H5" s="84"/>
      <c r="I5" s="88" t="s">
        <v>466</v>
      </c>
      <c r="J5" s="83" t="s">
        <v>469</v>
      </c>
      <c r="K5" s="83" t="s">
        <v>470</v>
      </c>
      <c r="L5" s="83" t="s">
        <v>459</v>
      </c>
      <c r="M5" s="89">
        <v>42771</v>
      </c>
      <c r="N5" s="83" t="s">
        <v>456</v>
      </c>
      <c r="O5" s="83"/>
    </row>
    <row r="6" spans="1:15">
      <c r="A6" s="768"/>
      <c r="B6" s="83" t="s">
        <v>457</v>
      </c>
      <c r="C6" s="83" t="s">
        <v>458</v>
      </c>
      <c r="D6" s="83" t="s">
        <v>459</v>
      </c>
      <c r="E6" s="89">
        <v>29221</v>
      </c>
      <c r="F6" s="83" t="s">
        <v>456</v>
      </c>
      <c r="G6" s="97"/>
      <c r="H6" s="84"/>
      <c r="I6" s="98" t="s">
        <v>466</v>
      </c>
      <c r="J6" s="98" t="s">
        <v>467</v>
      </c>
      <c r="K6" s="98" t="s">
        <v>471</v>
      </c>
      <c r="L6" s="98" t="s">
        <v>462</v>
      </c>
      <c r="M6" s="99">
        <v>42777</v>
      </c>
      <c r="N6" s="100" t="s">
        <v>463</v>
      </c>
      <c r="O6" s="98"/>
    </row>
    <row r="7" spans="1:15">
      <c r="A7" s="768"/>
      <c r="B7" s="83" t="s">
        <v>472</v>
      </c>
      <c r="C7" s="83" t="s">
        <v>473</v>
      </c>
      <c r="D7" s="83" t="s">
        <v>459</v>
      </c>
      <c r="E7" s="89">
        <v>43026</v>
      </c>
      <c r="F7" s="83" t="s">
        <v>456</v>
      </c>
      <c r="G7" s="101"/>
      <c r="H7" s="84"/>
      <c r="I7" s="98" t="s">
        <v>466</v>
      </c>
      <c r="J7" s="98" t="s">
        <v>474</v>
      </c>
      <c r="K7" s="98" t="s">
        <v>475</v>
      </c>
      <c r="L7" s="98" t="s">
        <v>462</v>
      </c>
      <c r="M7" s="99">
        <v>42783</v>
      </c>
      <c r="N7" s="100" t="s">
        <v>463</v>
      </c>
      <c r="O7" s="98"/>
    </row>
    <row r="8" spans="1:15">
      <c r="A8" s="768"/>
      <c r="B8" s="776" t="s">
        <v>476</v>
      </c>
      <c r="C8" s="776" t="s">
        <v>477</v>
      </c>
      <c r="D8" s="83" t="s">
        <v>459</v>
      </c>
      <c r="E8" s="89">
        <v>30456</v>
      </c>
      <c r="F8" s="83" t="s">
        <v>456</v>
      </c>
      <c r="G8" s="97"/>
      <c r="H8" s="84"/>
      <c r="I8" s="88" t="s">
        <v>452</v>
      </c>
      <c r="J8" s="83" t="s">
        <v>476</v>
      </c>
      <c r="K8" s="83" t="s">
        <v>477</v>
      </c>
      <c r="L8" s="83" t="s">
        <v>459</v>
      </c>
      <c r="M8" s="89">
        <v>30456</v>
      </c>
      <c r="N8" s="83" t="s">
        <v>456</v>
      </c>
      <c r="O8" s="83"/>
    </row>
    <row r="9" spans="1:15">
      <c r="A9" s="773"/>
      <c r="B9" s="777"/>
      <c r="C9" s="777"/>
      <c r="D9" s="83" t="s">
        <v>455</v>
      </c>
      <c r="E9" s="89">
        <v>45126</v>
      </c>
      <c r="F9" s="83" t="s">
        <v>456</v>
      </c>
      <c r="G9" s="97"/>
      <c r="H9" s="84"/>
      <c r="I9" s="85" t="s">
        <v>452</v>
      </c>
      <c r="J9" s="85" t="s">
        <v>476</v>
      </c>
      <c r="K9" s="85" t="s">
        <v>477</v>
      </c>
      <c r="L9" s="85" t="s">
        <v>455</v>
      </c>
      <c r="M9" s="86">
        <v>45126</v>
      </c>
      <c r="N9" s="85" t="s">
        <v>456</v>
      </c>
      <c r="O9" s="85"/>
    </row>
    <row r="10" spans="1:15">
      <c r="A10" s="768"/>
      <c r="B10" s="83" t="s">
        <v>478</v>
      </c>
      <c r="C10" s="83" t="s">
        <v>479</v>
      </c>
      <c r="D10" s="83" t="s">
        <v>459</v>
      </c>
      <c r="E10" s="89">
        <v>30659</v>
      </c>
      <c r="F10" s="83" t="s">
        <v>456</v>
      </c>
      <c r="G10" s="101"/>
      <c r="H10" s="84"/>
      <c r="I10" s="85" t="s">
        <v>466</v>
      </c>
      <c r="J10" s="85" t="s">
        <v>453</v>
      </c>
      <c r="K10" s="85" t="s">
        <v>480</v>
      </c>
      <c r="L10" s="85" t="s">
        <v>455</v>
      </c>
      <c r="M10" s="86">
        <v>42897</v>
      </c>
      <c r="N10" s="85" t="s">
        <v>456</v>
      </c>
      <c r="O10" s="85"/>
    </row>
    <row r="11" spans="1:15">
      <c r="A11" s="768"/>
      <c r="B11" s="83" t="s">
        <v>481</v>
      </c>
      <c r="C11" s="83" t="s">
        <v>482</v>
      </c>
      <c r="D11" s="83" t="s">
        <v>459</v>
      </c>
      <c r="E11" s="89">
        <v>41975</v>
      </c>
      <c r="F11" s="83" t="s">
        <v>456</v>
      </c>
      <c r="G11" s="101"/>
      <c r="H11" s="84"/>
      <c r="I11" s="90" t="s">
        <v>452</v>
      </c>
      <c r="J11" s="90" t="s">
        <v>467</v>
      </c>
      <c r="K11" s="90" t="s">
        <v>468</v>
      </c>
      <c r="L11" s="90" t="s">
        <v>462</v>
      </c>
      <c r="M11" s="91">
        <v>42910</v>
      </c>
      <c r="N11" s="92" t="s">
        <v>463</v>
      </c>
      <c r="O11" s="90"/>
    </row>
    <row r="12" spans="1:15">
      <c r="A12" s="768"/>
      <c r="B12" s="769" t="s">
        <v>234</v>
      </c>
      <c r="C12" s="769"/>
      <c r="D12" s="94" t="s">
        <v>459</v>
      </c>
      <c r="E12" s="95">
        <v>32874</v>
      </c>
      <c r="F12" s="94" t="s">
        <v>456</v>
      </c>
      <c r="G12" s="102"/>
      <c r="H12" s="84"/>
      <c r="I12" s="85" t="s">
        <v>466</v>
      </c>
      <c r="J12" s="85" t="s">
        <v>483</v>
      </c>
      <c r="K12" s="85" t="s">
        <v>484</v>
      </c>
      <c r="L12" s="85" t="s">
        <v>455</v>
      </c>
      <c r="M12" s="86">
        <v>43018</v>
      </c>
      <c r="N12" s="103" t="s">
        <v>463</v>
      </c>
      <c r="O12" s="85"/>
    </row>
    <row r="13" spans="1:15">
      <c r="A13" s="768" t="s">
        <v>466</v>
      </c>
      <c r="B13" s="85" t="s">
        <v>453</v>
      </c>
      <c r="C13" s="85" t="s">
        <v>480</v>
      </c>
      <c r="D13" s="85" t="s">
        <v>455</v>
      </c>
      <c r="E13" s="86">
        <v>42897</v>
      </c>
      <c r="F13" s="85" t="s">
        <v>456</v>
      </c>
      <c r="G13" s="104"/>
      <c r="H13" s="84"/>
      <c r="I13" s="98" t="s">
        <v>466</v>
      </c>
      <c r="J13" s="98" t="s">
        <v>464</v>
      </c>
      <c r="K13" s="98" t="s">
        <v>485</v>
      </c>
      <c r="L13" s="98" t="s">
        <v>462</v>
      </c>
      <c r="M13" s="99">
        <v>43024</v>
      </c>
      <c r="N13" s="100" t="s">
        <v>463</v>
      </c>
      <c r="O13" s="98"/>
    </row>
    <row r="14" spans="1:15">
      <c r="A14" s="768"/>
      <c r="B14" s="98" t="s">
        <v>460</v>
      </c>
      <c r="C14" s="98" t="s">
        <v>486</v>
      </c>
      <c r="D14" s="98" t="s">
        <v>462</v>
      </c>
      <c r="E14" s="99">
        <v>43060</v>
      </c>
      <c r="F14" s="100" t="s">
        <v>463</v>
      </c>
      <c r="G14" s="105"/>
      <c r="H14" s="84"/>
      <c r="I14" s="88" t="s">
        <v>452</v>
      </c>
      <c r="J14" s="83" t="s">
        <v>472</v>
      </c>
      <c r="K14" s="83" t="s">
        <v>473</v>
      </c>
      <c r="L14" s="83" t="s">
        <v>459</v>
      </c>
      <c r="M14" s="89">
        <v>43026</v>
      </c>
      <c r="N14" s="83" t="s">
        <v>456</v>
      </c>
      <c r="O14" s="83"/>
    </row>
    <row r="15" spans="1:15">
      <c r="A15" s="768"/>
      <c r="B15" s="98" t="s">
        <v>474</v>
      </c>
      <c r="C15" s="98" t="s">
        <v>475</v>
      </c>
      <c r="D15" s="98" t="s">
        <v>462</v>
      </c>
      <c r="E15" s="99">
        <v>42783</v>
      </c>
      <c r="F15" s="100" t="s">
        <v>463</v>
      </c>
      <c r="G15" s="105"/>
      <c r="H15" s="84"/>
      <c r="I15" s="90" t="s">
        <v>452</v>
      </c>
      <c r="J15" s="90" t="s">
        <v>460</v>
      </c>
      <c r="K15" s="90" t="s">
        <v>461</v>
      </c>
      <c r="L15" s="90" t="s">
        <v>462</v>
      </c>
      <c r="M15" s="91">
        <v>43052</v>
      </c>
      <c r="N15" s="92" t="s">
        <v>463</v>
      </c>
      <c r="O15" s="90"/>
    </row>
    <row r="16" spans="1:15">
      <c r="A16" s="768"/>
      <c r="B16" s="85" t="s">
        <v>483</v>
      </c>
      <c r="C16" s="85" t="s">
        <v>484</v>
      </c>
      <c r="D16" s="85" t="s">
        <v>455</v>
      </c>
      <c r="E16" s="86">
        <v>43018</v>
      </c>
      <c r="F16" s="103" t="s">
        <v>463</v>
      </c>
      <c r="G16" s="104"/>
      <c r="H16" s="84"/>
      <c r="I16" s="98" t="s">
        <v>466</v>
      </c>
      <c r="J16" s="98" t="s">
        <v>460</v>
      </c>
      <c r="K16" s="98" t="s">
        <v>486</v>
      </c>
      <c r="L16" s="98" t="s">
        <v>462</v>
      </c>
      <c r="M16" s="99">
        <v>43060</v>
      </c>
      <c r="N16" s="100" t="s">
        <v>463</v>
      </c>
      <c r="O16" s="98"/>
    </row>
    <row r="17" spans="1:15">
      <c r="A17" s="768"/>
      <c r="B17" s="98" t="s">
        <v>464</v>
      </c>
      <c r="C17" s="98" t="s">
        <v>485</v>
      </c>
      <c r="D17" s="98" t="s">
        <v>462</v>
      </c>
      <c r="E17" s="99">
        <v>22570</v>
      </c>
      <c r="F17" s="100" t="s">
        <v>463</v>
      </c>
      <c r="G17" s="105"/>
      <c r="H17" s="84"/>
      <c r="I17" s="88" t="s">
        <v>452</v>
      </c>
      <c r="J17" s="83" t="s">
        <v>481</v>
      </c>
      <c r="K17" s="83" t="s">
        <v>482</v>
      </c>
      <c r="L17" s="83" t="s">
        <v>459</v>
      </c>
      <c r="M17" s="89">
        <v>43071</v>
      </c>
      <c r="N17" s="83" t="s">
        <v>456</v>
      </c>
      <c r="O17" s="83"/>
    </row>
    <row r="18" spans="1:15">
      <c r="A18" s="768"/>
      <c r="B18" s="98" t="s">
        <v>467</v>
      </c>
      <c r="C18" s="98" t="s">
        <v>471</v>
      </c>
      <c r="D18" s="98" t="s">
        <v>462</v>
      </c>
      <c r="E18" s="99">
        <v>22688</v>
      </c>
      <c r="F18" s="100" t="s">
        <v>463</v>
      </c>
      <c r="G18" s="105"/>
      <c r="H18" s="84"/>
      <c r="I18" s="88" t="s">
        <v>466</v>
      </c>
      <c r="J18" s="83" t="s">
        <v>487</v>
      </c>
      <c r="K18" s="83" t="s">
        <v>488</v>
      </c>
      <c r="L18" s="83" t="s">
        <v>459</v>
      </c>
      <c r="M18" s="89">
        <v>43073</v>
      </c>
      <c r="N18" s="83" t="s">
        <v>456</v>
      </c>
      <c r="O18" s="83"/>
    </row>
    <row r="19" spans="1:15">
      <c r="A19" s="768"/>
      <c r="B19" s="83" t="s">
        <v>469</v>
      </c>
      <c r="C19" s="83" t="s">
        <v>470</v>
      </c>
      <c r="D19" s="83" t="s">
        <v>459</v>
      </c>
      <c r="E19" s="89">
        <v>32544</v>
      </c>
      <c r="F19" s="83" t="s">
        <v>456</v>
      </c>
      <c r="G19" s="97"/>
      <c r="H19" s="84"/>
      <c r="I19" s="88" t="s">
        <v>452</v>
      </c>
      <c r="J19" s="83" t="s">
        <v>478</v>
      </c>
      <c r="K19" s="83" t="s">
        <v>479</v>
      </c>
      <c r="L19" s="83" t="s">
        <v>459</v>
      </c>
      <c r="M19" s="89">
        <v>43078</v>
      </c>
      <c r="N19" s="83" t="s">
        <v>456</v>
      </c>
      <c r="O19" s="83"/>
    </row>
    <row r="20" spans="1:15">
      <c r="A20" s="768"/>
      <c r="B20" s="83" t="s">
        <v>487</v>
      </c>
      <c r="C20" s="83" t="s">
        <v>488</v>
      </c>
      <c r="D20" s="83" t="s">
        <v>459</v>
      </c>
      <c r="E20" s="89">
        <v>34307</v>
      </c>
      <c r="F20" s="83" t="s">
        <v>456</v>
      </c>
      <c r="G20" s="97"/>
      <c r="H20" s="84"/>
      <c r="I20" s="90" t="s">
        <v>452</v>
      </c>
      <c r="J20" s="90" t="s">
        <v>464</v>
      </c>
      <c r="K20" s="90" t="s">
        <v>465</v>
      </c>
      <c r="L20" s="90" t="s">
        <v>462</v>
      </c>
      <c r="M20" s="91">
        <v>43083</v>
      </c>
      <c r="N20" s="92" t="s">
        <v>463</v>
      </c>
      <c r="O20" s="90"/>
    </row>
    <row r="21" spans="1:15">
      <c r="A21" s="768"/>
      <c r="B21" s="769" t="s">
        <v>1048</v>
      </c>
      <c r="C21" s="769"/>
      <c r="D21" s="94" t="s">
        <v>459</v>
      </c>
      <c r="E21" s="95">
        <v>33625</v>
      </c>
      <c r="F21" s="94" t="s">
        <v>456</v>
      </c>
      <c r="G21" s="102"/>
      <c r="H21" s="84"/>
      <c r="I21" s="85" t="s">
        <v>452</v>
      </c>
      <c r="J21" s="85" t="s">
        <v>453</v>
      </c>
      <c r="K21" s="85" t="s">
        <v>454</v>
      </c>
      <c r="L21" s="85" t="s">
        <v>455</v>
      </c>
      <c r="M21" s="86">
        <v>43098</v>
      </c>
      <c r="N21" s="85" t="s">
        <v>456</v>
      </c>
      <c r="O21" s="87"/>
    </row>
    <row r="22" spans="1:15" s="84" customFormat="1">
      <c r="A22" s="137"/>
      <c r="B22" s="137"/>
      <c r="C22" s="137"/>
      <c r="D22" s="137"/>
      <c r="E22" s="137"/>
      <c r="F22" s="137"/>
    </row>
    <row r="23" spans="1:15" s="84" customFormat="1">
      <c r="A23" s="137"/>
      <c r="B23" s="137"/>
      <c r="C23" s="137"/>
      <c r="D23" s="137"/>
      <c r="E23" s="137"/>
      <c r="F23" s="137"/>
    </row>
    <row r="24" spans="1:15" s="84" customFormat="1">
      <c r="A24" s="137"/>
      <c r="B24" s="137"/>
      <c r="C24" s="137"/>
      <c r="D24" s="137"/>
      <c r="E24" s="137"/>
      <c r="F24" s="137"/>
    </row>
    <row r="25" spans="1:15" s="84" customFormat="1">
      <c r="A25" s="137"/>
      <c r="B25" s="137"/>
      <c r="C25" s="137"/>
      <c r="D25" s="137"/>
      <c r="E25" s="137"/>
      <c r="F25" s="137"/>
    </row>
    <row r="26" spans="1:15" s="84" customFormat="1">
      <c r="A26" s="137"/>
      <c r="B26" s="137"/>
      <c r="C26" s="137"/>
      <c r="D26" s="137"/>
      <c r="E26" s="137"/>
      <c r="F26" s="137"/>
    </row>
    <row r="27" spans="1:15" s="84" customFormat="1">
      <c r="A27" s="137"/>
      <c r="B27" s="137"/>
      <c r="C27" s="137"/>
      <c r="D27" s="137"/>
      <c r="E27" s="137"/>
      <c r="F27" s="137"/>
    </row>
    <row r="28" spans="1:15" s="84" customFormat="1">
      <c r="A28" s="137"/>
      <c r="B28" s="137"/>
      <c r="C28" s="137"/>
      <c r="D28" s="137"/>
      <c r="E28" s="137"/>
      <c r="F28" s="137"/>
    </row>
    <row r="29" spans="1:15" s="84" customFormat="1">
      <c r="A29" s="137"/>
      <c r="B29" s="137"/>
      <c r="C29" s="137"/>
      <c r="D29" s="137"/>
      <c r="E29" s="137"/>
      <c r="F29" s="137"/>
    </row>
    <row r="30" spans="1:15" s="84" customFormat="1">
      <c r="A30" s="137"/>
      <c r="B30" s="137"/>
      <c r="C30" s="137"/>
      <c r="D30" s="137"/>
      <c r="E30" s="137"/>
      <c r="F30" s="137"/>
    </row>
    <row r="31" spans="1:15" s="84" customFormat="1">
      <c r="A31" s="137"/>
      <c r="B31" s="137"/>
      <c r="C31" s="137"/>
      <c r="D31" s="137"/>
      <c r="E31" s="137"/>
      <c r="F31" s="137"/>
    </row>
    <row r="32" spans="1:15" s="84" customFormat="1">
      <c r="A32" s="137"/>
      <c r="B32" s="137"/>
      <c r="C32" s="137"/>
      <c r="D32" s="137"/>
      <c r="E32" s="137"/>
      <c r="F32" s="137"/>
    </row>
    <row r="33" spans="1:63" s="84" customFormat="1">
      <c r="A33" s="137"/>
      <c r="B33" s="137"/>
      <c r="C33" s="137"/>
      <c r="D33" s="137"/>
      <c r="E33" s="137"/>
      <c r="F33" s="137"/>
    </row>
    <row r="34" spans="1:63" s="84" customFormat="1">
      <c r="A34" s="137"/>
      <c r="B34" s="137"/>
      <c r="C34" s="137"/>
      <c r="D34" s="137"/>
      <c r="E34" s="137"/>
      <c r="F34" s="137"/>
    </row>
    <row r="35" spans="1:63" s="84" customFormat="1">
      <c r="A35" s="137"/>
      <c r="B35" s="137"/>
      <c r="C35" s="137"/>
      <c r="D35" s="137"/>
      <c r="E35" s="137"/>
      <c r="F35" s="137"/>
    </row>
    <row r="36" spans="1:63" s="84" customFormat="1">
      <c r="A36" s="137"/>
      <c r="B36" s="137"/>
      <c r="C36" s="137"/>
      <c r="D36" s="137"/>
      <c r="E36" s="137"/>
      <c r="F36" s="137"/>
    </row>
    <row r="37" spans="1:63" s="84" customFormat="1">
      <c r="A37" s="137"/>
      <c r="B37" s="137"/>
      <c r="C37" s="137"/>
      <c r="D37" s="137"/>
      <c r="E37" s="137"/>
      <c r="F37" s="137"/>
    </row>
    <row r="38" spans="1:63" s="84" customFormat="1" ht="16.5">
      <c r="A38" s="137"/>
      <c r="B38" s="137"/>
      <c r="C38" s="137"/>
      <c r="D38" s="137"/>
      <c r="E38" s="137"/>
      <c r="F38" s="137"/>
      <c r="AT38" s="71" t="s">
        <v>392</v>
      </c>
      <c r="AU38" s="71"/>
      <c r="AV38" s="71"/>
      <c r="AW38" s="71"/>
      <c r="AX38" s="71"/>
      <c r="AY38" s="70"/>
      <c r="AZ38" s="70"/>
      <c r="BA38" s="70"/>
      <c r="BB38" s="71"/>
      <c r="BC38" s="69"/>
      <c r="BD38" s="69"/>
      <c r="BE38" s="69"/>
      <c r="BF38" s="69"/>
      <c r="BG38" s="69"/>
      <c r="BH38" s="69"/>
      <c r="BI38" s="69"/>
      <c r="BJ38" s="69"/>
      <c r="BK38" s="69"/>
    </row>
    <row r="39" spans="1:63" s="84" customFormat="1" ht="16.5">
      <c r="A39" s="137"/>
      <c r="B39" s="137"/>
      <c r="C39" s="137"/>
      <c r="D39" s="137"/>
      <c r="E39" s="137"/>
      <c r="F39" s="137"/>
      <c r="AT39" s="69"/>
      <c r="AU39" s="70"/>
      <c r="AV39" s="71"/>
      <c r="AW39" s="71"/>
      <c r="AX39" s="71"/>
      <c r="AY39" s="70"/>
      <c r="AZ39" s="70"/>
      <c r="BA39" s="70"/>
      <c r="BB39" s="71"/>
      <c r="BC39" s="69"/>
      <c r="BD39" s="69"/>
      <c r="BE39" s="69"/>
      <c r="BF39" s="69"/>
      <c r="BG39" s="69"/>
      <c r="BH39" s="69"/>
      <c r="BI39" s="69"/>
      <c r="BJ39" s="69"/>
      <c r="BK39" s="69"/>
    </row>
    <row r="40" spans="1:63" s="84" customFormat="1" ht="16.5">
      <c r="A40" s="137"/>
      <c r="B40" s="137"/>
      <c r="C40" s="137"/>
      <c r="D40" s="137"/>
      <c r="E40" s="137"/>
      <c r="F40" s="137"/>
      <c r="AT40" s="69"/>
      <c r="AU40" s="71" t="s">
        <v>393</v>
      </c>
      <c r="AV40" s="71"/>
      <c r="AW40" s="71"/>
      <c r="AX40" s="71"/>
      <c r="AY40" s="70"/>
      <c r="AZ40" s="70"/>
      <c r="BA40" s="70"/>
      <c r="BB40" s="71"/>
      <c r="BC40" s="69"/>
      <c r="BD40" s="71" t="s">
        <v>394</v>
      </c>
      <c r="BE40" s="71"/>
      <c r="BF40" s="71"/>
      <c r="BG40" s="71"/>
      <c r="BH40" s="70"/>
      <c r="BI40" s="70"/>
      <c r="BJ40" s="70"/>
      <c r="BK40" s="71"/>
    </row>
    <row r="41" spans="1:63" s="84" customFormat="1" ht="16.5">
      <c r="A41" s="137"/>
      <c r="B41" s="137"/>
      <c r="C41" s="137"/>
      <c r="D41" s="137"/>
      <c r="E41" s="137"/>
      <c r="F41" s="137"/>
      <c r="AT41" s="69"/>
      <c r="AU41" s="70"/>
      <c r="AV41" s="71"/>
      <c r="AW41" s="71"/>
      <c r="AX41" s="71"/>
      <c r="AY41" s="70"/>
      <c r="AZ41" s="70"/>
      <c r="BA41" s="70"/>
      <c r="BB41" s="71"/>
      <c r="BC41" s="69"/>
      <c r="BD41" s="70"/>
      <c r="BE41" s="71"/>
      <c r="BF41" s="71"/>
      <c r="BG41" s="71"/>
      <c r="BH41" s="70"/>
      <c r="BI41" s="70"/>
      <c r="BJ41" s="70"/>
      <c r="BK41" s="71"/>
    </row>
    <row r="42" spans="1:63" s="84" customFormat="1" ht="16.5">
      <c r="A42" s="137"/>
      <c r="B42" s="137"/>
      <c r="C42" s="137"/>
      <c r="D42" s="137"/>
      <c r="E42" s="137"/>
      <c r="F42" s="137"/>
      <c r="AT42" s="70"/>
      <c r="AU42" s="72" t="s">
        <v>395</v>
      </c>
      <c r="AV42" s="72" t="s">
        <v>396</v>
      </c>
      <c r="AW42" s="757" t="s">
        <v>397</v>
      </c>
      <c r="AX42" s="757"/>
      <c r="AY42" s="72" t="s">
        <v>398</v>
      </c>
      <c r="AZ42" s="72" t="s">
        <v>399</v>
      </c>
      <c r="BA42" s="72" t="s">
        <v>400</v>
      </c>
      <c r="BB42" s="72" t="s">
        <v>401</v>
      </c>
      <c r="BC42" s="70"/>
      <c r="BD42" s="72" t="s">
        <v>395</v>
      </c>
      <c r="BE42" s="72" t="s">
        <v>396</v>
      </c>
      <c r="BF42" s="757" t="s">
        <v>397</v>
      </c>
      <c r="BG42" s="757"/>
      <c r="BH42" s="72" t="s">
        <v>398</v>
      </c>
      <c r="BI42" s="72" t="s">
        <v>399</v>
      </c>
      <c r="BJ42" s="72" t="s">
        <v>400</v>
      </c>
      <c r="BK42" s="72" t="s">
        <v>401</v>
      </c>
    </row>
    <row r="43" spans="1:63" s="84" customFormat="1" ht="16.5">
      <c r="A43" s="137"/>
      <c r="B43" s="137"/>
      <c r="C43" s="137"/>
      <c r="D43" s="137"/>
      <c r="E43" s="137"/>
      <c r="F43" s="137"/>
      <c r="AT43" s="69"/>
      <c r="AU43" s="72">
        <v>1</v>
      </c>
      <c r="AV43" s="73" t="s">
        <v>402</v>
      </c>
      <c r="AW43" s="764" t="s">
        <v>403</v>
      </c>
      <c r="AX43" s="765"/>
      <c r="AY43" s="74">
        <v>52</v>
      </c>
      <c r="AZ43" s="74">
        <v>10000</v>
      </c>
      <c r="BA43" s="74">
        <f>AZ43*AY43</f>
        <v>520000</v>
      </c>
      <c r="BB43" s="73"/>
      <c r="BC43" s="69"/>
      <c r="BD43" s="72">
        <v>1</v>
      </c>
      <c r="BE43" s="73" t="s">
        <v>402</v>
      </c>
      <c r="BF43" s="764" t="s">
        <v>403</v>
      </c>
      <c r="BG43" s="765"/>
      <c r="BH43" s="74">
        <v>52</v>
      </c>
      <c r="BI43" s="74">
        <v>10000</v>
      </c>
      <c r="BJ43" s="74">
        <f>BI43*BH43</f>
        <v>520000</v>
      </c>
      <c r="BK43" s="73"/>
    </row>
    <row r="44" spans="1:63" s="84" customFormat="1" ht="16.5">
      <c r="A44" s="137"/>
      <c r="B44" s="137"/>
      <c r="C44" s="137"/>
      <c r="D44" s="137"/>
      <c r="E44" s="137"/>
      <c r="F44" s="137"/>
      <c r="AT44" s="69"/>
      <c r="AU44" s="758">
        <v>2</v>
      </c>
      <c r="AV44" s="761" t="s">
        <v>404</v>
      </c>
      <c r="AW44" s="761" t="s">
        <v>405</v>
      </c>
      <c r="AX44" s="73" t="s">
        <v>406</v>
      </c>
      <c r="AY44" s="74">
        <v>12</v>
      </c>
      <c r="AZ44" s="74">
        <v>510000</v>
      </c>
      <c r="BA44" s="74">
        <f t="shared" ref="BA44:BA56" si="0">AZ44*AY44</f>
        <v>6120000</v>
      </c>
      <c r="BB44" s="73"/>
      <c r="BC44" s="69"/>
      <c r="BD44" s="758">
        <v>2</v>
      </c>
      <c r="BE44" s="761" t="s">
        <v>404</v>
      </c>
      <c r="BF44" s="761" t="s">
        <v>405</v>
      </c>
      <c r="BG44" s="73" t="s">
        <v>406</v>
      </c>
      <c r="BH44" s="74">
        <v>12</v>
      </c>
      <c r="BI44" s="74">
        <v>510000</v>
      </c>
      <c r="BJ44" s="74">
        <f t="shared" ref="BJ44:BJ47" si="1">BI44*BH44</f>
        <v>6120000</v>
      </c>
      <c r="BK44" s="73"/>
    </row>
    <row r="45" spans="1:63" s="84" customFormat="1" ht="16.5">
      <c r="A45" s="137"/>
      <c r="B45" s="137"/>
      <c r="C45" s="137"/>
      <c r="D45" s="137"/>
      <c r="E45" s="137"/>
      <c r="F45" s="137"/>
      <c r="AT45" s="69"/>
      <c r="AU45" s="759"/>
      <c r="AV45" s="762"/>
      <c r="AW45" s="762"/>
      <c r="AX45" s="73" t="s">
        <v>407</v>
      </c>
      <c r="AY45" s="74">
        <v>1</v>
      </c>
      <c r="AZ45" s="74">
        <v>800000</v>
      </c>
      <c r="BA45" s="74">
        <f t="shared" si="0"/>
        <v>800000</v>
      </c>
      <c r="BB45" s="73"/>
      <c r="BC45" s="69"/>
      <c r="BD45" s="759"/>
      <c r="BE45" s="762"/>
      <c r="BF45" s="762"/>
      <c r="BG45" s="73" t="s">
        <v>407</v>
      </c>
      <c r="BH45" s="74">
        <v>1</v>
      </c>
      <c r="BI45" s="74">
        <v>800000</v>
      </c>
      <c r="BJ45" s="74">
        <f t="shared" si="1"/>
        <v>800000</v>
      </c>
      <c r="BK45" s="73"/>
    </row>
    <row r="46" spans="1:63" s="84" customFormat="1" ht="16.5">
      <c r="A46" s="137"/>
      <c r="B46" s="137"/>
      <c r="C46" s="137"/>
      <c r="D46" s="137"/>
      <c r="E46" s="137"/>
      <c r="F46" s="137"/>
      <c r="AT46" s="69"/>
      <c r="AU46" s="759"/>
      <c r="AV46" s="762"/>
      <c r="AW46" s="762"/>
      <c r="AX46" s="73" t="s">
        <v>408</v>
      </c>
      <c r="AY46" s="74">
        <v>1</v>
      </c>
      <c r="AZ46" s="74">
        <v>100000</v>
      </c>
      <c r="BA46" s="74">
        <f t="shared" si="0"/>
        <v>100000</v>
      </c>
      <c r="BB46" s="73"/>
      <c r="BC46" s="69"/>
      <c r="BD46" s="759"/>
      <c r="BE46" s="762"/>
      <c r="BF46" s="762"/>
      <c r="BG46" s="73" t="s">
        <v>408</v>
      </c>
      <c r="BH46" s="74">
        <v>1</v>
      </c>
      <c r="BI46" s="74">
        <v>100000</v>
      </c>
      <c r="BJ46" s="74">
        <f t="shared" si="1"/>
        <v>100000</v>
      </c>
      <c r="BK46" s="73"/>
    </row>
    <row r="47" spans="1:63" s="84" customFormat="1" ht="16.5">
      <c r="A47" s="137"/>
      <c r="B47" s="137"/>
      <c r="C47" s="137"/>
      <c r="D47" s="137"/>
      <c r="E47" s="137"/>
      <c r="F47" s="137"/>
      <c r="AT47" s="69"/>
      <c r="AU47" s="759"/>
      <c r="AV47" s="762"/>
      <c r="AW47" s="762"/>
      <c r="AX47" s="73" t="s">
        <v>409</v>
      </c>
      <c r="AY47" s="74">
        <v>1</v>
      </c>
      <c r="AZ47" s="74">
        <v>30000</v>
      </c>
      <c r="BA47" s="74">
        <f t="shared" si="0"/>
        <v>30000</v>
      </c>
      <c r="BB47" s="73"/>
      <c r="BC47" s="69"/>
      <c r="BD47" s="759"/>
      <c r="BE47" s="762"/>
      <c r="BF47" s="762"/>
      <c r="BG47" s="73" t="s">
        <v>409</v>
      </c>
      <c r="BH47" s="74">
        <v>1</v>
      </c>
      <c r="BI47" s="74">
        <v>30000</v>
      </c>
      <c r="BJ47" s="74">
        <f t="shared" si="1"/>
        <v>30000</v>
      </c>
      <c r="BK47" s="73"/>
    </row>
    <row r="48" spans="1:63" s="84" customFormat="1" ht="16.5">
      <c r="A48" s="137"/>
      <c r="B48" s="137"/>
      <c r="C48" s="137"/>
      <c r="D48" s="137"/>
      <c r="E48" s="137"/>
      <c r="F48" s="137"/>
      <c r="AT48" s="69"/>
      <c r="AU48" s="759"/>
      <c r="AV48" s="762"/>
      <c r="AW48" s="763"/>
      <c r="AX48" s="73" t="s">
        <v>410</v>
      </c>
      <c r="AY48" s="74" t="s">
        <v>411</v>
      </c>
      <c r="AZ48" s="74" t="s">
        <v>411</v>
      </c>
      <c r="BA48" s="74" t="s">
        <v>411</v>
      </c>
      <c r="BB48" s="73"/>
      <c r="BC48" s="69"/>
      <c r="BD48" s="760"/>
      <c r="BE48" s="763"/>
      <c r="BF48" s="763"/>
      <c r="BG48" s="73" t="s">
        <v>410</v>
      </c>
      <c r="BH48" s="74" t="s">
        <v>411</v>
      </c>
      <c r="BI48" s="74" t="s">
        <v>411</v>
      </c>
      <c r="BJ48" s="74" t="s">
        <v>411</v>
      </c>
      <c r="BK48" s="73"/>
    </row>
    <row r="49" spans="1:63" s="84" customFormat="1" ht="16.5">
      <c r="A49" s="137"/>
      <c r="B49" s="137"/>
      <c r="C49" s="137"/>
      <c r="D49" s="137"/>
      <c r="E49" s="137"/>
      <c r="F49" s="137"/>
      <c r="AT49" s="69"/>
      <c r="AU49" s="760"/>
      <c r="AV49" s="763"/>
      <c r="AW49" s="73" t="s">
        <v>412</v>
      </c>
      <c r="AX49" s="73" t="s">
        <v>406</v>
      </c>
      <c r="AY49" s="74">
        <v>12</v>
      </c>
      <c r="AZ49" s="74">
        <v>257000</v>
      </c>
      <c r="BA49" s="74">
        <f t="shared" si="0"/>
        <v>3084000</v>
      </c>
      <c r="BB49" s="73"/>
      <c r="BC49" s="69"/>
      <c r="BD49" s="72">
        <v>3</v>
      </c>
      <c r="BE49" s="73" t="s">
        <v>413</v>
      </c>
      <c r="BF49" s="75" t="s">
        <v>403</v>
      </c>
      <c r="BG49" s="76"/>
      <c r="BH49" s="74">
        <v>1</v>
      </c>
      <c r="BI49" s="74">
        <v>100000</v>
      </c>
      <c r="BJ49" s="74">
        <f t="shared" ref="BJ49:BJ55" si="2">BI49*BH49</f>
        <v>100000</v>
      </c>
      <c r="BK49" s="73" t="s">
        <v>414</v>
      </c>
    </row>
    <row r="50" spans="1:63" s="84" customFormat="1" ht="16.5">
      <c r="A50" s="137"/>
      <c r="B50" s="137"/>
      <c r="C50" s="137"/>
      <c r="D50" s="137"/>
      <c r="E50" s="137"/>
      <c r="F50" s="137"/>
      <c r="AT50" s="69"/>
      <c r="AU50" s="72">
        <v>3</v>
      </c>
      <c r="AV50" s="73" t="s">
        <v>413</v>
      </c>
      <c r="AW50" s="764" t="s">
        <v>403</v>
      </c>
      <c r="AX50" s="765"/>
      <c r="AY50" s="74">
        <v>1</v>
      </c>
      <c r="AZ50" s="74">
        <v>100000</v>
      </c>
      <c r="BA50" s="74">
        <f t="shared" si="0"/>
        <v>100000</v>
      </c>
      <c r="BB50" s="73" t="s">
        <v>414</v>
      </c>
      <c r="BC50" s="69"/>
      <c r="BD50" s="72">
        <v>4</v>
      </c>
      <c r="BE50" s="73" t="s">
        <v>415</v>
      </c>
      <c r="BF50" s="75" t="s">
        <v>403</v>
      </c>
      <c r="BG50" s="76"/>
      <c r="BH50" s="74">
        <v>1</v>
      </c>
      <c r="BI50" s="74">
        <v>100000</v>
      </c>
      <c r="BJ50" s="74">
        <f t="shared" si="2"/>
        <v>100000</v>
      </c>
      <c r="BK50" s="73" t="s">
        <v>416</v>
      </c>
    </row>
    <row r="51" spans="1:63" s="84" customFormat="1" ht="16.5">
      <c r="A51" s="137"/>
      <c r="B51" s="137"/>
      <c r="C51" s="137"/>
      <c r="D51" s="137"/>
      <c r="E51" s="137"/>
      <c r="F51" s="137"/>
      <c r="AT51" s="69"/>
      <c r="AU51" s="72">
        <v>4</v>
      </c>
      <c r="AV51" s="73" t="s">
        <v>415</v>
      </c>
      <c r="AW51" s="764" t="s">
        <v>403</v>
      </c>
      <c r="AX51" s="765"/>
      <c r="AY51" s="74">
        <v>1</v>
      </c>
      <c r="AZ51" s="74">
        <v>100000</v>
      </c>
      <c r="BA51" s="74">
        <f t="shared" si="0"/>
        <v>100000</v>
      </c>
      <c r="BB51" s="73" t="s">
        <v>416</v>
      </c>
      <c r="BC51" s="69"/>
      <c r="BD51" s="72">
        <v>5</v>
      </c>
      <c r="BE51" s="73" t="s">
        <v>417</v>
      </c>
      <c r="BF51" s="75" t="s">
        <v>403</v>
      </c>
      <c r="BG51" s="76"/>
      <c r="BH51" s="74">
        <v>1</v>
      </c>
      <c r="BI51" s="74">
        <v>100000</v>
      </c>
      <c r="BJ51" s="74">
        <f t="shared" si="2"/>
        <v>100000</v>
      </c>
      <c r="BK51" s="73" t="s">
        <v>418</v>
      </c>
    </row>
    <row r="52" spans="1:63" s="84" customFormat="1" ht="16.5">
      <c r="A52" s="137"/>
      <c r="B52" s="137"/>
      <c r="C52" s="137"/>
      <c r="D52" s="137"/>
      <c r="E52" s="137"/>
      <c r="F52" s="137"/>
      <c r="AT52" s="69"/>
      <c r="AU52" s="72">
        <v>5</v>
      </c>
      <c r="AV52" s="73" t="s">
        <v>417</v>
      </c>
      <c r="AW52" s="764" t="s">
        <v>403</v>
      </c>
      <c r="AX52" s="765"/>
      <c r="AY52" s="74">
        <v>1</v>
      </c>
      <c r="AZ52" s="74">
        <v>100000</v>
      </c>
      <c r="BA52" s="74">
        <f t="shared" si="0"/>
        <v>100000</v>
      </c>
      <c r="BB52" s="73" t="s">
        <v>418</v>
      </c>
      <c r="BC52" s="69"/>
      <c r="BD52" s="72">
        <v>6</v>
      </c>
      <c r="BE52" s="73" t="s">
        <v>419</v>
      </c>
      <c r="BF52" s="75" t="s">
        <v>403</v>
      </c>
      <c r="BG52" s="76"/>
      <c r="BH52" s="74">
        <v>1</v>
      </c>
      <c r="BI52" s="74">
        <v>300000</v>
      </c>
      <c r="BJ52" s="74">
        <f t="shared" si="2"/>
        <v>300000</v>
      </c>
      <c r="BK52" s="73" t="s">
        <v>420</v>
      </c>
    </row>
    <row r="53" spans="1:63" s="84" customFormat="1" ht="16.5">
      <c r="A53" s="137"/>
      <c r="B53" s="137"/>
      <c r="C53" s="137"/>
      <c r="D53" s="137"/>
      <c r="E53" s="137"/>
      <c r="F53" s="137"/>
      <c r="AT53" s="69"/>
      <c r="AU53" s="72">
        <v>6</v>
      </c>
      <c r="AV53" s="73" t="s">
        <v>419</v>
      </c>
      <c r="AW53" s="764" t="s">
        <v>403</v>
      </c>
      <c r="AX53" s="765"/>
      <c r="AY53" s="74">
        <v>1</v>
      </c>
      <c r="AZ53" s="74">
        <v>300000</v>
      </c>
      <c r="BA53" s="74">
        <f t="shared" si="0"/>
        <v>300000</v>
      </c>
      <c r="BB53" s="73" t="s">
        <v>420</v>
      </c>
      <c r="BC53" s="69"/>
      <c r="BD53" s="72">
        <v>7</v>
      </c>
      <c r="BE53" s="73" t="s">
        <v>421</v>
      </c>
      <c r="BF53" s="75" t="s">
        <v>403</v>
      </c>
      <c r="BG53" s="76"/>
      <c r="BH53" s="74">
        <v>1</v>
      </c>
      <c r="BI53" s="74">
        <v>100000</v>
      </c>
      <c r="BJ53" s="74">
        <f t="shared" si="2"/>
        <v>100000</v>
      </c>
      <c r="BK53" s="73" t="s">
        <v>422</v>
      </c>
    </row>
    <row r="54" spans="1:63" s="84" customFormat="1" ht="16.5">
      <c r="A54" s="137"/>
      <c r="B54" s="137"/>
      <c r="C54" s="137"/>
      <c r="D54" s="137"/>
      <c r="E54" s="137"/>
      <c r="F54" s="137"/>
      <c r="AT54" s="69"/>
      <c r="AU54" s="72">
        <v>7</v>
      </c>
      <c r="AV54" s="73" t="s">
        <v>421</v>
      </c>
      <c r="AW54" s="764" t="s">
        <v>403</v>
      </c>
      <c r="AX54" s="765"/>
      <c r="AY54" s="74">
        <v>1</v>
      </c>
      <c r="AZ54" s="74">
        <v>100000</v>
      </c>
      <c r="BA54" s="74">
        <f t="shared" si="0"/>
        <v>100000</v>
      </c>
      <c r="BB54" s="73" t="s">
        <v>422</v>
      </c>
      <c r="BC54" s="69"/>
      <c r="BD54" s="77">
        <v>8</v>
      </c>
      <c r="BE54" s="78" t="s">
        <v>423</v>
      </c>
      <c r="BF54" s="764" t="s">
        <v>403</v>
      </c>
      <c r="BG54" s="765"/>
      <c r="BH54" s="74">
        <v>2</v>
      </c>
      <c r="BI54" s="74">
        <v>50000</v>
      </c>
      <c r="BJ54" s="74">
        <f t="shared" si="2"/>
        <v>100000</v>
      </c>
      <c r="BK54" s="73" t="s">
        <v>424</v>
      </c>
    </row>
    <row r="55" spans="1:63" s="84" customFormat="1" ht="16.5">
      <c r="A55" s="137"/>
      <c r="B55" s="137"/>
      <c r="C55" s="137"/>
      <c r="D55" s="137"/>
      <c r="E55" s="137"/>
      <c r="F55" s="137"/>
      <c r="AT55" s="69"/>
      <c r="AU55" s="77">
        <v>8</v>
      </c>
      <c r="AV55" s="78" t="s">
        <v>423</v>
      </c>
      <c r="AW55" s="764" t="s">
        <v>403</v>
      </c>
      <c r="AX55" s="765"/>
      <c r="AY55" s="74">
        <v>2</v>
      </c>
      <c r="AZ55" s="74">
        <v>50000</v>
      </c>
      <c r="BA55" s="74">
        <f t="shared" si="0"/>
        <v>100000</v>
      </c>
      <c r="BB55" s="73" t="s">
        <v>424</v>
      </c>
      <c r="BC55" s="69"/>
      <c r="BD55" s="77">
        <v>9</v>
      </c>
      <c r="BE55" s="78" t="s">
        <v>425</v>
      </c>
      <c r="BF55" s="79" t="s">
        <v>405</v>
      </c>
      <c r="BG55" s="80"/>
      <c r="BH55" s="74">
        <v>12</v>
      </c>
      <c r="BI55" s="74">
        <v>10000</v>
      </c>
      <c r="BJ55" s="74">
        <f t="shared" si="2"/>
        <v>120000</v>
      </c>
      <c r="BK55" s="73" t="s">
        <v>424</v>
      </c>
    </row>
    <row r="56" spans="1:63" s="84" customFormat="1" ht="16.5">
      <c r="A56" s="137"/>
      <c r="B56" s="137"/>
      <c r="C56" s="137"/>
      <c r="D56" s="137"/>
      <c r="E56" s="137"/>
      <c r="F56" s="137"/>
      <c r="AT56" s="69"/>
      <c r="AU56" s="77">
        <v>9</v>
      </c>
      <c r="AV56" s="78" t="s">
        <v>425</v>
      </c>
      <c r="AW56" s="79" t="s">
        <v>405</v>
      </c>
      <c r="AX56" s="80"/>
      <c r="AY56" s="74">
        <v>12</v>
      </c>
      <c r="AZ56" s="74">
        <v>10000</v>
      </c>
      <c r="BA56" s="74">
        <f t="shared" si="0"/>
        <v>120000</v>
      </c>
      <c r="BB56" s="73" t="s">
        <v>424</v>
      </c>
      <c r="BC56" s="69"/>
      <c r="BD56" s="756" t="s">
        <v>426</v>
      </c>
      <c r="BE56" s="756"/>
      <c r="BF56" s="756"/>
      <c r="BG56" s="756"/>
      <c r="BH56" s="756"/>
      <c r="BI56" s="756"/>
      <c r="BJ56" s="81">
        <f>SUM(BJ43:BJ55)</f>
        <v>8490000</v>
      </c>
      <c r="BK56" s="73"/>
    </row>
    <row r="57" spans="1:63" s="84" customFormat="1" ht="16.5">
      <c r="A57" s="137"/>
      <c r="B57" s="137"/>
      <c r="C57" s="137"/>
      <c r="D57" s="137"/>
      <c r="E57" s="137"/>
      <c r="F57" s="137"/>
      <c r="AT57" s="69"/>
      <c r="AU57" s="756" t="s">
        <v>426</v>
      </c>
      <c r="AV57" s="756"/>
      <c r="AW57" s="756"/>
      <c r="AX57" s="756"/>
      <c r="AY57" s="756"/>
      <c r="AZ57" s="756"/>
      <c r="BA57" s="81">
        <f>SUM(BA42:BA56)</f>
        <v>11574000</v>
      </c>
      <c r="BB57" s="73"/>
      <c r="BC57" s="69"/>
      <c r="BD57" s="69"/>
      <c r="BE57" s="69"/>
      <c r="BF57" s="69"/>
      <c r="BG57" s="69"/>
      <c r="BH57" s="69"/>
      <c r="BI57" s="69"/>
      <c r="BJ57" s="69"/>
      <c r="BK57" s="69"/>
    </row>
    <row r="58" spans="1:63" s="84" customFormat="1" ht="16.5">
      <c r="A58" s="137"/>
      <c r="B58" s="137"/>
      <c r="C58" s="137"/>
      <c r="D58" s="137"/>
      <c r="E58" s="137"/>
      <c r="F58" s="137"/>
      <c r="AT58" s="69"/>
      <c r="AU58" s="69"/>
      <c r="AV58" s="69"/>
      <c r="AW58" s="69"/>
      <c r="AX58" s="69"/>
      <c r="AY58" s="69"/>
      <c r="AZ58" s="69"/>
      <c r="BA58" s="69"/>
      <c r="BB58" s="69"/>
      <c r="BC58" s="69"/>
      <c r="BD58" s="69"/>
      <c r="BE58" s="69"/>
      <c r="BF58" s="69"/>
      <c r="BG58" s="69"/>
      <c r="BH58" s="69"/>
      <c r="BI58" s="69"/>
      <c r="BJ58" s="69"/>
      <c r="BK58" s="69"/>
    </row>
    <row r="59" spans="1:63" s="84" customFormat="1" ht="16.5">
      <c r="A59" s="137"/>
      <c r="B59" s="137"/>
      <c r="C59" s="137"/>
      <c r="D59" s="137"/>
      <c r="E59" s="137"/>
      <c r="F59" s="137"/>
      <c r="AT59" s="69"/>
      <c r="AU59" s="70"/>
      <c r="AV59" s="71"/>
      <c r="AW59" s="71"/>
      <c r="AX59" s="71"/>
      <c r="AY59" s="70"/>
      <c r="AZ59" s="70"/>
      <c r="BA59" s="70"/>
      <c r="BB59" s="71"/>
      <c r="BC59" s="69"/>
      <c r="BD59" s="69"/>
      <c r="BE59" s="69"/>
      <c r="BF59" s="69"/>
      <c r="BG59" s="69"/>
      <c r="BH59" s="69"/>
      <c r="BI59" s="69"/>
      <c r="BJ59" s="69"/>
      <c r="BK59" s="69"/>
    </row>
    <row r="60" spans="1:63" s="84" customFormat="1" ht="16.5">
      <c r="A60" s="137"/>
      <c r="B60" s="137"/>
      <c r="C60" s="137"/>
      <c r="D60" s="137"/>
      <c r="E60" s="137"/>
      <c r="F60" s="137"/>
      <c r="AT60" s="71" t="s">
        <v>427</v>
      </c>
      <c r="AU60" s="71"/>
      <c r="AV60" s="71"/>
      <c r="AW60" s="71"/>
      <c r="AX60" s="71"/>
      <c r="AY60" s="70"/>
      <c r="AZ60" s="70"/>
      <c r="BA60" s="70"/>
      <c r="BB60" s="71"/>
      <c r="BC60" s="69"/>
      <c r="BD60" s="69"/>
      <c r="BE60" s="69"/>
      <c r="BF60" s="69"/>
      <c r="BG60" s="69"/>
      <c r="BH60" s="69"/>
      <c r="BI60" s="69"/>
      <c r="BJ60" s="69"/>
      <c r="BK60" s="69"/>
    </row>
    <row r="61" spans="1:63" s="84" customFormat="1" ht="16.5">
      <c r="A61" s="137"/>
      <c r="B61" s="137"/>
      <c r="C61" s="137"/>
      <c r="D61" s="137"/>
      <c r="E61" s="137"/>
      <c r="F61" s="137"/>
      <c r="AT61" s="69"/>
      <c r="AU61" s="70"/>
      <c r="AV61" s="71"/>
      <c r="AW61" s="71"/>
      <c r="AX61" s="71"/>
      <c r="AY61" s="70"/>
      <c r="AZ61" s="70"/>
      <c r="BA61" s="70"/>
      <c r="BB61" s="71"/>
      <c r="BC61" s="69"/>
      <c r="BD61" s="69"/>
      <c r="BE61" s="69"/>
      <c r="BF61" s="69"/>
      <c r="BG61" s="69"/>
      <c r="BH61" s="69"/>
      <c r="BI61" s="69"/>
      <c r="BJ61" s="69"/>
      <c r="BK61" s="69"/>
    </row>
    <row r="62" spans="1:63" s="84" customFormat="1" ht="16.5">
      <c r="A62" s="137"/>
      <c r="B62" s="137"/>
      <c r="C62" s="137"/>
      <c r="D62" s="137"/>
      <c r="E62" s="137"/>
      <c r="F62" s="137"/>
      <c r="AT62" s="70"/>
      <c r="AU62" s="72" t="s">
        <v>395</v>
      </c>
      <c r="AV62" s="72" t="s">
        <v>396</v>
      </c>
      <c r="AW62" s="757" t="s">
        <v>397</v>
      </c>
      <c r="AX62" s="757"/>
      <c r="AY62" s="72" t="s">
        <v>398</v>
      </c>
      <c r="AZ62" s="72" t="s">
        <v>399</v>
      </c>
      <c r="BA62" s="72" t="s">
        <v>400</v>
      </c>
      <c r="BB62" s="72" t="s">
        <v>401</v>
      </c>
      <c r="BC62" s="69"/>
      <c r="BD62" s="69"/>
      <c r="BE62" s="69"/>
      <c r="BF62" s="69"/>
      <c r="BG62" s="69"/>
      <c r="BH62" s="69"/>
      <c r="BI62" s="69"/>
      <c r="BJ62" s="69"/>
      <c r="BK62" s="69"/>
    </row>
    <row r="63" spans="1:63" s="84" customFormat="1" ht="16.5">
      <c r="A63" s="137"/>
      <c r="B63" s="137"/>
      <c r="C63" s="137"/>
      <c r="D63" s="137"/>
      <c r="E63" s="137"/>
      <c r="F63" s="137"/>
      <c r="AT63" s="69"/>
      <c r="AU63" s="72">
        <v>1</v>
      </c>
      <c r="AV63" s="73" t="s">
        <v>428</v>
      </c>
      <c r="AW63" s="764" t="s">
        <v>403</v>
      </c>
      <c r="AX63" s="765"/>
      <c r="AY63" s="74">
        <v>12</v>
      </c>
      <c r="AZ63" s="74">
        <v>200000</v>
      </c>
      <c r="BA63" s="74">
        <f>AZ63*AY63</f>
        <v>2400000</v>
      </c>
      <c r="BB63" s="73"/>
      <c r="BC63" s="69"/>
      <c r="BD63" s="69"/>
      <c r="BE63" s="69"/>
      <c r="BF63" s="69"/>
      <c r="BG63" s="69"/>
      <c r="BH63" s="69"/>
      <c r="BI63" s="69"/>
      <c r="BJ63" s="69"/>
      <c r="BK63" s="69"/>
    </row>
    <row r="64" spans="1:63" s="84" customFormat="1" ht="16.5">
      <c r="A64" s="137"/>
      <c r="B64" s="137"/>
      <c r="C64" s="137"/>
      <c r="D64" s="137"/>
      <c r="E64" s="137"/>
      <c r="F64" s="137"/>
      <c r="AT64" s="69"/>
      <c r="AU64" s="758">
        <v>2</v>
      </c>
      <c r="AV64" s="761" t="s">
        <v>429</v>
      </c>
      <c r="AW64" s="766" t="s">
        <v>430</v>
      </c>
      <c r="AX64" s="767"/>
      <c r="AY64" s="74">
        <v>4</v>
      </c>
      <c r="AZ64" s="74">
        <v>300000</v>
      </c>
      <c r="BA64" s="74">
        <f t="shared" ref="BA64:BA70" si="3">AZ64*AY64</f>
        <v>1200000</v>
      </c>
      <c r="BB64" s="73"/>
      <c r="BC64" s="69"/>
      <c r="BD64" s="69"/>
      <c r="BE64" s="69"/>
      <c r="BF64" s="69"/>
      <c r="BG64" s="69"/>
      <c r="BH64" s="69"/>
      <c r="BI64" s="69"/>
      <c r="BJ64" s="69"/>
      <c r="BK64" s="69"/>
    </row>
    <row r="65" spans="1:63" s="84" customFormat="1" ht="16.5">
      <c r="A65" s="137"/>
      <c r="B65" s="137"/>
      <c r="C65" s="137"/>
      <c r="D65" s="137"/>
      <c r="E65" s="137"/>
      <c r="F65" s="137"/>
      <c r="AT65" s="69"/>
      <c r="AU65" s="760"/>
      <c r="AV65" s="763"/>
      <c r="AW65" s="766" t="s">
        <v>431</v>
      </c>
      <c r="AX65" s="767"/>
      <c r="AY65" s="74">
        <v>4</v>
      </c>
      <c r="AZ65" s="74">
        <v>100000</v>
      </c>
      <c r="BA65" s="74">
        <f t="shared" si="3"/>
        <v>400000</v>
      </c>
      <c r="BB65" s="73"/>
      <c r="BC65" s="69"/>
      <c r="BD65" s="69"/>
      <c r="BE65" s="69"/>
      <c r="BF65" s="69"/>
      <c r="BG65" s="69"/>
      <c r="BH65" s="69"/>
      <c r="BI65" s="69"/>
      <c r="BJ65" s="69"/>
      <c r="BK65" s="69"/>
    </row>
    <row r="66" spans="1:63" s="84" customFormat="1" ht="16.5">
      <c r="A66" s="137"/>
      <c r="B66" s="137"/>
      <c r="C66" s="137"/>
      <c r="D66" s="137"/>
      <c r="E66" s="137"/>
      <c r="F66" s="137"/>
      <c r="AT66" s="69"/>
      <c r="AU66" s="758">
        <v>3</v>
      </c>
      <c r="AV66" s="761" t="s">
        <v>432</v>
      </c>
      <c r="AW66" s="761" t="s">
        <v>405</v>
      </c>
      <c r="AX66" s="73" t="s">
        <v>430</v>
      </c>
      <c r="AY66" s="74">
        <v>2</v>
      </c>
      <c r="AZ66" s="74">
        <v>200000</v>
      </c>
      <c r="BA66" s="74">
        <f t="shared" si="3"/>
        <v>400000</v>
      </c>
      <c r="BB66" s="73"/>
      <c r="BC66" s="69"/>
      <c r="BD66" s="69"/>
      <c r="BE66" s="69"/>
      <c r="BF66" s="69"/>
      <c r="BG66" s="69"/>
      <c r="BH66" s="69"/>
      <c r="BI66" s="69"/>
      <c r="BJ66" s="69"/>
      <c r="BK66" s="69"/>
    </row>
    <row r="67" spans="1:63" s="84" customFormat="1" ht="16.5">
      <c r="A67" s="137"/>
      <c r="B67" s="137"/>
      <c r="C67" s="137"/>
      <c r="D67" s="137"/>
      <c r="E67" s="137"/>
      <c r="F67" s="137"/>
      <c r="AT67" s="69"/>
      <c r="AU67" s="759"/>
      <c r="AV67" s="762"/>
      <c r="AW67" s="762"/>
      <c r="AX67" s="73" t="s">
        <v>433</v>
      </c>
      <c r="AY67" s="74">
        <v>2</v>
      </c>
      <c r="AZ67" s="74">
        <v>200000</v>
      </c>
      <c r="BA67" s="74">
        <f t="shared" si="3"/>
        <v>400000</v>
      </c>
      <c r="BB67" s="73"/>
      <c r="BC67" s="69"/>
      <c r="BD67" s="69"/>
      <c r="BE67" s="69"/>
      <c r="BF67" s="69"/>
      <c r="BG67" s="69"/>
      <c r="BH67" s="69"/>
      <c r="BI67" s="69"/>
      <c r="BJ67" s="69"/>
      <c r="BK67" s="69"/>
    </row>
    <row r="68" spans="1:63" s="84" customFormat="1" ht="16.5">
      <c r="A68" s="137"/>
      <c r="B68" s="137"/>
      <c r="C68" s="137"/>
      <c r="D68" s="137"/>
      <c r="E68" s="137"/>
      <c r="F68" s="137"/>
      <c r="AT68" s="69"/>
      <c r="AU68" s="759"/>
      <c r="AV68" s="762"/>
      <c r="AW68" s="761" t="s">
        <v>412</v>
      </c>
      <c r="AX68" s="73" t="s">
        <v>430</v>
      </c>
      <c r="AY68" s="74">
        <v>2</v>
      </c>
      <c r="AZ68" s="74">
        <v>200000</v>
      </c>
      <c r="BA68" s="74">
        <f t="shared" si="3"/>
        <v>400000</v>
      </c>
      <c r="BB68" s="73"/>
      <c r="BC68" s="69"/>
      <c r="BD68" s="69"/>
      <c r="BE68" s="69"/>
      <c r="BF68" s="69"/>
      <c r="BG68" s="69"/>
      <c r="BH68" s="69"/>
      <c r="BI68" s="69"/>
      <c r="BJ68" s="69"/>
      <c r="BK68" s="69"/>
    </row>
    <row r="69" spans="1:63" s="84" customFormat="1" ht="16.5">
      <c r="A69" s="137"/>
      <c r="B69" s="137"/>
      <c r="C69" s="137"/>
      <c r="D69" s="137"/>
      <c r="E69" s="137"/>
      <c r="F69" s="137"/>
      <c r="AT69" s="69"/>
      <c r="AU69" s="760"/>
      <c r="AV69" s="763"/>
      <c r="AW69" s="763"/>
      <c r="AX69" s="73" t="s">
        <v>431</v>
      </c>
      <c r="AY69" s="74">
        <v>2</v>
      </c>
      <c r="AZ69" s="74">
        <v>100000</v>
      </c>
      <c r="BA69" s="74">
        <f t="shared" si="3"/>
        <v>200000</v>
      </c>
      <c r="BB69" s="73"/>
      <c r="BC69" s="69"/>
      <c r="BD69" s="69"/>
      <c r="BE69" s="69"/>
      <c r="BF69" s="69"/>
      <c r="BG69" s="69"/>
      <c r="BH69" s="69"/>
      <c r="BI69" s="69"/>
      <c r="BJ69" s="69"/>
      <c r="BK69" s="69"/>
    </row>
    <row r="70" spans="1:63" s="84" customFormat="1" ht="16.5">
      <c r="A70" s="137"/>
      <c r="B70" s="137"/>
      <c r="C70" s="137"/>
      <c r="D70" s="137"/>
      <c r="E70" s="137"/>
      <c r="F70" s="137"/>
      <c r="AT70" s="69"/>
      <c r="AU70" s="72">
        <v>4</v>
      </c>
      <c r="AV70" s="73" t="s">
        <v>434</v>
      </c>
      <c r="AW70" s="764" t="s">
        <v>403</v>
      </c>
      <c r="AX70" s="765"/>
      <c r="AY70" s="74">
        <v>1</v>
      </c>
      <c r="AZ70" s="74">
        <v>200000</v>
      </c>
      <c r="BA70" s="74">
        <f t="shared" si="3"/>
        <v>200000</v>
      </c>
      <c r="BB70" s="73"/>
      <c r="BC70" s="69"/>
      <c r="BD70" s="69"/>
      <c r="BE70" s="69"/>
      <c r="BF70" s="69"/>
      <c r="BG70" s="69"/>
      <c r="BH70" s="69"/>
      <c r="BI70" s="69"/>
      <c r="BJ70" s="69"/>
      <c r="BK70" s="69"/>
    </row>
    <row r="71" spans="1:63" s="84" customFormat="1" ht="16.5">
      <c r="A71" s="137"/>
      <c r="B71" s="137"/>
      <c r="C71" s="137"/>
      <c r="D71" s="137"/>
      <c r="E71" s="137"/>
      <c r="F71" s="137"/>
      <c r="AT71" s="69"/>
      <c r="AU71" s="756" t="s">
        <v>426</v>
      </c>
      <c r="AV71" s="756"/>
      <c r="AW71" s="756"/>
      <c r="AX71" s="756"/>
      <c r="AY71" s="756"/>
      <c r="AZ71" s="756"/>
      <c r="BA71" s="81">
        <f>SUM(BA63:BA70)</f>
        <v>5600000</v>
      </c>
      <c r="BB71" s="73"/>
      <c r="BC71" s="69"/>
      <c r="BD71" s="69"/>
      <c r="BE71" s="69"/>
      <c r="BF71" s="69"/>
      <c r="BG71" s="69"/>
      <c r="BH71" s="69"/>
      <c r="BI71" s="69"/>
      <c r="BJ71" s="69"/>
      <c r="BK71" s="69"/>
    </row>
    <row r="72" spans="1:63" s="84" customFormat="1" ht="16.5">
      <c r="A72" s="137"/>
      <c r="B72" s="137"/>
      <c r="C72" s="137"/>
      <c r="D72" s="137"/>
      <c r="E72" s="137"/>
      <c r="F72" s="137"/>
      <c r="AT72" s="69"/>
      <c r="AU72" s="70"/>
      <c r="AV72" s="71"/>
      <c r="AW72" s="71"/>
      <c r="AX72" s="71"/>
      <c r="AY72" s="70"/>
      <c r="AZ72" s="70"/>
      <c r="BA72" s="70"/>
      <c r="BB72" s="71"/>
      <c r="BC72" s="69"/>
      <c r="BD72" s="69"/>
      <c r="BE72" s="69"/>
      <c r="BF72" s="69"/>
      <c r="BG72" s="69"/>
      <c r="BH72" s="69"/>
      <c r="BI72" s="69"/>
      <c r="BJ72" s="69"/>
      <c r="BK72" s="69"/>
    </row>
    <row r="73" spans="1:63" s="84" customFormat="1" ht="16.5">
      <c r="A73" s="137"/>
      <c r="B73" s="137"/>
      <c r="C73" s="137"/>
      <c r="D73" s="137"/>
      <c r="E73" s="137"/>
      <c r="F73" s="137"/>
      <c r="AT73" s="69"/>
      <c r="AU73" s="70"/>
      <c r="AV73" s="71"/>
      <c r="AW73" s="71"/>
      <c r="AX73" s="71"/>
      <c r="AY73" s="70"/>
      <c r="AZ73" s="70"/>
      <c r="BA73" s="70"/>
      <c r="BB73" s="71"/>
      <c r="BC73" s="69"/>
      <c r="BD73" s="69"/>
      <c r="BE73" s="69"/>
      <c r="BF73" s="69"/>
      <c r="BG73" s="69"/>
      <c r="BH73" s="69"/>
      <c r="BI73" s="69"/>
      <c r="BJ73" s="69"/>
      <c r="BK73" s="69"/>
    </row>
    <row r="74" spans="1:63" s="84" customFormat="1" ht="16.5">
      <c r="A74" s="137"/>
      <c r="B74" s="137"/>
      <c r="C74" s="137"/>
      <c r="D74" s="137"/>
      <c r="E74" s="137"/>
      <c r="F74" s="137"/>
      <c r="AT74" s="71" t="s">
        <v>435</v>
      </c>
      <c r="AU74" s="71"/>
      <c r="AV74" s="71"/>
      <c r="AW74" s="71"/>
      <c r="AX74" s="71"/>
      <c r="AY74" s="70"/>
      <c r="AZ74" s="70"/>
      <c r="BA74" s="70"/>
      <c r="BB74" s="71"/>
      <c r="BC74" s="69"/>
      <c r="BD74" s="69"/>
      <c r="BE74" s="69"/>
      <c r="BF74" s="69"/>
      <c r="BG74" s="69"/>
      <c r="BH74" s="69"/>
      <c r="BI74" s="69"/>
      <c r="BJ74" s="69"/>
      <c r="BK74" s="69"/>
    </row>
    <row r="75" spans="1:63" s="84" customFormat="1" ht="16.5">
      <c r="A75" s="137"/>
      <c r="B75" s="137"/>
      <c r="C75" s="137"/>
      <c r="D75" s="137"/>
      <c r="E75" s="137"/>
      <c r="F75" s="137"/>
      <c r="AT75" s="69"/>
      <c r="AU75" s="70"/>
      <c r="AV75" s="71"/>
      <c r="AW75" s="71"/>
      <c r="AX75" s="71"/>
      <c r="AY75" s="70"/>
      <c r="AZ75" s="70"/>
      <c r="BA75" s="70"/>
      <c r="BB75" s="71"/>
      <c r="BC75" s="69"/>
      <c r="BD75" s="69"/>
      <c r="BE75" s="69"/>
      <c r="BF75" s="69"/>
      <c r="BG75" s="69"/>
      <c r="BH75" s="69"/>
      <c r="BI75" s="69"/>
      <c r="BJ75" s="69"/>
      <c r="BK75" s="69"/>
    </row>
    <row r="76" spans="1:63" s="84" customFormat="1" ht="16.5">
      <c r="A76" s="137"/>
      <c r="B76" s="137"/>
      <c r="C76" s="137"/>
      <c r="D76" s="137"/>
      <c r="E76" s="137"/>
      <c r="F76" s="137"/>
      <c r="AT76" s="70"/>
      <c r="AU76" s="72" t="s">
        <v>395</v>
      </c>
      <c r="AV76" s="72" t="s">
        <v>396</v>
      </c>
      <c r="AW76" s="757" t="s">
        <v>397</v>
      </c>
      <c r="AX76" s="757"/>
      <c r="AY76" s="72" t="s">
        <v>398</v>
      </c>
      <c r="AZ76" s="72" t="s">
        <v>399</v>
      </c>
      <c r="BA76" s="72" t="s">
        <v>400</v>
      </c>
      <c r="BB76" s="72" t="s">
        <v>401</v>
      </c>
      <c r="BC76" s="69"/>
      <c r="BD76" s="69"/>
      <c r="BE76" s="69"/>
      <c r="BF76" s="69"/>
      <c r="BG76" s="69"/>
      <c r="BH76" s="69"/>
      <c r="BI76" s="69"/>
      <c r="BJ76" s="69"/>
      <c r="BK76" s="69"/>
    </row>
    <row r="77" spans="1:63" s="84" customFormat="1" ht="16.5">
      <c r="A77" s="137"/>
      <c r="B77" s="137"/>
      <c r="C77" s="137"/>
      <c r="D77" s="137"/>
      <c r="E77" s="137"/>
      <c r="F77" s="137"/>
      <c r="AT77" s="69"/>
      <c r="AU77" s="758">
        <v>1</v>
      </c>
      <c r="AV77" s="761" t="s">
        <v>436</v>
      </c>
      <c r="AW77" s="761" t="s">
        <v>405</v>
      </c>
      <c r="AX77" s="73" t="s">
        <v>437</v>
      </c>
      <c r="AY77" s="74">
        <v>1</v>
      </c>
      <c r="AZ77" s="74">
        <v>1000000</v>
      </c>
      <c r="BA77" s="74">
        <f t="shared" ref="BA77:BA95" si="4">AZ77*AY77</f>
        <v>1000000</v>
      </c>
      <c r="BB77" s="73"/>
      <c r="BC77" s="69"/>
      <c r="BD77" s="69"/>
      <c r="BE77" s="69"/>
      <c r="BF77" s="69"/>
      <c r="BG77" s="69"/>
      <c r="BH77" s="69"/>
      <c r="BI77" s="69"/>
      <c r="BJ77" s="69"/>
      <c r="BK77" s="69"/>
    </row>
    <row r="78" spans="1:63" s="84" customFormat="1" ht="16.5">
      <c r="A78" s="137"/>
      <c r="B78" s="137"/>
      <c r="C78" s="137"/>
      <c r="D78" s="137"/>
      <c r="E78" s="137"/>
      <c r="F78" s="137"/>
      <c r="AT78" s="69"/>
      <c r="AU78" s="759"/>
      <c r="AV78" s="762"/>
      <c r="AW78" s="762"/>
      <c r="AX78" s="73" t="s">
        <v>438</v>
      </c>
      <c r="AY78" s="74">
        <v>1</v>
      </c>
      <c r="AZ78" s="74">
        <v>3000000</v>
      </c>
      <c r="BA78" s="74">
        <f t="shared" si="4"/>
        <v>3000000</v>
      </c>
      <c r="BB78" s="73" t="s">
        <v>439</v>
      </c>
      <c r="BC78" s="69"/>
      <c r="BD78" s="69"/>
      <c r="BE78" s="69"/>
      <c r="BF78" s="69"/>
      <c r="BG78" s="69"/>
      <c r="BH78" s="69"/>
      <c r="BI78" s="69"/>
      <c r="BJ78" s="69"/>
      <c r="BK78" s="69"/>
    </row>
    <row r="79" spans="1:63" s="84" customFormat="1" ht="16.5">
      <c r="A79" s="137"/>
      <c r="B79" s="137"/>
      <c r="C79" s="137"/>
      <c r="D79" s="137"/>
      <c r="E79" s="137"/>
      <c r="F79" s="137"/>
      <c r="AT79" s="69"/>
      <c r="AU79" s="759"/>
      <c r="AV79" s="762"/>
      <c r="AW79" s="762"/>
      <c r="AX79" s="73" t="s">
        <v>440</v>
      </c>
      <c r="AY79" s="74">
        <v>1</v>
      </c>
      <c r="AZ79" s="74">
        <v>1000000</v>
      </c>
      <c r="BA79" s="74">
        <f t="shared" si="4"/>
        <v>1000000</v>
      </c>
      <c r="BB79" s="73"/>
      <c r="BC79" s="69"/>
      <c r="BD79" s="69"/>
      <c r="BE79" s="69"/>
      <c r="BF79" s="69"/>
      <c r="BG79" s="69"/>
      <c r="BH79" s="69"/>
      <c r="BI79" s="69"/>
      <c r="BJ79" s="69"/>
      <c r="BK79" s="69"/>
    </row>
    <row r="80" spans="1:63" s="84" customFormat="1" ht="16.5">
      <c r="A80" s="137"/>
      <c r="B80" s="137"/>
      <c r="C80" s="137"/>
      <c r="D80" s="137"/>
      <c r="E80" s="137"/>
      <c r="F80" s="137"/>
      <c r="AT80" s="69"/>
      <c r="AU80" s="759"/>
      <c r="AV80" s="762"/>
      <c r="AW80" s="761" t="s">
        <v>412</v>
      </c>
      <c r="AX80" s="73" t="s">
        <v>441</v>
      </c>
      <c r="AY80" s="74">
        <v>1</v>
      </c>
      <c r="AZ80" s="74">
        <v>1500000</v>
      </c>
      <c r="BA80" s="74">
        <f t="shared" si="4"/>
        <v>1500000</v>
      </c>
      <c r="BB80" s="73"/>
      <c r="BC80" s="69"/>
      <c r="BD80" s="69"/>
      <c r="BE80" s="69"/>
      <c r="BF80" s="69"/>
      <c r="BG80" s="69"/>
      <c r="BH80" s="69"/>
      <c r="BI80" s="69"/>
      <c r="BJ80" s="69"/>
      <c r="BK80" s="69"/>
    </row>
    <row r="81" spans="1:63" s="84" customFormat="1" ht="16.5">
      <c r="A81" s="137"/>
      <c r="B81" s="137"/>
      <c r="C81" s="137"/>
      <c r="D81" s="137"/>
      <c r="E81" s="137"/>
      <c r="F81" s="137"/>
      <c r="AT81" s="69"/>
      <c r="AU81" s="759"/>
      <c r="AV81" s="762"/>
      <c r="AW81" s="762"/>
      <c r="AX81" s="73" t="s">
        <v>437</v>
      </c>
      <c r="AY81" s="74">
        <v>1</v>
      </c>
      <c r="AZ81" s="74">
        <v>1000000</v>
      </c>
      <c r="BA81" s="74">
        <f t="shared" si="4"/>
        <v>1000000</v>
      </c>
      <c r="BB81" s="73"/>
      <c r="BC81" s="69"/>
      <c r="BD81" s="69"/>
      <c r="BE81" s="69"/>
      <c r="BF81" s="69"/>
      <c r="BG81" s="69"/>
      <c r="BH81" s="69"/>
      <c r="BI81" s="69"/>
      <c r="BJ81" s="69"/>
      <c r="BK81" s="69"/>
    </row>
    <row r="82" spans="1:63" s="84" customFormat="1" ht="16.5">
      <c r="A82" s="137"/>
      <c r="B82" s="137"/>
      <c r="C82" s="137"/>
      <c r="D82" s="137"/>
      <c r="E82" s="137"/>
      <c r="F82" s="137"/>
      <c r="AT82" s="69"/>
      <c r="AU82" s="759"/>
      <c r="AV82" s="762"/>
      <c r="AW82" s="762"/>
      <c r="AX82" s="73" t="s">
        <v>438</v>
      </c>
      <c r="AY82" s="74">
        <v>1</v>
      </c>
      <c r="AZ82" s="74">
        <v>1500000</v>
      </c>
      <c r="BA82" s="74">
        <f t="shared" si="4"/>
        <v>1500000</v>
      </c>
      <c r="BB82" s="73"/>
      <c r="BC82" s="69"/>
      <c r="BD82" s="69"/>
      <c r="BE82" s="69"/>
      <c r="BF82" s="69"/>
      <c r="BG82" s="69"/>
      <c r="BH82" s="69"/>
      <c r="BI82" s="69"/>
      <c r="BJ82" s="69"/>
      <c r="BK82" s="69"/>
    </row>
    <row r="83" spans="1:63" s="84" customFormat="1" ht="16.5">
      <c r="A83" s="137"/>
      <c r="B83" s="137"/>
      <c r="C83" s="137"/>
      <c r="D83" s="137"/>
      <c r="E83" s="137"/>
      <c r="F83" s="137"/>
      <c r="AT83" s="69"/>
      <c r="AU83" s="760"/>
      <c r="AV83" s="763"/>
      <c r="AW83" s="763"/>
      <c r="AX83" s="73" t="s">
        <v>440</v>
      </c>
      <c r="AY83" s="74">
        <v>1</v>
      </c>
      <c r="AZ83" s="74">
        <v>1000000</v>
      </c>
      <c r="BA83" s="74">
        <f t="shared" si="4"/>
        <v>1000000</v>
      </c>
      <c r="BB83" s="73"/>
      <c r="BC83" s="69"/>
      <c r="BD83" s="69"/>
      <c r="BE83" s="69"/>
      <c r="BF83" s="69"/>
      <c r="BG83" s="69"/>
      <c r="BH83" s="69"/>
      <c r="BI83" s="69"/>
      <c r="BJ83" s="69"/>
      <c r="BK83" s="69"/>
    </row>
    <row r="84" spans="1:63" s="84" customFormat="1" ht="16.5">
      <c r="A84" s="137"/>
      <c r="B84" s="137"/>
      <c r="C84" s="137"/>
      <c r="D84" s="137"/>
      <c r="E84" s="137"/>
      <c r="F84" s="137"/>
      <c r="AT84" s="69"/>
      <c r="AU84" s="758">
        <v>2</v>
      </c>
      <c r="AV84" s="761" t="s">
        <v>442</v>
      </c>
      <c r="AW84" s="761" t="s">
        <v>405</v>
      </c>
      <c r="AX84" s="73" t="s">
        <v>443</v>
      </c>
      <c r="AY84" s="74">
        <v>1</v>
      </c>
      <c r="AZ84" s="74">
        <v>300000</v>
      </c>
      <c r="BA84" s="74">
        <f t="shared" si="4"/>
        <v>300000</v>
      </c>
      <c r="BB84" s="73"/>
      <c r="BC84" s="69"/>
      <c r="BD84" s="69"/>
      <c r="BE84" s="69"/>
      <c r="BF84" s="69"/>
      <c r="BG84" s="69"/>
      <c r="BH84" s="69"/>
      <c r="BI84" s="69"/>
      <c r="BJ84" s="69"/>
      <c r="BK84" s="69"/>
    </row>
    <row r="85" spans="1:63" s="84" customFormat="1" ht="16.5">
      <c r="A85" s="137"/>
      <c r="B85" s="137"/>
      <c r="C85" s="137"/>
      <c r="D85" s="137"/>
      <c r="E85" s="137"/>
      <c r="F85" s="137"/>
      <c r="AT85" s="69"/>
      <c r="AU85" s="759"/>
      <c r="AV85" s="762"/>
      <c r="AW85" s="762"/>
      <c r="AX85" s="73" t="s">
        <v>444</v>
      </c>
      <c r="AY85" s="74">
        <v>1</v>
      </c>
      <c r="AZ85" s="74">
        <v>300000</v>
      </c>
      <c r="BA85" s="74">
        <f t="shared" si="4"/>
        <v>300000</v>
      </c>
      <c r="BB85" s="73"/>
      <c r="BC85" s="69"/>
      <c r="BD85" s="69"/>
      <c r="BE85" s="69"/>
      <c r="BF85" s="69"/>
      <c r="BG85" s="69"/>
      <c r="BH85" s="69"/>
      <c r="BI85" s="69"/>
      <c r="BJ85" s="69"/>
      <c r="BK85" s="69"/>
    </row>
    <row r="86" spans="1:63" s="84" customFormat="1" ht="16.5">
      <c r="A86" s="137"/>
      <c r="B86" s="137"/>
      <c r="C86" s="137"/>
      <c r="D86" s="137"/>
      <c r="E86" s="137"/>
      <c r="F86" s="137"/>
      <c r="AT86" s="69"/>
      <c r="AU86" s="759"/>
      <c r="AV86" s="762"/>
      <c r="AW86" s="761" t="s">
        <v>412</v>
      </c>
      <c r="AX86" s="73" t="s">
        <v>445</v>
      </c>
      <c r="AY86" s="74">
        <v>1</v>
      </c>
      <c r="AZ86" s="74">
        <v>1000000</v>
      </c>
      <c r="BA86" s="74">
        <f t="shared" si="4"/>
        <v>1000000</v>
      </c>
      <c r="BB86" s="73"/>
      <c r="BC86" s="69"/>
      <c r="BD86" s="69"/>
      <c r="BE86" s="69"/>
      <c r="BF86" s="69"/>
      <c r="BG86" s="69"/>
      <c r="BH86" s="69"/>
      <c r="BI86" s="69"/>
      <c r="BJ86" s="69"/>
      <c r="BK86" s="69"/>
    </row>
    <row r="87" spans="1:63" s="84" customFormat="1" ht="16.5">
      <c r="A87" s="137"/>
      <c r="B87" s="137"/>
      <c r="C87" s="137"/>
      <c r="D87" s="137"/>
      <c r="E87" s="137"/>
      <c r="F87" s="137"/>
      <c r="AT87" s="69"/>
      <c r="AU87" s="759"/>
      <c r="AV87" s="762"/>
      <c r="AW87" s="762"/>
      <c r="AX87" s="73" t="s">
        <v>446</v>
      </c>
      <c r="AY87" s="74">
        <v>1</v>
      </c>
      <c r="AZ87" s="74">
        <v>500000</v>
      </c>
      <c r="BA87" s="74">
        <f t="shared" si="4"/>
        <v>500000</v>
      </c>
      <c r="BB87" s="73"/>
      <c r="BC87" s="69"/>
      <c r="BD87" s="69"/>
      <c r="BE87" s="69"/>
      <c r="BF87" s="69"/>
      <c r="BG87" s="69"/>
      <c r="BH87" s="69"/>
      <c r="BI87" s="69"/>
      <c r="BJ87" s="69"/>
      <c r="BK87" s="69"/>
    </row>
    <row r="88" spans="1:63" s="84" customFormat="1" ht="16.5">
      <c r="A88" s="137"/>
      <c r="B88" s="137"/>
      <c r="C88" s="137"/>
      <c r="D88" s="137"/>
      <c r="E88" s="137"/>
      <c r="F88" s="137"/>
      <c r="AT88" s="69"/>
      <c r="AU88" s="759"/>
      <c r="AV88" s="762"/>
      <c r="AW88" s="762"/>
      <c r="AX88" s="73" t="s">
        <v>447</v>
      </c>
      <c r="AY88" s="74">
        <v>1</v>
      </c>
      <c r="AZ88" s="74">
        <v>500000</v>
      </c>
      <c r="BA88" s="74">
        <f t="shared" si="4"/>
        <v>500000</v>
      </c>
      <c r="BB88" s="73"/>
      <c r="BC88" s="69"/>
      <c r="BD88" s="69"/>
      <c r="BE88" s="69"/>
      <c r="BF88" s="69"/>
      <c r="BG88" s="69"/>
      <c r="BH88" s="69"/>
      <c r="BI88" s="69"/>
      <c r="BJ88" s="69"/>
      <c r="BK88" s="69"/>
    </row>
    <row r="89" spans="1:63" s="84" customFormat="1" ht="16.5">
      <c r="A89" s="137"/>
      <c r="B89" s="137"/>
      <c r="C89" s="137"/>
      <c r="D89" s="137"/>
      <c r="E89" s="137"/>
      <c r="F89" s="137"/>
      <c r="AT89" s="69"/>
      <c r="AU89" s="759"/>
      <c r="AV89" s="762"/>
      <c r="AW89" s="762"/>
      <c r="AX89" s="73" t="s">
        <v>443</v>
      </c>
      <c r="AY89" s="74">
        <v>1</v>
      </c>
      <c r="AZ89" s="74">
        <v>300000</v>
      </c>
      <c r="BA89" s="74">
        <f t="shared" si="4"/>
        <v>300000</v>
      </c>
      <c r="BB89" s="73"/>
      <c r="BC89" s="69"/>
      <c r="BD89" s="69"/>
      <c r="BE89" s="69"/>
      <c r="BF89" s="69"/>
      <c r="BG89" s="69"/>
      <c r="BH89" s="69"/>
      <c r="BI89" s="69"/>
      <c r="BJ89" s="69"/>
      <c r="BK89" s="69"/>
    </row>
    <row r="90" spans="1:63" s="84" customFormat="1" ht="16.5">
      <c r="A90" s="137"/>
      <c r="B90" s="137"/>
      <c r="C90" s="137"/>
      <c r="D90" s="137"/>
      <c r="E90" s="137"/>
      <c r="F90" s="137"/>
      <c r="AT90" s="69"/>
      <c r="AU90" s="759"/>
      <c r="AV90" s="762"/>
      <c r="AW90" s="762"/>
      <c r="AX90" s="73" t="s">
        <v>444</v>
      </c>
      <c r="AY90" s="74">
        <v>1</v>
      </c>
      <c r="AZ90" s="74">
        <v>300000</v>
      </c>
      <c r="BA90" s="74">
        <f t="shared" si="4"/>
        <v>300000</v>
      </c>
      <c r="BB90" s="73"/>
      <c r="BC90" s="69"/>
      <c r="BD90" s="69"/>
      <c r="BE90" s="69"/>
      <c r="BF90" s="69"/>
      <c r="BG90" s="69"/>
      <c r="BH90" s="69"/>
      <c r="BI90" s="69"/>
      <c r="BJ90" s="69"/>
      <c r="BK90" s="69"/>
    </row>
    <row r="91" spans="1:63" s="84" customFormat="1" ht="16.5">
      <c r="A91" s="137"/>
      <c r="B91" s="137"/>
      <c r="C91" s="137"/>
      <c r="D91" s="137"/>
      <c r="E91" s="137"/>
      <c r="F91" s="137"/>
      <c r="AT91" s="69"/>
      <c r="AU91" s="759"/>
      <c r="AV91" s="762"/>
      <c r="AW91" s="762"/>
      <c r="AX91" s="73" t="s">
        <v>448</v>
      </c>
      <c r="AY91" s="74">
        <v>1</v>
      </c>
      <c r="AZ91" s="74">
        <v>1000000</v>
      </c>
      <c r="BA91" s="74">
        <f t="shared" si="4"/>
        <v>1000000</v>
      </c>
      <c r="BB91" s="73"/>
      <c r="BC91" s="69"/>
      <c r="BD91" s="69"/>
      <c r="BE91" s="69"/>
      <c r="BF91" s="69"/>
      <c r="BG91" s="69"/>
      <c r="BH91" s="69"/>
      <c r="BI91" s="69"/>
      <c r="BJ91" s="69"/>
      <c r="BK91" s="69"/>
    </row>
    <row r="92" spans="1:63" s="84" customFormat="1" ht="16.5">
      <c r="A92" s="137"/>
      <c r="B92" s="137"/>
      <c r="C92" s="137"/>
      <c r="D92" s="137"/>
      <c r="E92" s="137"/>
      <c r="F92" s="137"/>
      <c r="AT92" s="69"/>
      <c r="AU92" s="759"/>
      <c r="AV92" s="762"/>
      <c r="AW92" s="762"/>
      <c r="AX92" s="73" t="s">
        <v>446</v>
      </c>
      <c r="AY92" s="74">
        <v>1</v>
      </c>
      <c r="AZ92" s="74">
        <v>500000</v>
      </c>
      <c r="BA92" s="74">
        <f t="shared" si="4"/>
        <v>500000</v>
      </c>
      <c r="BB92" s="73"/>
      <c r="BC92" s="69"/>
      <c r="BD92" s="69"/>
      <c r="BE92" s="69"/>
      <c r="BF92" s="69"/>
      <c r="BG92" s="69"/>
      <c r="BH92" s="69"/>
      <c r="BI92" s="69"/>
      <c r="BJ92" s="69"/>
      <c r="BK92" s="69"/>
    </row>
    <row r="93" spans="1:63" s="84" customFormat="1" ht="16.5">
      <c r="A93" s="137"/>
      <c r="B93" s="137"/>
      <c r="C93" s="137"/>
      <c r="D93" s="137"/>
      <c r="E93" s="137"/>
      <c r="F93" s="137"/>
      <c r="AT93" s="69"/>
      <c r="AU93" s="759"/>
      <c r="AV93" s="762"/>
      <c r="AW93" s="762"/>
      <c r="AX93" s="73" t="s">
        <v>447</v>
      </c>
      <c r="AY93" s="74">
        <v>1</v>
      </c>
      <c r="AZ93" s="74">
        <v>500000</v>
      </c>
      <c r="BA93" s="74">
        <f t="shared" si="4"/>
        <v>500000</v>
      </c>
      <c r="BB93" s="73"/>
      <c r="BC93" s="69"/>
      <c r="BD93" s="69"/>
      <c r="BE93" s="69"/>
      <c r="BF93" s="69"/>
      <c r="BG93" s="69"/>
      <c r="BH93" s="69"/>
      <c r="BI93" s="69"/>
      <c r="BJ93" s="69"/>
      <c r="BK93" s="69"/>
    </row>
    <row r="94" spans="1:63" s="84" customFormat="1" ht="16.5">
      <c r="A94" s="137"/>
      <c r="B94" s="137"/>
      <c r="C94" s="137"/>
      <c r="D94" s="137"/>
      <c r="E94" s="137"/>
      <c r="F94" s="137"/>
      <c r="AT94" s="69"/>
      <c r="AU94" s="759"/>
      <c r="AV94" s="762"/>
      <c r="AW94" s="762"/>
      <c r="AX94" s="73" t="s">
        <v>443</v>
      </c>
      <c r="AY94" s="74">
        <v>1</v>
      </c>
      <c r="AZ94" s="74">
        <v>300000</v>
      </c>
      <c r="BA94" s="74">
        <f t="shared" si="4"/>
        <v>300000</v>
      </c>
      <c r="BB94" s="73"/>
      <c r="BC94" s="69"/>
      <c r="BD94" s="69"/>
      <c r="BE94" s="69"/>
      <c r="BF94" s="69"/>
      <c r="BG94" s="69"/>
      <c r="BH94" s="69"/>
      <c r="BI94" s="69"/>
      <c r="BJ94" s="69"/>
      <c r="BK94" s="69"/>
    </row>
    <row r="95" spans="1:63" s="84" customFormat="1" ht="16.5">
      <c r="A95" s="137"/>
      <c r="B95" s="137"/>
      <c r="C95" s="137"/>
      <c r="D95" s="137"/>
      <c r="E95" s="137"/>
      <c r="F95" s="137"/>
      <c r="AT95" s="69"/>
      <c r="AU95" s="760"/>
      <c r="AV95" s="763"/>
      <c r="AW95" s="762"/>
      <c r="AX95" s="73" t="s">
        <v>444</v>
      </c>
      <c r="AY95" s="74">
        <v>1</v>
      </c>
      <c r="AZ95" s="74">
        <v>300000</v>
      </c>
      <c r="BA95" s="74">
        <f t="shared" si="4"/>
        <v>300000</v>
      </c>
      <c r="BB95" s="73"/>
      <c r="BC95" s="69"/>
      <c r="BD95" s="69"/>
      <c r="BE95" s="69"/>
      <c r="BF95" s="69"/>
      <c r="BG95" s="69"/>
      <c r="BH95" s="69"/>
      <c r="BI95" s="69"/>
      <c r="BJ95" s="69"/>
      <c r="BK95" s="69"/>
    </row>
    <row r="96" spans="1:63" s="84" customFormat="1" ht="16.5">
      <c r="A96" s="137"/>
      <c r="B96" s="137"/>
      <c r="C96" s="137"/>
      <c r="D96" s="137"/>
      <c r="E96" s="137"/>
      <c r="F96" s="137"/>
      <c r="AT96" s="69"/>
      <c r="AU96" s="756" t="s">
        <v>426</v>
      </c>
      <c r="AV96" s="756"/>
      <c r="AW96" s="756"/>
      <c r="AX96" s="756"/>
      <c r="AY96" s="756"/>
      <c r="AZ96" s="756"/>
      <c r="BA96" s="81">
        <f>SUM(BA77:BA95)</f>
        <v>15800000</v>
      </c>
      <c r="BB96" s="73"/>
      <c r="BC96" s="69"/>
      <c r="BD96" s="69"/>
      <c r="BE96" s="69"/>
      <c r="BF96" s="69"/>
      <c r="BG96" s="69"/>
      <c r="BH96" s="69"/>
      <c r="BI96" s="69"/>
      <c r="BJ96" s="69"/>
      <c r="BK96" s="69"/>
    </row>
    <row r="97" spans="1:6" s="84" customFormat="1">
      <c r="A97" s="137"/>
      <c r="B97" s="137"/>
      <c r="C97" s="137"/>
      <c r="D97" s="137"/>
      <c r="E97" s="137"/>
      <c r="F97" s="137"/>
    </row>
    <row r="98" spans="1:6" s="84" customFormat="1">
      <c r="A98" s="137"/>
      <c r="B98" s="137"/>
      <c r="C98" s="137"/>
      <c r="D98" s="137"/>
      <c r="E98" s="137"/>
      <c r="F98" s="137"/>
    </row>
    <row r="99" spans="1:6" s="84" customFormat="1">
      <c r="A99" s="137"/>
      <c r="B99" s="137"/>
      <c r="C99" s="137"/>
      <c r="D99" s="137"/>
      <c r="E99" s="137"/>
      <c r="F99" s="137"/>
    </row>
    <row r="100" spans="1:6" s="84" customFormat="1">
      <c r="A100" s="137"/>
      <c r="B100" s="137"/>
      <c r="C100" s="137"/>
      <c r="D100" s="137"/>
      <c r="E100" s="137"/>
      <c r="F100" s="137"/>
    </row>
    <row r="101" spans="1:6" s="84" customFormat="1">
      <c r="A101" s="137"/>
      <c r="B101" s="137"/>
      <c r="C101" s="137"/>
      <c r="D101" s="137"/>
      <c r="E101" s="137"/>
      <c r="F101" s="137"/>
    </row>
    <row r="102" spans="1:6" s="84" customFormat="1">
      <c r="A102" s="137"/>
      <c r="B102" s="137"/>
      <c r="C102" s="137"/>
      <c r="D102" s="137"/>
      <c r="E102" s="137"/>
      <c r="F102" s="137"/>
    </row>
    <row r="103" spans="1:6" s="84" customFormat="1">
      <c r="A103" s="137"/>
      <c r="B103" s="137"/>
      <c r="C103" s="137"/>
      <c r="D103" s="137"/>
      <c r="E103" s="137"/>
      <c r="F103" s="137"/>
    </row>
    <row r="104" spans="1:6" s="84" customFormat="1">
      <c r="A104" s="137"/>
      <c r="B104" s="137"/>
      <c r="C104" s="137"/>
      <c r="D104" s="137"/>
      <c r="E104" s="137"/>
      <c r="F104" s="137"/>
    </row>
    <row r="105" spans="1:6" s="84" customFormat="1">
      <c r="A105" s="137"/>
      <c r="B105" s="137"/>
      <c r="C105" s="137"/>
      <c r="D105" s="137"/>
      <c r="E105" s="137"/>
      <c r="F105" s="137"/>
    </row>
  </sheetData>
  <mergeCells count="51">
    <mergeCell ref="A1:D1"/>
    <mergeCell ref="I1:L1"/>
    <mergeCell ref="A2:A12"/>
    <mergeCell ref="J3:K3"/>
    <mergeCell ref="J4:K4"/>
    <mergeCell ref="B12:C12"/>
    <mergeCell ref="B8:B9"/>
    <mergeCell ref="C8:C9"/>
    <mergeCell ref="A13:A21"/>
    <mergeCell ref="B21:C21"/>
    <mergeCell ref="AW42:AX42"/>
    <mergeCell ref="BF42:BG42"/>
    <mergeCell ref="AW43:AX43"/>
    <mergeCell ref="BF43:BG43"/>
    <mergeCell ref="BF54:BG54"/>
    <mergeCell ref="AU44:AU49"/>
    <mergeCell ref="AV44:AV49"/>
    <mergeCell ref="AW44:AW48"/>
    <mergeCell ref="BD44:BD48"/>
    <mergeCell ref="BE44:BE48"/>
    <mergeCell ref="BF44:BF48"/>
    <mergeCell ref="AW50:AX50"/>
    <mergeCell ref="AW51:AX51"/>
    <mergeCell ref="AW52:AX52"/>
    <mergeCell ref="AW53:AX53"/>
    <mergeCell ref="AW54:AX54"/>
    <mergeCell ref="AU71:AZ71"/>
    <mergeCell ref="AW55:AX55"/>
    <mergeCell ref="BD56:BI56"/>
    <mergeCell ref="AU57:AZ57"/>
    <mergeCell ref="AW62:AX62"/>
    <mergeCell ref="AW63:AX63"/>
    <mergeCell ref="AU64:AU65"/>
    <mergeCell ref="AV64:AV65"/>
    <mergeCell ref="AW64:AX64"/>
    <mergeCell ref="AW65:AX65"/>
    <mergeCell ref="AU66:AU69"/>
    <mergeCell ref="AV66:AV69"/>
    <mergeCell ref="AW66:AW67"/>
    <mergeCell ref="AW68:AW69"/>
    <mergeCell ref="AW70:AX70"/>
    <mergeCell ref="AU96:AZ96"/>
    <mergeCell ref="AW76:AX76"/>
    <mergeCell ref="AU77:AU83"/>
    <mergeCell ref="AV77:AV83"/>
    <mergeCell ref="AW77:AW79"/>
    <mergeCell ref="AW80:AW83"/>
    <mergeCell ref="AU84:AU95"/>
    <mergeCell ref="AV84:AV95"/>
    <mergeCell ref="AW84:AW85"/>
    <mergeCell ref="AW86:AW95"/>
  </mergeCells>
  <phoneticPr fontId="5" type="noConversion"/>
  <pageMargins left="0.7" right="0.7" top="0.75" bottom="0.75" header="0.3" footer="0.3"/>
  <pageSetup paperSize="9" scale="36"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37"/>
  <sheetViews>
    <sheetView zoomScaleNormal="100" workbookViewId="0">
      <pane xSplit="4" ySplit="3" topLeftCell="E22" activePane="bottomRight" state="frozen"/>
      <selection activeCell="E8" sqref="E8"/>
      <selection pane="topRight" activeCell="E8" sqref="E8"/>
      <selection pane="bottomLeft" activeCell="E8" sqref="E8"/>
      <selection pane="bottomRight" activeCell="L42" sqref="L42"/>
    </sheetView>
  </sheetViews>
  <sheetFormatPr defaultColWidth="9" defaultRowHeight="13.5" outlineLevelCol="1"/>
  <cols>
    <col min="1" max="1" width="4.75" style="138" bestFit="1" customWidth="1"/>
    <col min="2" max="2" width="21.25" style="138" customWidth="1"/>
    <col min="3" max="3" width="24.75" style="138" customWidth="1"/>
    <col min="4" max="4" width="11.25" style="138" customWidth="1"/>
    <col min="5" max="8" width="11.25" style="138" customWidth="1" outlineLevel="1"/>
    <col min="9" max="9" width="11.25" style="138" customWidth="1"/>
    <col min="10" max="11" width="11.25" style="138" customWidth="1" outlineLevel="1"/>
    <col min="12" max="18" width="11.25" style="138" customWidth="1"/>
    <col min="19" max="16384" width="9" style="138"/>
  </cols>
  <sheetData>
    <row r="1" spans="1:19">
      <c r="A1" s="779" t="s">
        <v>1049</v>
      </c>
      <c r="B1" s="779" t="s">
        <v>449</v>
      </c>
      <c r="C1" s="779" t="s">
        <v>1050</v>
      </c>
      <c r="D1" s="779" t="s">
        <v>1051</v>
      </c>
      <c r="E1" s="779" t="s">
        <v>1052</v>
      </c>
      <c r="F1" s="779" t="s">
        <v>1053</v>
      </c>
      <c r="G1" s="779" t="s">
        <v>1054</v>
      </c>
      <c r="H1" s="779" t="s">
        <v>1055</v>
      </c>
      <c r="I1" s="779" t="s">
        <v>1056</v>
      </c>
      <c r="J1" s="779" t="s">
        <v>1057</v>
      </c>
      <c r="K1" s="779" t="s">
        <v>1058</v>
      </c>
      <c r="L1" s="778" t="s">
        <v>1059</v>
      </c>
      <c r="M1" s="778"/>
      <c r="N1" s="778"/>
      <c r="O1" s="778" t="s">
        <v>1060</v>
      </c>
      <c r="P1" s="778"/>
      <c r="Q1" s="778"/>
      <c r="R1" s="779" t="s">
        <v>153</v>
      </c>
    </row>
    <row r="2" spans="1:19">
      <c r="A2" s="780"/>
      <c r="B2" s="780"/>
      <c r="C2" s="780"/>
      <c r="D2" s="780"/>
      <c r="E2" s="780"/>
      <c r="F2" s="780"/>
      <c r="G2" s="780"/>
      <c r="H2" s="780"/>
      <c r="I2" s="780"/>
      <c r="J2" s="780"/>
      <c r="K2" s="780"/>
      <c r="L2" s="782"/>
      <c r="M2" s="783"/>
      <c r="N2" s="784"/>
      <c r="O2" s="785"/>
      <c r="P2" s="786"/>
      <c r="Q2" s="787"/>
      <c r="R2" s="780"/>
    </row>
    <row r="3" spans="1:19">
      <c r="A3" s="781"/>
      <c r="B3" s="781"/>
      <c r="C3" s="781"/>
      <c r="D3" s="781"/>
      <c r="E3" s="781"/>
      <c r="F3" s="781"/>
      <c r="G3" s="781"/>
      <c r="H3" s="781"/>
      <c r="I3" s="781"/>
      <c r="J3" s="781"/>
      <c r="K3" s="781"/>
      <c r="L3" s="139" t="s">
        <v>1061</v>
      </c>
      <c r="M3" s="140" t="s">
        <v>1047</v>
      </c>
      <c r="N3" s="140" t="s">
        <v>1062</v>
      </c>
      <c r="O3" s="141" t="s">
        <v>1061</v>
      </c>
      <c r="P3" s="140" t="s">
        <v>1047</v>
      </c>
      <c r="Q3" s="140" t="s">
        <v>1062</v>
      </c>
      <c r="R3" s="781"/>
    </row>
    <row r="4" spans="1:19">
      <c r="A4" s="142">
        <f t="shared" ref="A4:A5" si="0">ROW()-3</f>
        <v>1</v>
      </c>
      <c r="B4" s="143" t="s">
        <v>1063</v>
      </c>
      <c r="C4" s="144" t="s">
        <v>1064</v>
      </c>
      <c r="D4" s="145">
        <f t="shared" ref="D4:D36" si="1">SUM(E4:G4)</f>
        <v>650000000</v>
      </c>
      <c r="E4" s="145">
        <v>650000000</v>
      </c>
      <c r="F4" s="146" t="s">
        <v>1065</v>
      </c>
      <c r="G4" s="145">
        <v>0</v>
      </c>
      <c r="H4" s="146" t="s">
        <v>2</v>
      </c>
      <c r="I4" s="145">
        <f>SUM(J4:K4)</f>
        <v>637720873</v>
      </c>
      <c r="J4" s="145">
        <f>M4+P4</f>
        <v>637720873</v>
      </c>
      <c r="K4" s="145">
        <v>0</v>
      </c>
      <c r="L4" s="147">
        <f>SUM(M4:N4)</f>
        <v>636220873</v>
      </c>
      <c r="M4" s="148">
        <v>636220873</v>
      </c>
      <c r="N4" s="148">
        <v>0</v>
      </c>
      <c r="O4" s="149">
        <f>SUM(P4:Q4)</f>
        <v>1500000</v>
      </c>
      <c r="P4" s="148">
        <v>1500000</v>
      </c>
      <c r="Q4" s="148">
        <v>0</v>
      </c>
      <c r="R4" s="148"/>
    </row>
    <row r="5" spans="1:19">
      <c r="A5" s="142">
        <f t="shared" si="0"/>
        <v>2</v>
      </c>
      <c r="B5" s="143" t="s">
        <v>1066</v>
      </c>
      <c r="C5" s="144" t="s">
        <v>1067</v>
      </c>
      <c r="D5" s="145">
        <f t="shared" si="1"/>
        <v>30000000</v>
      </c>
      <c r="E5" s="145">
        <v>0</v>
      </c>
      <c r="F5" s="146" t="s">
        <v>2</v>
      </c>
      <c r="G5" s="145">
        <v>30000000</v>
      </c>
      <c r="H5" s="146" t="s">
        <v>1068</v>
      </c>
      <c r="I5" s="145">
        <f t="shared" ref="I5:I36" si="2">SUM(J5:K5)</f>
        <v>27000000</v>
      </c>
      <c r="J5" s="145">
        <v>0</v>
      </c>
      <c r="K5" s="145">
        <v>27000000</v>
      </c>
      <c r="L5" s="147">
        <f t="shared" ref="L5:L36" si="3">SUM(M5:N5)</f>
        <v>27000000</v>
      </c>
      <c r="M5" s="148">
        <v>0</v>
      </c>
      <c r="N5" s="148">
        <v>27000000</v>
      </c>
      <c r="O5" s="149">
        <f t="shared" ref="O5:O36" si="4">SUM(P5:Q5)</f>
        <v>0</v>
      </c>
      <c r="P5" s="148">
        <v>0</v>
      </c>
      <c r="Q5" s="148">
        <v>0</v>
      </c>
      <c r="R5" s="148" t="s">
        <v>1069</v>
      </c>
    </row>
    <row r="6" spans="1:19">
      <c r="A6" s="142">
        <f>ROW()-3</f>
        <v>3</v>
      </c>
      <c r="B6" s="143" t="s">
        <v>1070</v>
      </c>
      <c r="C6" s="144" t="s">
        <v>1071</v>
      </c>
      <c r="D6" s="145">
        <f t="shared" si="1"/>
        <v>1000000</v>
      </c>
      <c r="E6" s="145">
        <v>800000</v>
      </c>
      <c r="F6" s="146" t="s">
        <v>1047</v>
      </c>
      <c r="G6" s="145">
        <v>200000</v>
      </c>
      <c r="H6" s="146" t="s">
        <v>1062</v>
      </c>
      <c r="I6" s="145">
        <f t="shared" si="2"/>
        <v>848989</v>
      </c>
      <c r="J6" s="145">
        <v>648989</v>
      </c>
      <c r="K6" s="145">
        <v>200000</v>
      </c>
      <c r="L6" s="147">
        <f t="shared" si="3"/>
        <v>848989</v>
      </c>
      <c r="M6" s="148">
        <v>648989</v>
      </c>
      <c r="N6" s="148">
        <v>200000</v>
      </c>
      <c r="O6" s="149">
        <f t="shared" si="4"/>
        <v>0</v>
      </c>
      <c r="P6" s="148">
        <v>0</v>
      </c>
      <c r="Q6" s="148">
        <v>0</v>
      </c>
      <c r="R6" s="148" t="s">
        <v>1069</v>
      </c>
    </row>
    <row r="7" spans="1:19">
      <c r="A7" s="142">
        <f t="shared" ref="A7:A36" si="5">ROW()-3</f>
        <v>4</v>
      </c>
      <c r="B7" s="143" t="s">
        <v>1072</v>
      </c>
      <c r="C7" s="144" t="s">
        <v>1073</v>
      </c>
      <c r="D7" s="145">
        <f t="shared" si="1"/>
        <v>4000000</v>
      </c>
      <c r="E7" s="145">
        <v>2000000</v>
      </c>
      <c r="F7" s="146" t="s">
        <v>1074</v>
      </c>
      <c r="G7" s="145">
        <v>2000000</v>
      </c>
      <c r="H7" s="146" t="s">
        <v>1075</v>
      </c>
      <c r="I7" s="145">
        <f t="shared" si="2"/>
        <v>4000000</v>
      </c>
      <c r="J7" s="145">
        <v>2000000</v>
      </c>
      <c r="K7" s="145">
        <v>2000000</v>
      </c>
      <c r="L7" s="147">
        <f t="shared" si="3"/>
        <v>4000000</v>
      </c>
      <c r="M7" s="148">
        <v>2000000</v>
      </c>
      <c r="N7" s="148">
        <v>2000000</v>
      </c>
      <c r="O7" s="149">
        <f t="shared" si="4"/>
        <v>0</v>
      </c>
      <c r="P7" s="148">
        <v>0</v>
      </c>
      <c r="Q7" s="148">
        <v>0</v>
      </c>
      <c r="R7" s="148" t="s">
        <v>1069</v>
      </c>
    </row>
    <row r="8" spans="1:19">
      <c r="A8" s="142">
        <f t="shared" si="5"/>
        <v>5</v>
      </c>
      <c r="B8" s="143" t="s">
        <v>1076</v>
      </c>
      <c r="C8" s="144" t="s">
        <v>1073</v>
      </c>
      <c r="D8" s="145">
        <f t="shared" si="1"/>
        <v>14400000</v>
      </c>
      <c r="E8" s="145">
        <v>5760000</v>
      </c>
      <c r="F8" s="146" t="s">
        <v>1074</v>
      </c>
      <c r="G8" s="145">
        <v>8640000</v>
      </c>
      <c r="H8" s="146" t="s">
        <v>1075</v>
      </c>
      <c r="I8" s="145">
        <f t="shared" si="2"/>
        <v>14400000</v>
      </c>
      <c r="J8" s="145">
        <v>5760000</v>
      </c>
      <c r="K8" s="145">
        <v>8640000</v>
      </c>
      <c r="L8" s="147">
        <f t="shared" si="3"/>
        <v>0</v>
      </c>
      <c r="M8" s="148">
        <v>0</v>
      </c>
      <c r="N8" s="148">
        <v>0</v>
      </c>
      <c r="O8" s="149">
        <f t="shared" si="4"/>
        <v>14400000</v>
      </c>
      <c r="P8" s="148">
        <v>5760000</v>
      </c>
      <c r="Q8" s="148">
        <v>8640000</v>
      </c>
      <c r="R8" s="148" t="s">
        <v>1077</v>
      </c>
      <c r="S8" s="138" t="s">
        <v>1078</v>
      </c>
    </row>
    <row r="9" spans="1:19">
      <c r="A9" s="142">
        <f t="shared" si="5"/>
        <v>6</v>
      </c>
      <c r="B9" s="143" t="s">
        <v>1079</v>
      </c>
      <c r="C9" s="144" t="s">
        <v>1080</v>
      </c>
      <c r="D9" s="145">
        <f t="shared" si="1"/>
        <v>500000</v>
      </c>
      <c r="E9" s="145">
        <v>250000</v>
      </c>
      <c r="F9" s="146" t="s">
        <v>1074</v>
      </c>
      <c r="G9" s="145">
        <v>250000</v>
      </c>
      <c r="H9" s="146" t="s">
        <v>1075</v>
      </c>
      <c r="I9" s="145">
        <f t="shared" si="2"/>
        <v>208275</v>
      </c>
      <c r="J9" s="145">
        <v>123275</v>
      </c>
      <c r="K9" s="145">
        <v>85000</v>
      </c>
      <c r="L9" s="147">
        <f t="shared" si="3"/>
        <v>208275</v>
      </c>
      <c r="M9" s="148">
        <v>123275</v>
      </c>
      <c r="N9" s="148">
        <v>85000</v>
      </c>
      <c r="O9" s="149">
        <f t="shared" si="4"/>
        <v>0</v>
      </c>
      <c r="P9" s="148">
        <v>0</v>
      </c>
      <c r="Q9" s="148">
        <v>0</v>
      </c>
      <c r="R9" s="148" t="s">
        <v>1081</v>
      </c>
    </row>
    <row r="10" spans="1:19">
      <c r="A10" s="142">
        <f t="shared" si="5"/>
        <v>7</v>
      </c>
      <c r="B10" s="143" t="s">
        <v>1082</v>
      </c>
      <c r="C10" s="144" t="s">
        <v>1083</v>
      </c>
      <c r="D10" s="145">
        <v>100000</v>
      </c>
      <c r="E10" s="145">
        <v>100000</v>
      </c>
      <c r="F10" s="146" t="s">
        <v>1074</v>
      </c>
      <c r="G10" s="145">
        <v>0</v>
      </c>
      <c r="H10" s="146" t="s">
        <v>2</v>
      </c>
      <c r="I10" s="145">
        <f t="shared" si="2"/>
        <v>83750</v>
      </c>
      <c r="J10" s="145">
        <v>83750</v>
      </c>
      <c r="K10" s="145">
        <v>0</v>
      </c>
      <c r="L10" s="147">
        <f t="shared" si="3"/>
        <v>83750</v>
      </c>
      <c r="M10" s="148">
        <v>83750</v>
      </c>
      <c r="N10" s="148">
        <v>0</v>
      </c>
      <c r="O10" s="149">
        <f t="shared" si="4"/>
        <v>0</v>
      </c>
      <c r="P10" s="148">
        <v>0</v>
      </c>
      <c r="Q10" s="148">
        <v>0</v>
      </c>
      <c r="R10" s="148" t="s">
        <v>1081</v>
      </c>
    </row>
    <row r="11" spans="1:19">
      <c r="A11" s="142">
        <f t="shared" si="5"/>
        <v>8</v>
      </c>
      <c r="B11" s="143" t="s">
        <v>1084</v>
      </c>
      <c r="C11" s="144" t="s">
        <v>1085</v>
      </c>
      <c r="D11" s="145">
        <f t="shared" ref="D11" si="6">SUM(E11:G11)</f>
        <v>18000</v>
      </c>
      <c r="E11" s="145">
        <v>9000</v>
      </c>
      <c r="F11" s="146" t="s">
        <v>1074</v>
      </c>
      <c r="G11" s="145">
        <v>9000</v>
      </c>
      <c r="H11" s="146" t="s">
        <v>1075</v>
      </c>
      <c r="I11" s="145">
        <f t="shared" si="2"/>
        <v>18000</v>
      </c>
      <c r="J11" s="145">
        <v>9000</v>
      </c>
      <c r="K11" s="145">
        <v>9000</v>
      </c>
      <c r="L11" s="147">
        <f t="shared" si="3"/>
        <v>18000</v>
      </c>
      <c r="M11" s="148">
        <v>9000</v>
      </c>
      <c r="N11" s="148">
        <v>9000</v>
      </c>
      <c r="O11" s="149">
        <f t="shared" si="4"/>
        <v>0</v>
      </c>
      <c r="P11" s="148">
        <v>0</v>
      </c>
      <c r="Q11" s="148">
        <v>0</v>
      </c>
      <c r="R11" s="150" t="s">
        <v>1069</v>
      </c>
    </row>
    <row r="12" spans="1:19">
      <c r="A12" s="142">
        <f t="shared" si="5"/>
        <v>9</v>
      </c>
      <c r="B12" s="143" t="s">
        <v>1086</v>
      </c>
      <c r="C12" s="144" t="s">
        <v>1087</v>
      </c>
      <c r="D12" s="145">
        <f>SUM(E12:G12)</f>
        <v>77000</v>
      </c>
      <c r="E12" s="145">
        <v>38500</v>
      </c>
      <c r="F12" s="146" t="s">
        <v>1074</v>
      </c>
      <c r="G12" s="145">
        <v>38500</v>
      </c>
      <c r="H12" s="146" t="s">
        <v>1075</v>
      </c>
      <c r="I12" s="145">
        <f t="shared" si="2"/>
        <v>77000</v>
      </c>
      <c r="J12" s="145">
        <v>38500</v>
      </c>
      <c r="K12" s="145">
        <v>38500</v>
      </c>
      <c r="L12" s="147">
        <f t="shared" si="3"/>
        <v>77000</v>
      </c>
      <c r="M12" s="148">
        <v>38500</v>
      </c>
      <c r="N12" s="148">
        <v>38500</v>
      </c>
      <c r="O12" s="149">
        <f t="shared" si="4"/>
        <v>0</v>
      </c>
      <c r="P12" s="148">
        <v>0</v>
      </c>
      <c r="Q12" s="148">
        <v>0</v>
      </c>
      <c r="R12" s="148" t="s">
        <v>1081</v>
      </c>
    </row>
    <row r="13" spans="1:19">
      <c r="A13" s="142">
        <f t="shared" si="5"/>
        <v>10</v>
      </c>
      <c r="B13" s="143" t="s">
        <v>1088</v>
      </c>
      <c r="C13" s="144" t="s">
        <v>1089</v>
      </c>
      <c r="D13" s="145">
        <f>SUM(E13:G13)</f>
        <v>530000</v>
      </c>
      <c r="E13" s="145">
        <v>265000</v>
      </c>
      <c r="F13" s="146" t="s">
        <v>1074</v>
      </c>
      <c r="G13" s="145">
        <v>265000</v>
      </c>
      <c r="H13" s="146" t="s">
        <v>1075</v>
      </c>
      <c r="I13" s="145">
        <f t="shared" si="2"/>
        <v>530000</v>
      </c>
      <c r="J13" s="145">
        <v>265000</v>
      </c>
      <c r="K13" s="145">
        <v>265000</v>
      </c>
      <c r="L13" s="147">
        <f t="shared" si="3"/>
        <v>530000</v>
      </c>
      <c r="M13" s="148">
        <v>265000</v>
      </c>
      <c r="N13" s="148">
        <v>265000</v>
      </c>
      <c r="O13" s="149">
        <f t="shared" si="4"/>
        <v>0</v>
      </c>
      <c r="P13" s="148">
        <v>0</v>
      </c>
      <c r="Q13" s="148">
        <v>0</v>
      </c>
      <c r="R13" s="148" t="s">
        <v>1081</v>
      </c>
    </row>
    <row r="14" spans="1:19">
      <c r="A14" s="142">
        <f t="shared" si="5"/>
        <v>11</v>
      </c>
      <c r="B14" s="143" t="s">
        <v>1090</v>
      </c>
      <c r="C14" s="144" t="s">
        <v>1091</v>
      </c>
      <c r="D14" s="145">
        <f t="shared" si="1"/>
        <v>4000000</v>
      </c>
      <c r="E14" s="145">
        <v>2000000</v>
      </c>
      <c r="F14" s="146" t="s">
        <v>1074</v>
      </c>
      <c r="G14" s="145">
        <v>2000000</v>
      </c>
      <c r="H14" s="146" t="s">
        <v>1075</v>
      </c>
      <c r="I14" s="145">
        <f t="shared" si="2"/>
        <v>3733200</v>
      </c>
      <c r="J14" s="145">
        <v>1866600</v>
      </c>
      <c r="K14" s="145">
        <v>1866600</v>
      </c>
      <c r="L14" s="147">
        <f t="shared" si="3"/>
        <v>3733200</v>
      </c>
      <c r="M14" s="148">
        <v>1866600</v>
      </c>
      <c r="N14" s="148">
        <v>1866600</v>
      </c>
      <c r="O14" s="149">
        <f t="shared" si="4"/>
        <v>0</v>
      </c>
      <c r="P14" s="148">
        <v>0</v>
      </c>
      <c r="Q14" s="148">
        <v>0</v>
      </c>
      <c r="R14" s="148" t="s">
        <v>1081</v>
      </c>
    </row>
    <row r="15" spans="1:19">
      <c r="A15" s="142">
        <f t="shared" si="5"/>
        <v>12</v>
      </c>
      <c r="B15" s="143" t="s">
        <v>1090</v>
      </c>
      <c r="C15" s="144" t="s">
        <v>1092</v>
      </c>
      <c r="D15" s="145">
        <f t="shared" si="1"/>
        <v>1000000</v>
      </c>
      <c r="E15" s="145">
        <v>500000</v>
      </c>
      <c r="F15" s="146" t="s">
        <v>1074</v>
      </c>
      <c r="G15" s="145">
        <v>500000</v>
      </c>
      <c r="H15" s="146" t="s">
        <v>1075</v>
      </c>
      <c r="I15" s="145">
        <f t="shared" si="2"/>
        <v>1000000</v>
      </c>
      <c r="J15" s="145">
        <v>500000</v>
      </c>
      <c r="K15" s="145">
        <v>500000</v>
      </c>
      <c r="L15" s="147">
        <f t="shared" si="3"/>
        <v>0</v>
      </c>
      <c r="M15" s="148">
        <v>0</v>
      </c>
      <c r="N15" s="148">
        <v>0</v>
      </c>
      <c r="O15" s="149">
        <f t="shared" si="4"/>
        <v>1000000</v>
      </c>
      <c r="P15" s="148">
        <v>500000</v>
      </c>
      <c r="Q15" s="148">
        <v>500000</v>
      </c>
      <c r="R15" s="148"/>
    </row>
    <row r="16" spans="1:19">
      <c r="A16" s="142">
        <f t="shared" si="5"/>
        <v>13</v>
      </c>
      <c r="B16" s="143" t="s">
        <v>1093</v>
      </c>
      <c r="C16" s="144" t="s">
        <v>1094</v>
      </c>
      <c r="D16" s="145">
        <f t="shared" si="1"/>
        <v>4089500</v>
      </c>
      <c r="E16" s="145">
        <v>2044750</v>
      </c>
      <c r="F16" s="146" t="s">
        <v>1074</v>
      </c>
      <c r="G16" s="145">
        <v>2044750</v>
      </c>
      <c r="H16" s="146" t="s">
        <v>1075</v>
      </c>
      <c r="I16" s="145">
        <f t="shared" si="2"/>
        <v>4089500</v>
      </c>
      <c r="J16" s="145">
        <v>2044750</v>
      </c>
      <c r="K16" s="145">
        <v>2044750</v>
      </c>
      <c r="L16" s="147">
        <f t="shared" si="3"/>
        <v>4089500</v>
      </c>
      <c r="M16" s="148">
        <v>2044750</v>
      </c>
      <c r="N16" s="148">
        <v>2044750</v>
      </c>
      <c r="O16" s="149">
        <f t="shared" si="4"/>
        <v>0</v>
      </c>
      <c r="P16" s="148">
        <v>0</v>
      </c>
      <c r="Q16" s="148">
        <v>0</v>
      </c>
      <c r="R16" s="150" t="s">
        <v>1069</v>
      </c>
    </row>
    <row r="17" spans="1:19">
      <c r="A17" s="142">
        <f t="shared" si="5"/>
        <v>14</v>
      </c>
      <c r="B17" s="143" t="s">
        <v>1095</v>
      </c>
      <c r="C17" s="144" t="s">
        <v>1096</v>
      </c>
      <c r="D17" s="145">
        <v>100000</v>
      </c>
      <c r="E17" s="145">
        <v>0</v>
      </c>
      <c r="F17" s="146" t="s">
        <v>2</v>
      </c>
      <c r="G17" s="145">
        <v>100000</v>
      </c>
      <c r="H17" s="146" t="s">
        <v>1068</v>
      </c>
      <c r="I17" s="145">
        <f t="shared" si="2"/>
        <v>90000</v>
      </c>
      <c r="J17" s="145">
        <v>0</v>
      </c>
      <c r="K17" s="145">
        <v>90000</v>
      </c>
      <c r="L17" s="147">
        <f t="shared" si="3"/>
        <v>90000</v>
      </c>
      <c r="M17" s="148">
        <v>0</v>
      </c>
      <c r="N17" s="148">
        <v>90000</v>
      </c>
      <c r="O17" s="149">
        <f t="shared" si="4"/>
        <v>0</v>
      </c>
      <c r="P17" s="148">
        <v>0</v>
      </c>
      <c r="Q17" s="148">
        <v>0</v>
      </c>
      <c r="R17" s="148" t="s">
        <v>1069</v>
      </c>
    </row>
    <row r="18" spans="1:19">
      <c r="A18" s="142">
        <f t="shared" si="5"/>
        <v>15</v>
      </c>
      <c r="B18" s="143" t="s">
        <v>1097</v>
      </c>
      <c r="C18" s="144" t="s">
        <v>1098</v>
      </c>
      <c r="D18" s="145">
        <f t="shared" si="1"/>
        <v>440000</v>
      </c>
      <c r="E18" s="145">
        <v>440000</v>
      </c>
      <c r="F18" s="146" t="s">
        <v>1074</v>
      </c>
      <c r="G18" s="145">
        <v>0</v>
      </c>
      <c r="H18" s="146" t="s">
        <v>2</v>
      </c>
      <c r="I18" s="145">
        <f t="shared" si="2"/>
        <v>440000</v>
      </c>
      <c r="J18" s="145">
        <v>440000</v>
      </c>
      <c r="K18" s="145">
        <v>0</v>
      </c>
      <c r="L18" s="147">
        <f t="shared" si="3"/>
        <v>440000</v>
      </c>
      <c r="M18" s="148">
        <v>440000</v>
      </c>
      <c r="N18" s="148">
        <v>0</v>
      </c>
      <c r="O18" s="149">
        <f>SUM(P18:Q18)</f>
        <v>0</v>
      </c>
      <c r="P18" s="148">
        <v>0</v>
      </c>
      <c r="Q18" s="148">
        <v>0</v>
      </c>
      <c r="R18" s="148" t="s">
        <v>1081</v>
      </c>
    </row>
    <row r="19" spans="1:19">
      <c r="A19" s="142">
        <f t="shared" si="5"/>
        <v>16</v>
      </c>
      <c r="B19" s="143" t="s">
        <v>1099</v>
      </c>
      <c r="C19" s="144" t="s">
        <v>1100</v>
      </c>
      <c r="D19" s="145">
        <f t="shared" si="1"/>
        <v>510000</v>
      </c>
      <c r="E19" s="145">
        <v>510000</v>
      </c>
      <c r="F19" s="146" t="s">
        <v>1047</v>
      </c>
      <c r="G19" s="145">
        <v>0</v>
      </c>
      <c r="H19" s="146" t="s">
        <v>2</v>
      </c>
      <c r="I19" s="145">
        <f t="shared" si="2"/>
        <v>510000</v>
      </c>
      <c r="J19" s="145">
        <v>510000</v>
      </c>
      <c r="K19" s="145">
        <v>0</v>
      </c>
      <c r="L19" s="147">
        <f t="shared" si="3"/>
        <v>510000</v>
      </c>
      <c r="M19" s="148">
        <v>510000</v>
      </c>
      <c r="N19" s="148">
        <v>0</v>
      </c>
      <c r="O19" s="149">
        <f t="shared" si="4"/>
        <v>0</v>
      </c>
      <c r="P19" s="148">
        <v>0</v>
      </c>
      <c r="Q19" s="148">
        <v>0</v>
      </c>
      <c r="R19" s="148" t="s">
        <v>1069</v>
      </c>
    </row>
    <row r="20" spans="1:19">
      <c r="A20" s="142">
        <f t="shared" si="5"/>
        <v>17</v>
      </c>
      <c r="B20" s="143" t="s">
        <v>1101</v>
      </c>
      <c r="C20" s="144" t="s">
        <v>1102</v>
      </c>
      <c r="D20" s="145">
        <f t="shared" si="1"/>
        <v>2000000</v>
      </c>
      <c r="E20" s="145">
        <v>1000000</v>
      </c>
      <c r="F20" s="146" t="s">
        <v>1074</v>
      </c>
      <c r="G20" s="145">
        <v>1000000</v>
      </c>
      <c r="H20" s="146" t="s">
        <v>1075</v>
      </c>
      <c r="I20" s="145">
        <f t="shared" si="2"/>
        <v>1600000</v>
      </c>
      <c r="J20" s="145">
        <v>800000</v>
      </c>
      <c r="K20" s="145">
        <v>800000</v>
      </c>
      <c r="L20" s="147">
        <f t="shared" si="3"/>
        <v>1600000</v>
      </c>
      <c r="M20" s="148">
        <v>800000</v>
      </c>
      <c r="N20" s="148">
        <v>800000</v>
      </c>
      <c r="O20" s="149">
        <f t="shared" si="4"/>
        <v>0</v>
      </c>
      <c r="P20" s="148">
        <v>0</v>
      </c>
      <c r="Q20" s="148">
        <v>0</v>
      </c>
      <c r="R20" s="148" t="s">
        <v>1081</v>
      </c>
    </row>
    <row r="21" spans="1:19">
      <c r="A21" s="142">
        <f t="shared" si="5"/>
        <v>18</v>
      </c>
      <c r="B21" s="143" t="s">
        <v>1103</v>
      </c>
      <c r="C21" s="144" t="s">
        <v>1104</v>
      </c>
      <c r="D21" s="145">
        <f t="shared" si="1"/>
        <v>8000000</v>
      </c>
      <c r="E21" s="145">
        <v>8000000</v>
      </c>
      <c r="F21" s="146" t="s">
        <v>1074</v>
      </c>
      <c r="G21" s="145">
        <v>0</v>
      </c>
      <c r="H21" s="146" t="s">
        <v>2</v>
      </c>
      <c r="I21" s="145">
        <f t="shared" si="2"/>
        <v>8300000</v>
      </c>
      <c r="J21" s="145">
        <v>8300000</v>
      </c>
      <c r="K21" s="145">
        <v>0</v>
      </c>
      <c r="L21" s="147">
        <f t="shared" si="3"/>
        <v>8300000</v>
      </c>
      <c r="M21" s="148">
        <v>8300000</v>
      </c>
      <c r="N21" s="148">
        <v>0</v>
      </c>
      <c r="O21" s="149">
        <f t="shared" si="4"/>
        <v>0</v>
      </c>
      <c r="P21" s="148">
        <v>0</v>
      </c>
      <c r="Q21" s="148">
        <v>0</v>
      </c>
      <c r="R21" s="148" t="s">
        <v>1081</v>
      </c>
    </row>
    <row r="22" spans="1:19">
      <c r="A22" s="142">
        <f t="shared" si="5"/>
        <v>19</v>
      </c>
      <c r="B22" s="143" t="s">
        <v>1103</v>
      </c>
      <c r="C22" s="144" t="s">
        <v>1105</v>
      </c>
      <c r="D22" s="145">
        <f t="shared" si="1"/>
        <v>3000000</v>
      </c>
      <c r="E22" s="145">
        <v>3000000</v>
      </c>
      <c r="F22" s="146" t="s">
        <v>1074</v>
      </c>
      <c r="G22" s="145">
        <v>0</v>
      </c>
      <c r="H22" s="146" t="s">
        <v>2</v>
      </c>
      <c r="I22" s="145">
        <f t="shared" si="2"/>
        <v>2800000</v>
      </c>
      <c r="J22" s="145">
        <v>2800000</v>
      </c>
      <c r="K22" s="145">
        <v>0</v>
      </c>
      <c r="L22" s="147">
        <f>SUM(M22:N22)</f>
        <v>2800000</v>
      </c>
      <c r="M22" s="148">
        <v>2800000</v>
      </c>
      <c r="N22" s="148">
        <v>0</v>
      </c>
      <c r="O22" s="149">
        <f t="shared" si="4"/>
        <v>0</v>
      </c>
      <c r="P22" s="148">
        <v>0</v>
      </c>
      <c r="Q22" s="148">
        <v>0</v>
      </c>
      <c r="R22" s="148" t="s">
        <v>1069</v>
      </c>
    </row>
    <row r="23" spans="1:19">
      <c r="A23" s="142">
        <f t="shared" si="5"/>
        <v>20</v>
      </c>
      <c r="B23" s="143" t="s">
        <v>1106</v>
      </c>
      <c r="C23" s="144" t="s">
        <v>1107</v>
      </c>
      <c r="D23" s="145">
        <f t="shared" si="1"/>
        <v>15000000</v>
      </c>
      <c r="E23" s="145">
        <v>0</v>
      </c>
      <c r="F23" s="146" t="s">
        <v>2</v>
      </c>
      <c r="G23" s="145">
        <v>15000000</v>
      </c>
      <c r="H23" s="146" t="s">
        <v>1075</v>
      </c>
      <c r="I23" s="145">
        <f t="shared" si="2"/>
        <v>12927000</v>
      </c>
      <c r="J23" s="145">
        <v>0</v>
      </c>
      <c r="K23" s="145">
        <v>12927000</v>
      </c>
      <c r="L23" s="147">
        <f t="shared" si="3"/>
        <v>12927000</v>
      </c>
      <c r="M23" s="148">
        <v>0</v>
      </c>
      <c r="N23" s="148">
        <v>12927000</v>
      </c>
      <c r="O23" s="149">
        <f t="shared" si="4"/>
        <v>0</v>
      </c>
      <c r="P23" s="148">
        <v>0</v>
      </c>
      <c r="Q23" s="148">
        <v>0</v>
      </c>
      <c r="R23" s="148" t="s">
        <v>1081</v>
      </c>
    </row>
    <row r="24" spans="1:19">
      <c r="A24" s="142">
        <f t="shared" si="5"/>
        <v>21</v>
      </c>
      <c r="B24" s="143" t="s">
        <v>1108</v>
      </c>
      <c r="C24" s="144" t="s">
        <v>1109</v>
      </c>
      <c r="D24" s="145">
        <v>2500000</v>
      </c>
      <c r="E24" s="145">
        <v>0</v>
      </c>
      <c r="F24" s="146" t="s">
        <v>2</v>
      </c>
      <c r="G24" s="145">
        <v>2500000</v>
      </c>
      <c r="H24" s="146" t="s">
        <v>1075</v>
      </c>
      <c r="I24" s="145">
        <f t="shared" si="2"/>
        <v>2300000</v>
      </c>
      <c r="J24" s="145">
        <v>0</v>
      </c>
      <c r="K24" s="145">
        <v>2300000</v>
      </c>
      <c r="L24" s="147">
        <f t="shared" si="3"/>
        <v>2300000</v>
      </c>
      <c r="M24" s="148">
        <v>0</v>
      </c>
      <c r="N24" s="148">
        <v>2300000</v>
      </c>
      <c r="O24" s="149">
        <f t="shared" si="4"/>
        <v>0</v>
      </c>
      <c r="P24" s="148">
        <v>0</v>
      </c>
      <c r="Q24" s="148">
        <v>0</v>
      </c>
      <c r="R24" s="148" t="s">
        <v>1069</v>
      </c>
    </row>
    <row r="25" spans="1:19">
      <c r="A25" s="142">
        <f t="shared" si="5"/>
        <v>22</v>
      </c>
      <c r="B25" s="143" t="s">
        <v>1110</v>
      </c>
      <c r="C25" s="144" t="s">
        <v>1111</v>
      </c>
      <c r="D25" s="145">
        <v>500000</v>
      </c>
      <c r="E25" s="145">
        <v>500000</v>
      </c>
      <c r="F25" s="146" t="s">
        <v>1074</v>
      </c>
      <c r="G25" s="145">
        <v>0</v>
      </c>
      <c r="H25" s="146" t="s">
        <v>2</v>
      </c>
      <c r="I25" s="145">
        <f t="shared" si="2"/>
        <v>300000</v>
      </c>
      <c r="J25" s="145">
        <v>300000</v>
      </c>
      <c r="K25" s="145">
        <v>0</v>
      </c>
      <c r="L25" s="147">
        <f t="shared" si="3"/>
        <v>300000</v>
      </c>
      <c r="M25" s="148">
        <v>300000</v>
      </c>
      <c r="N25" s="148">
        <v>0</v>
      </c>
      <c r="O25" s="149">
        <f t="shared" si="4"/>
        <v>0</v>
      </c>
      <c r="P25" s="148">
        <v>0</v>
      </c>
      <c r="Q25" s="148">
        <v>0</v>
      </c>
      <c r="R25" s="148" t="s">
        <v>1081</v>
      </c>
    </row>
    <row r="26" spans="1:19">
      <c r="A26" s="142">
        <f t="shared" si="5"/>
        <v>23</v>
      </c>
      <c r="B26" s="143" t="s">
        <v>1112</v>
      </c>
      <c r="C26" s="144" t="s">
        <v>1113</v>
      </c>
      <c r="D26" s="145">
        <f t="shared" si="1"/>
        <v>300000</v>
      </c>
      <c r="E26" s="145">
        <v>300000</v>
      </c>
      <c r="F26" s="146" t="s">
        <v>1074</v>
      </c>
      <c r="G26" s="145">
        <v>0</v>
      </c>
      <c r="H26" s="146" t="s">
        <v>2</v>
      </c>
      <c r="I26" s="145" t="s">
        <v>1113</v>
      </c>
      <c r="J26" s="145" t="s">
        <v>1113</v>
      </c>
      <c r="K26" s="145">
        <v>0</v>
      </c>
      <c r="L26" s="147">
        <f t="shared" si="3"/>
        <v>0</v>
      </c>
      <c r="M26" s="148">
        <v>0</v>
      </c>
      <c r="N26" s="148">
        <v>0</v>
      </c>
      <c r="O26" s="149" t="s">
        <v>1113</v>
      </c>
      <c r="P26" s="148" t="s">
        <v>1113</v>
      </c>
      <c r="Q26" s="148">
        <v>0</v>
      </c>
      <c r="R26" s="148"/>
      <c r="S26" s="138" t="s">
        <v>1078</v>
      </c>
    </row>
    <row r="27" spans="1:19">
      <c r="A27" s="142">
        <f t="shared" si="5"/>
        <v>24</v>
      </c>
      <c r="B27" s="143" t="s">
        <v>1114</v>
      </c>
      <c r="C27" s="144" t="s">
        <v>1111</v>
      </c>
      <c r="D27" s="145">
        <f t="shared" si="1"/>
        <v>300000</v>
      </c>
      <c r="E27" s="145">
        <v>0</v>
      </c>
      <c r="F27" s="146" t="s">
        <v>2</v>
      </c>
      <c r="G27" s="145">
        <v>300000</v>
      </c>
      <c r="H27" s="146" t="s">
        <v>1075</v>
      </c>
      <c r="I27" s="145">
        <f t="shared" si="2"/>
        <v>300000</v>
      </c>
      <c r="J27" s="145">
        <v>0</v>
      </c>
      <c r="K27" s="145">
        <v>300000</v>
      </c>
      <c r="L27" s="147">
        <f t="shared" si="3"/>
        <v>300000</v>
      </c>
      <c r="M27" s="148">
        <v>0</v>
      </c>
      <c r="N27" s="148">
        <v>300000</v>
      </c>
      <c r="O27" s="149">
        <f t="shared" si="4"/>
        <v>0</v>
      </c>
      <c r="P27" s="148">
        <v>0</v>
      </c>
      <c r="Q27" s="148">
        <v>0</v>
      </c>
      <c r="R27" s="148" t="s">
        <v>1069</v>
      </c>
    </row>
    <row r="28" spans="1:19">
      <c r="A28" s="142">
        <f t="shared" si="5"/>
        <v>25</v>
      </c>
      <c r="B28" s="143" t="s">
        <v>1115</v>
      </c>
      <c r="C28" s="144" t="s">
        <v>1113</v>
      </c>
      <c r="D28" s="145">
        <f t="shared" si="1"/>
        <v>300000</v>
      </c>
      <c r="E28" s="145">
        <v>0</v>
      </c>
      <c r="F28" s="146" t="s">
        <v>2</v>
      </c>
      <c r="G28" s="145">
        <v>300000</v>
      </c>
      <c r="H28" s="146" t="s">
        <v>1075</v>
      </c>
      <c r="I28" s="145" t="s">
        <v>1113</v>
      </c>
      <c r="J28" s="145">
        <v>0</v>
      </c>
      <c r="K28" s="145" t="s">
        <v>1113</v>
      </c>
      <c r="L28" s="147">
        <f t="shared" si="3"/>
        <v>0</v>
      </c>
      <c r="M28" s="148">
        <v>0</v>
      </c>
      <c r="N28" s="148">
        <v>0</v>
      </c>
      <c r="O28" s="149" t="s">
        <v>1113</v>
      </c>
      <c r="P28" s="148">
        <v>0</v>
      </c>
      <c r="Q28" s="148" t="s">
        <v>1113</v>
      </c>
      <c r="R28" s="148"/>
    </row>
    <row r="29" spans="1:19">
      <c r="A29" s="142">
        <f t="shared" si="5"/>
        <v>26</v>
      </c>
      <c r="B29" s="143" t="s">
        <v>1116</v>
      </c>
      <c r="C29" s="144" t="s">
        <v>3</v>
      </c>
      <c r="D29" s="145">
        <f t="shared" si="1"/>
        <v>70000000</v>
      </c>
      <c r="E29" s="145">
        <v>0</v>
      </c>
      <c r="F29" s="146" t="s">
        <v>2</v>
      </c>
      <c r="G29" s="145">
        <v>70000000</v>
      </c>
      <c r="H29" s="146" t="s">
        <v>1075</v>
      </c>
      <c r="I29" s="145">
        <f t="shared" si="2"/>
        <v>70000000</v>
      </c>
      <c r="J29" s="145">
        <v>0</v>
      </c>
      <c r="K29" s="145">
        <v>70000000</v>
      </c>
      <c r="L29" s="147">
        <f t="shared" si="3"/>
        <v>70000000</v>
      </c>
      <c r="M29" s="148">
        <v>0</v>
      </c>
      <c r="N29" s="148">
        <v>70000000</v>
      </c>
      <c r="O29" s="149">
        <f t="shared" si="4"/>
        <v>0</v>
      </c>
      <c r="P29" s="148">
        <v>0</v>
      </c>
      <c r="Q29" s="148">
        <v>0</v>
      </c>
      <c r="R29" s="148" t="s">
        <v>1081</v>
      </c>
    </row>
    <row r="30" spans="1:19">
      <c r="A30" s="142">
        <f t="shared" si="5"/>
        <v>27</v>
      </c>
      <c r="B30" s="143" t="s">
        <v>1117</v>
      </c>
      <c r="C30" s="144" t="s">
        <v>1118</v>
      </c>
      <c r="D30" s="145">
        <f t="shared" si="1"/>
        <v>3000000</v>
      </c>
      <c r="E30" s="145">
        <v>0</v>
      </c>
      <c r="F30" s="146" t="s">
        <v>2</v>
      </c>
      <c r="G30" s="145">
        <v>3000000</v>
      </c>
      <c r="H30" s="146" t="s">
        <v>1075</v>
      </c>
      <c r="I30" s="145">
        <f t="shared" si="2"/>
        <v>3500000</v>
      </c>
      <c r="J30" s="145">
        <v>0</v>
      </c>
      <c r="K30" s="145">
        <v>3500000</v>
      </c>
      <c r="L30" s="147">
        <f t="shared" si="3"/>
        <v>3500000</v>
      </c>
      <c r="M30" s="148">
        <v>0</v>
      </c>
      <c r="N30" s="148">
        <v>3500000</v>
      </c>
      <c r="O30" s="149">
        <f t="shared" si="4"/>
        <v>0</v>
      </c>
      <c r="P30" s="148">
        <v>0</v>
      </c>
      <c r="Q30" s="148">
        <v>0</v>
      </c>
      <c r="R30" s="148" t="s">
        <v>1081</v>
      </c>
    </row>
    <row r="31" spans="1:19">
      <c r="A31" s="142">
        <f t="shared" si="5"/>
        <v>28</v>
      </c>
      <c r="B31" s="143" t="s">
        <v>1117</v>
      </c>
      <c r="C31" s="144" t="s">
        <v>1119</v>
      </c>
      <c r="D31" s="145">
        <f t="shared" si="1"/>
        <v>3000000</v>
      </c>
      <c r="E31" s="145">
        <v>0</v>
      </c>
      <c r="F31" s="146" t="s">
        <v>2</v>
      </c>
      <c r="G31" s="145">
        <v>3000000</v>
      </c>
      <c r="H31" s="146" t="s">
        <v>1075</v>
      </c>
      <c r="I31" s="145">
        <f t="shared" si="2"/>
        <v>2700000</v>
      </c>
      <c r="J31" s="145">
        <v>0</v>
      </c>
      <c r="K31" s="145">
        <v>2700000</v>
      </c>
      <c r="L31" s="147">
        <f t="shared" si="3"/>
        <v>2700000</v>
      </c>
      <c r="M31" s="148">
        <v>0</v>
      </c>
      <c r="N31" s="148">
        <v>2700000</v>
      </c>
      <c r="O31" s="149">
        <f t="shared" si="4"/>
        <v>0</v>
      </c>
      <c r="P31" s="148">
        <v>0</v>
      </c>
      <c r="Q31" s="148">
        <v>0</v>
      </c>
      <c r="R31" s="148" t="s">
        <v>1081</v>
      </c>
    </row>
    <row r="32" spans="1:19">
      <c r="A32" s="142">
        <f t="shared" si="5"/>
        <v>29</v>
      </c>
      <c r="B32" s="143" t="s">
        <v>1117</v>
      </c>
      <c r="C32" s="144" t="s">
        <v>1120</v>
      </c>
      <c r="D32" s="145">
        <f t="shared" si="1"/>
        <v>1000000</v>
      </c>
      <c r="E32" s="145">
        <v>0</v>
      </c>
      <c r="F32" s="146" t="s">
        <v>2</v>
      </c>
      <c r="G32" s="145">
        <v>1000000</v>
      </c>
      <c r="H32" s="146" t="s">
        <v>1075</v>
      </c>
      <c r="I32" s="145" t="s">
        <v>1113</v>
      </c>
      <c r="J32" s="145">
        <v>0</v>
      </c>
      <c r="K32" s="145" t="s">
        <v>1113</v>
      </c>
      <c r="L32" s="147">
        <f t="shared" si="3"/>
        <v>0</v>
      </c>
      <c r="M32" s="148">
        <v>0</v>
      </c>
      <c r="N32" s="148">
        <v>0</v>
      </c>
      <c r="O32" s="149" t="s">
        <v>1113</v>
      </c>
      <c r="P32" s="148">
        <v>0</v>
      </c>
      <c r="Q32" s="148" t="s">
        <v>1113</v>
      </c>
      <c r="R32" s="148"/>
      <c r="S32" s="138" t="s">
        <v>1121</v>
      </c>
    </row>
    <row r="33" spans="1:19">
      <c r="A33" s="142">
        <f t="shared" si="5"/>
        <v>30</v>
      </c>
      <c r="B33" s="143" t="s">
        <v>1122</v>
      </c>
      <c r="C33" s="144" t="s">
        <v>3</v>
      </c>
      <c r="D33" s="145">
        <f t="shared" si="1"/>
        <v>7000000</v>
      </c>
      <c r="E33" s="145">
        <v>7000000</v>
      </c>
      <c r="F33" s="146" t="s">
        <v>1074</v>
      </c>
      <c r="G33" s="145">
        <v>0</v>
      </c>
      <c r="H33" s="146" t="s">
        <v>2</v>
      </c>
      <c r="I33" s="145">
        <f>SUM(J33:K33)</f>
        <v>7008178</v>
      </c>
      <c r="J33" s="145">
        <v>7008178</v>
      </c>
      <c r="K33" s="145">
        <v>0</v>
      </c>
      <c r="L33" s="147">
        <f t="shared" si="3"/>
        <v>7008178</v>
      </c>
      <c r="M33" s="148">
        <v>7008178</v>
      </c>
      <c r="N33" s="148">
        <v>0</v>
      </c>
      <c r="O33" s="149">
        <f>SUM(P33:Q33)</f>
        <v>0</v>
      </c>
      <c r="P33" s="148">
        <v>0</v>
      </c>
      <c r="Q33" s="148">
        <v>0</v>
      </c>
      <c r="R33" s="148" t="s">
        <v>1081</v>
      </c>
    </row>
    <row r="34" spans="1:19">
      <c r="A34" s="142">
        <f t="shared" si="5"/>
        <v>31</v>
      </c>
      <c r="B34" s="143" t="s">
        <v>1123</v>
      </c>
      <c r="C34" s="144" t="s">
        <v>1113</v>
      </c>
      <c r="D34" s="145">
        <f t="shared" si="1"/>
        <v>1000000</v>
      </c>
      <c r="E34" s="145">
        <v>0</v>
      </c>
      <c r="F34" s="146" t="s">
        <v>2</v>
      </c>
      <c r="G34" s="145">
        <v>1000000</v>
      </c>
      <c r="H34" s="146" t="s">
        <v>1075</v>
      </c>
      <c r="I34" s="145" t="s">
        <v>1113</v>
      </c>
      <c r="J34" s="145">
        <v>0</v>
      </c>
      <c r="K34" s="145" t="s">
        <v>1113</v>
      </c>
      <c r="L34" s="147">
        <f t="shared" si="3"/>
        <v>0</v>
      </c>
      <c r="M34" s="148">
        <v>0</v>
      </c>
      <c r="N34" s="148">
        <v>0</v>
      </c>
      <c r="O34" s="149" t="s">
        <v>1113</v>
      </c>
      <c r="P34" s="148">
        <v>0</v>
      </c>
      <c r="Q34" s="148" t="s">
        <v>1113</v>
      </c>
      <c r="R34" s="148"/>
      <c r="S34" s="138" t="s">
        <v>1121</v>
      </c>
    </row>
    <row r="35" spans="1:19">
      <c r="A35" s="142">
        <f t="shared" si="5"/>
        <v>32</v>
      </c>
      <c r="B35" s="143" t="s">
        <v>1124</v>
      </c>
      <c r="C35" s="144" t="s">
        <v>1125</v>
      </c>
      <c r="D35" s="145">
        <f t="shared" si="1"/>
        <v>2000000</v>
      </c>
      <c r="E35" s="145">
        <v>1000000</v>
      </c>
      <c r="F35" s="146" t="s">
        <v>1074</v>
      </c>
      <c r="G35" s="145">
        <v>1000000</v>
      </c>
      <c r="H35" s="146" t="s">
        <v>1075</v>
      </c>
      <c r="I35" s="145">
        <f t="shared" si="2"/>
        <v>2005790</v>
      </c>
      <c r="J35" s="145">
        <v>1005790</v>
      </c>
      <c r="K35" s="145">
        <v>1000000</v>
      </c>
      <c r="L35" s="147">
        <f t="shared" si="3"/>
        <v>2005790</v>
      </c>
      <c r="M35" s="148">
        <v>1005790</v>
      </c>
      <c r="N35" s="148">
        <v>1000000</v>
      </c>
      <c r="O35" s="149">
        <f>SUM(P35:Q35)</f>
        <v>0</v>
      </c>
      <c r="P35" s="148">
        <v>0</v>
      </c>
      <c r="Q35" s="148">
        <v>0</v>
      </c>
      <c r="R35" s="148" t="s">
        <v>1081</v>
      </c>
    </row>
    <row r="36" spans="1:19">
      <c r="A36" s="142">
        <f t="shared" si="5"/>
        <v>33</v>
      </c>
      <c r="B36" s="143" t="s">
        <v>1126</v>
      </c>
      <c r="C36" s="144" t="s">
        <v>1127</v>
      </c>
      <c r="D36" s="145">
        <f t="shared" si="1"/>
        <v>280000</v>
      </c>
      <c r="E36" s="145">
        <v>140000</v>
      </c>
      <c r="F36" s="146" t="s">
        <v>1047</v>
      </c>
      <c r="G36" s="145">
        <v>140000</v>
      </c>
      <c r="H36" s="146" t="s">
        <v>1062</v>
      </c>
      <c r="I36" s="145">
        <f t="shared" si="2"/>
        <v>278000</v>
      </c>
      <c r="J36" s="145">
        <v>139000</v>
      </c>
      <c r="K36" s="145">
        <v>139000</v>
      </c>
      <c r="L36" s="147">
        <f t="shared" si="3"/>
        <v>278000</v>
      </c>
      <c r="M36" s="148">
        <v>139000</v>
      </c>
      <c r="N36" s="148">
        <v>139000</v>
      </c>
      <c r="O36" s="149">
        <f t="shared" si="4"/>
        <v>0</v>
      </c>
      <c r="P36" s="148">
        <v>0</v>
      </c>
      <c r="Q36" s="148">
        <v>0</v>
      </c>
      <c r="R36" s="148" t="s">
        <v>1081</v>
      </c>
    </row>
    <row r="37" spans="1:19">
      <c r="A37" s="788" t="s">
        <v>1128</v>
      </c>
      <c r="B37" s="789"/>
      <c r="C37" s="790"/>
      <c r="D37" s="151">
        <f>SUM(D4:D36)</f>
        <v>829944500</v>
      </c>
      <c r="E37" s="151">
        <f>SUM(E4:E36)</f>
        <v>685657250</v>
      </c>
      <c r="F37" s="146" t="s">
        <v>2</v>
      </c>
      <c r="G37" s="151">
        <f>SUM(G4:G36)</f>
        <v>144287250</v>
      </c>
      <c r="H37" s="146" t="s">
        <v>2</v>
      </c>
      <c r="I37" s="151">
        <f t="shared" ref="I37:Q37" si="7">SUM(I4:I36)</f>
        <v>808768555</v>
      </c>
      <c r="J37" s="151">
        <f t="shared" si="7"/>
        <v>672363705</v>
      </c>
      <c r="K37" s="151">
        <f t="shared" si="7"/>
        <v>136404850</v>
      </c>
      <c r="L37" s="152">
        <f t="shared" si="7"/>
        <v>791868555</v>
      </c>
      <c r="M37" s="151">
        <f t="shared" si="7"/>
        <v>664603705</v>
      </c>
      <c r="N37" s="151">
        <f t="shared" si="7"/>
        <v>127264850</v>
      </c>
      <c r="O37" s="153">
        <f t="shared" si="7"/>
        <v>16900000</v>
      </c>
      <c r="P37" s="151">
        <f t="shared" si="7"/>
        <v>7760000</v>
      </c>
      <c r="Q37" s="151">
        <f t="shared" si="7"/>
        <v>9140000</v>
      </c>
      <c r="R37" s="154"/>
    </row>
  </sheetData>
  <autoFilter ref="A3:R37" xr:uid="{00000000-0009-0000-0000-00000D000000}"/>
  <mergeCells count="17">
    <mergeCell ref="A37:C37"/>
    <mergeCell ref="G1:G3"/>
    <mergeCell ref="H1:H3"/>
    <mergeCell ref="I1:I3"/>
    <mergeCell ref="J1:J3"/>
    <mergeCell ref="A1:A3"/>
    <mergeCell ref="B1:B3"/>
    <mergeCell ref="C1:C3"/>
    <mergeCell ref="D1:D3"/>
    <mergeCell ref="E1:E3"/>
    <mergeCell ref="F1:F3"/>
    <mergeCell ref="O1:Q1"/>
    <mergeCell ref="R1:R3"/>
    <mergeCell ref="L2:N2"/>
    <mergeCell ref="O2:Q2"/>
    <mergeCell ref="K1:K3"/>
    <mergeCell ref="L1:N1"/>
  </mergeCells>
  <phoneticPr fontId="5" type="noConversion"/>
  <conditionalFormatting sqref="A4:A36">
    <cfRule type="expression" dxfId="93" priority="26">
      <formula>FIND("지불 완료",R4)</formula>
    </cfRule>
  </conditionalFormatting>
  <conditionalFormatting sqref="B4:B36">
    <cfRule type="expression" dxfId="92" priority="25">
      <formula>FIND("지불 완료",R4)</formula>
    </cfRule>
  </conditionalFormatting>
  <conditionalFormatting sqref="C4:C36">
    <cfRule type="expression" dxfId="91" priority="24">
      <formula>FIND("지불 완료",R4)</formula>
    </cfRule>
  </conditionalFormatting>
  <conditionalFormatting sqref="D4:D36">
    <cfRule type="expression" dxfId="90" priority="23">
      <formula>FIND("지불 완료",R4)</formula>
    </cfRule>
  </conditionalFormatting>
  <conditionalFormatting sqref="E4:E36">
    <cfRule type="expression" dxfId="89" priority="22">
      <formula>FIND("지불 완료",R4)</formula>
    </cfRule>
  </conditionalFormatting>
  <conditionalFormatting sqref="F4:F37">
    <cfRule type="expression" dxfId="88" priority="8">
      <formula>FIND("지불 완료",R4)</formula>
    </cfRule>
  </conditionalFormatting>
  <conditionalFormatting sqref="G4:G36">
    <cfRule type="expression" dxfId="87" priority="3">
      <formula>FIND("지불 완료",R4)</formula>
    </cfRule>
  </conditionalFormatting>
  <conditionalFormatting sqref="H4:H36">
    <cfRule type="expression" dxfId="86" priority="9">
      <formula>FIND("지불 완료",R4)</formula>
    </cfRule>
  </conditionalFormatting>
  <conditionalFormatting sqref="H37">
    <cfRule type="expression" dxfId="85" priority="7">
      <formula>FIND("지불 완료",T37)</formula>
    </cfRule>
  </conditionalFormatting>
  <conditionalFormatting sqref="I4:I36">
    <cfRule type="expression" dxfId="84" priority="20">
      <formula>FIND("지불 완료",R4)</formula>
    </cfRule>
  </conditionalFormatting>
  <conditionalFormatting sqref="J4:J36">
    <cfRule type="expression" dxfId="83" priority="2">
      <formula>FIND("지불 완료",R4)</formula>
    </cfRule>
  </conditionalFormatting>
  <conditionalFormatting sqref="K4:K31">
    <cfRule type="expression" dxfId="82" priority="1">
      <formula>FIND("지불 완료",R4)</formula>
    </cfRule>
  </conditionalFormatting>
  <conditionalFormatting sqref="K32">
    <cfRule type="expression" dxfId="81" priority="97">
      <formula>FIND("지불 완료",S32)</formula>
    </cfRule>
  </conditionalFormatting>
  <conditionalFormatting sqref="K33:K36">
    <cfRule type="expression" dxfId="80" priority="96">
      <formula>FIND("지불 완료",R33)</formula>
    </cfRule>
  </conditionalFormatting>
  <conditionalFormatting sqref="L4:L36">
    <cfRule type="expression" dxfId="79" priority="18">
      <formula>FIND("지불 완료",R4)</formula>
    </cfRule>
  </conditionalFormatting>
  <conditionalFormatting sqref="M4:M36">
    <cfRule type="expression" dxfId="78" priority="17">
      <formula>FIND("지불 완료",R4)</formula>
    </cfRule>
  </conditionalFormatting>
  <conditionalFormatting sqref="N4:N36">
    <cfRule type="expression" dxfId="77" priority="16">
      <formula>FIND("지불 완료",R4)</formula>
    </cfRule>
  </conditionalFormatting>
  <conditionalFormatting sqref="O4:O36">
    <cfRule type="expression" dxfId="76" priority="15">
      <formula>FIND("지불 완료",R4)</formula>
    </cfRule>
  </conditionalFormatting>
  <conditionalFormatting sqref="P4:P36">
    <cfRule type="expression" dxfId="75" priority="14">
      <formula>FIND("지불 완료",R4)</formula>
    </cfRule>
  </conditionalFormatting>
  <conditionalFormatting sqref="Q4:Q36">
    <cfRule type="expression" dxfId="74" priority="5">
      <formula>FIND("지불 완료",R4)</formula>
    </cfRule>
  </conditionalFormatting>
  <conditionalFormatting sqref="R4:R36">
    <cfRule type="expression" dxfId="73" priority="12">
      <formula>FIND("지불 완료",R4)</formula>
    </cfRule>
  </conditionalFormatting>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44"/>
  <sheetViews>
    <sheetView zoomScaleNormal="100" workbookViewId="0">
      <pane xSplit="4" ySplit="3" topLeftCell="E22" activePane="bottomRight" state="frozen"/>
      <selection activeCell="E8" sqref="E8"/>
      <selection pane="topRight" activeCell="E8" sqref="E8"/>
      <selection pane="bottomLeft" activeCell="E8" sqref="E8"/>
      <selection pane="bottomRight" activeCell="E8" sqref="E8"/>
    </sheetView>
  </sheetViews>
  <sheetFormatPr defaultColWidth="9" defaultRowHeight="13.5" outlineLevelCol="1"/>
  <cols>
    <col min="1" max="1" width="4.75" style="138" bestFit="1" customWidth="1"/>
    <col min="2" max="2" width="21.25" style="138" customWidth="1"/>
    <col min="3" max="3" width="24.75" style="138" customWidth="1"/>
    <col min="4" max="4" width="11.25" style="138" customWidth="1"/>
    <col min="5" max="8" width="11.25" style="138" customWidth="1" outlineLevel="1"/>
    <col min="9" max="9" width="11.25" style="138" customWidth="1"/>
    <col min="10" max="11" width="11.25" style="138" customWidth="1" outlineLevel="1"/>
    <col min="12" max="18" width="11.25" style="138" customWidth="1"/>
    <col min="19" max="16384" width="9" style="138"/>
  </cols>
  <sheetData>
    <row r="1" spans="1:18">
      <c r="A1" s="779" t="s">
        <v>1049</v>
      </c>
      <c r="B1" s="779" t="s">
        <v>449</v>
      </c>
      <c r="C1" s="779" t="s">
        <v>1050</v>
      </c>
      <c r="D1" s="779" t="s">
        <v>1051</v>
      </c>
      <c r="E1" s="779" t="s">
        <v>1052</v>
      </c>
      <c r="F1" s="779" t="s">
        <v>1053</v>
      </c>
      <c r="G1" s="779" t="s">
        <v>1054</v>
      </c>
      <c r="H1" s="779" t="s">
        <v>1055</v>
      </c>
      <c r="I1" s="779" t="s">
        <v>1056</v>
      </c>
      <c r="J1" s="779" t="s">
        <v>1057</v>
      </c>
      <c r="K1" s="779" t="s">
        <v>1058</v>
      </c>
      <c r="L1" s="778" t="s">
        <v>1059</v>
      </c>
      <c r="M1" s="778"/>
      <c r="N1" s="778"/>
      <c r="O1" s="778" t="s">
        <v>1060</v>
      </c>
      <c r="P1" s="778"/>
      <c r="Q1" s="778"/>
      <c r="R1" s="779" t="s">
        <v>153</v>
      </c>
    </row>
    <row r="2" spans="1:18">
      <c r="A2" s="780"/>
      <c r="B2" s="780"/>
      <c r="C2" s="780"/>
      <c r="D2" s="780"/>
      <c r="E2" s="780"/>
      <c r="F2" s="780"/>
      <c r="G2" s="780"/>
      <c r="H2" s="780"/>
      <c r="I2" s="780"/>
      <c r="J2" s="780"/>
      <c r="K2" s="780"/>
      <c r="L2" s="782"/>
      <c r="M2" s="783"/>
      <c r="N2" s="784"/>
      <c r="O2" s="785"/>
      <c r="P2" s="786"/>
      <c r="Q2" s="787"/>
      <c r="R2" s="780"/>
    </row>
    <row r="3" spans="1:18">
      <c r="A3" s="781"/>
      <c r="B3" s="781"/>
      <c r="C3" s="781"/>
      <c r="D3" s="781"/>
      <c r="E3" s="781"/>
      <c r="F3" s="781"/>
      <c r="G3" s="781"/>
      <c r="H3" s="781"/>
      <c r="I3" s="781"/>
      <c r="J3" s="781"/>
      <c r="K3" s="781"/>
      <c r="L3" s="139" t="s">
        <v>1061</v>
      </c>
      <c r="M3" s="140" t="s">
        <v>1047</v>
      </c>
      <c r="N3" s="140" t="s">
        <v>1062</v>
      </c>
      <c r="O3" s="141" t="s">
        <v>1061</v>
      </c>
      <c r="P3" s="140" t="s">
        <v>1047</v>
      </c>
      <c r="Q3" s="140" t="s">
        <v>1062</v>
      </c>
      <c r="R3" s="781"/>
    </row>
    <row r="4" spans="1:18">
      <c r="A4" s="142">
        <f t="shared" ref="A4:A5" si="0">ROW()-3</f>
        <v>1</v>
      </c>
      <c r="B4" s="143" t="s">
        <v>1063</v>
      </c>
      <c r="C4" s="144" t="s">
        <v>1064</v>
      </c>
      <c r="D4" s="145">
        <f t="shared" ref="D4:D43" si="1">SUM(E4:G4)</f>
        <v>650000000</v>
      </c>
      <c r="E4" s="145">
        <v>650000000</v>
      </c>
      <c r="F4" s="146" t="s">
        <v>1065</v>
      </c>
      <c r="G4" s="145">
        <v>0</v>
      </c>
      <c r="H4" s="146" t="s">
        <v>2</v>
      </c>
      <c r="I4" s="145">
        <f>SUM(J4:K4)</f>
        <v>620743853</v>
      </c>
      <c r="J4" s="145">
        <v>620743853</v>
      </c>
      <c r="K4" s="145">
        <v>0</v>
      </c>
      <c r="L4" s="147">
        <f>SUM(M4:N4)</f>
        <v>492920000</v>
      </c>
      <c r="M4" s="148">
        <v>492920000</v>
      </c>
      <c r="N4" s="148">
        <v>0</v>
      </c>
      <c r="O4" s="149">
        <f>SUM(P4:Q4)</f>
        <v>127823853</v>
      </c>
      <c r="P4" s="148">
        <v>127823853</v>
      </c>
      <c r="Q4" s="148">
        <v>0</v>
      </c>
      <c r="R4" s="148"/>
    </row>
    <row r="5" spans="1:18">
      <c r="A5" s="142">
        <f t="shared" si="0"/>
        <v>2</v>
      </c>
      <c r="B5" s="143" t="s">
        <v>1066</v>
      </c>
      <c r="C5" s="144" t="s">
        <v>1113</v>
      </c>
      <c r="D5" s="145">
        <f t="shared" si="1"/>
        <v>20000000</v>
      </c>
      <c r="E5" s="145">
        <v>0</v>
      </c>
      <c r="F5" s="146" t="s">
        <v>2</v>
      </c>
      <c r="G5" s="145">
        <v>20000000</v>
      </c>
      <c r="H5" s="146" t="s">
        <v>1068</v>
      </c>
      <c r="I5" s="145">
        <f t="shared" ref="I5:I43" si="2">SUM(J5:K5)</f>
        <v>20000000</v>
      </c>
      <c r="J5" s="145">
        <v>0</v>
      </c>
      <c r="K5" s="145">
        <v>20000000</v>
      </c>
      <c r="L5" s="147">
        <f t="shared" ref="L5:L43" si="3">SUM(M5:N5)</f>
        <v>255000</v>
      </c>
      <c r="M5" s="148">
        <v>0</v>
      </c>
      <c r="N5" s="148">
        <v>255000</v>
      </c>
      <c r="O5" s="149">
        <f t="shared" ref="O5:O43" si="4">SUM(P5:Q5)</f>
        <v>19745000</v>
      </c>
      <c r="P5" s="148">
        <v>0</v>
      </c>
      <c r="Q5" s="145">
        <v>19745000</v>
      </c>
      <c r="R5" s="148"/>
    </row>
    <row r="6" spans="1:18">
      <c r="A6" s="142">
        <f>ROW()-3</f>
        <v>3</v>
      </c>
      <c r="B6" s="143" t="s">
        <v>1070</v>
      </c>
      <c r="C6" s="144" t="s">
        <v>1071</v>
      </c>
      <c r="D6" s="145">
        <f t="shared" si="1"/>
        <v>1000000</v>
      </c>
      <c r="E6" s="145">
        <v>800000</v>
      </c>
      <c r="F6" s="146" t="s">
        <v>1047</v>
      </c>
      <c r="G6" s="145">
        <v>200000</v>
      </c>
      <c r="H6" s="146" t="s">
        <v>1062</v>
      </c>
      <c r="I6" s="145">
        <f t="shared" si="2"/>
        <v>848989</v>
      </c>
      <c r="J6" s="145">
        <v>648989</v>
      </c>
      <c r="K6" s="145">
        <v>200000</v>
      </c>
      <c r="L6" s="147">
        <f t="shared" si="3"/>
        <v>848989</v>
      </c>
      <c r="M6" s="148">
        <v>648989</v>
      </c>
      <c r="N6" s="148">
        <v>200000</v>
      </c>
      <c r="O6" s="149">
        <f t="shared" si="4"/>
        <v>0</v>
      </c>
      <c r="P6" s="148">
        <v>0</v>
      </c>
      <c r="Q6" s="148">
        <v>0</v>
      </c>
      <c r="R6" s="148" t="s">
        <v>1069</v>
      </c>
    </row>
    <row r="7" spans="1:18">
      <c r="A7" s="142">
        <f t="shared" ref="A7:A43" si="5">ROW()-3</f>
        <v>4</v>
      </c>
      <c r="B7" s="143" t="s">
        <v>1072</v>
      </c>
      <c r="C7" s="144" t="s">
        <v>1073</v>
      </c>
      <c r="D7" s="145">
        <f t="shared" si="1"/>
        <v>4000000</v>
      </c>
      <c r="E7" s="145">
        <v>2000000</v>
      </c>
      <c r="F7" s="146" t="s">
        <v>1074</v>
      </c>
      <c r="G7" s="145">
        <v>2000000</v>
      </c>
      <c r="H7" s="146" t="s">
        <v>1075</v>
      </c>
      <c r="I7" s="145">
        <f t="shared" si="2"/>
        <v>4000000</v>
      </c>
      <c r="J7" s="145">
        <v>2000000</v>
      </c>
      <c r="K7" s="145">
        <v>2000000</v>
      </c>
      <c r="L7" s="147">
        <f t="shared" si="3"/>
        <v>3000000</v>
      </c>
      <c r="M7" s="148">
        <v>2000000</v>
      </c>
      <c r="N7" s="148">
        <v>1000000</v>
      </c>
      <c r="O7" s="149">
        <f t="shared" si="4"/>
        <v>1000000</v>
      </c>
      <c r="P7" s="148">
        <v>0</v>
      </c>
      <c r="Q7" s="148">
        <v>1000000</v>
      </c>
      <c r="R7" s="148"/>
    </row>
    <row r="8" spans="1:18">
      <c r="A8" s="142">
        <f t="shared" si="5"/>
        <v>5</v>
      </c>
      <c r="B8" s="143" t="s">
        <v>1076</v>
      </c>
      <c r="C8" s="144" t="s">
        <v>1073</v>
      </c>
      <c r="D8" s="145">
        <f t="shared" si="1"/>
        <v>14400000</v>
      </c>
      <c r="E8" s="145">
        <v>5760000</v>
      </c>
      <c r="F8" s="146" t="s">
        <v>1074</v>
      </c>
      <c r="G8" s="145">
        <v>8640000</v>
      </c>
      <c r="H8" s="146" t="s">
        <v>1075</v>
      </c>
      <c r="I8" s="145">
        <f t="shared" si="2"/>
        <v>14400000</v>
      </c>
      <c r="J8" s="145">
        <v>5760000</v>
      </c>
      <c r="K8" s="145">
        <v>8640000</v>
      </c>
      <c r="L8" s="147">
        <f t="shared" si="3"/>
        <v>0</v>
      </c>
      <c r="M8" s="148">
        <v>0</v>
      </c>
      <c r="N8" s="148">
        <v>0</v>
      </c>
      <c r="O8" s="149">
        <f t="shared" si="4"/>
        <v>14400000</v>
      </c>
      <c r="P8" s="148">
        <v>5760000</v>
      </c>
      <c r="Q8" s="148">
        <v>8640000</v>
      </c>
      <c r="R8" s="148" t="s">
        <v>1077</v>
      </c>
    </row>
    <row r="9" spans="1:18">
      <c r="A9" s="142">
        <f t="shared" si="5"/>
        <v>6</v>
      </c>
      <c r="B9" s="143" t="s">
        <v>1079</v>
      </c>
      <c r="C9" s="144" t="s">
        <v>1080</v>
      </c>
      <c r="D9" s="145">
        <f t="shared" si="1"/>
        <v>500000</v>
      </c>
      <c r="E9" s="145">
        <v>250000</v>
      </c>
      <c r="F9" s="146" t="s">
        <v>1074</v>
      </c>
      <c r="G9" s="145">
        <v>250000</v>
      </c>
      <c r="H9" s="146" t="s">
        <v>1075</v>
      </c>
      <c r="I9" s="145">
        <f t="shared" si="2"/>
        <v>208275</v>
      </c>
      <c r="J9" s="145">
        <v>123275</v>
      </c>
      <c r="K9" s="145">
        <v>85000</v>
      </c>
      <c r="L9" s="147">
        <f t="shared" si="3"/>
        <v>208275</v>
      </c>
      <c r="M9" s="148">
        <v>123275</v>
      </c>
      <c r="N9" s="148">
        <v>85000</v>
      </c>
      <c r="O9" s="149">
        <f t="shared" si="4"/>
        <v>0</v>
      </c>
      <c r="P9" s="148">
        <v>0</v>
      </c>
      <c r="Q9" s="148">
        <v>0</v>
      </c>
      <c r="R9" s="148" t="s">
        <v>1081</v>
      </c>
    </row>
    <row r="10" spans="1:18">
      <c r="A10" s="142">
        <f t="shared" si="5"/>
        <v>7</v>
      </c>
      <c r="B10" s="143" t="s">
        <v>1082</v>
      </c>
      <c r="C10" s="144" t="s">
        <v>1083</v>
      </c>
      <c r="D10" s="145">
        <v>100000</v>
      </c>
      <c r="E10" s="145">
        <v>100000</v>
      </c>
      <c r="F10" s="146" t="s">
        <v>1074</v>
      </c>
      <c r="G10" s="145">
        <v>0</v>
      </c>
      <c r="H10" s="146" t="s">
        <v>2</v>
      </c>
      <c r="I10" s="145">
        <f t="shared" si="2"/>
        <v>83750</v>
      </c>
      <c r="J10" s="145">
        <v>83750</v>
      </c>
      <c r="K10" s="145">
        <v>0</v>
      </c>
      <c r="L10" s="147">
        <f t="shared" si="3"/>
        <v>83750</v>
      </c>
      <c r="M10" s="148">
        <v>83750</v>
      </c>
      <c r="N10" s="148">
        <v>0</v>
      </c>
      <c r="O10" s="149">
        <f t="shared" si="4"/>
        <v>0</v>
      </c>
      <c r="P10" s="148">
        <v>0</v>
      </c>
      <c r="Q10" s="148">
        <v>0</v>
      </c>
      <c r="R10" s="148" t="s">
        <v>1081</v>
      </c>
    </row>
    <row r="11" spans="1:18">
      <c r="A11" s="142">
        <f t="shared" si="5"/>
        <v>8</v>
      </c>
      <c r="B11" s="143" t="s">
        <v>1084</v>
      </c>
      <c r="C11" s="144" t="s">
        <v>1085</v>
      </c>
      <c r="D11" s="145">
        <f t="shared" ref="D11" si="6">SUM(E11:G11)</f>
        <v>18000</v>
      </c>
      <c r="E11" s="145">
        <v>9000</v>
      </c>
      <c r="F11" s="146" t="s">
        <v>1074</v>
      </c>
      <c r="G11" s="145">
        <v>9000</v>
      </c>
      <c r="H11" s="146" t="s">
        <v>1075</v>
      </c>
      <c r="I11" s="145">
        <f t="shared" si="2"/>
        <v>18000</v>
      </c>
      <c r="J11" s="145">
        <v>9000</v>
      </c>
      <c r="K11" s="145">
        <v>9000</v>
      </c>
      <c r="L11" s="147">
        <f t="shared" si="3"/>
        <v>18000</v>
      </c>
      <c r="M11" s="148">
        <v>9000</v>
      </c>
      <c r="N11" s="148">
        <v>9000</v>
      </c>
      <c r="O11" s="149">
        <f t="shared" si="4"/>
        <v>0</v>
      </c>
      <c r="P11" s="148">
        <v>0</v>
      </c>
      <c r="Q11" s="148">
        <v>0</v>
      </c>
      <c r="R11" s="150" t="s">
        <v>1069</v>
      </c>
    </row>
    <row r="12" spans="1:18">
      <c r="A12" s="142">
        <f t="shared" si="5"/>
        <v>9</v>
      </c>
      <c r="B12" s="143" t="s">
        <v>1086</v>
      </c>
      <c r="C12" s="144" t="s">
        <v>1087</v>
      </c>
      <c r="D12" s="145">
        <f>SUM(E12:G12)</f>
        <v>77000</v>
      </c>
      <c r="E12" s="145">
        <v>38500</v>
      </c>
      <c r="F12" s="146" t="s">
        <v>1074</v>
      </c>
      <c r="G12" s="145">
        <v>38500</v>
      </c>
      <c r="H12" s="146" t="s">
        <v>1075</v>
      </c>
      <c r="I12" s="145">
        <f t="shared" si="2"/>
        <v>77000</v>
      </c>
      <c r="J12" s="145">
        <v>38500</v>
      </c>
      <c r="K12" s="145">
        <v>38500</v>
      </c>
      <c r="L12" s="147">
        <f t="shared" si="3"/>
        <v>38500</v>
      </c>
      <c r="M12" s="148">
        <v>0</v>
      </c>
      <c r="N12" s="148">
        <v>38500</v>
      </c>
      <c r="O12" s="149">
        <f t="shared" si="4"/>
        <v>38500</v>
      </c>
      <c r="P12" s="148">
        <v>38500</v>
      </c>
      <c r="Q12" s="148">
        <v>0</v>
      </c>
      <c r="R12" s="148"/>
    </row>
    <row r="13" spans="1:18">
      <c r="A13" s="142">
        <f t="shared" si="5"/>
        <v>10</v>
      </c>
      <c r="B13" s="143" t="s">
        <v>1088</v>
      </c>
      <c r="C13" s="144" t="s">
        <v>1089</v>
      </c>
      <c r="D13" s="145">
        <f>SUM(E13:G13)</f>
        <v>530000</v>
      </c>
      <c r="E13" s="145">
        <v>265000</v>
      </c>
      <c r="F13" s="146" t="s">
        <v>1074</v>
      </c>
      <c r="G13" s="145">
        <v>265000</v>
      </c>
      <c r="H13" s="146" t="s">
        <v>1075</v>
      </c>
      <c r="I13" s="145">
        <f t="shared" si="2"/>
        <v>530000</v>
      </c>
      <c r="J13" s="145">
        <v>265000</v>
      </c>
      <c r="K13" s="145">
        <v>265000</v>
      </c>
      <c r="L13" s="147">
        <f t="shared" si="3"/>
        <v>530000</v>
      </c>
      <c r="M13" s="148">
        <v>265000</v>
      </c>
      <c r="N13" s="148">
        <v>265000</v>
      </c>
      <c r="O13" s="149">
        <f t="shared" si="4"/>
        <v>0</v>
      </c>
      <c r="P13" s="148">
        <v>0</v>
      </c>
      <c r="Q13" s="148">
        <v>0</v>
      </c>
      <c r="R13" s="148" t="s">
        <v>1081</v>
      </c>
    </row>
    <row r="14" spans="1:18">
      <c r="A14" s="142">
        <f t="shared" si="5"/>
        <v>11</v>
      </c>
      <c r="B14" s="143" t="s">
        <v>1090</v>
      </c>
      <c r="C14" s="144" t="s">
        <v>1091</v>
      </c>
      <c r="D14" s="145">
        <f t="shared" si="1"/>
        <v>4000000</v>
      </c>
      <c r="E14" s="145">
        <v>2000000</v>
      </c>
      <c r="F14" s="146" t="s">
        <v>1074</v>
      </c>
      <c r="G14" s="145">
        <v>2000000</v>
      </c>
      <c r="H14" s="146" t="s">
        <v>1075</v>
      </c>
      <c r="I14" s="145">
        <f t="shared" si="2"/>
        <v>3733200</v>
      </c>
      <c r="J14" s="145">
        <v>1866600</v>
      </c>
      <c r="K14" s="145">
        <v>1866600</v>
      </c>
      <c r="L14" s="147">
        <f t="shared" si="3"/>
        <v>3733200</v>
      </c>
      <c r="M14" s="148">
        <v>1866600</v>
      </c>
      <c r="N14" s="148">
        <v>1866600</v>
      </c>
      <c r="O14" s="149">
        <f t="shared" si="4"/>
        <v>0</v>
      </c>
      <c r="P14" s="148">
        <v>0</v>
      </c>
      <c r="Q14" s="148">
        <v>0</v>
      </c>
      <c r="R14" s="148" t="s">
        <v>1081</v>
      </c>
    </row>
    <row r="15" spans="1:18">
      <c r="A15" s="142">
        <f t="shared" si="5"/>
        <v>12</v>
      </c>
      <c r="B15" s="143" t="s">
        <v>1090</v>
      </c>
      <c r="C15" s="144" t="s">
        <v>1092</v>
      </c>
      <c r="D15" s="145">
        <f t="shared" si="1"/>
        <v>1000000</v>
      </c>
      <c r="E15" s="145">
        <v>500000</v>
      </c>
      <c r="F15" s="146" t="s">
        <v>1074</v>
      </c>
      <c r="G15" s="145">
        <v>500000</v>
      </c>
      <c r="H15" s="146" t="s">
        <v>1075</v>
      </c>
      <c r="I15" s="145">
        <f t="shared" si="2"/>
        <v>1000000</v>
      </c>
      <c r="J15" s="145">
        <v>500000</v>
      </c>
      <c r="K15" s="145">
        <v>500000</v>
      </c>
      <c r="L15" s="147">
        <f t="shared" si="3"/>
        <v>0</v>
      </c>
      <c r="M15" s="148">
        <v>0</v>
      </c>
      <c r="N15" s="148">
        <v>0</v>
      </c>
      <c r="O15" s="149">
        <f t="shared" si="4"/>
        <v>1000000</v>
      </c>
      <c r="P15" s="148">
        <v>500000</v>
      </c>
      <c r="Q15" s="148">
        <v>500000</v>
      </c>
      <c r="R15" s="148"/>
    </row>
    <row r="16" spans="1:18">
      <c r="A16" s="142">
        <f t="shared" si="5"/>
        <v>13</v>
      </c>
      <c r="B16" s="143" t="s">
        <v>1129</v>
      </c>
      <c r="C16" s="144" t="s">
        <v>1094</v>
      </c>
      <c r="D16" s="145">
        <f t="shared" si="1"/>
        <v>4089500</v>
      </c>
      <c r="E16" s="145">
        <v>2044750</v>
      </c>
      <c r="F16" s="146" t="s">
        <v>1074</v>
      </c>
      <c r="G16" s="145">
        <v>2044750</v>
      </c>
      <c r="H16" s="146" t="s">
        <v>1075</v>
      </c>
      <c r="I16" s="145">
        <f t="shared" si="2"/>
        <v>4089500</v>
      </c>
      <c r="J16" s="145">
        <v>2044750</v>
      </c>
      <c r="K16" s="145">
        <v>2044750</v>
      </c>
      <c r="L16" s="147">
        <f t="shared" si="3"/>
        <v>3310000</v>
      </c>
      <c r="M16" s="148">
        <v>1265250</v>
      </c>
      <c r="N16" s="148">
        <v>2044750</v>
      </c>
      <c r="O16" s="149">
        <f t="shared" si="4"/>
        <v>779500</v>
      </c>
      <c r="P16" s="148">
        <v>779500</v>
      </c>
      <c r="Q16" s="148">
        <v>0</v>
      </c>
      <c r="R16" s="148" t="s">
        <v>1130</v>
      </c>
    </row>
    <row r="17" spans="1:18">
      <c r="A17" s="142">
        <f t="shared" si="5"/>
        <v>14</v>
      </c>
      <c r="B17" s="143" t="s">
        <v>1095</v>
      </c>
      <c r="C17" s="144" t="s">
        <v>1096</v>
      </c>
      <c r="D17" s="145">
        <v>100000</v>
      </c>
      <c r="E17" s="145">
        <v>0</v>
      </c>
      <c r="F17" s="146" t="s">
        <v>2</v>
      </c>
      <c r="G17" s="145">
        <v>100000</v>
      </c>
      <c r="H17" s="146" t="s">
        <v>1068</v>
      </c>
      <c r="I17" s="145">
        <f t="shared" si="2"/>
        <v>90000</v>
      </c>
      <c r="J17" s="145">
        <v>0</v>
      </c>
      <c r="K17" s="145">
        <v>90000</v>
      </c>
      <c r="L17" s="147">
        <f t="shared" si="3"/>
        <v>90000</v>
      </c>
      <c r="M17" s="148">
        <v>0</v>
      </c>
      <c r="N17" s="148">
        <v>90000</v>
      </c>
      <c r="O17" s="149">
        <f t="shared" si="4"/>
        <v>0</v>
      </c>
      <c r="P17" s="148">
        <v>0</v>
      </c>
      <c r="Q17" s="148">
        <v>0</v>
      </c>
      <c r="R17" s="148" t="s">
        <v>1069</v>
      </c>
    </row>
    <row r="18" spans="1:18">
      <c r="A18" s="142">
        <f t="shared" si="5"/>
        <v>15</v>
      </c>
      <c r="B18" s="143" t="s">
        <v>1097</v>
      </c>
      <c r="C18" s="144" t="s">
        <v>1098</v>
      </c>
      <c r="D18" s="145">
        <f t="shared" si="1"/>
        <v>440000</v>
      </c>
      <c r="E18" s="145">
        <v>440000</v>
      </c>
      <c r="F18" s="146" t="s">
        <v>1074</v>
      </c>
      <c r="G18" s="145">
        <v>0</v>
      </c>
      <c r="H18" s="146" t="s">
        <v>2</v>
      </c>
      <c r="I18" s="145">
        <f t="shared" si="2"/>
        <v>440000</v>
      </c>
      <c r="J18" s="145">
        <v>440000</v>
      </c>
      <c r="K18" s="145">
        <v>0</v>
      </c>
      <c r="L18" s="147">
        <f t="shared" si="3"/>
        <v>0</v>
      </c>
      <c r="M18" s="148">
        <v>0</v>
      </c>
      <c r="N18" s="148">
        <v>0</v>
      </c>
      <c r="O18" s="149">
        <f>SUM(P18:Q18)</f>
        <v>440000</v>
      </c>
      <c r="P18" s="148">
        <v>440000</v>
      </c>
      <c r="Q18" s="148">
        <v>0</v>
      </c>
      <c r="R18" s="148"/>
    </row>
    <row r="19" spans="1:18">
      <c r="A19" s="142">
        <f t="shared" si="5"/>
        <v>16</v>
      </c>
      <c r="B19" s="143" t="s">
        <v>1099</v>
      </c>
      <c r="C19" s="144" t="s">
        <v>1100</v>
      </c>
      <c r="D19" s="145">
        <f t="shared" si="1"/>
        <v>510000</v>
      </c>
      <c r="E19" s="145">
        <v>510000</v>
      </c>
      <c r="F19" s="146" t="s">
        <v>1047</v>
      </c>
      <c r="G19" s="145">
        <v>0</v>
      </c>
      <c r="H19" s="146" t="s">
        <v>2</v>
      </c>
      <c r="I19" s="145">
        <f t="shared" si="2"/>
        <v>510000</v>
      </c>
      <c r="J19" s="145">
        <v>510000</v>
      </c>
      <c r="K19" s="145">
        <v>0</v>
      </c>
      <c r="L19" s="147">
        <f t="shared" si="3"/>
        <v>510000</v>
      </c>
      <c r="M19" s="148">
        <v>510000</v>
      </c>
      <c r="N19" s="148">
        <v>0</v>
      </c>
      <c r="O19" s="149">
        <f t="shared" si="4"/>
        <v>0</v>
      </c>
      <c r="P19" s="148">
        <v>0</v>
      </c>
      <c r="Q19" s="148">
        <v>0</v>
      </c>
      <c r="R19" s="148" t="s">
        <v>1069</v>
      </c>
    </row>
    <row r="20" spans="1:18">
      <c r="A20" s="142">
        <f t="shared" si="5"/>
        <v>17</v>
      </c>
      <c r="B20" s="143" t="s">
        <v>1099</v>
      </c>
      <c r="C20" s="144" t="s">
        <v>1131</v>
      </c>
      <c r="D20" s="145">
        <v>450000</v>
      </c>
      <c r="E20" s="145">
        <v>450000</v>
      </c>
      <c r="F20" s="146" t="s">
        <v>1047</v>
      </c>
      <c r="G20" s="145">
        <v>0</v>
      </c>
      <c r="H20" s="146" t="s">
        <v>2</v>
      </c>
      <c r="I20" s="145" t="s">
        <v>1113</v>
      </c>
      <c r="J20" s="145" t="s">
        <v>1113</v>
      </c>
      <c r="K20" s="145">
        <v>0</v>
      </c>
      <c r="L20" s="147">
        <f t="shared" si="3"/>
        <v>0</v>
      </c>
      <c r="M20" s="148">
        <v>0</v>
      </c>
      <c r="N20" s="148">
        <v>0</v>
      </c>
      <c r="O20" s="149" t="s">
        <v>1113</v>
      </c>
      <c r="P20" s="148" t="s">
        <v>1113</v>
      </c>
      <c r="Q20" s="148">
        <v>0</v>
      </c>
      <c r="R20" s="148"/>
    </row>
    <row r="21" spans="1:18">
      <c r="A21" s="142">
        <f t="shared" si="5"/>
        <v>18</v>
      </c>
      <c r="B21" s="143" t="s">
        <v>1101</v>
      </c>
      <c r="C21" s="144" t="s">
        <v>1102</v>
      </c>
      <c r="D21" s="145">
        <f t="shared" si="1"/>
        <v>2000000</v>
      </c>
      <c r="E21" s="145">
        <v>1000000</v>
      </c>
      <c r="F21" s="146" t="s">
        <v>1074</v>
      </c>
      <c r="G21" s="145">
        <v>1000000</v>
      </c>
      <c r="H21" s="146" t="s">
        <v>1075</v>
      </c>
      <c r="I21" s="145">
        <f t="shared" si="2"/>
        <v>1600000</v>
      </c>
      <c r="J21" s="145">
        <v>800000</v>
      </c>
      <c r="K21" s="145">
        <v>800000</v>
      </c>
      <c r="L21" s="147">
        <f t="shared" si="3"/>
        <v>1600000</v>
      </c>
      <c r="M21" s="148">
        <v>800000</v>
      </c>
      <c r="N21" s="148">
        <v>800000</v>
      </c>
      <c r="O21" s="149">
        <f t="shared" si="4"/>
        <v>0</v>
      </c>
      <c r="P21" s="148">
        <v>0</v>
      </c>
      <c r="Q21" s="148">
        <v>0</v>
      </c>
      <c r="R21" s="148" t="s">
        <v>1081</v>
      </c>
    </row>
    <row r="22" spans="1:18">
      <c r="A22" s="142">
        <f t="shared" si="5"/>
        <v>19</v>
      </c>
      <c r="B22" s="143" t="s">
        <v>1103</v>
      </c>
      <c r="C22" s="144" t="s">
        <v>1104</v>
      </c>
      <c r="D22" s="145">
        <f t="shared" si="1"/>
        <v>8000000</v>
      </c>
      <c r="E22" s="145">
        <v>8000000</v>
      </c>
      <c r="F22" s="146" t="s">
        <v>1074</v>
      </c>
      <c r="G22" s="145">
        <v>0</v>
      </c>
      <c r="H22" s="146" t="s">
        <v>2</v>
      </c>
      <c r="I22" s="145">
        <f t="shared" si="2"/>
        <v>8300000</v>
      </c>
      <c r="J22" s="145">
        <v>8300000</v>
      </c>
      <c r="K22" s="145">
        <v>0</v>
      </c>
      <c r="L22" s="147">
        <f t="shared" si="3"/>
        <v>8300000</v>
      </c>
      <c r="M22" s="148">
        <v>8300000</v>
      </c>
      <c r="N22" s="148">
        <v>0</v>
      </c>
      <c r="O22" s="149">
        <f t="shared" si="4"/>
        <v>0</v>
      </c>
      <c r="P22" s="148">
        <v>0</v>
      </c>
      <c r="Q22" s="148">
        <v>0</v>
      </c>
      <c r="R22" s="148" t="s">
        <v>1081</v>
      </c>
    </row>
    <row r="23" spans="1:18">
      <c r="A23" s="142">
        <f t="shared" si="5"/>
        <v>20</v>
      </c>
      <c r="B23" s="143" t="s">
        <v>1103</v>
      </c>
      <c r="C23" s="144" t="s">
        <v>1105</v>
      </c>
      <c r="D23" s="145">
        <f t="shared" si="1"/>
        <v>3000000</v>
      </c>
      <c r="E23" s="145">
        <v>3000000</v>
      </c>
      <c r="F23" s="146" t="s">
        <v>1074</v>
      </c>
      <c r="G23" s="145">
        <v>0</v>
      </c>
      <c r="H23" s="146" t="s">
        <v>2</v>
      </c>
      <c r="I23" s="145">
        <f t="shared" si="2"/>
        <v>2800000</v>
      </c>
      <c r="J23" s="145">
        <v>2800000</v>
      </c>
      <c r="K23" s="145">
        <v>0</v>
      </c>
      <c r="L23" s="147">
        <f>SUM(M23:N23)</f>
        <v>2800000</v>
      </c>
      <c r="M23" s="148">
        <v>2800000</v>
      </c>
      <c r="N23" s="148">
        <v>0</v>
      </c>
      <c r="O23" s="149">
        <f t="shared" si="4"/>
        <v>0</v>
      </c>
      <c r="P23" s="148">
        <v>0</v>
      </c>
      <c r="Q23" s="148">
        <v>0</v>
      </c>
      <c r="R23" s="148" t="s">
        <v>1069</v>
      </c>
    </row>
    <row r="24" spans="1:18">
      <c r="A24" s="142">
        <f t="shared" si="5"/>
        <v>21</v>
      </c>
      <c r="B24" s="143" t="s">
        <v>1106</v>
      </c>
      <c r="C24" s="144" t="s">
        <v>1107</v>
      </c>
      <c r="D24" s="145">
        <f t="shared" si="1"/>
        <v>15000000</v>
      </c>
      <c r="E24" s="145">
        <v>0</v>
      </c>
      <c r="F24" s="146" t="s">
        <v>2</v>
      </c>
      <c r="G24" s="145">
        <v>15000000</v>
      </c>
      <c r="H24" s="146" t="s">
        <v>1075</v>
      </c>
      <c r="I24" s="145">
        <f t="shared" si="2"/>
        <v>12927000</v>
      </c>
      <c r="J24" s="145">
        <v>0</v>
      </c>
      <c r="K24" s="145">
        <v>12927000</v>
      </c>
      <c r="L24" s="147">
        <f t="shared" si="3"/>
        <v>12927000</v>
      </c>
      <c r="M24" s="148">
        <v>0</v>
      </c>
      <c r="N24" s="148">
        <v>12927000</v>
      </c>
      <c r="O24" s="149">
        <f t="shared" si="4"/>
        <v>0</v>
      </c>
      <c r="P24" s="148">
        <v>0</v>
      </c>
      <c r="Q24" s="148">
        <v>0</v>
      </c>
      <c r="R24" s="148" t="s">
        <v>1081</v>
      </c>
    </row>
    <row r="25" spans="1:18">
      <c r="A25" s="142">
        <f t="shared" si="5"/>
        <v>22</v>
      </c>
      <c r="B25" s="143" t="s">
        <v>1108</v>
      </c>
      <c r="C25" s="144" t="s">
        <v>1109</v>
      </c>
      <c r="D25" s="145">
        <v>2500000</v>
      </c>
      <c r="E25" s="145">
        <v>0</v>
      </c>
      <c r="F25" s="146" t="s">
        <v>2</v>
      </c>
      <c r="G25" s="145">
        <v>2500000</v>
      </c>
      <c r="H25" s="146" t="s">
        <v>1075</v>
      </c>
      <c r="I25" s="145">
        <f t="shared" si="2"/>
        <v>2300000</v>
      </c>
      <c r="J25" s="145">
        <v>0</v>
      </c>
      <c r="K25" s="145">
        <v>2300000</v>
      </c>
      <c r="L25" s="147">
        <f t="shared" si="3"/>
        <v>2300000</v>
      </c>
      <c r="M25" s="148">
        <v>0</v>
      </c>
      <c r="N25" s="148">
        <v>2300000</v>
      </c>
      <c r="O25" s="149">
        <f t="shared" si="4"/>
        <v>0</v>
      </c>
      <c r="P25" s="148">
        <v>0</v>
      </c>
      <c r="Q25" s="148">
        <v>0</v>
      </c>
      <c r="R25" s="148" t="s">
        <v>1069</v>
      </c>
    </row>
    <row r="26" spans="1:18">
      <c r="A26" s="142">
        <f t="shared" si="5"/>
        <v>23</v>
      </c>
      <c r="B26" s="143" t="s">
        <v>1110</v>
      </c>
      <c r="C26" s="144" t="s">
        <v>1111</v>
      </c>
      <c r="D26" s="145">
        <v>500000</v>
      </c>
      <c r="E26" s="145">
        <v>500000</v>
      </c>
      <c r="F26" s="146" t="s">
        <v>1074</v>
      </c>
      <c r="G26" s="145">
        <v>0</v>
      </c>
      <c r="H26" s="146" t="s">
        <v>2</v>
      </c>
      <c r="I26" s="145">
        <f t="shared" si="2"/>
        <v>300000</v>
      </c>
      <c r="J26" s="145">
        <v>300000</v>
      </c>
      <c r="K26" s="145">
        <v>0</v>
      </c>
      <c r="L26" s="147">
        <f t="shared" si="3"/>
        <v>300000</v>
      </c>
      <c r="M26" s="148">
        <v>300000</v>
      </c>
      <c r="N26" s="148">
        <v>0</v>
      </c>
      <c r="O26" s="149">
        <f t="shared" si="4"/>
        <v>0</v>
      </c>
      <c r="P26" s="148">
        <v>0</v>
      </c>
      <c r="Q26" s="148">
        <v>0</v>
      </c>
      <c r="R26" s="148" t="s">
        <v>1081</v>
      </c>
    </row>
    <row r="27" spans="1:18">
      <c r="A27" s="142">
        <f t="shared" si="5"/>
        <v>24</v>
      </c>
      <c r="B27" s="143" t="s">
        <v>1112</v>
      </c>
      <c r="C27" s="144" t="s">
        <v>1113</v>
      </c>
      <c r="D27" s="145">
        <f t="shared" si="1"/>
        <v>300000</v>
      </c>
      <c r="E27" s="145">
        <v>300000</v>
      </c>
      <c r="F27" s="146" t="s">
        <v>1074</v>
      </c>
      <c r="G27" s="145">
        <v>0</v>
      </c>
      <c r="H27" s="146" t="s">
        <v>2</v>
      </c>
      <c r="I27" s="145" t="s">
        <v>1113</v>
      </c>
      <c r="J27" s="145" t="s">
        <v>1113</v>
      </c>
      <c r="K27" s="145">
        <v>0</v>
      </c>
      <c r="L27" s="147">
        <f t="shared" si="3"/>
        <v>0</v>
      </c>
      <c r="M27" s="148">
        <v>0</v>
      </c>
      <c r="N27" s="148">
        <v>0</v>
      </c>
      <c r="O27" s="149" t="s">
        <v>1113</v>
      </c>
      <c r="P27" s="148" t="s">
        <v>1113</v>
      </c>
      <c r="Q27" s="148">
        <v>0</v>
      </c>
      <c r="R27" s="148"/>
    </row>
    <row r="28" spans="1:18">
      <c r="A28" s="142">
        <f t="shared" si="5"/>
        <v>25</v>
      </c>
      <c r="B28" s="143" t="s">
        <v>1114</v>
      </c>
      <c r="C28" s="144" t="s">
        <v>1111</v>
      </c>
      <c r="D28" s="145">
        <f t="shared" si="1"/>
        <v>300000</v>
      </c>
      <c r="E28" s="145">
        <v>0</v>
      </c>
      <c r="F28" s="146" t="s">
        <v>2</v>
      </c>
      <c r="G28" s="145">
        <v>300000</v>
      </c>
      <c r="H28" s="146" t="s">
        <v>1075</v>
      </c>
      <c r="I28" s="145">
        <f t="shared" si="2"/>
        <v>300000</v>
      </c>
      <c r="J28" s="145">
        <v>0</v>
      </c>
      <c r="K28" s="145">
        <v>300000</v>
      </c>
      <c r="L28" s="147">
        <f t="shared" si="3"/>
        <v>300000</v>
      </c>
      <c r="M28" s="148">
        <v>0</v>
      </c>
      <c r="N28" s="148">
        <v>300000</v>
      </c>
      <c r="O28" s="149">
        <f t="shared" si="4"/>
        <v>0</v>
      </c>
      <c r="P28" s="148">
        <v>0</v>
      </c>
      <c r="Q28" s="148">
        <v>0</v>
      </c>
      <c r="R28" s="148" t="s">
        <v>1069</v>
      </c>
    </row>
    <row r="29" spans="1:18">
      <c r="A29" s="142">
        <f t="shared" si="5"/>
        <v>26</v>
      </c>
      <c r="B29" s="143" t="s">
        <v>1115</v>
      </c>
      <c r="C29" s="144" t="s">
        <v>1113</v>
      </c>
      <c r="D29" s="145">
        <f t="shared" si="1"/>
        <v>300000</v>
      </c>
      <c r="E29" s="145">
        <v>0</v>
      </c>
      <c r="F29" s="146" t="s">
        <v>2</v>
      </c>
      <c r="G29" s="145">
        <v>300000</v>
      </c>
      <c r="H29" s="146" t="s">
        <v>1075</v>
      </c>
      <c r="I29" s="145" t="s">
        <v>1113</v>
      </c>
      <c r="J29" s="145">
        <v>0</v>
      </c>
      <c r="K29" s="145" t="s">
        <v>1113</v>
      </c>
      <c r="L29" s="147">
        <f t="shared" si="3"/>
        <v>0</v>
      </c>
      <c r="M29" s="148">
        <v>0</v>
      </c>
      <c r="N29" s="148">
        <v>0</v>
      </c>
      <c r="O29" s="149" t="s">
        <v>1113</v>
      </c>
      <c r="P29" s="148">
        <v>0</v>
      </c>
      <c r="Q29" s="148" t="s">
        <v>1113</v>
      </c>
      <c r="R29" s="148"/>
    </row>
    <row r="30" spans="1:18">
      <c r="A30" s="142">
        <f t="shared" si="5"/>
        <v>27</v>
      </c>
      <c r="B30" s="143" t="s">
        <v>1116</v>
      </c>
      <c r="C30" s="144" t="s">
        <v>3</v>
      </c>
      <c r="D30" s="145">
        <f t="shared" si="1"/>
        <v>70000000</v>
      </c>
      <c r="E30" s="145">
        <v>0</v>
      </c>
      <c r="F30" s="146" t="s">
        <v>2</v>
      </c>
      <c r="G30" s="145">
        <v>70000000</v>
      </c>
      <c r="H30" s="146" t="s">
        <v>1075</v>
      </c>
      <c r="I30" s="145">
        <f t="shared" si="2"/>
        <v>70000000</v>
      </c>
      <c r="J30" s="145">
        <v>0</v>
      </c>
      <c r="K30" s="145">
        <v>70000000</v>
      </c>
      <c r="L30" s="147">
        <f t="shared" si="3"/>
        <v>70000000</v>
      </c>
      <c r="M30" s="148">
        <v>0</v>
      </c>
      <c r="N30" s="148">
        <v>70000000</v>
      </c>
      <c r="O30" s="149">
        <f t="shared" si="4"/>
        <v>0</v>
      </c>
      <c r="P30" s="148">
        <v>0</v>
      </c>
      <c r="Q30" s="148">
        <v>0</v>
      </c>
      <c r="R30" s="148" t="s">
        <v>1081</v>
      </c>
    </row>
    <row r="31" spans="1:18">
      <c r="A31" s="142">
        <f t="shared" si="5"/>
        <v>28</v>
      </c>
      <c r="B31" s="143" t="s">
        <v>1117</v>
      </c>
      <c r="C31" s="144" t="s">
        <v>1118</v>
      </c>
      <c r="D31" s="145">
        <f t="shared" si="1"/>
        <v>3000000</v>
      </c>
      <c r="E31" s="145">
        <v>0</v>
      </c>
      <c r="F31" s="146" t="s">
        <v>2</v>
      </c>
      <c r="G31" s="145">
        <v>3000000</v>
      </c>
      <c r="H31" s="146" t="s">
        <v>1075</v>
      </c>
      <c r="I31" s="145">
        <f t="shared" si="2"/>
        <v>70000000</v>
      </c>
      <c r="J31" s="145">
        <v>0</v>
      </c>
      <c r="K31" s="145">
        <v>70000000</v>
      </c>
      <c r="L31" s="147">
        <f t="shared" si="3"/>
        <v>3500000</v>
      </c>
      <c r="M31" s="148">
        <v>0</v>
      </c>
      <c r="N31" s="148">
        <v>3500000</v>
      </c>
      <c r="O31" s="149">
        <f t="shared" si="4"/>
        <v>0</v>
      </c>
      <c r="P31" s="148">
        <v>0</v>
      </c>
      <c r="Q31" s="148">
        <v>0</v>
      </c>
      <c r="R31" s="148" t="s">
        <v>1081</v>
      </c>
    </row>
    <row r="32" spans="1:18">
      <c r="A32" s="142">
        <f t="shared" si="5"/>
        <v>29</v>
      </c>
      <c r="B32" s="143" t="s">
        <v>1117</v>
      </c>
      <c r="C32" s="144" t="s">
        <v>1119</v>
      </c>
      <c r="D32" s="145">
        <f t="shared" si="1"/>
        <v>3000000</v>
      </c>
      <c r="E32" s="145">
        <v>0</v>
      </c>
      <c r="F32" s="146" t="s">
        <v>2</v>
      </c>
      <c r="G32" s="145">
        <v>3000000</v>
      </c>
      <c r="H32" s="146" t="s">
        <v>1075</v>
      </c>
      <c r="I32" s="145">
        <f t="shared" si="2"/>
        <v>2700000</v>
      </c>
      <c r="J32" s="145">
        <v>0</v>
      </c>
      <c r="K32" s="145">
        <v>2700000</v>
      </c>
      <c r="L32" s="147">
        <f t="shared" si="3"/>
        <v>2700000</v>
      </c>
      <c r="M32" s="148">
        <v>0</v>
      </c>
      <c r="N32" s="148">
        <v>2700000</v>
      </c>
      <c r="O32" s="149">
        <f t="shared" si="4"/>
        <v>0</v>
      </c>
      <c r="P32" s="148">
        <v>0</v>
      </c>
      <c r="Q32" s="148">
        <v>0</v>
      </c>
      <c r="R32" s="148" t="s">
        <v>1081</v>
      </c>
    </row>
    <row r="33" spans="1:18">
      <c r="A33" s="142">
        <f t="shared" si="5"/>
        <v>30</v>
      </c>
      <c r="B33" s="143" t="s">
        <v>1117</v>
      </c>
      <c r="C33" s="144" t="s">
        <v>1120</v>
      </c>
      <c r="D33" s="145">
        <f t="shared" si="1"/>
        <v>1000000</v>
      </c>
      <c r="E33" s="145">
        <v>0</v>
      </c>
      <c r="F33" s="146" t="s">
        <v>2</v>
      </c>
      <c r="G33" s="145">
        <v>1000000</v>
      </c>
      <c r="H33" s="146" t="s">
        <v>1075</v>
      </c>
      <c r="I33" s="145" t="s">
        <v>1113</v>
      </c>
      <c r="J33" s="145">
        <v>0</v>
      </c>
      <c r="K33" s="145" t="s">
        <v>1113</v>
      </c>
      <c r="L33" s="147">
        <f t="shared" si="3"/>
        <v>0</v>
      </c>
      <c r="M33" s="148">
        <v>0</v>
      </c>
      <c r="N33" s="148">
        <v>0</v>
      </c>
      <c r="O33" s="149" t="s">
        <v>1113</v>
      </c>
      <c r="P33" s="148">
        <v>0</v>
      </c>
      <c r="Q33" s="148" t="s">
        <v>1113</v>
      </c>
      <c r="R33" s="148"/>
    </row>
    <row r="34" spans="1:18">
      <c r="A34" s="142">
        <f t="shared" si="5"/>
        <v>31</v>
      </c>
      <c r="B34" s="143" t="s">
        <v>1122</v>
      </c>
      <c r="C34" s="144" t="s">
        <v>3</v>
      </c>
      <c r="D34" s="145">
        <f t="shared" si="1"/>
        <v>7000000</v>
      </c>
      <c r="E34" s="145">
        <v>7000000</v>
      </c>
      <c r="F34" s="146" t="s">
        <v>1074</v>
      </c>
      <c r="G34" s="145">
        <v>0</v>
      </c>
      <c r="H34" s="146" t="s">
        <v>2</v>
      </c>
      <c r="I34" s="145">
        <f>SUM(J34:K34)</f>
        <v>7008178</v>
      </c>
      <c r="J34" s="145">
        <v>7008178</v>
      </c>
      <c r="K34" s="145">
        <v>0</v>
      </c>
      <c r="L34" s="147">
        <f t="shared" si="3"/>
        <v>7008178</v>
      </c>
      <c r="M34" s="148">
        <v>7008178</v>
      </c>
      <c r="N34" s="148">
        <v>0</v>
      </c>
      <c r="O34" s="149">
        <f>SUM(P34:Q34)</f>
        <v>0</v>
      </c>
      <c r="P34" s="148">
        <v>0</v>
      </c>
      <c r="Q34" s="148">
        <v>0</v>
      </c>
      <c r="R34" s="148" t="s">
        <v>1081</v>
      </c>
    </row>
    <row r="35" spans="1:18">
      <c r="A35" s="142">
        <f t="shared" si="5"/>
        <v>32</v>
      </c>
      <c r="B35" s="143" t="s">
        <v>1123</v>
      </c>
      <c r="C35" s="144" t="s">
        <v>1113</v>
      </c>
      <c r="D35" s="145">
        <f t="shared" si="1"/>
        <v>1000000</v>
      </c>
      <c r="E35" s="145">
        <v>0</v>
      </c>
      <c r="F35" s="146" t="s">
        <v>2</v>
      </c>
      <c r="G35" s="145">
        <v>1000000</v>
      </c>
      <c r="H35" s="146" t="s">
        <v>1075</v>
      </c>
      <c r="I35" s="145" t="s">
        <v>1113</v>
      </c>
      <c r="J35" s="145">
        <v>0</v>
      </c>
      <c r="K35" s="145" t="s">
        <v>1113</v>
      </c>
      <c r="L35" s="147">
        <f t="shared" si="3"/>
        <v>0</v>
      </c>
      <c r="M35" s="148">
        <v>0</v>
      </c>
      <c r="N35" s="148">
        <v>0</v>
      </c>
      <c r="O35" s="149" t="s">
        <v>1113</v>
      </c>
      <c r="P35" s="148">
        <v>0</v>
      </c>
      <c r="Q35" s="148" t="s">
        <v>1113</v>
      </c>
      <c r="R35" s="148"/>
    </row>
    <row r="36" spans="1:18">
      <c r="A36" s="142">
        <f t="shared" si="5"/>
        <v>33</v>
      </c>
      <c r="B36" s="143" t="s">
        <v>1124</v>
      </c>
      <c r="C36" s="144" t="s">
        <v>1113</v>
      </c>
      <c r="D36" s="145">
        <f t="shared" si="1"/>
        <v>2000000</v>
      </c>
      <c r="E36" s="145">
        <v>1000000</v>
      </c>
      <c r="F36" s="146" t="s">
        <v>1074</v>
      </c>
      <c r="G36" s="145">
        <v>1000000</v>
      </c>
      <c r="H36" s="146" t="s">
        <v>1075</v>
      </c>
      <c r="I36" s="145">
        <f t="shared" si="2"/>
        <v>2005790</v>
      </c>
      <c r="J36" s="145">
        <v>1005790</v>
      </c>
      <c r="K36" s="145">
        <v>1000000</v>
      </c>
      <c r="L36" s="147">
        <f t="shared" si="3"/>
        <v>2005790</v>
      </c>
      <c r="M36" s="148">
        <v>1005790</v>
      </c>
      <c r="N36" s="148">
        <v>1000000</v>
      </c>
      <c r="O36" s="149">
        <f>SUM(P36:Q36)</f>
        <v>0</v>
      </c>
      <c r="P36" s="148">
        <v>0</v>
      </c>
      <c r="Q36" s="148">
        <v>0</v>
      </c>
      <c r="R36" s="148" t="s">
        <v>1081</v>
      </c>
    </row>
    <row r="37" spans="1:18">
      <c r="A37" s="142">
        <f t="shared" si="5"/>
        <v>34</v>
      </c>
      <c r="B37" s="143" t="s">
        <v>1126</v>
      </c>
      <c r="C37" s="144" t="s">
        <v>1127</v>
      </c>
      <c r="D37" s="145">
        <f t="shared" si="1"/>
        <v>280000</v>
      </c>
      <c r="E37" s="145">
        <v>140000</v>
      </c>
      <c r="F37" s="146" t="s">
        <v>1047</v>
      </c>
      <c r="G37" s="145">
        <v>140000</v>
      </c>
      <c r="H37" s="146" t="s">
        <v>1062</v>
      </c>
      <c r="I37" s="145">
        <f t="shared" si="2"/>
        <v>278000</v>
      </c>
      <c r="J37" s="145">
        <v>139000</v>
      </c>
      <c r="K37" s="145">
        <v>139000</v>
      </c>
      <c r="L37" s="147">
        <f t="shared" si="3"/>
        <v>278000</v>
      </c>
      <c r="M37" s="148">
        <v>139000</v>
      </c>
      <c r="N37" s="148">
        <v>139000</v>
      </c>
      <c r="O37" s="149">
        <f t="shared" si="4"/>
        <v>0</v>
      </c>
      <c r="P37" s="148">
        <v>0</v>
      </c>
      <c r="Q37" s="148">
        <v>0</v>
      </c>
      <c r="R37" s="148" t="s">
        <v>1081</v>
      </c>
    </row>
    <row r="38" spans="1:18">
      <c r="A38" s="142">
        <f t="shared" si="5"/>
        <v>35</v>
      </c>
      <c r="B38" s="143" t="s">
        <v>1132</v>
      </c>
      <c r="C38" s="144" t="s">
        <v>3</v>
      </c>
      <c r="D38" s="145">
        <f t="shared" si="1"/>
        <v>1000000</v>
      </c>
      <c r="E38" s="145">
        <v>1000000</v>
      </c>
      <c r="F38" s="146" t="s">
        <v>1047</v>
      </c>
      <c r="G38" s="145">
        <v>0</v>
      </c>
      <c r="H38" s="146" t="s">
        <v>2</v>
      </c>
      <c r="I38" s="145">
        <f t="shared" si="2"/>
        <v>1000000</v>
      </c>
      <c r="J38" s="145">
        <v>1000000</v>
      </c>
      <c r="K38" s="145">
        <v>0</v>
      </c>
      <c r="L38" s="147">
        <f t="shared" si="3"/>
        <v>640300</v>
      </c>
      <c r="M38" s="148">
        <v>640300</v>
      </c>
      <c r="N38" s="148">
        <v>0</v>
      </c>
      <c r="O38" s="149">
        <f t="shared" si="4"/>
        <v>359700</v>
      </c>
      <c r="P38" s="148">
        <f>J38-M38</f>
        <v>359700</v>
      </c>
      <c r="Q38" s="148">
        <v>0</v>
      </c>
      <c r="R38" s="148"/>
    </row>
    <row r="39" spans="1:18">
      <c r="A39" s="142">
        <f t="shared" si="5"/>
        <v>36</v>
      </c>
      <c r="B39" s="143" t="s">
        <v>1133</v>
      </c>
      <c r="C39" s="144" t="s">
        <v>3</v>
      </c>
      <c r="D39" s="145">
        <f t="shared" si="1"/>
        <v>250000</v>
      </c>
      <c r="E39" s="145">
        <v>150000</v>
      </c>
      <c r="F39" s="146" t="s">
        <v>1047</v>
      </c>
      <c r="G39" s="145">
        <v>100000</v>
      </c>
      <c r="H39" s="146" t="s">
        <v>1062</v>
      </c>
      <c r="I39" s="145">
        <f t="shared" si="2"/>
        <v>250000</v>
      </c>
      <c r="J39" s="145">
        <v>150000</v>
      </c>
      <c r="K39" s="145">
        <v>100000</v>
      </c>
      <c r="L39" s="147">
        <f t="shared" si="3"/>
        <v>44000</v>
      </c>
      <c r="M39" s="148">
        <v>44000</v>
      </c>
      <c r="N39" s="148">
        <v>0</v>
      </c>
      <c r="O39" s="149">
        <f t="shared" si="4"/>
        <v>0</v>
      </c>
      <c r="P39" s="148">
        <v>0</v>
      </c>
      <c r="Q39" s="148">
        <v>0</v>
      </c>
      <c r="R39" s="148"/>
    </row>
    <row r="40" spans="1:18">
      <c r="A40" s="142">
        <f t="shared" si="5"/>
        <v>37</v>
      </c>
      <c r="B40" s="143" t="s">
        <v>1134</v>
      </c>
      <c r="C40" s="144" t="s">
        <v>3</v>
      </c>
      <c r="D40" s="145">
        <f t="shared" si="1"/>
        <v>250000</v>
      </c>
      <c r="E40" s="145">
        <v>150000</v>
      </c>
      <c r="F40" s="146" t="s">
        <v>1047</v>
      </c>
      <c r="G40" s="145">
        <v>100000</v>
      </c>
      <c r="H40" s="146" t="s">
        <v>1062</v>
      </c>
      <c r="I40" s="145">
        <f t="shared" si="2"/>
        <v>250000</v>
      </c>
      <c r="J40" s="145">
        <v>150000</v>
      </c>
      <c r="K40" s="145">
        <v>100000</v>
      </c>
      <c r="L40" s="147">
        <f t="shared" si="3"/>
        <v>29000</v>
      </c>
      <c r="M40" s="148">
        <v>29000</v>
      </c>
      <c r="N40" s="148">
        <v>0</v>
      </c>
      <c r="O40" s="149">
        <f t="shared" si="4"/>
        <v>0</v>
      </c>
      <c r="P40" s="148">
        <v>0</v>
      </c>
      <c r="Q40" s="148">
        <v>0</v>
      </c>
      <c r="R40" s="148"/>
    </row>
    <row r="41" spans="1:18">
      <c r="A41" s="142">
        <f t="shared" si="5"/>
        <v>38</v>
      </c>
      <c r="B41" s="143" t="s">
        <v>1135</v>
      </c>
      <c r="C41" s="144" t="s">
        <v>3</v>
      </c>
      <c r="D41" s="145">
        <f t="shared" si="1"/>
        <v>500000</v>
      </c>
      <c r="E41" s="145">
        <v>250000</v>
      </c>
      <c r="F41" s="146" t="s">
        <v>1047</v>
      </c>
      <c r="G41" s="145">
        <v>250000</v>
      </c>
      <c r="H41" s="146" t="s">
        <v>1062</v>
      </c>
      <c r="I41" s="145">
        <f t="shared" si="2"/>
        <v>500000</v>
      </c>
      <c r="J41" s="145">
        <v>250000</v>
      </c>
      <c r="K41" s="145">
        <v>250000</v>
      </c>
      <c r="L41" s="147">
        <f t="shared" si="3"/>
        <v>0</v>
      </c>
      <c r="M41" s="148">
        <v>0</v>
      </c>
      <c r="N41" s="148">
        <v>0</v>
      </c>
      <c r="O41" s="149">
        <f t="shared" si="4"/>
        <v>0</v>
      </c>
      <c r="P41" s="148">
        <v>0</v>
      </c>
      <c r="Q41" s="148">
        <v>0</v>
      </c>
      <c r="R41" s="148"/>
    </row>
    <row r="42" spans="1:18">
      <c r="A42" s="142">
        <f t="shared" si="5"/>
        <v>39</v>
      </c>
      <c r="B42" s="143" t="s">
        <v>1136</v>
      </c>
      <c r="C42" s="144" t="s">
        <v>3</v>
      </c>
      <c r="D42" s="145">
        <f t="shared" si="1"/>
        <v>150000</v>
      </c>
      <c r="E42" s="145">
        <v>75000</v>
      </c>
      <c r="F42" s="146" t="s">
        <v>1047</v>
      </c>
      <c r="G42" s="145">
        <v>75000</v>
      </c>
      <c r="H42" s="146" t="s">
        <v>1062</v>
      </c>
      <c r="I42" s="145">
        <f t="shared" si="2"/>
        <v>150000</v>
      </c>
      <c r="J42" s="145">
        <v>75000</v>
      </c>
      <c r="K42" s="145">
        <v>75000</v>
      </c>
      <c r="L42" s="147">
        <f t="shared" si="3"/>
        <v>0</v>
      </c>
      <c r="M42" s="148">
        <v>0</v>
      </c>
      <c r="N42" s="148">
        <v>0</v>
      </c>
      <c r="O42" s="149">
        <f t="shared" si="4"/>
        <v>0</v>
      </c>
      <c r="P42" s="148">
        <v>0</v>
      </c>
      <c r="Q42" s="148">
        <v>0</v>
      </c>
      <c r="R42" s="148"/>
    </row>
    <row r="43" spans="1:18">
      <c r="A43" s="142">
        <f t="shared" si="5"/>
        <v>40</v>
      </c>
      <c r="B43" s="143" t="s">
        <v>1137</v>
      </c>
      <c r="C43" s="144" t="s">
        <v>3</v>
      </c>
      <c r="D43" s="145">
        <f t="shared" si="1"/>
        <v>300000</v>
      </c>
      <c r="E43" s="145">
        <v>150000</v>
      </c>
      <c r="F43" s="146" t="s">
        <v>1047</v>
      </c>
      <c r="G43" s="145">
        <v>150000</v>
      </c>
      <c r="H43" s="146" t="s">
        <v>1062</v>
      </c>
      <c r="I43" s="145">
        <f t="shared" si="2"/>
        <v>300000</v>
      </c>
      <c r="J43" s="145">
        <v>150000</v>
      </c>
      <c r="K43" s="145">
        <v>150000</v>
      </c>
      <c r="L43" s="147">
        <f t="shared" si="3"/>
        <v>0</v>
      </c>
      <c r="M43" s="148">
        <v>0</v>
      </c>
      <c r="N43" s="148">
        <v>0</v>
      </c>
      <c r="O43" s="149">
        <f t="shared" si="4"/>
        <v>0</v>
      </c>
      <c r="P43" s="148">
        <v>0</v>
      </c>
      <c r="Q43" s="148">
        <v>0</v>
      </c>
      <c r="R43" s="148"/>
    </row>
    <row r="44" spans="1:18">
      <c r="A44" s="788" t="s">
        <v>1128</v>
      </c>
      <c r="B44" s="789"/>
      <c r="C44" s="790"/>
      <c r="D44" s="151">
        <f>SUM(D4:D43)</f>
        <v>822844500</v>
      </c>
      <c r="E44" s="151">
        <f t="shared" ref="E44:Q44" si="7">SUM(E4:E43)</f>
        <v>687882250</v>
      </c>
      <c r="F44" s="146" t="s">
        <v>2</v>
      </c>
      <c r="G44" s="151">
        <f t="shared" si="7"/>
        <v>134962250</v>
      </c>
      <c r="H44" s="146" t="s">
        <v>2</v>
      </c>
      <c r="I44" s="151">
        <f t="shared" si="7"/>
        <v>853741535</v>
      </c>
      <c r="J44" s="151">
        <f t="shared" si="7"/>
        <v>657161685</v>
      </c>
      <c r="K44" s="151">
        <f t="shared" si="7"/>
        <v>196579850</v>
      </c>
      <c r="L44" s="152">
        <f t="shared" si="7"/>
        <v>620277982</v>
      </c>
      <c r="M44" s="151">
        <f t="shared" si="7"/>
        <v>520758132</v>
      </c>
      <c r="N44" s="151">
        <f t="shared" si="7"/>
        <v>99519850</v>
      </c>
      <c r="O44" s="153">
        <f t="shared" si="7"/>
        <v>165586553</v>
      </c>
      <c r="P44" s="151">
        <f t="shared" si="7"/>
        <v>135701553</v>
      </c>
      <c r="Q44" s="151">
        <f t="shared" si="7"/>
        <v>29885000</v>
      </c>
      <c r="R44" s="154"/>
    </row>
  </sheetData>
  <autoFilter ref="A3:R44" xr:uid="{00000000-0009-0000-0000-00000E000000}"/>
  <mergeCells count="17">
    <mergeCell ref="A44:C44"/>
    <mergeCell ref="G1:G3"/>
    <mergeCell ref="H1:H3"/>
    <mergeCell ref="I1:I3"/>
    <mergeCell ref="J1:J3"/>
    <mergeCell ref="A1:A3"/>
    <mergeCell ref="B1:B3"/>
    <mergeCell ref="C1:C3"/>
    <mergeCell ref="D1:D3"/>
    <mergeCell ref="E1:E3"/>
    <mergeCell ref="F1:F3"/>
    <mergeCell ref="O1:Q1"/>
    <mergeCell ref="R1:R3"/>
    <mergeCell ref="L2:N2"/>
    <mergeCell ref="O2:Q2"/>
    <mergeCell ref="K1:K3"/>
    <mergeCell ref="L1:N1"/>
  </mergeCells>
  <phoneticPr fontId="5" type="noConversion"/>
  <conditionalFormatting sqref="A4:A43">
    <cfRule type="expression" dxfId="72" priority="31">
      <formula>FIND("지불 완료",R4)</formula>
    </cfRule>
  </conditionalFormatting>
  <conditionalFormatting sqref="B4:B43">
    <cfRule type="expression" dxfId="71" priority="30">
      <formula>FIND("지불 완료",R4)</formula>
    </cfRule>
  </conditionalFormatting>
  <conditionalFormatting sqref="C4:C43">
    <cfRule type="expression" dxfId="70" priority="29">
      <formula>FIND("지불 완료",R4)</formula>
    </cfRule>
  </conditionalFormatting>
  <conditionalFormatting sqref="D4:D43">
    <cfRule type="expression" dxfId="69" priority="28">
      <formula>FIND("지불 완료",R4)</formula>
    </cfRule>
  </conditionalFormatting>
  <conditionalFormatting sqref="E4:E43">
    <cfRule type="expression" dxfId="68" priority="27">
      <formula>FIND("지불 완료",R4)</formula>
    </cfRule>
  </conditionalFormatting>
  <conditionalFormatting sqref="F4:F44">
    <cfRule type="expression" dxfId="67" priority="3">
      <formula>FIND("지불 완료",R4)</formula>
    </cfRule>
  </conditionalFormatting>
  <conditionalFormatting sqref="G4:G15">
    <cfRule type="expression" dxfId="66" priority="114">
      <formula>FIND("지불 완료",R4)</formula>
    </cfRule>
  </conditionalFormatting>
  <conditionalFormatting sqref="G16">
    <cfRule type="expression" dxfId="65" priority="186">
      <formula>FIND("지불 완료",T16)</formula>
    </cfRule>
  </conditionalFormatting>
  <conditionalFormatting sqref="G17:G43">
    <cfRule type="expression" dxfId="64" priority="25">
      <formula>FIND("지불 완료",R17)</formula>
    </cfRule>
  </conditionalFormatting>
  <conditionalFormatting sqref="H4:H43">
    <cfRule type="expression" dxfId="63" priority="24">
      <formula>FIND("지불 완료",R4)</formula>
    </cfRule>
  </conditionalFormatting>
  <conditionalFormatting sqref="H44">
    <cfRule type="expression" dxfId="62" priority="2">
      <formula>FIND("지불 완료",T44)</formula>
    </cfRule>
  </conditionalFormatting>
  <conditionalFormatting sqref="I4:I43">
    <cfRule type="expression" dxfId="61" priority="23">
      <formula>FIND("지불 완료",R4)</formula>
    </cfRule>
  </conditionalFormatting>
  <conditionalFormatting sqref="J4:J15">
    <cfRule type="expression" dxfId="60" priority="104">
      <formula>FIND("지불 완료",R4)</formula>
    </cfRule>
  </conditionalFormatting>
  <conditionalFormatting sqref="J17:J37 K33">
    <cfRule type="expression" dxfId="59" priority="195">
      <formula>FIND("지불 완료",R17)</formula>
    </cfRule>
  </conditionalFormatting>
  <conditionalFormatting sqref="J38:J43">
    <cfRule type="expression" dxfId="58" priority="12">
      <formula>FIND("지불 완료",W38)</formula>
    </cfRule>
  </conditionalFormatting>
  <conditionalFormatting sqref="J16:K16">
    <cfRule type="expression" dxfId="57" priority="184">
      <formula>FIND("지불 완료",W16)</formula>
    </cfRule>
  </conditionalFormatting>
  <conditionalFormatting sqref="K4 K34:K37">
    <cfRule type="expression" dxfId="56" priority="194">
      <formula>FIND("지불 완료",R4)</formula>
    </cfRule>
  </conditionalFormatting>
  <conditionalFormatting sqref="K5">
    <cfRule type="expression" dxfId="55" priority="183">
      <formula>FIND("지불 완료",V5)</formula>
    </cfRule>
  </conditionalFormatting>
  <conditionalFormatting sqref="K6:K15">
    <cfRule type="expression" dxfId="54" priority="112">
      <formula>FIND("지불 완료",R6)</formula>
    </cfRule>
  </conditionalFormatting>
  <conditionalFormatting sqref="K17:K32">
    <cfRule type="expression" dxfId="53" priority="1">
      <formula>FIND("지불 완료",R17)</formula>
    </cfRule>
  </conditionalFormatting>
  <conditionalFormatting sqref="K38:K43">
    <cfRule type="expression" dxfId="52" priority="6">
      <formula>FIND("지불 완료",V38)</formula>
    </cfRule>
  </conditionalFormatting>
  <conditionalFormatting sqref="L4:L43">
    <cfRule type="expression" dxfId="51" priority="22">
      <formula>FIND("지불 완료",R4)</formula>
    </cfRule>
  </conditionalFormatting>
  <conditionalFormatting sqref="M4:M37">
    <cfRule type="expression" dxfId="50" priority="110">
      <formula>FIND("지불 완료",R4)</formula>
    </cfRule>
  </conditionalFormatting>
  <conditionalFormatting sqref="M38:M43">
    <cfRule type="expression" dxfId="49" priority="5">
      <formula>FIND("지불 완료",Q38)</formula>
    </cfRule>
  </conditionalFormatting>
  <conditionalFormatting sqref="N4:N43">
    <cfRule type="expression" dxfId="48" priority="21">
      <formula>FIND("지불 완료",R4)</formula>
    </cfRule>
  </conditionalFormatting>
  <conditionalFormatting sqref="O4:O43">
    <cfRule type="expression" dxfId="47" priority="20">
      <formula>FIND("지불 완료",R4)</formula>
    </cfRule>
  </conditionalFormatting>
  <conditionalFormatting sqref="P4:P37">
    <cfRule type="expression" dxfId="46" priority="107">
      <formula>FIND("지불 완료",R4)</formula>
    </cfRule>
  </conditionalFormatting>
  <conditionalFormatting sqref="P38:P43">
    <cfRule type="expression" dxfId="45" priority="4">
      <formula>FIND("지불 완료",T38)</formula>
    </cfRule>
  </conditionalFormatting>
  <conditionalFormatting sqref="Q4">
    <cfRule type="expression" dxfId="44" priority="188">
      <formula>FIND("지불 완료",R4)</formula>
    </cfRule>
  </conditionalFormatting>
  <conditionalFormatting sqref="Q5">
    <cfRule type="expression" dxfId="43" priority="182">
      <formula>FIND("지불 완료",AB5)</formula>
    </cfRule>
  </conditionalFormatting>
  <conditionalFormatting sqref="Q6:Q43">
    <cfRule type="expression" dxfId="42" priority="19">
      <formula>FIND("지불 완료",R6)</formula>
    </cfRule>
  </conditionalFormatting>
  <conditionalFormatting sqref="R4:R43">
    <cfRule type="expression" dxfId="41" priority="18">
      <formula>FIND("지불 완료",R4)</formula>
    </cfRule>
  </conditionalFormatting>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8"/>
  <sheetViews>
    <sheetView zoomScaleNormal="100" workbookViewId="0">
      <pane xSplit="1" ySplit="2" topLeftCell="B97" activePane="bottomRight" state="frozen"/>
      <selection activeCell="E8" sqref="E8"/>
      <selection pane="topRight" activeCell="E8" sqref="E8"/>
      <selection pane="bottomLeft" activeCell="E8" sqref="E8"/>
      <selection pane="bottomRight" activeCell="E8" sqref="E8"/>
    </sheetView>
  </sheetViews>
  <sheetFormatPr defaultColWidth="9" defaultRowHeight="13.5"/>
  <cols>
    <col min="1" max="1" width="5.5" style="4" customWidth="1"/>
    <col min="2" max="2" width="13.75" style="114" customWidth="1"/>
    <col min="3" max="3" width="16.625" style="114" bestFit="1" customWidth="1"/>
    <col min="4" max="4" width="38.875" style="58" customWidth="1"/>
    <col min="5" max="6" width="12.875" style="115" customWidth="1"/>
    <col min="7" max="7" width="10.375" style="58" bestFit="1" customWidth="1"/>
    <col min="8" max="8" width="21.375" style="58" bestFit="1" customWidth="1"/>
    <col min="9" max="9" width="16.875" style="58" customWidth="1"/>
    <col min="10" max="10" width="10.375" style="58" bestFit="1" customWidth="1"/>
    <col min="11" max="11" width="53" style="117" customWidth="1"/>
    <col min="12" max="16384" width="9" style="107"/>
  </cols>
  <sheetData>
    <row r="1" spans="1:11" ht="33" customHeight="1">
      <c r="A1" s="562" t="s">
        <v>1138</v>
      </c>
      <c r="B1" s="562"/>
      <c r="C1" s="562"/>
      <c r="D1" s="562"/>
      <c r="E1" s="562"/>
      <c r="F1" s="562"/>
      <c r="G1" s="562"/>
      <c r="H1" s="562"/>
      <c r="I1" s="562"/>
      <c r="J1" s="562"/>
      <c r="K1" s="562"/>
    </row>
    <row r="2" spans="1:11" s="58" customFormat="1" ht="18" customHeight="1">
      <c r="A2" s="142" t="s">
        <v>490</v>
      </c>
      <c r="B2" s="155" t="s">
        <v>1139</v>
      </c>
      <c r="C2" s="155" t="s">
        <v>449</v>
      </c>
      <c r="D2" s="155" t="s">
        <v>1050</v>
      </c>
      <c r="E2" s="145" t="s">
        <v>1140</v>
      </c>
      <c r="F2" s="145" t="s">
        <v>1141</v>
      </c>
      <c r="G2" s="155" t="s">
        <v>1142</v>
      </c>
      <c r="H2" s="155" t="s">
        <v>1143</v>
      </c>
      <c r="I2" s="155" t="s">
        <v>1144</v>
      </c>
      <c r="J2" s="155" t="s">
        <v>1145</v>
      </c>
      <c r="K2" s="155" t="s">
        <v>153</v>
      </c>
    </row>
    <row r="3" spans="1:11" s="58" customFormat="1" ht="18" customHeight="1">
      <c r="A3" s="142">
        <f>ROW()-2</f>
        <v>1</v>
      </c>
      <c r="B3" s="156">
        <v>42967</v>
      </c>
      <c r="C3" s="155" t="s">
        <v>1146</v>
      </c>
      <c r="D3" s="157" t="s">
        <v>1147</v>
      </c>
      <c r="E3" s="145">
        <v>80000</v>
      </c>
      <c r="F3" s="145">
        <v>0</v>
      </c>
      <c r="G3" s="155" t="s">
        <v>1047</v>
      </c>
      <c r="H3" s="155" t="s">
        <v>1148</v>
      </c>
      <c r="I3" s="155" t="s">
        <v>70</v>
      </c>
      <c r="J3" s="155" t="s">
        <v>1149</v>
      </c>
      <c r="K3" s="155"/>
    </row>
    <row r="4" spans="1:11" s="58" customFormat="1" ht="18" customHeight="1">
      <c r="A4" s="142">
        <f t="shared" ref="A4:A108" si="0">ROW()-2</f>
        <v>2</v>
      </c>
      <c r="B4" s="156">
        <v>42969</v>
      </c>
      <c r="C4" s="155" t="s">
        <v>1146</v>
      </c>
      <c r="D4" s="157" t="s">
        <v>1150</v>
      </c>
      <c r="E4" s="145">
        <v>39900</v>
      </c>
      <c r="F4" s="145">
        <v>0</v>
      </c>
      <c r="G4" s="155" t="s">
        <v>1047</v>
      </c>
      <c r="H4" s="155" t="s">
        <v>1151</v>
      </c>
      <c r="I4" s="155" t="s">
        <v>70</v>
      </c>
      <c r="J4" s="155" t="s">
        <v>1149</v>
      </c>
      <c r="K4" s="155"/>
    </row>
    <row r="5" spans="1:11" s="58" customFormat="1" ht="18" customHeight="1">
      <c r="A5" s="142">
        <f t="shared" si="0"/>
        <v>3</v>
      </c>
      <c r="B5" s="156">
        <v>42994</v>
      </c>
      <c r="C5" s="155" t="s">
        <v>1152</v>
      </c>
      <c r="D5" s="157" t="s">
        <v>1153</v>
      </c>
      <c r="E5" s="145">
        <v>50000</v>
      </c>
      <c r="F5" s="145">
        <v>0</v>
      </c>
      <c r="G5" s="155" t="s">
        <v>1047</v>
      </c>
      <c r="H5" s="155" t="s">
        <v>1148</v>
      </c>
      <c r="I5" s="155" t="s">
        <v>70</v>
      </c>
      <c r="J5" s="155" t="s">
        <v>1149</v>
      </c>
      <c r="K5" s="155"/>
    </row>
    <row r="6" spans="1:11" s="58" customFormat="1" ht="18" customHeight="1">
      <c r="A6" s="142">
        <f t="shared" si="0"/>
        <v>4</v>
      </c>
      <c r="B6" s="156">
        <v>42994</v>
      </c>
      <c r="C6" s="155" t="s">
        <v>1152</v>
      </c>
      <c r="D6" s="157" t="s">
        <v>1154</v>
      </c>
      <c r="E6" s="145">
        <v>50000</v>
      </c>
      <c r="F6" s="145">
        <v>0</v>
      </c>
      <c r="G6" s="155" t="s">
        <v>1047</v>
      </c>
      <c r="H6" s="155" t="s">
        <v>1148</v>
      </c>
      <c r="I6" s="155" t="s">
        <v>70</v>
      </c>
      <c r="J6" s="155" t="s">
        <v>1149</v>
      </c>
      <c r="K6" s="155"/>
    </row>
    <row r="7" spans="1:11" s="58" customFormat="1" ht="18" customHeight="1">
      <c r="A7" s="142">
        <f t="shared" si="0"/>
        <v>5</v>
      </c>
      <c r="B7" s="156">
        <v>42994</v>
      </c>
      <c r="C7" s="155" t="s">
        <v>1152</v>
      </c>
      <c r="D7" s="157" t="s">
        <v>1155</v>
      </c>
      <c r="E7" s="145">
        <v>33300</v>
      </c>
      <c r="F7" s="145">
        <v>0</v>
      </c>
      <c r="G7" s="155" t="s">
        <v>1047</v>
      </c>
      <c r="H7" s="155" t="s">
        <v>1156</v>
      </c>
      <c r="I7" s="155" t="s">
        <v>70</v>
      </c>
      <c r="J7" s="155" t="s">
        <v>1149</v>
      </c>
      <c r="K7" s="155"/>
    </row>
    <row r="8" spans="1:11" s="58" customFormat="1" ht="18" customHeight="1">
      <c r="A8" s="142">
        <f t="shared" si="0"/>
        <v>6</v>
      </c>
      <c r="B8" s="156">
        <v>42994</v>
      </c>
      <c r="C8" s="155" t="s">
        <v>1152</v>
      </c>
      <c r="D8" s="157" t="s">
        <v>1157</v>
      </c>
      <c r="E8" s="145">
        <v>3000</v>
      </c>
      <c r="F8" s="145">
        <v>0</v>
      </c>
      <c r="G8" s="155" t="s">
        <v>1047</v>
      </c>
      <c r="H8" s="155" t="s">
        <v>502</v>
      </c>
      <c r="I8" s="155" t="s">
        <v>70</v>
      </c>
      <c r="J8" s="155" t="s">
        <v>70</v>
      </c>
      <c r="K8" s="155"/>
    </row>
    <row r="9" spans="1:11" s="58" customFormat="1" ht="18" customHeight="1">
      <c r="A9" s="142">
        <f t="shared" si="0"/>
        <v>7</v>
      </c>
      <c r="B9" s="156">
        <v>42994</v>
      </c>
      <c r="C9" s="155" t="s">
        <v>1152</v>
      </c>
      <c r="D9" s="157" t="s">
        <v>1158</v>
      </c>
      <c r="E9" s="145">
        <v>1400</v>
      </c>
      <c r="F9" s="145">
        <v>0</v>
      </c>
      <c r="G9" s="155" t="s">
        <v>1047</v>
      </c>
      <c r="H9" s="155" t="s">
        <v>1159</v>
      </c>
      <c r="I9" s="155" t="s">
        <v>70</v>
      </c>
      <c r="J9" s="155" t="s">
        <v>1149</v>
      </c>
      <c r="K9" s="155"/>
    </row>
    <row r="10" spans="1:11" ht="18" customHeight="1">
      <c r="A10" s="142">
        <f t="shared" si="0"/>
        <v>8</v>
      </c>
      <c r="B10" s="156">
        <v>43002</v>
      </c>
      <c r="C10" s="155" t="s">
        <v>1070</v>
      </c>
      <c r="D10" s="157" t="s">
        <v>1160</v>
      </c>
      <c r="E10" s="145">
        <v>89389</v>
      </c>
      <c r="F10" s="145">
        <v>0</v>
      </c>
      <c r="G10" s="155" t="s">
        <v>1047</v>
      </c>
      <c r="H10" s="155" t="s">
        <v>1161</v>
      </c>
      <c r="I10" s="155" t="s">
        <v>1149</v>
      </c>
      <c r="J10" s="155" t="s">
        <v>1149</v>
      </c>
      <c r="K10" s="157"/>
    </row>
    <row r="11" spans="1:11" ht="18" customHeight="1">
      <c r="A11" s="142">
        <f t="shared" si="0"/>
        <v>9</v>
      </c>
      <c r="B11" s="156">
        <v>43008</v>
      </c>
      <c r="C11" s="155" t="s">
        <v>1070</v>
      </c>
      <c r="D11" s="157" t="s">
        <v>1162</v>
      </c>
      <c r="E11" s="145">
        <v>464500</v>
      </c>
      <c r="F11" s="145">
        <v>0</v>
      </c>
      <c r="G11" s="155" t="s">
        <v>1047</v>
      </c>
      <c r="H11" s="155" t="s">
        <v>1148</v>
      </c>
      <c r="I11" s="155" t="s">
        <v>1149</v>
      </c>
      <c r="J11" s="155" t="s">
        <v>1149</v>
      </c>
      <c r="K11" s="157"/>
    </row>
    <row r="12" spans="1:11" ht="18" customHeight="1">
      <c r="A12" s="142">
        <f t="shared" si="0"/>
        <v>10</v>
      </c>
      <c r="B12" s="156">
        <v>43008</v>
      </c>
      <c r="C12" s="155" t="s">
        <v>1070</v>
      </c>
      <c r="D12" s="157" t="s">
        <v>1163</v>
      </c>
      <c r="E12" s="145">
        <v>19100</v>
      </c>
      <c r="F12" s="145">
        <v>0</v>
      </c>
      <c r="G12" s="155" t="s">
        <v>1047</v>
      </c>
      <c r="H12" s="155" t="s">
        <v>1148</v>
      </c>
      <c r="I12" s="155" t="s">
        <v>1149</v>
      </c>
      <c r="J12" s="155" t="s">
        <v>1149</v>
      </c>
      <c r="K12" s="157"/>
    </row>
    <row r="13" spans="1:11" ht="18" customHeight="1">
      <c r="A13" s="142">
        <f t="shared" si="0"/>
        <v>11</v>
      </c>
      <c r="B13" s="156">
        <v>43008</v>
      </c>
      <c r="C13" s="155" t="s">
        <v>1070</v>
      </c>
      <c r="D13" s="157" t="s">
        <v>1164</v>
      </c>
      <c r="E13" s="145">
        <v>43000</v>
      </c>
      <c r="F13" s="145">
        <v>0</v>
      </c>
      <c r="G13" s="155" t="s">
        <v>1047</v>
      </c>
      <c r="H13" s="155" t="s">
        <v>1148</v>
      </c>
      <c r="I13" s="155" t="s">
        <v>1149</v>
      </c>
      <c r="J13" s="155" t="s">
        <v>1149</v>
      </c>
      <c r="K13" s="157"/>
    </row>
    <row r="14" spans="1:11" ht="18" customHeight="1">
      <c r="A14" s="142">
        <f t="shared" si="0"/>
        <v>12</v>
      </c>
      <c r="B14" s="156">
        <v>43009</v>
      </c>
      <c r="C14" s="155" t="s">
        <v>1070</v>
      </c>
      <c r="D14" s="157" t="s">
        <v>1165</v>
      </c>
      <c r="E14" s="145">
        <v>53000</v>
      </c>
      <c r="F14" s="145">
        <v>0</v>
      </c>
      <c r="G14" s="155" t="s">
        <v>1047</v>
      </c>
      <c r="H14" s="155" t="s">
        <v>1148</v>
      </c>
      <c r="I14" s="155" t="s">
        <v>1149</v>
      </c>
      <c r="J14" s="155" t="s">
        <v>1149</v>
      </c>
      <c r="K14" s="157"/>
    </row>
    <row r="15" spans="1:11" ht="18" customHeight="1">
      <c r="A15" s="142">
        <f t="shared" si="0"/>
        <v>13</v>
      </c>
      <c r="B15" s="156">
        <v>43009</v>
      </c>
      <c r="C15" s="155" t="s">
        <v>1070</v>
      </c>
      <c r="D15" s="157" t="s">
        <v>1074</v>
      </c>
      <c r="E15" s="145">
        <v>180000</v>
      </c>
      <c r="F15" s="145">
        <v>0</v>
      </c>
      <c r="G15" s="155" t="s">
        <v>1047</v>
      </c>
      <c r="H15" s="155" t="s">
        <v>502</v>
      </c>
      <c r="I15" s="155" t="s">
        <v>1149</v>
      </c>
      <c r="J15" s="155" t="s">
        <v>70</v>
      </c>
      <c r="K15" s="157" t="s">
        <v>1166</v>
      </c>
    </row>
    <row r="16" spans="1:11" ht="18" customHeight="1">
      <c r="A16" s="142">
        <f t="shared" si="0"/>
        <v>14</v>
      </c>
      <c r="B16" s="156">
        <v>43010</v>
      </c>
      <c r="C16" s="155" t="s">
        <v>1146</v>
      </c>
      <c r="D16" s="157" t="s">
        <v>1167</v>
      </c>
      <c r="E16" s="145">
        <v>44000</v>
      </c>
      <c r="F16" s="145">
        <v>0</v>
      </c>
      <c r="G16" s="155" t="s">
        <v>1047</v>
      </c>
      <c r="H16" s="155" t="s">
        <v>1148</v>
      </c>
      <c r="I16" s="155" t="s">
        <v>70</v>
      </c>
      <c r="J16" s="155" t="s">
        <v>1149</v>
      </c>
      <c r="K16" s="157"/>
    </row>
    <row r="17" spans="1:11" ht="18" customHeight="1">
      <c r="A17" s="142">
        <f t="shared" si="0"/>
        <v>15</v>
      </c>
      <c r="B17" s="156">
        <v>43019</v>
      </c>
      <c r="C17" s="155" t="s">
        <v>1072</v>
      </c>
      <c r="D17" s="157" t="s">
        <v>1168</v>
      </c>
      <c r="E17" s="145">
        <v>3000000</v>
      </c>
      <c r="F17" s="145">
        <v>1000000</v>
      </c>
      <c r="G17" s="155" t="s">
        <v>1047</v>
      </c>
      <c r="H17" s="155" t="s">
        <v>1148</v>
      </c>
      <c r="I17" s="155" t="s">
        <v>1149</v>
      </c>
      <c r="J17" s="155" t="s">
        <v>1149</v>
      </c>
      <c r="K17" s="157" t="s">
        <v>1169</v>
      </c>
    </row>
    <row r="18" spans="1:11" ht="18" customHeight="1">
      <c r="A18" s="142">
        <f t="shared" si="0"/>
        <v>16</v>
      </c>
      <c r="B18" s="156">
        <v>43022</v>
      </c>
      <c r="C18" s="155" t="s">
        <v>1129</v>
      </c>
      <c r="D18" s="157" t="s">
        <v>1170</v>
      </c>
      <c r="E18" s="145">
        <v>303250</v>
      </c>
      <c r="F18" s="145">
        <v>0</v>
      </c>
      <c r="G18" s="155" t="s">
        <v>1062</v>
      </c>
      <c r="H18" s="155" t="s">
        <v>2</v>
      </c>
      <c r="I18" s="155" t="s">
        <v>1149</v>
      </c>
      <c r="J18" s="155" t="s">
        <v>70</v>
      </c>
      <c r="K18" s="157" t="s">
        <v>1171</v>
      </c>
    </row>
    <row r="19" spans="1:11" ht="18" customHeight="1">
      <c r="A19" s="142">
        <f t="shared" si="0"/>
        <v>17</v>
      </c>
      <c r="B19" s="156">
        <v>43043</v>
      </c>
      <c r="C19" s="155" t="s">
        <v>1146</v>
      </c>
      <c r="D19" s="157" t="s">
        <v>1172</v>
      </c>
      <c r="E19" s="145">
        <v>55000</v>
      </c>
      <c r="F19" s="145">
        <v>0</v>
      </c>
      <c r="G19" s="155" t="s">
        <v>1074</v>
      </c>
      <c r="H19" s="155" t="s">
        <v>502</v>
      </c>
      <c r="I19" s="155" t="s">
        <v>70</v>
      </c>
      <c r="J19" s="155" t="s">
        <v>70</v>
      </c>
      <c r="K19" s="157"/>
    </row>
    <row r="20" spans="1:11" ht="18" customHeight="1">
      <c r="A20" s="142">
        <f t="shared" si="0"/>
        <v>18</v>
      </c>
      <c r="B20" s="156">
        <v>43058</v>
      </c>
      <c r="C20" s="155" t="s">
        <v>1099</v>
      </c>
      <c r="D20" s="157" t="s">
        <v>1100</v>
      </c>
      <c r="E20" s="145">
        <v>200000</v>
      </c>
      <c r="F20" s="145">
        <v>0</v>
      </c>
      <c r="G20" s="155" t="s">
        <v>1047</v>
      </c>
      <c r="H20" s="155" t="s">
        <v>1156</v>
      </c>
      <c r="I20" s="155" t="s">
        <v>1149</v>
      </c>
      <c r="J20" s="155" t="s">
        <v>1149</v>
      </c>
      <c r="K20" s="157"/>
    </row>
    <row r="21" spans="1:11" ht="18" customHeight="1">
      <c r="A21" s="142">
        <f t="shared" si="0"/>
        <v>19</v>
      </c>
      <c r="B21" s="156">
        <v>43059</v>
      </c>
      <c r="C21" s="155" t="s">
        <v>1101</v>
      </c>
      <c r="D21" s="157" t="s">
        <v>1102</v>
      </c>
      <c r="E21" s="145">
        <v>300000</v>
      </c>
      <c r="F21" s="145">
        <v>0</v>
      </c>
      <c r="G21" s="155" t="s">
        <v>1047</v>
      </c>
      <c r="H21" s="155" t="s">
        <v>1156</v>
      </c>
      <c r="I21" s="155" t="s">
        <v>1149</v>
      </c>
      <c r="J21" s="155" t="s">
        <v>1149</v>
      </c>
      <c r="K21" s="157"/>
    </row>
    <row r="22" spans="1:11" ht="18" customHeight="1">
      <c r="A22" s="142">
        <f t="shared" si="0"/>
        <v>20</v>
      </c>
      <c r="B22" s="156">
        <v>43064</v>
      </c>
      <c r="C22" s="155" t="s">
        <v>1173</v>
      </c>
      <c r="D22" s="157" t="s">
        <v>1174</v>
      </c>
      <c r="E22" s="145">
        <v>30000</v>
      </c>
      <c r="F22" s="145">
        <v>0</v>
      </c>
      <c r="G22" s="155" t="s">
        <v>1062</v>
      </c>
      <c r="H22" s="155" t="s">
        <v>502</v>
      </c>
      <c r="I22" s="155" t="s">
        <v>1149</v>
      </c>
      <c r="J22" s="155" t="s">
        <v>70</v>
      </c>
      <c r="K22" s="157"/>
    </row>
    <row r="23" spans="1:11" ht="18" customHeight="1">
      <c r="A23" s="142">
        <f t="shared" si="0"/>
        <v>21</v>
      </c>
      <c r="B23" s="156">
        <v>43064</v>
      </c>
      <c r="C23" s="155" t="s">
        <v>1173</v>
      </c>
      <c r="D23" s="157" t="s">
        <v>1175</v>
      </c>
      <c r="E23" s="145">
        <v>3000</v>
      </c>
      <c r="F23" s="145">
        <v>0</v>
      </c>
      <c r="G23" s="155" t="s">
        <v>1075</v>
      </c>
      <c r="H23" s="155" t="s">
        <v>502</v>
      </c>
      <c r="I23" s="155" t="s">
        <v>70</v>
      </c>
      <c r="J23" s="155" t="s">
        <v>70</v>
      </c>
      <c r="K23" s="157"/>
    </row>
    <row r="24" spans="1:11" ht="18" customHeight="1">
      <c r="A24" s="142">
        <f t="shared" si="0"/>
        <v>22</v>
      </c>
      <c r="B24" s="156">
        <v>43064</v>
      </c>
      <c r="C24" s="155" t="s">
        <v>1173</v>
      </c>
      <c r="D24" s="157" t="s">
        <v>1176</v>
      </c>
      <c r="E24" s="145">
        <v>30000</v>
      </c>
      <c r="F24" s="145">
        <v>0</v>
      </c>
      <c r="G24" s="155" t="s">
        <v>1062</v>
      </c>
      <c r="H24" s="155" t="s">
        <v>502</v>
      </c>
      <c r="I24" s="155" t="s">
        <v>1149</v>
      </c>
      <c r="J24" s="155" t="s">
        <v>70</v>
      </c>
      <c r="K24" s="157"/>
    </row>
    <row r="25" spans="1:11" ht="18" customHeight="1">
      <c r="A25" s="142">
        <f t="shared" si="0"/>
        <v>23</v>
      </c>
      <c r="B25" s="156">
        <v>43064</v>
      </c>
      <c r="C25" s="155" t="s">
        <v>1173</v>
      </c>
      <c r="D25" s="157" t="s">
        <v>1177</v>
      </c>
      <c r="E25" s="145">
        <v>2000</v>
      </c>
      <c r="F25" s="145">
        <v>0</v>
      </c>
      <c r="G25" s="155" t="s">
        <v>1075</v>
      </c>
      <c r="H25" s="155" t="s">
        <v>502</v>
      </c>
      <c r="I25" s="155" t="s">
        <v>70</v>
      </c>
      <c r="J25" s="155" t="s">
        <v>70</v>
      </c>
      <c r="K25" s="157"/>
    </row>
    <row r="26" spans="1:11" ht="18" customHeight="1">
      <c r="A26" s="142">
        <f t="shared" si="0"/>
        <v>24</v>
      </c>
      <c r="B26" s="156">
        <v>43064</v>
      </c>
      <c r="C26" s="155" t="s">
        <v>1173</v>
      </c>
      <c r="D26" s="157" t="s">
        <v>1178</v>
      </c>
      <c r="E26" s="145">
        <v>30000</v>
      </c>
      <c r="F26" s="145">
        <v>0</v>
      </c>
      <c r="G26" s="155" t="s">
        <v>1062</v>
      </c>
      <c r="H26" s="155" t="s">
        <v>502</v>
      </c>
      <c r="I26" s="155" t="s">
        <v>1149</v>
      </c>
      <c r="J26" s="155" t="s">
        <v>70</v>
      </c>
      <c r="K26" s="157"/>
    </row>
    <row r="27" spans="1:11" ht="18" customHeight="1">
      <c r="A27" s="142">
        <f t="shared" si="0"/>
        <v>25</v>
      </c>
      <c r="B27" s="156">
        <v>43064</v>
      </c>
      <c r="C27" s="155" t="s">
        <v>1173</v>
      </c>
      <c r="D27" s="157" t="s">
        <v>1179</v>
      </c>
      <c r="E27" s="145">
        <v>3000</v>
      </c>
      <c r="F27" s="145">
        <v>0</v>
      </c>
      <c r="G27" s="155" t="s">
        <v>1075</v>
      </c>
      <c r="H27" s="155" t="s">
        <v>502</v>
      </c>
      <c r="I27" s="155" t="s">
        <v>70</v>
      </c>
      <c r="J27" s="155" t="s">
        <v>70</v>
      </c>
      <c r="K27" s="157"/>
    </row>
    <row r="28" spans="1:11" ht="18" customHeight="1">
      <c r="A28" s="142">
        <f t="shared" si="0"/>
        <v>26</v>
      </c>
      <c r="B28" s="156">
        <v>43064</v>
      </c>
      <c r="C28" s="155" t="s">
        <v>1173</v>
      </c>
      <c r="D28" s="157" t="s">
        <v>1180</v>
      </c>
      <c r="E28" s="145">
        <v>39000</v>
      </c>
      <c r="F28" s="145">
        <v>0</v>
      </c>
      <c r="G28" s="155" t="s">
        <v>1047</v>
      </c>
      <c r="H28" s="155" t="s">
        <v>1148</v>
      </c>
      <c r="I28" s="155" t="s">
        <v>70</v>
      </c>
      <c r="J28" s="155" t="s">
        <v>1149</v>
      </c>
      <c r="K28" s="157"/>
    </row>
    <row r="29" spans="1:11" ht="18" customHeight="1">
      <c r="A29" s="142">
        <f t="shared" si="0"/>
        <v>27</v>
      </c>
      <c r="B29" s="156">
        <v>43071</v>
      </c>
      <c r="C29" s="155" t="s">
        <v>1103</v>
      </c>
      <c r="D29" s="157" t="s">
        <v>1104</v>
      </c>
      <c r="E29" s="145">
        <v>0</v>
      </c>
      <c r="F29" s="145">
        <v>0</v>
      </c>
      <c r="G29" s="155" t="s">
        <v>1074</v>
      </c>
      <c r="H29" s="155" t="s">
        <v>2</v>
      </c>
      <c r="I29" s="155" t="s">
        <v>1149</v>
      </c>
      <c r="J29" s="155" t="s">
        <v>70</v>
      </c>
      <c r="K29" s="157"/>
    </row>
    <row r="30" spans="1:11" ht="18" customHeight="1">
      <c r="A30" s="142">
        <f t="shared" si="0"/>
        <v>28</v>
      </c>
      <c r="B30" s="156">
        <v>43071</v>
      </c>
      <c r="C30" s="155" t="s">
        <v>1103</v>
      </c>
      <c r="D30" s="157" t="s">
        <v>1181</v>
      </c>
      <c r="E30" s="145">
        <v>3000</v>
      </c>
      <c r="F30" s="145">
        <v>0</v>
      </c>
      <c r="G30" s="155" t="s">
        <v>1047</v>
      </c>
      <c r="H30" s="155" t="s">
        <v>502</v>
      </c>
      <c r="I30" s="155" t="s">
        <v>70</v>
      </c>
      <c r="J30" s="155" t="s">
        <v>70</v>
      </c>
      <c r="K30" s="157"/>
    </row>
    <row r="31" spans="1:11" ht="18" customHeight="1">
      <c r="A31" s="142">
        <f t="shared" si="0"/>
        <v>29</v>
      </c>
      <c r="B31" s="156">
        <v>43071</v>
      </c>
      <c r="C31" s="155" t="s">
        <v>1108</v>
      </c>
      <c r="D31" s="157" t="s">
        <v>1182</v>
      </c>
      <c r="E31" s="145">
        <v>2300000</v>
      </c>
      <c r="F31" s="145">
        <v>0</v>
      </c>
      <c r="G31" s="155" t="s">
        <v>1075</v>
      </c>
      <c r="H31" s="155" t="s">
        <v>2</v>
      </c>
      <c r="I31" s="155" t="s">
        <v>1149</v>
      </c>
      <c r="J31" s="155" t="s">
        <v>70</v>
      </c>
      <c r="K31" s="157"/>
    </row>
    <row r="32" spans="1:11" ht="18" customHeight="1">
      <c r="A32" s="142">
        <f t="shared" si="0"/>
        <v>30</v>
      </c>
      <c r="B32" s="156">
        <v>43071</v>
      </c>
      <c r="C32" s="155" t="s">
        <v>1108</v>
      </c>
      <c r="D32" s="157" t="s">
        <v>1183</v>
      </c>
      <c r="E32" s="145">
        <v>3000</v>
      </c>
      <c r="F32" s="145">
        <v>0</v>
      </c>
      <c r="G32" s="155" t="s">
        <v>1047</v>
      </c>
      <c r="H32" s="155" t="s">
        <v>502</v>
      </c>
      <c r="I32" s="155" t="s">
        <v>70</v>
      </c>
      <c r="J32" s="155" t="s">
        <v>70</v>
      </c>
      <c r="K32" s="157"/>
    </row>
    <row r="33" spans="1:11" ht="18" customHeight="1">
      <c r="A33" s="142">
        <f t="shared" si="0"/>
        <v>31</v>
      </c>
      <c r="B33" s="156">
        <v>43071</v>
      </c>
      <c r="C33" s="155" t="s">
        <v>1184</v>
      </c>
      <c r="D33" s="157" t="s">
        <v>1185</v>
      </c>
      <c r="E33" s="145">
        <v>40000</v>
      </c>
      <c r="F33" s="145">
        <v>0</v>
      </c>
      <c r="G33" s="155" t="s">
        <v>1075</v>
      </c>
      <c r="H33" s="155" t="s">
        <v>2</v>
      </c>
      <c r="I33" s="155" t="s">
        <v>70</v>
      </c>
      <c r="J33" s="155" t="s">
        <v>70</v>
      </c>
      <c r="K33" s="157"/>
    </row>
    <row r="34" spans="1:11" ht="18" customHeight="1">
      <c r="A34" s="142">
        <f t="shared" si="0"/>
        <v>32</v>
      </c>
      <c r="B34" s="156">
        <v>43071</v>
      </c>
      <c r="C34" s="155" t="s">
        <v>1184</v>
      </c>
      <c r="D34" s="157" t="s">
        <v>1186</v>
      </c>
      <c r="E34" s="145">
        <v>3000</v>
      </c>
      <c r="F34" s="145">
        <v>0</v>
      </c>
      <c r="G34" s="155" t="s">
        <v>1047</v>
      </c>
      <c r="H34" s="155" t="s">
        <v>502</v>
      </c>
      <c r="I34" s="155" t="s">
        <v>70</v>
      </c>
      <c r="J34" s="155" t="s">
        <v>70</v>
      </c>
      <c r="K34" s="157"/>
    </row>
    <row r="35" spans="1:11" ht="18" customHeight="1">
      <c r="A35" s="142">
        <f t="shared" si="0"/>
        <v>33</v>
      </c>
      <c r="B35" s="156">
        <v>43072</v>
      </c>
      <c r="C35" s="155" t="s">
        <v>1110</v>
      </c>
      <c r="D35" s="157" t="s">
        <v>1111</v>
      </c>
      <c r="E35" s="145">
        <v>0</v>
      </c>
      <c r="F35" s="145">
        <v>0</v>
      </c>
      <c r="G35" s="155" t="s">
        <v>1074</v>
      </c>
      <c r="H35" s="155" t="s">
        <v>2</v>
      </c>
      <c r="I35" s="155" t="s">
        <v>1149</v>
      </c>
      <c r="J35" s="155" t="s">
        <v>70</v>
      </c>
      <c r="K35" s="157"/>
    </row>
    <row r="36" spans="1:11" ht="18" customHeight="1">
      <c r="A36" s="142">
        <f t="shared" si="0"/>
        <v>34</v>
      </c>
      <c r="B36" s="156">
        <v>43072</v>
      </c>
      <c r="C36" s="155" t="s">
        <v>1114</v>
      </c>
      <c r="D36" s="157" t="s">
        <v>1111</v>
      </c>
      <c r="E36" s="145">
        <v>250000</v>
      </c>
      <c r="F36" s="145">
        <v>0</v>
      </c>
      <c r="G36" s="155" t="s">
        <v>1075</v>
      </c>
      <c r="H36" s="155" t="s">
        <v>502</v>
      </c>
      <c r="I36" s="155" t="s">
        <v>1149</v>
      </c>
      <c r="J36" s="155" t="s">
        <v>70</v>
      </c>
      <c r="K36" s="157"/>
    </row>
    <row r="37" spans="1:11" ht="18" customHeight="1">
      <c r="A37" s="142">
        <f t="shared" si="0"/>
        <v>35</v>
      </c>
      <c r="B37" s="156">
        <v>43072</v>
      </c>
      <c r="C37" s="155" t="s">
        <v>1114</v>
      </c>
      <c r="D37" s="157" t="s">
        <v>1187</v>
      </c>
      <c r="E37" s="145">
        <v>3000</v>
      </c>
      <c r="F37" s="145">
        <v>0</v>
      </c>
      <c r="G37" s="155" t="s">
        <v>1047</v>
      </c>
      <c r="H37" s="155" t="s">
        <v>502</v>
      </c>
      <c r="I37" s="155" t="s">
        <v>70</v>
      </c>
      <c r="J37" s="155" t="s">
        <v>70</v>
      </c>
      <c r="K37" s="157"/>
    </row>
    <row r="38" spans="1:11" ht="18" customHeight="1">
      <c r="A38" s="142">
        <f t="shared" si="0"/>
        <v>36</v>
      </c>
      <c r="B38" s="156">
        <v>43072</v>
      </c>
      <c r="C38" s="155" t="s">
        <v>1184</v>
      </c>
      <c r="D38" s="157" t="s">
        <v>1188</v>
      </c>
      <c r="E38" s="145">
        <v>57000</v>
      </c>
      <c r="F38" s="145">
        <v>0</v>
      </c>
      <c r="G38" s="155" t="s">
        <v>1074</v>
      </c>
      <c r="H38" s="155" t="s">
        <v>2</v>
      </c>
      <c r="I38" s="155" t="s">
        <v>70</v>
      </c>
      <c r="J38" s="155" t="s">
        <v>70</v>
      </c>
      <c r="K38" s="157"/>
    </row>
    <row r="39" spans="1:11" ht="18" customHeight="1">
      <c r="A39" s="142">
        <f t="shared" si="0"/>
        <v>37</v>
      </c>
      <c r="B39" s="156">
        <v>43075</v>
      </c>
      <c r="C39" s="155" t="s">
        <v>1103</v>
      </c>
      <c r="D39" s="157" t="s">
        <v>1105</v>
      </c>
      <c r="E39" s="145">
        <v>900000</v>
      </c>
      <c r="F39" s="145">
        <v>0</v>
      </c>
      <c r="G39" s="155" t="s">
        <v>1047</v>
      </c>
      <c r="H39" s="155" t="s">
        <v>502</v>
      </c>
      <c r="I39" s="155" t="s">
        <v>1149</v>
      </c>
      <c r="J39" s="155" t="s">
        <v>70</v>
      </c>
      <c r="K39" s="157"/>
    </row>
    <row r="40" spans="1:11" ht="18" customHeight="1">
      <c r="A40" s="142">
        <f t="shared" si="0"/>
        <v>38</v>
      </c>
      <c r="B40" s="156">
        <v>43075</v>
      </c>
      <c r="C40" s="155" t="s">
        <v>1099</v>
      </c>
      <c r="D40" s="157" t="s">
        <v>1100</v>
      </c>
      <c r="E40" s="145">
        <v>310000</v>
      </c>
      <c r="F40" s="145">
        <v>0</v>
      </c>
      <c r="G40" s="155" t="s">
        <v>1047</v>
      </c>
      <c r="H40" s="155" t="s">
        <v>502</v>
      </c>
      <c r="I40" s="155" t="s">
        <v>1149</v>
      </c>
      <c r="J40" s="155" t="s">
        <v>1149</v>
      </c>
      <c r="K40" s="157"/>
    </row>
    <row r="41" spans="1:11" ht="18" customHeight="1">
      <c r="A41" s="142">
        <f t="shared" si="0"/>
        <v>39</v>
      </c>
      <c r="B41" s="156">
        <v>43085</v>
      </c>
      <c r="C41" s="155" t="s">
        <v>1108</v>
      </c>
      <c r="D41" s="157" t="s">
        <v>1183</v>
      </c>
      <c r="E41" s="145">
        <v>6000</v>
      </c>
      <c r="F41" s="145">
        <v>0</v>
      </c>
      <c r="G41" s="155" t="s">
        <v>1047</v>
      </c>
      <c r="H41" s="155" t="s">
        <v>502</v>
      </c>
      <c r="I41" s="155" t="s">
        <v>70</v>
      </c>
      <c r="J41" s="155" t="s">
        <v>70</v>
      </c>
      <c r="K41" s="157"/>
    </row>
    <row r="42" spans="1:11" ht="18" customHeight="1">
      <c r="A42" s="142">
        <f t="shared" si="0"/>
        <v>40</v>
      </c>
      <c r="B42" s="156">
        <v>43092</v>
      </c>
      <c r="C42" s="155" t="s">
        <v>1133</v>
      </c>
      <c r="D42" s="157" t="s">
        <v>1189</v>
      </c>
      <c r="E42" s="145">
        <v>44000</v>
      </c>
      <c r="F42" s="145">
        <v>0</v>
      </c>
      <c r="G42" s="155" t="s">
        <v>1047</v>
      </c>
      <c r="H42" s="155" t="s">
        <v>1156</v>
      </c>
      <c r="I42" s="155" t="s">
        <v>1149</v>
      </c>
      <c r="J42" s="155" t="s">
        <v>1149</v>
      </c>
      <c r="K42" s="157"/>
    </row>
    <row r="43" spans="1:11" ht="18" customHeight="1">
      <c r="A43" s="142">
        <f t="shared" si="0"/>
        <v>41</v>
      </c>
      <c r="B43" s="156">
        <v>43103</v>
      </c>
      <c r="C43" s="155" t="s">
        <v>1114</v>
      </c>
      <c r="D43" s="157" t="s">
        <v>1111</v>
      </c>
      <c r="E43" s="145">
        <v>50000</v>
      </c>
      <c r="F43" s="145">
        <v>0</v>
      </c>
      <c r="G43" s="155" t="s">
        <v>1047</v>
      </c>
      <c r="H43" s="155" t="s">
        <v>502</v>
      </c>
      <c r="I43" s="155" t="s">
        <v>1149</v>
      </c>
      <c r="J43" s="155" t="s">
        <v>1149</v>
      </c>
      <c r="K43" s="157" t="s">
        <v>1190</v>
      </c>
    </row>
    <row r="44" spans="1:11" ht="18" customHeight="1">
      <c r="A44" s="142">
        <f t="shared" si="0"/>
        <v>42</v>
      </c>
      <c r="B44" s="156">
        <v>43103</v>
      </c>
      <c r="C44" s="155" t="s">
        <v>1110</v>
      </c>
      <c r="D44" s="157" t="s">
        <v>1111</v>
      </c>
      <c r="E44" s="145">
        <v>300000</v>
      </c>
      <c r="F44" s="145">
        <v>0</v>
      </c>
      <c r="G44" s="155" t="s">
        <v>1047</v>
      </c>
      <c r="H44" s="155" t="s">
        <v>502</v>
      </c>
      <c r="I44" s="155" t="s">
        <v>1149</v>
      </c>
      <c r="J44" s="155" t="s">
        <v>1149</v>
      </c>
      <c r="K44" s="157" t="s">
        <v>1191</v>
      </c>
    </row>
    <row r="45" spans="1:11" ht="18" customHeight="1">
      <c r="A45" s="142">
        <f t="shared" si="0"/>
        <v>43</v>
      </c>
      <c r="B45" s="156">
        <v>43106</v>
      </c>
      <c r="C45" s="155" t="s">
        <v>1101</v>
      </c>
      <c r="D45" s="157" t="s">
        <v>1102</v>
      </c>
      <c r="E45" s="145">
        <v>1300000</v>
      </c>
      <c r="F45" s="145">
        <v>0</v>
      </c>
      <c r="G45" s="155" t="s">
        <v>1047</v>
      </c>
      <c r="H45" s="155" t="s">
        <v>502</v>
      </c>
      <c r="I45" s="155" t="s">
        <v>1149</v>
      </c>
      <c r="J45" s="155" t="s">
        <v>1149</v>
      </c>
      <c r="K45" s="157" t="s">
        <v>1192</v>
      </c>
    </row>
    <row r="46" spans="1:11" ht="18" customHeight="1">
      <c r="A46" s="142">
        <f t="shared" si="0"/>
        <v>44</v>
      </c>
      <c r="B46" s="156">
        <v>43106</v>
      </c>
      <c r="C46" s="155" t="s">
        <v>1103</v>
      </c>
      <c r="D46" s="157" t="s">
        <v>1105</v>
      </c>
      <c r="E46" s="145">
        <v>1900000</v>
      </c>
      <c r="F46" s="145">
        <v>0</v>
      </c>
      <c r="G46" s="155" t="s">
        <v>1047</v>
      </c>
      <c r="H46" s="155" t="s">
        <v>502</v>
      </c>
      <c r="I46" s="155" t="s">
        <v>1149</v>
      </c>
      <c r="J46" s="155" t="s">
        <v>1149</v>
      </c>
      <c r="K46" s="157" t="s">
        <v>1193</v>
      </c>
    </row>
    <row r="47" spans="1:11" ht="18" customHeight="1">
      <c r="A47" s="142">
        <f t="shared" si="0"/>
        <v>45</v>
      </c>
      <c r="B47" s="156">
        <v>43106</v>
      </c>
      <c r="C47" s="155" t="s">
        <v>1103</v>
      </c>
      <c r="D47" s="157" t="s">
        <v>1104</v>
      </c>
      <c r="E47" s="145">
        <v>1800000</v>
      </c>
      <c r="F47" s="145">
        <v>0</v>
      </c>
      <c r="G47" s="155" t="s">
        <v>1047</v>
      </c>
      <c r="H47" s="155" t="s">
        <v>502</v>
      </c>
      <c r="I47" s="155" t="s">
        <v>1149</v>
      </c>
      <c r="J47" s="155" t="s">
        <v>1149</v>
      </c>
      <c r="K47" s="157" t="s">
        <v>1193</v>
      </c>
    </row>
    <row r="48" spans="1:11" ht="18" customHeight="1">
      <c r="A48" s="142">
        <f t="shared" si="0"/>
        <v>46</v>
      </c>
      <c r="B48" s="156">
        <v>43107</v>
      </c>
      <c r="C48" s="155" t="s">
        <v>1103</v>
      </c>
      <c r="D48" s="157" t="s">
        <v>1104</v>
      </c>
      <c r="E48" s="145">
        <v>6500000</v>
      </c>
      <c r="F48" s="145">
        <v>0</v>
      </c>
      <c r="G48" s="155" t="s">
        <v>1047</v>
      </c>
      <c r="H48" s="155" t="s">
        <v>502</v>
      </c>
      <c r="I48" s="155" t="s">
        <v>1149</v>
      </c>
      <c r="J48" s="155" t="s">
        <v>1149</v>
      </c>
      <c r="K48" s="157" t="s">
        <v>1193</v>
      </c>
    </row>
    <row r="49" spans="1:11" ht="18" customHeight="1">
      <c r="A49" s="142">
        <f t="shared" si="0"/>
        <v>47</v>
      </c>
      <c r="B49" s="156">
        <v>43107</v>
      </c>
      <c r="C49" s="155" t="s">
        <v>1129</v>
      </c>
      <c r="D49" s="157" t="s">
        <v>1194</v>
      </c>
      <c r="E49" s="145">
        <v>1023750</v>
      </c>
      <c r="F49" s="145">
        <v>0</v>
      </c>
      <c r="G49" s="155" t="s">
        <v>1047</v>
      </c>
      <c r="H49" s="155" t="s">
        <v>502</v>
      </c>
      <c r="I49" s="155" t="s">
        <v>1149</v>
      </c>
      <c r="J49" s="155" t="s">
        <v>1149</v>
      </c>
      <c r="K49" s="157" t="s">
        <v>1191</v>
      </c>
    </row>
    <row r="50" spans="1:11" ht="18" customHeight="1">
      <c r="A50" s="142">
        <f t="shared" si="0"/>
        <v>48</v>
      </c>
      <c r="B50" s="156">
        <v>43112</v>
      </c>
      <c r="C50" s="155" t="s">
        <v>1129</v>
      </c>
      <c r="D50" s="157" t="s">
        <v>1194</v>
      </c>
      <c r="E50" s="145">
        <v>1191000</v>
      </c>
      <c r="F50" s="145">
        <v>0</v>
      </c>
      <c r="G50" s="155" t="s">
        <v>1062</v>
      </c>
      <c r="H50" s="155" t="s">
        <v>502</v>
      </c>
      <c r="I50" s="155" t="s">
        <v>1149</v>
      </c>
      <c r="J50" s="155" t="s">
        <v>70</v>
      </c>
      <c r="K50" s="157"/>
    </row>
    <row r="51" spans="1:11" ht="18" customHeight="1">
      <c r="A51" s="142">
        <f t="shared" si="0"/>
        <v>49</v>
      </c>
      <c r="B51" s="156">
        <v>43113</v>
      </c>
      <c r="C51" s="155" t="s">
        <v>1129</v>
      </c>
      <c r="D51" s="157" t="s">
        <v>1195</v>
      </c>
      <c r="E51" s="145">
        <v>150000</v>
      </c>
      <c r="F51" s="145">
        <v>0</v>
      </c>
      <c r="G51" s="155" t="s">
        <v>1047</v>
      </c>
      <c r="H51" s="155" t="s">
        <v>502</v>
      </c>
      <c r="I51" s="155" t="s">
        <v>1149</v>
      </c>
      <c r="J51" s="155" t="s">
        <v>1149</v>
      </c>
      <c r="K51" s="157" t="s">
        <v>1196</v>
      </c>
    </row>
    <row r="52" spans="1:11" ht="18" customHeight="1">
      <c r="A52" s="142">
        <f t="shared" si="0"/>
        <v>50</v>
      </c>
      <c r="B52" s="156">
        <v>43113</v>
      </c>
      <c r="C52" s="155" t="s">
        <v>1129</v>
      </c>
      <c r="D52" s="157" t="s">
        <v>1197</v>
      </c>
      <c r="E52" s="145">
        <v>400000</v>
      </c>
      <c r="F52" s="145">
        <v>0</v>
      </c>
      <c r="G52" s="155" t="s">
        <v>1062</v>
      </c>
      <c r="H52" s="155" t="s">
        <v>2</v>
      </c>
      <c r="I52" s="155" t="s">
        <v>1149</v>
      </c>
      <c r="J52" s="155" t="s">
        <v>70</v>
      </c>
      <c r="K52" s="157"/>
    </row>
    <row r="53" spans="1:11" ht="18" customHeight="1">
      <c r="A53" s="142">
        <f t="shared" si="0"/>
        <v>51</v>
      </c>
      <c r="B53" s="156">
        <v>43113</v>
      </c>
      <c r="C53" s="155" t="s">
        <v>1129</v>
      </c>
      <c r="D53" s="157" t="s">
        <v>1198</v>
      </c>
      <c r="E53" s="145">
        <v>3000</v>
      </c>
      <c r="F53" s="145">
        <v>0</v>
      </c>
      <c r="G53" s="155" t="s">
        <v>1047</v>
      </c>
      <c r="H53" s="155" t="s">
        <v>502</v>
      </c>
      <c r="I53" s="155" t="s">
        <v>70</v>
      </c>
      <c r="J53" s="155" t="s">
        <v>70</v>
      </c>
      <c r="K53" s="157"/>
    </row>
    <row r="54" spans="1:11" ht="18" customHeight="1">
      <c r="A54" s="142">
        <f t="shared" si="0"/>
        <v>52</v>
      </c>
      <c r="B54" s="156">
        <v>43121</v>
      </c>
      <c r="C54" s="155" t="s">
        <v>1146</v>
      </c>
      <c r="D54" s="157" t="s">
        <v>1199</v>
      </c>
      <c r="E54" s="145">
        <v>37000</v>
      </c>
      <c r="F54" s="145">
        <v>0</v>
      </c>
      <c r="G54" s="155" t="s">
        <v>1047</v>
      </c>
      <c r="H54" s="155" t="s">
        <v>1159</v>
      </c>
      <c r="I54" s="155" t="s">
        <v>70</v>
      </c>
      <c r="J54" s="155" t="s">
        <v>1149</v>
      </c>
      <c r="K54" s="157"/>
    </row>
    <row r="55" spans="1:11" ht="18" customHeight="1">
      <c r="A55" s="142">
        <f t="shared" si="0"/>
        <v>53</v>
      </c>
      <c r="B55" s="156">
        <v>43134</v>
      </c>
      <c r="C55" s="155" t="s">
        <v>1134</v>
      </c>
      <c r="D55" s="157" t="s">
        <v>1200</v>
      </c>
      <c r="E55" s="145">
        <v>29000</v>
      </c>
      <c r="F55" s="145">
        <v>0</v>
      </c>
      <c r="G55" s="155" t="s">
        <v>1047</v>
      </c>
      <c r="H55" s="155" t="s">
        <v>1159</v>
      </c>
      <c r="I55" s="155" t="s">
        <v>1149</v>
      </c>
      <c r="J55" s="155" t="s">
        <v>1149</v>
      </c>
      <c r="K55" s="157"/>
    </row>
    <row r="56" spans="1:11" ht="18" customHeight="1">
      <c r="A56" s="142">
        <f t="shared" si="0"/>
        <v>54</v>
      </c>
      <c r="B56" s="156">
        <v>43134</v>
      </c>
      <c r="C56" s="155" t="s">
        <v>1129</v>
      </c>
      <c r="D56" s="157" t="s">
        <v>1201</v>
      </c>
      <c r="E56" s="145">
        <v>150500</v>
      </c>
      <c r="F56" s="145">
        <v>0</v>
      </c>
      <c r="G56" s="155" t="s">
        <v>1062</v>
      </c>
      <c r="H56" s="155" t="s">
        <v>2</v>
      </c>
      <c r="I56" s="155" t="s">
        <v>1149</v>
      </c>
      <c r="J56" s="155" t="s">
        <v>70</v>
      </c>
      <c r="K56" s="157"/>
    </row>
    <row r="57" spans="1:11" ht="18" customHeight="1">
      <c r="A57" s="142">
        <f t="shared" si="0"/>
        <v>55</v>
      </c>
      <c r="B57" s="156">
        <v>43136</v>
      </c>
      <c r="C57" s="155" t="s">
        <v>1129</v>
      </c>
      <c r="D57" s="157" t="s">
        <v>1201</v>
      </c>
      <c r="E57" s="145">
        <v>91500</v>
      </c>
      <c r="F57" s="145">
        <v>779500</v>
      </c>
      <c r="G57" s="155" t="s">
        <v>1047</v>
      </c>
      <c r="H57" s="155" t="s">
        <v>502</v>
      </c>
      <c r="I57" s="155" t="s">
        <v>1149</v>
      </c>
      <c r="J57" s="155" t="s">
        <v>1149</v>
      </c>
      <c r="K57" s="157" t="s">
        <v>1191</v>
      </c>
    </row>
    <row r="58" spans="1:11" ht="18" customHeight="1">
      <c r="A58" s="142">
        <f t="shared" si="0"/>
        <v>56</v>
      </c>
      <c r="B58" s="156">
        <v>43136</v>
      </c>
      <c r="C58" s="155" t="s">
        <v>1146</v>
      </c>
      <c r="D58" s="157" t="s">
        <v>1202</v>
      </c>
      <c r="E58" s="145">
        <v>52000</v>
      </c>
      <c r="F58" s="145">
        <v>0</v>
      </c>
      <c r="G58" s="155" t="s">
        <v>1047</v>
      </c>
      <c r="H58" s="155" t="s">
        <v>1159</v>
      </c>
      <c r="I58" s="155" t="s">
        <v>70</v>
      </c>
      <c r="J58" s="155" t="s">
        <v>1149</v>
      </c>
      <c r="K58" s="157"/>
    </row>
    <row r="59" spans="1:11" ht="18" customHeight="1">
      <c r="A59" s="142">
        <f t="shared" si="0"/>
        <v>57</v>
      </c>
      <c r="B59" s="156">
        <v>43137</v>
      </c>
      <c r="C59" s="155" t="s">
        <v>1126</v>
      </c>
      <c r="D59" s="157" t="s">
        <v>1127</v>
      </c>
      <c r="E59" s="145">
        <v>278000</v>
      </c>
      <c r="F59" s="145">
        <v>0</v>
      </c>
      <c r="G59" s="155" t="s">
        <v>1047</v>
      </c>
      <c r="H59" s="155" t="s">
        <v>502</v>
      </c>
      <c r="I59" s="155" t="s">
        <v>1149</v>
      </c>
      <c r="J59" s="155" t="s">
        <v>1149</v>
      </c>
      <c r="K59" s="157" t="s">
        <v>1203</v>
      </c>
    </row>
    <row r="60" spans="1:11" ht="18" customHeight="1">
      <c r="A60" s="142">
        <f t="shared" si="0"/>
        <v>58</v>
      </c>
      <c r="B60" s="156">
        <v>43141</v>
      </c>
      <c r="C60" s="155" t="s">
        <v>1066</v>
      </c>
      <c r="D60" s="157" t="s">
        <v>1204</v>
      </c>
      <c r="E60" s="145">
        <v>85000</v>
      </c>
      <c r="F60" s="145"/>
      <c r="G60" s="155" t="s">
        <v>1047</v>
      </c>
      <c r="H60" s="155" t="s">
        <v>502</v>
      </c>
      <c r="I60" s="155" t="s">
        <v>1149</v>
      </c>
      <c r="J60" s="155" t="s">
        <v>1149</v>
      </c>
      <c r="K60" s="157" t="s">
        <v>1205</v>
      </c>
    </row>
    <row r="61" spans="1:11" ht="18" customHeight="1">
      <c r="A61" s="142">
        <f t="shared" si="0"/>
        <v>59</v>
      </c>
      <c r="B61" s="156">
        <v>43150</v>
      </c>
      <c r="C61" s="155" t="s">
        <v>1090</v>
      </c>
      <c r="D61" s="157" t="s">
        <v>1091</v>
      </c>
      <c r="E61" s="145">
        <v>1877400</v>
      </c>
      <c r="F61" s="145">
        <v>0</v>
      </c>
      <c r="G61" s="155" t="s">
        <v>1047</v>
      </c>
      <c r="H61" s="155" t="s">
        <v>502</v>
      </c>
      <c r="I61" s="155" t="s">
        <v>1149</v>
      </c>
      <c r="J61" s="155" t="s">
        <v>1149</v>
      </c>
      <c r="K61" s="157" t="s">
        <v>1206</v>
      </c>
    </row>
    <row r="62" spans="1:11" ht="18" customHeight="1">
      <c r="A62" s="142">
        <f t="shared" si="0"/>
        <v>60</v>
      </c>
      <c r="B62" s="156">
        <v>43151</v>
      </c>
      <c r="C62" s="155" t="s">
        <v>1079</v>
      </c>
      <c r="D62" s="157" t="s">
        <v>1080</v>
      </c>
      <c r="E62" s="145">
        <v>167775</v>
      </c>
      <c r="F62" s="145">
        <v>0</v>
      </c>
      <c r="G62" s="155" t="s">
        <v>1047</v>
      </c>
      <c r="H62" s="155" t="s">
        <v>1156</v>
      </c>
      <c r="I62" s="155" t="s">
        <v>1149</v>
      </c>
      <c r="J62" s="155" t="s">
        <v>1149</v>
      </c>
      <c r="K62" s="157" t="s">
        <v>1205</v>
      </c>
    </row>
    <row r="63" spans="1:11" ht="18" customHeight="1">
      <c r="A63" s="142">
        <f t="shared" si="0"/>
        <v>61</v>
      </c>
      <c r="B63" s="156">
        <v>43161</v>
      </c>
      <c r="C63" s="155" t="s">
        <v>1082</v>
      </c>
      <c r="D63" s="157" t="s">
        <v>1083</v>
      </c>
      <c r="E63" s="145">
        <v>83750</v>
      </c>
      <c r="F63" s="145">
        <v>0</v>
      </c>
      <c r="G63" s="155" t="s">
        <v>1047</v>
      </c>
      <c r="H63" s="155" t="s">
        <v>1156</v>
      </c>
      <c r="I63" s="155" t="s">
        <v>1149</v>
      </c>
      <c r="J63" s="155" t="s">
        <v>1149</v>
      </c>
      <c r="K63" s="157"/>
    </row>
    <row r="64" spans="1:11" ht="18" customHeight="1">
      <c r="A64" s="142">
        <f t="shared" si="0"/>
        <v>62</v>
      </c>
      <c r="B64" s="156">
        <v>43162</v>
      </c>
      <c r="C64" s="155" t="s">
        <v>1132</v>
      </c>
      <c r="D64" s="157" t="s">
        <v>1207</v>
      </c>
      <c r="E64" s="145">
        <v>98400</v>
      </c>
      <c r="F64" s="145">
        <v>0</v>
      </c>
      <c r="G64" s="155" t="s">
        <v>1047</v>
      </c>
      <c r="H64" s="155" t="s">
        <v>1156</v>
      </c>
      <c r="I64" s="155" t="s">
        <v>1149</v>
      </c>
      <c r="J64" s="155" t="s">
        <v>1149</v>
      </c>
      <c r="K64" s="157"/>
    </row>
    <row r="65" spans="1:11" ht="54">
      <c r="A65" s="142">
        <f t="shared" si="0"/>
        <v>63</v>
      </c>
      <c r="B65" s="156">
        <v>43173</v>
      </c>
      <c r="C65" s="155" t="s">
        <v>1117</v>
      </c>
      <c r="D65" s="157" t="s">
        <v>1208</v>
      </c>
      <c r="E65" s="145">
        <v>2700000</v>
      </c>
      <c r="F65" s="145">
        <v>0</v>
      </c>
      <c r="G65" s="155" t="s">
        <v>1062</v>
      </c>
      <c r="H65" s="155" t="s">
        <v>502</v>
      </c>
      <c r="I65" s="155" t="s">
        <v>1149</v>
      </c>
      <c r="J65" s="155" t="s">
        <v>1149</v>
      </c>
      <c r="K65" s="158" t="s">
        <v>1209</v>
      </c>
    </row>
    <row r="66" spans="1:11" ht="18" customHeight="1">
      <c r="A66" s="142">
        <f t="shared" si="0"/>
        <v>64</v>
      </c>
      <c r="B66" s="156">
        <v>43177</v>
      </c>
      <c r="C66" s="155" t="s">
        <v>1106</v>
      </c>
      <c r="D66" s="157" t="s">
        <v>1210</v>
      </c>
      <c r="E66" s="145">
        <v>12927000</v>
      </c>
      <c r="F66" s="145">
        <v>0</v>
      </c>
      <c r="G66" s="155" t="s">
        <v>1062</v>
      </c>
      <c r="H66" s="155" t="s">
        <v>502</v>
      </c>
      <c r="I66" s="155" t="s">
        <v>1149</v>
      </c>
      <c r="J66" s="155" t="s">
        <v>70</v>
      </c>
      <c r="K66" s="157"/>
    </row>
    <row r="67" spans="1:11" ht="18" customHeight="1">
      <c r="A67" s="142">
        <f t="shared" si="0"/>
        <v>65</v>
      </c>
      <c r="B67" s="156">
        <v>43180</v>
      </c>
      <c r="C67" s="155" t="s">
        <v>1079</v>
      </c>
      <c r="D67" s="157" t="s">
        <v>1211</v>
      </c>
      <c r="E67" s="145">
        <v>40500</v>
      </c>
      <c r="F67" s="145">
        <v>0</v>
      </c>
      <c r="G67" s="155" t="s">
        <v>1047</v>
      </c>
      <c r="H67" s="155" t="s">
        <v>1159</v>
      </c>
      <c r="I67" s="155" t="s">
        <v>1149</v>
      </c>
      <c r="J67" s="155" t="s">
        <v>1149</v>
      </c>
      <c r="K67" s="157"/>
    </row>
    <row r="68" spans="1:11" ht="18" customHeight="1">
      <c r="A68" s="142">
        <f t="shared" si="0"/>
        <v>66</v>
      </c>
      <c r="B68" s="156">
        <v>43180</v>
      </c>
      <c r="C68" s="155" t="s">
        <v>1088</v>
      </c>
      <c r="D68" s="157" t="s">
        <v>1089</v>
      </c>
      <c r="E68" s="145">
        <v>265000</v>
      </c>
      <c r="F68" s="145">
        <v>0</v>
      </c>
      <c r="G68" s="155" t="s">
        <v>1047</v>
      </c>
      <c r="H68" s="155" t="s">
        <v>502</v>
      </c>
      <c r="I68" s="155" t="s">
        <v>1149</v>
      </c>
      <c r="J68" s="155" t="s">
        <v>1149</v>
      </c>
      <c r="K68" s="157" t="s">
        <v>1191</v>
      </c>
    </row>
    <row r="69" spans="1:11" ht="18" customHeight="1">
      <c r="A69" s="142">
        <f t="shared" si="0"/>
        <v>67</v>
      </c>
      <c r="B69" s="156">
        <v>43181</v>
      </c>
      <c r="C69" s="155" t="s">
        <v>1132</v>
      </c>
      <c r="D69" s="157" t="s">
        <v>1212</v>
      </c>
      <c r="E69" s="145">
        <v>49000</v>
      </c>
      <c r="F69" s="145">
        <v>0</v>
      </c>
      <c r="G69" s="155" t="s">
        <v>1047</v>
      </c>
      <c r="H69" s="155" t="s">
        <v>1159</v>
      </c>
      <c r="I69" s="155" t="s">
        <v>1149</v>
      </c>
      <c r="J69" s="155" t="s">
        <v>1149</v>
      </c>
      <c r="K69" s="157"/>
    </row>
    <row r="70" spans="1:11" ht="18" customHeight="1">
      <c r="A70" s="142">
        <f t="shared" si="0"/>
        <v>68</v>
      </c>
      <c r="B70" s="156">
        <v>43184</v>
      </c>
      <c r="C70" s="155" t="s">
        <v>1084</v>
      </c>
      <c r="D70" s="157" t="s">
        <v>1085</v>
      </c>
      <c r="E70" s="145">
        <v>18000</v>
      </c>
      <c r="F70" s="145">
        <v>0</v>
      </c>
      <c r="G70" s="155" t="s">
        <v>1062</v>
      </c>
      <c r="H70" s="155" t="s">
        <v>2</v>
      </c>
      <c r="I70" s="155" t="s">
        <v>1149</v>
      </c>
      <c r="J70" s="155" t="s">
        <v>70</v>
      </c>
      <c r="K70" s="157"/>
    </row>
    <row r="71" spans="1:11" ht="18" customHeight="1">
      <c r="A71" s="142">
        <f t="shared" si="0"/>
        <v>69</v>
      </c>
      <c r="B71" s="156">
        <v>43184</v>
      </c>
      <c r="C71" s="155" t="s">
        <v>1146</v>
      </c>
      <c r="D71" s="157" t="s">
        <v>1213</v>
      </c>
      <c r="E71" s="145">
        <v>94000</v>
      </c>
      <c r="F71" s="145">
        <v>0</v>
      </c>
      <c r="G71" s="155" t="s">
        <v>1047</v>
      </c>
      <c r="H71" s="155" t="s">
        <v>1159</v>
      </c>
      <c r="I71" s="155" t="s">
        <v>70</v>
      </c>
      <c r="J71" s="155" t="s">
        <v>1149</v>
      </c>
      <c r="K71" s="157" t="s">
        <v>1214</v>
      </c>
    </row>
    <row r="72" spans="1:11" ht="18" customHeight="1">
      <c r="A72" s="142">
        <f t="shared" si="0"/>
        <v>70</v>
      </c>
      <c r="B72" s="156">
        <v>43187</v>
      </c>
      <c r="C72" s="155" t="s">
        <v>1122</v>
      </c>
      <c r="D72" s="157" t="s">
        <v>1215</v>
      </c>
      <c r="E72" s="145">
        <v>700000</v>
      </c>
      <c r="F72" s="145">
        <v>0</v>
      </c>
      <c r="G72" s="155" t="s">
        <v>1047</v>
      </c>
      <c r="H72" s="155" t="s">
        <v>1148</v>
      </c>
      <c r="I72" s="155" t="s">
        <v>1149</v>
      </c>
      <c r="J72" s="155" t="s">
        <v>1149</v>
      </c>
      <c r="K72" s="157"/>
    </row>
    <row r="73" spans="1:11" ht="18" customHeight="1">
      <c r="A73" s="142">
        <f t="shared" si="0"/>
        <v>71</v>
      </c>
      <c r="B73" s="156">
        <v>43187</v>
      </c>
      <c r="C73" s="155" t="s">
        <v>1132</v>
      </c>
      <c r="D73" s="157" t="s">
        <v>1216</v>
      </c>
      <c r="E73" s="145">
        <v>34000</v>
      </c>
      <c r="F73" s="145">
        <v>0</v>
      </c>
      <c r="G73" s="155" t="s">
        <v>1047</v>
      </c>
      <c r="H73" s="155" t="s">
        <v>1159</v>
      </c>
      <c r="I73" s="155" t="s">
        <v>1149</v>
      </c>
      <c r="J73" s="155" t="s">
        <v>1149</v>
      </c>
      <c r="K73" s="157"/>
    </row>
    <row r="74" spans="1:11" ht="18" customHeight="1">
      <c r="A74" s="142">
        <f t="shared" si="0"/>
        <v>72</v>
      </c>
      <c r="B74" s="156">
        <v>43189</v>
      </c>
      <c r="C74" s="155" t="s">
        <v>1132</v>
      </c>
      <c r="D74" s="157" t="s">
        <v>1217</v>
      </c>
      <c r="E74" s="145">
        <v>186800</v>
      </c>
      <c r="F74" s="145">
        <v>0</v>
      </c>
      <c r="G74" s="155" t="s">
        <v>1047</v>
      </c>
      <c r="H74" s="155" t="s">
        <v>1159</v>
      </c>
      <c r="I74" s="155" t="s">
        <v>1149</v>
      </c>
      <c r="J74" s="155" t="s">
        <v>1149</v>
      </c>
      <c r="K74" s="157"/>
    </row>
    <row r="75" spans="1:11" ht="18" customHeight="1">
      <c r="A75" s="142">
        <f t="shared" si="0"/>
        <v>73</v>
      </c>
      <c r="B75" s="156">
        <v>43190</v>
      </c>
      <c r="C75" s="155" t="s">
        <v>1146</v>
      </c>
      <c r="D75" s="157" t="s">
        <v>1218</v>
      </c>
      <c r="E75" s="145">
        <v>69900</v>
      </c>
      <c r="F75" s="145">
        <v>0</v>
      </c>
      <c r="G75" s="155" t="s">
        <v>1047</v>
      </c>
      <c r="H75" s="155" t="s">
        <v>1148</v>
      </c>
      <c r="I75" s="155" t="s">
        <v>70</v>
      </c>
      <c r="J75" s="155" t="s">
        <v>1149</v>
      </c>
      <c r="K75" s="157"/>
    </row>
    <row r="76" spans="1:11" ht="18" customHeight="1">
      <c r="A76" s="142">
        <f t="shared" si="0"/>
        <v>74</v>
      </c>
      <c r="B76" s="156">
        <v>43192</v>
      </c>
      <c r="C76" s="155" t="s">
        <v>1122</v>
      </c>
      <c r="D76" s="157" t="s">
        <v>1219</v>
      </c>
      <c r="E76" s="145">
        <v>329000</v>
      </c>
      <c r="F76" s="145">
        <v>0</v>
      </c>
      <c r="G76" s="155" t="s">
        <v>1047</v>
      </c>
      <c r="H76" s="155" t="s">
        <v>1148</v>
      </c>
      <c r="I76" s="155" t="s">
        <v>1149</v>
      </c>
      <c r="J76" s="155" t="s">
        <v>1149</v>
      </c>
      <c r="K76" s="157"/>
    </row>
    <row r="77" spans="1:11" ht="18" customHeight="1">
      <c r="A77" s="142">
        <f t="shared" si="0"/>
        <v>75</v>
      </c>
      <c r="B77" s="156">
        <v>43192</v>
      </c>
      <c r="C77" s="155" t="s">
        <v>1122</v>
      </c>
      <c r="D77" s="157" t="s">
        <v>1220</v>
      </c>
      <c r="E77" s="145">
        <v>25000</v>
      </c>
      <c r="F77" s="145">
        <v>0</v>
      </c>
      <c r="G77" s="155" t="s">
        <v>1047</v>
      </c>
      <c r="H77" s="155" t="s">
        <v>502</v>
      </c>
      <c r="I77" s="155" t="s">
        <v>1149</v>
      </c>
      <c r="J77" s="155" t="s">
        <v>1149</v>
      </c>
      <c r="K77" s="157" t="s">
        <v>1191</v>
      </c>
    </row>
    <row r="78" spans="1:11" ht="18" customHeight="1">
      <c r="A78" s="142">
        <f t="shared" si="0"/>
        <v>76</v>
      </c>
      <c r="B78" s="156">
        <v>43194</v>
      </c>
      <c r="C78" s="155" t="s">
        <v>1124</v>
      </c>
      <c r="D78" s="157" t="s">
        <v>1221</v>
      </c>
      <c r="E78" s="145">
        <v>58900</v>
      </c>
      <c r="F78" s="145">
        <v>0</v>
      </c>
      <c r="G78" s="155" t="s">
        <v>1047</v>
      </c>
      <c r="H78" s="155" t="s">
        <v>1222</v>
      </c>
      <c r="I78" s="155" t="s">
        <v>1149</v>
      </c>
      <c r="J78" s="155"/>
      <c r="K78" s="157"/>
    </row>
    <row r="79" spans="1:11" ht="18" customHeight="1">
      <c r="A79" s="142">
        <f t="shared" si="0"/>
        <v>77</v>
      </c>
      <c r="B79" s="156">
        <v>43194</v>
      </c>
      <c r="C79" s="155" t="s">
        <v>1132</v>
      </c>
      <c r="D79" s="157" t="s">
        <v>1223</v>
      </c>
      <c r="E79" s="145">
        <v>17000</v>
      </c>
      <c r="F79" s="145">
        <v>0</v>
      </c>
      <c r="G79" s="155" t="s">
        <v>1047</v>
      </c>
      <c r="H79" s="155" t="s">
        <v>1159</v>
      </c>
      <c r="I79" s="155" t="s">
        <v>1149</v>
      </c>
      <c r="J79" s="155" t="s">
        <v>1149</v>
      </c>
      <c r="K79" s="157"/>
    </row>
    <row r="80" spans="1:11" ht="18" customHeight="1">
      <c r="A80" s="142">
        <f t="shared" si="0"/>
        <v>78</v>
      </c>
      <c r="B80" s="156">
        <v>43197</v>
      </c>
      <c r="C80" s="155" t="s">
        <v>1132</v>
      </c>
      <c r="D80" s="157" t="s">
        <v>1224</v>
      </c>
      <c r="E80" s="145">
        <v>22000</v>
      </c>
      <c r="F80" s="145">
        <v>0</v>
      </c>
      <c r="G80" s="155" t="s">
        <v>1047</v>
      </c>
      <c r="H80" s="155" t="s">
        <v>1148</v>
      </c>
      <c r="I80" s="155" t="s">
        <v>1149</v>
      </c>
      <c r="J80" s="155" t="s">
        <v>1149</v>
      </c>
      <c r="K80" s="157"/>
    </row>
    <row r="81" spans="1:11" ht="18" customHeight="1">
      <c r="A81" s="142">
        <f t="shared" si="0"/>
        <v>79</v>
      </c>
      <c r="B81" s="156">
        <v>43197</v>
      </c>
      <c r="C81" s="155" t="s">
        <v>1117</v>
      </c>
      <c r="D81" s="157" t="s">
        <v>1225</v>
      </c>
      <c r="E81" s="145">
        <v>51000</v>
      </c>
      <c r="F81" s="145">
        <v>0</v>
      </c>
      <c r="G81" s="155" t="s">
        <v>1047</v>
      </c>
      <c r="H81" s="155" t="s">
        <v>1148</v>
      </c>
      <c r="I81" s="155" t="s">
        <v>70</v>
      </c>
      <c r="J81" s="155" t="s">
        <v>1149</v>
      </c>
      <c r="K81" s="157"/>
    </row>
    <row r="82" spans="1:11" ht="18" customHeight="1">
      <c r="A82" s="142">
        <f t="shared" si="0"/>
        <v>80</v>
      </c>
      <c r="B82" s="156">
        <v>43198</v>
      </c>
      <c r="C82" s="155" t="s">
        <v>1066</v>
      </c>
      <c r="D82" s="157" t="s">
        <v>1226</v>
      </c>
      <c r="E82" s="145">
        <v>170000</v>
      </c>
      <c r="F82" s="145">
        <v>595000</v>
      </c>
      <c r="G82" s="155" t="s">
        <v>1047</v>
      </c>
      <c r="H82" s="155" t="s">
        <v>502</v>
      </c>
      <c r="I82" s="155" t="s">
        <v>1149</v>
      </c>
      <c r="J82" s="155" t="s">
        <v>1149</v>
      </c>
      <c r="K82" s="157" t="s">
        <v>1227</v>
      </c>
    </row>
    <row r="83" spans="1:11" ht="81">
      <c r="A83" s="142">
        <f t="shared" si="0"/>
        <v>81</v>
      </c>
      <c r="B83" s="156">
        <v>43199</v>
      </c>
      <c r="C83" s="155" t="s">
        <v>1122</v>
      </c>
      <c r="D83" s="157" t="s">
        <v>1228</v>
      </c>
      <c r="E83" s="145">
        <v>2700000</v>
      </c>
      <c r="F83" s="145">
        <v>0</v>
      </c>
      <c r="G83" s="155" t="s">
        <v>1047</v>
      </c>
      <c r="H83" s="155" t="s">
        <v>502</v>
      </c>
      <c r="I83" s="155" t="s">
        <v>1149</v>
      </c>
      <c r="J83" s="155" t="s">
        <v>1149</v>
      </c>
      <c r="K83" s="158" t="s">
        <v>1229</v>
      </c>
    </row>
    <row r="84" spans="1:11" ht="18" customHeight="1">
      <c r="A84" s="142">
        <f t="shared" si="0"/>
        <v>82</v>
      </c>
      <c r="B84" s="156">
        <v>43200</v>
      </c>
      <c r="C84" s="155" t="s">
        <v>1132</v>
      </c>
      <c r="D84" s="157" t="s">
        <v>1230</v>
      </c>
      <c r="E84" s="145">
        <v>17000</v>
      </c>
      <c r="F84" s="145">
        <v>0</v>
      </c>
      <c r="G84" s="155" t="s">
        <v>1047</v>
      </c>
      <c r="H84" s="155" t="s">
        <v>1159</v>
      </c>
      <c r="I84" s="155" t="s">
        <v>1149</v>
      </c>
      <c r="J84" s="155" t="s">
        <v>1149</v>
      </c>
      <c r="K84" s="157"/>
    </row>
    <row r="85" spans="1:11" ht="18" customHeight="1">
      <c r="A85" s="142">
        <f t="shared" si="0"/>
        <v>83</v>
      </c>
      <c r="B85" s="156">
        <v>43203</v>
      </c>
      <c r="C85" s="155" t="s">
        <v>1116</v>
      </c>
      <c r="D85" s="157" t="s">
        <v>3</v>
      </c>
      <c r="E85" s="145">
        <v>50000000</v>
      </c>
      <c r="F85" s="145">
        <v>0</v>
      </c>
      <c r="G85" s="155" t="s">
        <v>1062</v>
      </c>
      <c r="H85" s="155" t="s">
        <v>502</v>
      </c>
      <c r="I85" s="155" t="s">
        <v>1149</v>
      </c>
      <c r="J85" s="155" t="s">
        <v>1149</v>
      </c>
      <c r="K85" s="157" t="s">
        <v>1191</v>
      </c>
    </row>
    <row r="86" spans="1:11" ht="18" customHeight="1">
      <c r="A86" s="142">
        <f t="shared" si="0"/>
        <v>84</v>
      </c>
      <c r="B86" s="156">
        <v>43204</v>
      </c>
      <c r="C86" s="155" t="s">
        <v>1116</v>
      </c>
      <c r="D86" s="157" t="s">
        <v>3</v>
      </c>
      <c r="E86" s="145">
        <v>20000000</v>
      </c>
      <c r="F86" s="145">
        <v>0</v>
      </c>
      <c r="G86" s="155" t="s">
        <v>1062</v>
      </c>
      <c r="H86" s="155" t="s">
        <v>502</v>
      </c>
      <c r="I86" s="155" t="s">
        <v>1149</v>
      </c>
      <c r="J86" s="155" t="s">
        <v>70</v>
      </c>
      <c r="K86" s="157"/>
    </row>
    <row r="87" spans="1:11" ht="18" customHeight="1">
      <c r="A87" s="142">
        <f t="shared" si="0"/>
        <v>85</v>
      </c>
      <c r="B87" s="156">
        <v>43204</v>
      </c>
      <c r="C87" s="155" t="s">
        <v>1122</v>
      </c>
      <c r="D87" s="157" t="s">
        <v>1228</v>
      </c>
      <c r="E87" s="145">
        <v>850000</v>
      </c>
      <c r="F87" s="145">
        <v>0</v>
      </c>
      <c r="G87" s="155" t="s">
        <v>1047</v>
      </c>
      <c r="H87" s="155" t="s">
        <v>502</v>
      </c>
      <c r="I87" s="155" t="s">
        <v>1149</v>
      </c>
      <c r="J87" s="155" t="s">
        <v>70</v>
      </c>
      <c r="K87" s="157" t="s">
        <v>1231</v>
      </c>
    </row>
    <row r="88" spans="1:11" ht="18" customHeight="1">
      <c r="A88" s="142">
        <f t="shared" si="0"/>
        <v>86</v>
      </c>
      <c r="B88" s="156">
        <v>43204</v>
      </c>
      <c r="C88" s="155" t="s">
        <v>1132</v>
      </c>
      <c r="D88" s="157" t="s">
        <v>1232</v>
      </c>
      <c r="E88" s="145">
        <v>56000</v>
      </c>
      <c r="F88" s="145">
        <v>0</v>
      </c>
      <c r="G88" s="155" t="s">
        <v>1047</v>
      </c>
      <c r="H88" s="155" t="s">
        <v>1148</v>
      </c>
      <c r="I88" s="155" t="s">
        <v>1149</v>
      </c>
      <c r="J88" s="155"/>
      <c r="K88" s="157"/>
    </row>
    <row r="89" spans="1:11" ht="18" customHeight="1">
      <c r="A89" s="142">
        <f t="shared" si="0"/>
        <v>87</v>
      </c>
      <c r="B89" s="156">
        <v>43204</v>
      </c>
      <c r="C89" s="155" t="s">
        <v>1152</v>
      </c>
      <c r="D89" s="157" t="s">
        <v>1154</v>
      </c>
      <c r="E89" s="145">
        <v>50000</v>
      </c>
      <c r="F89" s="145">
        <v>0</v>
      </c>
      <c r="G89" s="155" t="s">
        <v>1047</v>
      </c>
      <c r="H89" s="155" t="s">
        <v>1161</v>
      </c>
      <c r="I89" s="155" t="s">
        <v>70</v>
      </c>
      <c r="J89" s="155"/>
      <c r="K89" s="157"/>
    </row>
    <row r="90" spans="1:11" ht="18" customHeight="1">
      <c r="A90" s="142">
        <f t="shared" si="0"/>
        <v>88</v>
      </c>
      <c r="B90" s="156">
        <v>43204</v>
      </c>
      <c r="C90" s="155" t="s">
        <v>1152</v>
      </c>
      <c r="D90" s="157" t="s">
        <v>1233</v>
      </c>
      <c r="E90" s="145">
        <v>79900</v>
      </c>
      <c r="F90" s="145">
        <v>0</v>
      </c>
      <c r="G90" s="155" t="s">
        <v>1047</v>
      </c>
      <c r="H90" s="155" t="s">
        <v>1161</v>
      </c>
      <c r="I90" s="155" t="s">
        <v>70</v>
      </c>
      <c r="J90" s="155"/>
      <c r="K90" s="157"/>
    </row>
    <row r="91" spans="1:11" ht="18" customHeight="1">
      <c r="A91" s="142">
        <f t="shared" si="0"/>
        <v>89</v>
      </c>
      <c r="B91" s="156">
        <v>43205</v>
      </c>
      <c r="C91" s="155" t="s">
        <v>1152</v>
      </c>
      <c r="D91" s="157" t="s">
        <v>1153</v>
      </c>
      <c r="E91" s="145">
        <v>50000</v>
      </c>
      <c r="F91" s="145">
        <v>0</v>
      </c>
      <c r="G91" s="155" t="s">
        <v>1047</v>
      </c>
      <c r="H91" s="155" t="s">
        <v>1161</v>
      </c>
      <c r="I91" s="155" t="s">
        <v>70</v>
      </c>
      <c r="J91" s="155"/>
      <c r="K91" s="157"/>
    </row>
    <row r="92" spans="1:11" ht="18" customHeight="1">
      <c r="A92" s="142">
        <f t="shared" si="0"/>
        <v>90</v>
      </c>
      <c r="B92" s="156">
        <v>43211</v>
      </c>
      <c r="C92" s="155" t="s">
        <v>1132</v>
      </c>
      <c r="D92" s="157" t="s">
        <v>1234</v>
      </c>
      <c r="E92" s="145">
        <v>49500</v>
      </c>
      <c r="F92" s="145">
        <v>0</v>
      </c>
      <c r="G92" s="155" t="s">
        <v>1047</v>
      </c>
      <c r="H92" s="155" t="s">
        <v>1148</v>
      </c>
      <c r="I92" s="155" t="s">
        <v>1149</v>
      </c>
      <c r="J92" s="155"/>
      <c r="K92" s="157"/>
    </row>
    <row r="93" spans="1:11" ht="18" customHeight="1">
      <c r="A93" s="142">
        <f t="shared" si="0"/>
        <v>91</v>
      </c>
      <c r="B93" s="156">
        <v>43217</v>
      </c>
      <c r="C93" s="155" t="s">
        <v>1132</v>
      </c>
      <c r="D93" s="157" t="s">
        <v>1235</v>
      </c>
      <c r="E93" s="145">
        <v>86000</v>
      </c>
      <c r="F93" s="145">
        <v>0</v>
      </c>
      <c r="G93" s="155" t="s">
        <v>1047</v>
      </c>
      <c r="H93" s="155" t="s">
        <v>1148</v>
      </c>
      <c r="I93" s="155" t="s">
        <v>1149</v>
      </c>
      <c r="J93" s="155"/>
      <c r="K93" s="157"/>
    </row>
    <row r="94" spans="1:11" ht="18" customHeight="1">
      <c r="A94" s="142">
        <f t="shared" si="0"/>
        <v>92</v>
      </c>
      <c r="B94" s="156">
        <v>43218</v>
      </c>
      <c r="C94" s="155" t="s">
        <v>1132</v>
      </c>
      <c r="D94" s="157" t="s">
        <v>1236</v>
      </c>
      <c r="E94" s="145">
        <v>24600</v>
      </c>
      <c r="F94" s="145">
        <v>0</v>
      </c>
      <c r="G94" s="155" t="s">
        <v>1047</v>
      </c>
      <c r="H94" s="155" t="s">
        <v>1159</v>
      </c>
      <c r="I94" s="155" t="s">
        <v>1149</v>
      </c>
      <c r="J94" s="155"/>
      <c r="K94" s="157"/>
    </row>
    <row r="95" spans="1:11" ht="18" customHeight="1">
      <c r="A95" s="142">
        <f t="shared" si="0"/>
        <v>93</v>
      </c>
      <c r="B95" s="156">
        <v>43218</v>
      </c>
      <c r="C95" s="155" t="s">
        <v>1122</v>
      </c>
      <c r="D95" s="157" t="s">
        <v>1237</v>
      </c>
      <c r="E95" s="145">
        <v>302750</v>
      </c>
      <c r="F95" s="145">
        <v>0</v>
      </c>
      <c r="G95" s="155" t="s">
        <v>1047</v>
      </c>
      <c r="H95" s="155" t="s">
        <v>1148</v>
      </c>
      <c r="I95" s="155" t="s">
        <v>1149</v>
      </c>
      <c r="J95" s="155"/>
      <c r="K95" s="157"/>
    </row>
    <row r="96" spans="1:11" ht="18" customHeight="1">
      <c r="A96" s="142">
        <f t="shared" si="0"/>
        <v>94</v>
      </c>
      <c r="B96" s="156">
        <v>43218</v>
      </c>
      <c r="C96" s="155" t="s">
        <v>1124</v>
      </c>
      <c r="D96" s="157" t="s">
        <v>1225</v>
      </c>
      <c r="E96" s="145">
        <v>155000</v>
      </c>
      <c r="F96" s="145">
        <v>0</v>
      </c>
      <c r="G96" s="155" t="s">
        <v>1047</v>
      </c>
      <c r="H96" s="155" t="s">
        <v>1148</v>
      </c>
      <c r="I96" s="155" t="s">
        <v>1149</v>
      </c>
      <c r="J96" s="155"/>
      <c r="K96" s="157"/>
    </row>
    <row r="97" spans="1:11" ht="18" customHeight="1">
      <c r="A97" s="142">
        <f t="shared" si="0"/>
        <v>95</v>
      </c>
      <c r="B97" s="156">
        <v>43220</v>
      </c>
      <c r="C97" s="155" t="s">
        <v>1122</v>
      </c>
      <c r="D97" s="157" t="s">
        <v>1238</v>
      </c>
      <c r="E97" s="145">
        <v>601428</v>
      </c>
      <c r="F97" s="145">
        <v>0</v>
      </c>
      <c r="G97" s="155" t="s">
        <v>1047</v>
      </c>
      <c r="H97" s="155" t="s">
        <v>502</v>
      </c>
      <c r="I97" s="155" t="s">
        <v>1149</v>
      </c>
      <c r="J97" s="155"/>
      <c r="K97" s="157" t="s">
        <v>1191</v>
      </c>
    </row>
    <row r="98" spans="1:11" ht="18" customHeight="1">
      <c r="A98" s="142">
        <f t="shared" si="0"/>
        <v>96</v>
      </c>
      <c r="B98" s="156">
        <v>43220</v>
      </c>
      <c r="C98" s="155" t="s">
        <v>1122</v>
      </c>
      <c r="D98" s="157" t="s">
        <v>3</v>
      </c>
      <c r="E98" s="145">
        <v>1500000</v>
      </c>
      <c r="F98" s="145">
        <v>0</v>
      </c>
      <c r="G98" s="155" t="s">
        <v>1047</v>
      </c>
      <c r="H98" s="155" t="s">
        <v>502</v>
      </c>
      <c r="I98" s="155" t="s">
        <v>1149</v>
      </c>
      <c r="J98" s="155"/>
      <c r="K98" s="157" t="s">
        <v>1191</v>
      </c>
    </row>
    <row r="99" spans="1:11" ht="18" customHeight="1">
      <c r="A99" s="142">
        <f t="shared" si="0"/>
        <v>97</v>
      </c>
      <c r="B99" s="156">
        <v>43221</v>
      </c>
      <c r="C99" s="155" t="s">
        <v>1124</v>
      </c>
      <c r="D99" s="157" t="s">
        <v>1239</v>
      </c>
      <c r="E99" s="145">
        <v>270000</v>
      </c>
      <c r="F99" s="145">
        <v>0</v>
      </c>
      <c r="G99" s="155" t="s">
        <v>1047</v>
      </c>
      <c r="H99" s="155" t="s">
        <v>502</v>
      </c>
      <c r="I99" s="155" t="s">
        <v>1149</v>
      </c>
      <c r="J99" s="155"/>
      <c r="K99" s="157" t="s">
        <v>1191</v>
      </c>
    </row>
    <row r="100" spans="1:11" ht="18" customHeight="1">
      <c r="A100" s="142">
        <f t="shared" si="0"/>
        <v>98</v>
      </c>
      <c r="B100" s="156">
        <v>43221</v>
      </c>
      <c r="C100" s="155" t="s">
        <v>1124</v>
      </c>
      <c r="D100" s="157" t="s">
        <v>1240</v>
      </c>
      <c r="E100" s="145">
        <v>146890</v>
      </c>
      <c r="F100" s="145">
        <v>0</v>
      </c>
      <c r="G100" s="155" t="s">
        <v>1074</v>
      </c>
      <c r="H100" s="155" t="s">
        <v>502</v>
      </c>
      <c r="I100" s="155" t="s">
        <v>1149</v>
      </c>
      <c r="J100" s="155" t="s">
        <v>70</v>
      </c>
      <c r="K100" s="157"/>
    </row>
    <row r="101" spans="1:11" ht="18" customHeight="1">
      <c r="A101" s="142">
        <f t="shared" si="0"/>
        <v>99</v>
      </c>
      <c r="B101" s="156">
        <v>43221</v>
      </c>
      <c r="C101" s="155" t="s">
        <v>1124</v>
      </c>
      <c r="D101" s="157" t="s">
        <v>1241</v>
      </c>
      <c r="E101" s="145">
        <v>375000</v>
      </c>
      <c r="F101" s="145">
        <v>0</v>
      </c>
      <c r="G101" s="155" t="s">
        <v>1074</v>
      </c>
      <c r="H101" s="155" t="s">
        <v>502</v>
      </c>
      <c r="I101" s="155" t="s">
        <v>1149</v>
      </c>
      <c r="J101" s="155" t="s">
        <v>70</v>
      </c>
      <c r="K101" s="157"/>
    </row>
    <row r="102" spans="1:11" ht="18" customHeight="1">
      <c r="A102" s="142">
        <f t="shared" si="0"/>
        <v>100</v>
      </c>
      <c r="B102" s="156"/>
      <c r="C102" s="155"/>
      <c r="D102" s="157"/>
      <c r="E102" s="145"/>
      <c r="F102" s="145"/>
      <c r="G102" s="155"/>
      <c r="H102" s="155"/>
      <c r="I102" s="155"/>
      <c r="J102" s="155"/>
      <c r="K102" s="157"/>
    </row>
    <row r="103" spans="1:11" ht="18" customHeight="1">
      <c r="A103" s="142">
        <f t="shared" si="0"/>
        <v>101</v>
      </c>
      <c r="B103" s="156"/>
      <c r="C103" s="155"/>
      <c r="D103" s="157"/>
      <c r="E103" s="145"/>
      <c r="F103" s="145"/>
      <c r="G103" s="155"/>
      <c r="H103" s="155"/>
      <c r="I103" s="155"/>
      <c r="J103" s="155"/>
      <c r="K103" s="157"/>
    </row>
    <row r="104" spans="1:11" ht="18" customHeight="1">
      <c r="A104" s="142">
        <f t="shared" si="0"/>
        <v>102</v>
      </c>
      <c r="B104" s="156"/>
      <c r="C104" s="155"/>
      <c r="D104" s="157"/>
      <c r="E104" s="145"/>
      <c r="F104" s="145"/>
      <c r="G104" s="155"/>
      <c r="H104" s="155"/>
      <c r="I104" s="155"/>
      <c r="J104" s="155"/>
      <c r="K104" s="157"/>
    </row>
    <row r="105" spans="1:11" ht="18" customHeight="1">
      <c r="A105" s="142">
        <f t="shared" si="0"/>
        <v>103</v>
      </c>
      <c r="B105" s="156"/>
      <c r="C105" s="155"/>
      <c r="D105" s="157"/>
      <c r="E105" s="145"/>
      <c r="F105" s="145"/>
      <c r="G105" s="155"/>
      <c r="H105" s="155"/>
      <c r="I105" s="155"/>
      <c r="J105" s="155"/>
      <c r="K105" s="157"/>
    </row>
    <row r="106" spans="1:11" ht="18" customHeight="1">
      <c r="A106" s="142">
        <f t="shared" si="0"/>
        <v>104</v>
      </c>
      <c r="B106" s="156"/>
      <c r="C106" s="155"/>
      <c r="D106" s="157"/>
      <c r="E106" s="145"/>
      <c r="F106" s="145"/>
      <c r="G106" s="155"/>
      <c r="H106" s="155"/>
      <c r="I106" s="155"/>
      <c r="J106" s="155"/>
      <c r="K106" s="157"/>
    </row>
    <row r="107" spans="1:11" ht="18" customHeight="1">
      <c r="A107" s="142">
        <f t="shared" si="0"/>
        <v>105</v>
      </c>
      <c r="B107" s="156"/>
      <c r="C107" s="155"/>
      <c r="D107" s="157"/>
      <c r="E107" s="145"/>
      <c r="F107" s="145"/>
      <c r="G107" s="155"/>
      <c r="H107" s="155"/>
      <c r="I107" s="155"/>
      <c r="J107" s="155"/>
      <c r="K107" s="157"/>
    </row>
    <row r="108" spans="1:11" ht="18" customHeight="1">
      <c r="A108" s="142">
        <f t="shared" si="0"/>
        <v>106</v>
      </c>
      <c r="B108" s="156"/>
      <c r="C108" s="155"/>
      <c r="D108" s="157"/>
      <c r="E108" s="145"/>
      <c r="F108" s="145"/>
      <c r="G108" s="155"/>
      <c r="H108" s="155"/>
      <c r="I108" s="155"/>
      <c r="J108" s="155"/>
      <c r="K108" s="157"/>
    </row>
  </sheetData>
  <autoFilter ref="A2:K108" xr:uid="{00000000-0009-0000-0000-00000F000000}"/>
  <mergeCells count="1">
    <mergeCell ref="A1:K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4"/>
  <sheetViews>
    <sheetView zoomScale="115" zoomScaleNormal="115" workbookViewId="0">
      <pane ySplit="2" topLeftCell="A18" activePane="bottomLeft" state="frozen"/>
      <selection activeCell="E8" sqref="E8"/>
      <selection pane="bottomLeft" activeCell="E8" sqref="E8"/>
    </sheetView>
  </sheetViews>
  <sheetFormatPr defaultColWidth="9" defaultRowHeight="13.5"/>
  <cols>
    <col min="1" max="1" width="5.5" style="4" customWidth="1"/>
    <col min="2" max="2" width="13.75" style="114" customWidth="1"/>
    <col min="3" max="3" width="16.625" style="114" bestFit="1" customWidth="1"/>
    <col min="4" max="4" width="34.375" style="58" bestFit="1" customWidth="1"/>
    <col min="5" max="6" width="12.875" style="115" customWidth="1"/>
    <col min="7" max="7" width="10.375" style="58" bestFit="1" customWidth="1"/>
    <col min="8" max="8" width="21.375" style="58" bestFit="1" customWidth="1"/>
    <col min="9" max="9" width="16.875" style="58" customWidth="1"/>
    <col min="10" max="10" width="28.125" style="117" bestFit="1" customWidth="1"/>
    <col min="11" max="16384" width="9" style="107"/>
  </cols>
  <sheetData>
    <row r="1" spans="1:10" ht="33" customHeight="1">
      <c r="A1" s="562" t="s">
        <v>1242</v>
      </c>
      <c r="B1" s="562"/>
      <c r="C1" s="562"/>
      <c r="D1" s="562"/>
      <c r="E1" s="562"/>
      <c r="F1" s="562"/>
      <c r="G1" s="562"/>
      <c r="H1" s="562"/>
      <c r="I1" s="562"/>
      <c r="J1" s="562"/>
    </row>
    <row r="2" spans="1:10" s="58" customFormat="1" ht="18" customHeight="1">
      <c r="A2" s="142" t="s">
        <v>490</v>
      </c>
      <c r="B2" s="156" t="s">
        <v>1139</v>
      </c>
      <c r="C2" s="159" t="s">
        <v>449</v>
      </c>
      <c r="D2" s="155" t="s">
        <v>1243</v>
      </c>
      <c r="E2" s="160" t="s">
        <v>494</v>
      </c>
      <c r="F2" s="160" t="s">
        <v>1244</v>
      </c>
      <c r="G2" s="155" t="s">
        <v>1245</v>
      </c>
      <c r="H2" s="155" t="s">
        <v>496</v>
      </c>
      <c r="I2" s="155" t="s">
        <v>1144</v>
      </c>
      <c r="J2" s="155" t="s">
        <v>153</v>
      </c>
    </row>
    <row r="3" spans="1:10" s="58" customFormat="1" ht="18" customHeight="1">
      <c r="A3" s="142">
        <f t="shared" ref="A3:A54" si="0">ROW()-2</f>
        <v>1</v>
      </c>
      <c r="B3" s="156">
        <v>43010</v>
      </c>
      <c r="C3" s="155" t="s">
        <v>1070</v>
      </c>
      <c r="D3" s="157" t="s">
        <v>1074</v>
      </c>
      <c r="E3" s="145">
        <v>200000</v>
      </c>
      <c r="F3" s="145">
        <v>0</v>
      </c>
      <c r="G3" s="155" t="s">
        <v>1062</v>
      </c>
      <c r="H3" s="155" t="s">
        <v>1246</v>
      </c>
      <c r="I3" s="155" t="s">
        <v>1149</v>
      </c>
      <c r="J3" s="155"/>
    </row>
    <row r="4" spans="1:10" s="58" customFormat="1" ht="18" customHeight="1">
      <c r="A4" s="142">
        <f t="shared" si="0"/>
        <v>2</v>
      </c>
      <c r="B4" s="156">
        <v>43012</v>
      </c>
      <c r="C4" s="155" t="s">
        <v>1072</v>
      </c>
      <c r="D4" s="157" t="s">
        <v>1168</v>
      </c>
      <c r="E4" s="145">
        <v>2000000</v>
      </c>
      <c r="F4" s="145">
        <v>0</v>
      </c>
      <c r="G4" s="155" t="s">
        <v>1074</v>
      </c>
      <c r="H4" s="155" t="s">
        <v>1246</v>
      </c>
      <c r="I4" s="155" t="s">
        <v>1149</v>
      </c>
      <c r="J4" s="155"/>
    </row>
    <row r="5" spans="1:10" s="58" customFormat="1" ht="18" customHeight="1">
      <c r="A5" s="142">
        <f t="shared" si="0"/>
        <v>3</v>
      </c>
      <c r="B5" s="156">
        <v>43018</v>
      </c>
      <c r="C5" s="155" t="s">
        <v>1072</v>
      </c>
      <c r="D5" s="157" t="s">
        <v>1168</v>
      </c>
      <c r="E5" s="145">
        <v>1000000</v>
      </c>
      <c r="F5" s="145">
        <v>0</v>
      </c>
      <c r="G5" s="155" t="s">
        <v>1062</v>
      </c>
      <c r="H5" s="155" t="s">
        <v>1246</v>
      </c>
      <c r="I5" s="155" t="s">
        <v>1149</v>
      </c>
      <c r="J5" s="155"/>
    </row>
    <row r="6" spans="1:10" s="58" customFormat="1" ht="18" customHeight="1">
      <c r="A6" s="142">
        <f t="shared" si="0"/>
        <v>4</v>
      </c>
      <c r="B6" s="156">
        <v>43024</v>
      </c>
      <c r="C6" s="155" t="s">
        <v>1129</v>
      </c>
      <c r="D6" s="157" t="s">
        <v>1170</v>
      </c>
      <c r="E6" s="145">
        <v>150000</v>
      </c>
      <c r="F6" s="145">
        <v>0</v>
      </c>
      <c r="G6" s="155" t="s">
        <v>1074</v>
      </c>
      <c r="H6" s="155" t="s">
        <v>1246</v>
      </c>
      <c r="I6" s="155" t="s">
        <v>1149</v>
      </c>
      <c r="J6" s="155"/>
    </row>
    <row r="7" spans="1:10" s="58" customFormat="1" ht="18" customHeight="1">
      <c r="A7" s="142">
        <f t="shared" si="0"/>
        <v>5</v>
      </c>
      <c r="B7" s="156">
        <v>43024</v>
      </c>
      <c r="C7" s="155" t="s">
        <v>1079</v>
      </c>
      <c r="D7" s="157" t="s">
        <v>1085</v>
      </c>
      <c r="E7" s="145">
        <v>150000</v>
      </c>
      <c r="F7" s="145">
        <v>0</v>
      </c>
      <c r="G7" s="155" t="s">
        <v>1074</v>
      </c>
      <c r="H7" s="155" t="s">
        <v>1246</v>
      </c>
      <c r="I7" s="155" t="s">
        <v>1149</v>
      </c>
      <c r="J7" s="155"/>
    </row>
    <row r="8" spans="1:10" s="58" customFormat="1" ht="18" customHeight="1">
      <c r="A8" s="142">
        <f t="shared" si="0"/>
        <v>6</v>
      </c>
      <c r="B8" s="156">
        <v>43072</v>
      </c>
      <c r="C8" s="155" t="s">
        <v>1110</v>
      </c>
      <c r="D8" s="157" t="s">
        <v>1111</v>
      </c>
      <c r="E8" s="145">
        <v>300000</v>
      </c>
      <c r="F8" s="145">
        <v>0</v>
      </c>
      <c r="G8" s="155" t="s">
        <v>1074</v>
      </c>
      <c r="H8" s="155" t="s">
        <v>502</v>
      </c>
      <c r="I8" s="155" t="s">
        <v>1149</v>
      </c>
      <c r="J8" s="155"/>
    </row>
    <row r="9" spans="1:10" s="58" customFormat="1" ht="18" customHeight="1">
      <c r="A9" s="142">
        <f t="shared" si="0"/>
        <v>7</v>
      </c>
      <c r="B9" s="156">
        <v>43072</v>
      </c>
      <c r="C9" s="155" t="s">
        <v>1101</v>
      </c>
      <c r="D9" s="157" t="s">
        <v>1102</v>
      </c>
      <c r="E9" s="145">
        <v>300000</v>
      </c>
      <c r="F9" s="145">
        <v>0</v>
      </c>
      <c r="G9" s="155" t="s">
        <v>1074</v>
      </c>
      <c r="H9" s="155" t="s">
        <v>502</v>
      </c>
      <c r="I9" s="155" t="s">
        <v>1149</v>
      </c>
      <c r="J9" s="155"/>
    </row>
    <row r="10" spans="1:10" ht="18" customHeight="1">
      <c r="A10" s="142">
        <f t="shared" si="0"/>
        <v>8</v>
      </c>
      <c r="B10" s="156">
        <v>43074</v>
      </c>
      <c r="C10" s="155" t="s">
        <v>1103</v>
      </c>
      <c r="D10" s="157" t="s">
        <v>1104</v>
      </c>
      <c r="E10" s="145">
        <v>500000</v>
      </c>
      <c r="F10" s="145">
        <v>0</v>
      </c>
      <c r="G10" s="155" t="s">
        <v>1074</v>
      </c>
      <c r="H10" s="155" t="s">
        <v>502</v>
      </c>
      <c r="I10" s="155" t="s">
        <v>1149</v>
      </c>
      <c r="J10" s="157"/>
    </row>
    <row r="11" spans="1:10" ht="18" customHeight="1">
      <c r="A11" s="142">
        <f t="shared" si="0"/>
        <v>9</v>
      </c>
      <c r="B11" s="156">
        <v>43074</v>
      </c>
      <c r="C11" s="155" t="s">
        <v>1103</v>
      </c>
      <c r="D11" s="157" t="s">
        <v>1105</v>
      </c>
      <c r="E11" s="145">
        <v>900000</v>
      </c>
      <c r="F11" s="145">
        <v>0</v>
      </c>
      <c r="G11" s="155" t="s">
        <v>1074</v>
      </c>
      <c r="H11" s="155" t="s">
        <v>502</v>
      </c>
      <c r="I11" s="155" t="s">
        <v>1149</v>
      </c>
      <c r="J11" s="157"/>
    </row>
    <row r="12" spans="1:10" ht="18" customHeight="1">
      <c r="A12" s="142">
        <f t="shared" si="0"/>
        <v>10</v>
      </c>
      <c r="B12" s="156">
        <v>43102</v>
      </c>
      <c r="C12" s="155" t="s">
        <v>1114</v>
      </c>
      <c r="D12" s="157" t="s">
        <v>1111</v>
      </c>
      <c r="E12" s="145">
        <v>50000</v>
      </c>
      <c r="F12" s="145">
        <v>0</v>
      </c>
      <c r="G12" s="155" t="s">
        <v>1062</v>
      </c>
      <c r="H12" s="155" t="s">
        <v>1247</v>
      </c>
      <c r="I12" s="155" t="s">
        <v>1149</v>
      </c>
      <c r="J12" s="157"/>
    </row>
    <row r="13" spans="1:10" ht="18" customHeight="1">
      <c r="A13" s="142">
        <f t="shared" si="0"/>
        <v>11</v>
      </c>
      <c r="B13" s="156">
        <v>43106</v>
      </c>
      <c r="C13" s="155" t="s">
        <v>1101</v>
      </c>
      <c r="D13" s="157" t="s">
        <v>1102</v>
      </c>
      <c r="E13" s="145">
        <v>500000</v>
      </c>
      <c r="F13" s="145">
        <v>0</v>
      </c>
      <c r="G13" s="155" t="s">
        <v>1074</v>
      </c>
      <c r="H13" s="155" t="s">
        <v>1247</v>
      </c>
      <c r="I13" s="155" t="s">
        <v>1149</v>
      </c>
      <c r="J13" s="157"/>
    </row>
    <row r="14" spans="1:10" ht="18" customHeight="1">
      <c r="A14" s="142">
        <f t="shared" si="0"/>
        <v>12</v>
      </c>
      <c r="B14" s="156">
        <v>43106</v>
      </c>
      <c r="C14" s="155" t="s">
        <v>1101</v>
      </c>
      <c r="D14" s="157" t="s">
        <v>1102</v>
      </c>
      <c r="E14" s="145">
        <v>800000</v>
      </c>
      <c r="F14" s="145">
        <v>0</v>
      </c>
      <c r="G14" s="155" t="s">
        <v>1062</v>
      </c>
      <c r="H14" s="155" t="s">
        <v>1247</v>
      </c>
      <c r="I14" s="155" t="s">
        <v>1149</v>
      </c>
      <c r="J14" s="157"/>
    </row>
    <row r="15" spans="1:10" ht="18" customHeight="1">
      <c r="A15" s="142">
        <f t="shared" si="0"/>
        <v>13</v>
      </c>
      <c r="B15" s="156">
        <v>43106</v>
      </c>
      <c r="C15" s="155" t="s">
        <v>1129</v>
      </c>
      <c r="D15" s="157" t="s">
        <v>1248</v>
      </c>
      <c r="E15" s="145">
        <v>1500000</v>
      </c>
      <c r="F15" s="145">
        <v>0</v>
      </c>
      <c r="G15" s="155" t="s">
        <v>1074</v>
      </c>
      <c r="H15" s="155" t="s">
        <v>1247</v>
      </c>
      <c r="I15" s="155" t="s">
        <v>1149</v>
      </c>
      <c r="J15" s="157"/>
    </row>
    <row r="16" spans="1:10" ht="18" customHeight="1">
      <c r="A16" s="142">
        <f t="shared" si="0"/>
        <v>14</v>
      </c>
      <c r="B16" s="156">
        <v>43106</v>
      </c>
      <c r="C16" s="155" t="s">
        <v>1103</v>
      </c>
      <c r="D16" s="157" t="s">
        <v>1104</v>
      </c>
      <c r="E16" s="145">
        <v>7800000</v>
      </c>
      <c r="F16" s="145">
        <v>0</v>
      </c>
      <c r="G16" s="155" t="s">
        <v>1074</v>
      </c>
      <c r="H16" s="155" t="s">
        <v>1247</v>
      </c>
      <c r="I16" s="155" t="s">
        <v>1149</v>
      </c>
      <c r="J16" s="157"/>
    </row>
    <row r="17" spans="1:10" ht="18" customHeight="1">
      <c r="A17" s="142">
        <f t="shared" si="0"/>
        <v>15</v>
      </c>
      <c r="B17" s="156">
        <v>43106</v>
      </c>
      <c r="C17" s="155" t="s">
        <v>1103</v>
      </c>
      <c r="D17" s="157" t="s">
        <v>1105</v>
      </c>
      <c r="E17" s="145">
        <v>1900000</v>
      </c>
      <c r="F17" s="145">
        <v>0</v>
      </c>
      <c r="G17" s="155" t="s">
        <v>1074</v>
      </c>
      <c r="H17" s="155" t="s">
        <v>1247</v>
      </c>
      <c r="I17" s="155" t="s">
        <v>1149</v>
      </c>
      <c r="J17" s="157"/>
    </row>
    <row r="18" spans="1:10" ht="18" customHeight="1">
      <c r="A18" s="142">
        <f t="shared" si="0"/>
        <v>16</v>
      </c>
      <c r="B18" s="156">
        <v>43138</v>
      </c>
      <c r="C18" s="155" t="s">
        <v>1126</v>
      </c>
      <c r="D18" s="157" t="s">
        <v>1127</v>
      </c>
      <c r="E18" s="145">
        <v>139000</v>
      </c>
      <c r="F18" s="145">
        <v>0</v>
      </c>
      <c r="G18" s="155" t="s">
        <v>1062</v>
      </c>
      <c r="H18" s="155" t="s">
        <v>1246</v>
      </c>
      <c r="I18" s="155" t="s">
        <v>1149</v>
      </c>
      <c r="J18" s="157"/>
    </row>
    <row r="19" spans="1:10" ht="18" customHeight="1">
      <c r="A19" s="142">
        <f t="shared" si="0"/>
        <v>17</v>
      </c>
      <c r="B19" s="156">
        <v>43143</v>
      </c>
      <c r="C19" s="155" t="s">
        <v>1066</v>
      </c>
      <c r="D19" s="157" t="s">
        <v>1204</v>
      </c>
      <c r="E19" s="145">
        <v>85000</v>
      </c>
      <c r="F19" s="145">
        <v>0</v>
      </c>
      <c r="G19" s="155" t="s">
        <v>1062</v>
      </c>
      <c r="H19" s="155" t="s">
        <v>1246</v>
      </c>
      <c r="I19" s="155" t="s">
        <v>1149</v>
      </c>
      <c r="J19" s="157"/>
    </row>
    <row r="20" spans="1:10" ht="18" customHeight="1">
      <c r="A20" s="142">
        <f t="shared" si="0"/>
        <v>18</v>
      </c>
      <c r="B20" s="156">
        <v>43150</v>
      </c>
      <c r="C20" s="155" t="s">
        <v>1090</v>
      </c>
      <c r="D20" s="157" t="s">
        <v>1091</v>
      </c>
      <c r="E20" s="145">
        <v>1877400</v>
      </c>
      <c r="F20" s="145">
        <v>0</v>
      </c>
      <c r="G20" s="155" t="s">
        <v>1074</v>
      </c>
      <c r="H20" s="155" t="s">
        <v>1246</v>
      </c>
      <c r="I20" s="155" t="s">
        <v>1149</v>
      </c>
      <c r="J20" s="157"/>
    </row>
    <row r="21" spans="1:10" ht="18" customHeight="1">
      <c r="A21" s="142">
        <f t="shared" si="0"/>
        <v>19</v>
      </c>
      <c r="B21" s="156">
        <v>43151</v>
      </c>
      <c r="C21" s="155" t="s">
        <v>1090</v>
      </c>
      <c r="D21" s="157" t="s">
        <v>1249</v>
      </c>
      <c r="E21" s="145">
        <v>10800</v>
      </c>
      <c r="F21" s="145">
        <v>0</v>
      </c>
      <c r="G21" s="155" t="s">
        <v>1062</v>
      </c>
      <c r="H21" s="155" t="s">
        <v>1246</v>
      </c>
      <c r="I21" s="155" t="s">
        <v>1149</v>
      </c>
      <c r="J21" s="157"/>
    </row>
    <row r="22" spans="1:10" ht="18" customHeight="1">
      <c r="A22" s="142">
        <f t="shared" si="0"/>
        <v>20</v>
      </c>
      <c r="B22" s="156">
        <v>43151</v>
      </c>
      <c r="C22" s="155" t="s">
        <v>1079</v>
      </c>
      <c r="D22" s="157" t="s">
        <v>1080</v>
      </c>
      <c r="E22" s="145">
        <v>85000</v>
      </c>
      <c r="F22" s="145">
        <v>0</v>
      </c>
      <c r="G22" s="155" t="s">
        <v>1062</v>
      </c>
      <c r="H22" s="155" t="s">
        <v>1246</v>
      </c>
      <c r="I22" s="155" t="s">
        <v>1149</v>
      </c>
      <c r="J22" s="157"/>
    </row>
    <row r="23" spans="1:10" ht="18" customHeight="1">
      <c r="A23" s="142">
        <f t="shared" si="0"/>
        <v>21</v>
      </c>
      <c r="B23" s="156">
        <v>43168</v>
      </c>
      <c r="C23" s="155" t="s">
        <v>1117</v>
      </c>
      <c r="D23" s="157" t="s">
        <v>1119</v>
      </c>
      <c r="E23" s="145">
        <v>2700000</v>
      </c>
      <c r="F23" s="145">
        <v>0</v>
      </c>
      <c r="G23" s="155" t="s">
        <v>1062</v>
      </c>
      <c r="H23" s="155" t="s">
        <v>1246</v>
      </c>
      <c r="I23" s="155" t="s">
        <v>1149</v>
      </c>
      <c r="J23" s="157"/>
    </row>
    <row r="24" spans="1:10" ht="18" customHeight="1">
      <c r="A24" s="142">
        <f t="shared" si="0"/>
        <v>22</v>
      </c>
      <c r="B24" s="156">
        <v>43184</v>
      </c>
      <c r="C24" s="155" t="s">
        <v>1122</v>
      </c>
      <c r="D24" s="157" t="s">
        <v>3</v>
      </c>
      <c r="E24" s="145">
        <v>5000000</v>
      </c>
      <c r="F24" s="145">
        <v>0</v>
      </c>
      <c r="G24" s="155" t="s">
        <v>1074</v>
      </c>
      <c r="H24" s="155" t="s">
        <v>1246</v>
      </c>
      <c r="I24" s="155" t="s">
        <v>1149</v>
      </c>
      <c r="J24" s="157"/>
    </row>
    <row r="25" spans="1:10" ht="18" customHeight="1">
      <c r="A25" s="142">
        <f t="shared" si="0"/>
        <v>23</v>
      </c>
      <c r="B25" s="156">
        <v>43185</v>
      </c>
      <c r="C25" s="155" t="s">
        <v>1086</v>
      </c>
      <c r="D25" s="157" t="s">
        <v>1087</v>
      </c>
      <c r="E25" s="145">
        <v>29500</v>
      </c>
      <c r="F25" s="145">
        <v>0</v>
      </c>
      <c r="G25" s="155" t="s">
        <v>1062</v>
      </c>
      <c r="H25" s="155" t="s">
        <v>1246</v>
      </c>
      <c r="I25" s="155" t="s">
        <v>1149</v>
      </c>
      <c r="J25" s="157" t="s">
        <v>1250</v>
      </c>
    </row>
    <row r="26" spans="1:10" ht="18" customHeight="1">
      <c r="A26" s="142">
        <f t="shared" si="0"/>
        <v>24</v>
      </c>
      <c r="B26" s="156">
        <v>43198</v>
      </c>
      <c r="C26" s="155" t="s">
        <v>1066</v>
      </c>
      <c r="D26" s="157" t="s">
        <v>1226</v>
      </c>
      <c r="E26" s="145">
        <v>170000</v>
      </c>
      <c r="F26" s="145">
        <v>595000</v>
      </c>
      <c r="G26" s="155" t="s">
        <v>1062</v>
      </c>
      <c r="H26" s="155" t="s">
        <v>1246</v>
      </c>
      <c r="I26" s="155" t="s">
        <v>1149</v>
      </c>
      <c r="J26" s="157"/>
    </row>
    <row r="27" spans="1:10" ht="18" customHeight="1">
      <c r="A27" s="142">
        <f t="shared" si="0"/>
        <v>25</v>
      </c>
      <c r="B27" s="156">
        <v>43203</v>
      </c>
      <c r="C27" s="155" t="s">
        <v>1116</v>
      </c>
      <c r="D27" s="157" t="s">
        <v>3</v>
      </c>
      <c r="E27" s="145">
        <v>50000000</v>
      </c>
      <c r="F27" s="145">
        <v>0</v>
      </c>
      <c r="G27" s="155" t="s">
        <v>1062</v>
      </c>
      <c r="H27" s="155" t="s">
        <v>1251</v>
      </c>
      <c r="I27" s="155" t="s">
        <v>1149</v>
      </c>
      <c r="J27" s="157"/>
    </row>
    <row r="28" spans="1:10" ht="18" customHeight="1">
      <c r="A28" s="142">
        <f t="shared" si="0"/>
        <v>26</v>
      </c>
      <c r="B28" s="156">
        <v>43204</v>
      </c>
      <c r="C28" s="155" t="s">
        <v>1116</v>
      </c>
      <c r="D28" s="157" t="s">
        <v>3</v>
      </c>
      <c r="E28" s="145">
        <v>20000000</v>
      </c>
      <c r="F28" s="145">
        <v>0</v>
      </c>
      <c r="G28" s="155" t="s">
        <v>1062</v>
      </c>
      <c r="H28" s="155" t="s">
        <v>502</v>
      </c>
      <c r="I28" s="155" t="s">
        <v>1149</v>
      </c>
      <c r="J28" s="157"/>
    </row>
    <row r="29" spans="1:10" ht="18" customHeight="1">
      <c r="A29" s="142">
        <f t="shared" si="0"/>
        <v>27</v>
      </c>
      <c r="B29" s="156">
        <v>43205</v>
      </c>
      <c r="C29" s="155" t="s">
        <v>1088</v>
      </c>
      <c r="D29" s="157" t="s">
        <v>1089</v>
      </c>
      <c r="E29" s="145">
        <v>265000</v>
      </c>
      <c r="F29" s="145">
        <v>0</v>
      </c>
      <c r="G29" s="155" t="s">
        <v>1074</v>
      </c>
      <c r="H29" s="155" t="s">
        <v>502</v>
      </c>
      <c r="I29" s="155" t="s">
        <v>1149</v>
      </c>
      <c r="J29" s="157"/>
    </row>
    <row r="30" spans="1:10" ht="18" customHeight="1">
      <c r="A30" s="142">
        <f t="shared" si="0"/>
        <v>28</v>
      </c>
      <c r="B30" s="156">
        <v>43205</v>
      </c>
      <c r="C30" s="155" t="s">
        <v>1252</v>
      </c>
      <c r="D30" s="157" t="s">
        <v>1098</v>
      </c>
      <c r="E30" s="145">
        <v>440000</v>
      </c>
      <c r="F30" s="145">
        <v>0</v>
      </c>
      <c r="G30" s="155" t="s">
        <v>1074</v>
      </c>
      <c r="H30" s="155" t="s">
        <v>502</v>
      </c>
      <c r="I30" s="155" t="s">
        <v>1149</v>
      </c>
      <c r="J30" s="157"/>
    </row>
    <row r="31" spans="1:10" ht="18" customHeight="1">
      <c r="A31" s="142">
        <f t="shared" si="0"/>
        <v>29</v>
      </c>
      <c r="B31" s="156">
        <v>43205</v>
      </c>
      <c r="C31" s="155" t="s">
        <v>1129</v>
      </c>
      <c r="D31" s="157" t="s">
        <v>1094</v>
      </c>
      <c r="E31" s="145">
        <v>295000</v>
      </c>
      <c r="F31" s="145">
        <v>0</v>
      </c>
      <c r="G31" s="155" t="s">
        <v>1074</v>
      </c>
      <c r="H31" s="155" t="s">
        <v>502</v>
      </c>
      <c r="I31" s="155" t="s">
        <v>1149</v>
      </c>
      <c r="J31" s="157"/>
    </row>
    <row r="32" spans="1:10" ht="18" customHeight="1">
      <c r="A32" s="142">
        <f t="shared" si="0"/>
        <v>30</v>
      </c>
      <c r="B32" s="156">
        <v>43221</v>
      </c>
      <c r="C32" s="155" t="s">
        <v>1124</v>
      </c>
      <c r="D32" s="157" t="s">
        <v>1253</v>
      </c>
      <c r="E32" s="145">
        <v>1000000</v>
      </c>
      <c r="F32" s="145">
        <v>0</v>
      </c>
      <c r="G32" s="155" t="s">
        <v>1075</v>
      </c>
      <c r="H32" s="155" t="s">
        <v>502</v>
      </c>
      <c r="I32" s="155" t="s">
        <v>1149</v>
      </c>
      <c r="J32" s="157"/>
    </row>
    <row r="33" spans="1:10" ht="18" customHeight="1">
      <c r="A33" s="142">
        <f t="shared" si="0"/>
        <v>31</v>
      </c>
      <c r="B33" s="156"/>
      <c r="C33" s="156"/>
      <c r="D33" s="157"/>
      <c r="E33" s="145"/>
      <c r="F33" s="145"/>
      <c r="G33" s="155"/>
      <c r="H33" s="155"/>
      <c r="I33" s="155"/>
      <c r="J33" s="157"/>
    </row>
    <row r="34" spans="1:10" ht="18" customHeight="1">
      <c r="A34" s="142">
        <f t="shared" si="0"/>
        <v>32</v>
      </c>
      <c r="B34" s="156"/>
      <c r="C34" s="156"/>
      <c r="D34" s="157"/>
      <c r="E34" s="145"/>
      <c r="F34" s="145"/>
      <c r="G34" s="155"/>
      <c r="H34" s="155"/>
      <c r="I34" s="155"/>
      <c r="J34" s="157"/>
    </row>
    <row r="35" spans="1:10" ht="18" customHeight="1">
      <c r="A35" s="142">
        <f t="shared" si="0"/>
        <v>33</v>
      </c>
      <c r="B35" s="156"/>
      <c r="C35" s="156"/>
      <c r="D35" s="157"/>
      <c r="E35" s="145"/>
      <c r="F35" s="145"/>
      <c r="G35" s="155"/>
      <c r="H35" s="155"/>
      <c r="I35" s="155"/>
      <c r="J35" s="157"/>
    </row>
    <row r="36" spans="1:10" ht="18" customHeight="1">
      <c r="A36" s="142">
        <f t="shared" si="0"/>
        <v>34</v>
      </c>
      <c r="B36" s="156"/>
      <c r="C36" s="156"/>
      <c r="D36" s="157"/>
      <c r="E36" s="145"/>
      <c r="F36" s="145"/>
      <c r="G36" s="155"/>
      <c r="H36" s="155"/>
      <c r="I36" s="155"/>
      <c r="J36" s="157"/>
    </row>
    <row r="37" spans="1:10" ht="18" customHeight="1">
      <c r="A37" s="142">
        <f t="shared" si="0"/>
        <v>35</v>
      </c>
      <c r="B37" s="156"/>
      <c r="C37" s="156"/>
      <c r="D37" s="157"/>
      <c r="E37" s="145"/>
      <c r="F37" s="145"/>
      <c r="G37" s="155"/>
      <c r="H37" s="155"/>
      <c r="I37" s="155"/>
      <c r="J37" s="157"/>
    </row>
    <row r="38" spans="1:10" ht="18" customHeight="1">
      <c r="A38" s="142">
        <f t="shared" si="0"/>
        <v>36</v>
      </c>
      <c r="B38" s="156"/>
      <c r="C38" s="156"/>
      <c r="D38" s="157"/>
      <c r="E38" s="145"/>
      <c r="F38" s="145"/>
      <c r="G38" s="155"/>
      <c r="H38" s="155"/>
      <c r="I38" s="155"/>
      <c r="J38" s="157"/>
    </row>
    <row r="39" spans="1:10" ht="18" customHeight="1">
      <c r="A39" s="142">
        <f t="shared" si="0"/>
        <v>37</v>
      </c>
      <c r="B39" s="156"/>
      <c r="C39" s="156"/>
      <c r="D39" s="157"/>
      <c r="E39" s="145"/>
      <c r="F39" s="145"/>
      <c r="G39" s="155"/>
      <c r="H39" s="155"/>
      <c r="I39" s="155"/>
      <c r="J39" s="157"/>
    </row>
    <row r="40" spans="1:10" ht="18" customHeight="1">
      <c r="A40" s="142">
        <f t="shared" si="0"/>
        <v>38</v>
      </c>
      <c r="B40" s="156"/>
      <c r="C40" s="156"/>
      <c r="D40" s="157"/>
      <c r="E40" s="145"/>
      <c r="F40" s="145"/>
      <c r="G40" s="155"/>
      <c r="H40" s="155"/>
      <c r="I40" s="155"/>
      <c r="J40" s="157"/>
    </row>
    <row r="41" spans="1:10" ht="18" customHeight="1">
      <c r="A41" s="142">
        <f t="shared" si="0"/>
        <v>39</v>
      </c>
      <c r="B41" s="156"/>
      <c r="C41" s="156"/>
      <c r="D41" s="157"/>
      <c r="E41" s="145"/>
      <c r="F41" s="145"/>
      <c r="G41" s="155"/>
      <c r="H41" s="155"/>
      <c r="I41" s="155"/>
      <c r="J41" s="157"/>
    </row>
    <row r="42" spans="1:10" ht="18" customHeight="1">
      <c r="A42" s="142">
        <f t="shared" si="0"/>
        <v>40</v>
      </c>
      <c r="B42" s="156"/>
      <c r="C42" s="156"/>
      <c r="D42" s="157"/>
      <c r="E42" s="145"/>
      <c r="F42" s="145"/>
      <c r="G42" s="155"/>
      <c r="H42" s="155"/>
      <c r="I42" s="155"/>
      <c r="J42" s="157"/>
    </row>
    <row r="43" spans="1:10" ht="18" customHeight="1">
      <c r="A43" s="142">
        <f t="shared" si="0"/>
        <v>41</v>
      </c>
      <c r="B43" s="156"/>
      <c r="C43" s="156"/>
      <c r="D43" s="157"/>
      <c r="E43" s="145"/>
      <c r="F43" s="145"/>
      <c r="G43" s="155"/>
      <c r="H43" s="155"/>
      <c r="I43" s="155"/>
      <c r="J43" s="157"/>
    </row>
    <row r="44" spans="1:10" ht="18" customHeight="1">
      <c r="A44" s="142">
        <f t="shared" si="0"/>
        <v>42</v>
      </c>
      <c r="B44" s="156"/>
      <c r="C44" s="156"/>
      <c r="D44" s="157"/>
      <c r="E44" s="145"/>
      <c r="F44" s="145"/>
      <c r="G44" s="155"/>
      <c r="H44" s="155"/>
      <c r="I44" s="155"/>
      <c r="J44" s="157"/>
    </row>
    <row r="45" spans="1:10" ht="18" customHeight="1">
      <c r="A45" s="142">
        <f t="shared" si="0"/>
        <v>43</v>
      </c>
      <c r="B45" s="156"/>
      <c r="C45" s="156"/>
      <c r="D45" s="157"/>
      <c r="E45" s="145"/>
      <c r="F45" s="145"/>
      <c r="G45" s="155"/>
      <c r="H45" s="155"/>
      <c r="I45" s="155"/>
      <c r="J45" s="157"/>
    </row>
    <row r="46" spans="1:10" ht="18" customHeight="1">
      <c r="A46" s="142">
        <f t="shared" si="0"/>
        <v>44</v>
      </c>
      <c r="B46" s="156"/>
      <c r="C46" s="156"/>
      <c r="D46" s="157"/>
      <c r="E46" s="145"/>
      <c r="F46" s="145"/>
      <c r="G46" s="155"/>
      <c r="H46" s="155"/>
      <c r="I46" s="155"/>
      <c r="J46" s="157"/>
    </row>
    <row r="47" spans="1:10" ht="18" customHeight="1">
      <c r="A47" s="142">
        <f t="shared" si="0"/>
        <v>45</v>
      </c>
      <c r="B47" s="156"/>
      <c r="C47" s="156"/>
      <c r="D47" s="157"/>
      <c r="E47" s="145"/>
      <c r="F47" s="145"/>
      <c r="G47" s="155"/>
      <c r="H47" s="155"/>
      <c r="I47" s="155"/>
      <c r="J47" s="157"/>
    </row>
    <row r="48" spans="1:10" ht="18" customHeight="1">
      <c r="A48" s="142">
        <f t="shared" si="0"/>
        <v>46</v>
      </c>
      <c r="B48" s="156"/>
      <c r="C48" s="156"/>
      <c r="D48" s="157"/>
      <c r="E48" s="145"/>
      <c r="F48" s="145"/>
      <c r="G48" s="155"/>
      <c r="H48" s="155"/>
      <c r="I48" s="155"/>
      <c r="J48" s="157"/>
    </row>
    <row r="49" spans="1:10" ht="18" customHeight="1">
      <c r="A49" s="142">
        <f t="shared" si="0"/>
        <v>47</v>
      </c>
      <c r="B49" s="156"/>
      <c r="C49" s="156"/>
      <c r="D49" s="157"/>
      <c r="E49" s="145"/>
      <c r="F49" s="145"/>
      <c r="G49" s="155"/>
      <c r="H49" s="155"/>
      <c r="I49" s="155"/>
      <c r="J49" s="157"/>
    </row>
    <row r="50" spans="1:10" ht="18" customHeight="1">
      <c r="A50" s="142">
        <f t="shared" si="0"/>
        <v>48</v>
      </c>
      <c r="B50" s="156"/>
      <c r="C50" s="156"/>
      <c r="D50" s="157"/>
      <c r="E50" s="145"/>
      <c r="F50" s="145"/>
      <c r="G50" s="155"/>
      <c r="H50" s="155"/>
      <c r="I50" s="155"/>
      <c r="J50" s="157"/>
    </row>
    <row r="51" spans="1:10" ht="18" customHeight="1">
      <c r="A51" s="142">
        <f t="shared" si="0"/>
        <v>49</v>
      </c>
      <c r="B51" s="156"/>
      <c r="C51" s="156"/>
      <c r="D51" s="157"/>
      <c r="E51" s="145"/>
      <c r="F51" s="145"/>
      <c r="G51" s="155"/>
      <c r="H51" s="155"/>
      <c r="I51" s="155"/>
      <c r="J51" s="157"/>
    </row>
    <row r="52" spans="1:10" ht="18" customHeight="1">
      <c r="A52" s="142">
        <f t="shared" si="0"/>
        <v>50</v>
      </c>
      <c r="B52" s="156"/>
      <c r="C52" s="156"/>
      <c r="D52" s="157"/>
      <c r="E52" s="145"/>
      <c r="F52" s="145"/>
      <c r="G52" s="155"/>
      <c r="H52" s="155"/>
      <c r="I52" s="155"/>
      <c r="J52" s="157"/>
    </row>
    <row r="53" spans="1:10" ht="18" customHeight="1">
      <c r="A53" s="142">
        <f t="shared" si="0"/>
        <v>51</v>
      </c>
      <c r="B53" s="156"/>
      <c r="C53" s="156"/>
      <c r="D53" s="157"/>
      <c r="E53" s="145"/>
      <c r="F53" s="145"/>
      <c r="G53" s="155"/>
      <c r="H53" s="155"/>
      <c r="I53" s="155"/>
      <c r="J53" s="157"/>
    </row>
    <row r="54" spans="1:10" ht="18" customHeight="1">
      <c r="A54" s="142">
        <f t="shared" si="0"/>
        <v>52</v>
      </c>
      <c r="B54" s="156"/>
      <c r="C54" s="156"/>
      <c r="D54" s="157"/>
      <c r="E54" s="145"/>
      <c r="F54" s="145"/>
      <c r="G54" s="155"/>
      <c r="H54" s="155"/>
      <c r="I54" s="155"/>
      <c r="J54" s="157"/>
    </row>
  </sheetData>
  <autoFilter ref="A2:J54" xr:uid="{00000000-0009-0000-0000-000010000000}">
    <sortState xmlns:xlrd2="http://schemas.microsoft.com/office/spreadsheetml/2017/richdata2" ref="A3:J54">
      <sortCondition ref="B2:B54"/>
    </sortState>
  </autoFilter>
  <mergeCells count="1">
    <mergeCell ref="A1:J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41"/>
  <sheetViews>
    <sheetView topLeftCell="A7" zoomScale="115" zoomScaleNormal="115" workbookViewId="0">
      <selection activeCell="E8" sqref="E8"/>
    </sheetView>
  </sheetViews>
  <sheetFormatPr defaultColWidth="9" defaultRowHeight="13.5"/>
  <cols>
    <col min="1" max="1" width="4.75" style="138" bestFit="1" customWidth="1"/>
    <col min="2" max="2" width="14.75" style="138" customWidth="1"/>
    <col min="3" max="3" width="24.75" style="138" customWidth="1"/>
    <col min="4" max="12" width="11.25" style="138" customWidth="1"/>
    <col min="13" max="16384" width="9" style="138"/>
  </cols>
  <sheetData>
    <row r="1" spans="1:12">
      <c r="A1" s="161" t="s">
        <v>1049</v>
      </c>
      <c r="B1" s="161" t="s">
        <v>449</v>
      </c>
      <c r="C1" s="161" t="s">
        <v>1050</v>
      </c>
      <c r="D1" s="162" t="s">
        <v>1052</v>
      </c>
      <c r="E1" s="163" t="s">
        <v>1057</v>
      </c>
      <c r="F1" s="162" t="s">
        <v>1254</v>
      </c>
      <c r="G1" s="164" t="s">
        <v>1245</v>
      </c>
      <c r="H1" s="164" t="s">
        <v>496</v>
      </c>
      <c r="I1" s="165" t="s">
        <v>494</v>
      </c>
      <c r="J1" s="166" t="s">
        <v>1244</v>
      </c>
      <c r="K1" s="166" t="s">
        <v>1255</v>
      </c>
      <c r="L1" s="167" t="s">
        <v>153</v>
      </c>
    </row>
    <row r="2" spans="1:12">
      <c r="A2" s="40">
        <v>1</v>
      </c>
      <c r="B2" s="168" t="s">
        <v>1072</v>
      </c>
      <c r="C2" s="168" t="s">
        <v>1073</v>
      </c>
      <c r="D2" s="169">
        <v>2000000</v>
      </c>
      <c r="E2" s="170">
        <v>2000000</v>
      </c>
      <c r="F2" s="171">
        <v>43012</v>
      </c>
      <c r="G2" s="172" t="s">
        <v>1074</v>
      </c>
      <c r="H2" s="172" t="s">
        <v>1246</v>
      </c>
      <c r="I2" s="173">
        <v>2000000</v>
      </c>
      <c r="J2" s="174">
        <f t="shared" ref="J2:J9" si="0">E2-I2</f>
        <v>0</v>
      </c>
      <c r="K2" s="174">
        <v>0</v>
      </c>
      <c r="L2" s="175" t="s">
        <v>1069</v>
      </c>
    </row>
    <row r="3" spans="1:12">
      <c r="A3" s="40">
        <v>2</v>
      </c>
      <c r="B3" s="168" t="s">
        <v>1076</v>
      </c>
      <c r="C3" s="168" t="s">
        <v>1073</v>
      </c>
      <c r="D3" s="169">
        <v>5760000</v>
      </c>
      <c r="E3" s="170">
        <v>5760000</v>
      </c>
      <c r="F3" s="171" t="s">
        <v>2</v>
      </c>
      <c r="G3" s="172" t="s">
        <v>2</v>
      </c>
      <c r="H3" s="172" t="s">
        <v>2</v>
      </c>
      <c r="I3" s="173">
        <v>0</v>
      </c>
      <c r="J3" s="174">
        <f t="shared" si="0"/>
        <v>5760000</v>
      </c>
      <c r="K3" s="174">
        <v>5760000</v>
      </c>
      <c r="L3" s="175" t="s">
        <v>1077</v>
      </c>
    </row>
    <row r="4" spans="1:12">
      <c r="A4" s="40">
        <v>3</v>
      </c>
      <c r="B4" s="168" t="s">
        <v>1256</v>
      </c>
      <c r="C4" s="168" t="s">
        <v>1257</v>
      </c>
      <c r="D4" s="169">
        <v>250000</v>
      </c>
      <c r="E4" s="170">
        <v>207025</v>
      </c>
      <c r="F4" s="171">
        <v>43024</v>
      </c>
      <c r="G4" s="172" t="s">
        <v>1074</v>
      </c>
      <c r="H4" s="172" t="s">
        <v>1246</v>
      </c>
      <c r="I4" s="173">
        <v>150000</v>
      </c>
      <c r="J4" s="174">
        <v>57025</v>
      </c>
      <c r="K4" s="174">
        <v>0</v>
      </c>
      <c r="L4" s="175" t="s">
        <v>1069</v>
      </c>
    </row>
    <row r="5" spans="1:12">
      <c r="A5" s="40">
        <v>4</v>
      </c>
      <c r="B5" s="168" t="s">
        <v>1258</v>
      </c>
      <c r="C5" s="168" t="s">
        <v>1085</v>
      </c>
      <c r="D5" s="169">
        <v>9000</v>
      </c>
      <c r="E5" s="170">
        <v>9000</v>
      </c>
      <c r="F5" s="171" t="s">
        <v>2</v>
      </c>
      <c r="G5" s="172" t="s">
        <v>2</v>
      </c>
      <c r="H5" s="172" t="s">
        <v>2</v>
      </c>
      <c r="I5" s="173">
        <v>0</v>
      </c>
      <c r="J5" s="174">
        <v>9000</v>
      </c>
      <c r="K5" s="174">
        <v>0</v>
      </c>
      <c r="L5" s="175" t="s">
        <v>1069</v>
      </c>
    </row>
    <row r="6" spans="1:12">
      <c r="A6" s="40">
        <v>5</v>
      </c>
      <c r="B6" s="168" t="s">
        <v>1259</v>
      </c>
      <c r="C6" s="168" t="s">
        <v>1087</v>
      </c>
      <c r="D6" s="169">
        <v>38500</v>
      </c>
      <c r="E6" s="170">
        <v>0</v>
      </c>
      <c r="F6" s="171" t="s">
        <v>2</v>
      </c>
      <c r="G6" s="172" t="s">
        <v>2</v>
      </c>
      <c r="H6" s="172" t="s">
        <v>2</v>
      </c>
      <c r="I6" s="173">
        <v>0</v>
      </c>
      <c r="J6" s="174">
        <v>38500</v>
      </c>
      <c r="K6" s="174">
        <v>77000</v>
      </c>
      <c r="L6" s="175"/>
    </row>
    <row r="7" spans="1:12">
      <c r="A7" s="40">
        <v>6</v>
      </c>
      <c r="B7" s="168" t="s">
        <v>1088</v>
      </c>
      <c r="C7" s="168" t="s">
        <v>1089</v>
      </c>
      <c r="D7" s="169">
        <v>265000</v>
      </c>
      <c r="E7" s="170">
        <v>265000</v>
      </c>
      <c r="F7" s="171">
        <v>43205</v>
      </c>
      <c r="G7" s="172" t="s">
        <v>1074</v>
      </c>
      <c r="H7" s="172" t="s">
        <v>502</v>
      </c>
      <c r="I7" s="173">
        <v>265000</v>
      </c>
      <c r="J7" s="174">
        <v>0</v>
      </c>
      <c r="K7" s="174">
        <v>0</v>
      </c>
      <c r="L7" s="175" t="s">
        <v>1069</v>
      </c>
    </row>
    <row r="8" spans="1:12">
      <c r="A8" s="40">
        <v>7</v>
      </c>
      <c r="B8" s="168" t="s">
        <v>1090</v>
      </c>
      <c r="C8" s="168" t="s">
        <v>1091</v>
      </c>
      <c r="D8" s="169">
        <v>2000000</v>
      </c>
      <c r="E8" s="170">
        <v>1866600</v>
      </c>
      <c r="F8" s="171">
        <v>43150</v>
      </c>
      <c r="G8" s="172" t="s">
        <v>1074</v>
      </c>
      <c r="H8" s="172" t="s">
        <v>1246</v>
      </c>
      <c r="I8" s="173">
        <v>1877400</v>
      </c>
      <c r="J8" s="174">
        <v>-10800</v>
      </c>
      <c r="K8" s="174">
        <v>0</v>
      </c>
      <c r="L8" s="175" t="s">
        <v>1069</v>
      </c>
    </row>
    <row r="9" spans="1:12">
      <c r="A9" s="40">
        <v>8</v>
      </c>
      <c r="B9" s="168" t="s">
        <v>1260</v>
      </c>
      <c r="C9" s="168" t="s">
        <v>3</v>
      </c>
      <c r="D9" s="169">
        <v>500000</v>
      </c>
      <c r="E9" s="170">
        <v>500000</v>
      </c>
      <c r="F9" s="171" t="s">
        <v>2</v>
      </c>
      <c r="G9" s="172" t="s">
        <v>2</v>
      </c>
      <c r="H9" s="172" t="s">
        <v>2</v>
      </c>
      <c r="I9" s="173">
        <v>0</v>
      </c>
      <c r="J9" s="174">
        <f t="shared" si="0"/>
        <v>500000</v>
      </c>
      <c r="K9" s="174">
        <v>500000</v>
      </c>
      <c r="L9" s="175"/>
    </row>
    <row r="10" spans="1:12">
      <c r="A10" s="702">
        <v>9</v>
      </c>
      <c r="B10" s="799" t="s">
        <v>1129</v>
      </c>
      <c r="C10" s="799" t="s">
        <v>1094</v>
      </c>
      <c r="D10" s="801">
        <v>2044750</v>
      </c>
      <c r="E10" s="803">
        <v>2044750</v>
      </c>
      <c r="F10" s="171">
        <v>43024</v>
      </c>
      <c r="G10" s="172" t="s">
        <v>1074</v>
      </c>
      <c r="H10" s="172" t="s">
        <v>1246</v>
      </c>
      <c r="I10" s="173">
        <v>150000</v>
      </c>
      <c r="J10" s="174">
        <v>0</v>
      </c>
      <c r="K10" s="174">
        <v>0</v>
      </c>
      <c r="L10" s="175"/>
    </row>
    <row r="11" spans="1:12">
      <c r="A11" s="798"/>
      <c r="B11" s="800"/>
      <c r="C11" s="800"/>
      <c r="D11" s="802"/>
      <c r="E11" s="804"/>
      <c r="F11" s="171">
        <v>43106</v>
      </c>
      <c r="G11" s="172" t="s">
        <v>1074</v>
      </c>
      <c r="H11" s="172" t="s">
        <v>1247</v>
      </c>
      <c r="I11" s="173">
        <v>1500000</v>
      </c>
      <c r="J11" s="174">
        <v>0</v>
      </c>
      <c r="K11" s="174">
        <v>0</v>
      </c>
      <c r="L11" s="175"/>
    </row>
    <row r="12" spans="1:12">
      <c r="A12" s="703">
        <f t="shared" ref="A12:A19" si="1">ROW()-1</f>
        <v>11</v>
      </c>
      <c r="B12" s="793"/>
      <c r="C12" s="793"/>
      <c r="D12" s="795"/>
      <c r="E12" s="797"/>
      <c r="F12" s="171">
        <v>43205</v>
      </c>
      <c r="G12" s="172" t="s">
        <v>1074</v>
      </c>
      <c r="H12" s="172" t="s">
        <v>502</v>
      </c>
      <c r="I12" s="173">
        <v>295000</v>
      </c>
      <c r="J12" s="174">
        <v>99750</v>
      </c>
      <c r="K12" s="174">
        <v>779500</v>
      </c>
      <c r="L12" s="175"/>
    </row>
    <row r="13" spans="1:12">
      <c r="A13" s="40">
        <v>10</v>
      </c>
      <c r="B13" s="168" t="s">
        <v>1252</v>
      </c>
      <c r="C13" s="168" t="s">
        <v>1098</v>
      </c>
      <c r="D13" s="169">
        <v>300000</v>
      </c>
      <c r="E13" s="170">
        <v>440000</v>
      </c>
      <c r="F13" s="171">
        <v>43205</v>
      </c>
      <c r="G13" s="172" t="s">
        <v>1074</v>
      </c>
      <c r="H13" s="172" t="s">
        <v>502</v>
      </c>
      <c r="I13" s="173">
        <v>440000</v>
      </c>
      <c r="J13" s="174">
        <v>0</v>
      </c>
      <c r="K13" s="174">
        <v>440000</v>
      </c>
      <c r="L13" s="175"/>
    </row>
    <row r="14" spans="1:12" ht="16.899999999999999" customHeight="1">
      <c r="A14" s="791">
        <v>11</v>
      </c>
      <c r="B14" s="792" t="s">
        <v>1101</v>
      </c>
      <c r="C14" s="792" t="s">
        <v>1102</v>
      </c>
      <c r="D14" s="794">
        <v>1000000</v>
      </c>
      <c r="E14" s="796">
        <v>800000</v>
      </c>
      <c r="F14" s="171">
        <v>43072</v>
      </c>
      <c r="G14" s="172" t="s">
        <v>1074</v>
      </c>
      <c r="H14" s="172" t="s">
        <v>502</v>
      </c>
      <c r="I14" s="173">
        <v>300000</v>
      </c>
      <c r="J14" s="174">
        <v>0</v>
      </c>
      <c r="K14" s="174">
        <v>0</v>
      </c>
      <c r="L14" s="175" t="s">
        <v>1069</v>
      </c>
    </row>
    <row r="15" spans="1:12">
      <c r="A15" s="703">
        <f t="shared" si="1"/>
        <v>14</v>
      </c>
      <c r="B15" s="793"/>
      <c r="C15" s="793"/>
      <c r="D15" s="795"/>
      <c r="E15" s="797"/>
      <c r="F15" s="171">
        <v>43106</v>
      </c>
      <c r="G15" s="172" t="s">
        <v>1074</v>
      </c>
      <c r="H15" s="172" t="s">
        <v>1247</v>
      </c>
      <c r="I15" s="173">
        <v>500000</v>
      </c>
      <c r="J15" s="174">
        <v>0</v>
      </c>
      <c r="K15" s="174">
        <v>0</v>
      </c>
      <c r="L15" s="175" t="s">
        <v>1069</v>
      </c>
    </row>
    <row r="16" spans="1:12">
      <c r="A16" s="791">
        <v>12</v>
      </c>
      <c r="B16" s="792" t="s">
        <v>1103</v>
      </c>
      <c r="C16" s="792" t="s">
        <v>1104</v>
      </c>
      <c r="D16" s="794">
        <v>8000000</v>
      </c>
      <c r="E16" s="796">
        <v>8300000</v>
      </c>
      <c r="F16" s="171">
        <v>43074</v>
      </c>
      <c r="G16" s="172" t="s">
        <v>1074</v>
      </c>
      <c r="H16" s="172" t="s">
        <v>502</v>
      </c>
      <c r="I16" s="173">
        <v>500000</v>
      </c>
      <c r="J16" s="174">
        <v>0</v>
      </c>
      <c r="K16" s="174">
        <v>0</v>
      </c>
      <c r="L16" s="175" t="s">
        <v>1069</v>
      </c>
    </row>
    <row r="17" spans="1:12">
      <c r="A17" s="703">
        <f t="shared" si="1"/>
        <v>16</v>
      </c>
      <c r="B17" s="793"/>
      <c r="C17" s="793"/>
      <c r="D17" s="795"/>
      <c r="E17" s="797"/>
      <c r="F17" s="171">
        <v>43106</v>
      </c>
      <c r="G17" s="172" t="s">
        <v>1074</v>
      </c>
      <c r="H17" s="172" t="s">
        <v>1247</v>
      </c>
      <c r="I17" s="173">
        <v>7800000</v>
      </c>
      <c r="J17" s="174">
        <v>0</v>
      </c>
      <c r="K17" s="174">
        <v>0</v>
      </c>
      <c r="L17" s="175" t="s">
        <v>1069</v>
      </c>
    </row>
    <row r="18" spans="1:12">
      <c r="A18" s="791">
        <v>13</v>
      </c>
      <c r="B18" s="792" t="s">
        <v>1103</v>
      </c>
      <c r="C18" s="792" t="s">
        <v>1105</v>
      </c>
      <c r="D18" s="794">
        <v>3000000</v>
      </c>
      <c r="E18" s="796">
        <v>2800000</v>
      </c>
      <c r="F18" s="171">
        <v>43074</v>
      </c>
      <c r="G18" s="172" t="s">
        <v>1074</v>
      </c>
      <c r="H18" s="172" t="s">
        <v>502</v>
      </c>
      <c r="I18" s="173">
        <v>900000</v>
      </c>
      <c r="J18" s="174">
        <v>0</v>
      </c>
      <c r="K18" s="174">
        <v>0</v>
      </c>
      <c r="L18" s="175" t="s">
        <v>1069</v>
      </c>
    </row>
    <row r="19" spans="1:12">
      <c r="A19" s="703">
        <f t="shared" si="1"/>
        <v>18</v>
      </c>
      <c r="B19" s="793"/>
      <c r="C19" s="793"/>
      <c r="D19" s="795"/>
      <c r="E19" s="797"/>
      <c r="F19" s="171">
        <v>43106</v>
      </c>
      <c r="G19" s="172" t="s">
        <v>1074</v>
      </c>
      <c r="H19" s="172" t="s">
        <v>1247</v>
      </c>
      <c r="I19" s="173">
        <v>1900000</v>
      </c>
      <c r="J19" s="174">
        <v>0</v>
      </c>
      <c r="K19" s="174">
        <v>0</v>
      </c>
      <c r="L19" s="175" t="s">
        <v>1069</v>
      </c>
    </row>
    <row r="20" spans="1:12">
      <c r="A20" s="40">
        <v>14</v>
      </c>
      <c r="B20" s="168" t="s">
        <v>1110</v>
      </c>
      <c r="C20" s="168" t="s">
        <v>1111</v>
      </c>
      <c r="D20" s="169">
        <v>500000</v>
      </c>
      <c r="E20" s="170">
        <v>300000</v>
      </c>
      <c r="F20" s="171">
        <v>43072</v>
      </c>
      <c r="G20" s="172" t="s">
        <v>1074</v>
      </c>
      <c r="H20" s="172" t="s">
        <v>502</v>
      </c>
      <c r="I20" s="173">
        <v>300000</v>
      </c>
      <c r="J20" s="174">
        <f t="shared" ref="J20" si="2">E20-I20</f>
        <v>0</v>
      </c>
      <c r="K20" s="174">
        <v>0</v>
      </c>
      <c r="L20" s="175" t="s">
        <v>1069</v>
      </c>
    </row>
    <row r="21" spans="1:12">
      <c r="A21" s="40">
        <v>16</v>
      </c>
      <c r="B21" s="168" t="s">
        <v>1122</v>
      </c>
      <c r="C21" s="168" t="s">
        <v>1261</v>
      </c>
      <c r="D21" s="169">
        <v>7000000</v>
      </c>
      <c r="E21" s="170">
        <v>7008178</v>
      </c>
      <c r="F21" s="171">
        <v>43184</v>
      </c>
      <c r="G21" s="172" t="s">
        <v>1074</v>
      </c>
      <c r="H21" s="172" t="s">
        <v>1246</v>
      </c>
      <c r="I21" s="173">
        <v>5000000</v>
      </c>
      <c r="J21" s="174">
        <v>2008178</v>
      </c>
      <c r="K21" s="174">
        <v>0</v>
      </c>
      <c r="L21" s="175" t="s">
        <v>1069</v>
      </c>
    </row>
    <row r="22" spans="1:12">
      <c r="A22" s="40">
        <v>17</v>
      </c>
      <c r="B22" s="168" t="s">
        <v>1124</v>
      </c>
      <c r="C22" s="168" t="s">
        <v>1113</v>
      </c>
      <c r="D22" s="169">
        <v>1000000</v>
      </c>
      <c r="E22" s="170">
        <v>425000</v>
      </c>
      <c r="F22" s="171" t="s">
        <v>2</v>
      </c>
      <c r="G22" s="172" t="s">
        <v>2</v>
      </c>
      <c r="H22" s="172" t="s">
        <v>2</v>
      </c>
      <c r="I22" s="173">
        <v>0</v>
      </c>
      <c r="J22" s="174">
        <v>425000</v>
      </c>
      <c r="K22" s="174" t="s">
        <v>1113</v>
      </c>
      <c r="L22" s="175"/>
    </row>
    <row r="23" spans="1:12">
      <c r="A23" s="805" t="s">
        <v>1128</v>
      </c>
      <c r="B23" s="806"/>
      <c r="C23" s="807"/>
      <c r="D23" s="176">
        <f>SUM(D2:D22)</f>
        <v>33667250</v>
      </c>
      <c r="E23" s="177">
        <f>SUM(E2:E22)</f>
        <v>32725553</v>
      </c>
      <c r="F23" s="178" t="s">
        <v>2</v>
      </c>
      <c r="G23" s="179" t="s">
        <v>2</v>
      </c>
      <c r="H23" s="179" t="s">
        <v>2</v>
      </c>
      <c r="I23" s="177">
        <f>SUM(I2:I22)</f>
        <v>23877400</v>
      </c>
      <c r="J23" s="180">
        <f>SUM(J2:J22)</f>
        <v>8886653</v>
      </c>
      <c r="K23" s="180">
        <f>SUM(K2:K22)</f>
        <v>7556500</v>
      </c>
      <c r="L23" s="181"/>
    </row>
    <row r="38" ht="18" customHeight="1"/>
    <row r="39" ht="18" customHeight="1"/>
    <row r="40" ht="18" customHeight="1"/>
    <row r="41" ht="18" customHeight="1"/>
  </sheetData>
  <mergeCells count="21">
    <mergeCell ref="A23:C23"/>
    <mergeCell ref="A16:A17"/>
    <mergeCell ref="B16:B17"/>
    <mergeCell ref="C16:C17"/>
    <mergeCell ref="D16:D17"/>
    <mergeCell ref="E16:E17"/>
    <mergeCell ref="A18:A19"/>
    <mergeCell ref="B18:B19"/>
    <mergeCell ref="C18:C19"/>
    <mergeCell ref="D18:D19"/>
    <mergeCell ref="E18:E19"/>
    <mergeCell ref="A10:A12"/>
    <mergeCell ref="B10:B12"/>
    <mergeCell ref="C10:C12"/>
    <mergeCell ref="D10:D12"/>
    <mergeCell ref="E10:E12"/>
    <mergeCell ref="A14:A15"/>
    <mergeCell ref="B14:B15"/>
    <mergeCell ref="C14:C15"/>
    <mergeCell ref="D14:D15"/>
    <mergeCell ref="E14:E15"/>
  </mergeCells>
  <phoneticPr fontId="5" type="noConversion"/>
  <conditionalFormatting sqref="A2:A11">
    <cfRule type="expression" dxfId="40" priority="31">
      <formula>FIND("지불 완료",L2)</formula>
    </cfRule>
  </conditionalFormatting>
  <conditionalFormatting sqref="A13:A14 A20:A22">
    <cfRule type="expression" dxfId="39" priority="113">
      <formula>FIND("지불 완료",L13)</formula>
    </cfRule>
  </conditionalFormatting>
  <conditionalFormatting sqref="A16">
    <cfRule type="expression" dxfId="38" priority="23">
      <formula>FIND("지불 완료",L16)</formula>
    </cfRule>
  </conditionalFormatting>
  <conditionalFormatting sqref="A18">
    <cfRule type="expression" dxfId="37" priority="39">
      <formula>FIND("지불 완료",L18)</formula>
    </cfRule>
  </conditionalFormatting>
  <conditionalFormatting sqref="B2:B11">
    <cfRule type="expression" dxfId="36" priority="30">
      <formula>FIND("지불 완료",L2)</formula>
    </cfRule>
  </conditionalFormatting>
  <conditionalFormatting sqref="B13:B14 B20:B22">
    <cfRule type="expression" dxfId="35" priority="112">
      <formula>FIND("지불 완료",L13)</formula>
    </cfRule>
  </conditionalFormatting>
  <conditionalFormatting sqref="B16">
    <cfRule type="expression" dxfId="34" priority="22">
      <formula>FIND("지불 완료",L16)</formula>
    </cfRule>
  </conditionalFormatting>
  <conditionalFormatting sqref="B18">
    <cfRule type="expression" dxfId="33" priority="38">
      <formula>FIND("지불 완료",L18)</formula>
    </cfRule>
  </conditionalFormatting>
  <conditionalFormatting sqref="C2:C11">
    <cfRule type="expression" dxfId="32" priority="25">
      <formula>FIND("지불 완료",L2)</formula>
    </cfRule>
  </conditionalFormatting>
  <conditionalFormatting sqref="C13:C14">
    <cfRule type="expression" dxfId="31" priority="61">
      <formula>FIND("지불 완료",L13)</formula>
    </cfRule>
  </conditionalFormatting>
  <conditionalFormatting sqref="C16">
    <cfRule type="expression" dxfId="30" priority="17">
      <formula>FIND("지불 완료",L16)</formula>
    </cfRule>
  </conditionalFormatting>
  <conditionalFormatting sqref="C18">
    <cfRule type="expression" dxfId="29" priority="33">
      <formula>FIND("지불 완료",L18)</formula>
    </cfRule>
  </conditionalFormatting>
  <conditionalFormatting sqref="C20:C22">
    <cfRule type="expression" dxfId="28" priority="50">
      <formula>FIND("지불 완료",L20)</formula>
    </cfRule>
  </conditionalFormatting>
  <conditionalFormatting sqref="D2:D11">
    <cfRule type="expression" dxfId="27" priority="26">
      <formula>FIND("지불 완료",L2)</formula>
    </cfRule>
    <cfRule type="expression" dxfId="26" priority="28">
      <formula>FIND("지불 완료",#REF!)</formula>
    </cfRule>
  </conditionalFormatting>
  <conditionalFormatting sqref="D13:D14 D20:D22">
    <cfRule type="expression" dxfId="25" priority="62">
      <formula>FIND("지불 완료",L13)</formula>
    </cfRule>
  </conditionalFormatting>
  <conditionalFormatting sqref="D16">
    <cfRule type="expression" dxfId="24" priority="18">
      <formula>FIND("지불 완료",L16)</formula>
    </cfRule>
  </conditionalFormatting>
  <conditionalFormatting sqref="D18">
    <cfRule type="expression" dxfId="23" priority="34">
      <formula>FIND("지불 완료",L18)</formula>
    </cfRule>
  </conditionalFormatting>
  <conditionalFormatting sqref="D16:E16">
    <cfRule type="expression" dxfId="22" priority="20">
      <formula>FIND("지불 완료",#REF!)</formula>
    </cfRule>
  </conditionalFormatting>
  <conditionalFormatting sqref="D13:H14">
    <cfRule type="expression" dxfId="21" priority="76">
      <formula>FIND("지불 완료",#REF!)</formula>
    </cfRule>
  </conditionalFormatting>
  <conditionalFormatting sqref="D18:H18">
    <cfRule type="expression" dxfId="20" priority="36">
      <formula>FIND("지불 완료",#REF!)</formula>
    </cfRule>
  </conditionalFormatting>
  <conditionalFormatting sqref="D21:K22">
    <cfRule type="expression" dxfId="19" priority="51">
      <formula>FIND("지불 완료",#REF!)</formula>
    </cfRule>
  </conditionalFormatting>
  <conditionalFormatting sqref="E2:E11">
    <cfRule type="expression" dxfId="18" priority="24">
      <formula>FIND("지불 완료",L2)</formula>
    </cfRule>
  </conditionalFormatting>
  <conditionalFormatting sqref="E10:E11">
    <cfRule type="expression" dxfId="17" priority="29">
      <formula>FIND("지불 완료",#REF!)</formula>
    </cfRule>
  </conditionalFormatting>
  <conditionalFormatting sqref="E13:E14 E20:E22">
    <cfRule type="expression" dxfId="16" priority="48">
      <formula>FIND("지불 완료",L13)</formula>
    </cfRule>
  </conditionalFormatting>
  <conditionalFormatting sqref="E16">
    <cfRule type="expression" dxfId="15" priority="16">
      <formula>FIND("지불 완료",L16)</formula>
    </cfRule>
  </conditionalFormatting>
  <conditionalFormatting sqref="E18">
    <cfRule type="expression" dxfId="14" priority="32">
      <formula>FIND("지불 완료",L18)</formula>
    </cfRule>
  </conditionalFormatting>
  <conditionalFormatting sqref="E2:I9">
    <cfRule type="expression" dxfId="13" priority="93">
      <formula>FIND("지불 완료",#REF!)</formula>
    </cfRule>
  </conditionalFormatting>
  <conditionalFormatting sqref="F2:F22">
    <cfRule type="expression" dxfId="12" priority="4">
      <formula>FIND("지불 완료",L2)</formula>
    </cfRule>
  </conditionalFormatting>
  <conditionalFormatting sqref="F10:H12">
    <cfRule type="expression" dxfId="11" priority="8">
      <formula>FIND("지불 완료",#REF!)</formula>
    </cfRule>
  </conditionalFormatting>
  <conditionalFormatting sqref="F15:H17">
    <cfRule type="expression" dxfId="10" priority="14">
      <formula>FIND("지불 완료",#REF!)</formula>
    </cfRule>
  </conditionalFormatting>
  <conditionalFormatting sqref="F19:H19">
    <cfRule type="expression" dxfId="9" priority="43">
      <formula>FIND("지불 완료",#REF!)</formula>
    </cfRule>
  </conditionalFormatting>
  <conditionalFormatting sqref="F23:H23">
    <cfRule type="expression" dxfId="8" priority="108">
      <formula>FIND("지불 완료",#REF!)</formula>
    </cfRule>
  </conditionalFormatting>
  <conditionalFormatting sqref="G2:G22">
    <cfRule type="expression" dxfId="7" priority="3">
      <formula>FIND("지불 완료",L2)</formula>
    </cfRule>
  </conditionalFormatting>
  <conditionalFormatting sqref="H2:H22">
    <cfRule type="expression" dxfId="6" priority="2">
      <formula>FIND("지불 완료",L2)</formula>
    </cfRule>
  </conditionalFormatting>
  <conditionalFormatting sqref="I2:I22">
    <cfRule type="expression" dxfId="5" priority="5">
      <formula>FIND("지불 완료",L2)</formula>
    </cfRule>
  </conditionalFormatting>
  <conditionalFormatting sqref="I10:I19">
    <cfRule type="expression" dxfId="4" priority="9">
      <formula>FIND("지불 완료",#REF!)</formula>
    </cfRule>
  </conditionalFormatting>
  <conditionalFormatting sqref="J2:J22">
    <cfRule type="expression" dxfId="3" priority="1">
      <formula>FIND("지불 완료",L2)</formula>
    </cfRule>
  </conditionalFormatting>
  <conditionalFormatting sqref="J2:K19">
    <cfRule type="expression" dxfId="2" priority="10">
      <formula>FIND("지불 완료",#REF!)</formula>
    </cfRule>
  </conditionalFormatting>
  <conditionalFormatting sqref="K2:K22">
    <cfRule type="expression" dxfId="1" priority="6">
      <formula>FIND("지불 완료",L2)</formula>
    </cfRule>
  </conditionalFormatting>
  <conditionalFormatting sqref="L2:L22">
    <cfRule type="expression" dxfId="0" priority="7">
      <formula>FIND("지불 완료",L2)</formula>
    </cfRule>
  </conditionalFormatting>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0"/>
  <sheetViews>
    <sheetView zoomScale="115" zoomScaleNormal="115" workbookViewId="0">
      <selection activeCell="E8" sqref="E8"/>
    </sheetView>
  </sheetViews>
  <sheetFormatPr defaultColWidth="9" defaultRowHeight="13.5"/>
  <cols>
    <col min="1" max="1" width="5.5" style="4" customWidth="1"/>
    <col min="2" max="2" width="13.75" style="114" customWidth="1"/>
    <col min="3" max="3" width="31.375" style="58" customWidth="1"/>
    <col min="4" max="5" width="12.875" style="115" customWidth="1"/>
    <col min="6" max="6" width="10.375" style="58" bestFit="1" customWidth="1"/>
    <col min="7" max="7" width="21.375" style="58" bestFit="1" customWidth="1"/>
    <col min="8" max="8" width="10.375" style="58" bestFit="1" customWidth="1"/>
    <col min="9" max="9" width="47.375" style="117" customWidth="1"/>
    <col min="10" max="16384" width="9" style="107"/>
  </cols>
  <sheetData>
    <row r="1" spans="1:9" ht="33" customHeight="1">
      <c r="A1" s="562" t="s">
        <v>1262</v>
      </c>
      <c r="B1" s="562"/>
      <c r="C1" s="562"/>
      <c r="D1" s="562"/>
      <c r="E1" s="562"/>
      <c r="F1" s="562"/>
      <c r="G1" s="562"/>
      <c r="H1" s="562"/>
      <c r="I1" s="562"/>
    </row>
    <row r="2" spans="1:9" s="58" customFormat="1" ht="18" customHeight="1">
      <c r="A2" s="40" t="s">
        <v>490</v>
      </c>
      <c r="B2" s="109" t="s">
        <v>1139</v>
      </c>
      <c r="C2" s="109" t="s">
        <v>1050</v>
      </c>
      <c r="D2" s="112" t="s">
        <v>1140</v>
      </c>
      <c r="E2" s="112" t="s">
        <v>1141</v>
      </c>
      <c r="F2" s="109" t="s">
        <v>1142</v>
      </c>
      <c r="G2" s="109" t="s">
        <v>1143</v>
      </c>
      <c r="H2" s="109" t="s">
        <v>1145</v>
      </c>
      <c r="I2" s="109" t="s">
        <v>153</v>
      </c>
    </row>
    <row r="3" spans="1:9" s="58" customFormat="1" ht="18" customHeight="1">
      <c r="A3" s="40">
        <f>ROW()-2</f>
        <v>1</v>
      </c>
      <c r="B3" s="50">
        <v>43187</v>
      </c>
      <c r="C3" s="182" t="s">
        <v>1215</v>
      </c>
      <c r="D3" s="112">
        <v>700000</v>
      </c>
      <c r="E3" s="112">
        <f>7000000-D3</f>
        <v>6300000</v>
      </c>
      <c r="F3" s="109" t="s">
        <v>1047</v>
      </c>
      <c r="G3" s="109" t="s">
        <v>1148</v>
      </c>
      <c r="H3" s="109" t="s">
        <v>1149</v>
      </c>
      <c r="I3" s="182"/>
    </row>
    <row r="4" spans="1:9" s="58" customFormat="1" ht="18" customHeight="1">
      <c r="A4" s="40">
        <f t="shared" ref="A4:A10" si="0">ROW()-2</f>
        <v>2</v>
      </c>
      <c r="B4" s="50">
        <v>43192</v>
      </c>
      <c r="C4" s="182" t="s">
        <v>1263</v>
      </c>
      <c r="D4" s="112">
        <v>329000</v>
      </c>
      <c r="E4" s="112">
        <f>E3-D4</f>
        <v>5971000</v>
      </c>
      <c r="F4" s="109" t="s">
        <v>1264</v>
      </c>
      <c r="G4" s="109" t="s">
        <v>1265</v>
      </c>
      <c r="H4" s="109" t="s">
        <v>1149</v>
      </c>
      <c r="I4" s="109"/>
    </row>
    <row r="5" spans="1:9" s="58" customFormat="1" ht="18" customHeight="1">
      <c r="A5" s="40">
        <f t="shared" si="0"/>
        <v>3</v>
      </c>
      <c r="B5" s="50">
        <v>43192</v>
      </c>
      <c r="C5" s="182" t="s">
        <v>1266</v>
      </c>
      <c r="D5" s="112">
        <v>25000</v>
      </c>
      <c r="E5" s="112">
        <f t="shared" ref="E5:E10" si="1">E4-D5</f>
        <v>5946000</v>
      </c>
      <c r="F5" s="109" t="s">
        <v>1264</v>
      </c>
      <c r="G5" s="109" t="s">
        <v>1267</v>
      </c>
      <c r="H5" s="109" t="s">
        <v>1149</v>
      </c>
      <c r="I5" s="182" t="s">
        <v>1191</v>
      </c>
    </row>
    <row r="6" spans="1:9" s="58" customFormat="1" ht="81">
      <c r="A6" s="40">
        <f t="shared" si="0"/>
        <v>4</v>
      </c>
      <c r="B6" s="50">
        <v>43199</v>
      </c>
      <c r="C6" s="182" t="s">
        <v>1228</v>
      </c>
      <c r="D6" s="112">
        <v>2700000</v>
      </c>
      <c r="E6" s="112">
        <f t="shared" si="1"/>
        <v>3246000</v>
      </c>
      <c r="F6" s="109" t="s">
        <v>1047</v>
      </c>
      <c r="G6" s="109" t="s">
        <v>502</v>
      </c>
      <c r="H6" s="109" t="s">
        <v>1149</v>
      </c>
      <c r="I6" s="183" t="s">
        <v>1229</v>
      </c>
    </row>
    <row r="7" spans="1:9" s="58" customFormat="1" ht="18" customHeight="1">
      <c r="A7" s="40">
        <f t="shared" si="0"/>
        <v>5</v>
      </c>
      <c r="B7" s="50">
        <v>43204</v>
      </c>
      <c r="C7" s="182" t="s">
        <v>1228</v>
      </c>
      <c r="D7" s="112">
        <v>850000</v>
      </c>
      <c r="E7" s="112">
        <f t="shared" si="1"/>
        <v>2396000</v>
      </c>
      <c r="F7" s="109" t="s">
        <v>1047</v>
      </c>
      <c r="G7" s="109" t="s">
        <v>502</v>
      </c>
      <c r="H7" s="109" t="s">
        <v>70</v>
      </c>
      <c r="I7" s="182" t="s">
        <v>1231</v>
      </c>
    </row>
    <row r="8" spans="1:9" s="58" customFormat="1" ht="18" customHeight="1">
      <c r="A8" s="40">
        <f t="shared" si="0"/>
        <v>6</v>
      </c>
      <c r="B8" s="50">
        <v>43218</v>
      </c>
      <c r="C8" s="182" t="s">
        <v>1237</v>
      </c>
      <c r="D8" s="112">
        <v>302750</v>
      </c>
      <c r="E8" s="112">
        <f t="shared" si="1"/>
        <v>2093250</v>
      </c>
      <c r="F8" s="109" t="s">
        <v>1047</v>
      </c>
      <c r="G8" s="109" t="s">
        <v>1148</v>
      </c>
      <c r="H8" s="109"/>
      <c r="I8" s="109"/>
    </row>
    <row r="9" spans="1:9" s="58" customFormat="1" ht="18" customHeight="1">
      <c r="A9" s="40">
        <f t="shared" si="0"/>
        <v>7</v>
      </c>
      <c r="B9" s="50">
        <v>43220</v>
      </c>
      <c r="C9" s="182" t="s">
        <v>1238</v>
      </c>
      <c r="D9" s="112">
        <v>601428</v>
      </c>
      <c r="E9" s="112">
        <f t="shared" si="1"/>
        <v>1491822</v>
      </c>
      <c r="F9" s="109" t="s">
        <v>1047</v>
      </c>
      <c r="G9" s="109" t="s">
        <v>502</v>
      </c>
      <c r="H9" s="109"/>
      <c r="I9" s="182" t="s">
        <v>1191</v>
      </c>
    </row>
    <row r="10" spans="1:9" s="58" customFormat="1" ht="18" customHeight="1">
      <c r="A10" s="40">
        <f t="shared" si="0"/>
        <v>8</v>
      </c>
      <c r="B10" s="50">
        <v>43221</v>
      </c>
      <c r="C10" s="182" t="s">
        <v>502</v>
      </c>
      <c r="D10" s="112">
        <v>1500000</v>
      </c>
      <c r="E10" s="112">
        <f t="shared" si="1"/>
        <v>-8178</v>
      </c>
      <c r="F10" s="109" t="s">
        <v>1047</v>
      </c>
      <c r="G10" s="109" t="s">
        <v>502</v>
      </c>
      <c r="H10" s="109"/>
      <c r="I10" s="182" t="s">
        <v>1191</v>
      </c>
    </row>
  </sheetData>
  <mergeCells count="1">
    <mergeCell ref="A1:I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15B1-8B18-4D3A-817E-362CE319D540}">
  <dimension ref="A1:J53"/>
  <sheetViews>
    <sheetView zoomScale="115" zoomScaleNormal="115" workbookViewId="0">
      <selection activeCell="H8" sqref="H8:H14"/>
    </sheetView>
  </sheetViews>
  <sheetFormatPr defaultColWidth="9" defaultRowHeight="13.5"/>
  <cols>
    <col min="1" max="1" width="5.5" style="4" customWidth="1"/>
    <col min="2" max="2" width="13.75" style="114" customWidth="1"/>
    <col min="3" max="3" width="31.375" style="5" customWidth="1"/>
    <col min="4" max="4" width="21.875" style="58" customWidth="1"/>
    <col min="5" max="6" width="12.875" style="115" customWidth="1"/>
    <col min="7" max="7" width="10.375" style="58" bestFit="1" customWidth="1"/>
    <col min="8" max="8" width="21.375" style="5" bestFit="1" customWidth="1"/>
    <col min="9" max="9" width="10.375" style="5" bestFit="1" customWidth="1"/>
    <col min="10" max="10" width="33.75" style="514" customWidth="1"/>
    <col min="11" max="16384" width="9" style="4"/>
  </cols>
  <sheetData>
    <row r="1" spans="1:10" ht="33" customHeight="1">
      <c r="A1" s="808" t="s">
        <v>3477</v>
      </c>
      <c r="B1" s="808"/>
      <c r="C1" s="808"/>
      <c r="D1" s="808"/>
      <c r="E1" s="808"/>
      <c r="F1" s="808"/>
      <c r="G1" s="808"/>
      <c r="H1" s="808"/>
      <c r="I1" s="808"/>
      <c r="J1" s="808"/>
    </row>
    <row r="2" spans="1:10" s="5" customFormat="1" ht="18" customHeight="1">
      <c r="A2" s="142" t="s">
        <v>490</v>
      </c>
      <c r="B2" s="142" t="s">
        <v>1139</v>
      </c>
      <c r="C2" s="142" t="s">
        <v>3476</v>
      </c>
      <c r="D2" s="155" t="s">
        <v>1050</v>
      </c>
      <c r="E2" s="145" t="s">
        <v>1140</v>
      </c>
      <c r="F2" s="145" t="s">
        <v>1141</v>
      </c>
      <c r="G2" s="155" t="s">
        <v>1142</v>
      </c>
      <c r="H2" s="142" t="s">
        <v>3475</v>
      </c>
      <c r="I2" s="142" t="s">
        <v>3474</v>
      </c>
      <c r="J2" s="142" t="s">
        <v>3473</v>
      </c>
    </row>
    <row r="3" spans="1:10" s="5" customFormat="1" ht="18" customHeight="1">
      <c r="A3" s="142">
        <f t="shared" ref="A3:A34" si="0">ROW()-2</f>
        <v>1</v>
      </c>
      <c r="B3" s="156">
        <v>43141</v>
      </c>
      <c r="C3" s="515" t="s">
        <v>3472</v>
      </c>
      <c r="D3" s="155" t="s">
        <v>3463</v>
      </c>
      <c r="E3" s="145">
        <v>85000</v>
      </c>
      <c r="F3" s="145">
        <f>20000000-E3</f>
        <v>19915000</v>
      </c>
      <c r="G3" s="155" t="s">
        <v>1047</v>
      </c>
      <c r="H3" s="142" t="s">
        <v>3462</v>
      </c>
      <c r="I3" s="142" t="s">
        <v>1149</v>
      </c>
      <c r="J3" s="515" t="s">
        <v>3471</v>
      </c>
    </row>
    <row r="4" spans="1:10" s="5" customFormat="1" ht="18" customHeight="1">
      <c r="A4" s="142">
        <f t="shared" si="0"/>
        <v>2</v>
      </c>
      <c r="B4" s="156">
        <v>43198</v>
      </c>
      <c r="C4" s="515" t="s">
        <v>3470</v>
      </c>
      <c r="D4" s="155" t="s">
        <v>3463</v>
      </c>
      <c r="E4" s="145">
        <v>170000</v>
      </c>
      <c r="F4" s="145">
        <f t="shared" ref="F4:F35" si="1">F3-E4</f>
        <v>19745000</v>
      </c>
      <c r="G4" s="155" t="s">
        <v>1047</v>
      </c>
      <c r="H4" s="142" t="s">
        <v>3462</v>
      </c>
      <c r="I4" s="142"/>
      <c r="J4" s="515" t="s">
        <v>3469</v>
      </c>
    </row>
    <row r="5" spans="1:10" s="5" customFormat="1" ht="18" customHeight="1">
      <c r="A5" s="142">
        <f t="shared" si="0"/>
        <v>3</v>
      </c>
      <c r="B5" s="156">
        <v>43350</v>
      </c>
      <c r="C5" s="515" t="s">
        <v>3468</v>
      </c>
      <c r="D5" s="155" t="s">
        <v>3467</v>
      </c>
      <c r="E5" s="145">
        <v>91140</v>
      </c>
      <c r="F5" s="145">
        <f t="shared" si="1"/>
        <v>19653860</v>
      </c>
      <c r="G5" s="155" t="s">
        <v>1047</v>
      </c>
      <c r="H5" s="142" t="s">
        <v>3466</v>
      </c>
      <c r="I5" s="142"/>
      <c r="J5" s="515"/>
    </row>
    <row r="6" spans="1:10" s="5" customFormat="1" ht="18" customHeight="1">
      <c r="A6" s="142">
        <f t="shared" si="0"/>
        <v>4</v>
      </c>
      <c r="B6" s="156">
        <v>43401</v>
      </c>
      <c r="C6" s="515" t="s">
        <v>3465</v>
      </c>
      <c r="D6" s="155" t="s">
        <v>3463</v>
      </c>
      <c r="E6" s="145">
        <v>2800000</v>
      </c>
      <c r="F6" s="145">
        <f t="shared" si="1"/>
        <v>16853860</v>
      </c>
      <c r="G6" s="155" t="s">
        <v>1047</v>
      </c>
      <c r="H6" s="142" t="s">
        <v>3462</v>
      </c>
      <c r="I6" s="142"/>
      <c r="J6" s="515" t="s">
        <v>3461</v>
      </c>
    </row>
    <row r="7" spans="1:10" s="5" customFormat="1" ht="18" customHeight="1">
      <c r="A7" s="142">
        <f t="shared" si="0"/>
        <v>5</v>
      </c>
      <c r="B7" s="156">
        <v>43401</v>
      </c>
      <c r="C7" s="515" t="s">
        <v>3464</v>
      </c>
      <c r="D7" s="155" t="s">
        <v>3463</v>
      </c>
      <c r="E7" s="145">
        <v>595000</v>
      </c>
      <c r="F7" s="145">
        <f t="shared" si="1"/>
        <v>16258860</v>
      </c>
      <c r="G7" s="155" t="s">
        <v>1047</v>
      </c>
      <c r="H7" s="142" t="s">
        <v>3462</v>
      </c>
      <c r="I7" s="142"/>
      <c r="J7" s="515" t="s">
        <v>3461</v>
      </c>
    </row>
    <row r="8" spans="1:10" s="5" customFormat="1" ht="18" customHeight="1">
      <c r="A8" s="142">
        <f t="shared" si="0"/>
        <v>6</v>
      </c>
      <c r="B8" s="156">
        <v>43438</v>
      </c>
      <c r="C8" s="515" t="s">
        <v>3460</v>
      </c>
      <c r="D8" s="155" t="s">
        <v>3451</v>
      </c>
      <c r="E8" s="145">
        <v>1400000</v>
      </c>
      <c r="F8" s="145">
        <f t="shared" si="1"/>
        <v>14858860</v>
      </c>
      <c r="G8" s="809" t="s">
        <v>1062</v>
      </c>
      <c r="H8" s="791" t="s">
        <v>3459</v>
      </c>
      <c r="I8" s="791"/>
      <c r="J8" s="812" t="s">
        <v>3458</v>
      </c>
    </row>
    <row r="9" spans="1:10" s="5" customFormat="1" ht="18" customHeight="1">
      <c r="A9" s="142">
        <f t="shared" si="0"/>
        <v>7</v>
      </c>
      <c r="B9" s="156">
        <v>43438</v>
      </c>
      <c r="C9" s="515" t="s">
        <v>3457</v>
      </c>
      <c r="D9" s="155" t="s">
        <v>3451</v>
      </c>
      <c r="E9" s="145">
        <v>1100000</v>
      </c>
      <c r="F9" s="145">
        <f t="shared" si="1"/>
        <v>13758860</v>
      </c>
      <c r="G9" s="810"/>
      <c r="H9" s="798"/>
      <c r="I9" s="798"/>
      <c r="J9" s="813"/>
    </row>
    <row r="10" spans="1:10" s="5" customFormat="1" ht="18" customHeight="1">
      <c r="A10" s="142">
        <f t="shared" si="0"/>
        <v>8</v>
      </c>
      <c r="B10" s="156">
        <v>43438</v>
      </c>
      <c r="C10" s="515" t="s">
        <v>3456</v>
      </c>
      <c r="D10" s="155" t="s">
        <v>3451</v>
      </c>
      <c r="E10" s="145">
        <v>1680000</v>
      </c>
      <c r="F10" s="145">
        <f t="shared" si="1"/>
        <v>12078860</v>
      </c>
      <c r="G10" s="810"/>
      <c r="H10" s="798"/>
      <c r="I10" s="798"/>
      <c r="J10" s="813"/>
    </row>
    <row r="11" spans="1:10" ht="18" customHeight="1">
      <c r="A11" s="142">
        <f t="shared" si="0"/>
        <v>9</v>
      </c>
      <c r="B11" s="156">
        <v>43438</v>
      </c>
      <c r="C11" s="515" t="s">
        <v>3455</v>
      </c>
      <c r="D11" s="155" t="s">
        <v>3451</v>
      </c>
      <c r="E11" s="145">
        <v>2060000</v>
      </c>
      <c r="F11" s="145">
        <f t="shared" si="1"/>
        <v>10018860</v>
      </c>
      <c r="G11" s="810"/>
      <c r="H11" s="798"/>
      <c r="I11" s="798"/>
      <c r="J11" s="813"/>
    </row>
    <row r="12" spans="1:10" ht="18" customHeight="1">
      <c r="A12" s="142">
        <f t="shared" si="0"/>
        <v>10</v>
      </c>
      <c r="B12" s="156">
        <v>43438</v>
      </c>
      <c r="C12" s="515" t="s">
        <v>3454</v>
      </c>
      <c r="D12" s="155" t="s">
        <v>3451</v>
      </c>
      <c r="E12" s="145">
        <v>3250000</v>
      </c>
      <c r="F12" s="145">
        <f t="shared" si="1"/>
        <v>6768860</v>
      </c>
      <c r="G12" s="810"/>
      <c r="H12" s="798"/>
      <c r="I12" s="798"/>
      <c r="J12" s="813"/>
    </row>
    <row r="13" spans="1:10" ht="18" customHeight="1">
      <c r="A13" s="142">
        <f t="shared" si="0"/>
        <v>11</v>
      </c>
      <c r="B13" s="156">
        <v>43438</v>
      </c>
      <c r="C13" s="515" t="s">
        <v>3453</v>
      </c>
      <c r="D13" s="155" t="s">
        <v>3451</v>
      </c>
      <c r="E13" s="145">
        <v>910000</v>
      </c>
      <c r="F13" s="145">
        <f t="shared" si="1"/>
        <v>5858860</v>
      </c>
      <c r="G13" s="810"/>
      <c r="H13" s="798"/>
      <c r="I13" s="798"/>
      <c r="J13" s="813"/>
    </row>
    <row r="14" spans="1:10" ht="18" customHeight="1">
      <c r="A14" s="142">
        <f t="shared" si="0"/>
        <v>12</v>
      </c>
      <c r="B14" s="156">
        <v>43438</v>
      </c>
      <c r="C14" s="515" t="s">
        <v>3452</v>
      </c>
      <c r="D14" s="155" t="s">
        <v>3451</v>
      </c>
      <c r="E14" s="145">
        <v>300000</v>
      </c>
      <c r="F14" s="145">
        <f t="shared" si="1"/>
        <v>5558860</v>
      </c>
      <c r="G14" s="811"/>
      <c r="H14" s="703"/>
      <c r="I14" s="703"/>
      <c r="J14" s="814"/>
    </row>
    <row r="15" spans="1:10" ht="18" customHeight="1">
      <c r="A15" s="142">
        <f t="shared" si="0"/>
        <v>13</v>
      </c>
      <c r="B15" s="156">
        <v>43438</v>
      </c>
      <c r="C15" s="515" t="s">
        <v>3450</v>
      </c>
      <c r="D15" s="155" t="s">
        <v>3449</v>
      </c>
      <c r="E15" s="145">
        <v>119000</v>
      </c>
      <c r="F15" s="145">
        <f t="shared" si="1"/>
        <v>5439860</v>
      </c>
      <c r="G15" s="155" t="s">
        <v>1062</v>
      </c>
      <c r="H15" s="142" t="s">
        <v>9</v>
      </c>
      <c r="I15" s="142"/>
      <c r="J15" s="515"/>
    </row>
    <row r="16" spans="1:10" ht="18" customHeight="1">
      <c r="A16" s="142">
        <f t="shared" si="0"/>
        <v>14</v>
      </c>
      <c r="B16" s="156"/>
      <c r="C16" s="515"/>
      <c r="D16" s="155"/>
      <c r="E16" s="145"/>
      <c r="F16" s="145">
        <f t="shared" si="1"/>
        <v>5439860</v>
      </c>
      <c r="G16" s="155"/>
      <c r="H16" s="142"/>
      <c r="I16" s="142"/>
      <c r="J16" s="515"/>
    </row>
    <row r="17" spans="1:10" ht="18" customHeight="1">
      <c r="A17" s="142">
        <f t="shared" si="0"/>
        <v>15</v>
      </c>
      <c r="B17" s="156"/>
      <c r="C17" s="515"/>
      <c r="D17" s="155"/>
      <c r="E17" s="145"/>
      <c r="F17" s="145">
        <f t="shared" si="1"/>
        <v>5439860</v>
      </c>
      <c r="G17" s="155"/>
      <c r="H17" s="142"/>
      <c r="I17" s="142"/>
      <c r="J17" s="515"/>
    </row>
    <row r="18" spans="1:10" ht="18" customHeight="1">
      <c r="A18" s="142">
        <f t="shared" si="0"/>
        <v>16</v>
      </c>
      <c r="B18" s="156"/>
      <c r="C18" s="515"/>
      <c r="D18" s="155"/>
      <c r="E18" s="145"/>
      <c r="F18" s="145">
        <f t="shared" si="1"/>
        <v>5439860</v>
      </c>
      <c r="G18" s="155"/>
      <c r="H18" s="142"/>
      <c r="I18" s="142"/>
      <c r="J18" s="515"/>
    </row>
    <row r="19" spans="1:10" ht="18" customHeight="1">
      <c r="A19" s="142">
        <f t="shared" si="0"/>
        <v>17</v>
      </c>
      <c r="B19" s="156"/>
      <c r="C19" s="515"/>
      <c r="D19" s="155"/>
      <c r="E19" s="145"/>
      <c r="F19" s="145">
        <f t="shared" si="1"/>
        <v>5439860</v>
      </c>
      <c r="G19" s="155"/>
      <c r="H19" s="142"/>
      <c r="I19" s="142"/>
      <c r="J19" s="515"/>
    </row>
    <row r="20" spans="1:10" ht="18" customHeight="1">
      <c r="A20" s="142">
        <f t="shared" si="0"/>
        <v>18</v>
      </c>
      <c r="B20" s="156"/>
      <c r="C20" s="515"/>
      <c r="D20" s="155"/>
      <c r="E20" s="145"/>
      <c r="F20" s="145">
        <f t="shared" si="1"/>
        <v>5439860</v>
      </c>
      <c r="G20" s="155"/>
      <c r="H20" s="142"/>
      <c r="I20" s="142"/>
      <c r="J20" s="515"/>
    </row>
    <row r="21" spans="1:10" ht="18" customHeight="1">
      <c r="A21" s="142">
        <f t="shared" si="0"/>
        <v>19</v>
      </c>
      <c r="B21" s="156"/>
      <c r="C21" s="515"/>
      <c r="D21" s="155"/>
      <c r="E21" s="145"/>
      <c r="F21" s="145">
        <f t="shared" si="1"/>
        <v>5439860</v>
      </c>
      <c r="G21" s="155"/>
      <c r="H21" s="142"/>
      <c r="I21" s="142"/>
      <c r="J21" s="515"/>
    </row>
    <row r="22" spans="1:10" ht="18" customHeight="1">
      <c r="A22" s="142">
        <f t="shared" si="0"/>
        <v>20</v>
      </c>
      <c r="B22" s="156"/>
      <c r="C22" s="515"/>
      <c r="D22" s="155"/>
      <c r="E22" s="145"/>
      <c r="F22" s="145">
        <f t="shared" si="1"/>
        <v>5439860</v>
      </c>
      <c r="G22" s="155"/>
      <c r="H22" s="142"/>
      <c r="I22" s="142"/>
      <c r="J22" s="515"/>
    </row>
    <row r="23" spans="1:10" ht="18" customHeight="1">
      <c r="A23" s="142">
        <f t="shared" si="0"/>
        <v>21</v>
      </c>
      <c r="B23" s="156"/>
      <c r="C23" s="515"/>
      <c r="D23" s="155"/>
      <c r="E23" s="145"/>
      <c r="F23" s="145">
        <f t="shared" si="1"/>
        <v>5439860</v>
      </c>
      <c r="G23" s="155"/>
      <c r="H23" s="142"/>
      <c r="I23" s="142"/>
      <c r="J23" s="515"/>
    </row>
    <row r="24" spans="1:10" ht="18" customHeight="1">
      <c r="A24" s="142">
        <f t="shared" si="0"/>
        <v>22</v>
      </c>
      <c r="B24" s="156"/>
      <c r="C24" s="515"/>
      <c r="D24" s="155"/>
      <c r="E24" s="145"/>
      <c r="F24" s="145">
        <f t="shared" si="1"/>
        <v>5439860</v>
      </c>
      <c r="G24" s="155"/>
      <c r="H24" s="142"/>
      <c r="I24" s="142"/>
      <c r="J24" s="515"/>
    </row>
    <row r="25" spans="1:10" ht="18" customHeight="1">
      <c r="A25" s="142">
        <f t="shared" si="0"/>
        <v>23</v>
      </c>
      <c r="B25" s="156"/>
      <c r="C25" s="515"/>
      <c r="D25" s="155"/>
      <c r="E25" s="145"/>
      <c r="F25" s="145">
        <f t="shared" si="1"/>
        <v>5439860</v>
      </c>
      <c r="G25" s="155"/>
      <c r="H25" s="142"/>
      <c r="I25" s="142"/>
      <c r="J25" s="515"/>
    </row>
    <row r="26" spans="1:10" ht="18" customHeight="1">
      <c r="A26" s="142">
        <f t="shared" si="0"/>
        <v>24</v>
      </c>
      <c r="B26" s="156"/>
      <c r="C26" s="515"/>
      <c r="D26" s="155"/>
      <c r="E26" s="145"/>
      <c r="F26" s="145">
        <f t="shared" si="1"/>
        <v>5439860</v>
      </c>
      <c r="G26" s="155"/>
      <c r="H26" s="142"/>
      <c r="I26" s="142"/>
      <c r="J26" s="515"/>
    </row>
    <row r="27" spans="1:10" ht="18" customHeight="1">
      <c r="A27" s="142">
        <f t="shared" si="0"/>
        <v>25</v>
      </c>
      <c r="B27" s="156"/>
      <c r="C27" s="515"/>
      <c r="D27" s="155"/>
      <c r="E27" s="145"/>
      <c r="F27" s="145">
        <f t="shared" si="1"/>
        <v>5439860</v>
      </c>
      <c r="G27" s="155"/>
      <c r="H27" s="142"/>
      <c r="I27" s="142"/>
      <c r="J27" s="515"/>
    </row>
    <row r="28" spans="1:10" ht="18" customHeight="1">
      <c r="A28" s="142">
        <f t="shared" si="0"/>
        <v>26</v>
      </c>
      <c r="B28" s="156"/>
      <c r="C28" s="515"/>
      <c r="D28" s="155"/>
      <c r="E28" s="145"/>
      <c r="F28" s="145">
        <f t="shared" si="1"/>
        <v>5439860</v>
      </c>
      <c r="G28" s="155"/>
      <c r="H28" s="142"/>
      <c r="I28" s="142"/>
      <c r="J28" s="515"/>
    </row>
    <row r="29" spans="1:10" ht="18" customHeight="1">
      <c r="A29" s="142">
        <f t="shared" si="0"/>
        <v>27</v>
      </c>
      <c r="B29" s="156"/>
      <c r="C29" s="515"/>
      <c r="D29" s="155"/>
      <c r="E29" s="145"/>
      <c r="F29" s="145">
        <f t="shared" si="1"/>
        <v>5439860</v>
      </c>
      <c r="G29" s="155"/>
      <c r="H29" s="142"/>
      <c r="I29" s="142"/>
      <c r="J29" s="515"/>
    </row>
    <row r="30" spans="1:10" ht="18" customHeight="1">
      <c r="A30" s="142">
        <f t="shared" si="0"/>
        <v>28</v>
      </c>
      <c r="B30" s="156"/>
      <c r="C30" s="515"/>
      <c r="D30" s="155"/>
      <c r="E30" s="145"/>
      <c r="F30" s="145">
        <f t="shared" si="1"/>
        <v>5439860</v>
      </c>
      <c r="G30" s="155"/>
      <c r="H30" s="142"/>
      <c r="I30" s="142"/>
      <c r="J30" s="515"/>
    </row>
    <row r="31" spans="1:10" ht="18" customHeight="1">
      <c r="A31" s="142">
        <f t="shared" si="0"/>
        <v>29</v>
      </c>
      <c r="B31" s="156"/>
      <c r="C31" s="515"/>
      <c r="D31" s="155"/>
      <c r="E31" s="145"/>
      <c r="F31" s="145">
        <f t="shared" si="1"/>
        <v>5439860</v>
      </c>
      <c r="G31" s="155"/>
      <c r="H31" s="142"/>
      <c r="I31" s="142"/>
      <c r="J31" s="515"/>
    </row>
    <row r="32" spans="1:10" ht="18" customHeight="1">
      <c r="A32" s="142">
        <f t="shared" si="0"/>
        <v>30</v>
      </c>
      <c r="B32" s="156"/>
      <c r="C32" s="515"/>
      <c r="D32" s="155"/>
      <c r="E32" s="145"/>
      <c r="F32" s="145">
        <f t="shared" si="1"/>
        <v>5439860</v>
      </c>
      <c r="G32" s="155"/>
      <c r="H32" s="142"/>
      <c r="I32" s="142"/>
      <c r="J32" s="515"/>
    </row>
    <row r="33" spans="1:10" ht="18" customHeight="1">
      <c r="A33" s="142">
        <f t="shared" si="0"/>
        <v>31</v>
      </c>
      <c r="B33" s="156"/>
      <c r="C33" s="515"/>
      <c r="D33" s="155"/>
      <c r="E33" s="145"/>
      <c r="F33" s="145">
        <f t="shared" si="1"/>
        <v>5439860</v>
      </c>
      <c r="G33" s="155"/>
      <c r="H33" s="142"/>
      <c r="I33" s="142"/>
      <c r="J33" s="515"/>
    </row>
    <row r="34" spans="1:10" ht="18" customHeight="1">
      <c r="A34" s="142">
        <f t="shared" si="0"/>
        <v>32</v>
      </c>
      <c r="B34" s="156"/>
      <c r="C34" s="515"/>
      <c r="D34" s="155"/>
      <c r="E34" s="145"/>
      <c r="F34" s="145">
        <f t="shared" si="1"/>
        <v>5439860</v>
      </c>
      <c r="G34" s="155"/>
      <c r="H34" s="142"/>
      <c r="I34" s="142"/>
      <c r="J34" s="515"/>
    </row>
    <row r="35" spans="1:10" ht="18" customHeight="1">
      <c r="A35" s="142">
        <f t="shared" ref="A35:A53" si="2">ROW()-2</f>
        <v>33</v>
      </c>
      <c r="B35" s="156"/>
      <c r="C35" s="515"/>
      <c r="D35" s="155"/>
      <c r="E35" s="145"/>
      <c r="F35" s="145">
        <f t="shared" si="1"/>
        <v>5439860</v>
      </c>
      <c r="G35" s="155"/>
      <c r="H35" s="142"/>
      <c r="I35" s="142"/>
      <c r="J35" s="515"/>
    </row>
    <row r="36" spans="1:10" ht="18" customHeight="1">
      <c r="A36" s="142">
        <f t="shared" si="2"/>
        <v>34</v>
      </c>
      <c r="B36" s="156"/>
      <c r="C36" s="515"/>
      <c r="D36" s="155"/>
      <c r="E36" s="145"/>
      <c r="F36" s="145">
        <f t="shared" ref="F36:F53" si="3">F35-E36</f>
        <v>5439860</v>
      </c>
      <c r="G36" s="155"/>
      <c r="H36" s="142"/>
      <c r="I36" s="142"/>
      <c r="J36" s="515"/>
    </row>
    <row r="37" spans="1:10" ht="18" customHeight="1">
      <c r="A37" s="142">
        <f t="shared" si="2"/>
        <v>35</v>
      </c>
      <c r="B37" s="156"/>
      <c r="C37" s="515"/>
      <c r="D37" s="155"/>
      <c r="E37" s="145"/>
      <c r="F37" s="145">
        <f t="shared" si="3"/>
        <v>5439860</v>
      </c>
      <c r="G37" s="155"/>
      <c r="H37" s="142"/>
      <c r="I37" s="142"/>
      <c r="J37" s="515"/>
    </row>
    <row r="38" spans="1:10" ht="18" customHeight="1">
      <c r="A38" s="142">
        <f t="shared" si="2"/>
        <v>36</v>
      </c>
      <c r="B38" s="156"/>
      <c r="C38" s="515"/>
      <c r="D38" s="155"/>
      <c r="E38" s="145"/>
      <c r="F38" s="145">
        <f t="shared" si="3"/>
        <v>5439860</v>
      </c>
      <c r="G38" s="155"/>
      <c r="H38" s="142"/>
      <c r="I38" s="142"/>
      <c r="J38" s="515"/>
    </row>
    <row r="39" spans="1:10" ht="18" customHeight="1">
      <c r="A39" s="142">
        <f t="shared" si="2"/>
        <v>37</v>
      </c>
      <c r="B39" s="156"/>
      <c r="C39" s="515"/>
      <c r="D39" s="155"/>
      <c r="E39" s="145"/>
      <c r="F39" s="145">
        <f t="shared" si="3"/>
        <v>5439860</v>
      </c>
      <c r="G39" s="155"/>
      <c r="H39" s="142"/>
      <c r="I39" s="142"/>
      <c r="J39" s="515"/>
    </row>
    <row r="40" spans="1:10" ht="18" customHeight="1">
      <c r="A40" s="142">
        <f t="shared" si="2"/>
        <v>38</v>
      </c>
      <c r="B40" s="156"/>
      <c r="C40" s="515"/>
      <c r="D40" s="155"/>
      <c r="E40" s="145"/>
      <c r="F40" s="145">
        <f t="shared" si="3"/>
        <v>5439860</v>
      </c>
      <c r="G40" s="155"/>
      <c r="H40" s="142"/>
      <c r="I40" s="142"/>
      <c r="J40" s="515"/>
    </row>
    <row r="41" spans="1:10" ht="18" customHeight="1">
      <c r="A41" s="142">
        <f t="shared" si="2"/>
        <v>39</v>
      </c>
      <c r="B41" s="156"/>
      <c r="C41" s="515"/>
      <c r="D41" s="155"/>
      <c r="E41" s="145"/>
      <c r="F41" s="145">
        <f t="shared" si="3"/>
        <v>5439860</v>
      </c>
      <c r="G41" s="155"/>
      <c r="H41" s="142"/>
      <c r="I41" s="142"/>
      <c r="J41" s="515"/>
    </row>
    <row r="42" spans="1:10" ht="18" customHeight="1">
      <c r="A42" s="142">
        <f t="shared" si="2"/>
        <v>40</v>
      </c>
      <c r="B42" s="156"/>
      <c r="C42" s="515"/>
      <c r="D42" s="155"/>
      <c r="E42" s="145"/>
      <c r="F42" s="145">
        <f t="shared" si="3"/>
        <v>5439860</v>
      </c>
      <c r="G42" s="155"/>
      <c r="H42" s="142"/>
      <c r="I42" s="142"/>
      <c r="J42" s="515"/>
    </row>
    <row r="43" spans="1:10" ht="18" customHeight="1">
      <c r="A43" s="142">
        <f t="shared" si="2"/>
        <v>41</v>
      </c>
      <c r="B43" s="156"/>
      <c r="C43" s="515"/>
      <c r="D43" s="155"/>
      <c r="E43" s="145"/>
      <c r="F43" s="145">
        <f t="shared" si="3"/>
        <v>5439860</v>
      </c>
      <c r="G43" s="155"/>
      <c r="H43" s="142"/>
      <c r="I43" s="142"/>
      <c r="J43" s="515"/>
    </row>
    <row r="44" spans="1:10" ht="18" customHeight="1">
      <c r="A44" s="142">
        <f t="shared" si="2"/>
        <v>42</v>
      </c>
      <c r="B44" s="156"/>
      <c r="C44" s="515"/>
      <c r="D44" s="155"/>
      <c r="E44" s="145"/>
      <c r="F44" s="145">
        <f t="shared" si="3"/>
        <v>5439860</v>
      </c>
      <c r="G44" s="155"/>
      <c r="H44" s="142"/>
      <c r="I44" s="142"/>
      <c r="J44" s="515"/>
    </row>
    <row r="45" spans="1:10" ht="18" customHeight="1">
      <c r="A45" s="142">
        <f t="shared" si="2"/>
        <v>43</v>
      </c>
      <c r="B45" s="156"/>
      <c r="C45" s="515"/>
      <c r="D45" s="155"/>
      <c r="E45" s="145"/>
      <c r="F45" s="145">
        <f t="shared" si="3"/>
        <v>5439860</v>
      </c>
      <c r="G45" s="155"/>
      <c r="H45" s="142"/>
      <c r="I45" s="142"/>
      <c r="J45" s="515"/>
    </row>
    <row r="46" spans="1:10" ht="18" customHeight="1">
      <c r="A46" s="142">
        <f t="shared" si="2"/>
        <v>44</v>
      </c>
      <c r="B46" s="156"/>
      <c r="C46" s="515"/>
      <c r="D46" s="155"/>
      <c r="E46" s="145"/>
      <c r="F46" s="145">
        <f t="shared" si="3"/>
        <v>5439860</v>
      </c>
      <c r="G46" s="155"/>
      <c r="H46" s="142"/>
      <c r="I46" s="142"/>
      <c r="J46" s="515"/>
    </row>
    <row r="47" spans="1:10" ht="18" customHeight="1">
      <c r="A47" s="142">
        <f t="shared" si="2"/>
        <v>45</v>
      </c>
      <c r="B47" s="156"/>
      <c r="C47" s="515"/>
      <c r="D47" s="155"/>
      <c r="E47" s="145"/>
      <c r="F47" s="145">
        <f t="shared" si="3"/>
        <v>5439860</v>
      </c>
      <c r="G47" s="155"/>
      <c r="H47" s="142"/>
      <c r="I47" s="142"/>
      <c r="J47" s="515"/>
    </row>
    <row r="48" spans="1:10" ht="18" customHeight="1">
      <c r="A48" s="142">
        <f t="shared" si="2"/>
        <v>46</v>
      </c>
      <c r="B48" s="156"/>
      <c r="C48" s="515"/>
      <c r="D48" s="155"/>
      <c r="E48" s="145"/>
      <c r="F48" s="145">
        <f t="shared" si="3"/>
        <v>5439860</v>
      </c>
      <c r="G48" s="155"/>
      <c r="H48" s="142"/>
      <c r="I48" s="142"/>
      <c r="J48" s="515"/>
    </row>
    <row r="49" spans="1:10" ht="18" customHeight="1">
      <c r="A49" s="142">
        <f t="shared" si="2"/>
        <v>47</v>
      </c>
      <c r="B49" s="156"/>
      <c r="C49" s="515"/>
      <c r="D49" s="155"/>
      <c r="E49" s="145"/>
      <c r="F49" s="145">
        <f t="shared" si="3"/>
        <v>5439860</v>
      </c>
      <c r="G49" s="155"/>
      <c r="H49" s="142"/>
      <c r="I49" s="142"/>
      <c r="J49" s="515"/>
    </row>
    <row r="50" spans="1:10" ht="18" customHeight="1">
      <c r="A50" s="142">
        <f t="shared" si="2"/>
        <v>48</v>
      </c>
      <c r="B50" s="156"/>
      <c r="C50" s="515"/>
      <c r="D50" s="155"/>
      <c r="E50" s="145"/>
      <c r="F50" s="145">
        <f t="shared" si="3"/>
        <v>5439860</v>
      </c>
      <c r="G50" s="155"/>
      <c r="H50" s="142"/>
      <c r="I50" s="142"/>
      <c r="J50" s="515"/>
    </row>
    <row r="51" spans="1:10" ht="18" customHeight="1">
      <c r="A51" s="142">
        <f t="shared" si="2"/>
        <v>49</v>
      </c>
      <c r="B51" s="156"/>
      <c r="C51" s="515"/>
      <c r="D51" s="155"/>
      <c r="E51" s="145"/>
      <c r="F51" s="145">
        <f t="shared" si="3"/>
        <v>5439860</v>
      </c>
      <c r="G51" s="155"/>
      <c r="H51" s="142"/>
      <c r="I51" s="142"/>
      <c r="J51" s="515"/>
    </row>
    <row r="52" spans="1:10" ht="18" customHeight="1">
      <c r="A52" s="142">
        <f t="shared" si="2"/>
        <v>50</v>
      </c>
      <c r="B52" s="156"/>
      <c r="C52" s="515"/>
      <c r="D52" s="155"/>
      <c r="E52" s="145"/>
      <c r="F52" s="145">
        <f t="shared" si="3"/>
        <v>5439860</v>
      </c>
      <c r="G52" s="155"/>
      <c r="H52" s="142"/>
      <c r="I52" s="142"/>
      <c r="J52" s="515"/>
    </row>
    <row r="53" spans="1:10" ht="18" customHeight="1">
      <c r="A53" s="142">
        <f t="shared" si="2"/>
        <v>51</v>
      </c>
      <c r="B53" s="156"/>
      <c r="C53" s="515"/>
      <c r="D53" s="155"/>
      <c r="E53" s="145"/>
      <c r="F53" s="145">
        <f t="shared" si="3"/>
        <v>5439860</v>
      </c>
      <c r="G53" s="155"/>
      <c r="H53" s="142"/>
      <c r="I53" s="142"/>
      <c r="J53" s="515"/>
    </row>
  </sheetData>
  <autoFilter ref="A2:J53" xr:uid="{00000000-0009-0000-0000-000000000000}"/>
  <mergeCells count="5">
    <mergeCell ref="A1:J1"/>
    <mergeCell ref="G8:G14"/>
    <mergeCell ref="H8:H14"/>
    <mergeCell ref="I8:I14"/>
    <mergeCell ref="J8:J14"/>
  </mergeCells>
  <phoneticPr fontId="5" type="noConversion"/>
  <pageMargins left="0.7" right="0.7" top="0.75" bottom="0.75" header="0.3" footer="0.3"/>
  <pageSetup paperSize="9" orientation="portrait" verticalDpi="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dcterms:modified xsi:type="dcterms:W3CDTF">2026-06-05T07:32:53Z</dcterms:modified>
  <cp:lastPrinted>2025-10-24T07:52:36Z</cp:lastPrinted>
  <cp:lastModifiedBy>강태준(TAEJUN KANG) 플랜트구매품질팀 책임매니저</cp:lastModifiedBy>
  <dcterms:created xsi:type="dcterms:W3CDTF">2018-06-01T02:49:25Z</dcterms:created>
</cp:coreProperties>
</file>